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arbon\jet\CORP\Product Management\Reports - WIP\1st priority - Branding Update\Master List of Reports\NAV\Reports\"/>
    </mc:Choice>
  </mc:AlternateContent>
  <bookViews>
    <workbookView xWindow="0" yWindow="0" windowWidth="25200" windowHeight="11385" activeTab="2"/>
  </bookViews>
  <sheets>
    <sheet name="Read Me" sheetId="190" r:id="rId1"/>
    <sheet name="Options" sheetId="1" state="hidden" r:id="rId2"/>
    <sheet name="All Locations" sheetId="2" r:id="rId3"/>
    <sheet name="AD-WHSE1" sheetId="3" r:id="rId4"/>
    <sheet name="AD-WHSE2" sheetId="197" r:id="rId5"/>
    <sheet name="ATL-WHSE1" sheetId="198" r:id="rId6"/>
    <sheet name="ATL-WHSE2" sheetId="199" r:id="rId7"/>
    <sheet name="LA-WHSE1" sheetId="200" r:id="rId8"/>
    <sheet name="LON-WHSE1" sheetId="201" r:id="rId9"/>
    <sheet name="NY-WHSE1" sheetId="202" r:id="rId10"/>
    <sheet name="NY-WHSE2" sheetId="203" r:id="rId11"/>
    <sheet name="Sheet2" sheetId="191" state="veryHidden" r:id="rId12"/>
    <sheet name="Sheet3" sheetId="192" state="veryHidden" r:id="rId13"/>
    <sheet name="Sheet4" sheetId="193" state="veryHidden" r:id="rId14"/>
    <sheet name="Sheet5" sheetId="194" state="veryHidden" r:id="rId15"/>
    <sheet name="Sheet6" sheetId="195" state="veryHidden" r:id="rId16"/>
    <sheet name="Sheet7" sheetId="196" state="veryHidden" r:id="rId17"/>
    <sheet name="Sheet15" sheetId="204" state="veryHidden" r:id="rId18"/>
    <sheet name="Sheet16" sheetId="205" state="veryHidden" r:id="rId19"/>
    <sheet name="Sheet17" sheetId="206" state="veryHidden" r:id="rId20"/>
    <sheet name="Sheet18" sheetId="207" state="veryHidden" r:id="rId21"/>
    <sheet name="Sheet19" sheetId="208" state="veryHidden" r:id="rId22"/>
    <sheet name="Sheet20" sheetId="209" state="veryHidden" r:id="rId23"/>
    <sheet name="Sheet21" sheetId="210" state="veryHidden" r:id="rId24"/>
    <sheet name="Sheet22" sheetId="211" state="veryHidden" r:id="rId25"/>
    <sheet name="Sheet23" sheetId="212" state="veryHidden" r:id="rId26"/>
    <sheet name="Sheet24" sheetId="213" state="veryHidden" r:id="rId27"/>
  </sheets>
  <definedNames>
    <definedName name="_xlnm._FilterDatabase" localSheetId="3" hidden="1">'AD-WHSE1'!$E$10:$U$13</definedName>
    <definedName name="_xlnm._FilterDatabase" localSheetId="4" hidden="1">'AD-WHSE2'!$E$10:$U$13</definedName>
    <definedName name="_xlnm._FilterDatabase" localSheetId="2" hidden="1">'All Locations'!$E$10:$U$13</definedName>
    <definedName name="_xlnm._FilterDatabase" localSheetId="5" hidden="1">'ATL-WHSE1'!$E$10:$U$13</definedName>
    <definedName name="_xlnm._FilterDatabase" localSheetId="6" hidden="1">'ATL-WHSE2'!$E$10:$U$13</definedName>
    <definedName name="_xlnm._FilterDatabase" localSheetId="7" hidden="1">'LA-WHSE1'!$E$10:$U$13</definedName>
    <definedName name="_xlnm._FilterDatabase" localSheetId="8" hidden="1">'LON-WHSE1'!$E$10:$U$13</definedName>
    <definedName name="_xlnm._FilterDatabase" localSheetId="9" hidden="1">'NY-WHSE1'!$E$10:$U$13</definedName>
    <definedName name="_xlnm._FilterDatabase" localSheetId="10" hidden="1">'NY-WHSE2'!$E$10:$U$13</definedName>
    <definedName name="AccountType">Options!$D6</definedName>
    <definedName name="Company">Options!$D$10</definedName>
    <definedName name="Datasource">Options!$D$9</definedName>
    <definedName name="DateFilter">Options!$F$12</definedName>
    <definedName name="EndDate">Options!$D$13</definedName>
    <definedName name="GLTotalingFilter" localSheetId="4">'AD-WHSE2'!$G1</definedName>
    <definedName name="GLTotalingFilter" localSheetId="2">'All Locations'!$G1</definedName>
    <definedName name="GLTotalingFilter" localSheetId="5">'ATL-WHSE1'!$G1</definedName>
    <definedName name="GLTotalingFilter" localSheetId="6">'ATL-WHSE2'!$G1</definedName>
    <definedName name="GLTotalingFilter" localSheetId="7">'LA-WHSE1'!$G1</definedName>
    <definedName name="GLTotalingFilter" localSheetId="8">'LON-WHSE1'!$G1</definedName>
    <definedName name="GLTotalingFilter" localSheetId="9">'NY-WHSE1'!$G1</definedName>
    <definedName name="GLTotalingFilter" localSheetId="10">'NY-WHSE2'!$G1</definedName>
    <definedName name="GLTotalingFilter">'AD-WHSE1'!$G1</definedName>
    <definedName name="Heading" localSheetId="4">'AD-WHSE2'!$E1</definedName>
    <definedName name="Heading" localSheetId="2">'All Locations'!$E1</definedName>
    <definedName name="Heading" localSheetId="5">'ATL-WHSE1'!$E1</definedName>
    <definedName name="Heading" localSheetId="6">'ATL-WHSE2'!$E1</definedName>
    <definedName name="Heading" localSheetId="7">'LA-WHSE1'!$E1</definedName>
    <definedName name="Heading" localSheetId="8">'LON-WHSE1'!$E1</definedName>
    <definedName name="Heading" localSheetId="9">'NY-WHSE1'!$E1</definedName>
    <definedName name="Heading" localSheetId="10">'NY-WHSE2'!$E1</definedName>
    <definedName name="Heading">'AD-WHSE1'!$E1</definedName>
    <definedName name="PeriodType">Options!$D$14</definedName>
    <definedName name="StartDate">Options!$D$12</definedName>
  </definedNames>
  <calcPr calcId="162913"/>
</workbook>
</file>

<file path=xl/calcChain.xml><?xml version="1.0" encoding="utf-8"?>
<calcChain xmlns="http://schemas.openxmlformats.org/spreadsheetml/2006/main">
  <c r="L5" i="203" l="1"/>
  <c r="E6" i="203"/>
  <c r="L6" i="203"/>
  <c r="L7" i="203"/>
  <c r="E12" i="203"/>
  <c r="F12" i="203"/>
  <c r="H12" i="203"/>
  <c r="O12" i="203"/>
  <c r="P12" i="203"/>
  <c r="Q12" i="203"/>
  <c r="R12" i="203"/>
  <c r="S12" i="203"/>
  <c r="T12" i="203"/>
  <c r="G13" i="203"/>
  <c r="J13" i="203"/>
  <c r="K13" i="203"/>
  <c r="L13" i="203" s="1"/>
  <c r="M13" i="203"/>
  <c r="N13" i="203"/>
  <c r="E16" i="203"/>
  <c r="F16" i="203"/>
  <c r="H16" i="203"/>
  <c r="O16" i="203"/>
  <c r="P16" i="203"/>
  <c r="Q16" i="203"/>
  <c r="R16" i="203"/>
  <c r="S16" i="203"/>
  <c r="T16" i="203"/>
  <c r="G17" i="203"/>
  <c r="J17" i="203"/>
  <c r="N17" i="203" s="1"/>
  <c r="K17" i="203"/>
  <c r="L17" i="203"/>
  <c r="M17" i="203"/>
  <c r="G18" i="203"/>
  <c r="J18" i="203"/>
  <c r="K18" i="203"/>
  <c r="L18" i="203"/>
  <c r="M18" i="203"/>
  <c r="N18" i="203"/>
  <c r="E21" i="203"/>
  <c r="F21" i="203"/>
  <c r="H21" i="203"/>
  <c r="O21" i="203"/>
  <c r="P21" i="203"/>
  <c r="Q21" i="203"/>
  <c r="R21" i="203"/>
  <c r="S21" i="203"/>
  <c r="T21" i="203"/>
  <c r="G22" i="203"/>
  <c r="J22" i="203"/>
  <c r="L22" i="203" s="1"/>
  <c r="K22" i="203"/>
  <c r="M22" i="203"/>
  <c r="G23" i="203"/>
  <c r="J23" i="203"/>
  <c r="L23" i="203" s="1"/>
  <c r="K23" i="203"/>
  <c r="M23" i="203"/>
  <c r="E26" i="203"/>
  <c r="F26" i="203"/>
  <c r="H26" i="203"/>
  <c r="O26" i="203"/>
  <c r="P26" i="203"/>
  <c r="Q26" i="203"/>
  <c r="R26" i="203"/>
  <c r="S26" i="203"/>
  <c r="T26" i="203"/>
  <c r="G27" i="203"/>
  <c r="J27" i="203"/>
  <c r="L27" i="203" s="1"/>
  <c r="K27" i="203"/>
  <c r="M27" i="203"/>
  <c r="E30" i="203"/>
  <c r="F30" i="203"/>
  <c r="H30" i="203"/>
  <c r="O30" i="203"/>
  <c r="P30" i="203"/>
  <c r="Q30" i="203"/>
  <c r="R30" i="203"/>
  <c r="S30" i="203"/>
  <c r="T30" i="203"/>
  <c r="G31" i="203"/>
  <c r="J31" i="203"/>
  <c r="K31" i="203"/>
  <c r="L31" i="203"/>
  <c r="M31" i="203"/>
  <c r="N31" i="203"/>
  <c r="G32" i="203"/>
  <c r="J32" i="203"/>
  <c r="K32" i="203"/>
  <c r="M32" i="203"/>
  <c r="N32" i="203"/>
  <c r="E35" i="203"/>
  <c r="F35" i="203"/>
  <c r="H35" i="203"/>
  <c r="O35" i="203"/>
  <c r="P35" i="203"/>
  <c r="Q35" i="203"/>
  <c r="R35" i="203"/>
  <c r="S35" i="203"/>
  <c r="T35" i="203"/>
  <c r="G36" i="203"/>
  <c r="J36" i="203"/>
  <c r="K36" i="203"/>
  <c r="L36" i="203"/>
  <c r="M36" i="203"/>
  <c r="N36" i="203"/>
  <c r="G37" i="203"/>
  <c r="J37" i="203"/>
  <c r="K37" i="203"/>
  <c r="L37" i="203"/>
  <c r="M37" i="203"/>
  <c r="N37" i="203"/>
  <c r="G38" i="203"/>
  <c r="J38" i="203"/>
  <c r="L38" i="203" s="1"/>
  <c r="K38" i="203"/>
  <c r="M38" i="203"/>
  <c r="N38" i="203"/>
  <c r="E41" i="203"/>
  <c r="F41" i="203"/>
  <c r="H41" i="203"/>
  <c r="O41" i="203"/>
  <c r="P41" i="203"/>
  <c r="Q41" i="203"/>
  <c r="R41" i="203"/>
  <c r="S41" i="203"/>
  <c r="T41" i="203"/>
  <c r="G42" i="203"/>
  <c r="J42" i="203"/>
  <c r="K42" i="203"/>
  <c r="L42" i="203"/>
  <c r="M42" i="203"/>
  <c r="N42" i="203"/>
  <c r="G43" i="203"/>
  <c r="J43" i="203"/>
  <c r="K43" i="203"/>
  <c r="M43" i="203"/>
  <c r="N43" i="203"/>
  <c r="E46" i="203"/>
  <c r="F46" i="203"/>
  <c r="H46" i="203"/>
  <c r="O46" i="203"/>
  <c r="P46" i="203"/>
  <c r="Q46" i="203"/>
  <c r="R46" i="203"/>
  <c r="S46" i="203"/>
  <c r="T46" i="203"/>
  <c r="G47" i="203"/>
  <c r="J47" i="203"/>
  <c r="N47" i="203" s="1"/>
  <c r="K47" i="203"/>
  <c r="L47" i="203"/>
  <c r="M47" i="203"/>
  <c r="G48" i="203"/>
  <c r="J48" i="203"/>
  <c r="K48" i="203"/>
  <c r="L48" i="203"/>
  <c r="M48" i="203"/>
  <c r="N48" i="203"/>
  <c r="E51" i="203"/>
  <c r="F51" i="203"/>
  <c r="H51" i="203"/>
  <c r="O51" i="203"/>
  <c r="P51" i="203"/>
  <c r="Q51" i="203"/>
  <c r="R51" i="203"/>
  <c r="S51" i="203"/>
  <c r="T51" i="203"/>
  <c r="G52" i="203"/>
  <c r="J52" i="203"/>
  <c r="L52" i="203" s="1"/>
  <c r="K52" i="203"/>
  <c r="M52" i="203"/>
  <c r="E55" i="203"/>
  <c r="F55" i="203"/>
  <c r="H55" i="203"/>
  <c r="O55" i="203"/>
  <c r="P55" i="203"/>
  <c r="Q55" i="203"/>
  <c r="R55" i="203"/>
  <c r="S55" i="203"/>
  <c r="T55" i="203"/>
  <c r="G56" i="203"/>
  <c r="J56" i="203"/>
  <c r="L56" i="203" s="1"/>
  <c r="K56" i="203"/>
  <c r="M56" i="203"/>
  <c r="N56" i="203"/>
  <c r="G57" i="203"/>
  <c r="J57" i="203"/>
  <c r="K57" i="203"/>
  <c r="M57" i="203"/>
  <c r="G58" i="203"/>
  <c r="J58" i="203"/>
  <c r="N58" i="203" s="1"/>
  <c r="K58" i="203"/>
  <c r="L58" i="203"/>
  <c r="M58" i="203"/>
  <c r="E61" i="203"/>
  <c r="F61" i="203"/>
  <c r="H61" i="203"/>
  <c r="O61" i="203"/>
  <c r="P61" i="203"/>
  <c r="Q61" i="203"/>
  <c r="R61" i="203"/>
  <c r="S61" i="203"/>
  <c r="T61" i="203"/>
  <c r="G62" i="203"/>
  <c r="J62" i="203"/>
  <c r="K62" i="203"/>
  <c r="M62" i="203"/>
  <c r="G63" i="203"/>
  <c r="J63" i="203"/>
  <c r="L63" i="203" s="1"/>
  <c r="K63" i="203"/>
  <c r="M63" i="203"/>
  <c r="E66" i="203"/>
  <c r="F66" i="203"/>
  <c r="H66" i="203"/>
  <c r="O66" i="203"/>
  <c r="P66" i="203"/>
  <c r="Q66" i="203"/>
  <c r="R66" i="203"/>
  <c r="S66" i="203"/>
  <c r="T66" i="203"/>
  <c r="G67" i="203"/>
  <c r="J67" i="203"/>
  <c r="L67" i="203" s="1"/>
  <c r="K67" i="203"/>
  <c r="M67" i="203"/>
  <c r="N67" i="203"/>
  <c r="G68" i="203"/>
  <c r="J68" i="203"/>
  <c r="K68" i="203"/>
  <c r="M68" i="203"/>
  <c r="G69" i="203"/>
  <c r="J69" i="203"/>
  <c r="N69" i="203" s="1"/>
  <c r="K69" i="203"/>
  <c r="L69" i="203"/>
  <c r="M69" i="203"/>
  <c r="E72" i="203"/>
  <c r="F72" i="203"/>
  <c r="H72" i="203"/>
  <c r="O72" i="203"/>
  <c r="P72" i="203"/>
  <c r="Q72" i="203"/>
  <c r="R72" i="203"/>
  <c r="S72" i="203"/>
  <c r="T72" i="203"/>
  <c r="G73" i="203"/>
  <c r="J73" i="203"/>
  <c r="K73" i="203"/>
  <c r="M73" i="203"/>
  <c r="E76" i="203"/>
  <c r="F76" i="203"/>
  <c r="H76" i="203"/>
  <c r="O76" i="203"/>
  <c r="P76" i="203"/>
  <c r="Q76" i="203"/>
  <c r="R76" i="203"/>
  <c r="S76" i="203"/>
  <c r="T76" i="203"/>
  <c r="G77" i="203"/>
  <c r="J77" i="203"/>
  <c r="K77" i="203"/>
  <c r="L77" i="203"/>
  <c r="M77" i="203"/>
  <c r="N77" i="203"/>
  <c r="E80" i="203"/>
  <c r="F80" i="203"/>
  <c r="H80" i="203"/>
  <c r="O80" i="203"/>
  <c r="P80" i="203"/>
  <c r="Q80" i="203"/>
  <c r="R80" i="203"/>
  <c r="S80" i="203"/>
  <c r="T80" i="203"/>
  <c r="G81" i="203"/>
  <c r="J81" i="203"/>
  <c r="L81" i="203" s="1"/>
  <c r="K81" i="203"/>
  <c r="M81" i="203"/>
  <c r="G82" i="203"/>
  <c r="J82" i="203"/>
  <c r="K82" i="203"/>
  <c r="L82" i="203" s="1"/>
  <c r="M82" i="203"/>
  <c r="N82" i="203"/>
  <c r="E85" i="203"/>
  <c r="F85" i="203"/>
  <c r="H85" i="203"/>
  <c r="O85" i="203"/>
  <c r="P85" i="203"/>
  <c r="Q85" i="203"/>
  <c r="R85" i="203"/>
  <c r="S85" i="203"/>
  <c r="T85" i="203"/>
  <c r="G86" i="203"/>
  <c r="J86" i="203"/>
  <c r="K86" i="203"/>
  <c r="M86" i="203"/>
  <c r="E89" i="203"/>
  <c r="F89" i="203"/>
  <c r="H89" i="203"/>
  <c r="O89" i="203"/>
  <c r="P89" i="203"/>
  <c r="Q89" i="203"/>
  <c r="R89" i="203"/>
  <c r="S89" i="203"/>
  <c r="T89" i="203"/>
  <c r="G90" i="203"/>
  <c r="J90" i="203"/>
  <c r="K90" i="203"/>
  <c r="L90" i="203"/>
  <c r="M90" i="203"/>
  <c r="N90" i="203"/>
  <c r="G91" i="203"/>
  <c r="J91" i="203"/>
  <c r="L91" i="203" s="1"/>
  <c r="K91" i="203"/>
  <c r="M91" i="203"/>
  <c r="E94" i="203"/>
  <c r="F94" i="203"/>
  <c r="H94" i="203"/>
  <c r="O94" i="203"/>
  <c r="P94" i="203"/>
  <c r="Q94" i="203"/>
  <c r="R94" i="203"/>
  <c r="S94" i="203"/>
  <c r="T94" i="203"/>
  <c r="G95" i="203"/>
  <c r="J95" i="203"/>
  <c r="K95" i="203"/>
  <c r="L95" i="203"/>
  <c r="M95" i="203"/>
  <c r="N95" i="203"/>
  <c r="G96" i="203"/>
  <c r="J96" i="203"/>
  <c r="L96" i="203" s="1"/>
  <c r="K96" i="203"/>
  <c r="M96" i="203"/>
  <c r="N96" i="203"/>
  <c r="G97" i="203"/>
  <c r="J97" i="203"/>
  <c r="K97" i="203"/>
  <c r="M97" i="203"/>
  <c r="E100" i="203"/>
  <c r="F100" i="203"/>
  <c r="H100" i="203"/>
  <c r="O100" i="203"/>
  <c r="P100" i="203"/>
  <c r="Q100" i="203"/>
  <c r="R100" i="203"/>
  <c r="S100" i="203"/>
  <c r="T100" i="203"/>
  <c r="G101" i="203"/>
  <c r="J101" i="203"/>
  <c r="K101" i="203"/>
  <c r="L101" i="203" s="1"/>
  <c r="M101" i="203"/>
  <c r="N101" i="203"/>
  <c r="E104" i="203"/>
  <c r="F104" i="203"/>
  <c r="H104" i="203"/>
  <c r="O104" i="203"/>
  <c r="P104" i="203"/>
  <c r="Q104" i="203"/>
  <c r="R104" i="203"/>
  <c r="S104" i="203"/>
  <c r="T104" i="203"/>
  <c r="G105" i="203"/>
  <c r="J105" i="203"/>
  <c r="N105" i="203" s="1"/>
  <c r="K105" i="203"/>
  <c r="L105" i="203"/>
  <c r="M105" i="203"/>
  <c r="G106" i="203"/>
  <c r="J106" i="203"/>
  <c r="K106" i="203"/>
  <c r="L106" i="203"/>
  <c r="M106" i="203"/>
  <c r="N106" i="203"/>
  <c r="E109" i="203"/>
  <c r="F109" i="203"/>
  <c r="H109" i="203"/>
  <c r="O109" i="203"/>
  <c r="P109" i="203"/>
  <c r="Q109" i="203"/>
  <c r="R109" i="203"/>
  <c r="S109" i="203"/>
  <c r="T109" i="203"/>
  <c r="G110" i="203"/>
  <c r="J110" i="203"/>
  <c r="L110" i="203" s="1"/>
  <c r="K110" i="203"/>
  <c r="M110" i="203"/>
  <c r="G111" i="203"/>
  <c r="J111" i="203"/>
  <c r="K111" i="203"/>
  <c r="L111" i="203" s="1"/>
  <c r="M111" i="203"/>
  <c r="N111" i="203"/>
  <c r="G112" i="203"/>
  <c r="J112" i="203"/>
  <c r="K112" i="203"/>
  <c r="L112" i="203" s="1"/>
  <c r="M112" i="203"/>
  <c r="N112" i="203"/>
  <c r="E115" i="203"/>
  <c r="F115" i="203"/>
  <c r="H115" i="203"/>
  <c r="O115" i="203"/>
  <c r="P115" i="203"/>
  <c r="Q115" i="203"/>
  <c r="R115" i="203"/>
  <c r="S115" i="203"/>
  <c r="T115" i="203"/>
  <c r="G116" i="203"/>
  <c r="J116" i="203"/>
  <c r="N116" i="203" s="1"/>
  <c r="K116" i="203"/>
  <c r="M116" i="203"/>
  <c r="G117" i="203"/>
  <c r="J117" i="203"/>
  <c r="K117" i="203"/>
  <c r="L117" i="203"/>
  <c r="M117" i="203"/>
  <c r="N117" i="203"/>
  <c r="G118" i="203"/>
  <c r="J118" i="203"/>
  <c r="L118" i="203" s="1"/>
  <c r="K118" i="203"/>
  <c r="M118" i="203"/>
  <c r="N118" i="203"/>
  <c r="E121" i="203"/>
  <c r="F121" i="203"/>
  <c r="H121" i="203"/>
  <c r="O121" i="203"/>
  <c r="P121" i="203"/>
  <c r="Q121" i="203"/>
  <c r="R121" i="203"/>
  <c r="S121" i="203"/>
  <c r="T121" i="203"/>
  <c r="G122" i="203"/>
  <c r="J122" i="203"/>
  <c r="K122" i="203"/>
  <c r="L122" i="203" s="1"/>
  <c r="M122" i="203"/>
  <c r="N122" i="203"/>
  <c r="E125" i="203"/>
  <c r="F125" i="203"/>
  <c r="H125" i="203"/>
  <c r="O125" i="203"/>
  <c r="P125" i="203"/>
  <c r="Q125" i="203"/>
  <c r="R125" i="203"/>
  <c r="S125" i="203"/>
  <c r="T125" i="203"/>
  <c r="G126" i="203"/>
  <c r="J126" i="203"/>
  <c r="K126" i="203"/>
  <c r="M126" i="203"/>
  <c r="G127" i="203"/>
  <c r="J127" i="203"/>
  <c r="N127" i="203" s="1"/>
  <c r="K127" i="203"/>
  <c r="L127" i="203"/>
  <c r="M127" i="203"/>
  <c r="E130" i="203"/>
  <c r="F130" i="203"/>
  <c r="H130" i="203"/>
  <c r="O130" i="203"/>
  <c r="P130" i="203"/>
  <c r="Q130" i="203"/>
  <c r="R130" i="203"/>
  <c r="S130" i="203"/>
  <c r="T130" i="203"/>
  <c r="G131" i="203"/>
  <c r="J131" i="203"/>
  <c r="L131" i="203" s="1"/>
  <c r="K131" i="203"/>
  <c r="M131" i="203"/>
  <c r="G132" i="203"/>
  <c r="J132" i="203"/>
  <c r="L132" i="203" s="1"/>
  <c r="K132" i="203"/>
  <c r="M132" i="203"/>
  <c r="G133" i="203"/>
  <c r="J133" i="203"/>
  <c r="K133" i="203"/>
  <c r="L133" i="203" s="1"/>
  <c r="M133" i="203"/>
  <c r="N133" i="203"/>
  <c r="G134" i="203"/>
  <c r="J134" i="203"/>
  <c r="K134" i="203"/>
  <c r="L134" i="203" s="1"/>
  <c r="M134" i="203"/>
  <c r="N134" i="203"/>
  <c r="E137" i="203"/>
  <c r="F137" i="203"/>
  <c r="H137" i="203"/>
  <c r="O137" i="203"/>
  <c r="P137" i="203"/>
  <c r="Q137" i="203"/>
  <c r="R137" i="203"/>
  <c r="S137" i="203"/>
  <c r="T137" i="203"/>
  <c r="G138" i="203"/>
  <c r="J138" i="203"/>
  <c r="N138" i="203" s="1"/>
  <c r="K138" i="203"/>
  <c r="L138" i="203"/>
  <c r="M138" i="203"/>
  <c r="E141" i="203"/>
  <c r="F141" i="203"/>
  <c r="H141" i="203"/>
  <c r="O141" i="203"/>
  <c r="P141" i="203"/>
  <c r="Q141" i="203"/>
  <c r="R141" i="203"/>
  <c r="S141" i="203"/>
  <c r="T141" i="203"/>
  <c r="G142" i="203"/>
  <c r="J142" i="203"/>
  <c r="L142" i="203" s="1"/>
  <c r="K142" i="203"/>
  <c r="M142" i="203"/>
  <c r="G143" i="203"/>
  <c r="J143" i="203"/>
  <c r="L143" i="203" s="1"/>
  <c r="K143" i="203"/>
  <c r="M143" i="203"/>
  <c r="E146" i="203"/>
  <c r="F146" i="203"/>
  <c r="H146" i="203"/>
  <c r="O146" i="203"/>
  <c r="P146" i="203"/>
  <c r="Q146" i="203"/>
  <c r="R146" i="203"/>
  <c r="S146" i="203"/>
  <c r="T146" i="203"/>
  <c r="G147" i="203"/>
  <c r="J147" i="203"/>
  <c r="L147" i="203" s="1"/>
  <c r="K147" i="203"/>
  <c r="M147" i="203"/>
  <c r="N147" i="203"/>
  <c r="G148" i="203"/>
  <c r="J148" i="203"/>
  <c r="K148" i="203"/>
  <c r="M148" i="203"/>
  <c r="G149" i="203"/>
  <c r="J149" i="203"/>
  <c r="N149" i="203" s="1"/>
  <c r="K149" i="203"/>
  <c r="L149" i="203"/>
  <c r="M149" i="203"/>
  <c r="G150" i="203"/>
  <c r="J150" i="203"/>
  <c r="K150" i="203"/>
  <c r="L150" i="203"/>
  <c r="M150" i="203"/>
  <c r="N150" i="203"/>
  <c r="E153" i="203"/>
  <c r="F153" i="203"/>
  <c r="H153" i="203"/>
  <c r="O153" i="203"/>
  <c r="P153" i="203"/>
  <c r="Q153" i="203"/>
  <c r="R153" i="203"/>
  <c r="S153" i="203"/>
  <c r="T153" i="203"/>
  <c r="G154" i="203"/>
  <c r="J154" i="203"/>
  <c r="L154" i="203" s="1"/>
  <c r="K154" i="203"/>
  <c r="M154" i="203"/>
  <c r="G155" i="203"/>
  <c r="J155" i="203"/>
  <c r="K155" i="203"/>
  <c r="L155" i="203" s="1"/>
  <c r="M155" i="203"/>
  <c r="N155" i="203"/>
  <c r="G156" i="203"/>
  <c r="J156" i="203"/>
  <c r="K156" i="203"/>
  <c r="L156" i="203" s="1"/>
  <c r="M156" i="203"/>
  <c r="N156" i="203"/>
  <c r="E159" i="203"/>
  <c r="F159" i="203"/>
  <c r="H159" i="203"/>
  <c r="O159" i="203"/>
  <c r="P159" i="203"/>
  <c r="Q159" i="203"/>
  <c r="R159" i="203"/>
  <c r="S159" i="203"/>
  <c r="T159" i="203"/>
  <c r="G160" i="203"/>
  <c r="J160" i="203"/>
  <c r="N160" i="203" s="1"/>
  <c r="K160" i="203"/>
  <c r="M160" i="203"/>
  <c r="G161" i="203"/>
  <c r="J161" i="203"/>
  <c r="K161" i="203"/>
  <c r="L161" i="203"/>
  <c r="M161" i="203"/>
  <c r="N161" i="203"/>
  <c r="E164" i="203"/>
  <c r="F164" i="203"/>
  <c r="H164" i="203"/>
  <c r="O164" i="203"/>
  <c r="P164" i="203"/>
  <c r="Q164" i="203"/>
  <c r="R164" i="203"/>
  <c r="S164" i="203"/>
  <c r="T164" i="203"/>
  <c r="G165" i="203"/>
  <c r="J165" i="203"/>
  <c r="L165" i="203" s="1"/>
  <c r="K165" i="203"/>
  <c r="M165" i="203"/>
  <c r="E168" i="203"/>
  <c r="F168" i="203"/>
  <c r="H168" i="203"/>
  <c r="O168" i="203"/>
  <c r="P168" i="203"/>
  <c r="Q168" i="203"/>
  <c r="R168" i="203"/>
  <c r="S168" i="203"/>
  <c r="T168" i="203"/>
  <c r="G169" i="203"/>
  <c r="J169" i="203"/>
  <c r="L169" i="203" s="1"/>
  <c r="K169" i="203"/>
  <c r="M169" i="203"/>
  <c r="N169" i="203"/>
  <c r="E172" i="203"/>
  <c r="F172" i="203"/>
  <c r="H172" i="203"/>
  <c r="O172" i="203"/>
  <c r="P172" i="203"/>
  <c r="Q172" i="203"/>
  <c r="R172" i="203"/>
  <c r="S172" i="203"/>
  <c r="T172" i="203"/>
  <c r="G173" i="203"/>
  <c r="J173" i="203"/>
  <c r="N173" i="203" s="1"/>
  <c r="K173" i="203"/>
  <c r="L173" i="203"/>
  <c r="M173" i="203"/>
  <c r="E176" i="203"/>
  <c r="F176" i="203"/>
  <c r="H176" i="203"/>
  <c r="O176" i="203"/>
  <c r="P176" i="203"/>
  <c r="Q176" i="203"/>
  <c r="R176" i="203"/>
  <c r="S176" i="203"/>
  <c r="T176" i="203"/>
  <c r="G177" i="203"/>
  <c r="J177" i="203"/>
  <c r="K177" i="203"/>
  <c r="M177" i="203"/>
  <c r="G178" i="203"/>
  <c r="J178" i="203"/>
  <c r="N178" i="203" s="1"/>
  <c r="K178" i="203"/>
  <c r="M178" i="203"/>
  <c r="G179" i="203"/>
  <c r="J179" i="203"/>
  <c r="K179" i="203"/>
  <c r="L179" i="203"/>
  <c r="M179" i="203"/>
  <c r="N179" i="203"/>
  <c r="E182" i="203"/>
  <c r="F182" i="203"/>
  <c r="H182" i="203"/>
  <c r="O182" i="203"/>
  <c r="P182" i="203"/>
  <c r="Q182" i="203"/>
  <c r="R182" i="203"/>
  <c r="S182" i="203"/>
  <c r="T182" i="203"/>
  <c r="G183" i="203"/>
  <c r="J183" i="203"/>
  <c r="L183" i="203" s="1"/>
  <c r="K183" i="203"/>
  <c r="M183" i="203"/>
  <c r="E186" i="203"/>
  <c r="F186" i="203"/>
  <c r="H186" i="203"/>
  <c r="O186" i="203"/>
  <c r="P186" i="203"/>
  <c r="Q186" i="203"/>
  <c r="R186" i="203"/>
  <c r="S186" i="203"/>
  <c r="T186" i="203"/>
  <c r="G187" i="203"/>
  <c r="J187" i="203"/>
  <c r="L187" i="203" s="1"/>
  <c r="K187" i="203"/>
  <c r="M187" i="203"/>
  <c r="N187" i="203"/>
  <c r="G188" i="203"/>
  <c r="J188" i="203"/>
  <c r="K188" i="203"/>
  <c r="M188" i="203"/>
  <c r="E191" i="203"/>
  <c r="F191" i="203"/>
  <c r="H191" i="203"/>
  <c r="O191" i="203"/>
  <c r="P191" i="203"/>
  <c r="Q191" i="203"/>
  <c r="R191" i="203"/>
  <c r="S191" i="203"/>
  <c r="T191" i="203"/>
  <c r="G192" i="203"/>
  <c r="J192" i="203"/>
  <c r="K192" i="203"/>
  <c r="L192" i="203"/>
  <c r="M192" i="203"/>
  <c r="N192" i="203"/>
  <c r="E195" i="203"/>
  <c r="F195" i="203"/>
  <c r="H195" i="203"/>
  <c r="O195" i="203"/>
  <c r="P195" i="203"/>
  <c r="Q195" i="203"/>
  <c r="R195" i="203"/>
  <c r="S195" i="203"/>
  <c r="T195" i="203"/>
  <c r="G196" i="203"/>
  <c r="J196" i="203"/>
  <c r="N196" i="203" s="1"/>
  <c r="K196" i="203"/>
  <c r="M196" i="203"/>
  <c r="E199" i="203"/>
  <c r="F199" i="203"/>
  <c r="H199" i="203"/>
  <c r="O199" i="203"/>
  <c r="P199" i="203"/>
  <c r="Q199" i="203"/>
  <c r="R199" i="203"/>
  <c r="S199" i="203"/>
  <c r="T199" i="203"/>
  <c r="G200" i="203"/>
  <c r="J200" i="203"/>
  <c r="L200" i="203" s="1"/>
  <c r="K200" i="203"/>
  <c r="M200" i="203"/>
  <c r="N200" i="203"/>
  <c r="G201" i="203"/>
  <c r="J201" i="203"/>
  <c r="L201" i="203" s="1"/>
  <c r="K201" i="203"/>
  <c r="M201" i="203"/>
  <c r="G202" i="203"/>
  <c r="J202" i="203"/>
  <c r="N202" i="203" s="1"/>
  <c r="K202" i="203"/>
  <c r="L202" i="203" s="1"/>
  <c r="M202" i="203"/>
  <c r="E205" i="203"/>
  <c r="F205" i="203"/>
  <c r="H205" i="203"/>
  <c r="O205" i="203"/>
  <c r="P205" i="203"/>
  <c r="Q205" i="203"/>
  <c r="R205" i="203"/>
  <c r="S205" i="203"/>
  <c r="T205" i="203"/>
  <c r="G206" i="203"/>
  <c r="J206" i="203"/>
  <c r="K206" i="203"/>
  <c r="M206" i="203"/>
  <c r="E209" i="203"/>
  <c r="F209" i="203"/>
  <c r="H209" i="203"/>
  <c r="O209" i="203"/>
  <c r="P209" i="203"/>
  <c r="Q209" i="203"/>
  <c r="R209" i="203"/>
  <c r="S209" i="203"/>
  <c r="T209" i="203"/>
  <c r="G210" i="203"/>
  <c r="J210" i="203"/>
  <c r="K210" i="203"/>
  <c r="L210" i="203"/>
  <c r="M210" i="203"/>
  <c r="N210" i="203"/>
  <c r="E213" i="203"/>
  <c r="F213" i="203"/>
  <c r="H213" i="203"/>
  <c r="O213" i="203"/>
  <c r="P213" i="203"/>
  <c r="Q213" i="203"/>
  <c r="R213" i="203"/>
  <c r="S213" i="203"/>
  <c r="T213" i="203"/>
  <c r="G214" i="203"/>
  <c r="J214" i="203"/>
  <c r="N214" i="203" s="1"/>
  <c r="K214" i="203"/>
  <c r="M214" i="203"/>
  <c r="E217" i="203"/>
  <c r="F217" i="203"/>
  <c r="H217" i="203"/>
  <c r="O217" i="203"/>
  <c r="P217" i="203"/>
  <c r="Q217" i="203"/>
  <c r="R217" i="203"/>
  <c r="S217" i="203"/>
  <c r="T217" i="203"/>
  <c r="G218" i="203"/>
  <c r="J218" i="203"/>
  <c r="L218" i="203" s="1"/>
  <c r="K218" i="203"/>
  <c r="M218" i="203"/>
  <c r="N218" i="203"/>
  <c r="E221" i="203"/>
  <c r="F221" i="203"/>
  <c r="H221" i="203"/>
  <c r="O221" i="203"/>
  <c r="P221" i="203"/>
  <c r="Q221" i="203"/>
  <c r="R221" i="203"/>
  <c r="S221" i="203"/>
  <c r="T221" i="203"/>
  <c r="G222" i="203"/>
  <c r="J222" i="203"/>
  <c r="K222" i="203"/>
  <c r="L222" i="203"/>
  <c r="M222" i="203"/>
  <c r="N222" i="203"/>
  <c r="E225" i="203"/>
  <c r="F225" i="203"/>
  <c r="H225" i="203"/>
  <c r="O225" i="203"/>
  <c r="P225" i="203"/>
  <c r="Q225" i="203"/>
  <c r="R225" i="203"/>
  <c r="S225" i="203"/>
  <c r="T225" i="203"/>
  <c r="G226" i="203"/>
  <c r="J226" i="203"/>
  <c r="L226" i="203" s="1"/>
  <c r="K226" i="203"/>
  <c r="M226" i="203"/>
  <c r="E229" i="203"/>
  <c r="F229" i="203"/>
  <c r="H229" i="203"/>
  <c r="O229" i="203"/>
  <c r="P229" i="203"/>
  <c r="Q229" i="203"/>
  <c r="R229" i="203"/>
  <c r="S229" i="203"/>
  <c r="T229" i="203"/>
  <c r="G230" i="203"/>
  <c r="J230" i="203"/>
  <c r="L230" i="203" s="1"/>
  <c r="K230" i="203"/>
  <c r="M230" i="203"/>
  <c r="N230" i="203"/>
  <c r="E233" i="203"/>
  <c r="F233" i="203"/>
  <c r="H233" i="203"/>
  <c r="O233" i="203"/>
  <c r="P233" i="203"/>
  <c r="Q233" i="203"/>
  <c r="R233" i="203"/>
  <c r="S233" i="203"/>
  <c r="T233" i="203"/>
  <c r="G234" i="203"/>
  <c r="J234" i="203"/>
  <c r="N234" i="203" s="1"/>
  <c r="K234" i="203"/>
  <c r="L234" i="203" s="1"/>
  <c r="M234" i="203"/>
  <c r="E237" i="203"/>
  <c r="F237" i="203"/>
  <c r="H237" i="203"/>
  <c r="O237" i="203"/>
  <c r="P237" i="203"/>
  <c r="Q237" i="203"/>
  <c r="R237" i="203"/>
  <c r="S237" i="203"/>
  <c r="T237" i="203"/>
  <c r="G238" i="203"/>
  <c r="J238" i="203"/>
  <c r="K238" i="203"/>
  <c r="M238" i="203"/>
  <c r="G239" i="203"/>
  <c r="J239" i="203"/>
  <c r="N239" i="203" s="1"/>
  <c r="K239" i="203"/>
  <c r="L239" i="203"/>
  <c r="M239" i="203"/>
  <c r="E242" i="203"/>
  <c r="F242" i="203"/>
  <c r="H242" i="203"/>
  <c r="O242" i="203"/>
  <c r="P242" i="203"/>
  <c r="Q242" i="203"/>
  <c r="R242" i="203"/>
  <c r="S242" i="203"/>
  <c r="T242" i="203"/>
  <c r="G243" i="203"/>
  <c r="J243" i="203"/>
  <c r="L243" i="203" s="1"/>
  <c r="K243" i="203"/>
  <c r="M243" i="203"/>
  <c r="N243" i="203"/>
  <c r="G244" i="203"/>
  <c r="J244" i="203"/>
  <c r="L244" i="203" s="1"/>
  <c r="K244" i="203"/>
  <c r="M244" i="203"/>
  <c r="G245" i="203"/>
  <c r="J245" i="203"/>
  <c r="N245" i="203" s="1"/>
  <c r="K245" i="203"/>
  <c r="L245" i="203" s="1"/>
  <c r="M245" i="203"/>
  <c r="E248" i="203"/>
  <c r="F248" i="203"/>
  <c r="H248" i="203"/>
  <c r="O248" i="203"/>
  <c r="P248" i="203"/>
  <c r="Q248" i="203"/>
  <c r="R248" i="203"/>
  <c r="S248" i="203"/>
  <c r="T248" i="203"/>
  <c r="G249" i="203"/>
  <c r="J249" i="203"/>
  <c r="K249" i="203"/>
  <c r="M249" i="203"/>
  <c r="G250" i="203"/>
  <c r="J250" i="203"/>
  <c r="N250" i="203" s="1"/>
  <c r="K250" i="203"/>
  <c r="L250" i="203"/>
  <c r="M250" i="203"/>
  <c r="E253" i="203"/>
  <c r="F253" i="203"/>
  <c r="H253" i="203"/>
  <c r="O253" i="203"/>
  <c r="P253" i="203"/>
  <c r="Q253" i="203"/>
  <c r="R253" i="203"/>
  <c r="S253" i="203"/>
  <c r="T253" i="203"/>
  <c r="G254" i="203"/>
  <c r="J254" i="203"/>
  <c r="L254" i="203" s="1"/>
  <c r="K254" i="203"/>
  <c r="M254" i="203"/>
  <c r="N254" i="203"/>
  <c r="E257" i="203"/>
  <c r="F257" i="203"/>
  <c r="H257" i="203"/>
  <c r="O257" i="203"/>
  <c r="P257" i="203"/>
  <c r="Q257" i="203"/>
  <c r="R257" i="203"/>
  <c r="S257" i="203"/>
  <c r="T257" i="203"/>
  <c r="G258" i="203"/>
  <c r="J258" i="203"/>
  <c r="K258" i="203"/>
  <c r="L258" i="203"/>
  <c r="M258" i="203"/>
  <c r="N258" i="203"/>
  <c r="G259" i="203"/>
  <c r="J259" i="203"/>
  <c r="L259" i="203" s="1"/>
  <c r="K259" i="203"/>
  <c r="M259" i="203"/>
  <c r="N259" i="203"/>
  <c r="E262" i="203"/>
  <c r="F262" i="203"/>
  <c r="H262" i="203"/>
  <c r="O262" i="203"/>
  <c r="P262" i="203"/>
  <c r="Q262" i="203"/>
  <c r="R262" i="203"/>
  <c r="S262" i="203"/>
  <c r="T262" i="203"/>
  <c r="G263" i="203"/>
  <c r="J263" i="203"/>
  <c r="N263" i="203" s="1"/>
  <c r="K263" i="203"/>
  <c r="L263" i="203"/>
  <c r="M263" i="203"/>
  <c r="E266" i="203"/>
  <c r="F266" i="203"/>
  <c r="H266" i="203"/>
  <c r="O266" i="203"/>
  <c r="P266" i="203"/>
  <c r="Q266" i="203"/>
  <c r="R266" i="203"/>
  <c r="S266" i="203"/>
  <c r="T266" i="203"/>
  <c r="G267" i="203"/>
  <c r="J267" i="203"/>
  <c r="K267" i="203"/>
  <c r="M267" i="203"/>
  <c r="E270" i="203"/>
  <c r="F270" i="203"/>
  <c r="H270" i="203"/>
  <c r="O270" i="203"/>
  <c r="P270" i="203"/>
  <c r="Q270" i="203"/>
  <c r="R270" i="203"/>
  <c r="S270" i="203"/>
  <c r="T270" i="203"/>
  <c r="G271" i="203"/>
  <c r="J271" i="203"/>
  <c r="K271" i="203"/>
  <c r="L271" i="203"/>
  <c r="M271" i="203"/>
  <c r="N271" i="203"/>
  <c r="G272" i="203"/>
  <c r="J272" i="203"/>
  <c r="L272" i="203" s="1"/>
  <c r="K272" i="203"/>
  <c r="M272" i="203"/>
  <c r="N272" i="203"/>
  <c r="E275" i="203"/>
  <c r="F275" i="203"/>
  <c r="H275" i="203"/>
  <c r="O275" i="203"/>
  <c r="P275" i="203"/>
  <c r="Q275" i="203"/>
  <c r="R275" i="203"/>
  <c r="S275" i="203"/>
  <c r="T275" i="203"/>
  <c r="G276" i="203"/>
  <c r="J276" i="203"/>
  <c r="K276" i="203"/>
  <c r="L276" i="203"/>
  <c r="M276" i="203"/>
  <c r="N276" i="203"/>
  <c r="G277" i="203"/>
  <c r="J277" i="203"/>
  <c r="L277" i="203" s="1"/>
  <c r="K277" i="203"/>
  <c r="M277" i="203"/>
  <c r="N277" i="203"/>
  <c r="E280" i="203"/>
  <c r="F280" i="203"/>
  <c r="H280" i="203"/>
  <c r="O280" i="203"/>
  <c r="P280" i="203"/>
  <c r="Q280" i="203"/>
  <c r="R280" i="203"/>
  <c r="S280" i="203"/>
  <c r="T280" i="203"/>
  <c r="G281" i="203"/>
  <c r="J281" i="203"/>
  <c r="N281" i="203" s="1"/>
  <c r="K281" i="203"/>
  <c r="L281" i="203" s="1"/>
  <c r="M281" i="203"/>
  <c r="E284" i="203"/>
  <c r="F284" i="203"/>
  <c r="H284" i="203"/>
  <c r="O284" i="203"/>
  <c r="P284" i="203"/>
  <c r="Q284" i="203"/>
  <c r="R284" i="203"/>
  <c r="S284" i="203"/>
  <c r="T284" i="203"/>
  <c r="G285" i="203"/>
  <c r="J285" i="203"/>
  <c r="K285" i="203"/>
  <c r="M285" i="203"/>
  <c r="G286" i="203"/>
  <c r="J286" i="203"/>
  <c r="K286" i="203"/>
  <c r="M286" i="203"/>
  <c r="G287" i="203"/>
  <c r="J287" i="203"/>
  <c r="K287" i="203"/>
  <c r="L287" i="203"/>
  <c r="M287" i="203"/>
  <c r="N287" i="203"/>
  <c r="E290" i="203"/>
  <c r="F290" i="203"/>
  <c r="H290" i="203"/>
  <c r="O290" i="203"/>
  <c r="P290" i="203"/>
  <c r="Q290" i="203"/>
  <c r="R290" i="203"/>
  <c r="S290" i="203"/>
  <c r="T290" i="203"/>
  <c r="G291" i="203"/>
  <c r="J291" i="203"/>
  <c r="L291" i="203" s="1"/>
  <c r="K291" i="203"/>
  <c r="M291" i="203"/>
  <c r="G292" i="203"/>
  <c r="J292" i="203"/>
  <c r="N292" i="203" s="1"/>
  <c r="K292" i="203"/>
  <c r="L292" i="203" s="1"/>
  <c r="M292" i="203"/>
  <c r="E295" i="203"/>
  <c r="F295" i="203"/>
  <c r="H295" i="203"/>
  <c r="O295" i="203"/>
  <c r="P295" i="203"/>
  <c r="Q295" i="203"/>
  <c r="R295" i="203"/>
  <c r="S295" i="203"/>
  <c r="T295" i="203"/>
  <c r="G296" i="203"/>
  <c r="J296" i="203"/>
  <c r="K296" i="203"/>
  <c r="M296" i="203"/>
  <c r="G297" i="203"/>
  <c r="J297" i="203"/>
  <c r="N297" i="203" s="1"/>
  <c r="K297" i="203"/>
  <c r="M297" i="203"/>
  <c r="E300" i="203"/>
  <c r="F300" i="203"/>
  <c r="H300" i="203"/>
  <c r="O300" i="203"/>
  <c r="P300" i="203"/>
  <c r="Q300" i="203"/>
  <c r="R300" i="203"/>
  <c r="S300" i="203"/>
  <c r="T300" i="203"/>
  <c r="G301" i="203"/>
  <c r="J301" i="203"/>
  <c r="L301" i="203" s="1"/>
  <c r="K301" i="203"/>
  <c r="M301" i="203"/>
  <c r="N301" i="203"/>
  <c r="G302" i="203"/>
  <c r="J302" i="203"/>
  <c r="L302" i="203" s="1"/>
  <c r="K302" i="203"/>
  <c r="M302" i="203"/>
  <c r="E305" i="203"/>
  <c r="F305" i="203"/>
  <c r="H305" i="203"/>
  <c r="O305" i="203"/>
  <c r="P305" i="203"/>
  <c r="Q305" i="203"/>
  <c r="R305" i="203"/>
  <c r="S305" i="203"/>
  <c r="T305" i="203"/>
  <c r="G306" i="203"/>
  <c r="J306" i="203"/>
  <c r="L306" i="203" s="1"/>
  <c r="K306" i="203"/>
  <c r="M306" i="203"/>
  <c r="N306" i="203"/>
  <c r="G307" i="203"/>
  <c r="J307" i="203"/>
  <c r="K307" i="203"/>
  <c r="M307" i="203"/>
  <c r="E310" i="203"/>
  <c r="F310" i="203"/>
  <c r="H310" i="203"/>
  <c r="O310" i="203"/>
  <c r="P310" i="203"/>
  <c r="Q310" i="203"/>
  <c r="R310" i="203"/>
  <c r="S310" i="203"/>
  <c r="T310" i="203"/>
  <c r="G311" i="203"/>
  <c r="J311" i="203"/>
  <c r="K311" i="203"/>
  <c r="L311" i="203"/>
  <c r="M311" i="203"/>
  <c r="N311" i="203"/>
  <c r="G312" i="203"/>
  <c r="J312" i="203"/>
  <c r="K312" i="203"/>
  <c r="M312" i="203"/>
  <c r="N312" i="203"/>
  <c r="E315" i="203"/>
  <c r="F315" i="203"/>
  <c r="H315" i="203"/>
  <c r="O315" i="203"/>
  <c r="P315" i="203"/>
  <c r="Q315" i="203"/>
  <c r="R315" i="203"/>
  <c r="S315" i="203"/>
  <c r="T315" i="203"/>
  <c r="G316" i="203"/>
  <c r="J316" i="203"/>
  <c r="K316" i="203"/>
  <c r="L316" i="203"/>
  <c r="M316" i="203"/>
  <c r="N316" i="203"/>
  <c r="E319" i="203"/>
  <c r="F319" i="203"/>
  <c r="H319" i="203"/>
  <c r="O319" i="203"/>
  <c r="P319" i="203"/>
  <c r="Q319" i="203"/>
  <c r="R319" i="203"/>
  <c r="S319" i="203"/>
  <c r="T319" i="203"/>
  <c r="G320" i="203"/>
  <c r="J320" i="203"/>
  <c r="L320" i="203" s="1"/>
  <c r="K320" i="203"/>
  <c r="M320" i="203"/>
  <c r="E323" i="203"/>
  <c r="F323" i="203"/>
  <c r="H323" i="203"/>
  <c r="O323" i="203"/>
  <c r="P323" i="203"/>
  <c r="Q323" i="203"/>
  <c r="R323" i="203"/>
  <c r="S323" i="203"/>
  <c r="T323" i="203"/>
  <c r="G324" i="203"/>
  <c r="J324" i="203"/>
  <c r="L324" i="203" s="1"/>
  <c r="K324" i="203"/>
  <c r="M324" i="203"/>
  <c r="N324" i="203"/>
  <c r="E327" i="203"/>
  <c r="F327" i="203"/>
  <c r="H327" i="203"/>
  <c r="O327" i="203"/>
  <c r="P327" i="203"/>
  <c r="Q327" i="203"/>
  <c r="R327" i="203"/>
  <c r="S327" i="203"/>
  <c r="T327" i="203"/>
  <c r="G328" i="203"/>
  <c r="J328" i="203"/>
  <c r="N328" i="203" s="1"/>
  <c r="K328" i="203"/>
  <c r="L328" i="203" s="1"/>
  <c r="M328" i="203"/>
  <c r="E331" i="203"/>
  <c r="F331" i="203"/>
  <c r="H331" i="203"/>
  <c r="O331" i="203"/>
  <c r="P331" i="203"/>
  <c r="Q331" i="203"/>
  <c r="R331" i="203"/>
  <c r="S331" i="203"/>
  <c r="T331" i="203"/>
  <c r="G332" i="203"/>
  <c r="J332" i="203"/>
  <c r="K332" i="203"/>
  <c r="M332" i="203"/>
  <c r="E335" i="203"/>
  <c r="F335" i="203"/>
  <c r="H335" i="203"/>
  <c r="O335" i="203"/>
  <c r="P335" i="203"/>
  <c r="Q335" i="203"/>
  <c r="R335" i="203"/>
  <c r="S335" i="203"/>
  <c r="T335" i="203"/>
  <c r="G336" i="203"/>
  <c r="J336" i="203"/>
  <c r="K336" i="203"/>
  <c r="L336" i="203" s="1"/>
  <c r="M336" i="203"/>
  <c r="N336" i="203"/>
  <c r="E339" i="203"/>
  <c r="F339" i="203"/>
  <c r="H339" i="203"/>
  <c r="O339" i="203"/>
  <c r="P339" i="203"/>
  <c r="Q339" i="203"/>
  <c r="R339" i="203"/>
  <c r="S339" i="203"/>
  <c r="T339" i="203"/>
  <c r="G340" i="203"/>
  <c r="J340" i="203"/>
  <c r="N340" i="203" s="1"/>
  <c r="K340" i="203"/>
  <c r="M340" i="203"/>
  <c r="L5" i="199"/>
  <c r="E6" i="199"/>
  <c r="L6" i="199"/>
  <c r="L7" i="199"/>
  <c r="E12" i="199"/>
  <c r="F12" i="199"/>
  <c r="H12" i="199"/>
  <c r="O12" i="199"/>
  <c r="P12" i="199"/>
  <c r="Q12" i="199"/>
  <c r="R12" i="199"/>
  <c r="S12" i="199"/>
  <c r="T12" i="199"/>
  <c r="G13" i="199"/>
  <c r="J13" i="199"/>
  <c r="N13" i="199" s="1"/>
  <c r="K13" i="199"/>
  <c r="L13" i="199"/>
  <c r="M13" i="199"/>
  <c r="G14" i="199"/>
  <c r="J14" i="199"/>
  <c r="K14" i="199"/>
  <c r="L14" i="199" s="1"/>
  <c r="M14" i="199"/>
  <c r="N14" i="199"/>
  <c r="E17" i="199"/>
  <c r="F17" i="199"/>
  <c r="H17" i="199"/>
  <c r="O17" i="199"/>
  <c r="P17" i="199"/>
  <c r="Q17" i="199"/>
  <c r="R17" i="199"/>
  <c r="S17" i="199"/>
  <c r="T17" i="199"/>
  <c r="G18" i="199"/>
  <c r="J18" i="199"/>
  <c r="N18" i="199" s="1"/>
  <c r="K18" i="199"/>
  <c r="L18" i="199"/>
  <c r="M18" i="199"/>
  <c r="G19" i="199"/>
  <c r="J19" i="199"/>
  <c r="K19" i="199"/>
  <c r="L19" i="199"/>
  <c r="M19" i="199"/>
  <c r="N19" i="199"/>
  <c r="G20" i="199"/>
  <c r="J20" i="199"/>
  <c r="L20" i="199" s="1"/>
  <c r="K20" i="199"/>
  <c r="M20" i="199"/>
  <c r="N20" i="199"/>
  <c r="E23" i="199"/>
  <c r="F23" i="199"/>
  <c r="H23" i="199"/>
  <c r="O23" i="199"/>
  <c r="P23" i="199"/>
  <c r="Q23" i="199"/>
  <c r="R23" i="199"/>
  <c r="S23" i="199"/>
  <c r="T23" i="199"/>
  <c r="G24" i="199"/>
  <c r="J24" i="199"/>
  <c r="N24" i="199" s="1"/>
  <c r="K24" i="199"/>
  <c r="L24" i="199"/>
  <c r="M24" i="199"/>
  <c r="G25" i="199"/>
  <c r="J25" i="199"/>
  <c r="K25" i="199"/>
  <c r="L25" i="199" s="1"/>
  <c r="M25" i="199"/>
  <c r="N25" i="199"/>
  <c r="G26" i="199"/>
  <c r="J26" i="199"/>
  <c r="L26" i="199" s="1"/>
  <c r="K26" i="199"/>
  <c r="M26" i="199"/>
  <c r="N26" i="199"/>
  <c r="E29" i="199"/>
  <c r="F29" i="199"/>
  <c r="H29" i="199"/>
  <c r="O29" i="199"/>
  <c r="P29" i="199"/>
  <c r="Q29" i="199"/>
  <c r="R29" i="199"/>
  <c r="S29" i="199"/>
  <c r="T29" i="199"/>
  <c r="G30" i="199"/>
  <c r="J30" i="199"/>
  <c r="K30" i="199"/>
  <c r="L30" i="199"/>
  <c r="M30" i="199"/>
  <c r="N30" i="199"/>
  <c r="G31" i="199"/>
  <c r="J31" i="199"/>
  <c r="L31" i="199" s="1"/>
  <c r="K31" i="199"/>
  <c r="M31" i="199"/>
  <c r="N31" i="199"/>
  <c r="G32" i="199"/>
  <c r="J32" i="199"/>
  <c r="K32" i="199"/>
  <c r="M32" i="199"/>
  <c r="G33" i="199"/>
  <c r="J33" i="199"/>
  <c r="N33" i="199" s="1"/>
  <c r="K33" i="199"/>
  <c r="L33" i="199"/>
  <c r="M33" i="199"/>
  <c r="G34" i="199"/>
  <c r="J34" i="199"/>
  <c r="K34" i="199"/>
  <c r="L34" i="199"/>
  <c r="M34" i="199"/>
  <c r="N34" i="199"/>
  <c r="E37" i="199"/>
  <c r="F37" i="199"/>
  <c r="H37" i="199"/>
  <c r="O37" i="199"/>
  <c r="P37" i="199"/>
  <c r="Q37" i="199"/>
  <c r="R37" i="199"/>
  <c r="S37" i="199"/>
  <c r="T37" i="199"/>
  <c r="G38" i="199"/>
  <c r="J38" i="199"/>
  <c r="L38" i="199" s="1"/>
  <c r="K38" i="199"/>
  <c r="M38" i="199"/>
  <c r="G39" i="199"/>
  <c r="J39" i="199"/>
  <c r="N39" i="199" s="1"/>
  <c r="K39" i="199"/>
  <c r="L39" i="199" s="1"/>
  <c r="M39" i="199"/>
  <c r="G40" i="199"/>
  <c r="J40" i="199"/>
  <c r="K40" i="199"/>
  <c r="L40" i="199" s="1"/>
  <c r="M40" i="199"/>
  <c r="N40" i="199"/>
  <c r="G41" i="199"/>
  <c r="J41" i="199"/>
  <c r="K41" i="199"/>
  <c r="M41" i="199"/>
  <c r="N41" i="199"/>
  <c r="E44" i="199"/>
  <c r="F44" i="199"/>
  <c r="H44" i="199"/>
  <c r="O44" i="199"/>
  <c r="P44" i="199"/>
  <c r="Q44" i="199"/>
  <c r="R44" i="199"/>
  <c r="S44" i="199"/>
  <c r="T44" i="199"/>
  <c r="G45" i="199"/>
  <c r="J45" i="199"/>
  <c r="K45" i="199"/>
  <c r="L45" i="199"/>
  <c r="M45" i="199"/>
  <c r="N45" i="199"/>
  <c r="G46" i="199"/>
  <c r="J46" i="199"/>
  <c r="L46" i="199" s="1"/>
  <c r="K46" i="199"/>
  <c r="M46" i="199"/>
  <c r="N46" i="199"/>
  <c r="G47" i="199"/>
  <c r="J47" i="199"/>
  <c r="K47" i="199"/>
  <c r="M47" i="199"/>
  <c r="G48" i="199"/>
  <c r="J48" i="199"/>
  <c r="N48" i="199" s="1"/>
  <c r="K48" i="199"/>
  <c r="L48" i="199"/>
  <c r="M48" i="199"/>
  <c r="E51" i="199"/>
  <c r="F51" i="199"/>
  <c r="H51" i="199"/>
  <c r="O51" i="199"/>
  <c r="P51" i="199"/>
  <c r="Q51" i="199"/>
  <c r="R51" i="199"/>
  <c r="S51" i="199"/>
  <c r="T51" i="199"/>
  <c r="G52" i="199"/>
  <c r="J52" i="199"/>
  <c r="L52" i="199" s="1"/>
  <c r="K52" i="199"/>
  <c r="M52" i="199"/>
  <c r="N52" i="199"/>
  <c r="G53" i="199"/>
  <c r="J53" i="199"/>
  <c r="L53" i="199" s="1"/>
  <c r="K53" i="199"/>
  <c r="M53" i="199"/>
  <c r="E56" i="199"/>
  <c r="F56" i="199"/>
  <c r="H56" i="199"/>
  <c r="O56" i="199"/>
  <c r="P56" i="199"/>
  <c r="Q56" i="199"/>
  <c r="R56" i="199"/>
  <c r="S56" i="199"/>
  <c r="T56" i="199"/>
  <c r="G57" i="199"/>
  <c r="J57" i="199"/>
  <c r="L57" i="199" s="1"/>
  <c r="K57" i="199"/>
  <c r="M57" i="199"/>
  <c r="N57" i="199"/>
  <c r="G58" i="199"/>
  <c r="J58" i="199"/>
  <c r="K58" i="199"/>
  <c r="M58" i="199"/>
  <c r="E61" i="199"/>
  <c r="F61" i="199"/>
  <c r="H61" i="199"/>
  <c r="O61" i="199"/>
  <c r="P61" i="199"/>
  <c r="Q61" i="199"/>
  <c r="R61" i="199"/>
  <c r="S61" i="199"/>
  <c r="T61" i="199"/>
  <c r="G62" i="199"/>
  <c r="J62" i="199"/>
  <c r="K62" i="199"/>
  <c r="L62" i="199"/>
  <c r="M62" i="199"/>
  <c r="N62" i="199"/>
  <c r="G63" i="199"/>
  <c r="J63" i="199"/>
  <c r="K63" i="199"/>
  <c r="M63" i="199"/>
  <c r="N63" i="199"/>
  <c r="E66" i="199"/>
  <c r="F66" i="199"/>
  <c r="H66" i="199"/>
  <c r="O66" i="199"/>
  <c r="P66" i="199"/>
  <c r="Q66" i="199"/>
  <c r="R66" i="199"/>
  <c r="S66" i="199"/>
  <c r="T66" i="199"/>
  <c r="G67" i="199"/>
  <c r="J67" i="199"/>
  <c r="K67" i="199"/>
  <c r="L67" i="199"/>
  <c r="M67" i="199"/>
  <c r="N67" i="199"/>
  <c r="G68" i="199"/>
  <c r="J68" i="199"/>
  <c r="L68" i="199" s="1"/>
  <c r="K68" i="199"/>
  <c r="M68" i="199"/>
  <c r="N68" i="199"/>
  <c r="G69" i="199"/>
  <c r="J69" i="199"/>
  <c r="K69" i="199"/>
  <c r="M69" i="199"/>
  <c r="G70" i="199"/>
  <c r="J70" i="199"/>
  <c r="K70" i="199"/>
  <c r="M70" i="199"/>
  <c r="E73" i="199"/>
  <c r="F73" i="199"/>
  <c r="H73" i="199"/>
  <c r="O73" i="199"/>
  <c r="P73" i="199"/>
  <c r="Q73" i="199"/>
  <c r="R73" i="199"/>
  <c r="S73" i="199"/>
  <c r="T73" i="199"/>
  <c r="G74" i="199"/>
  <c r="J74" i="199"/>
  <c r="K74" i="199"/>
  <c r="M74" i="199"/>
  <c r="N74" i="199"/>
  <c r="E77" i="199"/>
  <c r="F77" i="199"/>
  <c r="H77" i="199"/>
  <c r="O77" i="199"/>
  <c r="P77" i="199"/>
  <c r="Q77" i="199"/>
  <c r="R77" i="199"/>
  <c r="S77" i="199"/>
  <c r="T77" i="199"/>
  <c r="G78" i="199"/>
  <c r="J78" i="199"/>
  <c r="K78" i="199"/>
  <c r="L78" i="199"/>
  <c r="M78" i="199"/>
  <c r="N78" i="199"/>
  <c r="E81" i="199"/>
  <c r="F81" i="199"/>
  <c r="H81" i="199"/>
  <c r="O81" i="199"/>
  <c r="P81" i="199"/>
  <c r="Q81" i="199"/>
  <c r="R81" i="199"/>
  <c r="S81" i="199"/>
  <c r="T81" i="199"/>
  <c r="G82" i="199"/>
  <c r="J82" i="199"/>
  <c r="L82" i="199" s="1"/>
  <c r="K82" i="199"/>
  <c r="M82" i="199"/>
  <c r="G83" i="199"/>
  <c r="J83" i="199"/>
  <c r="N83" i="199" s="1"/>
  <c r="K83" i="199"/>
  <c r="L83" i="199"/>
  <c r="M83" i="199"/>
  <c r="G84" i="199"/>
  <c r="J84" i="199"/>
  <c r="K84" i="199"/>
  <c r="L84" i="199" s="1"/>
  <c r="M84" i="199"/>
  <c r="N84" i="199"/>
  <c r="E87" i="199"/>
  <c r="F87" i="199"/>
  <c r="H87" i="199"/>
  <c r="O87" i="199"/>
  <c r="P87" i="199"/>
  <c r="Q87" i="199"/>
  <c r="R87" i="199"/>
  <c r="S87" i="199"/>
  <c r="T87" i="199"/>
  <c r="G88" i="199"/>
  <c r="J88" i="199"/>
  <c r="N88" i="199" s="1"/>
  <c r="K88" i="199"/>
  <c r="M88" i="199"/>
  <c r="G89" i="199"/>
  <c r="J89" i="199"/>
  <c r="K89" i="199"/>
  <c r="L89" i="199"/>
  <c r="M89" i="199"/>
  <c r="N89" i="199"/>
  <c r="G90" i="199"/>
  <c r="J90" i="199"/>
  <c r="L90" i="199" s="1"/>
  <c r="K90" i="199"/>
  <c r="M90" i="199"/>
  <c r="N90" i="199"/>
  <c r="G91" i="199"/>
  <c r="J91" i="199"/>
  <c r="K91" i="199"/>
  <c r="M91" i="199"/>
  <c r="G92" i="199"/>
  <c r="J92" i="199"/>
  <c r="N92" i="199" s="1"/>
  <c r="K92" i="199"/>
  <c r="L92" i="199"/>
  <c r="M92" i="199"/>
  <c r="E95" i="199"/>
  <c r="F95" i="199"/>
  <c r="H95" i="199"/>
  <c r="O95" i="199"/>
  <c r="P95" i="199"/>
  <c r="Q95" i="199"/>
  <c r="R95" i="199"/>
  <c r="S95" i="199"/>
  <c r="T95" i="199"/>
  <c r="G96" i="199"/>
  <c r="J96" i="199"/>
  <c r="L96" i="199" s="1"/>
  <c r="K96" i="199"/>
  <c r="M96" i="199"/>
  <c r="N96" i="199"/>
  <c r="G97" i="199"/>
  <c r="J97" i="199"/>
  <c r="L97" i="199" s="1"/>
  <c r="K97" i="199"/>
  <c r="M97" i="199"/>
  <c r="G98" i="199"/>
  <c r="J98" i="199"/>
  <c r="N98" i="199" s="1"/>
  <c r="K98" i="199"/>
  <c r="L98" i="199" s="1"/>
  <c r="M98" i="199"/>
  <c r="G99" i="199"/>
  <c r="J99" i="199"/>
  <c r="K99" i="199"/>
  <c r="L99" i="199" s="1"/>
  <c r="M99" i="199"/>
  <c r="N99" i="199"/>
  <c r="E102" i="199"/>
  <c r="F102" i="199"/>
  <c r="H102" i="199"/>
  <c r="O102" i="199"/>
  <c r="P102" i="199"/>
  <c r="Q102" i="199"/>
  <c r="R102" i="199"/>
  <c r="S102" i="199"/>
  <c r="T102" i="199"/>
  <c r="G103" i="199"/>
  <c r="J103" i="199"/>
  <c r="N103" i="199" s="1"/>
  <c r="K103" i="199"/>
  <c r="L103" i="199"/>
  <c r="M103" i="199"/>
  <c r="G104" i="199"/>
  <c r="J104" i="199"/>
  <c r="K104" i="199"/>
  <c r="L104" i="199"/>
  <c r="M104" i="199"/>
  <c r="N104" i="199"/>
  <c r="G105" i="199"/>
  <c r="J105" i="199"/>
  <c r="L105" i="199" s="1"/>
  <c r="K105" i="199"/>
  <c r="M105" i="199"/>
  <c r="N105" i="199"/>
  <c r="E108" i="199"/>
  <c r="F108" i="199"/>
  <c r="H108" i="199"/>
  <c r="O108" i="199"/>
  <c r="P108" i="199"/>
  <c r="Q108" i="199"/>
  <c r="R108" i="199"/>
  <c r="S108" i="199"/>
  <c r="T108" i="199"/>
  <c r="G109" i="199"/>
  <c r="J109" i="199"/>
  <c r="N109" i="199" s="1"/>
  <c r="K109" i="199"/>
  <c r="L109" i="199" s="1"/>
  <c r="M109" i="199"/>
  <c r="G110" i="199"/>
  <c r="J110" i="199"/>
  <c r="K110" i="199"/>
  <c r="L110" i="199"/>
  <c r="M110" i="199"/>
  <c r="N110" i="199"/>
  <c r="G111" i="199"/>
  <c r="J111" i="199"/>
  <c r="L111" i="199" s="1"/>
  <c r="K111" i="199"/>
  <c r="M111" i="199"/>
  <c r="N111" i="199"/>
  <c r="E114" i="199"/>
  <c r="F114" i="199"/>
  <c r="H114" i="199"/>
  <c r="O114" i="199"/>
  <c r="P114" i="199"/>
  <c r="Q114" i="199"/>
  <c r="R114" i="199"/>
  <c r="S114" i="199"/>
  <c r="T114" i="199"/>
  <c r="G115" i="199"/>
  <c r="J115" i="199"/>
  <c r="K115" i="199"/>
  <c r="L115" i="199"/>
  <c r="M115" i="199"/>
  <c r="N115" i="199"/>
  <c r="G116" i="199"/>
  <c r="J116" i="199"/>
  <c r="L116" i="199" s="1"/>
  <c r="K116" i="199"/>
  <c r="M116" i="199"/>
  <c r="N116" i="199"/>
  <c r="E119" i="199"/>
  <c r="F119" i="199"/>
  <c r="H119" i="199"/>
  <c r="O119" i="199"/>
  <c r="P119" i="199"/>
  <c r="Q119" i="199"/>
  <c r="R119" i="199"/>
  <c r="S119" i="199"/>
  <c r="T119" i="199"/>
  <c r="G120" i="199"/>
  <c r="J120" i="199"/>
  <c r="N120" i="199" s="1"/>
  <c r="K120" i="199"/>
  <c r="L120" i="199" s="1"/>
  <c r="M120" i="199"/>
  <c r="G121" i="199"/>
  <c r="J121" i="199"/>
  <c r="K121" i="199"/>
  <c r="L121" i="199" s="1"/>
  <c r="M121" i="199"/>
  <c r="N121" i="199"/>
  <c r="E124" i="199"/>
  <c r="F124" i="199"/>
  <c r="H124" i="199"/>
  <c r="O124" i="199"/>
  <c r="P124" i="199"/>
  <c r="Q124" i="199"/>
  <c r="R124" i="199"/>
  <c r="S124" i="199"/>
  <c r="T124" i="199"/>
  <c r="G125" i="199"/>
  <c r="J125" i="199"/>
  <c r="N125" i="199" s="1"/>
  <c r="K125" i="199"/>
  <c r="L125" i="199"/>
  <c r="M125" i="199"/>
  <c r="G126" i="199"/>
  <c r="J126" i="199"/>
  <c r="K126" i="199"/>
  <c r="L126" i="199"/>
  <c r="M126" i="199"/>
  <c r="N126" i="199"/>
  <c r="G127" i="199"/>
  <c r="J127" i="199"/>
  <c r="L127" i="199" s="1"/>
  <c r="K127" i="199"/>
  <c r="M127" i="199"/>
  <c r="N127" i="199"/>
  <c r="E130" i="199"/>
  <c r="F130" i="199"/>
  <c r="H130" i="199"/>
  <c r="O130" i="199"/>
  <c r="P130" i="199"/>
  <c r="Q130" i="199"/>
  <c r="R130" i="199"/>
  <c r="S130" i="199"/>
  <c r="T130" i="199"/>
  <c r="G131" i="199"/>
  <c r="J131" i="199"/>
  <c r="N131" i="199" s="1"/>
  <c r="K131" i="199"/>
  <c r="L131" i="199" s="1"/>
  <c r="M131" i="199"/>
  <c r="G132" i="199"/>
  <c r="J132" i="199"/>
  <c r="K132" i="199"/>
  <c r="L132" i="199"/>
  <c r="M132" i="199"/>
  <c r="N132" i="199"/>
  <c r="G133" i="199"/>
  <c r="J133" i="199"/>
  <c r="L133" i="199" s="1"/>
  <c r="K133" i="199"/>
  <c r="M133" i="199"/>
  <c r="N133" i="199"/>
  <c r="G134" i="199"/>
  <c r="J134" i="199"/>
  <c r="L134" i="199" s="1"/>
  <c r="K134" i="199"/>
  <c r="M134" i="199"/>
  <c r="E137" i="199"/>
  <c r="F137" i="199"/>
  <c r="H137" i="199"/>
  <c r="O137" i="199"/>
  <c r="P137" i="199"/>
  <c r="Q137" i="199"/>
  <c r="R137" i="199"/>
  <c r="S137" i="199"/>
  <c r="T137" i="199"/>
  <c r="G138" i="199"/>
  <c r="J138" i="199"/>
  <c r="L138" i="199" s="1"/>
  <c r="K138" i="199"/>
  <c r="M138" i="199"/>
  <c r="N138" i="199"/>
  <c r="G139" i="199"/>
  <c r="J139" i="199"/>
  <c r="K139" i="199"/>
  <c r="M139" i="199"/>
  <c r="G140" i="199"/>
  <c r="J140" i="199"/>
  <c r="N140" i="199" s="1"/>
  <c r="K140" i="199"/>
  <c r="M140" i="199"/>
  <c r="G141" i="199"/>
  <c r="J141" i="199"/>
  <c r="K141" i="199"/>
  <c r="L141" i="199"/>
  <c r="M141" i="199"/>
  <c r="N141" i="199"/>
  <c r="E144" i="199"/>
  <c r="F144" i="199"/>
  <c r="H144" i="199"/>
  <c r="O144" i="199"/>
  <c r="P144" i="199"/>
  <c r="Q144" i="199"/>
  <c r="R144" i="199"/>
  <c r="S144" i="199"/>
  <c r="T144" i="199"/>
  <c r="G145" i="199"/>
  <c r="J145" i="199"/>
  <c r="L145" i="199" s="1"/>
  <c r="K145" i="199"/>
  <c r="M145" i="199"/>
  <c r="G146" i="199"/>
  <c r="J146" i="199"/>
  <c r="N146" i="199" s="1"/>
  <c r="K146" i="199"/>
  <c r="L146" i="199" s="1"/>
  <c r="M146" i="199"/>
  <c r="E149" i="199"/>
  <c r="F149" i="199"/>
  <c r="H149" i="199"/>
  <c r="O149" i="199"/>
  <c r="P149" i="199"/>
  <c r="Q149" i="199"/>
  <c r="R149" i="199"/>
  <c r="S149" i="199"/>
  <c r="T149" i="199"/>
  <c r="G150" i="199"/>
  <c r="J150" i="199"/>
  <c r="K150" i="199"/>
  <c r="M150" i="199"/>
  <c r="G151" i="199"/>
  <c r="J151" i="199"/>
  <c r="N151" i="199" s="1"/>
  <c r="K151" i="199"/>
  <c r="L151" i="199"/>
  <c r="M151" i="199"/>
  <c r="G152" i="199"/>
  <c r="J152" i="199"/>
  <c r="K152" i="199"/>
  <c r="L152" i="199"/>
  <c r="M152" i="199"/>
  <c r="N152" i="199"/>
  <c r="E155" i="199"/>
  <c r="F155" i="199"/>
  <c r="H155" i="199"/>
  <c r="O155" i="199"/>
  <c r="P155" i="199"/>
  <c r="Q155" i="199"/>
  <c r="R155" i="199"/>
  <c r="S155" i="199"/>
  <c r="T155" i="199"/>
  <c r="G156" i="199"/>
  <c r="J156" i="199"/>
  <c r="L156" i="199" s="1"/>
  <c r="K156" i="199"/>
  <c r="M156" i="199"/>
  <c r="E159" i="199"/>
  <c r="F159" i="199"/>
  <c r="H159" i="199"/>
  <c r="O159" i="199"/>
  <c r="P159" i="199"/>
  <c r="Q159" i="199"/>
  <c r="R159" i="199"/>
  <c r="S159" i="199"/>
  <c r="T159" i="199"/>
  <c r="G160" i="199"/>
  <c r="J160" i="199"/>
  <c r="L160" i="199" s="1"/>
  <c r="K160" i="199"/>
  <c r="M160" i="199"/>
  <c r="N160" i="199"/>
  <c r="G161" i="199"/>
  <c r="J161" i="199"/>
  <c r="K161" i="199"/>
  <c r="M161" i="199"/>
  <c r="E164" i="199"/>
  <c r="F164" i="199"/>
  <c r="H164" i="199"/>
  <c r="O164" i="199"/>
  <c r="P164" i="199"/>
  <c r="Q164" i="199"/>
  <c r="R164" i="199"/>
  <c r="S164" i="199"/>
  <c r="T164" i="199"/>
  <c r="G165" i="199"/>
  <c r="J165" i="199"/>
  <c r="K165" i="199"/>
  <c r="L165" i="199"/>
  <c r="M165" i="199"/>
  <c r="N165" i="199"/>
  <c r="G166" i="199"/>
  <c r="J166" i="199"/>
  <c r="K166" i="199"/>
  <c r="M166" i="199"/>
  <c r="N166" i="199"/>
  <c r="G167" i="199"/>
  <c r="J167" i="199"/>
  <c r="L167" i="199" s="1"/>
  <c r="K167" i="199"/>
  <c r="M167" i="199"/>
  <c r="G168" i="199"/>
  <c r="J168" i="199"/>
  <c r="N168" i="199" s="1"/>
  <c r="K168" i="199"/>
  <c r="L168" i="199" s="1"/>
  <c r="M168" i="199"/>
  <c r="G169" i="199"/>
  <c r="J169" i="199"/>
  <c r="K169" i="199"/>
  <c r="L169" i="199" s="1"/>
  <c r="M169" i="199"/>
  <c r="N169" i="199"/>
  <c r="E172" i="199"/>
  <c r="F172" i="199"/>
  <c r="H172" i="199"/>
  <c r="O172" i="199"/>
  <c r="P172" i="199"/>
  <c r="Q172" i="199"/>
  <c r="R172" i="199"/>
  <c r="S172" i="199"/>
  <c r="T172" i="199"/>
  <c r="G173" i="199"/>
  <c r="J173" i="199"/>
  <c r="K173" i="199"/>
  <c r="M173" i="199"/>
  <c r="G174" i="199"/>
  <c r="J174" i="199"/>
  <c r="K174" i="199"/>
  <c r="L174" i="199"/>
  <c r="M174" i="199"/>
  <c r="N174" i="199"/>
  <c r="E177" i="199"/>
  <c r="F177" i="199"/>
  <c r="H177" i="199"/>
  <c r="O177" i="199"/>
  <c r="P177" i="199"/>
  <c r="Q177" i="199"/>
  <c r="R177" i="199"/>
  <c r="S177" i="199"/>
  <c r="T177" i="199"/>
  <c r="G178" i="199"/>
  <c r="J178" i="199"/>
  <c r="L178" i="199" s="1"/>
  <c r="K178" i="199"/>
  <c r="M178" i="199"/>
  <c r="E181" i="199"/>
  <c r="F181" i="199"/>
  <c r="H181" i="199"/>
  <c r="O181" i="199"/>
  <c r="P181" i="199"/>
  <c r="Q181" i="199"/>
  <c r="R181" i="199"/>
  <c r="S181" i="199"/>
  <c r="T181" i="199"/>
  <c r="G182" i="199"/>
  <c r="J182" i="199"/>
  <c r="L182" i="199" s="1"/>
  <c r="K182" i="199"/>
  <c r="M182" i="199"/>
  <c r="N182" i="199"/>
  <c r="G183" i="199"/>
  <c r="J183" i="199"/>
  <c r="K183" i="199"/>
  <c r="M183" i="199"/>
  <c r="G184" i="199"/>
  <c r="J184" i="199"/>
  <c r="N184" i="199" s="1"/>
  <c r="K184" i="199"/>
  <c r="L184" i="199"/>
  <c r="M184" i="199"/>
  <c r="G185" i="199"/>
  <c r="J185" i="199"/>
  <c r="K185" i="199"/>
  <c r="L185" i="199"/>
  <c r="M185" i="199"/>
  <c r="N185" i="199"/>
  <c r="G186" i="199"/>
  <c r="J186" i="199"/>
  <c r="L186" i="199" s="1"/>
  <c r="K186" i="199"/>
  <c r="M186" i="199"/>
  <c r="N186" i="199"/>
  <c r="G187" i="199"/>
  <c r="J187" i="199"/>
  <c r="K187" i="199"/>
  <c r="M187" i="199"/>
  <c r="E190" i="199"/>
  <c r="F190" i="199"/>
  <c r="H190" i="199"/>
  <c r="O190" i="199"/>
  <c r="P190" i="199"/>
  <c r="Q190" i="199"/>
  <c r="R190" i="199"/>
  <c r="S190" i="199"/>
  <c r="T190" i="199"/>
  <c r="G191" i="199"/>
  <c r="J191" i="199"/>
  <c r="K191" i="199"/>
  <c r="L191" i="199"/>
  <c r="M191" i="199"/>
  <c r="N191" i="199"/>
  <c r="G192" i="199"/>
  <c r="J192" i="199"/>
  <c r="K192" i="199"/>
  <c r="M192" i="199"/>
  <c r="N192" i="199"/>
  <c r="G193" i="199"/>
  <c r="J193" i="199"/>
  <c r="L193" i="199" s="1"/>
  <c r="K193" i="199"/>
  <c r="M193" i="199"/>
  <c r="G194" i="199"/>
  <c r="J194" i="199"/>
  <c r="N194" i="199" s="1"/>
  <c r="K194" i="199"/>
  <c r="L194" i="199" s="1"/>
  <c r="M194" i="199"/>
  <c r="E197" i="199"/>
  <c r="F197" i="199"/>
  <c r="H197" i="199"/>
  <c r="O197" i="199"/>
  <c r="P197" i="199"/>
  <c r="Q197" i="199"/>
  <c r="R197" i="199"/>
  <c r="S197" i="199"/>
  <c r="T197" i="199"/>
  <c r="G198" i="199"/>
  <c r="J198" i="199"/>
  <c r="K198" i="199"/>
  <c r="M198" i="199"/>
  <c r="G199" i="199"/>
  <c r="J199" i="199"/>
  <c r="N199" i="199" s="1"/>
  <c r="K199" i="199"/>
  <c r="L199" i="199"/>
  <c r="M199" i="199"/>
  <c r="G200" i="199"/>
  <c r="J200" i="199"/>
  <c r="K200" i="199"/>
  <c r="L200" i="199"/>
  <c r="M200" i="199"/>
  <c r="N200" i="199"/>
  <c r="G201" i="199"/>
  <c r="J201" i="199"/>
  <c r="L201" i="199" s="1"/>
  <c r="K201" i="199"/>
  <c r="M201" i="199"/>
  <c r="N201" i="199"/>
  <c r="E204" i="199"/>
  <c r="F204" i="199"/>
  <c r="H204" i="199"/>
  <c r="O204" i="199"/>
  <c r="P204" i="199"/>
  <c r="Q204" i="199"/>
  <c r="R204" i="199"/>
  <c r="S204" i="199"/>
  <c r="T204" i="199"/>
  <c r="G205" i="199"/>
  <c r="J205" i="199"/>
  <c r="N205" i="199" s="1"/>
  <c r="K205" i="199"/>
  <c r="L205" i="199"/>
  <c r="M205" i="199"/>
  <c r="G206" i="199"/>
  <c r="J206" i="199"/>
  <c r="K206" i="199"/>
  <c r="L206" i="199" s="1"/>
  <c r="M206" i="199"/>
  <c r="N206" i="199"/>
  <c r="G207" i="199"/>
  <c r="J207" i="199"/>
  <c r="K207" i="199"/>
  <c r="M207" i="199"/>
  <c r="N207" i="199"/>
  <c r="G208" i="199"/>
  <c r="J208" i="199"/>
  <c r="L208" i="199" s="1"/>
  <c r="K208" i="199"/>
  <c r="M208" i="199"/>
  <c r="G209" i="199"/>
  <c r="J209" i="199"/>
  <c r="N209" i="199" s="1"/>
  <c r="K209" i="199"/>
  <c r="L209" i="199" s="1"/>
  <c r="M209" i="199"/>
  <c r="G210" i="199"/>
  <c r="J210" i="199"/>
  <c r="K210" i="199"/>
  <c r="L210" i="199" s="1"/>
  <c r="M210" i="199"/>
  <c r="N210" i="199"/>
  <c r="E213" i="199"/>
  <c r="F213" i="199"/>
  <c r="H213" i="199"/>
  <c r="O213" i="199"/>
  <c r="P213" i="199"/>
  <c r="Q213" i="199"/>
  <c r="R213" i="199"/>
  <c r="S213" i="199"/>
  <c r="T213" i="199"/>
  <c r="G214" i="199"/>
  <c r="J214" i="199"/>
  <c r="N214" i="199" s="1"/>
  <c r="K214" i="199"/>
  <c r="L214" i="199"/>
  <c r="M214" i="199"/>
  <c r="G215" i="199"/>
  <c r="J215" i="199"/>
  <c r="K215" i="199"/>
  <c r="L215" i="199"/>
  <c r="M215" i="199"/>
  <c r="N215" i="199"/>
  <c r="G216" i="199"/>
  <c r="J216" i="199"/>
  <c r="L216" i="199" s="1"/>
  <c r="K216" i="199"/>
  <c r="M216" i="199"/>
  <c r="N216" i="199"/>
  <c r="E219" i="199"/>
  <c r="F219" i="199"/>
  <c r="H219" i="199"/>
  <c r="O219" i="199"/>
  <c r="P219" i="199"/>
  <c r="Q219" i="199"/>
  <c r="R219" i="199"/>
  <c r="S219" i="199"/>
  <c r="T219" i="199"/>
  <c r="G220" i="199"/>
  <c r="J220" i="199"/>
  <c r="N220" i="199" s="1"/>
  <c r="K220" i="199"/>
  <c r="L220" i="199"/>
  <c r="M220" i="199"/>
  <c r="G221" i="199"/>
  <c r="J221" i="199"/>
  <c r="K221" i="199"/>
  <c r="L221" i="199" s="1"/>
  <c r="M221" i="199"/>
  <c r="N221" i="199"/>
  <c r="G222" i="199"/>
  <c r="J222" i="199"/>
  <c r="K222" i="199"/>
  <c r="M222" i="199"/>
  <c r="N222" i="199"/>
  <c r="G223" i="199"/>
  <c r="J223" i="199"/>
  <c r="L223" i="199" s="1"/>
  <c r="K223" i="199"/>
  <c r="M223" i="199"/>
  <c r="G224" i="199"/>
  <c r="J224" i="199"/>
  <c r="N224" i="199" s="1"/>
  <c r="K224" i="199"/>
  <c r="L224" i="199" s="1"/>
  <c r="M224" i="199"/>
  <c r="E227" i="199"/>
  <c r="F227" i="199"/>
  <c r="H227" i="199"/>
  <c r="O227" i="199"/>
  <c r="P227" i="199"/>
  <c r="Q227" i="199"/>
  <c r="R227" i="199"/>
  <c r="S227" i="199"/>
  <c r="T227" i="199"/>
  <c r="G228" i="199"/>
  <c r="J228" i="199"/>
  <c r="N228" i="199" s="1"/>
  <c r="K228" i="199"/>
  <c r="L228" i="199"/>
  <c r="M228" i="199"/>
  <c r="G229" i="199"/>
  <c r="J229" i="199"/>
  <c r="L229" i="199" s="1"/>
  <c r="K229" i="199"/>
  <c r="M229" i="199"/>
  <c r="N229" i="199"/>
  <c r="G230" i="199"/>
  <c r="J230" i="199"/>
  <c r="K230" i="199"/>
  <c r="L230" i="199"/>
  <c r="M230" i="199"/>
  <c r="N230" i="199"/>
  <c r="G231" i="199"/>
  <c r="J231" i="199"/>
  <c r="K231" i="199"/>
  <c r="M231" i="199"/>
  <c r="G232" i="199"/>
  <c r="J232" i="199"/>
  <c r="K232" i="199"/>
  <c r="M232" i="199"/>
  <c r="E235" i="199"/>
  <c r="F235" i="199"/>
  <c r="H235" i="199"/>
  <c r="O235" i="199"/>
  <c r="P235" i="199"/>
  <c r="Q235" i="199"/>
  <c r="R235" i="199"/>
  <c r="S235" i="199"/>
  <c r="T235" i="199"/>
  <c r="G236" i="199"/>
  <c r="J236" i="199"/>
  <c r="K236" i="199"/>
  <c r="L236" i="199"/>
  <c r="M236" i="199"/>
  <c r="N236" i="199"/>
  <c r="G237" i="199"/>
  <c r="J237" i="199"/>
  <c r="K237" i="199"/>
  <c r="M237" i="199"/>
  <c r="N237" i="199"/>
  <c r="G238" i="199"/>
  <c r="J238" i="199"/>
  <c r="L238" i="199" s="1"/>
  <c r="K238" i="199"/>
  <c r="M238" i="199"/>
  <c r="G239" i="199"/>
  <c r="J239" i="199"/>
  <c r="N239" i="199" s="1"/>
  <c r="K239" i="199"/>
  <c r="L239" i="199" s="1"/>
  <c r="M239" i="199"/>
  <c r="G240" i="199"/>
  <c r="J240" i="199"/>
  <c r="K240" i="199"/>
  <c r="L240" i="199" s="1"/>
  <c r="M240" i="199"/>
  <c r="N240" i="199"/>
  <c r="E243" i="199"/>
  <c r="F243" i="199"/>
  <c r="H243" i="199"/>
  <c r="O243" i="199"/>
  <c r="P243" i="199"/>
  <c r="Q243" i="199"/>
  <c r="R243" i="199"/>
  <c r="S243" i="199"/>
  <c r="T243" i="199"/>
  <c r="G244" i="199"/>
  <c r="J244" i="199"/>
  <c r="L244" i="199" s="1"/>
  <c r="K244" i="199"/>
  <c r="M244" i="199"/>
  <c r="N244" i="199"/>
  <c r="G245" i="199"/>
  <c r="J245" i="199"/>
  <c r="K245" i="199"/>
  <c r="L245" i="199"/>
  <c r="M245" i="199"/>
  <c r="N245" i="199"/>
  <c r="G246" i="199"/>
  <c r="J246" i="199"/>
  <c r="K246" i="199"/>
  <c r="M246" i="199"/>
  <c r="G247" i="199"/>
  <c r="J247" i="199"/>
  <c r="N247" i="199" s="1"/>
  <c r="K247" i="199"/>
  <c r="L247" i="199"/>
  <c r="M247" i="199"/>
  <c r="G248" i="199"/>
  <c r="J248" i="199"/>
  <c r="K248" i="199"/>
  <c r="M248" i="199"/>
  <c r="G249" i="199"/>
  <c r="J249" i="199"/>
  <c r="K249" i="199"/>
  <c r="L249" i="199"/>
  <c r="M249" i="199"/>
  <c r="N249" i="199"/>
  <c r="E252" i="199"/>
  <c r="F252" i="199"/>
  <c r="H252" i="199"/>
  <c r="O252" i="199"/>
  <c r="P252" i="199"/>
  <c r="Q252" i="199"/>
  <c r="R252" i="199"/>
  <c r="S252" i="199"/>
  <c r="T252" i="199"/>
  <c r="G253" i="199"/>
  <c r="J253" i="199"/>
  <c r="L253" i="199" s="1"/>
  <c r="K253" i="199"/>
  <c r="M253" i="199"/>
  <c r="G254" i="199"/>
  <c r="J254" i="199"/>
  <c r="N254" i="199" s="1"/>
  <c r="K254" i="199"/>
  <c r="L254" i="199" s="1"/>
  <c r="M254" i="199"/>
  <c r="G255" i="199"/>
  <c r="J255" i="199"/>
  <c r="K255" i="199"/>
  <c r="L255" i="199" s="1"/>
  <c r="M255" i="199"/>
  <c r="N255" i="199"/>
  <c r="G256" i="199"/>
  <c r="J256" i="199"/>
  <c r="L256" i="199" s="1"/>
  <c r="K256" i="199"/>
  <c r="M256" i="199"/>
  <c r="N256" i="199"/>
  <c r="E259" i="199"/>
  <c r="F259" i="199"/>
  <c r="H259" i="199"/>
  <c r="O259" i="199"/>
  <c r="P259" i="199"/>
  <c r="Q259" i="199"/>
  <c r="R259" i="199"/>
  <c r="S259" i="199"/>
  <c r="T259" i="199"/>
  <c r="G260" i="199"/>
  <c r="J260" i="199"/>
  <c r="K260" i="199"/>
  <c r="L260" i="199"/>
  <c r="M260" i="199"/>
  <c r="N260" i="199"/>
  <c r="G261" i="199"/>
  <c r="J261" i="199"/>
  <c r="K261" i="199"/>
  <c r="M261" i="199"/>
  <c r="G262" i="199"/>
  <c r="J262" i="199"/>
  <c r="K262" i="199"/>
  <c r="M262" i="199"/>
  <c r="E265" i="199"/>
  <c r="F265" i="199"/>
  <c r="H265" i="199"/>
  <c r="O265" i="199"/>
  <c r="P265" i="199"/>
  <c r="Q265" i="199"/>
  <c r="R265" i="199"/>
  <c r="S265" i="199"/>
  <c r="T265" i="199"/>
  <c r="G266" i="199"/>
  <c r="J266" i="199"/>
  <c r="K266" i="199"/>
  <c r="L266" i="199"/>
  <c r="M266" i="199"/>
  <c r="N266" i="199"/>
  <c r="G267" i="199"/>
  <c r="J267" i="199"/>
  <c r="K267" i="199"/>
  <c r="M267" i="199"/>
  <c r="N267" i="199"/>
  <c r="G268" i="199"/>
  <c r="J268" i="199"/>
  <c r="L268" i="199" s="1"/>
  <c r="K268" i="199"/>
  <c r="M268" i="199"/>
  <c r="E271" i="199"/>
  <c r="F271" i="199"/>
  <c r="H271" i="199"/>
  <c r="O271" i="199"/>
  <c r="P271" i="199"/>
  <c r="Q271" i="199"/>
  <c r="R271" i="199"/>
  <c r="S271" i="199"/>
  <c r="T271" i="199"/>
  <c r="G272" i="199"/>
  <c r="J272" i="199"/>
  <c r="L272" i="199" s="1"/>
  <c r="K272" i="199"/>
  <c r="M272" i="199"/>
  <c r="N272" i="199"/>
  <c r="G273" i="199"/>
  <c r="J273" i="199"/>
  <c r="N273" i="199" s="1"/>
  <c r="K273" i="199"/>
  <c r="L273" i="199"/>
  <c r="M273" i="199"/>
  <c r="G274" i="199"/>
  <c r="J274" i="199"/>
  <c r="K274" i="199"/>
  <c r="M274" i="199"/>
  <c r="G275" i="199"/>
  <c r="J275" i="199"/>
  <c r="K275" i="199"/>
  <c r="L275" i="199"/>
  <c r="M275" i="199"/>
  <c r="N275" i="199"/>
  <c r="E278" i="199"/>
  <c r="F278" i="199"/>
  <c r="H278" i="199"/>
  <c r="O278" i="199"/>
  <c r="P278" i="199"/>
  <c r="Q278" i="199"/>
  <c r="R278" i="199"/>
  <c r="S278" i="199"/>
  <c r="T278" i="199"/>
  <c r="G279" i="199"/>
  <c r="J279" i="199"/>
  <c r="L279" i="199" s="1"/>
  <c r="K279" i="199"/>
  <c r="M279" i="199"/>
  <c r="G280" i="199"/>
  <c r="J280" i="199"/>
  <c r="N280" i="199" s="1"/>
  <c r="K280" i="199"/>
  <c r="L280" i="199" s="1"/>
  <c r="M280" i="199"/>
  <c r="G281" i="199"/>
  <c r="J281" i="199"/>
  <c r="K281" i="199"/>
  <c r="L281" i="199" s="1"/>
  <c r="M281" i="199"/>
  <c r="N281" i="199"/>
  <c r="E284" i="199"/>
  <c r="F284" i="199"/>
  <c r="H284" i="199"/>
  <c r="O284" i="199"/>
  <c r="P284" i="199"/>
  <c r="Q284" i="199"/>
  <c r="R284" i="199"/>
  <c r="S284" i="199"/>
  <c r="T284" i="199"/>
  <c r="G285" i="199"/>
  <c r="J285" i="199"/>
  <c r="N285" i="199" s="1"/>
  <c r="K285" i="199"/>
  <c r="L285" i="199"/>
  <c r="M285" i="199"/>
  <c r="E288" i="199"/>
  <c r="F288" i="199"/>
  <c r="H288" i="199"/>
  <c r="O288" i="199"/>
  <c r="P288" i="199"/>
  <c r="Q288" i="199"/>
  <c r="R288" i="199"/>
  <c r="S288" i="199"/>
  <c r="T288" i="199"/>
  <c r="G289" i="199"/>
  <c r="J289" i="199"/>
  <c r="L289" i="199" s="1"/>
  <c r="K289" i="199"/>
  <c r="M289" i="199"/>
  <c r="N289" i="199"/>
  <c r="G290" i="199"/>
  <c r="J290" i="199"/>
  <c r="L290" i="199" s="1"/>
  <c r="K290" i="199"/>
  <c r="M290" i="199"/>
  <c r="E293" i="199"/>
  <c r="F293" i="199"/>
  <c r="H293" i="199"/>
  <c r="O293" i="199"/>
  <c r="P293" i="199"/>
  <c r="Q293" i="199"/>
  <c r="R293" i="199"/>
  <c r="S293" i="199"/>
  <c r="T293" i="199"/>
  <c r="G294" i="199"/>
  <c r="J294" i="199"/>
  <c r="L294" i="199" s="1"/>
  <c r="K294" i="199"/>
  <c r="M294" i="199"/>
  <c r="E297" i="199"/>
  <c r="F297" i="199"/>
  <c r="H297" i="199"/>
  <c r="O297" i="199"/>
  <c r="P297" i="199"/>
  <c r="Q297" i="199"/>
  <c r="R297" i="199"/>
  <c r="S297" i="199"/>
  <c r="T297" i="199"/>
  <c r="G298" i="199"/>
  <c r="J298" i="199"/>
  <c r="N298" i="199" s="1"/>
  <c r="K298" i="199"/>
  <c r="L298" i="199" s="1"/>
  <c r="M298" i="199"/>
  <c r="G299" i="199"/>
  <c r="J299" i="199"/>
  <c r="K299" i="199"/>
  <c r="L299" i="199" s="1"/>
  <c r="M299" i="199"/>
  <c r="N299" i="199"/>
  <c r="G300" i="199"/>
  <c r="J300" i="199"/>
  <c r="K300" i="199"/>
  <c r="M300" i="199"/>
  <c r="N300" i="199"/>
  <c r="E303" i="199"/>
  <c r="F303" i="199"/>
  <c r="H303" i="199"/>
  <c r="O303" i="199"/>
  <c r="P303" i="199"/>
  <c r="Q303" i="199"/>
  <c r="R303" i="199"/>
  <c r="S303" i="199"/>
  <c r="T303" i="199"/>
  <c r="G304" i="199"/>
  <c r="J304" i="199"/>
  <c r="K304" i="199"/>
  <c r="L304" i="199"/>
  <c r="M304" i="199"/>
  <c r="N304" i="199"/>
  <c r="G305" i="199"/>
  <c r="J305" i="199"/>
  <c r="L305" i="199" s="1"/>
  <c r="K305" i="199"/>
  <c r="M305" i="199"/>
  <c r="N305" i="199"/>
  <c r="G306" i="199"/>
  <c r="J306" i="199"/>
  <c r="K306" i="199"/>
  <c r="M306" i="199"/>
  <c r="G307" i="199"/>
  <c r="J307" i="199"/>
  <c r="K307" i="199"/>
  <c r="L307" i="199"/>
  <c r="M307" i="199"/>
  <c r="N307" i="199"/>
  <c r="E310" i="199"/>
  <c r="F310" i="199"/>
  <c r="H310" i="199"/>
  <c r="O310" i="199"/>
  <c r="P310" i="199"/>
  <c r="Q310" i="199"/>
  <c r="R310" i="199"/>
  <c r="S310" i="199"/>
  <c r="T310" i="199"/>
  <c r="G311" i="199"/>
  <c r="J311" i="199"/>
  <c r="L311" i="199" s="1"/>
  <c r="K311" i="199"/>
  <c r="M311" i="199"/>
  <c r="N311" i="199"/>
  <c r="G312" i="199"/>
  <c r="J312" i="199"/>
  <c r="L312" i="199" s="1"/>
  <c r="K312" i="199"/>
  <c r="M312" i="199"/>
  <c r="G313" i="199"/>
  <c r="J313" i="199"/>
  <c r="N313" i="199" s="1"/>
  <c r="K313" i="199"/>
  <c r="L313" i="199" s="1"/>
  <c r="M313" i="199"/>
  <c r="G314" i="199"/>
  <c r="J314" i="199"/>
  <c r="K314" i="199"/>
  <c r="L314" i="199" s="1"/>
  <c r="M314" i="199"/>
  <c r="N314" i="199"/>
  <c r="E317" i="199"/>
  <c r="F317" i="199"/>
  <c r="H317" i="199"/>
  <c r="O317" i="199"/>
  <c r="P317" i="199"/>
  <c r="Q317" i="199"/>
  <c r="R317" i="199"/>
  <c r="S317" i="199"/>
  <c r="T317" i="199"/>
  <c r="G318" i="199"/>
  <c r="J318" i="199"/>
  <c r="K318" i="199"/>
  <c r="L318" i="199"/>
  <c r="M318" i="199"/>
  <c r="N318" i="199"/>
  <c r="E321" i="199"/>
  <c r="F321" i="199"/>
  <c r="H321" i="199"/>
  <c r="O321" i="199"/>
  <c r="P321" i="199"/>
  <c r="Q321" i="199"/>
  <c r="R321" i="199"/>
  <c r="S321" i="199"/>
  <c r="T321" i="199"/>
  <c r="G322" i="199"/>
  <c r="J322" i="199"/>
  <c r="L322" i="199" s="1"/>
  <c r="K322" i="199"/>
  <c r="M322" i="199"/>
  <c r="N322" i="199"/>
  <c r="E325" i="199"/>
  <c r="F325" i="199"/>
  <c r="H325" i="199"/>
  <c r="O325" i="199"/>
  <c r="P325" i="199"/>
  <c r="Q325" i="199"/>
  <c r="R325" i="199"/>
  <c r="S325" i="199"/>
  <c r="T325" i="199"/>
  <c r="G326" i="199"/>
  <c r="J326" i="199"/>
  <c r="K326" i="199"/>
  <c r="L326" i="199"/>
  <c r="M326" i="199"/>
  <c r="N326" i="199"/>
  <c r="G327" i="199"/>
  <c r="J327" i="199"/>
  <c r="L327" i="199" s="1"/>
  <c r="K327" i="199"/>
  <c r="M327" i="199"/>
  <c r="N327" i="199"/>
  <c r="G328" i="199"/>
  <c r="J328" i="199"/>
  <c r="N328" i="199" s="1"/>
  <c r="K328" i="199"/>
  <c r="L328" i="199"/>
  <c r="M328" i="199"/>
  <c r="G329" i="199"/>
  <c r="J329" i="199"/>
  <c r="L329" i="199" s="1"/>
  <c r="K329" i="199"/>
  <c r="M329" i="199"/>
  <c r="E332" i="199"/>
  <c r="F332" i="199"/>
  <c r="H332" i="199"/>
  <c r="O332" i="199"/>
  <c r="P332" i="199"/>
  <c r="Q332" i="199"/>
  <c r="R332" i="199"/>
  <c r="S332" i="199"/>
  <c r="T332" i="199"/>
  <c r="G333" i="199"/>
  <c r="J333" i="199"/>
  <c r="L333" i="199" s="1"/>
  <c r="K333" i="199"/>
  <c r="M333" i="199"/>
  <c r="N333" i="199"/>
  <c r="E336" i="199"/>
  <c r="F336" i="199"/>
  <c r="H336" i="199"/>
  <c r="O336" i="199"/>
  <c r="P336" i="199"/>
  <c r="Q336" i="199"/>
  <c r="R336" i="199"/>
  <c r="S336" i="199"/>
  <c r="T336" i="199"/>
  <c r="G337" i="199"/>
  <c r="J337" i="199"/>
  <c r="K337" i="199"/>
  <c r="L337" i="199"/>
  <c r="M337" i="199"/>
  <c r="N337" i="199"/>
  <c r="G338" i="199"/>
  <c r="J338" i="199"/>
  <c r="K338" i="199"/>
  <c r="M338" i="199"/>
  <c r="E341" i="199"/>
  <c r="F341" i="199"/>
  <c r="H341" i="199"/>
  <c r="O341" i="199"/>
  <c r="P341" i="199"/>
  <c r="Q341" i="199"/>
  <c r="R341" i="199"/>
  <c r="S341" i="199"/>
  <c r="T341" i="199"/>
  <c r="G342" i="199"/>
  <c r="J342" i="199"/>
  <c r="N342" i="199" s="1"/>
  <c r="K342" i="199"/>
  <c r="L342" i="199" s="1"/>
  <c r="M342" i="199"/>
  <c r="G343" i="199"/>
  <c r="J343" i="199"/>
  <c r="K343" i="199"/>
  <c r="L343" i="199" s="1"/>
  <c r="M343" i="199"/>
  <c r="N343" i="199"/>
  <c r="G344" i="199"/>
  <c r="J344" i="199"/>
  <c r="L344" i="199" s="1"/>
  <c r="K344" i="199"/>
  <c r="M344" i="199"/>
  <c r="N344" i="199"/>
  <c r="G345" i="199"/>
  <c r="J345" i="199"/>
  <c r="L345" i="199" s="1"/>
  <c r="K345" i="199"/>
  <c r="M345" i="199"/>
  <c r="E348" i="199"/>
  <c r="F348" i="199"/>
  <c r="H348" i="199"/>
  <c r="O348" i="199"/>
  <c r="P348" i="199"/>
  <c r="Q348" i="199"/>
  <c r="R348" i="199"/>
  <c r="S348" i="199"/>
  <c r="T348" i="199"/>
  <c r="G349" i="199"/>
  <c r="J349" i="199"/>
  <c r="L349" i="199" s="1"/>
  <c r="K349" i="199"/>
  <c r="M349" i="199"/>
  <c r="N349" i="199"/>
  <c r="G350" i="199"/>
  <c r="J350" i="199"/>
  <c r="N350" i="199" s="1"/>
  <c r="K350" i="199"/>
  <c r="L350" i="199"/>
  <c r="M350" i="199"/>
  <c r="G351" i="199"/>
  <c r="J351" i="199"/>
  <c r="K351" i="199"/>
  <c r="L351" i="199"/>
  <c r="M351" i="199"/>
  <c r="N351" i="199"/>
  <c r="E354" i="199"/>
  <c r="F354" i="199"/>
  <c r="H354" i="199"/>
  <c r="O354" i="199"/>
  <c r="P354" i="199"/>
  <c r="Q354" i="199"/>
  <c r="R354" i="199"/>
  <c r="S354" i="199"/>
  <c r="T354" i="199"/>
  <c r="G355" i="199"/>
  <c r="J355" i="199"/>
  <c r="L355" i="199" s="1"/>
  <c r="K355" i="199"/>
  <c r="M355" i="199"/>
  <c r="N355" i="199"/>
  <c r="G356" i="199"/>
  <c r="J356" i="199"/>
  <c r="L356" i="199" s="1"/>
  <c r="K356" i="199"/>
  <c r="M356" i="199"/>
  <c r="G357" i="199"/>
  <c r="J357" i="199"/>
  <c r="K357" i="199"/>
  <c r="M357" i="199"/>
  <c r="E360" i="199"/>
  <c r="F360" i="199"/>
  <c r="H360" i="199"/>
  <c r="O360" i="199"/>
  <c r="P360" i="199"/>
  <c r="Q360" i="199"/>
  <c r="R360" i="199"/>
  <c r="S360" i="199"/>
  <c r="T360" i="199"/>
  <c r="G361" i="199"/>
  <c r="J361" i="199"/>
  <c r="N361" i="199" s="1"/>
  <c r="K361" i="199"/>
  <c r="M361" i="199"/>
  <c r="E364" i="199"/>
  <c r="F364" i="199"/>
  <c r="H364" i="199"/>
  <c r="O364" i="199"/>
  <c r="P364" i="199"/>
  <c r="Q364" i="199"/>
  <c r="R364" i="199"/>
  <c r="S364" i="199"/>
  <c r="T364" i="199"/>
  <c r="G365" i="199"/>
  <c r="J365" i="199"/>
  <c r="K365" i="199"/>
  <c r="L365" i="199"/>
  <c r="M365" i="199"/>
  <c r="N365" i="199"/>
  <c r="G366" i="199"/>
  <c r="J366" i="199"/>
  <c r="L366" i="199" s="1"/>
  <c r="K366" i="199"/>
  <c r="M366" i="199"/>
  <c r="N366" i="199"/>
  <c r="E369" i="199"/>
  <c r="F369" i="199"/>
  <c r="H369" i="199"/>
  <c r="O369" i="199"/>
  <c r="P369" i="199"/>
  <c r="Q369" i="199"/>
  <c r="R369" i="199"/>
  <c r="S369" i="199"/>
  <c r="T369" i="199"/>
  <c r="G370" i="199"/>
  <c r="J370" i="199"/>
  <c r="K370" i="199"/>
  <c r="L370" i="199"/>
  <c r="M370" i="199"/>
  <c r="N370" i="199"/>
  <c r="G371" i="199"/>
  <c r="J371" i="199"/>
  <c r="K371" i="199"/>
  <c r="M371" i="199"/>
  <c r="G372" i="199"/>
  <c r="J372" i="199"/>
  <c r="K372" i="199"/>
  <c r="M372" i="199"/>
  <c r="G373" i="199"/>
  <c r="J373" i="199"/>
  <c r="N373" i="199" s="1"/>
  <c r="K373" i="199"/>
  <c r="L373" i="199"/>
  <c r="M373" i="199"/>
  <c r="E376" i="199"/>
  <c r="F376" i="199"/>
  <c r="H376" i="199"/>
  <c r="O376" i="199"/>
  <c r="P376" i="199"/>
  <c r="Q376" i="199"/>
  <c r="R376" i="199"/>
  <c r="S376" i="199"/>
  <c r="T376" i="199"/>
  <c r="G377" i="199"/>
  <c r="J377" i="199"/>
  <c r="L377" i="199" s="1"/>
  <c r="K377" i="199"/>
  <c r="M377" i="199"/>
  <c r="N377" i="199"/>
  <c r="G378" i="199"/>
  <c r="J378" i="199"/>
  <c r="L378" i="199" s="1"/>
  <c r="K378" i="199"/>
  <c r="M378" i="199"/>
  <c r="G379" i="199"/>
  <c r="J379" i="199"/>
  <c r="L379" i="199" s="1"/>
  <c r="K379" i="199"/>
  <c r="M379" i="199"/>
  <c r="G380" i="199"/>
  <c r="J380" i="199"/>
  <c r="K380" i="199"/>
  <c r="L380" i="199" s="1"/>
  <c r="M380" i="199"/>
  <c r="N380" i="199"/>
  <c r="E383" i="199"/>
  <c r="F383" i="199"/>
  <c r="H383" i="199"/>
  <c r="O383" i="199"/>
  <c r="P383" i="199"/>
  <c r="Q383" i="199"/>
  <c r="R383" i="199"/>
  <c r="S383" i="199"/>
  <c r="T383" i="199"/>
  <c r="G384" i="199"/>
  <c r="J384" i="199"/>
  <c r="L384" i="199" s="1"/>
  <c r="K384" i="199"/>
  <c r="M384" i="199"/>
  <c r="N384" i="199"/>
  <c r="G385" i="199"/>
  <c r="J385" i="199"/>
  <c r="K385" i="199"/>
  <c r="L385" i="199"/>
  <c r="M385" i="199"/>
  <c r="N385" i="199"/>
  <c r="G386" i="199"/>
  <c r="J386" i="199"/>
  <c r="K386" i="199"/>
  <c r="M386" i="199"/>
  <c r="G387" i="199"/>
  <c r="J387" i="199"/>
  <c r="N387" i="199" s="1"/>
  <c r="K387" i="199"/>
  <c r="L387" i="199"/>
  <c r="M387" i="199"/>
  <c r="G388" i="199"/>
  <c r="J388" i="199"/>
  <c r="N388" i="199" s="1"/>
  <c r="K388" i="199"/>
  <c r="L388" i="199"/>
  <c r="M388" i="199"/>
  <c r="G389" i="199"/>
  <c r="J389" i="199"/>
  <c r="K389" i="199"/>
  <c r="L389" i="199"/>
  <c r="M389" i="199"/>
  <c r="N389" i="199"/>
  <c r="G390" i="199"/>
  <c r="J390" i="199"/>
  <c r="K390" i="199"/>
  <c r="M390" i="199"/>
  <c r="N390" i="199"/>
  <c r="G391" i="199"/>
  <c r="J391" i="199"/>
  <c r="N391" i="199" s="1"/>
  <c r="K391" i="199"/>
  <c r="L391" i="199" s="1"/>
  <c r="M391" i="199"/>
  <c r="G392" i="199"/>
  <c r="J392" i="199"/>
  <c r="K392" i="199"/>
  <c r="M392" i="199"/>
  <c r="E395" i="199"/>
  <c r="F395" i="199"/>
  <c r="H395" i="199"/>
  <c r="O395" i="199"/>
  <c r="P395" i="199"/>
  <c r="Q395" i="199"/>
  <c r="R395" i="199"/>
  <c r="S395" i="199"/>
  <c r="T395" i="199"/>
  <c r="G396" i="199"/>
  <c r="J396" i="199"/>
  <c r="K396" i="199"/>
  <c r="L396" i="199"/>
  <c r="M396" i="199"/>
  <c r="N396" i="199"/>
  <c r="G397" i="199"/>
  <c r="J397" i="199"/>
  <c r="K397" i="199"/>
  <c r="M397" i="199"/>
  <c r="G398" i="199"/>
  <c r="J398" i="199"/>
  <c r="K398" i="199"/>
  <c r="M398" i="199"/>
  <c r="G399" i="199"/>
  <c r="J399" i="199"/>
  <c r="K399" i="199"/>
  <c r="L399" i="199" s="1"/>
  <c r="M399" i="199"/>
  <c r="N399" i="199"/>
  <c r="G400" i="199"/>
  <c r="J400" i="199"/>
  <c r="K400" i="199"/>
  <c r="L400" i="199" s="1"/>
  <c r="M400" i="199"/>
  <c r="N400" i="199"/>
  <c r="E403" i="199"/>
  <c r="F403" i="199"/>
  <c r="H403" i="199"/>
  <c r="O403" i="199"/>
  <c r="P403" i="199"/>
  <c r="Q403" i="199"/>
  <c r="R403" i="199"/>
  <c r="S403" i="199"/>
  <c r="T403" i="199"/>
  <c r="G404" i="199"/>
  <c r="J404" i="199"/>
  <c r="K404" i="199"/>
  <c r="L404" i="199"/>
  <c r="M404" i="199"/>
  <c r="N404" i="199"/>
  <c r="G405" i="199"/>
  <c r="J405" i="199"/>
  <c r="K405" i="199"/>
  <c r="M405" i="199"/>
  <c r="G406" i="199"/>
  <c r="J406" i="199"/>
  <c r="N406" i="199" s="1"/>
  <c r="K406" i="199"/>
  <c r="L406" i="199"/>
  <c r="M406" i="199"/>
  <c r="G407" i="199"/>
  <c r="J407" i="199"/>
  <c r="N407" i="199" s="1"/>
  <c r="K407" i="199"/>
  <c r="M407" i="199"/>
  <c r="E410" i="199"/>
  <c r="F410" i="199"/>
  <c r="H410" i="199"/>
  <c r="O410" i="199"/>
  <c r="P410" i="199"/>
  <c r="Q410" i="199"/>
  <c r="R410" i="199"/>
  <c r="S410" i="199"/>
  <c r="T410" i="199"/>
  <c r="G411" i="199"/>
  <c r="J411" i="199"/>
  <c r="K411" i="199"/>
  <c r="L411" i="199"/>
  <c r="M411" i="199"/>
  <c r="N411" i="199"/>
  <c r="G412" i="199"/>
  <c r="J412" i="199"/>
  <c r="K412" i="199"/>
  <c r="M412" i="199"/>
  <c r="G413" i="199"/>
  <c r="J413" i="199"/>
  <c r="N413" i="199" s="1"/>
  <c r="K413" i="199"/>
  <c r="L413" i="199" s="1"/>
  <c r="M413" i="199"/>
  <c r="G414" i="199"/>
  <c r="J414" i="199"/>
  <c r="L414" i="199" s="1"/>
  <c r="K414" i="199"/>
  <c r="M414" i="199"/>
  <c r="N414" i="199"/>
  <c r="G415" i="199"/>
  <c r="J415" i="199"/>
  <c r="K415" i="199"/>
  <c r="L415" i="199"/>
  <c r="M415" i="199"/>
  <c r="N415" i="199"/>
  <c r="G416" i="199"/>
  <c r="J416" i="199"/>
  <c r="L416" i="199" s="1"/>
  <c r="K416" i="199"/>
  <c r="M416" i="199"/>
  <c r="G417" i="199"/>
  <c r="J417" i="199"/>
  <c r="K417" i="199"/>
  <c r="M417" i="199"/>
  <c r="E420" i="199"/>
  <c r="F420" i="199"/>
  <c r="H420" i="199"/>
  <c r="O420" i="199"/>
  <c r="P420" i="199"/>
  <c r="Q420" i="199"/>
  <c r="R420" i="199"/>
  <c r="S420" i="199"/>
  <c r="T420" i="199"/>
  <c r="G421" i="199"/>
  <c r="J421" i="199"/>
  <c r="N421" i="199" s="1"/>
  <c r="K421" i="199"/>
  <c r="L421" i="199"/>
  <c r="M421" i="199"/>
  <c r="G422" i="199"/>
  <c r="J422" i="199"/>
  <c r="K422" i="199"/>
  <c r="M422" i="199"/>
  <c r="G423" i="199"/>
  <c r="J423" i="199"/>
  <c r="K423" i="199"/>
  <c r="L423" i="199"/>
  <c r="M423" i="199"/>
  <c r="N423" i="199"/>
  <c r="G424" i="199"/>
  <c r="J424" i="199"/>
  <c r="K424" i="199"/>
  <c r="M424" i="199"/>
  <c r="G425" i="199"/>
  <c r="J425" i="199"/>
  <c r="N425" i="199" s="1"/>
  <c r="K425" i="199"/>
  <c r="L425" i="199"/>
  <c r="M425" i="199"/>
  <c r="G426" i="199"/>
  <c r="J426" i="199"/>
  <c r="K426" i="199"/>
  <c r="L426" i="199" s="1"/>
  <c r="M426" i="199"/>
  <c r="N426" i="199"/>
  <c r="G427" i="199"/>
  <c r="J427" i="199"/>
  <c r="K427" i="199"/>
  <c r="M427" i="199"/>
  <c r="N427" i="199"/>
  <c r="G428" i="199"/>
  <c r="J428" i="199"/>
  <c r="N428" i="199" s="1"/>
  <c r="K428" i="199"/>
  <c r="M428" i="199"/>
  <c r="E431" i="199"/>
  <c r="F431" i="199"/>
  <c r="H431" i="199"/>
  <c r="O431" i="199"/>
  <c r="P431" i="199"/>
  <c r="Q431" i="199"/>
  <c r="R431" i="199"/>
  <c r="S431" i="199"/>
  <c r="T431" i="199"/>
  <c r="G432" i="199"/>
  <c r="J432" i="199"/>
  <c r="K432" i="199"/>
  <c r="L432" i="199"/>
  <c r="M432" i="199"/>
  <c r="N432" i="199"/>
  <c r="E435" i="199"/>
  <c r="F435" i="199"/>
  <c r="H435" i="199"/>
  <c r="O435" i="199"/>
  <c r="P435" i="199"/>
  <c r="Q435" i="199"/>
  <c r="R435" i="199"/>
  <c r="S435" i="199"/>
  <c r="T435" i="199"/>
  <c r="G436" i="199"/>
  <c r="J436" i="199"/>
  <c r="K436" i="199"/>
  <c r="M436" i="199"/>
  <c r="E439" i="199"/>
  <c r="F439" i="199"/>
  <c r="H439" i="199"/>
  <c r="O439" i="199"/>
  <c r="P439" i="199"/>
  <c r="Q439" i="199"/>
  <c r="R439" i="199"/>
  <c r="S439" i="199"/>
  <c r="T439" i="199"/>
  <c r="G440" i="199"/>
  <c r="J440" i="199"/>
  <c r="K440" i="199"/>
  <c r="M440" i="199"/>
  <c r="E443" i="199"/>
  <c r="F443" i="199"/>
  <c r="H443" i="199"/>
  <c r="O443" i="199"/>
  <c r="P443" i="199"/>
  <c r="Q443" i="199"/>
  <c r="R443" i="199"/>
  <c r="S443" i="199"/>
  <c r="T443" i="199"/>
  <c r="G444" i="199"/>
  <c r="J444" i="199"/>
  <c r="K444" i="199"/>
  <c r="L444" i="199"/>
  <c r="M444" i="199"/>
  <c r="N444" i="199"/>
  <c r="E447" i="199"/>
  <c r="F447" i="199"/>
  <c r="H447" i="199"/>
  <c r="O447" i="199"/>
  <c r="P447" i="199"/>
  <c r="Q447" i="199"/>
  <c r="R447" i="199"/>
  <c r="S447" i="199"/>
  <c r="T447" i="199"/>
  <c r="G448" i="199"/>
  <c r="J448" i="199"/>
  <c r="K448" i="199"/>
  <c r="M448" i="199"/>
  <c r="E451" i="199"/>
  <c r="F451" i="199"/>
  <c r="H451" i="199"/>
  <c r="O451" i="199"/>
  <c r="P451" i="199"/>
  <c r="Q451" i="199"/>
  <c r="R451" i="199"/>
  <c r="S451" i="199"/>
  <c r="T451" i="199"/>
  <c r="G452" i="199"/>
  <c r="J452" i="199"/>
  <c r="L452" i="199" s="1"/>
  <c r="K452" i="199"/>
  <c r="M452" i="199"/>
  <c r="N452" i="199"/>
  <c r="E455" i="199"/>
  <c r="F455" i="199"/>
  <c r="H455" i="199"/>
  <c r="O455" i="199"/>
  <c r="P455" i="199"/>
  <c r="Q455" i="199"/>
  <c r="R455" i="199"/>
  <c r="S455" i="199"/>
  <c r="T455" i="199"/>
  <c r="G456" i="199"/>
  <c r="J456" i="199"/>
  <c r="L456" i="199" s="1"/>
  <c r="K456" i="199"/>
  <c r="M456" i="199"/>
  <c r="N456" i="199"/>
  <c r="E459" i="199"/>
  <c r="F459" i="199"/>
  <c r="H459" i="199"/>
  <c r="O459" i="199"/>
  <c r="P459" i="199"/>
  <c r="Q459" i="199"/>
  <c r="R459" i="199"/>
  <c r="S459" i="199"/>
  <c r="T459" i="199"/>
  <c r="G460" i="199"/>
  <c r="J460" i="199"/>
  <c r="K460" i="199"/>
  <c r="M460" i="199"/>
  <c r="G461" i="199"/>
  <c r="J461" i="199"/>
  <c r="L461" i="199" s="1"/>
  <c r="K461" i="199"/>
  <c r="M461" i="199"/>
  <c r="E464" i="199"/>
  <c r="F464" i="199"/>
  <c r="H464" i="199"/>
  <c r="O464" i="199"/>
  <c r="P464" i="199"/>
  <c r="Q464" i="199"/>
  <c r="R464" i="199"/>
  <c r="S464" i="199"/>
  <c r="T464" i="199"/>
  <c r="G465" i="199"/>
  <c r="J465" i="199"/>
  <c r="K465" i="199"/>
  <c r="M465" i="199"/>
  <c r="E468" i="199"/>
  <c r="F468" i="199"/>
  <c r="H468" i="199"/>
  <c r="O468" i="199"/>
  <c r="P468" i="199"/>
  <c r="Q468" i="199"/>
  <c r="R468" i="199"/>
  <c r="S468" i="199"/>
  <c r="T468" i="199"/>
  <c r="G469" i="199"/>
  <c r="J469" i="199"/>
  <c r="K469" i="199"/>
  <c r="L469" i="199"/>
  <c r="M469" i="199"/>
  <c r="N469" i="199"/>
  <c r="G470" i="199"/>
  <c r="J470" i="199"/>
  <c r="K470" i="199"/>
  <c r="M470" i="199"/>
  <c r="G471" i="199"/>
  <c r="J471" i="199"/>
  <c r="K471" i="199"/>
  <c r="M471" i="199"/>
  <c r="E474" i="199"/>
  <c r="F474" i="199"/>
  <c r="H474" i="199"/>
  <c r="O474" i="199"/>
  <c r="P474" i="199"/>
  <c r="Q474" i="199"/>
  <c r="R474" i="199"/>
  <c r="S474" i="199"/>
  <c r="T474" i="199"/>
  <c r="G475" i="199"/>
  <c r="J475" i="199"/>
  <c r="K475" i="199"/>
  <c r="L475" i="199"/>
  <c r="M475" i="199"/>
  <c r="N475" i="199"/>
  <c r="G476" i="199"/>
  <c r="J476" i="199"/>
  <c r="L476" i="199" s="1"/>
  <c r="K476" i="199"/>
  <c r="M476" i="199"/>
  <c r="E479" i="199"/>
  <c r="F479" i="199"/>
  <c r="H479" i="199"/>
  <c r="O479" i="199"/>
  <c r="P479" i="199"/>
  <c r="Q479" i="199"/>
  <c r="R479" i="199"/>
  <c r="S479" i="199"/>
  <c r="T479" i="199"/>
  <c r="G480" i="199"/>
  <c r="J480" i="199"/>
  <c r="K480" i="199"/>
  <c r="L480" i="199"/>
  <c r="M480" i="199"/>
  <c r="N480" i="199"/>
  <c r="G481" i="199"/>
  <c r="J481" i="199"/>
  <c r="L481" i="199" s="1"/>
  <c r="K481" i="199"/>
  <c r="M481" i="199"/>
  <c r="G482" i="199"/>
  <c r="J482" i="199"/>
  <c r="N482" i="199" s="1"/>
  <c r="K482" i="199"/>
  <c r="L482" i="199"/>
  <c r="M482" i="199"/>
  <c r="E485" i="199"/>
  <c r="F485" i="199"/>
  <c r="H485" i="199"/>
  <c r="O485" i="199"/>
  <c r="P485" i="199"/>
  <c r="Q485" i="199"/>
  <c r="R485" i="199"/>
  <c r="S485" i="199"/>
  <c r="T485" i="199"/>
  <c r="G486" i="199"/>
  <c r="J486" i="199"/>
  <c r="K486" i="199"/>
  <c r="L486" i="199"/>
  <c r="M486" i="199"/>
  <c r="N486" i="199"/>
  <c r="G487" i="199"/>
  <c r="J487" i="199"/>
  <c r="L487" i="199" s="1"/>
  <c r="K487" i="199"/>
  <c r="M487" i="199"/>
  <c r="N487" i="199"/>
  <c r="E490" i="199"/>
  <c r="F490" i="199"/>
  <c r="H490" i="199"/>
  <c r="O490" i="199"/>
  <c r="P490" i="199"/>
  <c r="Q490" i="199"/>
  <c r="R490" i="199"/>
  <c r="S490" i="199"/>
  <c r="T490" i="199"/>
  <c r="G491" i="199"/>
  <c r="J491" i="199"/>
  <c r="K491" i="199"/>
  <c r="L491" i="199" s="1"/>
  <c r="M491" i="199"/>
  <c r="N491" i="199"/>
  <c r="E494" i="199"/>
  <c r="F494" i="199"/>
  <c r="H494" i="199"/>
  <c r="O494" i="199"/>
  <c r="P494" i="199"/>
  <c r="Q494" i="199"/>
  <c r="R494" i="199"/>
  <c r="S494" i="199"/>
  <c r="T494" i="199"/>
  <c r="G495" i="199"/>
  <c r="J495" i="199"/>
  <c r="N495" i="199" s="1"/>
  <c r="K495" i="199"/>
  <c r="L495" i="199"/>
  <c r="M495" i="199"/>
  <c r="G496" i="199"/>
  <c r="J496" i="199"/>
  <c r="K496" i="199"/>
  <c r="M496" i="199"/>
  <c r="G497" i="199"/>
  <c r="J497" i="199"/>
  <c r="K497" i="199"/>
  <c r="L497" i="199"/>
  <c r="M497" i="199"/>
  <c r="N497" i="199"/>
  <c r="E500" i="199"/>
  <c r="F500" i="199"/>
  <c r="H500" i="199"/>
  <c r="O500" i="199"/>
  <c r="P500" i="199"/>
  <c r="Q500" i="199"/>
  <c r="R500" i="199"/>
  <c r="S500" i="199"/>
  <c r="T500" i="199"/>
  <c r="G501" i="199"/>
  <c r="J501" i="199"/>
  <c r="L501" i="199" s="1"/>
  <c r="K501" i="199"/>
  <c r="M501" i="199"/>
  <c r="N501" i="199"/>
  <c r="G502" i="199"/>
  <c r="J502" i="199"/>
  <c r="K502" i="199"/>
  <c r="L502" i="199" s="1"/>
  <c r="M502" i="199"/>
  <c r="N502" i="199"/>
  <c r="G503" i="199"/>
  <c r="J503" i="199"/>
  <c r="L503" i="199" s="1"/>
  <c r="K503" i="199"/>
  <c r="M503" i="199"/>
  <c r="N503" i="199"/>
  <c r="E506" i="199"/>
  <c r="F506" i="199"/>
  <c r="H506" i="199"/>
  <c r="O506" i="199"/>
  <c r="P506" i="199"/>
  <c r="Q506" i="199"/>
  <c r="R506" i="199"/>
  <c r="S506" i="199"/>
  <c r="T506" i="199"/>
  <c r="G507" i="199"/>
  <c r="J507" i="199"/>
  <c r="K507" i="199"/>
  <c r="L507" i="199"/>
  <c r="M507" i="199"/>
  <c r="N507" i="199"/>
  <c r="G508" i="199"/>
  <c r="J508" i="199"/>
  <c r="K508" i="199"/>
  <c r="L508" i="199"/>
  <c r="M508" i="199"/>
  <c r="N508" i="199"/>
  <c r="G509" i="199"/>
  <c r="J509" i="199"/>
  <c r="K509" i="199"/>
  <c r="M509" i="199"/>
  <c r="N509" i="199"/>
  <c r="G510" i="199"/>
  <c r="J510" i="199"/>
  <c r="K510" i="199"/>
  <c r="M510" i="199"/>
  <c r="E513" i="199"/>
  <c r="F513" i="199"/>
  <c r="H513" i="199"/>
  <c r="O513" i="199"/>
  <c r="P513" i="199"/>
  <c r="Q513" i="199"/>
  <c r="R513" i="199"/>
  <c r="S513" i="199"/>
  <c r="T513" i="199"/>
  <c r="G514" i="199"/>
  <c r="J514" i="199"/>
  <c r="L514" i="199" s="1"/>
  <c r="K514" i="199"/>
  <c r="M514" i="199"/>
  <c r="N514" i="199"/>
  <c r="G515" i="199"/>
  <c r="J515" i="199"/>
  <c r="N515" i="199" s="1"/>
  <c r="K515" i="199"/>
  <c r="L515" i="199"/>
  <c r="M515" i="199"/>
  <c r="G516" i="199"/>
  <c r="J516" i="199"/>
  <c r="L516" i="199" s="1"/>
  <c r="K516" i="199"/>
  <c r="M516" i="199"/>
  <c r="G517" i="199"/>
  <c r="J517" i="199"/>
  <c r="K517" i="199"/>
  <c r="L517" i="199"/>
  <c r="M517" i="199"/>
  <c r="N517" i="199"/>
  <c r="G518" i="199"/>
  <c r="J518" i="199"/>
  <c r="K518" i="199"/>
  <c r="M518" i="199"/>
  <c r="E521" i="199"/>
  <c r="F521" i="199"/>
  <c r="H521" i="199"/>
  <c r="O521" i="199"/>
  <c r="P521" i="199"/>
  <c r="Q521" i="199"/>
  <c r="R521" i="199"/>
  <c r="S521" i="199"/>
  <c r="T521" i="199"/>
  <c r="G522" i="199"/>
  <c r="J522" i="199"/>
  <c r="K522" i="199"/>
  <c r="L522" i="199"/>
  <c r="M522" i="199"/>
  <c r="N522" i="199"/>
  <c r="G523" i="199"/>
  <c r="J523" i="199"/>
  <c r="K523" i="199"/>
  <c r="L523" i="199" s="1"/>
  <c r="M523" i="199"/>
  <c r="N523" i="199"/>
  <c r="E526" i="199"/>
  <c r="F526" i="199"/>
  <c r="H526" i="199"/>
  <c r="O526" i="199"/>
  <c r="P526" i="199"/>
  <c r="Q526" i="199"/>
  <c r="R526" i="199"/>
  <c r="S526" i="199"/>
  <c r="T526" i="199"/>
  <c r="G527" i="199"/>
  <c r="J527" i="199"/>
  <c r="K527" i="199"/>
  <c r="L527" i="199"/>
  <c r="M527" i="199"/>
  <c r="N527" i="199"/>
  <c r="G528" i="199"/>
  <c r="J528" i="199"/>
  <c r="K528" i="199"/>
  <c r="L528" i="199"/>
  <c r="M528" i="199"/>
  <c r="N528" i="199"/>
  <c r="G529" i="199"/>
  <c r="J529" i="199"/>
  <c r="K529" i="199"/>
  <c r="M529" i="199"/>
  <c r="N529" i="199"/>
  <c r="G530" i="199"/>
  <c r="J530" i="199"/>
  <c r="K530" i="199"/>
  <c r="M530" i="199"/>
  <c r="E533" i="199"/>
  <c r="F533" i="199"/>
  <c r="H533" i="199"/>
  <c r="O533" i="199"/>
  <c r="P533" i="199"/>
  <c r="Q533" i="199"/>
  <c r="R533" i="199"/>
  <c r="S533" i="199"/>
  <c r="T533" i="199"/>
  <c r="G534" i="199"/>
  <c r="J534" i="199"/>
  <c r="K534" i="199"/>
  <c r="L534" i="199"/>
  <c r="M534" i="199"/>
  <c r="N534" i="199"/>
  <c r="G535" i="199"/>
  <c r="J535" i="199"/>
  <c r="K535" i="199"/>
  <c r="M535" i="199"/>
  <c r="G536" i="199"/>
  <c r="J536" i="199"/>
  <c r="K536" i="199"/>
  <c r="M536" i="199"/>
  <c r="G537" i="199"/>
  <c r="J537" i="199"/>
  <c r="N537" i="199" s="1"/>
  <c r="K537" i="199"/>
  <c r="M537" i="199"/>
  <c r="G538" i="199"/>
  <c r="J538" i="199"/>
  <c r="K538" i="199"/>
  <c r="L538" i="199"/>
  <c r="M538" i="199"/>
  <c r="N538" i="199"/>
  <c r="E541" i="199"/>
  <c r="F541" i="199"/>
  <c r="H541" i="199"/>
  <c r="O541" i="199"/>
  <c r="P541" i="199"/>
  <c r="Q541" i="199"/>
  <c r="R541" i="199"/>
  <c r="S541" i="199"/>
  <c r="T541" i="199"/>
  <c r="G542" i="199"/>
  <c r="J542" i="199"/>
  <c r="N542" i="199" s="1"/>
  <c r="K542" i="199"/>
  <c r="L542" i="199"/>
  <c r="M542" i="199"/>
  <c r="G543" i="199"/>
  <c r="J543" i="199"/>
  <c r="K543" i="199"/>
  <c r="L543" i="199" s="1"/>
  <c r="M543" i="199"/>
  <c r="N543" i="199"/>
  <c r="E546" i="199"/>
  <c r="F546" i="199"/>
  <c r="H546" i="199"/>
  <c r="O546" i="199"/>
  <c r="P546" i="199"/>
  <c r="Q546" i="199"/>
  <c r="R546" i="199"/>
  <c r="S546" i="199"/>
  <c r="T546" i="199"/>
  <c r="G547" i="199"/>
  <c r="J547" i="199"/>
  <c r="K547" i="199"/>
  <c r="M547" i="199"/>
  <c r="G548" i="199"/>
  <c r="J548" i="199"/>
  <c r="K548" i="199"/>
  <c r="M548" i="199"/>
  <c r="N548" i="199"/>
  <c r="G549" i="199"/>
  <c r="J549" i="199"/>
  <c r="K549" i="199"/>
  <c r="L549" i="199"/>
  <c r="M549" i="199"/>
  <c r="N549" i="199"/>
  <c r="E552" i="199"/>
  <c r="F552" i="199"/>
  <c r="H552" i="199"/>
  <c r="O552" i="199"/>
  <c r="P552" i="199"/>
  <c r="Q552" i="199"/>
  <c r="R552" i="199"/>
  <c r="S552" i="199"/>
  <c r="T552" i="199"/>
  <c r="G553" i="199"/>
  <c r="J553" i="199"/>
  <c r="K553" i="199"/>
  <c r="L553" i="199"/>
  <c r="M553" i="199"/>
  <c r="N553" i="199"/>
  <c r="G554" i="199"/>
  <c r="J554" i="199"/>
  <c r="K554" i="199"/>
  <c r="L554" i="199" s="1"/>
  <c r="M554" i="199"/>
  <c r="N554" i="199"/>
  <c r="G555" i="199"/>
  <c r="J555" i="199"/>
  <c r="L555" i="199" s="1"/>
  <c r="K555" i="199"/>
  <c r="M555" i="199"/>
  <c r="N555" i="199"/>
  <c r="E558" i="199"/>
  <c r="F558" i="199"/>
  <c r="H558" i="199"/>
  <c r="O558" i="199"/>
  <c r="P558" i="199"/>
  <c r="Q558" i="199"/>
  <c r="R558" i="199"/>
  <c r="S558" i="199"/>
  <c r="T558" i="199"/>
  <c r="G559" i="199"/>
  <c r="J559" i="199"/>
  <c r="N559" i="199" s="1"/>
  <c r="K559" i="199"/>
  <c r="L559" i="199"/>
  <c r="M559" i="199"/>
  <c r="G560" i="199"/>
  <c r="J560" i="199"/>
  <c r="K560" i="199"/>
  <c r="L560" i="199"/>
  <c r="M560" i="199"/>
  <c r="N560" i="199"/>
  <c r="G561" i="199"/>
  <c r="J561" i="199"/>
  <c r="K561" i="199"/>
  <c r="M561" i="199"/>
  <c r="G562" i="199"/>
  <c r="J562" i="199"/>
  <c r="K562" i="199"/>
  <c r="M562" i="199"/>
  <c r="G563" i="199"/>
  <c r="J563" i="199"/>
  <c r="K563" i="199"/>
  <c r="L563" i="199"/>
  <c r="M563" i="199"/>
  <c r="N563" i="199"/>
  <c r="G564" i="199"/>
  <c r="J564" i="199"/>
  <c r="K564" i="199"/>
  <c r="L564" i="199" s="1"/>
  <c r="M564" i="199"/>
  <c r="N564" i="199"/>
  <c r="E567" i="199"/>
  <c r="F567" i="199"/>
  <c r="H567" i="199"/>
  <c r="O567" i="199"/>
  <c r="P567" i="199"/>
  <c r="Q567" i="199"/>
  <c r="R567" i="199"/>
  <c r="S567" i="199"/>
  <c r="T567" i="199"/>
  <c r="G568" i="199"/>
  <c r="J568" i="199"/>
  <c r="K568" i="199"/>
  <c r="L568" i="199"/>
  <c r="M568" i="199"/>
  <c r="N568" i="199"/>
  <c r="G569" i="199"/>
  <c r="J569" i="199"/>
  <c r="K569" i="199"/>
  <c r="L569" i="199"/>
  <c r="M569" i="199"/>
  <c r="N569" i="199"/>
  <c r="G570" i="199"/>
  <c r="J570" i="199"/>
  <c r="K570" i="199"/>
  <c r="M570" i="199"/>
  <c r="N570" i="199"/>
  <c r="E573" i="199"/>
  <c r="F573" i="199"/>
  <c r="H573" i="199"/>
  <c r="O573" i="199"/>
  <c r="P573" i="199"/>
  <c r="Q573" i="199"/>
  <c r="R573" i="199"/>
  <c r="S573" i="199"/>
  <c r="T573" i="199"/>
  <c r="G574" i="199"/>
  <c r="J574" i="199"/>
  <c r="L574" i="199" s="1"/>
  <c r="K574" i="199"/>
  <c r="M574" i="199"/>
  <c r="N574" i="199"/>
  <c r="G575" i="199"/>
  <c r="J575" i="199"/>
  <c r="K575" i="199"/>
  <c r="L575" i="199"/>
  <c r="M575" i="199"/>
  <c r="N575" i="199"/>
  <c r="G576" i="199"/>
  <c r="J576" i="199"/>
  <c r="K576" i="199"/>
  <c r="M576" i="199"/>
  <c r="G577" i="199"/>
  <c r="J577" i="199"/>
  <c r="N577" i="199" s="1"/>
  <c r="K577" i="199"/>
  <c r="L577" i="199"/>
  <c r="M577" i="199"/>
  <c r="G578" i="199"/>
  <c r="J578" i="199"/>
  <c r="K578" i="199"/>
  <c r="L578" i="199" s="1"/>
  <c r="M578" i="199"/>
  <c r="N578" i="199"/>
  <c r="G579" i="199"/>
  <c r="J579" i="199"/>
  <c r="K579" i="199"/>
  <c r="L579" i="199" s="1"/>
  <c r="M579" i="199"/>
  <c r="N579" i="199"/>
  <c r="E582" i="199"/>
  <c r="F582" i="199"/>
  <c r="H582" i="199"/>
  <c r="O582" i="199"/>
  <c r="P582" i="199"/>
  <c r="Q582" i="199"/>
  <c r="R582" i="199"/>
  <c r="S582" i="199"/>
  <c r="T582" i="199"/>
  <c r="G583" i="199"/>
  <c r="J583" i="199"/>
  <c r="K583" i="199"/>
  <c r="L583" i="199"/>
  <c r="M583" i="199"/>
  <c r="N583" i="199"/>
  <c r="G584" i="199"/>
  <c r="J584" i="199"/>
  <c r="K584" i="199"/>
  <c r="L584" i="199"/>
  <c r="M584" i="199"/>
  <c r="N584" i="199"/>
  <c r="G585" i="199"/>
  <c r="J585" i="199"/>
  <c r="K585" i="199"/>
  <c r="M585" i="199"/>
  <c r="G586" i="199"/>
  <c r="J586" i="199"/>
  <c r="K586" i="199"/>
  <c r="M586" i="199"/>
  <c r="G587" i="199"/>
  <c r="J587" i="199"/>
  <c r="K587" i="199"/>
  <c r="L587" i="199"/>
  <c r="M587" i="199"/>
  <c r="N587" i="199"/>
  <c r="G588" i="199"/>
  <c r="J588" i="199"/>
  <c r="K588" i="199"/>
  <c r="L588" i="199" s="1"/>
  <c r="M588" i="199"/>
  <c r="N588" i="199"/>
  <c r="E591" i="199"/>
  <c r="F591" i="199"/>
  <c r="H591" i="199"/>
  <c r="O591" i="199"/>
  <c r="P591" i="199"/>
  <c r="Q591" i="199"/>
  <c r="R591" i="199"/>
  <c r="S591" i="199"/>
  <c r="T591" i="199"/>
  <c r="G592" i="199"/>
  <c r="J592" i="199"/>
  <c r="N592" i="199" s="1"/>
  <c r="K592" i="199"/>
  <c r="L592" i="199"/>
  <c r="M592" i="199"/>
  <c r="E595" i="199"/>
  <c r="F595" i="199"/>
  <c r="H595" i="199"/>
  <c r="O595" i="199"/>
  <c r="P595" i="199"/>
  <c r="Q595" i="199"/>
  <c r="R595" i="199"/>
  <c r="S595" i="199"/>
  <c r="T595" i="199"/>
  <c r="G596" i="199"/>
  <c r="J596" i="199"/>
  <c r="L596" i="199" s="1"/>
  <c r="K596" i="199"/>
  <c r="M596" i="199"/>
  <c r="N596" i="199"/>
  <c r="E599" i="199"/>
  <c r="F599" i="199"/>
  <c r="H599" i="199"/>
  <c r="O599" i="199"/>
  <c r="P599" i="199"/>
  <c r="Q599" i="199"/>
  <c r="R599" i="199"/>
  <c r="S599" i="199"/>
  <c r="T599" i="199"/>
  <c r="G600" i="199"/>
  <c r="J600" i="199"/>
  <c r="N600" i="199" s="1"/>
  <c r="K600" i="199"/>
  <c r="L600" i="199" s="1"/>
  <c r="M600" i="199"/>
  <c r="E603" i="199"/>
  <c r="F603" i="199"/>
  <c r="H603" i="199"/>
  <c r="O603" i="199"/>
  <c r="P603" i="199"/>
  <c r="Q603" i="199"/>
  <c r="R603" i="199"/>
  <c r="S603" i="199"/>
  <c r="T603" i="199"/>
  <c r="G604" i="199"/>
  <c r="J604" i="199"/>
  <c r="N604" i="199" s="1"/>
  <c r="K604" i="199"/>
  <c r="L604" i="199"/>
  <c r="M604" i="199"/>
  <c r="E607" i="199"/>
  <c r="F607" i="199"/>
  <c r="H607" i="199"/>
  <c r="O607" i="199"/>
  <c r="P607" i="199"/>
  <c r="Q607" i="199"/>
  <c r="R607" i="199"/>
  <c r="S607" i="199"/>
  <c r="T607" i="199"/>
  <c r="G608" i="199"/>
  <c r="J608" i="199"/>
  <c r="K608" i="199"/>
  <c r="L608" i="199" s="1"/>
  <c r="M608" i="199"/>
  <c r="N608" i="199"/>
  <c r="E611" i="199"/>
  <c r="F611" i="199"/>
  <c r="H611" i="199"/>
  <c r="O611" i="199"/>
  <c r="P611" i="199"/>
  <c r="Q611" i="199"/>
  <c r="R611" i="199"/>
  <c r="S611" i="199"/>
  <c r="T611" i="199"/>
  <c r="G612" i="199"/>
  <c r="J612" i="199"/>
  <c r="K612" i="199"/>
  <c r="L612" i="199"/>
  <c r="M612" i="199"/>
  <c r="N612" i="199"/>
  <c r="E615" i="199"/>
  <c r="F615" i="199"/>
  <c r="H615" i="199"/>
  <c r="O615" i="199"/>
  <c r="P615" i="199"/>
  <c r="Q615" i="199"/>
  <c r="R615" i="199"/>
  <c r="S615" i="199"/>
  <c r="T615" i="199"/>
  <c r="G616" i="199"/>
  <c r="J616" i="199"/>
  <c r="L616" i="199" s="1"/>
  <c r="K616" i="199"/>
  <c r="M616" i="199"/>
  <c r="E619" i="199"/>
  <c r="F619" i="199"/>
  <c r="H619" i="199"/>
  <c r="O619" i="199"/>
  <c r="P619" i="199"/>
  <c r="Q619" i="199"/>
  <c r="R619" i="199"/>
  <c r="S619" i="199"/>
  <c r="T619" i="199"/>
  <c r="G620" i="199"/>
  <c r="J620" i="199"/>
  <c r="K620" i="199"/>
  <c r="L620" i="199"/>
  <c r="M620" i="199"/>
  <c r="N620" i="199"/>
  <c r="L5" i="201"/>
  <c r="E6" i="201"/>
  <c r="L6" i="201"/>
  <c r="L7" i="201"/>
  <c r="E12" i="201"/>
  <c r="F12" i="201"/>
  <c r="H12" i="201"/>
  <c r="O12" i="201"/>
  <c r="P12" i="201"/>
  <c r="Q12" i="201"/>
  <c r="R12" i="201"/>
  <c r="S12" i="201"/>
  <c r="T12" i="201"/>
  <c r="G13" i="201"/>
  <c r="J13" i="201"/>
  <c r="K13" i="201"/>
  <c r="L13" i="201"/>
  <c r="M13" i="201"/>
  <c r="N13" i="201"/>
  <c r="G14" i="201"/>
  <c r="J14" i="201"/>
  <c r="K14" i="201"/>
  <c r="M14" i="201"/>
  <c r="N14" i="201"/>
  <c r="E17" i="201"/>
  <c r="F17" i="201"/>
  <c r="H17" i="201"/>
  <c r="O17" i="201"/>
  <c r="P17" i="201"/>
  <c r="Q17" i="201"/>
  <c r="R17" i="201"/>
  <c r="S17" i="201"/>
  <c r="T17" i="201"/>
  <c r="G18" i="201"/>
  <c r="J18" i="201"/>
  <c r="K18" i="201"/>
  <c r="L18" i="201"/>
  <c r="M18" i="201"/>
  <c r="N18" i="201"/>
  <c r="E21" i="201"/>
  <c r="F21" i="201"/>
  <c r="H21" i="201"/>
  <c r="O21" i="201"/>
  <c r="P21" i="201"/>
  <c r="Q21" i="201"/>
  <c r="R21" i="201"/>
  <c r="S21" i="201"/>
  <c r="T21" i="201"/>
  <c r="G22" i="201"/>
  <c r="J22" i="201"/>
  <c r="N22" i="201" s="1"/>
  <c r="K22" i="201"/>
  <c r="L22" i="201"/>
  <c r="M22" i="201"/>
  <c r="E25" i="201"/>
  <c r="F25" i="201"/>
  <c r="H25" i="201"/>
  <c r="O25" i="201"/>
  <c r="P25" i="201"/>
  <c r="Q25" i="201"/>
  <c r="R25" i="201"/>
  <c r="S25" i="201"/>
  <c r="T25" i="201"/>
  <c r="G26" i="201"/>
  <c r="J26" i="201"/>
  <c r="K26" i="201"/>
  <c r="M26" i="201"/>
  <c r="G27" i="201"/>
  <c r="J27" i="201"/>
  <c r="K27" i="201"/>
  <c r="M27" i="201"/>
  <c r="E30" i="201"/>
  <c r="F30" i="201"/>
  <c r="H30" i="201"/>
  <c r="O30" i="201"/>
  <c r="P30" i="201"/>
  <c r="Q30" i="201"/>
  <c r="R30" i="201"/>
  <c r="S30" i="201"/>
  <c r="T30" i="201"/>
  <c r="G31" i="201"/>
  <c r="J31" i="201"/>
  <c r="K31" i="201"/>
  <c r="L31" i="201"/>
  <c r="M31" i="201"/>
  <c r="N31" i="201"/>
  <c r="G32" i="201"/>
  <c r="J32" i="201"/>
  <c r="L32" i="201" s="1"/>
  <c r="K32" i="201"/>
  <c r="M32" i="201"/>
  <c r="N32" i="201"/>
  <c r="E35" i="201"/>
  <c r="F35" i="201"/>
  <c r="H35" i="201"/>
  <c r="O35" i="201"/>
  <c r="P35" i="201"/>
  <c r="Q35" i="201"/>
  <c r="R35" i="201"/>
  <c r="S35" i="201"/>
  <c r="T35" i="201"/>
  <c r="G36" i="201"/>
  <c r="J36" i="201"/>
  <c r="K36" i="201"/>
  <c r="L36" i="201"/>
  <c r="M36" i="201"/>
  <c r="N36" i="201"/>
  <c r="E39" i="201"/>
  <c r="F39" i="201"/>
  <c r="H39" i="201"/>
  <c r="O39" i="201"/>
  <c r="P39" i="201"/>
  <c r="Q39" i="201"/>
  <c r="R39" i="201"/>
  <c r="S39" i="201"/>
  <c r="T39" i="201"/>
  <c r="G40" i="201"/>
  <c r="J40" i="201"/>
  <c r="N40" i="201" s="1"/>
  <c r="K40" i="201"/>
  <c r="L40" i="201"/>
  <c r="M40" i="201"/>
  <c r="E43" i="201"/>
  <c r="F43" i="201"/>
  <c r="H43" i="201"/>
  <c r="O43" i="201"/>
  <c r="P43" i="201"/>
  <c r="Q43" i="201"/>
  <c r="R43" i="201"/>
  <c r="S43" i="201"/>
  <c r="T43" i="201"/>
  <c r="G44" i="201"/>
  <c r="J44" i="201"/>
  <c r="K44" i="201"/>
  <c r="M44" i="201"/>
  <c r="E47" i="201"/>
  <c r="F47" i="201"/>
  <c r="H47" i="201"/>
  <c r="O47" i="201"/>
  <c r="P47" i="201"/>
  <c r="Q47" i="201"/>
  <c r="R47" i="201"/>
  <c r="S47" i="201"/>
  <c r="T47" i="201"/>
  <c r="G48" i="201"/>
  <c r="J48" i="201"/>
  <c r="K48" i="201"/>
  <c r="L48" i="201"/>
  <c r="M48" i="201"/>
  <c r="N48" i="201"/>
  <c r="E51" i="201"/>
  <c r="F51" i="201"/>
  <c r="H51" i="201"/>
  <c r="O51" i="201"/>
  <c r="P51" i="201"/>
  <c r="Q51" i="201"/>
  <c r="R51" i="201"/>
  <c r="S51" i="201"/>
  <c r="T51" i="201"/>
  <c r="G52" i="201"/>
  <c r="J52" i="201"/>
  <c r="K52" i="201"/>
  <c r="M52" i="201"/>
  <c r="E55" i="201"/>
  <c r="F55" i="201"/>
  <c r="H55" i="201"/>
  <c r="O55" i="201"/>
  <c r="P55" i="201"/>
  <c r="Q55" i="201"/>
  <c r="R55" i="201"/>
  <c r="S55" i="201"/>
  <c r="T55" i="201"/>
  <c r="G56" i="201"/>
  <c r="J56" i="201"/>
  <c r="K56" i="201"/>
  <c r="L56" i="201"/>
  <c r="M56" i="201"/>
  <c r="N56" i="201"/>
  <c r="E59" i="201"/>
  <c r="F59" i="201"/>
  <c r="H59" i="201"/>
  <c r="O59" i="201"/>
  <c r="P59" i="201"/>
  <c r="Q59" i="201"/>
  <c r="R59" i="201"/>
  <c r="S59" i="201"/>
  <c r="T59" i="201"/>
  <c r="G60" i="201"/>
  <c r="J60" i="201"/>
  <c r="N60" i="201" s="1"/>
  <c r="K60" i="201"/>
  <c r="M60" i="201"/>
  <c r="G61" i="201"/>
  <c r="J61" i="201"/>
  <c r="K61" i="201"/>
  <c r="L61" i="201" s="1"/>
  <c r="M61" i="201"/>
  <c r="N61" i="201"/>
  <c r="E64" i="201"/>
  <c r="F64" i="201"/>
  <c r="H64" i="201"/>
  <c r="O64" i="201"/>
  <c r="P64" i="201"/>
  <c r="Q64" i="201"/>
  <c r="R64" i="201"/>
  <c r="S64" i="201"/>
  <c r="T64" i="201"/>
  <c r="G65" i="201"/>
  <c r="J65" i="201"/>
  <c r="N65" i="201" s="1"/>
  <c r="K65" i="201"/>
  <c r="L65" i="201"/>
  <c r="M65" i="201"/>
  <c r="E68" i="201"/>
  <c r="F68" i="201"/>
  <c r="H68" i="201"/>
  <c r="O68" i="201"/>
  <c r="P68" i="201"/>
  <c r="Q68" i="201"/>
  <c r="R68" i="201"/>
  <c r="S68" i="201"/>
  <c r="T68" i="201"/>
  <c r="G69" i="201"/>
  <c r="J69" i="201"/>
  <c r="L69" i="201" s="1"/>
  <c r="K69" i="201"/>
  <c r="M69" i="201"/>
  <c r="E72" i="201"/>
  <c r="F72" i="201"/>
  <c r="H72" i="201"/>
  <c r="O72" i="201"/>
  <c r="P72" i="201"/>
  <c r="Q72" i="201"/>
  <c r="R72" i="201"/>
  <c r="S72" i="201"/>
  <c r="T72" i="201"/>
  <c r="G73" i="201"/>
  <c r="J73" i="201"/>
  <c r="K73" i="201"/>
  <c r="L73" i="201" s="1"/>
  <c r="M73" i="201"/>
  <c r="N73" i="201"/>
  <c r="E76" i="201"/>
  <c r="F76" i="201"/>
  <c r="H76" i="201"/>
  <c r="O76" i="201"/>
  <c r="P76" i="201"/>
  <c r="Q76" i="201"/>
  <c r="R76" i="201"/>
  <c r="S76" i="201"/>
  <c r="T76" i="201"/>
  <c r="G77" i="201"/>
  <c r="J77" i="201"/>
  <c r="N77" i="201" s="1"/>
  <c r="K77" i="201"/>
  <c r="L77" i="201"/>
  <c r="M77" i="201"/>
  <c r="E80" i="201"/>
  <c r="F80" i="201"/>
  <c r="H80" i="201"/>
  <c r="O80" i="201"/>
  <c r="P80" i="201"/>
  <c r="Q80" i="201"/>
  <c r="R80" i="201"/>
  <c r="S80" i="201"/>
  <c r="T80" i="201"/>
  <c r="G81" i="201"/>
  <c r="J81" i="201"/>
  <c r="K81" i="201"/>
  <c r="L81" i="201"/>
  <c r="M81" i="201"/>
  <c r="N81" i="201"/>
  <c r="E84" i="201"/>
  <c r="F84" i="201"/>
  <c r="H84" i="201"/>
  <c r="O84" i="201"/>
  <c r="P84" i="201"/>
  <c r="Q84" i="201"/>
  <c r="R84" i="201"/>
  <c r="S84" i="201"/>
  <c r="T84" i="201"/>
  <c r="G85" i="201"/>
  <c r="J85" i="201"/>
  <c r="N85" i="201" s="1"/>
  <c r="K85" i="201"/>
  <c r="L85" i="201"/>
  <c r="M85" i="201"/>
  <c r="E88" i="201"/>
  <c r="F88" i="201"/>
  <c r="H88" i="201"/>
  <c r="O88" i="201"/>
  <c r="P88" i="201"/>
  <c r="Q88" i="201"/>
  <c r="R88" i="201"/>
  <c r="S88" i="201"/>
  <c r="T88" i="201"/>
  <c r="G89" i="201"/>
  <c r="J89" i="201"/>
  <c r="L89" i="201" s="1"/>
  <c r="K89" i="201"/>
  <c r="M89" i="201"/>
  <c r="N89" i="201"/>
  <c r="E92" i="201"/>
  <c r="F92" i="201"/>
  <c r="H92" i="201"/>
  <c r="O92" i="201"/>
  <c r="P92" i="201"/>
  <c r="Q92" i="201"/>
  <c r="R92" i="201"/>
  <c r="S92" i="201"/>
  <c r="T92" i="201"/>
  <c r="G93" i="201"/>
  <c r="J93" i="201"/>
  <c r="K93" i="201"/>
  <c r="L93" i="201"/>
  <c r="M93" i="201"/>
  <c r="N93" i="201"/>
  <c r="E96" i="201"/>
  <c r="F96" i="201"/>
  <c r="H96" i="201"/>
  <c r="O96" i="201"/>
  <c r="P96" i="201"/>
  <c r="Q96" i="201"/>
  <c r="R96" i="201"/>
  <c r="S96" i="201"/>
  <c r="T96" i="201"/>
  <c r="G97" i="201"/>
  <c r="J97" i="201"/>
  <c r="N97" i="201" s="1"/>
  <c r="K97" i="201"/>
  <c r="L97" i="201"/>
  <c r="M97" i="201"/>
  <c r="E100" i="201"/>
  <c r="F100" i="201"/>
  <c r="H100" i="201"/>
  <c r="O100" i="201"/>
  <c r="P100" i="201"/>
  <c r="Q100" i="201"/>
  <c r="R100" i="201"/>
  <c r="S100" i="201"/>
  <c r="T100" i="201"/>
  <c r="G101" i="201"/>
  <c r="J101" i="201"/>
  <c r="L101" i="201" s="1"/>
  <c r="K101" i="201"/>
  <c r="M101" i="201"/>
  <c r="N101" i="201"/>
  <c r="E104" i="201"/>
  <c r="F104" i="201"/>
  <c r="H104" i="201"/>
  <c r="O104" i="201"/>
  <c r="P104" i="201"/>
  <c r="Q104" i="201"/>
  <c r="R104" i="201"/>
  <c r="S104" i="201"/>
  <c r="T104" i="201"/>
  <c r="G105" i="201"/>
  <c r="J105" i="201"/>
  <c r="N105" i="201" s="1"/>
  <c r="K105" i="201"/>
  <c r="L105" i="201"/>
  <c r="M105" i="201"/>
  <c r="G106" i="201"/>
  <c r="J106" i="201"/>
  <c r="K106" i="201"/>
  <c r="L106" i="201" s="1"/>
  <c r="M106" i="201"/>
  <c r="N106" i="201"/>
  <c r="E109" i="201"/>
  <c r="F109" i="201"/>
  <c r="H109" i="201"/>
  <c r="O109" i="201"/>
  <c r="P109" i="201"/>
  <c r="Q109" i="201"/>
  <c r="R109" i="201"/>
  <c r="S109" i="201"/>
  <c r="T109" i="201"/>
  <c r="G110" i="201"/>
  <c r="J110" i="201"/>
  <c r="L110" i="201" s="1"/>
  <c r="K110" i="201"/>
  <c r="M110" i="201"/>
  <c r="N110" i="201"/>
  <c r="G111" i="201"/>
  <c r="J111" i="201"/>
  <c r="K111" i="201"/>
  <c r="L111" i="201"/>
  <c r="M111" i="201"/>
  <c r="N111" i="201"/>
  <c r="E114" i="201"/>
  <c r="F114" i="201"/>
  <c r="H114" i="201"/>
  <c r="O114" i="201"/>
  <c r="P114" i="201"/>
  <c r="Q114" i="201"/>
  <c r="R114" i="201"/>
  <c r="S114" i="201"/>
  <c r="T114" i="201"/>
  <c r="G115" i="201"/>
  <c r="J115" i="201"/>
  <c r="K115" i="201"/>
  <c r="M115" i="201"/>
  <c r="E118" i="201"/>
  <c r="F118" i="201"/>
  <c r="H118" i="201"/>
  <c r="O118" i="201"/>
  <c r="P118" i="201"/>
  <c r="Q118" i="201"/>
  <c r="R118" i="201"/>
  <c r="S118" i="201"/>
  <c r="T118" i="201"/>
  <c r="G119" i="201"/>
  <c r="J119" i="201"/>
  <c r="L119" i="201" s="1"/>
  <c r="K119" i="201"/>
  <c r="M119" i="201"/>
  <c r="N119" i="201"/>
  <c r="G120" i="201"/>
  <c r="J120" i="201"/>
  <c r="K120" i="201"/>
  <c r="M120" i="201"/>
  <c r="E123" i="201"/>
  <c r="F123" i="201"/>
  <c r="H123" i="201"/>
  <c r="O123" i="201"/>
  <c r="P123" i="201"/>
  <c r="Q123" i="201"/>
  <c r="R123" i="201"/>
  <c r="S123" i="201"/>
  <c r="T123" i="201"/>
  <c r="G124" i="201"/>
  <c r="J124" i="201"/>
  <c r="K124" i="201"/>
  <c r="L124" i="201"/>
  <c r="M124" i="201"/>
  <c r="N124" i="201"/>
  <c r="E127" i="201"/>
  <c r="F127" i="201"/>
  <c r="H127" i="201"/>
  <c r="O127" i="201"/>
  <c r="P127" i="201"/>
  <c r="Q127" i="201"/>
  <c r="R127" i="201"/>
  <c r="S127" i="201"/>
  <c r="T127" i="201"/>
  <c r="G128" i="201"/>
  <c r="J128" i="201"/>
  <c r="L128" i="201" s="1"/>
  <c r="K128" i="201"/>
  <c r="M128" i="201"/>
  <c r="E131" i="201"/>
  <c r="F131" i="201"/>
  <c r="H131" i="201"/>
  <c r="O131" i="201"/>
  <c r="P131" i="201"/>
  <c r="Q131" i="201"/>
  <c r="R131" i="201"/>
  <c r="S131" i="201"/>
  <c r="T131" i="201"/>
  <c r="G132" i="201"/>
  <c r="J132" i="201"/>
  <c r="K132" i="201"/>
  <c r="M132" i="201"/>
  <c r="G133" i="201"/>
  <c r="J133" i="201"/>
  <c r="K133" i="201"/>
  <c r="M133" i="201"/>
  <c r="G134" i="201"/>
  <c r="J134" i="201"/>
  <c r="K134" i="201"/>
  <c r="M134" i="201"/>
  <c r="E137" i="201"/>
  <c r="F137" i="201"/>
  <c r="H137" i="201"/>
  <c r="O137" i="201"/>
  <c r="P137" i="201"/>
  <c r="Q137" i="201"/>
  <c r="R137" i="201"/>
  <c r="S137" i="201"/>
  <c r="T137" i="201"/>
  <c r="G138" i="201"/>
  <c r="J138" i="201"/>
  <c r="K138" i="201"/>
  <c r="M138" i="201"/>
  <c r="E141" i="201"/>
  <c r="F141" i="201"/>
  <c r="H141" i="201"/>
  <c r="O141" i="201"/>
  <c r="P141" i="201"/>
  <c r="Q141" i="201"/>
  <c r="R141" i="201"/>
  <c r="S141" i="201"/>
  <c r="T141" i="201"/>
  <c r="G142" i="201"/>
  <c r="J142" i="201"/>
  <c r="K142" i="201"/>
  <c r="L142" i="201"/>
  <c r="M142" i="201"/>
  <c r="N142" i="201"/>
  <c r="E145" i="201"/>
  <c r="F145" i="201"/>
  <c r="H145" i="201"/>
  <c r="O145" i="201"/>
  <c r="P145" i="201"/>
  <c r="Q145" i="201"/>
  <c r="R145" i="201"/>
  <c r="S145" i="201"/>
  <c r="T145" i="201"/>
  <c r="G146" i="201"/>
  <c r="J146" i="201"/>
  <c r="K146" i="201"/>
  <c r="L146" i="201"/>
  <c r="M146" i="201"/>
  <c r="N146" i="201"/>
  <c r="E149" i="201"/>
  <c r="F149" i="201"/>
  <c r="H149" i="201"/>
  <c r="O149" i="201"/>
  <c r="P149" i="201"/>
  <c r="Q149" i="201"/>
  <c r="R149" i="201"/>
  <c r="S149" i="201"/>
  <c r="T149" i="201"/>
  <c r="G150" i="201"/>
  <c r="J150" i="201"/>
  <c r="L150" i="201" s="1"/>
  <c r="K150" i="201"/>
  <c r="M150" i="201"/>
  <c r="N150" i="201"/>
  <c r="E153" i="201"/>
  <c r="F153" i="201"/>
  <c r="H153" i="201"/>
  <c r="O153" i="201"/>
  <c r="P153" i="201"/>
  <c r="Q153" i="201"/>
  <c r="R153" i="201"/>
  <c r="S153" i="201"/>
  <c r="T153" i="201"/>
  <c r="G154" i="201"/>
  <c r="J154" i="201"/>
  <c r="K154" i="201"/>
  <c r="L154" i="201"/>
  <c r="M154" i="201"/>
  <c r="N154" i="201"/>
  <c r="E157" i="201"/>
  <c r="F157" i="201"/>
  <c r="H157" i="201"/>
  <c r="O157" i="201"/>
  <c r="P157" i="201"/>
  <c r="Q157" i="201"/>
  <c r="R157" i="201"/>
  <c r="S157" i="201"/>
  <c r="T157" i="201"/>
  <c r="G158" i="201"/>
  <c r="J158" i="201"/>
  <c r="N158" i="201" s="1"/>
  <c r="K158" i="201"/>
  <c r="L158" i="201"/>
  <c r="M158" i="201"/>
  <c r="E161" i="201"/>
  <c r="F161" i="201"/>
  <c r="H161" i="201"/>
  <c r="O161" i="201"/>
  <c r="P161" i="201"/>
  <c r="Q161" i="201"/>
  <c r="R161" i="201"/>
  <c r="S161" i="201"/>
  <c r="T161" i="201"/>
  <c r="G162" i="201"/>
  <c r="J162" i="201"/>
  <c r="K162" i="201"/>
  <c r="M162" i="201"/>
  <c r="E165" i="201"/>
  <c r="F165" i="201"/>
  <c r="H165" i="201"/>
  <c r="O165" i="201"/>
  <c r="P165" i="201"/>
  <c r="Q165" i="201"/>
  <c r="R165" i="201"/>
  <c r="S165" i="201"/>
  <c r="T165" i="201"/>
  <c r="G166" i="201"/>
  <c r="J166" i="201"/>
  <c r="K166" i="201"/>
  <c r="L166" i="201"/>
  <c r="M166" i="201"/>
  <c r="N166" i="201"/>
  <c r="E169" i="201"/>
  <c r="F169" i="201"/>
  <c r="H169" i="201"/>
  <c r="O169" i="201"/>
  <c r="P169" i="201"/>
  <c r="Q169" i="201"/>
  <c r="R169" i="201"/>
  <c r="S169" i="201"/>
  <c r="T169" i="201"/>
  <c r="G170" i="201"/>
  <c r="J170" i="201"/>
  <c r="K170" i="201"/>
  <c r="M170" i="201"/>
  <c r="G171" i="201"/>
  <c r="J171" i="201"/>
  <c r="N171" i="201" s="1"/>
  <c r="K171" i="201"/>
  <c r="L171" i="201"/>
  <c r="M171" i="201"/>
  <c r="E174" i="201"/>
  <c r="F174" i="201"/>
  <c r="H174" i="201"/>
  <c r="O174" i="201"/>
  <c r="P174" i="201"/>
  <c r="Q174" i="201"/>
  <c r="R174" i="201"/>
  <c r="S174" i="201"/>
  <c r="T174" i="201"/>
  <c r="G175" i="201"/>
  <c r="J175" i="201"/>
  <c r="L175" i="201" s="1"/>
  <c r="K175" i="201"/>
  <c r="M175" i="201"/>
  <c r="E178" i="201"/>
  <c r="F178" i="201"/>
  <c r="H178" i="201"/>
  <c r="O178" i="201"/>
  <c r="P178" i="201"/>
  <c r="Q178" i="201"/>
  <c r="R178" i="201"/>
  <c r="S178" i="201"/>
  <c r="T178" i="201"/>
  <c r="G179" i="201"/>
  <c r="J179" i="201"/>
  <c r="K179" i="201"/>
  <c r="L179" i="201"/>
  <c r="M179" i="201"/>
  <c r="N179" i="201"/>
  <c r="G180" i="201"/>
  <c r="J180" i="201"/>
  <c r="L180" i="201" s="1"/>
  <c r="K180" i="201"/>
  <c r="M180" i="201"/>
  <c r="E183" i="201"/>
  <c r="F183" i="201"/>
  <c r="H183" i="201"/>
  <c r="O183" i="201"/>
  <c r="P183" i="201"/>
  <c r="Q183" i="201"/>
  <c r="R183" i="201"/>
  <c r="S183" i="201"/>
  <c r="T183" i="201"/>
  <c r="G184" i="201"/>
  <c r="J184" i="201"/>
  <c r="K184" i="201"/>
  <c r="L184" i="201"/>
  <c r="M184" i="201"/>
  <c r="N184" i="201"/>
  <c r="G185" i="201"/>
  <c r="J185" i="201"/>
  <c r="K185" i="201"/>
  <c r="L185" i="201" s="1"/>
  <c r="M185" i="201"/>
  <c r="N185" i="201"/>
  <c r="E188" i="201"/>
  <c r="F188" i="201"/>
  <c r="H188" i="201"/>
  <c r="O188" i="201"/>
  <c r="P188" i="201"/>
  <c r="Q188" i="201"/>
  <c r="R188" i="201"/>
  <c r="S188" i="201"/>
  <c r="T188" i="201"/>
  <c r="G189" i="201"/>
  <c r="J189" i="201"/>
  <c r="K189" i="201"/>
  <c r="M189" i="201"/>
  <c r="G190" i="201"/>
  <c r="J190" i="201"/>
  <c r="K190" i="201"/>
  <c r="L190" i="201"/>
  <c r="M190" i="201"/>
  <c r="N190" i="201"/>
  <c r="G191" i="201"/>
  <c r="J191" i="201"/>
  <c r="K191" i="201"/>
  <c r="M191" i="201"/>
  <c r="E194" i="201"/>
  <c r="F194" i="201"/>
  <c r="H194" i="201"/>
  <c r="O194" i="201"/>
  <c r="P194" i="201"/>
  <c r="Q194" i="201"/>
  <c r="R194" i="201"/>
  <c r="S194" i="201"/>
  <c r="T194" i="201"/>
  <c r="G195" i="201"/>
  <c r="J195" i="201"/>
  <c r="N195" i="201" s="1"/>
  <c r="K195" i="201"/>
  <c r="L195" i="201"/>
  <c r="M195" i="201"/>
  <c r="G196" i="201"/>
  <c r="J196" i="201"/>
  <c r="K196" i="201"/>
  <c r="L196" i="201"/>
  <c r="M196" i="201"/>
  <c r="N196" i="201"/>
  <c r="E199" i="201"/>
  <c r="F199" i="201"/>
  <c r="H199" i="201"/>
  <c r="O199" i="201"/>
  <c r="P199" i="201"/>
  <c r="Q199" i="201"/>
  <c r="R199" i="201"/>
  <c r="S199" i="201"/>
  <c r="T199" i="201"/>
  <c r="G200" i="201"/>
  <c r="J200" i="201"/>
  <c r="N200" i="201" s="1"/>
  <c r="K200" i="201"/>
  <c r="L200" i="201"/>
  <c r="M200" i="201"/>
  <c r="E203" i="201"/>
  <c r="F203" i="201"/>
  <c r="H203" i="201"/>
  <c r="O203" i="201"/>
  <c r="P203" i="201"/>
  <c r="Q203" i="201"/>
  <c r="R203" i="201"/>
  <c r="S203" i="201"/>
  <c r="T203" i="201"/>
  <c r="G204" i="201"/>
  <c r="J204" i="201"/>
  <c r="L204" i="201" s="1"/>
  <c r="K204" i="201"/>
  <c r="M204" i="201"/>
  <c r="N204" i="201"/>
  <c r="G205" i="201"/>
  <c r="J205" i="201"/>
  <c r="N205" i="201" s="1"/>
  <c r="K205" i="201"/>
  <c r="L205" i="201"/>
  <c r="M205" i="201"/>
  <c r="E208" i="201"/>
  <c r="F208" i="201"/>
  <c r="H208" i="201"/>
  <c r="O208" i="201"/>
  <c r="P208" i="201"/>
  <c r="Q208" i="201"/>
  <c r="R208" i="201"/>
  <c r="S208" i="201"/>
  <c r="T208" i="201"/>
  <c r="G209" i="201"/>
  <c r="J209" i="201"/>
  <c r="K209" i="201"/>
  <c r="M209" i="201"/>
  <c r="E212" i="201"/>
  <c r="F212" i="201"/>
  <c r="H212" i="201"/>
  <c r="O212" i="201"/>
  <c r="P212" i="201"/>
  <c r="Q212" i="201"/>
  <c r="R212" i="201"/>
  <c r="S212" i="201"/>
  <c r="T212" i="201"/>
  <c r="G213" i="201"/>
  <c r="J213" i="201"/>
  <c r="N213" i="201" s="1"/>
  <c r="K213" i="201"/>
  <c r="L213" i="201"/>
  <c r="M213" i="201"/>
  <c r="G214" i="201"/>
  <c r="J214" i="201"/>
  <c r="K214" i="201"/>
  <c r="L214" i="201" s="1"/>
  <c r="M214" i="201"/>
  <c r="N214" i="201"/>
  <c r="E217" i="201"/>
  <c r="F217" i="201"/>
  <c r="H217" i="201"/>
  <c r="O217" i="201"/>
  <c r="P217" i="201"/>
  <c r="Q217" i="201"/>
  <c r="R217" i="201"/>
  <c r="S217" i="201"/>
  <c r="T217" i="201"/>
  <c r="G218" i="201"/>
  <c r="J218" i="201"/>
  <c r="L218" i="201" s="1"/>
  <c r="K218" i="201"/>
  <c r="M218" i="201"/>
  <c r="N218" i="201"/>
  <c r="G219" i="201"/>
  <c r="J219" i="201"/>
  <c r="K219" i="201"/>
  <c r="L219" i="201"/>
  <c r="M219" i="201"/>
  <c r="N219" i="201"/>
  <c r="E222" i="201"/>
  <c r="F222" i="201"/>
  <c r="H222" i="201"/>
  <c r="O222" i="201"/>
  <c r="P222" i="201"/>
  <c r="Q222" i="201"/>
  <c r="R222" i="201"/>
  <c r="S222" i="201"/>
  <c r="T222" i="201"/>
  <c r="G223" i="201"/>
  <c r="J223" i="201"/>
  <c r="K223" i="201"/>
  <c r="M223" i="201"/>
  <c r="E226" i="201"/>
  <c r="F226" i="201"/>
  <c r="H226" i="201"/>
  <c r="O226" i="201"/>
  <c r="P226" i="201"/>
  <c r="Q226" i="201"/>
  <c r="R226" i="201"/>
  <c r="S226" i="201"/>
  <c r="T226" i="201"/>
  <c r="G227" i="201"/>
  <c r="J227" i="201"/>
  <c r="L227" i="201" s="1"/>
  <c r="K227" i="201"/>
  <c r="M227" i="201"/>
  <c r="N227" i="201"/>
  <c r="G228" i="201"/>
  <c r="J228" i="201"/>
  <c r="K228" i="201"/>
  <c r="M228" i="201"/>
  <c r="E231" i="201"/>
  <c r="F231" i="201"/>
  <c r="H231" i="201"/>
  <c r="O231" i="201"/>
  <c r="P231" i="201"/>
  <c r="Q231" i="201"/>
  <c r="R231" i="201"/>
  <c r="S231" i="201"/>
  <c r="T231" i="201"/>
  <c r="G232" i="201"/>
  <c r="J232" i="201"/>
  <c r="K232" i="201"/>
  <c r="L232" i="201"/>
  <c r="M232" i="201"/>
  <c r="N232" i="201"/>
  <c r="E235" i="201"/>
  <c r="F235" i="201"/>
  <c r="H235" i="201"/>
  <c r="O235" i="201"/>
  <c r="P235" i="201"/>
  <c r="Q235" i="201"/>
  <c r="R235" i="201"/>
  <c r="S235" i="201"/>
  <c r="T235" i="201"/>
  <c r="G236" i="201"/>
  <c r="J236" i="201"/>
  <c r="L236" i="201" s="1"/>
  <c r="K236" i="201"/>
  <c r="M236" i="201"/>
  <c r="N236" i="201"/>
  <c r="L5" i="3"/>
  <c r="E6" i="3"/>
  <c r="L6" i="3"/>
  <c r="L7" i="3"/>
  <c r="E12" i="3"/>
  <c r="F12" i="3"/>
  <c r="H12" i="3"/>
  <c r="O12" i="3"/>
  <c r="P12" i="3"/>
  <c r="Q12" i="3"/>
  <c r="R12" i="3"/>
  <c r="S12" i="3"/>
  <c r="T12" i="3"/>
  <c r="G13" i="3"/>
  <c r="J13" i="3"/>
  <c r="L13" i="3" s="1"/>
  <c r="K13" i="3"/>
  <c r="M13" i="3"/>
  <c r="N13" i="3"/>
  <c r="E16" i="3"/>
  <c r="F16" i="3"/>
  <c r="H16" i="3"/>
  <c r="O16" i="3"/>
  <c r="P16" i="3"/>
  <c r="Q16" i="3"/>
  <c r="R16" i="3"/>
  <c r="S16" i="3"/>
  <c r="T16" i="3"/>
  <c r="G17" i="3"/>
  <c r="J17" i="3"/>
  <c r="N17" i="3" s="1"/>
  <c r="K17" i="3"/>
  <c r="L17" i="3"/>
  <c r="M17" i="3"/>
  <c r="G18" i="3"/>
  <c r="J18" i="3"/>
  <c r="K18" i="3"/>
  <c r="M18" i="3"/>
  <c r="E21" i="3"/>
  <c r="F21" i="3"/>
  <c r="H21" i="3"/>
  <c r="O21" i="3"/>
  <c r="P21" i="3"/>
  <c r="Q21" i="3"/>
  <c r="R21" i="3"/>
  <c r="S21" i="3"/>
  <c r="T21" i="3"/>
  <c r="G22" i="3"/>
  <c r="J22" i="3"/>
  <c r="L22" i="3" s="1"/>
  <c r="K22" i="3"/>
  <c r="M22" i="3"/>
  <c r="N22" i="3"/>
  <c r="G23" i="3"/>
  <c r="J23" i="3"/>
  <c r="K23" i="3"/>
  <c r="M23" i="3"/>
  <c r="G24" i="3"/>
  <c r="J24" i="3"/>
  <c r="K24" i="3"/>
  <c r="M24" i="3"/>
  <c r="G25" i="3"/>
  <c r="J25" i="3"/>
  <c r="K25" i="3"/>
  <c r="L25" i="3" s="1"/>
  <c r="M25" i="3"/>
  <c r="N25" i="3"/>
  <c r="E28" i="3"/>
  <c r="F28" i="3"/>
  <c r="H28" i="3"/>
  <c r="O28" i="3"/>
  <c r="P28" i="3"/>
  <c r="Q28" i="3"/>
  <c r="R28" i="3"/>
  <c r="S28" i="3"/>
  <c r="T28" i="3"/>
  <c r="G29" i="3"/>
  <c r="J29" i="3"/>
  <c r="K29" i="3"/>
  <c r="L29" i="3"/>
  <c r="M29" i="3"/>
  <c r="N29" i="3"/>
  <c r="G30" i="3"/>
  <c r="J30" i="3"/>
  <c r="K30" i="3"/>
  <c r="L30" i="3" s="1"/>
  <c r="M30" i="3"/>
  <c r="N30" i="3"/>
  <c r="G31" i="3"/>
  <c r="J31" i="3"/>
  <c r="L31" i="3" s="1"/>
  <c r="K31" i="3"/>
  <c r="M31" i="3"/>
  <c r="N31" i="3"/>
  <c r="G32" i="3"/>
  <c r="J32" i="3"/>
  <c r="N32" i="3" s="1"/>
  <c r="K32" i="3"/>
  <c r="L32" i="3" s="1"/>
  <c r="M32" i="3"/>
  <c r="E35" i="3"/>
  <c r="F35" i="3"/>
  <c r="H35" i="3"/>
  <c r="O35" i="3"/>
  <c r="P35" i="3"/>
  <c r="Q35" i="3"/>
  <c r="R35" i="3"/>
  <c r="S35" i="3"/>
  <c r="T35" i="3"/>
  <c r="G36" i="3"/>
  <c r="J36" i="3"/>
  <c r="K36" i="3"/>
  <c r="L36" i="3"/>
  <c r="M36" i="3"/>
  <c r="N36" i="3"/>
  <c r="E39" i="3"/>
  <c r="F39" i="3"/>
  <c r="H39" i="3"/>
  <c r="O39" i="3"/>
  <c r="P39" i="3"/>
  <c r="Q39" i="3"/>
  <c r="R39" i="3"/>
  <c r="S39" i="3"/>
  <c r="T39" i="3"/>
  <c r="G40" i="3"/>
  <c r="J40" i="3"/>
  <c r="L40" i="3" s="1"/>
  <c r="K40" i="3"/>
  <c r="M40" i="3"/>
  <c r="N40" i="3"/>
  <c r="E43" i="3"/>
  <c r="F43" i="3"/>
  <c r="H43" i="3"/>
  <c r="O43" i="3"/>
  <c r="P43" i="3"/>
  <c r="Q43" i="3"/>
  <c r="R43" i="3"/>
  <c r="S43" i="3"/>
  <c r="T43" i="3"/>
  <c r="G44" i="3"/>
  <c r="J44" i="3"/>
  <c r="L44" i="3" s="1"/>
  <c r="K44" i="3"/>
  <c r="M44" i="3"/>
  <c r="N44" i="3"/>
  <c r="E47" i="3"/>
  <c r="F47" i="3"/>
  <c r="H47" i="3"/>
  <c r="O47" i="3"/>
  <c r="P47" i="3"/>
  <c r="Q47" i="3"/>
  <c r="R47" i="3"/>
  <c r="S47" i="3"/>
  <c r="T47" i="3"/>
  <c r="G48" i="3"/>
  <c r="J48" i="3"/>
  <c r="K48" i="3"/>
  <c r="L48" i="3"/>
  <c r="M48" i="3"/>
  <c r="N48" i="3"/>
  <c r="E51" i="3"/>
  <c r="F51" i="3"/>
  <c r="H51" i="3"/>
  <c r="O51" i="3"/>
  <c r="P51" i="3"/>
  <c r="Q51" i="3"/>
  <c r="R51" i="3"/>
  <c r="S51" i="3"/>
  <c r="T51" i="3"/>
  <c r="G52" i="3"/>
  <c r="J52" i="3"/>
  <c r="N52" i="3" s="1"/>
  <c r="K52" i="3"/>
  <c r="M52" i="3"/>
  <c r="G53" i="3"/>
  <c r="J53" i="3"/>
  <c r="L53" i="3" s="1"/>
  <c r="K53" i="3"/>
  <c r="M53" i="3"/>
  <c r="N53" i="3"/>
  <c r="E56" i="3"/>
  <c r="F56" i="3"/>
  <c r="H56" i="3"/>
  <c r="O56" i="3"/>
  <c r="P56" i="3"/>
  <c r="Q56" i="3"/>
  <c r="R56" i="3"/>
  <c r="S56" i="3"/>
  <c r="T56" i="3"/>
  <c r="G57" i="3"/>
  <c r="J57" i="3"/>
  <c r="K57" i="3"/>
  <c r="M57" i="3"/>
  <c r="G58" i="3"/>
  <c r="J58" i="3"/>
  <c r="L58" i="3" s="1"/>
  <c r="K58" i="3"/>
  <c r="M58" i="3"/>
  <c r="N58" i="3"/>
  <c r="G59" i="3"/>
  <c r="J59" i="3"/>
  <c r="K59" i="3"/>
  <c r="L59" i="3"/>
  <c r="M59" i="3"/>
  <c r="N59" i="3"/>
  <c r="E62" i="3"/>
  <c r="F62" i="3"/>
  <c r="H62" i="3"/>
  <c r="O62" i="3"/>
  <c r="P62" i="3"/>
  <c r="Q62" i="3"/>
  <c r="R62" i="3"/>
  <c r="S62" i="3"/>
  <c r="T62" i="3"/>
  <c r="G63" i="3"/>
  <c r="J63" i="3"/>
  <c r="N63" i="3" s="1"/>
  <c r="K63" i="3"/>
  <c r="L63" i="3"/>
  <c r="M63" i="3"/>
  <c r="G64" i="3"/>
  <c r="J64" i="3"/>
  <c r="K64" i="3"/>
  <c r="L64" i="3" s="1"/>
  <c r="M64" i="3"/>
  <c r="N64" i="3"/>
  <c r="G65" i="3"/>
  <c r="J65" i="3"/>
  <c r="K65" i="3"/>
  <c r="L65" i="3" s="1"/>
  <c r="M65" i="3"/>
  <c r="N65" i="3"/>
  <c r="E68" i="3"/>
  <c r="F68" i="3"/>
  <c r="H68" i="3"/>
  <c r="O68" i="3"/>
  <c r="P68" i="3"/>
  <c r="Q68" i="3"/>
  <c r="R68" i="3"/>
  <c r="S68" i="3"/>
  <c r="T68" i="3"/>
  <c r="G69" i="3"/>
  <c r="J69" i="3"/>
  <c r="N69" i="3" s="1"/>
  <c r="K69" i="3"/>
  <c r="L69" i="3"/>
  <c r="M69" i="3"/>
  <c r="E72" i="3"/>
  <c r="F72" i="3"/>
  <c r="H72" i="3"/>
  <c r="O72" i="3"/>
  <c r="P72" i="3"/>
  <c r="Q72" i="3"/>
  <c r="R72" i="3"/>
  <c r="S72" i="3"/>
  <c r="T72" i="3"/>
  <c r="G73" i="3"/>
  <c r="J73" i="3"/>
  <c r="L73" i="3" s="1"/>
  <c r="K73" i="3"/>
  <c r="M73" i="3"/>
  <c r="N73" i="3"/>
  <c r="G74" i="3"/>
  <c r="J74" i="3"/>
  <c r="K74" i="3"/>
  <c r="M74" i="3"/>
  <c r="G75" i="3"/>
  <c r="J75" i="3"/>
  <c r="K75" i="3"/>
  <c r="M75" i="3"/>
  <c r="E78" i="3"/>
  <c r="F78" i="3"/>
  <c r="H78" i="3"/>
  <c r="O78" i="3"/>
  <c r="P78" i="3"/>
  <c r="Q78" i="3"/>
  <c r="R78" i="3"/>
  <c r="S78" i="3"/>
  <c r="T78" i="3"/>
  <c r="G79" i="3"/>
  <c r="J79" i="3"/>
  <c r="N79" i="3" s="1"/>
  <c r="K79" i="3"/>
  <c r="L79" i="3"/>
  <c r="M79" i="3"/>
  <c r="G80" i="3"/>
  <c r="J80" i="3"/>
  <c r="L80" i="3" s="1"/>
  <c r="K80" i="3"/>
  <c r="M80" i="3"/>
  <c r="E83" i="3"/>
  <c r="F83" i="3"/>
  <c r="H83" i="3"/>
  <c r="O83" i="3"/>
  <c r="P83" i="3"/>
  <c r="Q83" i="3"/>
  <c r="R83" i="3"/>
  <c r="S83" i="3"/>
  <c r="T83" i="3"/>
  <c r="G84" i="3"/>
  <c r="J84" i="3"/>
  <c r="K84" i="3"/>
  <c r="M84" i="3"/>
  <c r="E87" i="3"/>
  <c r="F87" i="3"/>
  <c r="H87" i="3"/>
  <c r="O87" i="3"/>
  <c r="P87" i="3"/>
  <c r="Q87" i="3"/>
  <c r="R87" i="3"/>
  <c r="S87" i="3"/>
  <c r="T87" i="3"/>
  <c r="G88" i="3"/>
  <c r="J88" i="3"/>
  <c r="K88" i="3"/>
  <c r="L88" i="3"/>
  <c r="M88" i="3"/>
  <c r="N88" i="3"/>
  <c r="G89" i="3"/>
  <c r="J89" i="3"/>
  <c r="K89" i="3"/>
  <c r="M89" i="3"/>
  <c r="G90" i="3"/>
  <c r="J90" i="3"/>
  <c r="K90" i="3"/>
  <c r="M90" i="3"/>
  <c r="G91" i="3"/>
  <c r="J91" i="3"/>
  <c r="N91" i="3" s="1"/>
  <c r="K91" i="3"/>
  <c r="M91" i="3"/>
  <c r="E94" i="3"/>
  <c r="F94" i="3"/>
  <c r="H94" i="3"/>
  <c r="O94" i="3"/>
  <c r="P94" i="3"/>
  <c r="Q94" i="3"/>
  <c r="R94" i="3"/>
  <c r="S94" i="3"/>
  <c r="T94" i="3"/>
  <c r="G95" i="3"/>
  <c r="J95" i="3"/>
  <c r="K95" i="3"/>
  <c r="M95" i="3"/>
  <c r="E98" i="3"/>
  <c r="F98" i="3"/>
  <c r="H98" i="3"/>
  <c r="O98" i="3"/>
  <c r="P98" i="3"/>
  <c r="Q98" i="3"/>
  <c r="R98" i="3"/>
  <c r="S98" i="3"/>
  <c r="T98" i="3"/>
  <c r="G99" i="3"/>
  <c r="J99" i="3"/>
  <c r="K99" i="3"/>
  <c r="L99" i="3"/>
  <c r="M99" i="3"/>
  <c r="N99" i="3"/>
  <c r="G100" i="3"/>
  <c r="J100" i="3"/>
  <c r="L100" i="3" s="1"/>
  <c r="K100" i="3"/>
  <c r="M100" i="3"/>
  <c r="N100" i="3"/>
  <c r="E103" i="3"/>
  <c r="F103" i="3"/>
  <c r="H103" i="3"/>
  <c r="O103" i="3"/>
  <c r="P103" i="3"/>
  <c r="Q103" i="3"/>
  <c r="R103" i="3"/>
  <c r="S103" i="3"/>
  <c r="T103" i="3"/>
  <c r="G104" i="3"/>
  <c r="J104" i="3"/>
  <c r="K104" i="3"/>
  <c r="L104" i="3"/>
  <c r="M104" i="3"/>
  <c r="N104" i="3"/>
  <c r="E107" i="3"/>
  <c r="F107" i="3"/>
  <c r="H107" i="3"/>
  <c r="O107" i="3"/>
  <c r="P107" i="3"/>
  <c r="Q107" i="3"/>
  <c r="R107" i="3"/>
  <c r="S107" i="3"/>
  <c r="T107" i="3"/>
  <c r="G108" i="3"/>
  <c r="J108" i="3"/>
  <c r="N108" i="3" s="1"/>
  <c r="K108" i="3"/>
  <c r="L108" i="3"/>
  <c r="M108" i="3"/>
  <c r="G109" i="3"/>
  <c r="J109" i="3"/>
  <c r="N109" i="3" s="1"/>
  <c r="K109" i="3"/>
  <c r="L109" i="3"/>
  <c r="M109" i="3"/>
  <c r="G110" i="3"/>
  <c r="J110" i="3"/>
  <c r="K110" i="3"/>
  <c r="L110" i="3" s="1"/>
  <c r="M110" i="3"/>
  <c r="N110" i="3"/>
  <c r="G111" i="3"/>
  <c r="J111" i="3"/>
  <c r="K111" i="3"/>
  <c r="M111" i="3"/>
  <c r="N111" i="3"/>
  <c r="E114" i="3"/>
  <c r="F114" i="3"/>
  <c r="H114" i="3"/>
  <c r="O114" i="3"/>
  <c r="P114" i="3"/>
  <c r="Q114" i="3"/>
  <c r="R114" i="3"/>
  <c r="S114" i="3"/>
  <c r="T114" i="3"/>
  <c r="G115" i="3"/>
  <c r="J115" i="3"/>
  <c r="K115" i="3"/>
  <c r="M115" i="3"/>
  <c r="G116" i="3"/>
  <c r="J116" i="3"/>
  <c r="K116" i="3"/>
  <c r="L116" i="3" s="1"/>
  <c r="M116" i="3"/>
  <c r="N116" i="3"/>
  <c r="G117" i="3"/>
  <c r="J117" i="3"/>
  <c r="L117" i="3" s="1"/>
  <c r="K117" i="3"/>
  <c r="M117" i="3"/>
  <c r="N117" i="3"/>
  <c r="E120" i="3"/>
  <c r="F120" i="3"/>
  <c r="H120" i="3"/>
  <c r="O120" i="3"/>
  <c r="P120" i="3"/>
  <c r="Q120" i="3"/>
  <c r="R120" i="3"/>
  <c r="S120" i="3"/>
  <c r="T120" i="3"/>
  <c r="G121" i="3"/>
  <c r="J121" i="3"/>
  <c r="K121" i="3"/>
  <c r="L121" i="3"/>
  <c r="M121" i="3"/>
  <c r="N121" i="3"/>
  <c r="E124" i="3"/>
  <c r="F124" i="3"/>
  <c r="H124" i="3"/>
  <c r="O124" i="3"/>
  <c r="P124" i="3"/>
  <c r="Q124" i="3"/>
  <c r="R124" i="3"/>
  <c r="S124" i="3"/>
  <c r="T124" i="3"/>
  <c r="G125" i="3"/>
  <c r="J125" i="3"/>
  <c r="N125" i="3" s="1"/>
  <c r="K125" i="3"/>
  <c r="M125" i="3"/>
  <c r="E128" i="3"/>
  <c r="F128" i="3"/>
  <c r="H128" i="3"/>
  <c r="O128" i="3"/>
  <c r="P128" i="3"/>
  <c r="Q128" i="3"/>
  <c r="R128" i="3"/>
  <c r="S128" i="3"/>
  <c r="T128" i="3"/>
  <c r="G129" i="3"/>
  <c r="J129" i="3"/>
  <c r="K129" i="3"/>
  <c r="M129" i="3"/>
  <c r="E132" i="3"/>
  <c r="F132" i="3"/>
  <c r="H132" i="3"/>
  <c r="O132" i="3"/>
  <c r="P132" i="3"/>
  <c r="Q132" i="3"/>
  <c r="R132" i="3"/>
  <c r="S132" i="3"/>
  <c r="T132" i="3"/>
  <c r="G133" i="3"/>
  <c r="J133" i="3"/>
  <c r="K133" i="3"/>
  <c r="L133" i="3"/>
  <c r="M133" i="3"/>
  <c r="N133" i="3"/>
  <c r="E136" i="3"/>
  <c r="F136" i="3"/>
  <c r="H136" i="3"/>
  <c r="O136" i="3"/>
  <c r="P136" i="3"/>
  <c r="Q136" i="3"/>
  <c r="R136" i="3"/>
  <c r="S136" i="3"/>
  <c r="T136" i="3"/>
  <c r="G137" i="3"/>
  <c r="J137" i="3"/>
  <c r="K137" i="3"/>
  <c r="M137" i="3"/>
  <c r="G138" i="3"/>
  <c r="J138" i="3"/>
  <c r="N138" i="3" s="1"/>
  <c r="K138" i="3"/>
  <c r="L138" i="3"/>
  <c r="M138" i="3"/>
  <c r="E141" i="3"/>
  <c r="F141" i="3"/>
  <c r="H141" i="3"/>
  <c r="O141" i="3"/>
  <c r="P141" i="3"/>
  <c r="Q141" i="3"/>
  <c r="R141" i="3"/>
  <c r="S141" i="3"/>
  <c r="T141" i="3"/>
  <c r="G142" i="3"/>
  <c r="J142" i="3"/>
  <c r="L142" i="3" s="1"/>
  <c r="K142" i="3"/>
  <c r="M142" i="3"/>
  <c r="G143" i="3"/>
  <c r="J143" i="3"/>
  <c r="N143" i="3" s="1"/>
  <c r="K143" i="3"/>
  <c r="L143" i="3"/>
  <c r="M143" i="3"/>
  <c r="E146" i="3"/>
  <c r="F146" i="3"/>
  <c r="H146" i="3"/>
  <c r="O146" i="3"/>
  <c r="P146" i="3"/>
  <c r="Q146" i="3"/>
  <c r="R146" i="3"/>
  <c r="S146" i="3"/>
  <c r="T146" i="3"/>
  <c r="G147" i="3"/>
  <c r="J147" i="3"/>
  <c r="K147" i="3"/>
  <c r="M147" i="3"/>
  <c r="G148" i="3"/>
  <c r="J148" i="3"/>
  <c r="K148" i="3"/>
  <c r="M148" i="3"/>
  <c r="E151" i="3"/>
  <c r="F151" i="3"/>
  <c r="H151" i="3"/>
  <c r="O151" i="3"/>
  <c r="P151" i="3"/>
  <c r="Q151" i="3"/>
  <c r="R151" i="3"/>
  <c r="S151" i="3"/>
  <c r="T151" i="3"/>
  <c r="G152" i="3"/>
  <c r="J152" i="3"/>
  <c r="K152" i="3"/>
  <c r="L152" i="3"/>
  <c r="M152" i="3"/>
  <c r="N152" i="3"/>
  <c r="E155" i="3"/>
  <c r="F155" i="3"/>
  <c r="H155" i="3"/>
  <c r="O155" i="3"/>
  <c r="P155" i="3"/>
  <c r="Q155" i="3"/>
  <c r="R155" i="3"/>
  <c r="S155" i="3"/>
  <c r="T155" i="3"/>
  <c r="G156" i="3"/>
  <c r="J156" i="3"/>
  <c r="K156" i="3"/>
  <c r="L156" i="3"/>
  <c r="M156" i="3"/>
  <c r="N156" i="3"/>
  <c r="E159" i="3"/>
  <c r="F159" i="3"/>
  <c r="H159" i="3"/>
  <c r="O159" i="3"/>
  <c r="P159" i="3"/>
  <c r="Q159" i="3"/>
  <c r="R159" i="3"/>
  <c r="S159" i="3"/>
  <c r="T159" i="3"/>
  <c r="G160" i="3"/>
  <c r="J160" i="3"/>
  <c r="L160" i="3" s="1"/>
  <c r="K160" i="3"/>
  <c r="M160" i="3"/>
  <c r="N160" i="3"/>
  <c r="G161" i="3"/>
  <c r="J161" i="3"/>
  <c r="N161" i="3" s="1"/>
  <c r="K161" i="3"/>
  <c r="L161" i="3"/>
  <c r="M161" i="3"/>
  <c r="E164" i="3"/>
  <c r="F164" i="3"/>
  <c r="H164" i="3"/>
  <c r="O164" i="3"/>
  <c r="P164" i="3"/>
  <c r="Q164" i="3"/>
  <c r="R164" i="3"/>
  <c r="S164" i="3"/>
  <c r="T164" i="3"/>
  <c r="G165" i="3"/>
  <c r="J165" i="3"/>
  <c r="K165" i="3"/>
  <c r="M165" i="3"/>
  <c r="E168" i="3"/>
  <c r="F168" i="3"/>
  <c r="H168" i="3"/>
  <c r="O168" i="3"/>
  <c r="P168" i="3"/>
  <c r="Q168" i="3"/>
  <c r="R168" i="3"/>
  <c r="S168" i="3"/>
  <c r="T168" i="3"/>
  <c r="G169" i="3"/>
  <c r="J169" i="3"/>
  <c r="K169" i="3"/>
  <c r="L169" i="3"/>
  <c r="M169" i="3"/>
  <c r="N169" i="3"/>
  <c r="E172" i="3"/>
  <c r="F172" i="3"/>
  <c r="H172" i="3"/>
  <c r="O172" i="3"/>
  <c r="P172" i="3"/>
  <c r="Q172" i="3"/>
  <c r="R172" i="3"/>
  <c r="S172" i="3"/>
  <c r="T172" i="3"/>
  <c r="G173" i="3"/>
  <c r="J173" i="3"/>
  <c r="K173" i="3"/>
  <c r="M173" i="3"/>
  <c r="E176" i="3"/>
  <c r="F176" i="3"/>
  <c r="H176" i="3"/>
  <c r="O176" i="3"/>
  <c r="P176" i="3"/>
  <c r="Q176" i="3"/>
  <c r="R176" i="3"/>
  <c r="S176" i="3"/>
  <c r="T176" i="3"/>
  <c r="G177" i="3"/>
  <c r="J177" i="3"/>
  <c r="K177" i="3"/>
  <c r="L177" i="3"/>
  <c r="M177" i="3"/>
  <c r="N177" i="3"/>
  <c r="G178" i="3"/>
  <c r="J178" i="3"/>
  <c r="K178" i="3"/>
  <c r="M178" i="3"/>
  <c r="E181" i="3"/>
  <c r="F181" i="3"/>
  <c r="H181" i="3"/>
  <c r="O181" i="3"/>
  <c r="P181" i="3"/>
  <c r="Q181" i="3"/>
  <c r="R181" i="3"/>
  <c r="S181" i="3"/>
  <c r="T181" i="3"/>
  <c r="G182" i="3"/>
  <c r="J182" i="3"/>
  <c r="K182" i="3"/>
  <c r="L182" i="3"/>
  <c r="M182" i="3"/>
  <c r="N182" i="3"/>
  <c r="E185" i="3"/>
  <c r="F185" i="3"/>
  <c r="H185" i="3"/>
  <c r="O185" i="3"/>
  <c r="P185" i="3"/>
  <c r="Q185" i="3"/>
  <c r="R185" i="3"/>
  <c r="S185" i="3"/>
  <c r="T185" i="3"/>
  <c r="G186" i="3"/>
  <c r="J186" i="3"/>
  <c r="N186" i="3" s="1"/>
  <c r="K186" i="3"/>
  <c r="L186" i="3"/>
  <c r="M186" i="3"/>
  <c r="E189" i="3"/>
  <c r="F189" i="3"/>
  <c r="H189" i="3"/>
  <c r="O189" i="3"/>
  <c r="P189" i="3"/>
  <c r="Q189" i="3"/>
  <c r="R189" i="3"/>
  <c r="S189" i="3"/>
  <c r="T189" i="3"/>
  <c r="G190" i="3"/>
  <c r="J190" i="3"/>
  <c r="K190" i="3"/>
  <c r="M190" i="3"/>
  <c r="E193" i="3"/>
  <c r="F193" i="3"/>
  <c r="H193" i="3"/>
  <c r="O193" i="3"/>
  <c r="P193" i="3"/>
  <c r="Q193" i="3"/>
  <c r="R193" i="3"/>
  <c r="S193" i="3"/>
  <c r="T193" i="3"/>
  <c r="G194" i="3"/>
  <c r="J194" i="3"/>
  <c r="N194" i="3" s="1"/>
  <c r="K194" i="3"/>
  <c r="L194" i="3"/>
  <c r="M194" i="3"/>
  <c r="E197" i="3"/>
  <c r="F197" i="3"/>
  <c r="H197" i="3"/>
  <c r="O197" i="3"/>
  <c r="P197" i="3"/>
  <c r="Q197" i="3"/>
  <c r="R197" i="3"/>
  <c r="S197" i="3"/>
  <c r="T197" i="3"/>
  <c r="G198" i="3"/>
  <c r="J198" i="3"/>
  <c r="K198" i="3"/>
  <c r="M198" i="3"/>
  <c r="E201" i="3"/>
  <c r="F201" i="3"/>
  <c r="H201" i="3"/>
  <c r="O201" i="3"/>
  <c r="P201" i="3"/>
  <c r="Q201" i="3"/>
  <c r="R201" i="3"/>
  <c r="S201" i="3"/>
  <c r="T201" i="3"/>
  <c r="G202" i="3"/>
  <c r="J202" i="3"/>
  <c r="K202" i="3"/>
  <c r="L202" i="3"/>
  <c r="M202" i="3"/>
  <c r="N202" i="3"/>
  <c r="G203" i="3"/>
  <c r="J203" i="3"/>
  <c r="L203" i="3" s="1"/>
  <c r="K203" i="3"/>
  <c r="M203" i="3"/>
  <c r="N203" i="3"/>
  <c r="E206" i="3"/>
  <c r="F206" i="3"/>
  <c r="H206" i="3"/>
  <c r="O206" i="3"/>
  <c r="P206" i="3"/>
  <c r="Q206" i="3"/>
  <c r="R206" i="3"/>
  <c r="S206" i="3"/>
  <c r="T206" i="3"/>
  <c r="G207" i="3"/>
  <c r="J207" i="3"/>
  <c r="K207" i="3"/>
  <c r="L207" i="3"/>
  <c r="M207" i="3"/>
  <c r="N207" i="3"/>
  <c r="E210" i="3"/>
  <c r="F210" i="3"/>
  <c r="H210" i="3"/>
  <c r="O210" i="3"/>
  <c r="P210" i="3"/>
  <c r="Q210" i="3"/>
  <c r="R210" i="3"/>
  <c r="S210" i="3"/>
  <c r="T210" i="3"/>
  <c r="G211" i="3"/>
  <c r="J211" i="3"/>
  <c r="N211" i="3" s="1"/>
  <c r="K211" i="3"/>
  <c r="L211" i="3"/>
  <c r="M211" i="3"/>
  <c r="E214" i="3"/>
  <c r="F214" i="3"/>
  <c r="H214" i="3"/>
  <c r="O214" i="3"/>
  <c r="P214" i="3"/>
  <c r="Q214" i="3"/>
  <c r="R214" i="3"/>
  <c r="S214" i="3"/>
  <c r="T214" i="3"/>
  <c r="G215" i="3"/>
  <c r="J215" i="3"/>
  <c r="K215" i="3"/>
  <c r="M215" i="3"/>
  <c r="E218" i="3"/>
  <c r="F218" i="3"/>
  <c r="H218" i="3"/>
  <c r="O218" i="3"/>
  <c r="P218" i="3"/>
  <c r="Q218" i="3"/>
  <c r="R218" i="3"/>
  <c r="S218" i="3"/>
  <c r="T218" i="3"/>
  <c r="G219" i="3"/>
  <c r="J219" i="3"/>
  <c r="K219" i="3"/>
  <c r="L219" i="3"/>
  <c r="M219" i="3"/>
  <c r="N219" i="3"/>
  <c r="G220" i="3"/>
  <c r="J220" i="3"/>
  <c r="K220" i="3"/>
  <c r="L220" i="3" s="1"/>
  <c r="M220" i="3"/>
  <c r="N220" i="3"/>
  <c r="E223" i="3"/>
  <c r="F223" i="3"/>
  <c r="H223" i="3"/>
  <c r="O223" i="3"/>
  <c r="P223" i="3"/>
  <c r="Q223" i="3"/>
  <c r="R223" i="3"/>
  <c r="S223" i="3"/>
  <c r="T223" i="3"/>
  <c r="G224" i="3"/>
  <c r="J224" i="3"/>
  <c r="K224" i="3"/>
  <c r="L224" i="3"/>
  <c r="M224" i="3"/>
  <c r="N224" i="3"/>
  <c r="E227" i="3"/>
  <c r="F227" i="3"/>
  <c r="H227" i="3"/>
  <c r="O227" i="3"/>
  <c r="P227" i="3"/>
  <c r="Q227" i="3"/>
  <c r="R227" i="3"/>
  <c r="S227" i="3"/>
  <c r="T227" i="3"/>
  <c r="G228" i="3"/>
  <c r="J228" i="3"/>
  <c r="L228" i="3" s="1"/>
  <c r="K228" i="3"/>
  <c r="M228" i="3"/>
  <c r="G229" i="3"/>
  <c r="J229" i="3"/>
  <c r="N229" i="3" s="1"/>
  <c r="K229" i="3"/>
  <c r="L229" i="3"/>
  <c r="M229" i="3"/>
  <c r="E232" i="3"/>
  <c r="F232" i="3"/>
  <c r="H232" i="3"/>
  <c r="O232" i="3"/>
  <c r="P232" i="3"/>
  <c r="Q232" i="3"/>
  <c r="R232" i="3"/>
  <c r="S232" i="3"/>
  <c r="T232" i="3"/>
  <c r="G233" i="3"/>
  <c r="J233" i="3"/>
  <c r="L233" i="3" s="1"/>
  <c r="K233" i="3"/>
  <c r="M233" i="3"/>
  <c r="N233" i="3"/>
  <c r="G234" i="3"/>
  <c r="J234" i="3"/>
  <c r="N234" i="3" s="1"/>
  <c r="K234" i="3"/>
  <c r="M234" i="3"/>
  <c r="G235" i="3"/>
  <c r="J235" i="3"/>
  <c r="N235" i="3" s="1"/>
  <c r="K235" i="3"/>
  <c r="L235" i="3"/>
  <c r="M235" i="3"/>
  <c r="E238" i="3"/>
  <c r="F238" i="3"/>
  <c r="H238" i="3"/>
  <c r="O238" i="3"/>
  <c r="P238" i="3"/>
  <c r="Q238" i="3"/>
  <c r="R238" i="3"/>
  <c r="S238" i="3"/>
  <c r="T238" i="3"/>
  <c r="G239" i="3"/>
  <c r="J239" i="3"/>
  <c r="L239" i="3" s="1"/>
  <c r="K239" i="3"/>
  <c r="M239" i="3"/>
  <c r="N239" i="3"/>
  <c r="G240" i="3"/>
  <c r="J240" i="3"/>
  <c r="N240" i="3" s="1"/>
  <c r="K240" i="3"/>
  <c r="L240" i="3"/>
  <c r="M240" i="3"/>
  <c r="E243" i="3"/>
  <c r="F243" i="3"/>
  <c r="H243" i="3"/>
  <c r="O243" i="3"/>
  <c r="P243" i="3"/>
  <c r="Q243" i="3"/>
  <c r="R243" i="3"/>
  <c r="S243" i="3"/>
  <c r="T243" i="3"/>
  <c r="G244" i="3"/>
  <c r="J244" i="3"/>
  <c r="L244" i="3" s="1"/>
  <c r="K244" i="3"/>
  <c r="M244" i="3"/>
  <c r="N244" i="3"/>
  <c r="G245" i="3"/>
  <c r="J245" i="3"/>
  <c r="N245" i="3" s="1"/>
  <c r="K245" i="3"/>
  <c r="L245" i="3"/>
  <c r="M245" i="3"/>
  <c r="G246" i="3"/>
  <c r="J246" i="3"/>
  <c r="K246" i="3"/>
  <c r="L246" i="3"/>
  <c r="M246" i="3"/>
  <c r="N246" i="3"/>
  <c r="G247" i="3"/>
  <c r="J247" i="3"/>
  <c r="K247" i="3"/>
  <c r="L247" i="3" s="1"/>
  <c r="M247" i="3"/>
  <c r="N247" i="3"/>
  <c r="G248" i="3"/>
  <c r="J248" i="3"/>
  <c r="K248" i="3"/>
  <c r="M248" i="3"/>
  <c r="N248" i="3"/>
  <c r="E251" i="3"/>
  <c r="F251" i="3"/>
  <c r="H251" i="3"/>
  <c r="O251" i="3"/>
  <c r="P251" i="3"/>
  <c r="Q251" i="3"/>
  <c r="R251" i="3"/>
  <c r="S251" i="3"/>
  <c r="T251" i="3"/>
  <c r="G252" i="3"/>
  <c r="J252" i="3"/>
  <c r="L252" i="3" s="1"/>
  <c r="K252" i="3"/>
  <c r="M252" i="3"/>
  <c r="N252" i="3"/>
  <c r="G253" i="3"/>
  <c r="J253" i="3"/>
  <c r="K253" i="3"/>
  <c r="L253" i="3" s="1"/>
  <c r="M253" i="3"/>
  <c r="N253" i="3"/>
  <c r="G254" i="3"/>
  <c r="J254" i="3"/>
  <c r="L254" i="3" s="1"/>
  <c r="K254" i="3"/>
  <c r="M254" i="3"/>
  <c r="N254" i="3"/>
  <c r="G255" i="3"/>
  <c r="J255" i="3"/>
  <c r="N255" i="3" s="1"/>
  <c r="K255" i="3"/>
  <c r="L255" i="3"/>
  <c r="M255" i="3"/>
  <c r="G256" i="3"/>
  <c r="J256" i="3"/>
  <c r="K256" i="3"/>
  <c r="L256" i="3" s="1"/>
  <c r="M256" i="3"/>
  <c r="N256" i="3"/>
  <c r="E259" i="3"/>
  <c r="F259" i="3"/>
  <c r="H259" i="3"/>
  <c r="O259" i="3"/>
  <c r="P259" i="3"/>
  <c r="Q259" i="3"/>
  <c r="R259" i="3"/>
  <c r="S259" i="3"/>
  <c r="T259" i="3"/>
  <c r="G260" i="3"/>
  <c r="J260" i="3"/>
  <c r="N260" i="3" s="1"/>
  <c r="K260" i="3"/>
  <c r="L260" i="3"/>
  <c r="M260" i="3"/>
  <c r="G261" i="3"/>
  <c r="J261" i="3"/>
  <c r="N261" i="3" s="1"/>
  <c r="K261" i="3"/>
  <c r="L261" i="3"/>
  <c r="M261" i="3"/>
  <c r="E264" i="3"/>
  <c r="F264" i="3"/>
  <c r="H264" i="3"/>
  <c r="O264" i="3"/>
  <c r="P264" i="3"/>
  <c r="Q264" i="3"/>
  <c r="R264" i="3"/>
  <c r="S264" i="3"/>
  <c r="T264" i="3"/>
  <c r="G265" i="3"/>
  <c r="J265" i="3"/>
  <c r="K265" i="3"/>
  <c r="M265" i="3"/>
  <c r="G266" i="3"/>
  <c r="J266" i="3"/>
  <c r="K266" i="3"/>
  <c r="L266" i="3"/>
  <c r="M266" i="3"/>
  <c r="N266" i="3"/>
  <c r="G267" i="3"/>
  <c r="J267" i="3"/>
  <c r="K267" i="3"/>
  <c r="M267" i="3"/>
  <c r="N267" i="3"/>
  <c r="E270" i="3"/>
  <c r="F270" i="3"/>
  <c r="H270" i="3"/>
  <c r="O270" i="3"/>
  <c r="P270" i="3"/>
  <c r="Q270" i="3"/>
  <c r="R270" i="3"/>
  <c r="S270" i="3"/>
  <c r="T270" i="3"/>
  <c r="G271" i="3"/>
  <c r="J271" i="3"/>
  <c r="K271" i="3"/>
  <c r="M271" i="3"/>
  <c r="G272" i="3"/>
  <c r="J272" i="3"/>
  <c r="L272" i="3" s="1"/>
  <c r="K272" i="3"/>
  <c r="M272" i="3"/>
  <c r="N272" i="3"/>
  <c r="G273" i="3"/>
  <c r="J273" i="3"/>
  <c r="K273" i="3"/>
  <c r="L273" i="3"/>
  <c r="M273" i="3"/>
  <c r="N273" i="3"/>
  <c r="G274" i="3"/>
  <c r="J274" i="3"/>
  <c r="K274" i="3"/>
  <c r="M274" i="3"/>
  <c r="E277" i="3"/>
  <c r="F277" i="3"/>
  <c r="H277" i="3"/>
  <c r="O277" i="3"/>
  <c r="P277" i="3"/>
  <c r="Q277" i="3"/>
  <c r="R277" i="3"/>
  <c r="S277" i="3"/>
  <c r="T277" i="3"/>
  <c r="G278" i="3"/>
  <c r="J278" i="3"/>
  <c r="N278" i="3" s="1"/>
  <c r="K278" i="3"/>
  <c r="L278" i="3"/>
  <c r="M278" i="3"/>
  <c r="G279" i="3"/>
  <c r="J279" i="3"/>
  <c r="K279" i="3"/>
  <c r="M279" i="3"/>
  <c r="N279" i="3"/>
  <c r="E282" i="3"/>
  <c r="F282" i="3"/>
  <c r="H282" i="3"/>
  <c r="O282" i="3"/>
  <c r="P282" i="3"/>
  <c r="Q282" i="3"/>
  <c r="R282" i="3"/>
  <c r="S282" i="3"/>
  <c r="T282" i="3"/>
  <c r="G283" i="3"/>
  <c r="J283" i="3"/>
  <c r="L283" i="3" s="1"/>
  <c r="K283" i="3"/>
  <c r="M283" i="3"/>
  <c r="N283" i="3"/>
  <c r="E286" i="3"/>
  <c r="F286" i="3"/>
  <c r="H286" i="3"/>
  <c r="O286" i="3"/>
  <c r="P286" i="3"/>
  <c r="Q286" i="3"/>
  <c r="R286" i="3"/>
  <c r="S286" i="3"/>
  <c r="T286" i="3"/>
  <c r="G287" i="3"/>
  <c r="J287" i="3"/>
  <c r="K287" i="3"/>
  <c r="L287" i="3"/>
  <c r="M287" i="3"/>
  <c r="N287" i="3"/>
  <c r="G288" i="3"/>
  <c r="J288" i="3"/>
  <c r="L288" i="3" s="1"/>
  <c r="K288" i="3"/>
  <c r="M288" i="3"/>
  <c r="N288" i="3"/>
  <c r="E291" i="3"/>
  <c r="F291" i="3"/>
  <c r="H291" i="3"/>
  <c r="O291" i="3"/>
  <c r="P291" i="3"/>
  <c r="Q291" i="3"/>
  <c r="R291" i="3"/>
  <c r="S291" i="3"/>
  <c r="T291" i="3"/>
  <c r="G292" i="3"/>
  <c r="J292" i="3"/>
  <c r="K292" i="3"/>
  <c r="M292" i="3"/>
  <c r="G293" i="3"/>
  <c r="J293" i="3"/>
  <c r="K293" i="3"/>
  <c r="M293" i="3"/>
  <c r="E296" i="3"/>
  <c r="F296" i="3"/>
  <c r="H296" i="3"/>
  <c r="O296" i="3"/>
  <c r="P296" i="3"/>
  <c r="Q296" i="3"/>
  <c r="R296" i="3"/>
  <c r="S296" i="3"/>
  <c r="T296" i="3"/>
  <c r="G297" i="3"/>
  <c r="J297" i="3"/>
  <c r="K297" i="3"/>
  <c r="L297" i="3"/>
  <c r="M297" i="3"/>
  <c r="N297" i="3"/>
  <c r="E300" i="3"/>
  <c r="F300" i="3"/>
  <c r="H300" i="3"/>
  <c r="O300" i="3"/>
  <c r="P300" i="3"/>
  <c r="Q300" i="3"/>
  <c r="R300" i="3"/>
  <c r="S300" i="3"/>
  <c r="T300" i="3"/>
  <c r="G301" i="3"/>
  <c r="J301" i="3"/>
  <c r="L301" i="3" s="1"/>
  <c r="K301" i="3"/>
  <c r="M301" i="3"/>
  <c r="G302" i="3"/>
  <c r="J302" i="3"/>
  <c r="K302" i="3"/>
  <c r="L302" i="3"/>
  <c r="M302" i="3"/>
  <c r="N302" i="3"/>
  <c r="G303" i="3"/>
  <c r="J303" i="3"/>
  <c r="K303" i="3"/>
  <c r="M303" i="3"/>
  <c r="E306" i="3"/>
  <c r="F306" i="3"/>
  <c r="H306" i="3"/>
  <c r="O306" i="3"/>
  <c r="P306" i="3"/>
  <c r="Q306" i="3"/>
  <c r="R306" i="3"/>
  <c r="S306" i="3"/>
  <c r="T306" i="3"/>
  <c r="G307" i="3"/>
  <c r="J307" i="3"/>
  <c r="K307" i="3"/>
  <c r="M307" i="3"/>
  <c r="G308" i="3"/>
  <c r="J308" i="3"/>
  <c r="K308" i="3"/>
  <c r="L308" i="3"/>
  <c r="M308" i="3"/>
  <c r="N308" i="3"/>
  <c r="E311" i="3"/>
  <c r="F311" i="3"/>
  <c r="H311" i="3"/>
  <c r="O311" i="3"/>
  <c r="P311" i="3"/>
  <c r="Q311" i="3"/>
  <c r="R311" i="3"/>
  <c r="S311" i="3"/>
  <c r="T311" i="3"/>
  <c r="G312" i="3"/>
  <c r="J312" i="3"/>
  <c r="L312" i="3" s="1"/>
  <c r="K312" i="3"/>
  <c r="M312" i="3"/>
  <c r="N312" i="3"/>
  <c r="E315" i="3"/>
  <c r="F315" i="3"/>
  <c r="H315" i="3"/>
  <c r="O315" i="3"/>
  <c r="P315" i="3"/>
  <c r="Q315" i="3"/>
  <c r="R315" i="3"/>
  <c r="S315" i="3"/>
  <c r="T315" i="3"/>
  <c r="G316" i="3"/>
  <c r="J316" i="3"/>
  <c r="K316" i="3"/>
  <c r="M316" i="3"/>
  <c r="N316" i="3"/>
  <c r="E319" i="3"/>
  <c r="F319" i="3"/>
  <c r="H319" i="3"/>
  <c r="O319" i="3"/>
  <c r="P319" i="3"/>
  <c r="Q319" i="3"/>
  <c r="R319" i="3"/>
  <c r="S319" i="3"/>
  <c r="T319" i="3"/>
  <c r="G320" i="3"/>
  <c r="J320" i="3"/>
  <c r="K320" i="3"/>
  <c r="M320" i="3"/>
  <c r="N320" i="3"/>
  <c r="E323" i="3"/>
  <c r="F323" i="3"/>
  <c r="H323" i="3"/>
  <c r="O323" i="3"/>
  <c r="P323" i="3"/>
  <c r="Q323" i="3"/>
  <c r="R323" i="3"/>
  <c r="S323" i="3"/>
  <c r="T323" i="3"/>
  <c r="G324" i="3"/>
  <c r="J324" i="3"/>
  <c r="N324" i="3" s="1"/>
  <c r="K324" i="3"/>
  <c r="L324" i="3" s="1"/>
  <c r="M324" i="3"/>
  <c r="E327" i="3"/>
  <c r="F327" i="3"/>
  <c r="H327" i="3"/>
  <c r="O327" i="3"/>
  <c r="P327" i="3"/>
  <c r="Q327" i="3"/>
  <c r="R327" i="3"/>
  <c r="S327" i="3"/>
  <c r="T327" i="3"/>
  <c r="G328" i="3"/>
  <c r="J328" i="3"/>
  <c r="N328" i="3" s="1"/>
  <c r="K328" i="3"/>
  <c r="L328" i="3"/>
  <c r="M328" i="3"/>
  <c r="E331" i="3"/>
  <c r="F331" i="3"/>
  <c r="H331" i="3"/>
  <c r="O331" i="3"/>
  <c r="P331" i="3"/>
  <c r="Q331" i="3"/>
  <c r="R331" i="3"/>
  <c r="S331" i="3"/>
  <c r="T331" i="3"/>
  <c r="G332" i="3"/>
  <c r="J332" i="3"/>
  <c r="L332" i="3" s="1"/>
  <c r="K332" i="3"/>
  <c r="M332" i="3"/>
  <c r="N332" i="3"/>
  <c r="E335" i="3"/>
  <c r="F335" i="3"/>
  <c r="H335" i="3"/>
  <c r="O335" i="3"/>
  <c r="P335" i="3"/>
  <c r="Q335" i="3"/>
  <c r="R335" i="3"/>
  <c r="S335" i="3"/>
  <c r="T335" i="3"/>
  <c r="G336" i="3"/>
  <c r="J336" i="3"/>
  <c r="K336" i="3"/>
  <c r="L336" i="3" s="1"/>
  <c r="M336" i="3"/>
  <c r="N336" i="3"/>
  <c r="E339" i="3"/>
  <c r="F339" i="3"/>
  <c r="H339" i="3"/>
  <c r="O339" i="3"/>
  <c r="P339" i="3"/>
  <c r="Q339" i="3"/>
  <c r="R339" i="3"/>
  <c r="S339" i="3"/>
  <c r="T339" i="3"/>
  <c r="G340" i="3"/>
  <c r="J340" i="3"/>
  <c r="K340" i="3"/>
  <c r="L340" i="3"/>
  <c r="M340" i="3"/>
  <c r="N340" i="3"/>
  <c r="E343" i="3"/>
  <c r="F343" i="3"/>
  <c r="H343" i="3"/>
  <c r="O343" i="3"/>
  <c r="P343" i="3"/>
  <c r="Q343" i="3"/>
  <c r="R343" i="3"/>
  <c r="S343" i="3"/>
  <c r="T343" i="3"/>
  <c r="G344" i="3"/>
  <c r="J344" i="3"/>
  <c r="L344" i="3" s="1"/>
  <c r="K344" i="3"/>
  <c r="M344" i="3"/>
  <c r="N344" i="3"/>
  <c r="E347" i="3"/>
  <c r="F347" i="3"/>
  <c r="H347" i="3"/>
  <c r="O347" i="3"/>
  <c r="P347" i="3"/>
  <c r="Q347" i="3"/>
  <c r="R347" i="3"/>
  <c r="S347" i="3"/>
  <c r="T347" i="3"/>
  <c r="G348" i="3"/>
  <c r="J348" i="3"/>
  <c r="K348" i="3"/>
  <c r="M348" i="3"/>
  <c r="G349" i="3"/>
  <c r="J349" i="3"/>
  <c r="N349" i="3" s="1"/>
  <c r="K349" i="3"/>
  <c r="L349" i="3" s="1"/>
  <c r="M349" i="3"/>
  <c r="E352" i="3"/>
  <c r="F352" i="3"/>
  <c r="H352" i="3"/>
  <c r="O352" i="3"/>
  <c r="P352" i="3"/>
  <c r="Q352" i="3"/>
  <c r="R352" i="3"/>
  <c r="S352" i="3"/>
  <c r="T352" i="3"/>
  <c r="G353" i="3"/>
  <c r="J353" i="3"/>
  <c r="K353" i="3"/>
  <c r="L353" i="3"/>
  <c r="M353" i="3"/>
  <c r="N353" i="3"/>
  <c r="E356" i="3"/>
  <c r="F356" i="3"/>
  <c r="H356" i="3"/>
  <c r="O356" i="3"/>
  <c r="P356" i="3"/>
  <c r="Q356" i="3"/>
  <c r="R356" i="3"/>
  <c r="S356" i="3"/>
  <c r="T356" i="3"/>
  <c r="G357" i="3"/>
  <c r="J357" i="3"/>
  <c r="L357" i="3" s="1"/>
  <c r="K357" i="3"/>
  <c r="M357" i="3"/>
  <c r="N357" i="3"/>
  <c r="E360" i="3"/>
  <c r="F360" i="3"/>
  <c r="H360" i="3"/>
  <c r="O360" i="3"/>
  <c r="P360" i="3"/>
  <c r="Q360" i="3"/>
  <c r="R360" i="3"/>
  <c r="S360" i="3"/>
  <c r="T360" i="3"/>
  <c r="G361" i="3"/>
  <c r="J361" i="3"/>
  <c r="N361" i="3" s="1"/>
  <c r="K361" i="3"/>
  <c r="L361" i="3"/>
  <c r="M361" i="3"/>
  <c r="G362" i="3"/>
  <c r="J362" i="3"/>
  <c r="L362" i="3" s="1"/>
  <c r="K362" i="3"/>
  <c r="M362" i="3"/>
  <c r="N362" i="3"/>
  <c r="G363" i="3"/>
  <c r="J363" i="3"/>
  <c r="K363" i="3"/>
  <c r="L363" i="3"/>
  <c r="M363" i="3"/>
  <c r="N363" i="3"/>
  <c r="G364" i="3"/>
  <c r="J364" i="3"/>
  <c r="L364" i="3" s="1"/>
  <c r="K364" i="3"/>
  <c r="M364" i="3"/>
  <c r="E367" i="3"/>
  <c r="F367" i="3"/>
  <c r="H367" i="3"/>
  <c r="O367" i="3"/>
  <c r="P367" i="3"/>
  <c r="Q367" i="3"/>
  <c r="R367" i="3"/>
  <c r="S367" i="3"/>
  <c r="T367" i="3"/>
  <c r="G368" i="3"/>
  <c r="J368" i="3"/>
  <c r="L368" i="3" s="1"/>
  <c r="K368" i="3"/>
  <c r="M368" i="3"/>
  <c r="N368" i="3"/>
  <c r="E371" i="3"/>
  <c r="F371" i="3"/>
  <c r="H371" i="3"/>
  <c r="O371" i="3"/>
  <c r="P371" i="3"/>
  <c r="Q371" i="3"/>
  <c r="R371" i="3"/>
  <c r="S371" i="3"/>
  <c r="T371" i="3"/>
  <c r="G372" i="3"/>
  <c r="J372" i="3"/>
  <c r="N372" i="3" s="1"/>
  <c r="K372" i="3"/>
  <c r="M372" i="3"/>
  <c r="E375" i="3"/>
  <c r="F375" i="3"/>
  <c r="H375" i="3"/>
  <c r="O375" i="3"/>
  <c r="P375" i="3"/>
  <c r="Q375" i="3"/>
  <c r="R375" i="3"/>
  <c r="S375" i="3"/>
  <c r="T375" i="3"/>
  <c r="G376" i="3"/>
  <c r="J376" i="3"/>
  <c r="K376" i="3"/>
  <c r="L376" i="3"/>
  <c r="M376" i="3"/>
  <c r="N376" i="3"/>
  <c r="E379" i="3"/>
  <c r="F379" i="3"/>
  <c r="H379" i="3"/>
  <c r="O379" i="3"/>
  <c r="P379" i="3"/>
  <c r="Q379" i="3"/>
  <c r="R379" i="3"/>
  <c r="S379" i="3"/>
  <c r="T379" i="3"/>
  <c r="G380" i="3"/>
  <c r="J380" i="3"/>
  <c r="K380" i="3"/>
  <c r="L380" i="3"/>
  <c r="M380" i="3"/>
  <c r="N380" i="3"/>
  <c r="E383" i="3"/>
  <c r="F383" i="3"/>
  <c r="H383" i="3"/>
  <c r="O383" i="3"/>
  <c r="P383" i="3"/>
  <c r="Q383" i="3"/>
  <c r="R383" i="3"/>
  <c r="S383" i="3"/>
  <c r="T383" i="3"/>
  <c r="G384" i="3"/>
  <c r="J384" i="3"/>
  <c r="L384" i="3" s="1"/>
  <c r="K384" i="3"/>
  <c r="M384" i="3"/>
  <c r="E387" i="3"/>
  <c r="F387" i="3"/>
  <c r="H387" i="3"/>
  <c r="O387" i="3"/>
  <c r="P387" i="3"/>
  <c r="Q387" i="3"/>
  <c r="R387" i="3"/>
  <c r="S387" i="3"/>
  <c r="T387" i="3"/>
  <c r="G388" i="3"/>
  <c r="J388" i="3"/>
  <c r="K388" i="3"/>
  <c r="L388" i="3"/>
  <c r="M388" i="3"/>
  <c r="N388" i="3"/>
  <c r="G389" i="3"/>
  <c r="J389" i="3"/>
  <c r="L389" i="3" s="1"/>
  <c r="K389" i="3"/>
  <c r="M389" i="3"/>
  <c r="N389" i="3"/>
  <c r="G390" i="3"/>
  <c r="J390" i="3"/>
  <c r="K390" i="3"/>
  <c r="M390" i="3"/>
  <c r="E393" i="3"/>
  <c r="F393" i="3"/>
  <c r="H393" i="3"/>
  <c r="O393" i="3"/>
  <c r="P393" i="3"/>
  <c r="Q393" i="3"/>
  <c r="R393" i="3"/>
  <c r="S393" i="3"/>
  <c r="T393" i="3"/>
  <c r="G394" i="3"/>
  <c r="J394" i="3"/>
  <c r="K394" i="3"/>
  <c r="L394" i="3"/>
  <c r="M394" i="3"/>
  <c r="N394" i="3"/>
  <c r="E397" i="3"/>
  <c r="F397" i="3"/>
  <c r="H397" i="3"/>
  <c r="O397" i="3"/>
  <c r="P397" i="3"/>
  <c r="Q397" i="3"/>
  <c r="R397" i="3"/>
  <c r="S397" i="3"/>
  <c r="T397" i="3"/>
  <c r="G398" i="3"/>
  <c r="J398" i="3"/>
  <c r="N398" i="3" s="1"/>
  <c r="K398" i="3"/>
  <c r="M398" i="3"/>
  <c r="G399" i="3"/>
  <c r="J399" i="3"/>
  <c r="K399" i="3"/>
  <c r="L399" i="3"/>
  <c r="M399" i="3"/>
  <c r="N399" i="3"/>
  <c r="E402" i="3"/>
  <c r="F402" i="3"/>
  <c r="H402" i="3"/>
  <c r="O402" i="3"/>
  <c r="P402" i="3"/>
  <c r="Q402" i="3"/>
  <c r="R402" i="3"/>
  <c r="S402" i="3"/>
  <c r="T402" i="3"/>
  <c r="G403" i="3"/>
  <c r="J403" i="3"/>
  <c r="N403" i="3" s="1"/>
  <c r="K403" i="3"/>
  <c r="L403" i="3"/>
  <c r="M403" i="3"/>
  <c r="G404" i="3"/>
  <c r="J404" i="3"/>
  <c r="K404" i="3"/>
  <c r="M404" i="3"/>
  <c r="E407" i="3"/>
  <c r="F407" i="3"/>
  <c r="H407" i="3"/>
  <c r="O407" i="3"/>
  <c r="P407" i="3"/>
  <c r="Q407" i="3"/>
  <c r="R407" i="3"/>
  <c r="S407" i="3"/>
  <c r="T407" i="3"/>
  <c r="G408" i="3"/>
  <c r="J408" i="3"/>
  <c r="N408" i="3" s="1"/>
  <c r="K408" i="3"/>
  <c r="L408" i="3"/>
  <c r="M408" i="3"/>
  <c r="G409" i="3"/>
  <c r="J409" i="3"/>
  <c r="K409" i="3"/>
  <c r="L409" i="3"/>
  <c r="M409" i="3"/>
  <c r="N409" i="3"/>
  <c r="G410" i="3"/>
  <c r="J410" i="3"/>
  <c r="L410" i="3" s="1"/>
  <c r="K410" i="3"/>
  <c r="M410" i="3"/>
  <c r="N410" i="3"/>
  <c r="E413" i="3"/>
  <c r="F413" i="3"/>
  <c r="H413" i="3"/>
  <c r="O413" i="3"/>
  <c r="P413" i="3"/>
  <c r="Q413" i="3"/>
  <c r="R413" i="3"/>
  <c r="S413" i="3"/>
  <c r="T413" i="3"/>
  <c r="G414" i="3"/>
  <c r="J414" i="3"/>
  <c r="N414" i="3" s="1"/>
  <c r="K414" i="3"/>
  <c r="L414" i="3"/>
  <c r="M414" i="3"/>
  <c r="E417" i="3"/>
  <c r="F417" i="3"/>
  <c r="H417" i="3"/>
  <c r="O417" i="3"/>
  <c r="P417" i="3"/>
  <c r="Q417" i="3"/>
  <c r="R417" i="3"/>
  <c r="S417" i="3"/>
  <c r="T417" i="3"/>
  <c r="G418" i="3"/>
  <c r="J418" i="3"/>
  <c r="K418" i="3"/>
  <c r="L418" i="3"/>
  <c r="M418" i="3"/>
  <c r="N418" i="3"/>
  <c r="G419" i="3"/>
  <c r="J419" i="3"/>
  <c r="K419" i="3"/>
  <c r="L419" i="3" s="1"/>
  <c r="M419" i="3"/>
  <c r="N419" i="3"/>
  <c r="E422" i="3"/>
  <c r="F422" i="3"/>
  <c r="H422" i="3"/>
  <c r="O422" i="3"/>
  <c r="P422" i="3"/>
  <c r="Q422" i="3"/>
  <c r="R422" i="3"/>
  <c r="S422" i="3"/>
  <c r="T422" i="3"/>
  <c r="G423" i="3"/>
  <c r="J423" i="3"/>
  <c r="K423" i="3"/>
  <c r="L423" i="3"/>
  <c r="M423" i="3"/>
  <c r="N423" i="3"/>
  <c r="G424" i="3"/>
  <c r="J424" i="3"/>
  <c r="K424" i="3"/>
  <c r="M424" i="3"/>
  <c r="G425" i="3"/>
  <c r="J425" i="3"/>
  <c r="N425" i="3" s="1"/>
  <c r="K425" i="3"/>
  <c r="L425" i="3"/>
  <c r="M425" i="3"/>
  <c r="E428" i="3"/>
  <c r="F428" i="3"/>
  <c r="H428" i="3"/>
  <c r="O428" i="3"/>
  <c r="P428" i="3"/>
  <c r="Q428" i="3"/>
  <c r="R428" i="3"/>
  <c r="S428" i="3"/>
  <c r="T428" i="3"/>
  <c r="G429" i="3"/>
  <c r="J429" i="3"/>
  <c r="K429" i="3"/>
  <c r="L429" i="3"/>
  <c r="M429" i="3"/>
  <c r="N429" i="3"/>
  <c r="E432" i="3"/>
  <c r="F432" i="3"/>
  <c r="H432" i="3"/>
  <c r="O432" i="3"/>
  <c r="P432" i="3"/>
  <c r="Q432" i="3"/>
  <c r="R432" i="3"/>
  <c r="S432" i="3"/>
  <c r="T432" i="3"/>
  <c r="G433" i="3"/>
  <c r="J433" i="3"/>
  <c r="L433" i="3" s="1"/>
  <c r="K433" i="3"/>
  <c r="M433" i="3"/>
  <c r="N433" i="3"/>
  <c r="G434" i="3"/>
  <c r="J434" i="3"/>
  <c r="K434" i="3"/>
  <c r="L434" i="3" s="1"/>
  <c r="M434" i="3"/>
  <c r="N434" i="3"/>
  <c r="E437" i="3"/>
  <c r="F437" i="3"/>
  <c r="H437" i="3"/>
  <c r="O437" i="3"/>
  <c r="P437" i="3"/>
  <c r="Q437" i="3"/>
  <c r="R437" i="3"/>
  <c r="S437" i="3"/>
  <c r="T437" i="3"/>
  <c r="G438" i="3"/>
  <c r="J438" i="3"/>
  <c r="K438" i="3"/>
  <c r="L438" i="3"/>
  <c r="M438" i="3"/>
  <c r="N438" i="3"/>
  <c r="E441" i="3"/>
  <c r="F441" i="3"/>
  <c r="H441" i="3"/>
  <c r="O441" i="3"/>
  <c r="P441" i="3"/>
  <c r="Q441" i="3"/>
  <c r="R441" i="3"/>
  <c r="S441" i="3"/>
  <c r="T441" i="3"/>
  <c r="G442" i="3"/>
  <c r="J442" i="3"/>
  <c r="L442" i="3" s="1"/>
  <c r="K442" i="3"/>
  <c r="M442" i="3"/>
  <c r="N442" i="3"/>
  <c r="L5" i="198"/>
  <c r="E6" i="198"/>
  <c r="L6" i="198"/>
  <c r="L7" i="198"/>
  <c r="E12" i="198"/>
  <c r="F12" i="198"/>
  <c r="H12" i="198"/>
  <c r="O12" i="198"/>
  <c r="P12" i="198"/>
  <c r="Q12" i="198"/>
  <c r="R12" i="198"/>
  <c r="S12" i="198"/>
  <c r="T12" i="198"/>
  <c r="G13" i="198"/>
  <c r="J13" i="198"/>
  <c r="K13" i="198"/>
  <c r="M13" i="198"/>
  <c r="E16" i="198"/>
  <c r="F16" i="198"/>
  <c r="H16" i="198"/>
  <c r="O16" i="198"/>
  <c r="P16" i="198"/>
  <c r="Q16" i="198"/>
  <c r="R16" i="198"/>
  <c r="S16" i="198"/>
  <c r="T16" i="198"/>
  <c r="G17" i="198"/>
  <c r="J17" i="198"/>
  <c r="K17" i="198"/>
  <c r="L17" i="198"/>
  <c r="M17" i="198"/>
  <c r="N17" i="198"/>
  <c r="E20" i="198"/>
  <c r="F20" i="198"/>
  <c r="H20" i="198"/>
  <c r="O20" i="198"/>
  <c r="P20" i="198"/>
  <c r="Q20" i="198"/>
  <c r="R20" i="198"/>
  <c r="S20" i="198"/>
  <c r="T20" i="198"/>
  <c r="G21" i="198"/>
  <c r="J21" i="198"/>
  <c r="L21" i="198" s="1"/>
  <c r="K21" i="198"/>
  <c r="M21" i="198"/>
  <c r="N21" i="198"/>
  <c r="G22" i="198"/>
  <c r="J22" i="198"/>
  <c r="K22" i="198"/>
  <c r="L22" i="198"/>
  <c r="M22" i="198"/>
  <c r="N22" i="198"/>
  <c r="E25" i="198"/>
  <c r="F25" i="198"/>
  <c r="H25" i="198"/>
  <c r="O25" i="198"/>
  <c r="P25" i="198"/>
  <c r="Q25" i="198"/>
  <c r="R25" i="198"/>
  <c r="S25" i="198"/>
  <c r="T25" i="198"/>
  <c r="G26" i="198"/>
  <c r="J26" i="198"/>
  <c r="N26" i="198" s="1"/>
  <c r="K26" i="198"/>
  <c r="L26" i="198"/>
  <c r="M26" i="198"/>
  <c r="E29" i="198"/>
  <c r="F29" i="198"/>
  <c r="H29" i="198"/>
  <c r="O29" i="198"/>
  <c r="P29" i="198"/>
  <c r="Q29" i="198"/>
  <c r="R29" i="198"/>
  <c r="S29" i="198"/>
  <c r="T29" i="198"/>
  <c r="G30" i="198"/>
  <c r="J30" i="198"/>
  <c r="K30" i="198"/>
  <c r="M30" i="198"/>
  <c r="E33" i="198"/>
  <c r="F33" i="198"/>
  <c r="H33" i="198"/>
  <c r="O33" i="198"/>
  <c r="P33" i="198"/>
  <c r="Q33" i="198"/>
  <c r="R33" i="198"/>
  <c r="S33" i="198"/>
  <c r="T33" i="198"/>
  <c r="G34" i="198"/>
  <c r="J34" i="198"/>
  <c r="L34" i="198" s="1"/>
  <c r="K34" i="198"/>
  <c r="M34" i="198"/>
  <c r="N34" i="198"/>
  <c r="E37" i="198"/>
  <c r="F37" i="198"/>
  <c r="H37" i="198"/>
  <c r="O37" i="198"/>
  <c r="P37" i="198"/>
  <c r="Q37" i="198"/>
  <c r="R37" i="198"/>
  <c r="S37" i="198"/>
  <c r="T37" i="198"/>
  <c r="G38" i="198"/>
  <c r="J38" i="198"/>
  <c r="L38" i="198" s="1"/>
  <c r="K38" i="198"/>
  <c r="M38" i="198"/>
  <c r="E41" i="198"/>
  <c r="F41" i="198"/>
  <c r="H41" i="198"/>
  <c r="O41" i="198"/>
  <c r="P41" i="198"/>
  <c r="Q41" i="198"/>
  <c r="R41" i="198"/>
  <c r="S41" i="198"/>
  <c r="T41" i="198"/>
  <c r="G42" i="198"/>
  <c r="J42" i="198"/>
  <c r="K42" i="198"/>
  <c r="L42" i="198"/>
  <c r="M42" i="198"/>
  <c r="N42" i="198"/>
  <c r="E45" i="198"/>
  <c r="F45" i="198"/>
  <c r="H45" i="198"/>
  <c r="O45" i="198"/>
  <c r="P45" i="198"/>
  <c r="Q45" i="198"/>
  <c r="R45" i="198"/>
  <c r="S45" i="198"/>
  <c r="T45" i="198"/>
  <c r="G46" i="198"/>
  <c r="J46" i="198"/>
  <c r="K46" i="198"/>
  <c r="L46" i="198"/>
  <c r="M46" i="198"/>
  <c r="N46" i="198"/>
  <c r="G47" i="198"/>
  <c r="J47" i="198"/>
  <c r="K47" i="198"/>
  <c r="M47" i="198"/>
  <c r="E50" i="198"/>
  <c r="F50" i="198"/>
  <c r="H50" i="198"/>
  <c r="O50" i="198"/>
  <c r="P50" i="198"/>
  <c r="Q50" i="198"/>
  <c r="R50" i="198"/>
  <c r="S50" i="198"/>
  <c r="T50" i="198"/>
  <c r="G51" i="198"/>
  <c r="J51" i="198"/>
  <c r="N51" i="198" s="1"/>
  <c r="K51" i="198"/>
  <c r="L51" i="198"/>
  <c r="M51" i="198"/>
  <c r="G52" i="198"/>
  <c r="J52" i="198"/>
  <c r="K52" i="198"/>
  <c r="M52" i="198"/>
  <c r="N52" i="198"/>
  <c r="E55" i="198"/>
  <c r="F55" i="198"/>
  <c r="H55" i="198"/>
  <c r="O55" i="198"/>
  <c r="P55" i="198"/>
  <c r="Q55" i="198"/>
  <c r="R55" i="198"/>
  <c r="S55" i="198"/>
  <c r="T55" i="198"/>
  <c r="G56" i="198"/>
  <c r="J56" i="198"/>
  <c r="K56" i="198"/>
  <c r="L56" i="198" s="1"/>
  <c r="M56" i="198"/>
  <c r="N56" i="198"/>
  <c r="E59" i="198"/>
  <c r="F59" i="198"/>
  <c r="H59" i="198"/>
  <c r="O59" i="198"/>
  <c r="P59" i="198"/>
  <c r="Q59" i="198"/>
  <c r="R59" i="198"/>
  <c r="S59" i="198"/>
  <c r="T59" i="198"/>
  <c r="G60" i="198"/>
  <c r="J60" i="198"/>
  <c r="K60" i="198"/>
  <c r="L60" i="198"/>
  <c r="M60" i="198"/>
  <c r="N60" i="198"/>
  <c r="G61" i="198"/>
  <c r="J61" i="198"/>
  <c r="K61" i="198"/>
  <c r="M61" i="198"/>
  <c r="E64" i="198"/>
  <c r="F64" i="198"/>
  <c r="H64" i="198"/>
  <c r="O64" i="198"/>
  <c r="P64" i="198"/>
  <c r="Q64" i="198"/>
  <c r="R64" i="198"/>
  <c r="S64" i="198"/>
  <c r="T64" i="198"/>
  <c r="G65" i="198"/>
  <c r="J65" i="198"/>
  <c r="K65" i="198"/>
  <c r="L65" i="198"/>
  <c r="M65" i="198"/>
  <c r="N65" i="198"/>
  <c r="G66" i="198"/>
  <c r="J66" i="198"/>
  <c r="L66" i="198" s="1"/>
  <c r="K66" i="198"/>
  <c r="M66" i="198"/>
  <c r="N66" i="198"/>
  <c r="E69" i="198"/>
  <c r="F69" i="198"/>
  <c r="H69" i="198"/>
  <c r="O69" i="198"/>
  <c r="P69" i="198"/>
  <c r="Q69" i="198"/>
  <c r="R69" i="198"/>
  <c r="S69" i="198"/>
  <c r="T69" i="198"/>
  <c r="G70" i="198"/>
  <c r="J70" i="198"/>
  <c r="L70" i="198" s="1"/>
  <c r="K70" i="198"/>
  <c r="M70" i="198"/>
  <c r="N70" i="198"/>
  <c r="G71" i="198"/>
  <c r="J71" i="198"/>
  <c r="K71" i="198"/>
  <c r="L71" i="198"/>
  <c r="M71" i="198"/>
  <c r="N71" i="198"/>
  <c r="E74" i="198"/>
  <c r="F74" i="198"/>
  <c r="H74" i="198"/>
  <c r="O74" i="198"/>
  <c r="P74" i="198"/>
  <c r="Q74" i="198"/>
  <c r="R74" i="198"/>
  <c r="S74" i="198"/>
  <c r="T74" i="198"/>
  <c r="G75" i="198"/>
  <c r="J75" i="198"/>
  <c r="K75" i="198"/>
  <c r="M75" i="198"/>
  <c r="E78" i="198"/>
  <c r="F78" i="198"/>
  <c r="H78" i="198"/>
  <c r="O78" i="198"/>
  <c r="P78" i="198"/>
  <c r="Q78" i="198"/>
  <c r="R78" i="198"/>
  <c r="S78" i="198"/>
  <c r="T78" i="198"/>
  <c r="G79" i="198"/>
  <c r="J79" i="198"/>
  <c r="L79" i="198" s="1"/>
  <c r="K79" i="198"/>
  <c r="M79" i="198"/>
  <c r="N79" i="198"/>
  <c r="E82" i="198"/>
  <c r="F82" i="198"/>
  <c r="H82" i="198"/>
  <c r="O82" i="198"/>
  <c r="P82" i="198"/>
  <c r="Q82" i="198"/>
  <c r="R82" i="198"/>
  <c r="S82" i="198"/>
  <c r="T82" i="198"/>
  <c r="G83" i="198"/>
  <c r="J83" i="198"/>
  <c r="K83" i="198"/>
  <c r="M83" i="198"/>
  <c r="E86" i="198"/>
  <c r="F86" i="198"/>
  <c r="H86" i="198"/>
  <c r="O86" i="198"/>
  <c r="P86" i="198"/>
  <c r="Q86" i="198"/>
  <c r="R86" i="198"/>
  <c r="S86" i="198"/>
  <c r="T86" i="198"/>
  <c r="G87" i="198"/>
  <c r="J87" i="198"/>
  <c r="N87" i="198" s="1"/>
  <c r="K87" i="198"/>
  <c r="L87" i="198"/>
  <c r="M87" i="198"/>
  <c r="E90" i="198"/>
  <c r="F90" i="198"/>
  <c r="H90" i="198"/>
  <c r="O90" i="198"/>
  <c r="P90" i="198"/>
  <c r="Q90" i="198"/>
  <c r="R90" i="198"/>
  <c r="S90" i="198"/>
  <c r="T90" i="198"/>
  <c r="G91" i="198"/>
  <c r="J91" i="198"/>
  <c r="L91" i="198" s="1"/>
  <c r="K91" i="198"/>
  <c r="M91" i="198"/>
  <c r="N91" i="198"/>
  <c r="E94" i="198"/>
  <c r="F94" i="198"/>
  <c r="H94" i="198"/>
  <c r="O94" i="198"/>
  <c r="P94" i="198"/>
  <c r="Q94" i="198"/>
  <c r="R94" i="198"/>
  <c r="S94" i="198"/>
  <c r="T94" i="198"/>
  <c r="G95" i="198"/>
  <c r="J95" i="198"/>
  <c r="K95" i="198"/>
  <c r="M95" i="198"/>
  <c r="E98" i="198"/>
  <c r="F98" i="198"/>
  <c r="H98" i="198"/>
  <c r="O98" i="198"/>
  <c r="P98" i="198"/>
  <c r="Q98" i="198"/>
  <c r="R98" i="198"/>
  <c r="S98" i="198"/>
  <c r="T98" i="198"/>
  <c r="G99" i="198"/>
  <c r="J99" i="198"/>
  <c r="K99" i="198"/>
  <c r="M99" i="198"/>
  <c r="G100" i="198"/>
  <c r="J100" i="198"/>
  <c r="K100" i="198"/>
  <c r="L100" i="198"/>
  <c r="M100" i="198"/>
  <c r="N100" i="198"/>
  <c r="E103" i="198"/>
  <c r="F103" i="198"/>
  <c r="H103" i="198"/>
  <c r="O103" i="198"/>
  <c r="P103" i="198"/>
  <c r="Q103" i="198"/>
  <c r="R103" i="198"/>
  <c r="S103" i="198"/>
  <c r="T103" i="198"/>
  <c r="G104" i="198"/>
  <c r="J104" i="198"/>
  <c r="L104" i="198" s="1"/>
  <c r="K104" i="198"/>
  <c r="M104" i="198"/>
  <c r="N104" i="198"/>
  <c r="E107" i="198"/>
  <c r="F107" i="198"/>
  <c r="H107" i="198"/>
  <c r="O107" i="198"/>
  <c r="P107" i="198"/>
  <c r="Q107" i="198"/>
  <c r="R107" i="198"/>
  <c r="S107" i="198"/>
  <c r="T107" i="198"/>
  <c r="G108" i="198"/>
  <c r="J108" i="198"/>
  <c r="L108" i="198" s="1"/>
  <c r="K108" i="198"/>
  <c r="M108" i="198"/>
  <c r="N108" i="198"/>
  <c r="E111" i="198"/>
  <c r="F111" i="198"/>
  <c r="H111" i="198"/>
  <c r="O111" i="198"/>
  <c r="P111" i="198"/>
  <c r="Q111" i="198"/>
  <c r="R111" i="198"/>
  <c r="S111" i="198"/>
  <c r="T111" i="198"/>
  <c r="G112" i="198"/>
  <c r="J112" i="198"/>
  <c r="N112" i="198" s="1"/>
  <c r="K112" i="198"/>
  <c r="L112" i="198"/>
  <c r="M112" i="198"/>
  <c r="E115" i="198"/>
  <c r="F115" i="198"/>
  <c r="H115" i="198"/>
  <c r="O115" i="198"/>
  <c r="P115" i="198"/>
  <c r="Q115" i="198"/>
  <c r="R115" i="198"/>
  <c r="S115" i="198"/>
  <c r="T115" i="198"/>
  <c r="G116" i="198"/>
  <c r="J116" i="198"/>
  <c r="K116" i="198"/>
  <c r="M116" i="198"/>
  <c r="G117" i="198"/>
  <c r="J117" i="198"/>
  <c r="N117" i="198" s="1"/>
  <c r="K117" i="198"/>
  <c r="M117" i="198"/>
  <c r="E120" i="198"/>
  <c r="F120" i="198"/>
  <c r="H120" i="198"/>
  <c r="O120" i="198"/>
  <c r="P120" i="198"/>
  <c r="Q120" i="198"/>
  <c r="R120" i="198"/>
  <c r="S120" i="198"/>
  <c r="T120" i="198"/>
  <c r="G121" i="198"/>
  <c r="J121" i="198"/>
  <c r="K121" i="198"/>
  <c r="L121" i="198"/>
  <c r="M121" i="198"/>
  <c r="N121" i="198"/>
  <c r="G122" i="198"/>
  <c r="J122" i="198"/>
  <c r="L122" i="198" s="1"/>
  <c r="K122" i="198"/>
  <c r="M122" i="198"/>
  <c r="E125" i="198"/>
  <c r="F125" i="198"/>
  <c r="H125" i="198"/>
  <c r="O125" i="198"/>
  <c r="P125" i="198"/>
  <c r="Q125" i="198"/>
  <c r="R125" i="198"/>
  <c r="S125" i="198"/>
  <c r="T125" i="198"/>
  <c r="G126" i="198"/>
  <c r="J126" i="198"/>
  <c r="N126" i="198" s="1"/>
  <c r="K126" i="198"/>
  <c r="L126" i="198"/>
  <c r="M126" i="198"/>
  <c r="E129" i="198"/>
  <c r="F129" i="198"/>
  <c r="H129" i="198"/>
  <c r="O129" i="198"/>
  <c r="P129" i="198"/>
  <c r="Q129" i="198"/>
  <c r="R129" i="198"/>
  <c r="S129" i="198"/>
  <c r="T129" i="198"/>
  <c r="G130" i="198"/>
  <c r="J130" i="198"/>
  <c r="N130" i="198" s="1"/>
  <c r="K130" i="198"/>
  <c r="L130" i="198"/>
  <c r="M130" i="198"/>
  <c r="E133" i="198"/>
  <c r="F133" i="198"/>
  <c r="H133" i="198"/>
  <c r="O133" i="198"/>
  <c r="P133" i="198"/>
  <c r="Q133" i="198"/>
  <c r="R133" i="198"/>
  <c r="S133" i="198"/>
  <c r="T133" i="198"/>
  <c r="G134" i="198"/>
  <c r="J134" i="198"/>
  <c r="L134" i="198" s="1"/>
  <c r="K134" i="198"/>
  <c r="M134" i="198"/>
  <c r="G135" i="198"/>
  <c r="J135" i="198"/>
  <c r="N135" i="198" s="1"/>
  <c r="K135" i="198"/>
  <c r="L135" i="198"/>
  <c r="M135" i="198"/>
  <c r="E138" i="198"/>
  <c r="F138" i="198"/>
  <c r="H138" i="198"/>
  <c r="O138" i="198"/>
  <c r="P138" i="198"/>
  <c r="Q138" i="198"/>
  <c r="R138" i="198"/>
  <c r="S138" i="198"/>
  <c r="T138" i="198"/>
  <c r="G139" i="198"/>
  <c r="J139" i="198"/>
  <c r="K139" i="198"/>
  <c r="L139" i="198"/>
  <c r="M139" i="198"/>
  <c r="N139" i="198"/>
  <c r="G140" i="198"/>
  <c r="J140" i="198"/>
  <c r="K140" i="198"/>
  <c r="M140" i="198"/>
  <c r="N140" i="198"/>
  <c r="E143" i="198"/>
  <c r="F143" i="198"/>
  <c r="H143" i="198"/>
  <c r="O143" i="198"/>
  <c r="P143" i="198"/>
  <c r="Q143" i="198"/>
  <c r="R143" i="198"/>
  <c r="S143" i="198"/>
  <c r="T143" i="198"/>
  <c r="G144" i="198"/>
  <c r="J144" i="198"/>
  <c r="K144" i="198"/>
  <c r="M144" i="198"/>
  <c r="G145" i="198"/>
  <c r="J145" i="198"/>
  <c r="K145" i="198"/>
  <c r="L145" i="198"/>
  <c r="M145" i="198"/>
  <c r="N145" i="198"/>
  <c r="E148" i="198"/>
  <c r="F148" i="198"/>
  <c r="H148" i="198"/>
  <c r="O148" i="198"/>
  <c r="P148" i="198"/>
  <c r="Q148" i="198"/>
  <c r="R148" i="198"/>
  <c r="S148" i="198"/>
  <c r="T148" i="198"/>
  <c r="G149" i="198"/>
  <c r="J149" i="198"/>
  <c r="L149" i="198" s="1"/>
  <c r="K149" i="198"/>
  <c r="M149" i="198"/>
  <c r="N149" i="198"/>
  <c r="G150" i="198"/>
  <c r="J150" i="198"/>
  <c r="K150" i="198"/>
  <c r="L150" i="198" s="1"/>
  <c r="M150" i="198"/>
  <c r="N150" i="198"/>
  <c r="E153" i="198"/>
  <c r="F153" i="198"/>
  <c r="H153" i="198"/>
  <c r="O153" i="198"/>
  <c r="P153" i="198"/>
  <c r="Q153" i="198"/>
  <c r="R153" i="198"/>
  <c r="S153" i="198"/>
  <c r="T153" i="198"/>
  <c r="G154" i="198"/>
  <c r="J154" i="198"/>
  <c r="K154" i="198"/>
  <c r="L154" i="198"/>
  <c r="M154" i="198"/>
  <c r="N154" i="198"/>
  <c r="E157" i="198"/>
  <c r="F157" i="198"/>
  <c r="H157" i="198"/>
  <c r="O157" i="198"/>
  <c r="P157" i="198"/>
  <c r="Q157" i="198"/>
  <c r="R157" i="198"/>
  <c r="S157" i="198"/>
  <c r="T157" i="198"/>
  <c r="G158" i="198"/>
  <c r="J158" i="198"/>
  <c r="L158" i="198" s="1"/>
  <c r="K158" i="198"/>
  <c r="M158" i="198"/>
  <c r="N158" i="198"/>
  <c r="E161" i="198"/>
  <c r="F161" i="198"/>
  <c r="H161" i="198"/>
  <c r="O161" i="198"/>
  <c r="P161" i="198"/>
  <c r="Q161" i="198"/>
  <c r="R161" i="198"/>
  <c r="S161" i="198"/>
  <c r="T161" i="198"/>
  <c r="G162" i="198"/>
  <c r="J162" i="198"/>
  <c r="K162" i="198"/>
  <c r="L162" i="198" s="1"/>
  <c r="M162" i="198"/>
  <c r="N162" i="198"/>
  <c r="E165" i="198"/>
  <c r="F165" i="198"/>
  <c r="H165" i="198"/>
  <c r="O165" i="198"/>
  <c r="P165" i="198"/>
  <c r="Q165" i="198"/>
  <c r="R165" i="198"/>
  <c r="S165" i="198"/>
  <c r="T165" i="198"/>
  <c r="G166" i="198"/>
  <c r="J166" i="198"/>
  <c r="N166" i="198" s="1"/>
  <c r="K166" i="198"/>
  <c r="L166" i="198"/>
  <c r="M166" i="198"/>
  <c r="E169" i="198"/>
  <c r="F169" i="198"/>
  <c r="H169" i="198"/>
  <c r="O169" i="198"/>
  <c r="P169" i="198"/>
  <c r="Q169" i="198"/>
  <c r="R169" i="198"/>
  <c r="S169" i="198"/>
  <c r="T169" i="198"/>
  <c r="G170" i="198"/>
  <c r="J170" i="198"/>
  <c r="N170" i="198" s="1"/>
  <c r="K170" i="198"/>
  <c r="M170" i="198"/>
  <c r="G171" i="198"/>
  <c r="J171" i="198"/>
  <c r="K171" i="198"/>
  <c r="L171" i="198" s="1"/>
  <c r="M171" i="198"/>
  <c r="N171" i="198"/>
  <c r="E174" i="198"/>
  <c r="F174" i="198"/>
  <c r="H174" i="198"/>
  <c r="O174" i="198"/>
  <c r="P174" i="198"/>
  <c r="Q174" i="198"/>
  <c r="R174" i="198"/>
  <c r="S174" i="198"/>
  <c r="T174" i="198"/>
  <c r="G175" i="198"/>
  <c r="J175" i="198"/>
  <c r="K175" i="198"/>
  <c r="L175" i="198"/>
  <c r="M175" i="198"/>
  <c r="N175" i="198"/>
  <c r="G176" i="198"/>
  <c r="J176" i="198"/>
  <c r="K176" i="198"/>
  <c r="M176" i="198"/>
  <c r="N176" i="198"/>
  <c r="E179" i="198"/>
  <c r="F179" i="198"/>
  <c r="H179" i="198"/>
  <c r="O179" i="198"/>
  <c r="P179" i="198"/>
  <c r="Q179" i="198"/>
  <c r="R179" i="198"/>
  <c r="S179" i="198"/>
  <c r="T179" i="198"/>
  <c r="G180" i="198"/>
  <c r="J180" i="198"/>
  <c r="L180" i="198" s="1"/>
  <c r="K180" i="198"/>
  <c r="M180" i="198"/>
  <c r="N180" i="198"/>
  <c r="E183" i="198"/>
  <c r="F183" i="198"/>
  <c r="H183" i="198"/>
  <c r="O183" i="198"/>
  <c r="P183" i="198"/>
  <c r="Q183" i="198"/>
  <c r="R183" i="198"/>
  <c r="S183" i="198"/>
  <c r="T183" i="198"/>
  <c r="G184" i="198"/>
  <c r="J184" i="198"/>
  <c r="N184" i="198" s="1"/>
  <c r="K184" i="198"/>
  <c r="L184" i="198" s="1"/>
  <c r="M184" i="198"/>
  <c r="E187" i="198"/>
  <c r="F187" i="198"/>
  <c r="H187" i="198"/>
  <c r="O187" i="198"/>
  <c r="P187" i="198"/>
  <c r="Q187" i="198"/>
  <c r="R187" i="198"/>
  <c r="S187" i="198"/>
  <c r="T187" i="198"/>
  <c r="G188" i="198"/>
  <c r="J188" i="198"/>
  <c r="N188" i="198" s="1"/>
  <c r="K188" i="198"/>
  <c r="L188" i="198"/>
  <c r="M188" i="198"/>
  <c r="E191" i="198"/>
  <c r="F191" i="198"/>
  <c r="H191" i="198"/>
  <c r="O191" i="198"/>
  <c r="P191" i="198"/>
  <c r="Q191" i="198"/>
  <c r="R191" i="198"/>
  <c r="S191" i="198"/>
  <c r="T191" i="198"/>
  <c r="G192" i="198"/>
  <c r="J192" i="198"/>
  <c r="L192" i="198" s="1"/>
  <c r="K192" i="198"/>
  <c r="M192" i="198"/>
  <c r="E195" i="198"/>
  <c r="F195" i="198"/>
  <c r="H195" i="198"/>
  <c r="O195" i="198"/>
  <c r="P195" i="198"/>
  <c r="Q195" i="198"/>
  <c r="R195" i="198"/>
  <c r="S195" i="198"/>
  <c r="T195" i="198"/>
  <c r="G196" i="198"/>
  <c r="J196" i="198"/>
  <c r="K196" i="198"/>
  <c r="L196" i="198"/>
  <c r="M196" i="198"/>
  <c r="N196" i="198"/>
  <c r="G197" i="198"/>
  <c r="J197" i="198"/>
  <c r="K197" i="198"/>
  <c r="M197" i="198"/>
  <c r="L5" i="200"/>
  <c r="E6" i="200"/>
  <c r="L6" i="200"/>
  <c r="L7" i="200"/>
  <c r="E12" i="200"/>
  <c r="F12" i="200"/>
  <c r="H12" i="200"/>
  <c r="O12" i="200"/>
  <c r="P12" i="200"/>
  <c r="Q12" i="200"/>
  <c r="R12" i="200"/>
  <c r="S12" i="200"/>
  <c r="T12" i="200"/>
  <c r="G13" i="200"/>
  <c r="J13" i="200"/>
  <c r="K13" i="200"/>
  <c r="M13" i="200"/>
  <c r="G14" i="200"/>
  <c r="J14" i="200"/>
  <c r="K14" i="200"/>
  <c r="L14" i="200" s="1"/>
  <c r="M14" i="200"/>
  <c r="N14" i="200"/>
  <c r="E17" i="200"/>
  <c r="F17" i="200"/>
  <c r="H17" i="200"/>
  <c r="O17" i="200"/>
  <c r="P17" i="200"/>
  <c r="Q17" i="200"/>
  <c r="R17" i="200"/>
  <c r="S17" i="200"/>
  <c r="T17" i="200"/>
  <c r="G18" i="200"/>
  <c r="J18" i="200"/>
  <c r="N18" i="200" s="1"/>
  <c r="K18" i="200"/>
  <c r="M18" i="200"/>
  <c r="G19" i="200"/>
  <c r="J19" i="200"/>
  <c r="K19" i="200"/>
  <c r="L19" i="200" s="1"/>
  <c r="M19" i="200"/>
  <c r="N19" i="200"/>
  <c r="G20" i="200"/>
  <c r="J20" i="200"/>
  <c r="K20" i="200"/>
  <c r="M20" i="200"/>
  <c r="N20" i="200"/>
  <c r="G21" i="200"/>
  <c r="J21" i="200"/>
  <c r="K21" i="200"/>
  <c r="M21" i="200"/>
  <c r="E24" i="200"/>
  <c r="F24" i="200"/>
  <c r="H24" i="200"/>
  <c r="O24" i="200"/>
  <c r="P24" i="200"/>
  <c r="Q24" i="200"/>
  <c r="R24" i="200"/>
  <c r="S24" i="200"/>
  <c r="T24" i="200"/>
  <c r="G25" i="200"/>
  <c r="J25" i="200"/>
  <c r="K25" i="200"/>
  <c r="L25" i="200"/>
  <c r="M25" i="200"/>
  <c r="N25" i="200"/>
  <c r="G26" i="200"/>
  <c r="J26" i="200"/>
  <c r="K26" i="200"/>
  <c r="M26" i="200"/>
  <c r="N26" i="200"/>
  <c r="G27" i="200"/>
  <c r="J27" i="200"/>
  <c r="N27" i="200" s="1"/>
  <c r="K27" i="200"/>
  <c r="M27" i="200"/>
  <c r="G28" i="200"/>
  <c r="J28" i="200"/>
  <c r="K28" i="200"/>
  <c r="M28" i="200"/>
  <c r="N28" i="200"/>
  <c r="G29" i="200"/>
  <c r="J29" i="200"/>
  <c r="K29" i="200"/>
  <c r="L29" i="200" s="1"/>
  <c r="M29" i="200"/>
  <c r="N29" i="200"/>
  <c r="E32" i="200"/>
  <c r="F32" i="200"/>
  <c r="H32" i="200"/>
  <c r="O32" i="200"/>
  <c r="P32" i="200"/>
  <c r="Q32" i="200"/>
  <c r="R32" i="200"/>
  <c r="S32" i="200"/>
  <c r="T32" i="200"/>
  <c r="G33" i="200"/>
  <c r="J33" i="200"/>
  <c r="N33" i="200" s="1"/>
  <c r="K33" i="200"/>
  <c r="M33" i="200"/>
  <c r="G34" i="200"/>
  <c r="J34" i="200"/>
  <c r="K34" i="200"/>
  <c r="M34" i="200"/>
  <c r="G35" i="200"/>
  <c r="J35" i="200"/>
  <c r="K35" i="200"/>
  <c r="L35" i="200"/>
  <c r="M35" i="200"/>
  <c r="N35" i="200"/>
  <c r="G36" i="200"/>
  <c r="J36" i="200"/>
  <c r="K36" i="200"/>
  <c r="M36" i="200"/>
  <c r="N36" i="200"/>
  <c r="E39" i="200"/>
  <c r="F39" i="200"/>
  <c r="H39" i="200"/>
  <c r="O39" i="200"/>
  <c r="P39" i="200"/>
  <c r="Q39" i="200"/>
  <c r="R39" i="200"/>
  <c r="S39" i="200"/>
  <c r="T39" i="200"/>
  <c r="G40" i="200"/>
  <c r="J40" i="200"/>
  <c r="K40" i="200"/>
  <c r="L40" i="200"/>
  <c r="M40" i="200"/>
  <c r="N40" i="200"/>
  <c r="G41" i="200"/>
  <c r="J41" i="200"/>
  <c r="K41" i="200"/>
  <c r="M41" i="200"/>
  <c r="N41" i="200"/>
  <c r="E44" i="200"/>
  <c r="F44" i="200"/>
  <c r="H44" i="200"/>
  <c r="O44" i="200"/>
  <c r="P44" i="200"/>
  <c r="Q44" i="200"/>
  <c r="R44" i="200"/>
  <c r="S44" i="200"/>
  <c r="T44" i="200"/>
  <c r="G45" i="200"/>
  <c r="J45" i="200"/>
  <c r="K45" i="200"/>
  <c r="L45" i="200"/>
  <c r="M45" i="200"/>
  <c r="N45" i="200"/>
  <c r="E48" i="200"/>
  <c r="F48" i="200"/>
  <c r="H48" i="200"/>
  <c r="O48" i="200"/>
  <c r="P48" i="200"/>
  <c r="Q48" i="200"/>
  <c r="R48" i="200"/>
  <c r="S48" i="200"/>
  <c r="T48" i="200"/>
  <c r="G49" i="200"/>
  <c r="J49" i="200"/>
  <c r="N49" i="200" s="1"/>
  <c r="K49" i="200"/>
  <c r="L49" i="200"/>
  <c r="M49" i="200"/>
  <c r="G50" i="200"/>
  <c r="J50" i="200"/>
  <c r="N50" i="200" s="1"/>
  <c r="K50" i="200"/>
  <c r="L50" i="200" s="1"/>
  <c r="M50" i="200"/>
  <c r="G51" i="200"/>
  <c r="J51" i="200"/>
  <c r="K51" i="200"/>
  <c r="L51" i="200"/>
  <c r="M51" i="200"/>
  <c r="N51" i="200"/>
  <c r="E54" i="200"/>
  <c r="F54" i="200"/>
  <c r="H54" i="200"/>
  <c r="O54" i="200"/>
  <c r="P54" i="200"/>
  <c r="Q54" i="200"/>
  <c r="R54" i="200"/>
  <c r="S54" i="200"/>
  <c r="T54" i="200"/>
  <c r="G55" i="200"/>
  <c r="J55" i="200"/>
  <c r="K55" i="200"/>
  <c r="M55" i="200"/>
  <c r="E58" i="200"/>
  <c r="F58" i="200"/>
  <c r="H58" i="200"/>
  <c r="O58" i="200"/>
  <c r="P58" i="200"/>
  <c r="Q58" i="200"/>
  <c r="R58" i="200"/>
  <c r="S58" i="200"/>
  <c r="T58" i="200"/>
  <c r="G59" i="200"/>
  <c r="J59" i="200"/>
  <c r="L59" i="200" s="1"/>
  <c r="K59" i="200"/>
  <c r="M59" i="200"/>
  <c r="N59" i="200"/>
  <c r="G60" i="200"/>
  <c r="J60" i="200"/>
  <c r="N60" i="200" s="1"/>
  <c r="K60" i="200"/>
  <c r="L60" i="200" s="1"/>
  <c r="M60" i="200"/>
  <c r="E63" i="200"/>
  <c r="F63" i="200"/>
  <c r="H63" i="200"/>
  <c r="O63" i="200"/>
  <c r="P63" i="200"/>
  <c r="Q63" i="200"/>
  <c r="R63" i="200"/>
  <c r="S63" i="200"/>
  <c r="T63" i="200"/>
  <c r="G64" i="200"/>
  <c r="J64" i="200"/>
  <c r="L64" i="200" s="1"/>
  <c r="K64" i="200"/>
  <c r="M64" i="200"/>
  <c r="N64" i="200"/>
  <c r="G65" i="200"/>
  <c r="J65" i="200"/>
  <c r="K65" i="200"/>
  <c r="M65" i="200"/>
  <c r="G66" i="200"/>
  <c r="J66" i="200"/>
  <c r="K66" i="200"/>
  <c r="M66" i="200"/>
  <c r="G67" i="200"/>
  <c r="J67" i="200"/>
  <c r="K67" i="200"/>
  <c r="L67" i="200" s="1"/>
  <c r="M67" i="200"/>
  <c r="N67" i="200"/>
  <c r="E70" i="200"/>
  <c r="F70" i="200"/>
  <c r="H70" i="200"/>
  <c r="O70" i="200"/>
  <c r="P70" i="200"/>
  <c r="Q70" i="200"/>
  <c r="R70" i="200"/>
  <c r="S70" i="200"/>
  <c r="T70" i="200"/>
  <c r="G71" i="200"/>
  <c r="J71" i="200"/>
  <c r="N71" i="200" s="1"/>
  <c r="K71" i="200"/>
  <c r="M71" i="200"/>
  <c r="G72" i="200"/>
  <c r="J72" i="200"/>
  <c r="K72" i="200"/>
  <c r="M72" i="200"/>
  <c r="G73" i="200"/>
  <c r="J73" i="200"/>
  <c r="K73" i="200"/>
  <c r="L73" i="200"/>
  <c r="M73" i="200"/>
  <c r="N73" i="200"/>
  <c r="G74" i="200"/>
  <c r="J74" i="200"/>
  <c r="K74" i="200"/>
  <c r="M74" i="200"/>
  <c r="N74" i="200"/>
  <c r="E77" i="200"/>
  <c r="F77" i="200"/>
  <c r="H77" i="200"/>
  <c r="O77" i="200"/>
  <c r="P77" i="200"/>
  <c r="Q77" i="200"/>
  <c r="R77" i="200"/>
  <c r="S77" i="200"/>
  <c r="T77" i="200"/>
  <c r="G78" i="200"/>
  <c r="J78" i="200"/>
  <c r="L78" i="200" s="1"/>
  <c r="K78" i="200"/>
  <c r="M78" i="200"/>
  <c r="N78" i="200"/>
  <c r="G79" i="200"/>
  <c r="J79" i="200"/>
  <c r="K79" i="200"/>
  <c r="M79" i="200"/>
  <c r="G80" i="200"/>
  <c r="J80" i="200"/>
  <c r="N80" i="200" s="1"/>
  <c r="K80" i="200"/>
  <c r="M80" i="200"/>
  <c r="G81" i="200"/>
  <c r="J81" i="200"/>
  <c r="K81" i="200"/>
  <c r="L81" i="200"/>
  <c r="M81" i="200"/>
  <c r="N81" i="200"/>
  <c r="E84" i="200"/>
  <c r="F84" i="200"/>
  <c r="H84" i="200"/>
  <c r="O84" i="200"/>
  <c r="P84" i="200"/>
  <c r="Q84" i="200"/>
  <c r="R84" i="200"/>
  <c r="S84" i="200"/>
  <c r="T84" i="200"/>
  <c r="G85" i="200"/>
  <c r="J85" i="200"/>
  <c r="L85" i="200" s="1"/>
  <c r="K85" i="200"/>
  <c r="M85" i="200"/>
  <c r="N85" i="200"/>
  <c r="G86" i="200"/>
  <c r="J86" i="200"/>
  <c r="K86" i="200"/>
  <c r="M86" i="200"/>
  <c r="G87" i="200"/>
  <c r="J87" i="200"/>
  <c r="K87" i="200"/>
  <c r="M87" i="200"/>
  <c r="N87" i="200"/>
  <c r="E90" i="200"/>
  <c r="F90" i="200"/>
  <c r="H90" i="200"/>
  <c r="O90" i="200"/>
  <c r="P90" i="200"/>
  <c r="Q90" i="200"/>
  <c r="R90" i="200"/>
  <c r="S90" i="200"/>
  <c r="T90" i="200"/>
  <c r="G91" i="200"/>
  <c r="J91" i="200"/>
  <c r="K91" i="200"/>
  <c r="L91" i="200"/>
  <c r="M91" i="200"/>
  <c r="N91" i="200"/>
  <c r="G92" i="200"/>
  <c r="J92" i="200"/>
  <c r="L92" i="200" s="1"/>
  <c r="K92" i="200"/>
  <c r="M92" i="200"/>
  <c r="N92" i="200"/>
  <c r="G93" i="200"/>
  <c r="J93" i="200"/>
  <c r="K93" i="200"/>
  <c r="M93" i="200"/>
  <c r="E96" i="200"/>
  <c r="F96" i="200"/>
  <c r="H96" i="200"/>
  <c r="O96" i="200"/>
  <c r="P96" i="200"/>
  <c r="Q96" i="200"/>
  <c r="R96" i="200"/>
  <c r="S96" i="200"/>
  <c r="T96" i="200"/>
  <c r="G97" i="200"/>
  <c r="J97" i="200"/>
  <c r="N97" i="200" s="1"/>
  <c r="K97" i="200"/>
  <c r="L97" i="200"/>
  <c r="M97" i="200"/>
  <c r="G98" i="200"/>
  <c r="J98" i="200"/>
  <c r="K98" i="200"/>
  <c r="L98" i="200"/>
  <c r="M98" i="200"/>
  <c r="N98" i="200"/>
  <c r="G99" i="200"/>
  <c r="J99" i="200"/>
  <c r="K99" i="200"/>
  <c r="L99" i="200" s="1"/>
  <c r="M99" i="200"/>
  <c r="N99" i="200"/>
  <c r="G100" i="200"/>
  <c r="J100" i="200"/>
  <c r="K100" i="200"/>
  <c r="M100" i="200"/>
  <c r="N100" i="200"/>
  <c r="G101" i="200"/>
  <c r="J101" i="200"/>
  <c r="K101" i="200"/>
  <c r="M101" i="200"/>
  <c r="G102" i="200"/>
  <c r="J102" i="200"/>
  <c r="L102" i="200" s="1"/>
  <c r="K102" i="200"/>
  <c r="M102" i="200"/>
  <c r="N102" i="200"/>
  <c r="E105" i="200"/>
  <c r="F105" i="200"/>
  <c r="H105" i="200"/>
  <c r="O105" i="200"/>
  <c r="P105" i="200"/>
  <c r="Q105" i="200"/>
  <c r="R105" i="200"/>
  <c r="S105" i="200"/>
  <c r="T105" i="200"/>
  <c r="G106" i="200"/>
  <c r="J106" i="200"/>
  <c r="L106" i="200" s="1"/>
  <c r="K106" i="200"/>
  <c r="M106" i="200"/>
  <c r="N106" i="200"/>
  <c r="G107" i="200"/>
  <c r="J107" i="200"/>
  <c r="K107" i="200"/>
  <c r="L107" i="200"/>
  <c r="M107" i="200"/>
  <c r="N107" i="200"/>
  <c r="G108" i="200"/>
  <c r="J108" i="200"/>
  <c r="K108" i="200"/>
  <c r="M108" i="200"/>
  <c r="G109" i="200"/>
  <c r="J109" i="200"/>
  <c r="N109" i="200" s="1"/>
  <c r="K109" i="200"/>
  <c r="M109" i="200"/>
  <c r="E112" i="200"/>
  <c r="F112" i="200"/>
  <c r="H112" i="200"/>
  <c r="O112" i="200"/>
  <c r="P112" i="200"/>
  <c r="Q112" i="200"/>
  <c r="R112" i="200"/>
  <c r="S112" i="200"/>
  <c r="T112" i="200"/>
  <c r="G113" i="200"/>
  <c r="J113" i="200"/>
  <c r="L113" i="200" s="1"/>
  <c r="K113" i="200"/>
  <c r="M113" i="200"/>
  <c r="N113" i="200"/>
  <c r="G114" i="200"/>
  <c r="J114" i="200"/>
  <c r="K114" i="200"/>
  <c r="L114" i="200" s="1"/>
  <c r="M114" i="200"/>
  <c r="N114" i="200"/>
  <c r="G115" i="200"/>
  <c r="J115" i="200"/>
  <c r="L115" i="200" s="1"/>
  <c r="K115" i="200"/>
  <c r="M115" i="200"/>
  <c r="N115" i="200"/>
  <c r="E118" i="200"/>
  <c r="F118" i="200"/>
  <c r="H118" i="200"/>
  <c r="O118" i="200"/>
  <c r="P118" i="200"/>
  <c r="Q118" i="200"/>
  <c r="R118" i="200"/>
  <c r="S118" i="200"/>
  <c r="T118" i="200"/>
  <c r="G119" i="200"/>
  <c r="J119" i="200"/>
  <c r="K119" i="200"/>
  <c r="L119" i="200"/>
  <c r="M119" i="200"/>
  <c r="N119" i="200"/>
  <c r="G120" i="200"/>
  <c r="J120" i="200"/>
  <c r="L120" i="200" s="1"/>
  <c r="K120" i="200"/>
  <c r="M120" i="200"/>
  <c r="N120" i="200"/>
  <c r="G121" i="200"/>
  <c r="J121" i="200"/>
  <c r="K121" i="200"/>
  <c r="M121" i="200"/>
  <c r="G122" i="200"/>
  <c r="J122" i="200"/>
  <c r="N122" i="200" s="1"/>
  <c r="K122" i="200"/>
  <c r="L122" i="200"/>
  <c r="M122" i="200"/>
  <c r="G123" i="200"/>
  <c r="J123" i="200"/>
  <c r="K123" i="200"/>
  <c r="L123" i="200"/>
  <c r="M123" i="200"/>
  <c r="N123" i="200"/>
  <c r="G124" i="200"/>
  <c r="J124" i="200"/>
  <c r="K124" i="200"/>
  <c r="M124" i="200"/>
  <c r="N124" i="200"/>
  <c r="E127" i="200"/>
  <c r="F127" i="200"/>
  <c r="H127" i="200"/>
  <c r="O127" i="200"/>
  <c r="P127" i="200"/>
  <c r="Q127" i="200"/>
  <c r="R127" i="200"/>
  <c r="S127" i="200"/>
  <c r="T127" i="200"/>
  <c r="G128" i="200"/>
  <c r="J128" i="200"/>
  <c r="N128" i="200" s="1"/>
  <c r="K128" i="200"/>
  <c r="M128" i="200"/>
  <c r="G129" i="200"/>
  <c r="J129" i="200"/>
  <c r="K129" i="200"/>
  <c r="L129" i="200" s="1"/>
  <c r="M129" i="200"/>
  <c r="N129" i="200"/>
  <c r="G130" i="200"/>
  <c r="J130" i="200"/>
  <c r="K130" i="200"/>
  <c r="M130" i="200"/>
  <c r="N130" i="200"/>
  <c r="G131" i="200"/>
  <c r="J131" i="200"/>
  <c r="N131" i="200" s="1"/>
  <c r="K131" i="200"/>
  <c r="M131" i="200"/>
  <c r="G132" i="200"/>
  <c r="J132" i="200"/>
  <c r="K132" i="200"/>
  <c r="L132" i="200" s="1"/>
  <c r="M132" i="200"/>
  <c r="N132" i="200"/>
  <c r="G133" i="200"/>
  <c r="J133" i="200"/>
  <c r="K133" i="200"/>
  <c r="L133" i="200" s="1"/>
  <c r="M133" i="200"/>
  <c r="N133" i="200"/>
  <c r="G134" i="200"/>
  <c r="J134" i="200"/>
  <c r="L134" i="200" s="1"/>
  <c r="K134" i="200"/>
  <c r="M134" i="200"/>
  <c r="N134" i="200"/>
  <c r="G135" i="200"/>
  <c r="J135" i="200"/>
  <c r="K135" i="200"/>
  <c r="M135" i="200"/>
  <c r="G136" i="200"/>
  <c r="J136" i="200"/>
  <c r="L136" i="200" s="1"/>
  <c r="K136" i="200"/>
  <c r="M136" i="200"/>
  <c r="G137" i="200"/>
  <c r="J137" i="200"/>
  <c r="K137" i="200"/>
  <c r="L137" i="200"/>
  <c r="M137" i="200"/>
  <c r="N137" i="200"/>
  <c r="G138" i="200"/>
  <c r="J138" i="200"/>
  <c r="K138" i="200"/>
  <c r="M138" i="200"/>
  <c r="E141" i="200"/>
  <c r="F141" i="200"/>
  <c r="H141" i="200"/>
  <c r="O141" i="200"/>
  <c r="P141" i="200"/>
  <c r="Q141" i="200"/>
  <c r="R141" i="200"/>
  <c r="S141" i="200"/>
  <c r="T141" i="200"/>
  <c r="G142" i="200"/>
  <c r="J142" i="200"/>
  <c r="K142" i="200"/>
  <c r="L142" i="200"/>
  <c r="M142" i="200"/>
  <c r="N142" i="200"/>
  <c r="G143" i="200"/>
  <c r="J143" i="200"/>
  <c r="L143" i="200" s="1"/>
  <c r="K143" i="200"/>
  <c r="M143" i="200"/>
  <c r="G144" i="200"/>
  <c r="J144" i="200"/>
  <c r="N144" i="200" s="1"/>
  <c r="K144" i="200"/>
  <c r="L144" i="200"/>
  <c r="M144" i="200"/>
  <c r="G145" i="200"/>
  <c r="J145" i="200"/>
  <c r="L145" i="200" s="1"/>
  <c r="K145" i="200"/>
  <c r="M145" i="200"/>
  <c r="N145" i="200"/>
  <c r="E148" i="200"/>
  <c r="F148" i="200"/>
  <c r="H148" i="200"/>
  <c r="O148" i="200"/>
  <c r="P148" i="200"/>
  <c r="Q148" i="200"/>
  <c r="R148" i="200"/>
  <c r="S148" i="200"/>
  <c r="T148" i="200"/>
  <c r="G149" i="200"/>
  <c r="J149" i="200"/>
  <c r="L149" i="200" s="1"/>
  <c r="K149" i="200"/>
  <c r="M149" i="200"/>
  <c r="G150" i="200"/>
  <c r="J150" i="200"/>
  <c r="K150" i="200"/>
  <c r="M150" i="200"/>
  <c r="G151" i="200"/>
  <c r="J151" i="200"/>
  <c r="L151" i="200" s="1"/>
  <c r="K151" i="200"/>
  <c r="M151" i="200"/>
  <c r="N151" i="200"/>
  <c r="G152" i="200"/>
  <c r="J152" i="200"/>
  <c r="K152" i="200"/>
  <c r="L152" i="200" s="1"/>
  <c r="M152" i="200"/>
  <c r="N152" i="200"/>
  <c r="G153" i="200"/>
  <c r="J153" i="200"/>
  <c r="L153" i="200" s="1"/>
  <c r="K153" i="200"/>
  <c r="M153" i="200"/>
  <c r="N153" i="200"/>
  <c r="G154" i="200"/>
  <c r="J154" i="200"/>
  <c r="N154" i="200" s="1"/>
  <c r="K154" i="200"/>
  <c r="M154" i="200"/>
  <c r="G155" i="200"/>
  <c r="J155" i="200"/>
  <c r="K155" i="200"/>
  <c r="M155" i="200"/>
  <c r="E158" i="200"/>
  <c r="F158" i="200"/>
  <c r="H158" i="200"/>
  <c r="O158" i="200"/>
  <c r="P158" i="200"/>
  <c r="Q158" i="200"/>
  <c r="R158" i="200"/>
  <c r="S158" i="200"/>
  <c r="T158" i="200"/>
  <c r="G159" i="200"/>
  <c r="J159" i="200"/>
  <c r="K159" i="200"/>
  <c r="L159" i="200"/>
  <c r="M159" i="200"/>
  <c r="N159" i="200"/>
  <c r="G160" i="200"/>
  <c r="J160" i="200"/>
  <c r="L160" i="200" s="1"/>
  <c r="K160" i="200"/>
  <c r="M160" i="200"/>
  <c r="N160" i="200"/>
  <c r="G161" i="200"/>
  <c r="J161" i="200"/>
  <c r="N161" i="200" s="1"/>
  <c r="K161" i="200"/>
  <c r="L161" i="200"/>
  <c r="M161" i="200"/>
  <c r="G162" i="200"/>
  <c r="J162" i="200"/>
  <c r="L162" i="200" s="1"/>
  <c r="K162" i="200"/>
  <c r="M162" i="200"/>
  <c r="N162" i="200"/>
  <c r="G163" i="200"/>
  <c r="J163" i="200"/>
  <c r="K163" i="200"/>
  <c r="L163" i="200" s="1"/>
  <c r="M163" i="200"/>
  <c r="N163" i="200"/>
  <c r="G164" i="200"/>
  <c r="J164" i="200"/>
  <c r="L164" i="200" s="1"/>
  <c r="K164" i="200"/>
  <c r="M164" i="200"/>
  <c r="N164" i="200"/>
  <c r="G165" i="200"/>
  <c r="J165" i="200"/>
  <c r="N165" i="200" s="1"/>
  <c r="K165" i="200"/>
  <c r="L165" i="200"/>
  <c r="M165" i="200"/>
  <c r="G166" i="200"/>
  <c r="J166" i="200"/>
  <c r="N166" i="200" s="1"/>
  <c r="K166" i="200"/>
  <c r="M166" i="200"/>
  <c r="G167" i="200"/>
  <c r="J167" i="200"/>
  <c r="K167" i="200"/>
  <c r="L167" i="200" s="1"/>
  <c r="M167" i="200"/>
  <c r="N167" i="200"/>
  <c r="G168" i="200"/>
  <c r="J168" i="200"/>
  <c r="L168" i="200" s="1"/>
  <c r="K168" i="200"/>
  <c r="M168" i="200"/>
  <c r="N168" i="200"/>
  <c r="E171" i="200"/>
  <c r="F171" i="200"/>
  <c r="H171" i="200"/>
  <c r="O171" i="200"/>
  <c r="P171" i="200"/>
  <c r="Q171" i="200"/>
  <c r="R171" i="200"/>
  <c r="S171" i="200"/>
  <c r="T171" i="200"/>
  <c r="G172" i="200"/>
  <c r="J172" i="200"/>
  <c r="L172" i="200" s="1"/>
  <c r="K172" i="200"/>
  <c r="M172" i="200"/>
  <c r="N172" i="200"/>
  <c r="G173" i="200"/>
  <c r="J173" i="200"/>
  <c r="N173" i="200" s="1"/>
  <c r="K173" i="200"/>
  <c r="M173" i="200"/>
  <c r="G174" i="200"/>
  <c r="J174" i="200"/>
  <c r="N174" i="200" s="1"/>
  <c r="K174" i="200"/>
  <c r="L174" i="200"/>
  <c r="M174" i="200"/>
  <c r="G175" i="200"/>
  <c r="J175" i="200"/>
  <c r="K175" i="200"/>
  <c r="L175" i="200"/>
  <c r="M175" i="200"/>
  <c r="N175" i="200"/>
  <c r="E178" i="200"/>
  <c r="F178" i="200"/>
  <c r="H178" i="200"/>
  <c r="O178" i="200"/>
  <c r="P178" i="200"/>
  <c r="Q178" i="200"/>
  <c r="R178" i="200"/>
  <c r="S178" i="200"/>
  <c r="T178" i="200"/>
  <c r="G179" i="200"/>
  <c r="J179" i="200"/>
  <c r="N179" i="200" s="1"/>
  <c r="K179" i="200"/>
  <c r="M179" i="200"/>
  <c r="G180" i="200"/>
  <c r="J180" i="200"/>
  <c r="N180" i="200" s="1"/>
  <c r="K180" i="200"/>
  <c r="L180" i="200"/>
  <c r="M180" i="200"/>
  <c r="G181" i="200"/>
  <c r="J181" i="200"/>
  <c r="K181" i="200"/>
  <c r="L181" i="200"/>
  <c r="M181" i="200"/>
  <c r="N181" i="200"/>
  <c r="G182" i="200"/>
  <c r="J182" i="200"/>
  <c r="K182" i="200"/>
  <c r="M182" i="200"/>
  <c r="G183" i="200"/>
  <c r="J183" i="200"/>
  <c r="K183" i="200"/>
  <c r="M183" i="200"/>
  <c r="E186" i="200"/>
  <c r="F186" i="200"/>
  <c r="H186" i="200"/>
  <c r="O186" i="200"/>
  <c r="P186" i="200"/>
  <c r="Q186" i="200"/>
  <c r="R186" i="200"/>
  <c r="S186" i="200"/>
  <c r="T186" i="200"/>
  <c r="G187" i="200"/>
  <c r="J187" i="200"/>
  <c r="L187" i="200" s="1"/>
  <c r="K187" i="200"/>
  <c r="M187" i="200"/>
  <c r="N187" i="200"/>
  <c r="G188" i="200"/>
  <c r="J188" i="200"/>
  <c r="N188" i="200" s="1"/>
  <c r="K188" i="200"/>
  <c r="L188" i="200"/>
  <c r="M188" i="200"/>
  <c r="G189" i="200"/>
  <c r="J189" i="200"/>
  <c r="K189" i="200"/>
  <c r="L189" i="200" s="1"/>
  <c r="M189" i="200"/>
  <c r="N189" i="200"/>
  <c r="G190" i="200"/>
  <c r="J190" i="200"/>
  <c r="K190" i="200"/>
  <c r="L190" i="200" s="1"/>
  <c r="M190" i="200"/>
  <c r="N190" i="200"/>
  <c r="G191" i="200"/>
  <c r="J191" i="200"/>
  <c r="K191" i="200"/>
  <c r="M191" i="200"/>
  <c r="G192" i="200"/>
  <c r="J192" i="200"/>
  <c r="K192" i="200"/>
  <c r="M192" i="200"/>
  <c r="E195" i="200"/>
  <c r="F195" i="200"/>
  <c r="H195" i="200"/>
  <c r="O195" i="200"/>
  <c r="P195" i="200"/>
  <c r="Q195" i="200"/>
  <c r="R195" i="200"/>
  <c r="S195" i="200"/>
  <c r="T195" i="200"/>
  <c r="G196" i="200"/>
  <c r="J196" i="200"/>
  <c r="N196" i="200" s="1"/>
  <c r="K196" i="200"/>
  <c r="M196" i="200"/>
  <c r="G197" i="200"/>
  <c r="J197" i="200"/>
  <c r="N197" i="200" s="1"/>
  <c r="K197" i="200"/>
  <c r="M197" i="200"/>
  <c r="G198" i="200"/>
  <c r="J198" i="200"/>
  <c r="K198" i="200"/>
  <c r="L198" i="200"/>
  <c r="M198" i="200"/>
  <c r="N198" i="200"/>
  <c r="E201" i="200"/>
  <c r="F201" i="200"/>
  <c r="H201" i="200"/>
  <c r="O201" i="200"/>
  <c r="P201" i="200"/>
  <c r="Q201" i="200"/>
  <c r="R201" i="200"/>
  <c r="S201" i="200"/>
  <c r="T201" i="200"/>
  <c r="G202" i="200"/>
  <c r="J202" i="200"/>
  <c r="K202" i="200"/>
  <c r="M202" i="200"/>
  <c r="E205" i="200"/>
  <c r="F205" i="200"/>
  <c r="H205" i="200"/>
  <c r="O205" i="200"/>
  <c r="P205" i="200"/>
  <c r="Q205" i="200"/>
  <c r="R205" i="200"/>
  <c r="S205" i="200"/>
  <c r="T205" i="200"/>
  <c r="G206" i="200"/>
  <c r="J206" i="200"/>
  <c r="K206" i="200"/>
  <c r="L206" i="200"/>
  <c r="M206" i="200"/>
  <c r="N206" i="200"/>
  <c r="G207" i="200"/>
  <c r="J207" i="200"/>
  <c r="L207" i="200" s="1"/>
  <c r="K207" i="200"/>
  <c r="M207" i="200"/>
  <c r="N207" i="200"/>
  <c r="G208" i="200"/>
  <c r="J208" i="200"/>
  <c r="K208" i="200"/>
  <c r="M208" i="200"/>
  <c r="G209" i="200"/>
  <c r="J209" i="200"/>
  <c r="N209" i="200" s="1"/>
  <c r="K209" i="200"/>
  <c r="L209" i="200"/>
  <c r="M209" i="200"/>
  <c r="G210" i="200"/>
  <c r="J210" i="200"/>
  <c r="K210" i="200"/>
  <c r="L210" i="200"/>
  <c r="M210" i="200"/>
  <c r="N210" i="200"/>
  <c r="E213" i="200"/>
  <c r="F213" i="200"/>
  <c r="H213" i="200"/>
  <c r="O213" i="200"/>
  <c r="P213" i="200"/>
  <c r="Q213" i="200"/>
  <c r="R213" i="200"/>
  <c r="S213" i="200"/>
  <c r="T213" i="200"/>
  <c r="G214" i="200"/>
  <c r="J214" i="200"/>
  <c r="N214" i="200" s="1"/>
  <c r="K214" i="200"/>
  <c r="M214" i="200"/>
  <c r="E217" i="200"/>
  <c r="F217" i="200"/>
  <c r="H217" i="200"/>
  <c r="O217" i="200"/>
  <c r="P217" i="200"/>
  <c r="Q217" i="200"/>
  <c r="R217" i="200"/>
  <c r="S217" i="200"/>
  <c r="T217" i="200"/>
  <c r="G218" i="200"/>
  <c r="J218" i="200"/>
  <c r="K218" i="200"/>
  <c r="L218" i="200"/>
  <c r="M218" i="200"/>
  <c r="N218" i="200"/>
  <c r="E221" i="200"/>
  <c r="F221" i="200"/>
  <c r="H221" i="200"/>
  <c r="O221" i="200"/>
  <c r="P221" i="200"/>
  <c r="Q221" i="200"/>
  <c r="R221" i="200"/>
  <c r="S221" i="200"/>
  <c r="T221" i="200"/>
  <c r="G222" i="200"/>
  <c r="J222" i="200"/>
  <c r="K222" i="200"/>
  <c r="M222" i="200"/>
  <c r="E225" i="200"/>
  <c r="F225" i="200"/>
  <c r="H225" i="200"/>
  <c r="O225" i="200"/>
  <c r="P225" i="200"/>
  <c r="Q225" i="200"/>
  <c r="R225" i="200"/>
  <c r="S225" i="200"/>
  <c r="T225" i="200"/>
  <c r="G226" i="200"/>
  <c r="J226" i="200"/>
  <c r="K226" i="200"/>
  <c r="L226" i="200"/>
  <c r="M226" i="200"/>
  <c r="N226" i="200"/>
  <c r="G227" i="200"/>
  <c r="J227" i="200"/>
  <c r="L227" i="200" s="1"/>
  <c r="K227" i="200"/>
  <c r="M227" i="200"/>
  <c r="N227" i="200"/>
  <c r="G228" i="200"/>
  <c r="J228" i="200"/>
  <c r="N228" i="200" s="1"/>
  <c r="K228" i="200"/>
  <c r="L228" i="200"/>
  <c r="M228" i="200"/>
  <c r="E231" i="200"/>
  <c r="F231" i="200"/>
  <c r="H231" i="200"/>
  <c r="O231" i="200"/>
  <c r="P231" i="200"/>
  <c r="Q231" i="200"/>
  <c r="R231" i="200"/>
  <c r="S231" i="200"/>
  <c r="T231" i="200"/>
  <c r="G232" i="200"/>
  <c r="J232" i="200"/>
  <c r="N232" i="200" s="1"/>
  <c r="K232" i="200"/>
  <c r="M232" i="200"/>
  <c r="E235" i="200"/>
  <c r="F235" i="200"/>
  <c r="H235" i="200"/>
  <c r="O235" i="200"/>
  <c r="P235" i="200"/>
  <c r="Q235" i="200"/>
  <c r="R235" i="200"/>
  <c r="S235" i="200"/>
  <c r="T235" i="200"/>
  <c r="G236" i="200"/>
  <c r="J236" i="200"/>
  <c r="K236" i="200"/>
  <c r="M236" i="200"/>
  <c r="G237" i="200"/>
  <c r="J237" i="200"/>
  <c r="N237" i="200" s="1"/>
  <c r="K237" i="200"/>
  <c r="L237" i="200"/>
  <c r="M237" i="200"/>
  <c r="E240" i="200"/>
  <c r="F240" i="200"/>
  <c r="H240" i="200"/>
  <c r="O240" i="200"/>
  <c r="P240" i="200"/>
  <c r="Q240" i="200"/>
  <c r="R240" i="200"/>
  <c r="S240" i="200"/>
  <c r="T240" i="200"/>
  <c r="G241" i="200"/>
  <c r="J241" i="200"/>
  <c r="K241" i="200"/>
  <c r="L241" i="200"/>
  <c r="M241" i="200"/>
  <c r="N241" i="200"/>
  <c r="E244" i="200"/>
  <c r="F244" i="200"/>
  <c r="H244" i="200"/>
  <c r="O244" i="200"/>
  <c r="P244" i="200"/>
  <c r="Q244" i="200"/>
  <c r="R244" i="200"/>
  <c r="S244" i="200"/>
  <c r="T244" i="200"/>
  <c r="G245" i="200"/>
  <c r="J245" i="200"/>
  <c r="K245" i="200"/>
  <c r="L245" i="200"/>
  <c r="M245" i="200"/>
  <c r="N245" i="200"/>
  <c r="E248" i="200"/>
  <c r="F248" i="200"/>
  <c r="H248" i="200"/>
  <c r="O248" i="200"/>
  <c r="P248" i="200"/>
  <c r="Q248" i="200"/>
  <c r="R248" i="200"/>
  <c r="S248" i="200"/>
  <c r="T248" i="200"/>
  <c r="G249" i="200"/>
  <c r="J249" i="200"/>
  <c r="L249" i="200" s="1"/>
  <c r="K249" i="200"/>
  <c r="M249" i="200"/>
  <c r="E252" i="200"/>
  <c r="F252" i="200"/>
  <c r="H252" i="200"/>
  <c r="O252" i="200"/>
  <c r="P252" i="200"/>
  <c r="Q252" i="200"/>
  <c r="R252" i="200"/>
  <c r="S252" i="200"/>
  <c r="T252" i="200"/>
  <c r="G253" i="200"/>
  <c r="J253" i="200"/>
  <c r="K253" i="200"/>
  <c r="L253" i="200"/>
  <c r="M253" i="200"/>
  <c r="N253" i="200"/>
  <c r="E256" i="200"/>
  <c r="F256" i="200"/>
  <c r="H256" i="200"/>
  <c r="O256" i="200"/>
  <c r="P256" i="200"/>
  <c r="Q256" i="200"/>
  <c r="R256" i="200"/>
  <c r="S256" i="200"/>
  <c r="T256" i="200"/>
  <c r="G257" i="200"/>
  <c r="J257" i="200"/>
  <c r="K257" i="200"/>
  <c r="M257" i="200"/>
  <c r="E260" i="200"/>
  <c r="F260" i="200"/>
  <c r="H260" i="200"/>
  <c r="O260" i="200"/>
  <c r="P260" i="200"/>
  <c r="Q260" i="200"/>
  <c r="R260" i="200"/>
  <c r="S260" i="200"/>
  <c r="T260" i="200"/>
  <c r="G261" i="200"/>
  <c r="J261" i="200"/>
  <c r="K261" i="200"/>
  <c r="M261" i="200"/>
  <c r="E264" i="200"/>
  <c r="F264" i="200"/>
  <c r="H264" i="200"/>
  <c r="O264" i="200"/>
  <c r="P264" i="200"/>
  <c r="Q264" i="200"/>
  <c r="R264" i="200"/>
  <c r="S264" i="200"/>
  <c r="T264" i="200"/>
  <c r="G265" i="200"/>
  <c r="J265" i="200"/>
  <c r="N265" i="200" s="1"/>
  <c r="K265" i="200"/>
  <c r="M265" i="200"/>
  <c r="E268" i="200"/>
  <c r="F268" i="200"/>
  <c r="H268" i="200"/>
  <c r="O268" i="200"/>
  <c r="P268" i="200"/>
  <c r="Q268" i="200"/>
  <c r="R268" i="200"/>
  <c r="S268" i="200"/>
  <c r="T268" i="200"/>
  <c r="G269" i="200"/>
  <c r="J269" i="200"/>
  <c r="K269" i="200"/>
  <c r="L269" i="200"/>
  <c r="M269" i="200"/>
  <c r="N269" i="200"/>
  <c r="G270" i="200"/>
  <c r="J270" i="200"/>
  <c r="L270" i="200" s="1"/>
  <c r="K270" i="200"/>
  <c r="M270" i="200"/>
  <c r="N270" i="200"/>
  <c r="E273" i="200"/>
  <c r="F273" i="200"/>
  <c r="H273" i="200"/>
  <c r="O273" i="200"/>
  <c r="P273" i="200"/>
  <c r="Q273" i="200"/>
  <c r="R273" i="200"/>
  <c r="S273" i="200"/>
  <c r="T273" i="200"/>
  <c r="G274" i="200"/>
  <c r="J274" i="200"/>
  <c r="K274" i="200"/>
  <c r="M274" i="200"/>
  <c r="G275" i="200"/>
  <c r="J275" i="200"/>
  <c r="N275" i="200" s="1"/>
  <c r="K275" i="200"/>
  <c r="L275" i="200"/>
  <c r="M275" i="200"/>
  <c r="G276" i="200"/>
  <c r="J276" i="200"/>
  <c r="N276" i="200" s="1"/>
  <c r="K276" i="200"/>
  <c r="M276" i="200"/>
  <c r="G277" i="200"/>
  <c r="J277" i="200"/>
  <c r="K277" i="200"/>
  <c r="L277" i="200"/>
  <c r="M277" i="200"/>
  <c r="N277" i="200"/>
  <c r="E280" i="200"/>
  <c r="F280" i="200"/>
  <c r="H280" i="200"/>
  <c r="O280" i="200"/>
  <c r="P280" i="200"/>
  <c r="Q280" i="200"/>
  <c r="R280" i="200"/>
  <c r="S280" i="200"/>
  <c r="T280" i="200"/>
  <c r="G281" i="200"/>
  <c r="J281" i="200"/>
  <c r="K281" i="200"/>
  <c r="M281" i="200"/>
  <c r="E284" i="200"/>
  <c r="F284" i="200"/>
  <c r="H284" i="200"/>
  <c r="O284" i="200"/>
  <c r="P284" i="200"/>
  <c r="Q284" i="200"/>
  <c r="R284" i="200"/>
  <c r="S284" i="200"/>
  <c r="T284" i="200"/>
  <c r="G285" i="200"/>
  <c r="J285" i="200"/>
  <c r="L285" i="200" s="1"/>
  <c r="K285" i="200"/>
  <c r="M285" i="200"/>
  <c r="N285" i="200"/>
  <c r="G286" i="200"/>
  <c r="J286" i="200"/>
  <c r="N286" i="200" s="1"/>
  <c r="K286" i="200"/>
  <c r="L286" i="200" s="1"/>
  <c r="M286" i="200"/>
  <c r="E289" i="200"/>
  <c r="F289" i="200"/>
  <c r="H289" i="200"/>
  <c r="O289" i="200"/>
  <c r="P289" i="200"/>
  <c r="Q289" i="200"/>
  <c r="R289" i="200"/>
  <c r="S289" i="200"/>
  <c r="T289" i="200"/>
  <c r="G290" i="200"/>
  <c r="J290" i="200"/>
  <c r="L290" i="200" s="1"/>
  <c r="K290" i="200"/>
  <c r="M290" i="200"/>
  <c r="N290" i="200"/>
  <c r="G291" i="200"/>
  <c r="J291" i="200"/>
  <c r="N291" i="200" s="1"/>
  <c r="K291" i="200"/>
  <c r="L291" i="200" s="1"/>
  <c r="M291" i="200"/>
  <c r="G292" i="200"/>
  <c r="J292" i="200"/>
  <c r="K292" i="200"/>
  <c r="L292" i="200"/>
  <c r="M292" i="200"/>
  <c r="N292" i="200"/>
  <c r="G293" i="200"/>
  <c r="J293" i="200"/>
  <c r="K293" i="200"/>
  <c r="L293" i="200" s="1"/>
  <c r="M293" i="200"/>
  <c r="N293" i="200"/>
  <c r="E296" i="200"/>
  <c r="F296" i="200"/>
  <c r="H296" i="200"/>
  <c r="O296" i="200"/>
  <c r="P296" i="200"/>
  <c r="Q296" i="200"/>
  <c r="R296" i="200"/>
  <c r="S296" i="200"/>
  <c r="T296" i="200"/>
  <c r="G297" i="200"/>
  <c r="J297" i="200"/>
  <c r="N297" i="200" s="1"/>
  <c r="K297" i="200"/>
  <c r="L297" i="200"/>
  <c r="M297" i="200"/>
  <c r="E300" i="200"/>
  <c r="F300" i="200"/>
  <c r="H300" i="200"/>
  <c r="O300" i="200"/>
  <c r="P300" i="200"/>
  <c r="Q300" i="200"/>
  <c r="R300" i="200"/>
  <c r="S300" i="200"/>
  <c r="T300" i="200"/>
  <c r="G301" i="200"/>
  <c r="J301" i="200"/>
  <c r="K301" i="200"/>
  <c r="L301" i="200"/>
  <c r="M301" i="200"/>
  <c r="N301" i="200"/>
  <c r="G302" i="200"/>
  <c r="J302" i="200"/>
  <c r="K302" i="200"/>
  <c r="L302" i="200" s="1"/>
  <c r="M302" i="200"/>
  <c r="N302" i="200"/>
  <c r="G303" i="200"/>
  <c r="J303" i="200"/>
  <c r="L303" i="200" s="1"/>
  <c r="K303" i="200"/>
  <c r="M303" i="200"/>
  <c r="N303" i="200"/>
  <c r="G304" i="200"/>
  <c r="J304" i="200"/>
  <c r="N304" i="200" s="1"/>
  <c r="K304" i="200"/>
  <c r="M304" i="200"/>
  <c r="G305" i="200"/>
  <c r="J305" i="200"/>
  <c r="K305" i="200"/>
  <c r="M305" i="200"/>
  <c r="G306" i="200"/>
  <c r="J306" i="200"/>
  <c r="K306" i="200"/>
  <c r="L306" i="200"/>
  <c r="M306" i="200"/>
  <c r="N306" i="200"/>
  <c r="G307" i="200"/>
  <c r="J307" i="200"/>
  <c r="L307" i="200" s="1"/>
  <c r="K307" i="200"/>
  <c r="M307" i="200"/>
  <c r="N307" i="200"/>
  <c r="G308" i="200"/>
  <c r="J308" i="200"/>
  <c r="N308" i="200" s="1"/>
  <c r="K308" i="200"/>
  <c r="L308" i="200"/>
  <c r="M308" i="200"/>
  <c r="E311" i="200"/>
  <c r="F311" i="200"/>
  <c r="H311" i="200"/>
  <c r="O311" i="200"/>
  <c r="P311" i="200"/>
  <c r="Q311" i="200"/>
  <c r="R311" i="200"/>
  <c r="S311" i="200"/>
  <c r="T311" i="200"/>
  <c r="G312" i="200"/>
  <c r="J312" i="200"/>
  <c r="K312" i="200"/>
  <c r="M312" i="200"/>
  <c r="G313" i="200"/>
  <c r="J313" i="200"/>
  <c r="K313" i="200"/>
  <c r="L313" i="200" s="1"/>
  <c r="M313" i="200"/>
  <c r="N313" i="200"/>
  <c r="G314" i="200"/>
  <c r="J314" i="200"/>
  <c r="K314" i="200"/>
  <c r="L314" i="200" s="1"/>
  <c r="M314" i="200"/>
  <c r="N314" i="200"/>
  <c r="E317" i="200"/>
  <c r="F317" i="200"/>
  <c r="H317" i="200"/>
  <c r="O317" i="200"/>
  <c r="P317" i="200"/>
  <c r="Q317" i="200"/>
  <c r="R317" i="200"/>
  <c r="S317" i="200"/>
  <c r="T317" i="200"/>
  <c r="G318" i="200"/>
  <c r="J318" i="200"/>
  <c r="K318" i="200"/>
  <c r="L318" i="200"/>
  <c r="M318" i="200"/>
  <c r="N318" i="200"/>
  <c r="G319" i="200"/>
  <c r="J319" i="200"/>
  <c r="K319" i="200"/>
  <c r="M319" i="200"/>
  <c r="N319" i="200"/>
  <c r="G320" i="200"/>
  <c r="J320" i="200"/>
  <c r="N320" i="200" s="1"/>
  <c r="K320" i="200"/>
  <c r="L320" i="200"/>
  <c r="M320" i="200"/>
  <c r="E323" i="200"/>
  <c r="F323" i="200"/>
  <c r="H323" i="200"/>
  <c r="O323" i="200"/>
  <c r="P323" i="200"/>
  <c r="Q323" i="200"/>
  <c r="R323" i="200"/>
  <c r="S323" i="200"/>
  <c r="T323" i="200"/>
  <c r="G324" i="200"/>
  <c r="J324" i="200"/>
  <c r="K324" i="200"/>
  <c r="L324" i="200"/>
  <c r="M324" i="200"/>
  <c r="N324" i="200"/>
  <c r="G325" i="200"/>
  <c r="J325" i="200"/>
  <c r="K325" i="200"/>
  <c r="L325" i="200" s="1"/>
  <c r="M325" i="200"/>
  <c r="N325" i="200"/>
  <c r="G326" i="200"/>
  <c r="J326" i="200"/>
  <c r="L326" i="200" s="1"/>
  <c r="K326" i="200"/>
  <c r="M326" i="200"/>
  <c r="N326" i="200"/>
  <c r="G327" i="200"/>
  <c r="J327" i="200"/>
  <c r="K327" i="200"/>
  <c r="M327" i="200"/>
  <c r="G328" i="200"/>
  <c r="J328" i="200"/>
  <c r="K328" i="200"/>
  <c r="M328" i="200"/>
  <c r="E331" i="200"/>
  <c r="F331" i="200"/>
  <c r="H331" i="200"/>
  <c r="O331" i="200"/>
  <c r="P331" i="200"/>
  <c r="Q331" i="200"/>
  <c r="R331" i="200"/>
  <c r="S331" i="200"/>
  <c r="T331" i="200"/>
  <c r="G332" i="200"/>
  <c r="J332" i="200"/>
  <c r="K332" i="200"/>
  <c r="L332" i="200"/>
  <c r="M332" i="200"/>
  <c r="N332" i="200"/>
  <c r="G333" i="200"/>
  <c r="J333" i="200"/>
  <c r="L333" i="200" s="1"/>
  <c r="K333" i="200"/>
  <c r="M333" i="200"/>
  <c r="N333" i="200"/>
  <c r="G334" i="200"/>
  <c r="J334" i="200"/>
  <c r="N334" i="200" s="1"/>
  <c r="K334" i="200"/>
  <c r="M334" i="200"/>
  <c r="E337" i="200"/>
  <c r="F337" i="200"/>
  <c r="H337" i="200"/>
  <c r="O337" i="200"/>
  <c r="P337" i="200"/>
  <c r="Q337" i="200"/>
  <c r="R337" i="200"/>
  <c r="S337" i="200"/>
  <c r="T337" i="200"/>
  <c r="G338" i="200"/>
  <c r="J338" i="200"/>
  <c r="N338" i="200" s="1"/>
  <c r="K338" i="200"/>
  <c r="L338" i="200"/>
  <c r="M338" i="200"/>
  <c r="G339" i="200"/>
  <c r="J339" i="200"/>
  <c r="K339" i="200"/>
  <c r="L339" i="200"/>
  <c r="M339" i="200"/>
  <c r="N339" i="200"/>
  <c r="G340" i="200"/>
  <c r="J340" i="200"/>
  <c r="K340" i="200"/>
  <c r="L340" i="200" s="1"/>
  <c r="M340" i="200"/>
  <c r="N340" i="200"/>
  <c r="G341" i="200"/>
  <c r="J341" i="200"/>
  <c r="L341" i="200" s="1"/>
  <c r="K341" i="200"/>
  <c r="M341" i="200"/>
  <c r="N341" i="200"/>
  <c r="G342" i="200"/>
  <c r="J342" i="200"/>
  <c r="K342" i="200"/>
  <c r="M342" i="200"/>
  <c r="E345" i="200"/>
  <c r="F345" i="200"/>
  <c r="H345" i="200"/>
  <c r="O345" i="200"/>
  <c r="P345" i="200"/>
  <c r="Q345" i="200"/>
  <c r="R345" i="200"/>
  <c r="S345" i="200"/>
  <c r="T345" i="200"/>
  <c r="G346" i="200"/>
  <c r="J346" i="200"/>
  <c r="N346" i="200" s="1"/>
  <c r="K346" i="200"/>
  <c r="L346" i="200"/>
  <c r="M346" i="200"/>
  <c r="G347" i="200"/>
  <c r="J347" i="200"/>
  <c r="L347" i="200" s="1"/>
  <c r="K347" i="200"/>
  <c r="M347" i="200"/>
  <c r="N347" i="200"/>
  <c r="G348" i="200"/>
  <c r="J348" i="200"/>
  <c r="K348" i="200"/>
  <c r="L348" i="200"/>
  <c r="M348" i="200"/>
  <c r="N348" i="200"/>
  <c r="G349" i="200"/>
  <c r="J349" i="200"/>
  <c r="K349" i="200"/>
  <c r="M349" i="200"/>
  <c r="G350" i="200"/>
  <c r="J350" i="200"/>
  <c r="N350" i="200" s="1"/>
  <c r="K350" i="200"/>
  <c r="M350" i="200"/>
  <c r="E353" i="200"/>
  <c r="F353" i="200"/>
  <c r="H353" i="200"/>
  <c r="O353" i="200"/>
  <c r="P353" i="200"/>
  <c r="Q353" i="200"/>
  <c r="R353" i="200"/>
  <c r="S353" i="200"/>
  <c r="T353" i="200"/>
  <c r="G354" i="200"/>
  <c r="J354" i="200"/>
  <c r="L354" i="200" s="1"/>
  <c r="K354" i="200"/>
  <c r="M354" i="200"/>
  <c r="N354" i="200"/>
  <c r="G355" i="200"/>
  <c r="J355" i="200"/>
  <c r="K355" i="200"/>
  <c r="L355" i="200" s="1"/>
  <c r="M355" i="200"/>
  <c r="N355" i="200"/>
  <c r="G356" i="200"/>
  <c r="J356" i="200"/>
  <c r="L356" i="200" s="1"/>
  <c r="K356" i="200"/>
  <c r="M356" i="200"/>
  <c r="G357" i="200"/>
  <c r="J357" i="200"/>
  <c r="N357" i="200" s="1"/>
  <c r="K357" i="200"/>
  <c r="L357" i="200"/>
  <c r="M357" i="200"/>
  <c r="E360" i="200"/>
  <c r="F360" i="200"/>
  <c r="H360" i="200"/>
  <c r="O360" i="200"/>
  <c r="P360" i="200"/>
  <c r="Q360" i="200"/>
  <c r="R360" i="200"/>
  <c r="S360" i="200"/>
  <c r="T360" i="200"/>
  <c r="G361" i="200"/>
  <c r="J361" i="200"/>
  <c r="L361" i="200" s="1"/>
  <c r="K361" i="200"/>
  <c r="M361" i="200"/>
  <c r="N361" i="200"/>
  <c r="G362" i="200"/>
  <c r="J362" i="200"/>
  <c r="K362" i="200"/>
  <c r="L362" i="200" s="1"/>
  <c r="M362" i="200"/>
  <c r="N362" i="200"/>
  <c r="G363" i="200"/>
  <c r="J363" i="200"/>
  <c r="L363" i="200" s="1"/>
  <c r="K363" i="200"/>
  <c r="M363" i="200"/>
  <c r="N363" i="200"/>
  <c r="G364" i="200"/>
  <c r="J364" i="200"/>
  <c r="K364" i="200"/>
  <c r="M364" i="200"/>
  <c r="E367" i="200"/>
  <c r="F367" i="200"/>
  <c r="H367" i="200"/>
  <c r="O367" i="200"/>
  <c r="P367" i="200"/>
  <c r="Q367" i="200"/>
  <c r="R367" i="200"/>
  <c r="S367" i="200"/>
  <c r="T367" i="200"/>
  <c r="G368" i="200"/>
  <c r="J368" i="200"/>
  <c r="K368" i="200"/>
  <c r="M368" i="200"/>
  <c r="G369" i="200"/>
  <c r="J369" i="200"/>
  <c r="K369" i="200"/>
  <c r="L369" i="200" s="1"/>
  <c r="M369" i="200"/>
  <c r="N369" i="200"/>
  <c r="G370" i="200"/>
  <c r="J370" i="200"/>
  <c r="K370" i="200"/>
  <c r="L370" i="200" s="1"/>
  <c r="M370" i="200"/>
  <c r="N370" i="200"/>
  <c r="G371" i="200"/>
  <c r="J371" i="200"/>
  <c r="L371" i="200" s="1"/>
  <c r="K371" i="200"/>
  <c r="M371" i="200"/>
  <c r="G372" i="200"/>
  <c r="J372" i="200"/>
  <c r="N372" i="200" s="1"/>
  <c r="K372" i="200"/>
  <c r="L372" i="200" s="1"/>
  <c r="M372" i="200"/>
  <c r="E375" i="200"/>
  <c r="F375" i="200"/>
  <c r="H375" i="200"/>
  <c r="O375" i="200"/>
  <c r="P375" i="200"/>
  <c r="Q375" i="200"/>
  <c r="R375" i="200"/>
  <c r="S375" i="200"/>
  <c r="T375" i="200"/>
  <c r="G376" i="200"/>
  <c r="J376" i="200"/>
  <c r="L376" i="200" s="1"/>
  <c r="K376" i="200"/>
  <c r="M376" i="200"/>
  <c r="G377" i="200"/>
  <c r="J377" i="200"/>
  <c r="K377" i="200"/>
  <c r="L377" i="200"/>
  <c r="M377" i="200"/>
  <c r="N377" i="200"/>
  <c r="G378" i="200"/>
  <c r="J378" i="200"/>
  <c r="K378" i="200"/>
  <c r="M378" i="200"/>
  <c r="G379" i="200"/>
  <c r="J379" i="200"/>
  <c r="N379" i="200" s="1"/>
  <c r="K379" i="200"/>
  <c r="L379" i="200"/>
  <c r="M379" i="200"/>
  <c r="G380" i="200"/>
  <c r="J380" i="200"/>
  <c r="N380" i="200" s="1"/>
  <c r="K380" i="200"/>
  <c r="M380" i="200"/>
  <c r="G381" i="200"/>
  <c r="J381" i="200"/>
  <c r="K381" i="200"/>
  <c r="L381" i="200"/>
  <c r="M381" i="200"/>
  <c r="N381" i="200"/>
  <c r="G382" i="200"/>
  <c r="J382" i="200"/>
  <c r="L382" i="200" s="1"/>
  <c r="K382" i="200"/>
  <c r="M382" i="200"/>
  <c r="N382" i="200"/>
  <c r="G383" i="200"/>
  <c r="J383" i="200"/>
  <c r="K383" i="200"/>
  <c r="M383" i="200"/>
  <c r="G384" i="200"/>
  <c r="J384" i="200"/>
  <c r="N384" i="200" s="1"/>
  <c r="K384" i="200"/>
  <c r="L384" i="200"/>
  <c r="M384" i="200"/>
  <c r="E387" i="200"/>
  <c r="F387" i="200"/>
  <c r="H387" i="200"/>
  <c r="O387" i="200"/>
  <c r="P387" i="200"/>
  <c r="Q387" i="200"/>
  <c r="R387" i="200"/>
  <c r="S387" i="200"/>
  <c r="T387" i="200"/>
  <c r="G388" i="200"/>
  <c r="J388" i="200"/>
  <c r="L388" i="200" s="1"/>
  <c r="K388" i="200"/>
  <c r="M388" i="200"/>
  <c r="G389" i="200"/>
  <c r="J389" i="200"/>
  <c r="K389" i="200"/>
  <c r="L389" i="200"/>
  <c r="M389" i="200"/>
  <c r="N389" i="200"/>
  <c r="G390" i="200"/>
  <c r="J390" i="200"/>
  <c r="K390" i="200"/>
  <c r="M390" i="200"/>
  <c r="G391" i="200"/>
  <c r="J391" i="200"/>
  <c r="N391" i="200" s="1"/>
  <c r="K391" i="200"/>
  <c r="L391" i="200"/>
  <c r="M391" i="200"/>
  <c r="G392" i="200"/>
  <c r="J392" i="200"/>
  <c r="K392" i="200"/>
  <c r="M392" i="200"/>
  <c r="G393" i="200"/>
  <c r="J393" i="200"/>
  <c r="K393" i="200"/>
  <c r="L393" i="200"/>
  <c r="M393" i="200"/>
  <c r="N393" i="200"/>
  <c r="G394" i="200"/>
  <c r="J394" i="200"/>
  <c r="K394" i="200"/>
  <c r="M394" i="200"/>
  <c r="N394" i="200"/>
  <c r="G395" i="200"/>
  <c r="J395" i="200"/>
  <c r="K395" i="200"/>
  <c r="L395" i="200" s="1"/>
  <c r="M395" i="200"/>
  <c r="N395" i="200"/>
  <c r="E398" i="200"/>
  <c r="F398" i="200"/>
  <c r="H398" i="200"/>
  <c r="O398" i="200"/>
  <c r="P398" i="200"/>
  <c r="Q398" i="200"/>
  <c r="R398" i="200"/>
  <c r="S398" i="200"/>
  <c r="T398" i="200"/>
  <c r="G399" i="200"/>
  <c r="J399" i="200"/>
  <c r="N399" i="200" s="1"/>
  <c r="K399" i="200"/>
  <c r="L399" i="200"/>
  <c r="M399" i="200"/>
  <c r="G400" i="200"/>
  <c r="J400" i="200"/>
  <c r="K400" i="200"/>
  <c r="L400" i="200"/>
  <c r="M400" i="200"/>
  <c r="N400" i="200"/>
  <c r="G401" i="200"/>
  <c r="J401" i="200"/>
  <c r="K401" i="200"/>
  <c r="L401" i="200"/>
  <c r="M401" i="200"/>
  <c r="N401" i="200"/>
  <c r="E404" i="200"/>
  <c r="F404" i="200"/>
  <c r="H404" i="200"/>
  <c r="O404" i="200"/>
  <c r="P404" i="200"/>
  <c r="Q404" i="200"/>
  <c r="R404" i="200"/>
  <c r="S404" i="200"/>
  <c r="T404" i="200"/>
  <c r="G405" i="200"/>
  <c r="J405" i="200"/>
  <c r="K405" i="200"/>
  <c r="M405" i="200"/>
  <c r="G406" i="200"/>
  <c r="J406" i="200"/>
  <c r="K406" i="200"/>
  <c r="L406" i="200" s="1"/>
  <c r="M406" i="200"/>
  <c r="N406" i="200"/>
  <c r="G407" i="200"/>
  <c r="J407" i="200"/>
  <c r="K407" i="200"/>
  <c r="M407" i="200"/>
  <c r="N407" i="200"/>
  <c r="G408" i="200"/>
  <c r="J408" i="200"/>
  <c r="N408" i="200" s="1"/>
  <c r="K408" i="200"/>
  <c r="L408" i="200"/>
  <c r="M408" i="200"/>
  <c r="G409" i="200"/>
  <c r="J409" i="200"/>
  <c r="N409" i="200" s="1"/>
  <c r="K409" i="200"/>
  <c r="M409" i="200"/>
  <c r="G410" i="200"/>
  <c r="J410" i="200"/>
  <c r="K410" i="200"/>
  <c r="L410" i="200" s="1"/>
  <c r="M410" i="200"/>
  <c r="N410" i="200"/>
  <c r="E413" i="200"/>
  <c r="F413" i="200"/>
  <c r="H413" i="200"/>
  <c r="O413" i="200"/>
  <c r="P413" i="200"/>
  <c r="Q413" i="200"/>
  <c r="R413" i="200"/>
  <c r="S413" i="200"/>
  <c r="T413" i="200"/>
  <c r="G414" i="200"/>
  <c r="J414" i="200"/>
  <c r="N414" i="200" s="1"/>
  <c r="K414" i="200"/>
  <c r="L414" i="200"/>
  <c r="M414" i="200"/>
  <c r="G415" i="200"/>
  <c r="J415" i="200"/>
  <c r="K415" i="200"/>
  <c r="M415" i="200"/>
  <c r="G416" i="200"/>
  <c r="J416" i="200"/>
  <c r="K416" i="200"/>
  <c r="L416" i="200" s="1"/>
  <c r="M416" i="200"/>
  <c r="N416" i="200"/>
  <c r="G417" i="200"/>
  <c r="J417" i="200"/>
  <c r="K417" i="200"/>
  <c r="M417" i="200"/>
  <c r="N417" i="200"/>
  <c r="G418" i="200"/>
  <c r="J418" i="200"/>
  <c r="N418" i="200" s="1"/>
  <c r="K418" i="200"/>
  <c r="L418" i="200"/>
  <c r="M418" i="200"/>
  <c r="E421" i="200"/>
  <c r="F421" i="200"/>
  <c r="H421" i="200"/>
  <c r="O421" i="200"/>
  <c r="P421" i="200"/>
  <c r="Q421" i="200"/>
  <c r="R421" i="200"/>
  <c r="S421" i="200"/>
  <c r="T421" i="200"/>
  <c r="G422" i="200"/>
  <c r="J422" i="200"/>
  <c r="K422" i="200"/>
  <c r="M422" i="200"/>
  <c r="G423" i="200"/>
  <c r="J423" i="200"/>
  <c r="N423" i="200" s="1"/>
  <c r="K423" i="200"/>
  <c r="L423" i="200"/>
  <c r="M423" i="200"/>
  <c r="G424" i="200"/>
  <c r="J424" i="200"/>
  <c r="K424" i="200"/>
  <c r="L424" i="200"/>
  <c r="M424" i="200"/>
  <c r="N424" i="200"/>
  <c r="G425" i="200"/>
  <c r="J425" i="200"/>
  <c r="K425" i="200"/>
  <c r="L425" i="200" s="1"/>
  <c r="M425" i="200"/>
  <c r="N425" i="200"/>
  <c r="G426" i="200"/>
  <c r="J426" i="200"/>
  <c r="K426" i="200"/>
  <c r="M426" i="200"/>
  <c r="N426" i="200"/>
  <c r="G427" i="200"/>
  <c r="J427" i="200"/>
  <c r="N427" i="200" s="1"/>
  <c r="K427" i="200"/>
  <c r="L427" i="200"/>
  <c r="M427" i="200"/>
  <c r="G428" i="200"/>
  <c r="J428" i="200"/>
  <c r="L428" i="200" s="1"/>
  <c r="K428" i="200"/>
  <c r="M428" i="200"/>
  <c r="E431" i="200"/>
  <c r="F431" i="200"/>
  <c r="H431" i="200"/>
  <c r="O431" i="200"/>
  <c r="P431" i="200"/>
  <c r="Q431" i="200"/>
  <c r="R431" i="200"/>
  <c r="S431" i="200"/>
  <c r="T431" i="200"/>
  <c r="G432" i="200"/>
  <c r="J432" i="200"/>
  <c r="K432" i="200"/>
  <c r="M432" i="200"/>
  <c r="G433" i="200"/>
  <c r="J433" i="200"/>
  <c r="K433" i="200"/>
  <c r="M433" i="200"/>
  <c r="G434" i="200"/>
  <c r="J434" i="200"/>
  <c r="K434" i="200"/>
  <c r="L434" i="200"/>
  <c r="M434" i="200"/>
  <c r="N434" i="200"/>
  <c r="G435" i="200"/>
  <c r="J435" i="200"/>
  <c r="K435" i="200"/>
  <c r="L435" i="200"/>
  <c r="M435" i="200"/>
  <c r="N435" i="200"/>
  <c r="E438" i="200"/>
  <c r="F438" i="200"/>
  <c r="H438" i="200"/>
  <c r="O438" i="200"/>
  <c r="P438" i="200"/>
  <c r="Q438" i="200"/>
  <c r="R438" i="200"/>
  <c r="S438" i="200"/>
  <c r="T438" i="200"/>
  <c r="G439" i="200"/>
  <c r="J439" i="200"/>
  <c r="N439" i="200" s="1"/>
  <c r="K439" i="200"/>
  <c r="L439" i="200"/>
  <c r="M439" i="200"/>
  <c r="G440" i="200"/>
  <c r="J440" i="200"/>
  <c r="K440" i="200"/>
  <c r="L440" i="200"/>
  <c r="M440" i="200"/>
  <c r="N440" i="200"/>
  <c r="G441" i="200"/>
  <c r="J441" i="200"/>
  <c r="K441" i="200"/>
  <c r="M441" i="200"/>
  <c r="N441" i="200"/>
  <c r="G442" i="200"/>
  <c r="J442" i="200"/>
  <c r="N442" i="200" s="1"/>
  <c r="K442" i="200"/>
  <c r="L442" i="200" s="1"/>
  <c r="M442" i="200"/>
  <c r="G443" i="200"/>
  <c r="J443" i="200"/>
  <c r="K443" i="200"/>
  <c r="L443" i="200"/>
  <c r="M443" i="200"/>
  <c r="N443" i="200"/>
  <c r="G444" i="200"/>
  <c r="J444" i="200"/>
  <c r="K444" i="200"/>
  <c r="L444" i="200" s="1"/>
  <c r="M444" i="200"/>
  <c r="N444" i="200"/>
  <c r="G445" i="200"/>
  <c r="J445" i="200"/>
  <c r="L445" i="200" s="1"/>
  <c r="K445" i="200"/>
  <c r="M445" i="200"/>
  <c r="N445" i="200"/>
  <c r="G446" i="200"/>
  <c r="J446" i="200"/>
  <c r="K446" i="200"/>
  <c r="M446" i="200"/>
  <c r="G447" i="200"/>
  <c r="J447" i="200"/>
  <c r="K447" i="200"/>
  <c r="L447" i="200"/>
  <c r="M447" i="200"/>
  <c r="N447" i="200"/>
  <c r="G448" i="200"/>
  <c r="J448" i="200"/>
  <c r="K448" i="200"/>
  <c r="L448" i="200" s="1"/>
  <c r="M448" i="200"/>
  <c r="N448" i="200"/>
  <c r="E451" i="200"/>
  <c r="F451" i="200"/>
  <c r="H451" i="200"/>
  <c r="O451" i="200"/>
  <c r="P451" i="200"/>
  <c r="Q451" i="200"/>
  <c r="R451" i="200"/>
  <c r="S451" i="200"/>
  <c r="T451" i="200"/>
  <c r="G452" i="200"/>
  <c r="J452" i="200"/>
  <c r="N452" i="200" s="1"/>
  <c r="K452" i="200"/>
  <c r="L452" i="200"/>
  <c r="M452" i="200"/>
  <c r="G453" i="200"/>
  <c r="J453" i="200"/>
  <c r="N453" i="200" s="1"/>
  <c r="K453" i="200"/>
  <c r="M453" i="200"/>
  <c r="G454" i="200"/>
  <c r="J454" i="200"/>
  <c r="K454" i="200"/>
  <c r="L454" i="200" s="1"/>
  <c r="M454" i="200"/>
  <c r="N454" i="200"/>
  <c r="G455" i="200"/>
  <c r="J455" i="200"/>
  <c r="K455" i="200"/>
  <c r="M455" i="200"/>
  <c r="N455" i="200"/>
  <c r="G456" i="200"/>
  <c r="J456" i="200"/>
  <c r="N456" i="200" s="1"/>
  <c r="K456" i="200"/>
  <c r="M456" i="200"/>
  <c r="E459" i="200"/>
  <c r="F459" i="200"/>
  <c r="H459" i="200"/>
  <c r="O459" i="200"/>
  <c r="P459" i="200"/>
  <c r="Q459" i="200"/>
  <c r="R459" i="200"/>
  <c r="S459" i="200"/>
  <c r="T459" i="200"/>
  <c r="G460" i="200"/>
  <c r="J460" i="200"/>
  <c r="L460" i="200" s="1"/>
  <c r="K460" i="200"/>
  <c r="M460" i="200"/>
  <c r="N460" i="200"/>
  <c r="G461" i="200"/>
  <c r="J461" i="200"/>
  <c r="K461" i="200"/>
  <c r="M461" i="200"/>
  <c r="G462" i="200"/>
  <c r="J462" i="200"/>
  <c r="N462" i="200" s="1"/>
  <c r="K462" i="200"/>
  <c r="L462" i="200"/>
  <c r="M462" i="200"/>
  <c r="G463" i="200"/>
  <c r="J463" i="200"/>
  <c r="K463" i="200"/>
  <c r="L463" i="200" s="1"/>
  <c r="M463" i="200"/>
  <c r="N463" i="200"/>
  <c r="G464" i="200"/>
  <c r="J464" i="200"/>
  <c r="L464" i="200" s="1"/>
  <c r="K464" i="200"/>
  <c r="M464" i="200"/>
  <c r="N464" i="200"/>
  <c r="G465" i="200"/>
  <c r="J465" i="200"/>
  <c r="N465" i="200" s="1"/>
  <c r="K465" i="200"/>
  <c r="L465" i="200" s="1"/>
  <c r="M465" i="200"/>
  <c r="E468" i="200"/>
  <c r="F468" i="200"/>
  <c r="H468" i="200"/>
  <c r="O468" i="200"/>
  <c r="P468" i="200"/>
  <c r="Q468" i="200"/>
  <c r="R468" i="200"/>
  <c r="S468" i="200"/>
  <c r="T468" i="200"/>
  <c r="G469" i="200"/>
  <c r="J469" i="200"/>
  <c r="K469" i="200"/>
  <c r="L469" i="200"/>
  <c r="M469" i="200"/>
  <c r="N469" i="200"/>
  <c r="G470" i="200"/>
  <c r="J470" i="200"/>
  <c r="K470" i="200"/>
  <c r="M470" i="200"/>
  <c r="N470" i="200"/>
  <c r="G471" i="200"/>
  <c r="J471" i="200"/>
  <c r="K471" i="200"/>
  <c r="M471" i="200"/>
  <c r="G472" i="200"/>
  <c r="J472" i="200"/>
  <c r="L472" i="200" s="1"/>
  <c r="K472" i="200"/>
  <c r="M472" i="200"/>
  <c r="N472" i="200"/>
  <c r="G473" i="200"/>
  <c r="J473" i="200"/>
  <c r="K473" i="200"/>
  <c r="L473" i="200"/>
  <c r="M473" i="200"/>
  <c r="N473" i="200"/>
  <c r="G474" i="200"/>
  <c r="J474" i="200"/>
  <c r="K474" i="200"/>
  <c r="M474" i="200"/>
  <c r="E477" i="200"/>
  <c r="F477" i="200"/>
  <c r="H477" i="200"/>
  <c r="O477" i="200"/>
  <c r="P477" i="200"/>
  <c r="Q477" i="200"/>
  <c r="R477" i="200"/>
  <c r="S477" i="200"/>
  <c r="T477" i="200"/>
  <c r="G478" i="200"/>
  <c r="J478" i="200"/>
  <c r="K478" i="200"/>
  <c r="L478" i="200"/>
  <c r="M478" i="200"/>
  <c r="N478" i="200"/>
  <c r="G479" i="200"/>
  <c r="J479" i="200"/>
  <c r="N479" i="200" s="1"/>
  <c r="K479" i="200"/>
  <c r="M479" i="200"/>
  <c r="G480" i="200"/>
  <c r="J480" i="200"/>
  <c r="N480" i="200" s="1"/>
  <c r="K480" i="200"/>
  <c r="L480" i="200"/>
  <c r="M480" i="200"/>
  <c r="G481" i="200"/>
  <c r="J481" i="200"/>
  <c r="N481" i="200" s="1"/>
  <c r="K481" i="200"/>
  <c r="M481" i="200"/>
  <c r="E484" i="200"/>
  <c r="F484" i="200"/>
  <c r="H484" i="200"/>
  <c r="O484" i="200"/>
  <c r="P484" i="200"/>
  <c r="Q484" i="200"/>
  <c r="R484" i="200"/>
  <c r="S484" i="200"/>
  <c r="T484" i="200"/>
  <c r="G485" i="200"/>
  <c r="J485" i="200"/>
  <c r="L485" i="200" s="1"/>
  <c r="K485" i="200"/>
  <c r="M485" i="200"/>
  <c r="G486" i="200"/>
  <c r="J486" i="200"/>
  <c r="N486" i="200" s="1"/>
  <c r="K486" i="200"/>
  <c r="L486" i="200"/>
  <c r="M486" i="200"/>
  <c r="G487" i="200"/>
  <c r="J487" i="200"/>
  <c r="N487" i="200" s="1"/>
  <c r="K487" i="200"/>
  <c r="M487" i="200"/>
  <c r="E490" i="200"/>
  <c r="F490" i="200"/>
  <c r="H490" i="200"/>
  <c r="O490" i="200"/>
  <c r="P490" i="200"/>
  <c r="Q490" i="200"/>
  <c r="R490" i="200"/>
  <c r="S490" i="200"/>
  <c r="T490" i="200"/>
  <c r="G491" i="200"/>
  <c r="J491" i="200"/>
  <c r="N491" i="200" s="1"/>
  <c r="K491" i="200"/>
  <c r="M491" i="200"/>
  <c r="G492" i="200"/>
  <c r="J492" i="200"/>
  <c r="K492" i="200"/>
  <c r="L492" i="200"/>
  <c r="M492" i="200"/>
  <c r="N492" i="200"/>
  <c r="E495" i="200"/>
  <c r="F495" i="200"/>
  <c r="H495" i="200"/>
  <c r="O495" i="200"/>
  <c r="P495" i="200"/>
  <c r="Q495" i="200"/>
  <c r="R495" i="200"/>
  <c r="S495" i="200"/>
  <c r="T495" i="200"/>
  <c r="G496" i="200"/>
  <c r="J496" i="200"/>
  <c r="L496" i="200" s="1"/>
  <c r="K496" i="200"/>
  <c r="M496" i="200"/>
  <c r="N496" i="200"/>
  <c r="G497" i="200"/>
  <c r="J497" i="200"/>
  <c r="N497" i="200" s="1"/>
  <c r="K497" i="200"/>
  <c r="M497" i="200"/>
  <c r="E500" i="200"/>
  <c r="F500" i="200"/>
  <c r="H500" i="200"/>
  <c r="O500" i="200"/>
  <c r="P500" i="200"/>
  <c r="Q500" i="200"/>
  <c r="R500" i="200"/>
  <c r="S500" i="200"/>
  <c r="T500" i="200"/>
  <c r="G501" i="200"/>
  <c r="J501" i="200"/>
  <c r="L501" i="200" s="1"/>
  <c r="K501" i="200"/>
  <c r="M501" i="200"/>
  <c r="E504" i="200"/>
  <c r="F504" i="200"/>
  <c r="H504" i="200"/>
  <c r="O504" i="200"/>
  <c r="P504" i="200"/>
  <c r="Q504" i="200"/>
  <c r="R504" i="200"/>
  <c r="S504" i="200"/>
  <c r="T504" i="200"/>
  <c r="G505" i="200"/>
  <c r="J505" i="200"/>
  <c r="K505" i="200"/>
  <c r="L505" i="200"/>
  <c r="M505" i="200"/>
  <c r="N505" i="200"/>
  <c r="G506" i="200"/>
  <c r="J506" i="200"/>
  <c r="K506" i="200"/>
  <c r="L506" i="200"/>
  <c r="M506" i="200"/>
  <c r="N506" i="200"/>
  <c r="E509" i="200"/>
  <c r="F509" i="200"/>
  <c r="H509" i="200"/>
  <c r="O509" i="200"/>
  <c r="P509" i="200"/>
  <c r="Q509" i="200"/>
  <c r="R509" i="200"/>
  <c r="S509" i="200"/>
  <c r="T509" i="200"/>
  <c r="G510" i="200"/>
  <c r="J510" i="200"/>
  <c r="L510" i="200" s="1"/>
  <c r="K510" i="200"/>
  <c r="M510" i="200"/>
  <c r="N510" i="200"/>
  <c r="E513" i="200"/>
  <c r="F513" i="200"/>
  <c r="H513" i="200"/>
  <c r="O513" i="200"/>
  <c r="P513" i="200"/>
  <c r="Q513" i="200"/>
  <c r="R513" i="200"/>
  <c r="S513" i="200"/>
  <c r="T513" i="200"/>
  <c r="G514" i="200"/>
  <c r="J514" i="200"/>
  <c r="K514" i="200"/>
  <c r="M514" i="200"/>
  <c r="G515" i="200"/>
  <c r="J515" i="200"/>
  <c r="N515" i="200" s="1"/>
  <c r="K515" i="200"/>
  <c r="L515" i="200"/>
  <c r="M515" i="200"/>
  <c r="G516" i="200"/>
  <c r="J516" i="200"/>
  <c r="N516" i="200" s="1"/>
  <c r="K516" i="200"/>
  <c r="M516" i="200"/>
  <c r="E519" i="200"/>
  <c r="F519" i="200"/>
  <c r="H519" i="200"/>
  <c r="O519" i="200"/>
  <c r="P519" i="200"/>
  <c r="Q519" i="200"/>
  <c r="R519" i="200"/>
  <c r="S519" i="200"/>
  <c r="T519" i="200"/>
  <c r="G520" i="200"/>
  <c r="J520" i="200"/>
  <c r="K520" i="200"/>
  <c r="M520" i="200"/>
  <c r="G521" i="200"/>
  <c r="J521" i="200"/>
  <c r="K521" i="200"/>
  <c r="L521" i="200"/>
  <c r="M521" i="200"/>
  <c r="N521" i="200"/>
  <c r="E524" i="200"/>
  <c r="F524" i="200"/>
  <c r="H524" i="200"/>
  <c r="O524" i="200"/>
  <c r="P524" i="200"/>
  <c r="Q524" i="200"/>
  <c r="R524" i="200"/>
  <c r="S524" i="200"/>
  <c r="T524" i="200"/>
  <c r="G525" i="200"/>
  <c r="J525" i="200"/>
  <c r="L525" i="200" s="1"/>
  <c r="K525" i="200"/>
  <c r="M525" i="200"/>
  <c r="N525" i="200"/>
  <c r="G526" i="200"/>
  <c r="J526" i="200"/>
  <c r="N526" i="200" s="1"/>
  <c r="K526" i="200"/>
  <c r="M526" i="200"/>
  <c r="G527" i="200"/>
  <c r="J527" i="200"/>
  <c r="N527" i="200" s="1"/>
  <c r="K527" i="200"/>
  <c r="L527" i="200"/>
  <c r="M527" i="200"/>
  <c r="G528" i="200"/>
  <c r="J528" i="200"/>
  <c r="K528" i="200"/>
  <c r="L528" i="200" s="1"/>
  <c r="M528" i="200"/>
  <c r="N528" i="200"/>
  <c r="G529" i="200"/>
  <c r="J529" i="200"/>
  <c r="K529" i="200"/>
  <c r="M529" i="200"/>
  <c r="N529" i="200"/>
  <c r="E532" i="200"/>
  <c r="F532" i="200"/>
  <c r="H532" i="200"/>
  <c r="O532" i="200"/>
  <c r="P532" i="200"/>
  <c r="Q532" i="200"/>
  <c r="R532" i="200"/>
  <c r="S532" i="200"/>
  <c r="T532" i="200"/>
  <c r="G533" i="200"/>
  <c r="J533" i="200"/>
  <c r="K533" i="200"/>
  <c r="L533" i="200"/>
  <c r="M533" i="200"/>
  <c r="N533" i="200"/>
  <c r="G534" i="200"/>
  <c r="J534" i="200"/>
  <c r="K534" i="200"/>
  <c r="M534" i="200"/>
  <c r="N534" i="200"/>
  <c r="E537" i="200"/>
  <c r="F537" i="200"/>
  <c r="H537" i="200"/>
  <c r="O537" i="200"/>
  <c r="P537" i="200"/>
  <c r="Q537" i="200"/>
  <c r="R537" i="200"/>
  <c r="S537" i="200"/>
  <c r="T537" i="200"/>
  <c r="G538" i="200"/>
  <c r="J538" i="200"/>
  <c r="L538" i="200" s="1"/>
  <c r="K538" i="200"/>
  <c r="M538" i="200"/>
  <c r="G539" i="200"/>
  <c r="J539" i="200"/>
  <c r="K539" i="200"/>
  <c r="L539" i="200" s="1"/>
  <c r="M539" i="200"/>
  <c r="N539" i="200"/>
  <c r="E542" i="200"/>
  <c r="F542" i="200"/>
  <c r="H542" i="200"/>
  <c r="O542" i="200"/>
  <c r="P542" i="200"/>
  <c r="Q542" i="200"/>
  <c r="R542" i="200"/>
  <c r="S542" i="200"/>
  <c r="T542" i="200"/>
  <c r="G543" i="200"/>
  <c r="J543" i="200"/>
  <c r="K543" i="200"/>
  <c r="L543" i="200"/>
  <c r="M543" i="200"/>
  <c r="N543" i="200"/>
  <c r="G544" i="200"/>
  <c r="J544" i="200"/>
  <c r="K544" i="200"/>
  <c r="L544" i="200" s="1"/>
  <c r="M544" i="200"/>
  <c r="N544" i="200"/>
  <c r="G545" i="200"/>
  <c r="J545" i="200"/>
  <c r="L545" i="200" s="1"/>
  <c r="K545" i="200"/>
  <c r="M545" i="200"/>
  <c r="E548" i="200"/>
  <c r="F548" i="200"/>
  <c r="H548" i="200"/>
  <c r="O548" i="200"/>
  <c r="P548" i="200"/>
  <c r="Q548" i="200"/>
  <c r="R548" i="200"/>
  <c r="S548" i="200"/>
  <c r="T548" i="200"/>
  <c r="G549" i="200"/>
  <c r="J549" i="200"/>
  <c r="N549" i="200" s="1"/>
  <c r="K549" i="200"/>
  <c r="L549" i="200"/>
  <c r="M549" i="200"/>
  <c r="G550" i="200"/>
  <c r="J550" i="200"/>
  <c r="K550" i="200"/>
  <c r="L550" i="200"/>
  <c r="M550" i="200"/>
  <c r="N550" i="200"/>
  <c r="G551" i="200"/>
  <c r="J551" i="200"/>
  <c r="K551" i="200"/>
  <c r="M551" i="200"/>
  <c r="E554" i="200"/>
  <c r="F554" i="200"/>
  <c r="H554" i="200"/>
  <c r="O554" i="200"/>
  <c r="P554" i="200"/>
  <c r="Q554" i="200"/>
  <c r="R554" i="200"/>
  <c r="S554" i="200"/>
  <c r="T554" i="200"/>
  <c r="G555" i="200"/>
  <c r="J555" i="200"/>
  <c r="K555" i="200"/>
  <c r="L555" i="200"/>
  <c r="M555" i="200"/>
  <c r="N555" i="200"/>
  <c r="G556" i="200"/>
  <c r="J556" i="200"/>
  <c r="K556" i="200"/>
  <c r="M556" i="200"/>
  <c r="N556" i="200"/>
  <c r="G557" i="200"/>
  <c r="J557" i="200"/>
  <c r="K557" i="200"/>
  <c r="M557" i="200"/>
  <c r="G558" i="200"/>
  <c r="J558" i="200"/>
  <c r="N558" i="200" s="1"/>
  <c r="K558" i="200"/>
  <c r="L558" i="200"/>
  <c r="M558" i="200"/>
  <c r="G559" i="200"/>
  <c r="J559" i="200"/>
  <c r="K559" i="200"/>
  <c r="L559" i="200"/>
  <c r="M559" i="200"/>
  <c r="N559" i="200"/>
  <c r="G560" i="200"/>
  <c r="J560" i="200"/>
  <c r="L560" i="200" s="1"/>
  <c r="K560" i="200"/>
  <c r="M560" i="200"/>
  <c r="N560" i="200"/>
  <c r="E563" i="200"/>
  <c r="F563" i="200"/>
  <c r="H563" i="200"/>
  <c r="O563" i="200"/>
  <c r="P563" i="200"/>
  <c r="Q563" i="200"/>
  <c r="R563" i="200"/>
  <c r="S563" i="200"/>
  <c r="T563" i="200"/>
  <c r="G564" i="200"/>
  <c r="J564" i="200"/>
  <c r="K564" i="200"/>
  <c r="M564" i="200"/>
  <c r="G565" i="200"/>
  <c r="J565" i="200"/>
  <c r="K565" i="200"/>
  <c r="L565" i="200"/>
  <c r="M565" i="200"/>
  <c r="N565" i="200"/>
  <c r="E568" i="200"/>
  <c r="F568" i="200"/>
  <c r="H568" i="200"/>
  <c r="O568" i="200"/>
  <c r="P568" i="200"/>
  <c r="Q568" i="200"/>
  <c r="R568" i="200"/>
  <c r="S568" i="200"/>
  <c r="T568" i="200"/>
  <c r="G569" i="200"/>
  <c r="J569" i="200"/>
  <c r="N569" i="200" s="1"/>
  <c r="K569" i="200"/>
  <c r="L569" i="200"/>
  <c r="M569" i="200"/>
  <c r="G570" i="200"/>
  <c r="J570" i="200"/>
  <c r="K570" i="200"/>
  <c r="L570" i="200" s="1"/>
  <c r="M570" i="200"/>
  <c r="N570" i="200"/>
  <c r="G571" i="200"/>
  <c r="J571" i="200"/>
  <c r="K571" i="200"/>
  <c r="M571" i="200"/>
  <c r="N571" i="200"/>
  <c r="G572" i="200"/>
  <c r="J572" i="200"/>
  <c r="N572" i="200" s="1"/>
  <c r="K572" i="200"/>
  <c r="L572" i="200" s="1"/>
  <c r="M572" i="200"/>
  <c r="G573" i="200"/>
  <c r="J573" i="200"/>
  <c r="K573" i="200"/>
  <c r="L573" i="200"/>
  <c r="M573" i="200"/>
  <c r="N573" i="200"/>
  <c r="E576" i="200"/>
  <c r="F576" i="200"/>
  <c r="H576" i="200"/>
  <c r="O576" i="200"/>
  <c r="P576" i="200"/>
  <c r="Q576" i="200"/>
  <c r="R576" i="200"/>
  <c r="S576" i="200"/>
  <c r="T576" i="200"/>
  <c r="G577" i="200"/>
  <c r="J577" i="200"/>
  <c r="L577" i="200" s="1"/>
  <c r="K577" i="200"/>
  <c r="M577" i="200"/>
  <c r="N577" i="200"/>
  <c r="G578" i="200"/>
  <c r="J578" i="200"/>
  <c r="K578" i="200"/>
  <c r="M578" i="200"/>
  <c r="E581" i="200"/>
  <c r="F581" i="200"/>
  <c r="H581" i="200"/>
  <c r="O581" i="200"/>
  <c r="P581" i="200"/>
  <c r="Q581" i="200"/>
  <c r="R581" i="200"/>
  <c r="S581" i="200"/>
  <c r="T581" i="200"/>
  <c r="G582" i="200"/>
  <c r="J582" i="200"/>
  <c r="L582" i="200" s="1"/>
  <c r="K582" i="200"/>
  <c r="M582" i="200"/>
  <c r="N582" i="200"/>
  <c r="G583" i="200"/>
  <c r="J583" i="200"/>
  <c r="K583" i="200"/>
  <c r="M583" i="200"/>
  <c r="G584" i="200"/>
  <c r="J584" i="200"/>
  <c r="K584" i="200"/>
  <c r="M584" i="200"/>
  <c r="E587" i="200"/>
  <c r="F587" i="200"/>
  <c r="H587" i="200"/>
  <c r="O587" i="200"/>
  <c r="P587" i="200"/>
  <c r="Q587" i="200"/>
  <c r="R587" i="200"/>
  <c r="S587" i="200"/>
  <c r="T587" i="200"/>
  <c r="G588" i="200"/>
  <c r="J588" i="200"/>
  <c r="N588" i="200" s="1"/>
  <c r="K588" i="200"/>
  <c r="L588" i="200"/>
  <c r="M588" i="200"/>
  <c r="G589" i="200"/>
  <c r="J589" i="200"/>
  <c r="L589" i="200" s="1"/>
  <c r="K589" i="200"/>
  <c r="M589" i="200"/>
  <c r="N589" i="200"/>
  <c r="G590" i="200"/>
  <c r="J590" i="200"/>
  <c r="K590" i="200"/>
  <c r="L590" i="200"/>
  <c r="M590" i="200"/>
  <c r="N590" i="200"/>
  <c r="G591" i="200"/>
  <c r="J591" i="200"/>
  <c r="L591" i="200" s="1"/>
  <c r="K591" i="200"/>
  <c r="M591" i="200"/>
  <c r="N591" i="200"/>
  <c r="E594" i="200"/>
  <c r="F594" i="200"/>
  <c r="H594" i="200"/>
  <c r="O594" i="200"/>
  <c r="P594" i="200"/>
  <c r="Q594" i="200"/>
  <c r="R594" i="200"/>
  <c r="S594" i="200"/>
  <c r="T594" i="200"/>
  <c r="G595" i="200"/>
  <c r="J595" i="200"/>
  <c r="N595" i="200" s="1"/>
  <c r="K595" i="200"/>
  <c r="L595" i="200"/>
  <c r="M595" i="200"/>
  <c r="G596" i="200"/>
  <c r="J596" i="200"/>
  <c r="K596" i="200"/>
  <c r="L596" i="200"/>
  <c r="M596" i="200"/>
  <c r="N596" i="200"/>
  <c r="G597" i="200"/>
  <c r="J597" i="200"/>
  <c r="K597" i="200"/>
  <c r="M597" i="200"/>
  <c r="N597" i="200"/>
  <c r="E600" i="200"/>
  <c r="F600" i="200"/>
  <c r="H600" i="200"/>
  <c r="O600" i="200"/>
  <c r="P600" i="200"/>
  <c r="Q600" i="200"/>
  <c r="R600" i="200"/>
  <c r="S600" i="200"/>
  <c r="T600" i="200"/>
  <c r="G601" i="200"/>
  <c r="J601" i="200"/>
  <c r="L601" i="200" s="1"/>
  <c r="K601" i="200"/>
  <c r="M601" i="200"/>
  <c r="N601" i="200"/>
  <c r="G602" i="200"/>
  <c r="J602" i="200"/>
  <c r="N602" i="200" s="1"/>
  <c r="K602" i="200"/>
  <c r="M602" i="200"/>
  <c r="G603" i="200"/>
  <c r="J603" i="200"/>
  <c r="K603" i="200"/>
  <c r="L603" i="200"/>
  <c r="M603" i="200"/>
  <c r="N603" i="200"/>
  <c r="E606" i="200"/>
  <c r="F606" i="200"/>
  <c r="H606" i="200"/>
  <c r="O606" i="200"/>
  <c r="P606" i="200"/>
  <c r="Q606" i="200"/>
  <c r="R606" i="200"/>
  <c r="S606" i="200"/>
  <c r="T606" i="200"/>
  <c r="G607" i="200"/>
  <c r="J607" i="200"/>
  <c r="K607" i="200"/>
  <c r="L607" i="200"/>
  <c r="M607" i="200"/>
  <c r="N607" i="200"/>
  <c r="G608" i="200"/>
  <c r="J608" i="200"/>
  <c r="K608" i="200"/>
  <c r="M608" i="200"/>
  <c r="G609" i="200"/>
  <c r="J609" i="200"/>
  <c r="N609" i="200" s="1"/>
  <c r="K609" i="200"/>
  <c r="L609" i="200" s="1"/>
  <c r="M609" i="200"/>
  <c r="G610" i="200"/>
  <c r="J610" i="200"/>
  <c r="K610" i="200"/>
  <c r="L610" i="200"/>
  <c r="M610" i="200"/>
  <c r="N610" i="200"/>
  <c r="E613" i="200"/>
  <c r="F613" i="200"/>
  <c r="H613" i="200"/>
  <c r="O613" i="200"/>
  <c r="P613" i="200"/>
  <c r="Q613" i="200"/>
  <c r="R613" i="200"/>
  <c r="S613" i="200"/>
  <c r="T613" i="200"/>
  <c r="G614" i="200"/>
  <c r="J614" i="200"/>
  <c r="K614" i="200"/>
  <c r="L614" i="200"/>
  <c r="M614" i="200"/>
  <c r="N614" i="200"/>
  <c r="G615" i="200"/>
  <c r="J615" i="200"/>
  <c r="L615" i="200" s="1"/>
  <c r="K615" i="200"/>
  <c r="M615" i="200"/>
  <c r="G616" i="200"/>
  <c r="J616" i="200"/>
  <c r="N616" i="200" s="1"/>
  <c r="K616" i="200"/>
  <c r="L616" i="200"/>
  <c r="M616" i="200"/>
  <c r="E619" i="200"/>
  <c r="F619" i="200"/>
  <c r="H619" i="200"/>
  <c r="O619" i="200"/>
  <c r="P619" i="200"/>
  <c r="Q619" i="200"/>
  <c r="R619" i="200"/>
  <c r="S619" i="200"/>
  <c r="T619" i="200"/>
  <c r="G620" i="200"/>
  <c r="J620" i="200"/>
  <c r="N620" i="200" s="1"/>
  <c r="K620" i="200"/>
  <c r="L620" i="200"/>
  <c r="M620" i="200"/>
  <c r="G621" i="200"/>
  <c r="J621" i="200"/>
  <c r="K621" i="200"/>
  <c r="L621" i="200" s="1"/>
  <c r="M621" i="200"/>
  <c r="N621" i="200"/>
  <c r="E624" i="200"/>
  <c r="F624" i="200"/>
  <c r="H624" i="200"/>
  <c r="O624" i="200"/>
  <c r="P624" i="200"/>
  <c r="Q624" i="200"/>
  <c r="R624" i="200"/>
  <c r="S624" i="200"/>
  <c r="T624" i="200"/>
  <c r="G625" i="200"/>
  <c r="J625" i="200"/>
  <c r="N625" i="200" s="1"/>
  <c r="K625" i="200"/>
  <c r="L625" i="200"/>
  <c r="M625" i="200"/>
  <c r="G626" i="200"/>
  <c r="J626" i="200"/>
  <c r="K626" i="200"/>
  <c r="L626" i="200"/>
  <c r="M626" i="200"/>
  <c r="N626" i="200"/>
  <c r="G627" i="200"/>
  <c r="J627" i="200"/>
  <c r="K627" i="200"/>
  <c r="L627" i="200"/>
  <c r="M627" i="200"/>
  <c r="N627" i="200"/>
  <c r="G628" i="200"/>
  <c r="J628" i="200"/>
  <c r="K628" i="200"/>
  <c r="M628" i="200"/>
  <c r="G629" i="200"/>
  <c r="J629" i="200"/>
  <c r="N629" i="200" s="1"/>
  <c r="K629" i="200"/>
  <c r="L629" i="200"/>
  <c r="M629" i="200"/>
  <c r="G630" i="200"/>
  <c r="J630" i="200"/>
  <c r="K630" i="200"/>
  <c r="L630" i="200"/>
  <c r="M630" i="200"/>
  <c r="N630" i="200"/>
  <c r="G631" i="200"/>
  <c r="J631" i="200"/>
  <c r="K631" i="200"/>
  <c r="L631" i="200"/>
  <c r="M631" i="200"/>
  <c r="N631" i="200"/>
  <c r="E634" i="200"/>
  <c r="F634" i="200"/>
  <c r="H634" i="200"/>
  <c r="O634" i="200"/>
  <c r="P634" i="200"/>
  <c r="Q634" i="200"/>
  <c r="R634" i="200"/>
  <c r="S634" i="200"/>
  <c r="T634" i="200"/>
  <c r="G635" i="200"/>
  <c r="J635" i="200"/>
  <c r="K635" i="200"/>
  <c r="M635" i="200"/>
  <c r="G636" i="200"/>
  <c r="J636" i="200"/>
  <c r="N636" i="200" s="1"/>
  <c r="K636" i="200"/>
  <c r="L636" i="200"/>
  <c r="M636" i="200"/>
  <c r="G637" i="200"/>
  <c r="J637" i="200"/>
  <c r="K637" i="200"/>
  <c r="L637" i="200" s="1"/>
  <c r="M637" i="200"/>
  <c r="N637" i="200"/>
  <c r="G638" i="200"/>
  <c r="J638" i="200"/>
  <c r="L638" i="200" s="1"/>
  <c r="K638" i="200"/>
  <c r="M638" i="200"/>
  <c r="N638" i="200"/>
  <c r="G639" i="200"/>
  <c r="J639" i="200"/>
  <c r="N639" i="200" s="1"/>
  <c r="K639" i="200"/>
  <c r="L639" i="200"/>
  <c r="M639" i="200"/>
  <c r="G640" i="200"/>
  <c r="J640" i="200"/>
  <c r="L640" i="200" s="1"/>
  <c r="K640" i="200"/>
  <c r="M640" i="200"/>
  <c r="N640" i="200"/>
  <c r="E643" i="200"/>
  <c r="F643" i="200"/>
  <c r="H643" i="200"/>
  <c r="O643" i="200"/>
  <c r="P643" i="200"/>
  <c r="Q643" i="200"/>
  <c r="R643" i="200"/>
  <c r="S643" i="200"/>
  <c r="T643" i="200"/>
  <c r="G644" i="200"/>
  <c r="J644" i="200"/>
  <c r="N644" i="200" s="1"/>
  <c r="K644" i="200"/>
  <c r="L644" i="200"/>
  <c r="M644" i="200"/>
  <c r="G645" i="200"/>
  <c r="J645" i="200"/>
  <c r="L645" i="200" s="1"/>
  <c r="K645" i="200"/>
  <c r="M645" i="200"/>
  <c r="G646" i="200"/>
  <c r="J646" i="200"/>
  <c r="K646" i="200"/>
  <c r="L646" i="200" s="1"/>
  <c r="M646" i="200"/>
  <c r="N646" i="200"/>
  <c r="G647" i="200"/>
  <c r="J647" i="200"/>
  <c r="K647" i="200"/>
  <c r="M647" i="200"/>
  <c r="N647" i="200"/>
  <c r="E650" i="200"/>
  <c r="F650" i="200"/>
  <c r="H650" i="200"/>
  <c r="O650" i="200"/>
  <c r="P650" i="200"/>
  <c r="Q650" i="200"/>
  <c r="R650" i="200"/>
  <c r="S650" i="200"/>
  <c r="T650" i="200"/>
  <c r="G651" i="200"/>
  <c r="J651" i="200"/>
  <c r="K651" i="200"/>
  <c r="L651" i="200"/>
  <c r="M651" i="200"/>
  <c r="N651" i="200"/>
  <c r="G652" i="200"/>
  <c r="J652" i="200"/>
  <c r="K652" i="200"/>
  <c r="L652" i="200" s="1"/>
  <c r="M652" i="200"/>
  <c r="N652" i="200"/>
  <c r="G653" i="200"/>
  <c r="J653" i="200"/>
  <c r="K653" i="200"/>
  <c r="M653" i="200"/>
  <c r="N653" i="200"/>
  <c r="G654" i="200"/>
  <c r="J654" i="200"/>
  <c r="K654" i="200"/>
  <c r="M654" i="200"/>
  <c r="G655" i="200"/>
  <c r="J655" i="200"/>
  <c r="N655" i="200" s="1"/>
  <c r="K655" i="200"/>
  <c r="L655" i="200"/>
  <c r="M655" i="200"/>
  <c r="G656" i="200"/>
  <c r="J656" i="200"/>
  <c r="K656" i="200"/>
  <c r="L656" i="200" s="1"/>
  <c r="M656" i="200"/>
  <c r="N656" i="200"/>
  <c r="E659" i="200"/>
  <c r="F659" i="200"/>
  <c r="H659" i="200"/>
  <c r="O659" i="200"/>
  <c r="P659" i="200"/>
  <c r="Q659" i="200"/>
  <c r="R659" i="200"/>
  <c r="S659" i="200"/>
  <c r="T659" i="200"/>
  <c r="G660" i="200"/>
  <c r="J660" i="200"/>
  <c r="K660" i="200"/>
  <c r="L660" i="200"/>
  <c r="M660" i="200"/>
  <c r="N660" i="200"/>
  <c r="G661" i="200"/>
  <c r="J661" i="200"/>
  <c r="K661" i="200"/>
  <c r="M661" i="200"/>
  <c r="G662" i="200"/>
  <c r="J662" i="200"/>
  <c r="N662" i="200" s="1"/>
  <c r="K662" i="200"/>
  <c r="L662" i="200" s="1"/>
  <c r="M662" i="200"/>
  <c r="G663" i="200"/>
  <c r="J663" i="200"/>
  <c r="K663" i="200"/>
  <c r="L663" i="200"/>
  <c r="M663" i="200"/>
  <c r="N663" i="200"/>
  <c r="G664" i="200"/>
  <c r="J664" i="200"/>
  <c r="K664" i="200"/>
  <c r="L664" i="200"/>
  <c r="M664" i="200"/>
  <c r="N664" i="200"/>
  <c r="G665" i="200"/>
  <c r="J665" i="200"/>
  <c r="K665" i="200"/>
  <c r="M665" i="200"/>
  <c r="G666" i="200"/>
  <c r="J666" i="200"/>
  <c r="N666" i="200" s="1"/>
  <c r="K666" i="200"/>
  <c r="L666" i="200"/>
  <c r="M666" i="200"/>
  <c r="E669" i="200"/>
  <c r="F669" i="200"/>
  <c r="H669" i="200"/>
  <c r="O669" i="200"/>
  <c r="P669" i="200"/>
  <c r="Q669" i="200"/>
  <c r="R669" i="200"/>
  <c r="S669" i="200"/>
  <c r="T669" i="200"/>
  <c r="G670" i="200"/>
  <c r="J670" i="200"/>
  <c r="K670" i="200"/>
  <c r="L670" i="200"/>
  <c r="M670" i="200"/>
  <c r="N670" i="200"/>
  <c r="G671" i="200"/>
  <c r="J671" i="200"/>
  <c r="K671" i="200"/>
  <c r="L671" i="200" s="1"/>
  <c r="M671" i="200"/>
  <c r="N671" i="200"/>
  <c r="G672" i="200"/>
  <c r="J672" i="200"/>
  <c r="L672" i="200" s="1"/>
  <c r="K672" i="200"/>
  <c r="M672" i="200"/>
  <c r="N672" i="200"/>
  <c r="G673" i="200"/>
  <c r="J673" i="200"/>
  <c r="K673" i="200"/>
  <c r="M673" i="200"/>
  <c r="G674" i="200"/>
  <c r="J674" i="200"/>
  <c r="K674" i="200"/>
  <c r="M674" i="200"/>
  <c r="N674" i="200"/>
  <c r="G675" i="200"/>
  <c r="J675" i="200"/>
  <c r="K675" i="200"/>
  <c r="L675" i="200"/>
  <c r="M675" i="200"/>
  <c r="N675" i="200"/>
  <c r="G676" i="200"/>
  <c r="J676" i="200"/>
  <c r="K676" i="200"/>
  <c r="M676" i="200"/>
  <c r="G677" i="200"/>
  <c r="J677" i="200"/>
  <c r="K677" i="200"/>
  <c r="M677" i="200"/>
  <c r="E680" i="200"/>
  <c r="F680" i="200"/>
  <c r="H680" i="200"/>
  <c r="O680" i="200"/>
  <c r="P680" i="200"/>
  <c r="Q680" i="200"/>
  <c r="R680" i="200"/>
  <c r="S680" i="200"/>
  <c r="T680" i="200"/>
  <c r="G681" i="200"/>
  <c r="J681" i="200"/>
  <c r="K681" i="200"/>
  <c r="L681" i="200"/>
  <c r="M681" i="200"/>
  <c r="N681" i="200"/>
  <c r="G682" i="200"/>
  <c r="J682" i="200"/>
  <c r="N682" i="200" s="1"/>
  <c r="K682" i="200"/>
  <c r="M682" i="200"/>
  <c r="G683" i="200"/>
  <c r="J683" i="200"/>
  <c r="N683" i="200" s="1"/>
  <c r="K683" i="200"/>
  <c r="M683" i="200"/>
  <c r="G684" i="200"/>
  <c r="J684" i="200"/>
  <c r="N684" i="200" s="1"/>
  <c r="K684" i="200"/>
  <c r="L684" i="200"/>
  <c r="M684" i="200"/>
  <c r="G685" i="200"/>
  <c r="J685" i="200"/>
  <c r="K685" i="200"/>
  <c r="L685" i="200"/>
  <c r="M685" i="200"/>
  <c r="N685" i="200"/>
  <c r="G686" i="200"/>
  <c r="J686" i="200"/>
  <c r="K686" i="200"/>
  <c r="M686" i="200"/>
  <c r="N686" i="200"/>
  <c r="E689" i="200"/>
  <c r="F689" i="200"/>
  <c r="H689" i="200"/>
  <c r="O689" i="200"/>
  <c r="P689" i="200"/>
  <c r="Q689" i="200"/>
  <c r="R689" i="200"/>
  <c r="S689" i="200"/>
  <c r="T689" i="200"/>
  <c r="G690" i="200"/>
  <c r="J690" i="200"/>
  <c r="K690" i="200"/>
  <c r="L690" i="200"/>
  <c r="M690" i="200"/>
  <c r="N690" i="200"/>
  <c r="G691" i="200"/>
  <c r="J691" i="200"/>
  <c r="K691" i="200"/>
  <c r="M691" i="200"/>
  <c r="G692" i="200"/>
  <c r="J692" i="200"/>
  <c r="N692" i="200" s="1"/>
  <c r="K692" i="200"/>
  <c r="L692" i="200" s="1"/>
  <c r="M692" i="200"/>
  <c r="G693" i="200"/>
  <c r="J693" i="200"/>
  <c r="K693" i="200"/>
  <c r="M693" i="200"/>
  <c r="G694" i="200"/>
  <c r="J694" i="200"/>
  <c r="K694" i="200"/>
  <c r="L694" i="200" s="1"/>
  <c r="M694" i="200"/>
  <c r="N694" i="200"/>
  <c r="G695" i="200"/>
  <c r="J695" i="200"/>
  <c r="K695" i="200"/>
  <c r="M695" i="200"/>
  <c r="N695" i="200"/>
  <c r="E698" i="200"/>
  <c r="F698" i="200"/>
  <c r="H698" i="200"/>
  <c r="O698" i="200"/>
  <c r="P698" i="200"/>
  <c r="Q698" i="200"/>
  <c r="R698" i="200"/>
  <c r="S698" i="200"/>
  <c r="T698" i="200"/>
  <c r="G699" i="200"/>
  <c r="J699" i="200"/>
  <c r="K699" i="200"/>
  <c r="L699" i="200"/>
  <c r="M699" i="200"/>
  <c r="N699" i="200"/>
  <c r="G700" i="200"/>
  <c r="J700" i="200"/>
  <c r="K700" i="200"/>
  <c r="M700" i="200"/>
  <c r="N700" i="200"/>
  <c r="G701" i="200"/>
  <c r="J701" i="200"/>
  <c r="N701" i="200" s="1"/>
  <c r="K701" i="200"/>
  <c r="L701" i="200"/>
  <c r="M701" i="200"/>
  <c r="G702" i="200"/>
  <c r="J702" i="200"/>
  <c r="L702" i="200" s="1"/>
  <c r="K702" i="200"/>
  <c r="M702" i="200"/>
  <c r="G703" i="200"/>
  <c r="J703" i="200"/>
  <c r="K703" i="200"/>
  <c r="L703" i="200"/>
  <c r="M703" i="200"/>
  <c r="N703" i="200"/>
  <c r="G704" i="200"/>
  <c r="J704" i="200"/>
  <c r="N704" i="200" s="1"/>
  <c r="K704" i="200"/>
  <c r="M704" i="200"/>
  <c r="G705" i="200"/>
  <c r="J705" i="200"/>
  <c r="N705" i="200" s="1"/>
  <c r="K705" i="200"/>
  <c r="M705" i="200"/>
  <c r="G706" i="200"/>
  <c r="J706" i="200"/>
  <c r="K706" i="200"/>
  <c r="L706" i="200"/>
  <c r="M706" i="200"/>
  <c r="N706" i="200"/>
  <c r="G707" i="200"/>
  <c r="J707" i="200"/>
  <c r="K707" i="200"/>
  <c r="L707" i="200"/>
  <c r="M707" i="200"/>
  <c r="N707" i="200"/>
  <c r="E710" i="200"/>
  <c r="F710" i="200"/>
  <c r="H710" i="200"/>
  <c r="O710" i="200"/>
  <c r="P710" i="200"/>
  <c r="Q710" i="200"/>
  <c r="R710" i="200"/>
  <c r="S710" i="200"/>
  <c r="T710" i="200"/>
  <c r="G711" i="200"/>
  <c r="J711" i="200"/>
  <c r="K711" i="200"/>
  <c r="M711" i="200"/>
  <c r="G712" i="200"/>
  <c r="J712" i="200"/>
  <c r="K712" i="200"/>
  <c r="L712" i="200"/>
  <c r="M712" i="200"/>
  <c r="N712" i="200"/>
  <c r="E715" i="200"/>
  <c r="F715" i="200"/>
  <c r="H715" i="200"/>
  <c r="O715" i="200"/>
  <c r="P715" i="200"/>
  <c r="Q715" i="200"/>
  <c r="R715" i="200"/>
  <c r="S715" i="200"/>
  <c r="T715" i="200"/>
  <c r="G716" i="200"/>
  <c r="J716" i="200"/>
  <c r="K716" i="200"/>
  <c r="L716" i="200"/>
  <c r="M716" i="200"/>
  <c r="N716" i="200"/>
  <c r="G717" i="200"/>
  <c r="J717" i="200"/>
  <c r="K717" i="200"/>
  <c r="L717" i="200"/>
  <c r="M717" i="200"/>
  <c r="N717" i="200"/>
  <c r="G718" i="200"/>
  <c r="J718" i="200"/>
  <c r="K718" i="200"/>
  <c r="M718" i="200"/>
  <c r="N718" i="200"/>
  <c r="E721" i="200"/>
  <c r="F721" i="200"/>
  <c r="H721" i="200"/>
  <c r="O721" i="200"/>
  <c r="P721" i="200"/>
  <c r="Q721" i="200"/>
  <c r="R721" i="200"/>
  <c r="S721" i="200"/>
  <c r="T721" i="200"/>
  <c r="G722" i="200"/>
  <c r="J722" i="200"/>
  <c r="K722" i="200"/>
  <c r="M722" i="200"/>
  <c r="G723" i="200"/>
  <c r="J723" i="200"/>
  <c r="L723" i="200" s="1"/>
  <c r="K723" i="200"/>
  <c r="M723" i="200"/>
  <c r="G724" i="200"/>
  <c r="J724" i="200"/>
  <c r="K724" i="200"/>
  <c r="L724" i="200"/>
  <c r="M724" i="200"/>
  <c r="N724" i="200"/>
  <c r="G725" i="200"/>
  <c r="J725" i="200"/>
  <c r="K725" i="200"/>
  <c r="M725" i="200"/>
  <c r="G726" i="200"/>
  <c r="J726" i="200"/>
  <c r="K726" i="200"/>
  <c r="M726" i="200"/>
  <c r="G727" i="200"/>
  <c r="J727" i="200"/>
  <c r="K727" i="200"/>
  <c r="L727" i="200"/>
  <c r="M727" i="200"/>
  <c r="N727" i="200"/>
  <c r="E730" i="200"/>
  <c r="F730" i="200"/>
  <c r="H730" i="200"/>
  <c r="O730" i="200"/>
  <c r="P730" i="200"/>
  <c r="Q730" i="200"/>
  <c r="R730" i="200"/>
  <c r="S730" i="200"/>
  <c r="T730" i="200"/>
  <c r="G731" i="200"/>
  <c r="J731" i="200"/>
  <c r="K731" i="200"/>
  <c r="M731" i="200"/>
  <c r="G732" i="200"/>
  <c r="J732" i="200"/>
  <c r="N732" i="200" s="1"/>
  <c r="K732" i="200"/>
  <c r="L732" i="200"/>
  <c r="M732" i="200"/>
  <c r="G733" i="200"/>
  <c r="J733" i="200"/>
  <c r="N733" i="200" s="1"/>
  <c r="K733" i="200"/>
  <c r="L733" i="200"/>
  <c r="M733" i="200"/>
  <c r="G734" i="200"/>
  <c r="J734" i="200"/>
  <c r="K734" i="200"/>
  <c r="L734" i="200"/>
  <c r="M734" i="200"/>
  <c r="N734" i="200"/>
  <c r="G735" i="200"/>
  <c r="J735" i="200"/>
  <c r="L735" i="200" s="1"/>
  <c r="K735" i="200"/>
  <c r="M735" i="200"/>
  <c r="E738" i="200"/>
  <c r="F738" i="200"/>
  <c r="H738" i="200"/>
  <c r="O738" i="200"/>
  <c r="P738" i="200"/>
  <c r="Q738" i="200"/>
  <c r="R738" i="200"/>
  <c r="S738" i="200"/>
  <c r="T738" i="200"/>
  <c r="G739" i="200"/>
  <c r="J739" i="200"/>
  <c r="K739" i="200"/>
  <c r="L739" i="200"/>
  <c r="M739" i="200"/>
  <c r="N739" i="200"/>
  <c r="G740" i="200"/>
  <c r="J740" i="200"/>
  <c r="K740" i="200"/>
  <c r="M740" i="200"/>
  <c r="G741" i="200"/>
  <c r="J741" i="200"/>
  <c r="N741" i="200" s="1"/>
  <c r="K741" i="200"/>
  <c r="L741" i="200" s="1"/>
  <c r="M741" i="200"/>
  <c r="G742" i="200"/>
  <c r="J742" i="200"/>
  <c r="K742" i="200"/>
  <c r="M742" i="200"/>
  <c r="G743" i="200"/>
  <c r="J743" i="200"/>
  <c r="K743" i="200"/>
  <c r="L743" i="200"/>
  <c r="M743" i="200"/>
  <c r="N743" i="200"/>
  <c r="G744" i="200"/>
  <c r="J744" i="200"/>
  <c r="K744" i="200"/>
  <c r="M744" i="200"/>
  <c r="N744" i="200"/>
  <c r="E747" i="200"/>
  <c r="F747" i="200"/>
  <c r="H747" i="200"/>
  <c r="O747" i="200"/>
  <c r="P747" i="200"/>
  <c r="Q747" i="200"/>
  <c r="R747" i="200"/>
  <c r="S747" i="200"/>
  <c r="T747" i="200"/>
  <c r="G748" i="200"/>
  <c r="J748" i="200"/>
  <c r="K748" i="200"/>
  <c r="L748" i="200"/>
  <c r="M748" i="200"/>
  <c r="N748" i="200"/>
  <c r="G749" i="200"/>
  <c r="J749" i="200"/>
  <c r="K749" i="200"/>
  <c r="M749" i="200"/>
  <c r="G750" i="200"/>
  <c r="J750" i="200"/>
  <c r="K750" i="200"/>
  <c r="M750" i="200"/>
  <c r="G751" i="200"/>
  <c r="J751" i="200"/>
  <c r="L751" i="200" s="1"/>
  <c r="K751" i="200"/>
  <c r="M751" i="200"/>
  <c r="E754" i="200"/>
  <c r="F754" i="200"/>
  <c r="H754" i="200"/>
  <c r="O754" i="200"/>
  <c r="P754" i="200"/>
  <c r="Q754" i="200"/>
  <c r="R754" i="200"/>
  <c r="S754" i="200"/>
  <c r="T754" i="200"/>
  <c r="G755" i="200"/>
  <c r="J755" i="200"/>
  <c r="K755" i="200"/>
  <c r="M755" i="200"/>
  <c r="G756" i="200"/>
  <c r="J756" i="200"/>
  <c r="K756" i="200"/>
  <c r="M756" i="200"/>
  <c r="G757" i="200"/>
  <c r="J757" i="200"/>
  <c r="K757" i="200"/>
  <c r="M757" i="200"/>
  <c r="G758" i="200"/>
  <c r="J758" i="200"/>
  <c r="K758" i="200"/>
  <c r="L758" i="200" s="1"/>
  <c r="M758" i="200"/>
  <c r="N758" i="200"/>
  <c r="E761" i="200"/>
  <c r="F761" i="200"/>
  <c r="H761" i="200"/>
  <c r="O761" i="200"/>
  <c r="P761" i="200"/>
  <c r="Q761" i="200"/>
  <c r="R761" i="200"/>
  <c r="S761" i="200"/>
  <c r="T761" i="200"/>
  <c r="G762" i="200"/>
  <c r="J762" i="200"/>
  <c r="K762" i="200"/>
  <c r="L762" i="200"/>
  <c r="M762" i="200"/>
  <c r="N762" i="200"/>
  <c r="G763" i="200"/>
  <c r="J763" i="200"/>
  <c r="L763" i="200" s="1"/>
  <c r="K763" i="200"/>
  <c r="M763" i="200"/>
  <c r="G764" i="200"/>
  <c r="J764" i="200"/>
  <c r="K764" i="200"/>
  <c r="M764" i="200"/>
  <c r="G765" i="200"/>
  <c r="J765" i="200"/>
  <c r="N765" i="200" s="1"/>
  <c r="K765" i="200"/>
  <c r="L765" i="200"/>
  <c r="M765" i="200"/>
  <c r="G766" i="200"/>
  <c r="J766" i="200"/>
  <c r="K766" i="200"/>
  <c r="L766" i="200"/>
  <c r="M766" i="200"/>
  <c r="N766" i="200"/>
  <c r="G767" i="200"/>
  <c r="J767" i="200"/>
  <c r="L767" i="200" s="1"/>
  <c r="K767" i="200"/>
  <c r="M767" i="200"/>
  <c r="N767" i="200"/>
  <c r="E770" i="200"/>
  <c r="F770" i="200"/>
  <c r="H770" i="200"/>
  <c r="O770" i="200"/>
  <c r="P770" i="200"/>
  <c r="Q770" i="200"/>
  <c r="R770" i="200"/>
  <c r="S770" i="200"/>
  <c r="T770" i="200"/>
  <c r="G771" i="200"/>
  <c r="J771" i="200"/>
  <c r="K771" i="200"/>
  <c r="M771" i="200"/>
  <c r="G772" i="200"/>
  <c r="J772" i="200"/>
  <c r="L772" i="200" s="1"/>
  <c r="K772" i="200"/>
  <c r="M772" i="200"/>
  <c r="N772" i="200"/>
  <c r="G773" i="200"/>
  <c r="J773" i="200"/>
  <c r="K773" i="200"/>
  <c r="L773" i="200" s="1"/>
  <c r="M773" i="200"/>
  <c r="N773" i="200"/>
  <c r="G774" i="200"/>
  <c r="J774" i="200"/>
  <c r="L774" i="200" s="1"/>
  <c r="K774" i="200"/>
  <c r="M774" i="200"/>
  <c r="N774" i="200"/>
  <c r="G775" i="200"/>
  <c r="J775" i="200"/>
  <c r="N775" i="200" s="1"/>
  <c r="K775" i="200"/>
  <c r="L775" i="200"/>
  <c r="M775" i="200"/>
  <c r="G776" i="200"/>
  <c r="J776" i="200"/>
  <c r="K776" i="200"/>
  <c r="L776" i="200" s="1"/>
  <c r="M776" i="200"/>
  <c r="N776" i="200"/>
  <c r="G777" i="200"/>
  <c r="J777" i="200"/>
  <c r="K777" i="200"/>
  <c r="L777" i="200" s="1"/>
  <c r="M777" i="200"/>
  <c r="N777" i="200"/>
  <c r="G778" i="200"/>
  <c r="J778" i="200"/>
  <c r="L778" i="200" s="1"/>
  <c r="K778" i="200"/>
  <c r="M778" i="200"/>
  <c r="N778" i="200"/>
  <c r="E781" i="200"/>
  <c r="F781" i="200"/>
  <c r="H781" i="200"/>
  <c r="O781" i="200"/>
  <c r="P781" i="200"/>
  <c r="Q781" i="200"/>
  <c r="R781" i="200"/>
  <c r="S781" i="200"/>
  <c r="T781" i="200"/>
  <c r="G782" i="200"/>
  <c r="J782" i="200"/>
  <c r="L782" i="200" s="1"/>
  <c r="K782" i="200"/>
  <c r="M782" i="200"/>
  <c r="N782" i="200"/>
  <c r="G783" i="200"/>
  <c r="J783" i="200"/>
  <c r="K783" i="200"/>
  <c r="L783" i="200"/>
  <c r="M783" i="200"/>
  <c r="N783" i="200"/>
  <c r="G784" i="200"/>
  <c r="J784" i="200"/>
  <c r="K784" i="200"/>
  <c r="M784" i="200"/>
  <c r="G785" i="200"/>
  <c r="J785" i="200"/>
  <c r="K785" i="200"/>
  <c r="M785" i="200"/>
  <c r="G786" i="200"/>
  <c r="J786" i="200"/>
  <c r="L786" i="200" s="1"/>
  <c r="K786" i="200"/>
  <c r="M786" i="200"/>
  <c r="N786" i="200"/>
  <c r="G787" i="200"/>
  <c r="J787" i="200"/>
  <c r="K787" i="200"/>
  <c r="L787" i="200"/>
  <c r="M787" i="200"/>
  <c r="N787" i="200"/>
  <c r="G788" i="200"/>
  <c r="J788" i="200"/>
  <c r="L788" i="200" s="1"/>
  <c r="K788" i="200"/>
  <c r="M788" i="200"/>
  <c r="G789" i="200"/>
  <c r="J789" i="200"/>
  <c r="N789" i="200" s="1"/>
  <c r="K789" i="200"/>
  <c r="L789" i="200"/>
  <c r="M789" i="200"/>
  <c r="G790" i="200"/>
  <c r="J790" i="200"/>
  <c r="K790" i="200"/>
  <c r="L790" i="200"/>
  <c r="M790" i="200"/>
  <c r="N790" i="200"/>
  <c r="G791" i="200"/>
  <c r="J791" i="200"/>
  <c r="K791" i="200"/>
  <c r="L791" i="200" s="1"/>
  <c r="M791" i="200"/>
  <c r="N791" i="200"/>
  <c r="G792" i="200"/>
  <c r="J792" i="200"/>
  <c r="K792" i="200"/>
  <c r="M792" i="200"/>
  <c r="E795" i="200"/>
  <c r="F795" i="200"/>
  <c r="H795" i="200"/>
  <c r="O795" i="200"/>
  <c r="P795" i="200"/>
  <c r="Q795" i="200"/>
  <c r="R795" i="200"/>
  <c r="S795" i="200"/>
  <c r="T795" i="200"/>
  <c r="G796" i="200"/>
  <c r="J796" i="200"/>
  <c r="K796" i="200"/>
  <c r="L796" i="200"/>
  <c r="M796" i="200"/>
  <c r="N796" i="200"/>
  <c r="G797" i="200"/>
  <c r="J797" i="200"/>
  <c r="K797" i="200"/>
  <c r="M797" i="200"/>
  <c r="E800" i="200"/>
  <c r="F800" i="200"/>
  <c r="H800" i="200"/>
  <c r="O800" i="200"/>
  <c r="P800" i="200"/>
  <c r="Q800" i="200"/>
  <c r="R800" i="200"/>
  <c r="S800" i="200"/>
  <c r="T800" i="200"/>
  <c r="G801" i="200"/>
  <c r="J801" i="200"/>
  <c r="K801" i="200"/>
  <c r="M801" i="200"/>
  <c r="G802" i="200"/>
  <c r="J802" i="200"/>
  <c r="K802" i="200"/>
  <c r="L802" i="200"/>
  <c r="M802" i="200"/>
  <c r="N802" i="200"/>
  <c r="G803" i="200"/>
  <c r="J803" i="200"/>
  <c r="L803" i="200" s="1"/>
  <c r="K803" i="200"/>
  <c r="M803" i="200"/>
  <c r="E806" i="200"/>
  <c r="F806" i="200"/>
  <c r="H806" i="200"/>
  <c r="O806" i="200"/>
  <c r="P806" i="200"/>
  <c r="Q806" i="200"/>
  <c r="R806" i="200"/>
  <c r="S806" i="200"/>
  <c r="T806" i="200"/>
  <c r="G807" i="200"/>
  <c r="J807" i="200"/>
  <c r="K807" i="200"/>
  <c r="L807" i="200"/>
  <c r="M807" i="200"/>
  <c r="N807" i="200"/>
  <c r="G808" i="200"/>
  <c r="J808" i="200"/>
  <c r="L808" i="200" s="1"/>
  <c r="K808" i="200"/>
  <c r="M808" i="200"/>
  <c r="E811" i="200"/>
  <c r="F811" i="200"/>
  <c r="H811" i="200"/>
  <c r="O811" i="200"/>
  <c r="P811" i="200"/>
  <c r="Q811" i="200"/>
  <c r="R811" i="200"/>
  <c r="S811" i="200"/>
  <c r="T811" i="200"/>
  <c r="G812" i="200"/>
  <c r="J812" i="200"/>
  <c r="K812" i="200"/>
  <c r="L812" i="200"/>
  <c r="M812" i="200"/>
  <c r="N812" i="200"/>
  <c r="G813" i="200"/>
  <c r="J813" i="200"/>
  <c r="K813" i="200"/>
  <c r="M813" i="200"/>
  <c r="N813" i="200"/>
  <c r="G814" i="200"/>
  <c r="J814" i="200"/>
  <c r="N814" i="200" s="1"/>
  <c r="K814" i="200"/>
  <c r="L814" i="200"/>
  <c r="M814" i="200"/>
  <c r="G815" i="200"/>
  <c r="J815" i="200"/>
  <c r="N815" i="200" s="1"/>
  <c r="K815" i="200"/>
  <c r="L815" i="200"/>
  <c r="M815" i="200"/>
  <c r="G816" i="200"/>
  <c r="J816" i="200"/>
  <c r="K816" i="200"/>
  <c r="L816" i="200"/>
  <c r="M816" i="200"/>
  <c r="N816" i="200"/>
  <c r="E819" i="200"/>
  <c r="F819" i="200"/>
  <c r="H819" i="200"/>
  <c r="O819" i="200"/>
  <c r="P819" i="200"/>
  <c r="Q819" i="200"/>
  <c r="R819" i="200"/>
  <c r="S819" i="200"/>
  <c r="T819" i="200"/>
  <c r="G820" i="200"/>
  <c r="J820" i="200"/>
  <c r="K820" i="200"/>
  <c r="M820" i="200"/>
  <c r="E823" i="200"/>
  <c r="F823" i="200"/>
  <c r="H823" i="200"/>
  <c r="O823" i="200"/>
  <c r="P823" i="200"/>
  <c r="Q823" i="200"/>
  <c r="R823" i="200"/>
  <c r="S823" i="200"/>
  <c r="T823" i="200"/>
  <c r="G824" i="200"/>
  <c r="J824" i="200"/>
  <c r="N824" i="200" s="1"/>
  <c r="K824" i="200"/>
  <c r="L824" i="200"/>
  <c r="M824" i="200"/>
  <c r="E827" i="200"/>
  <c r="F827" i="200"/>
  <c r="H827" i="200"/>
  <c r="O827" i="200"/>
  <c r="P827" i="200"/>
  <c r="Q827" i="200"/>
  <c r="R827" i="200"/>
  <c r="S827" i="200"/>
  <c r="T827" i="200"/>
  <c r="G828" i="200"/>
  <c r="J828" i="200"/>
  <c r="K828" i="200"/>
  <c r="M828" i="200"/>
  <c r="E831" i="200"/>
  <c r="F831" i="200"/>
  <c r="H831" i="200"/>
  <c r="O831" i="200"/>
  <c r="P831" i="200"/>
  <c r="Q831" i="200"/>
  <c r="R831" i="200"/>
  <c r="S831" i="200"/>
  <c r="T831" i="200"/>
  <c r="G832" i="200"/>
  <c r="J832" i="200"/>
  <c r="N832" i="200" s="1"/>
  <c r="K832" i="200"/>
  <c r="L832" i="200"/>
  <c r="M832" i="200"/>
  <c r="E835" i="200"/>
  <c r="F835" i="200"/>
  <c r="H835" i="200"/>
  <c r="O835" i="200"/>
  <c r="P835" i="200"/>
  <c r="Q835" i="200"/>
  <c r="R835" i="200"/>
  <c r="S835" i="200"/>
  <c r="T835" i="200"/>
  <c r="G836" i="200"/>
  <c r="J836" i="200"/>
  <c r="K836" i="200"/>
  <c r="L836" i="200"/>
  <c r="M836" i="200"/>
  <c r="N836" i="200"/>
  <c r="G837" i="200"/>
  <c r="J837" i="200"/>
  <c r="K837" i="200"/>
  <c r="M837" i="200"/>
  <c r="N837" i="200"/>
  <c r="G838" i="200"/>
  <c r="J838" i="200"/>
  <c r="K838" i="200"/>
  <c r="M838" i="200"/>
  <c r="E841" i="200"/>
  <c r="F841" i="200"/>
  <c r="H841" i="200"/>
  <c r="O841" i="200"/>
  <c r="P841" i="200"/>
  <c r="Q841" i="200"/>
  <c r="R841" i="200"/>
  <c r="S841" i="200"/>
  <c r="T841" i="200"/>
  <c r="G842" i="200"/>
  <c r="J842" i="200"/>
  <c r="N842" i="200" s="1"/>
  <c r="K842" i="200"/>
  <c r="M842" i="200"/>
  <c r="E845" i="200"/>
  <c r="F845" i="200"/>
  <c r="H845" i="200"/>
  <c r="O845" i="200"/>
  <c r="P845" i="200"/>
  <c r="Q845" i="200"/>
  <c r="R845" i="200"/>
  <c r="S845" i="200"/>
  <c r="T845" i="200"/>
  <c r="G846" i="200"/>
  <c r="J846" i="200"/>
  <c r="K846" i="200"/>
  <c r="L846" i="200"/>
  <c r="M846" i="200"/>
  <c r="N846" i="200"/>
  <c r="E849" i="200"/>
  <c r="F849" i="200"/>
  <c r="H849" i="200"/>
  <c r="O849" i="200"/>
  <c r="P849" i="200"/>
  <c r="Q849" i="200"/>
  <c r="R849" i="200"/>
  <c r="S849" i="200"/>
  <c r="T849" i="200"/>
  <c r="G850" i="200"/>
  <c r="J850" i="200"/>
  <c r="K850" i="200"/>
  <c r="L850" i="200"/>
  <c r="M850" i="200"/>
  <c r="N850" i="200"/>
  <c r="E853" i="200"/>
  <c r="F853" i="200"/>
  <c r="H853" i="200"/>
  <c r="O853" i="200"/>
  <c r="P853" i="200"/>
  <c r="Q853" i="200"/>
  <c r="R853" i="200"/>
  <c r="S853" i="200"/>
  <c r="T853" i="200"/>
  <c r="G854" i="200"/>
  <c r="J854" i="200"/>
  <c r="K854" i="200"/>
  <c r="L854" i="200"/>
  <c r="M854" i="200"/>
  <c r="N854" i="200"/>
  <c r="G855" i="200"/>
  <c r="J855" i="200"/>
  <c r="K855" i="200"/>
  <c r="M855" i="200"/>
  <c r="E858" i="200"/>
  <c r="F858" i="200"/>
  <c r="H858" i="200"/>
  <c r="O858" i="200"/>
  <c r="P858" i="200"/>
  <c r="Q858" i="200"/>
  <c r="R858" i="200"/>
  <c r="S858" i="200"/>
  <c r="T858" i="200"/>
  <c r="G859" i="200"/>
  <c r="J859" i="200"/>
  <c r="N859" i="200" s="1"/>
  <c r="K859" i="200"/>
  <c r="L859" i="200"/>
  <c r="M859" i="200"/>
  <c r="E862" i="200"/>
  <c r="F862" i="200"/>
  <c r="H862" i="200"/>
  <c r="O862" i="200"/>
  <c r="P862" i="200"/>
  <c r="Q862" i="200"/>
  <c r="R862" i="200"/>
  <c r="S862" i="200"/>
  <c r="T862" i="200"/>
  <c r="G863" i="200"/>
  <c r="J863" i="200"/>
  <c r="N863" i="200" s="1"/>
  <c r="K863" i="200"/>
  <c r="M863" i="200"/>
  <c r="G864" i="200"/>
  <c r="J864" i="200"/>
  <c r="K864" i="200"/>
  <c r="L864" i="200" s="1"/>
  <c r="M864" i="200"/>
  <c r="N864" i="200"/>
  <c r="E867" i="200"/>
  <c r="F867" i="200"/>
  <c r="H867" i="200"/>
  <c r="O867" i="200"/>
  <c r="P867" i="200"/>
  <c r="Q867" i="200"/>
  <c r="R867" i="200"/>
  <c r="S867" i="200"/>
  <c r="T867" i="200"/>
  <c r="G868" i="200"/>
  <c r="J868" i="200"/>
  <c r="L868" i="200" s="1"/>
  <c r="K868" i="200"/>
  <c r="M868" i="200"/>
  <c r="E871" i="200"/>
  <c r="F871" i="200"/>
  <c r="H871" i="200"/>
  <c r="O871" i="200"/>
  <c r="P871" i="200"/>
  <c r="Q871" i="200"/>
  <c r="R871" i="200"/>
  <c r="S871" i="200"/>
  <c r="T871" i="200"/>
  <c r="G872" i="200"/>
  <c r="J872" i="200"/>
  <c r="K872" i="200"/>
  <c r="L872" i="200" s="1"/>
  <c r="M872" i="200"/>
  <c r="N872" i="200"/>
  <c r="E875" i="200"/>
  <c r="F875" i="200"/>
  <c r="H875" i="200"/>
  <c r="O875" i="200"/>
  <c r="P875" i="200"/>
  <c r="Q875" i="200"/>
  <c r="R875" i="200"/>
  <c r="S875" i="200"/>
  <c r="T875" i="200"/>
  <c r="G876" i="200"/>
  <c r="J876" i="200"/>
  <c r="L876" i="200" s="1"/>
  <c r="K876" i="200"/>
  <c r="M876" i="200"/>
  <c r="N876" i="200"/>
  <c r="L5" i="197"/>
  <c r="E6" i="197"/>
  <c r="L6" i="197"/>
  <c r="L7" i="197"/>
  <c r="E12" i="197"/>
  <c r="F12" i="197"/>
  <c r="H12" i="197"/>
  <c r="O12" i="197"/>
  <c r="P12" i="197"/>
  <c r="Q12" i="197"/>
  <c r="R12" i="197"/>
  <c r="S12" i="197"/>
  <c r="T12" i="197"/>
  <c r="G13" i="197"/>
  <c r="J13" i="197"/>
  <c r="K13" i="197"/>
  <c r="L13" i="197"/>
  <c r="M13" i="197"/>
  <c r="N13" i="197"/>
  <c r="G14" i="197"/>
  <c r="J14" i="197"/>
  <c r="K14" i="197"/>
  <c r="L14" i="197" s="1"/>
  <c r="M14" i="197"/>
  <c r="N14" i="197"/>
  <c r="E17" i="197"/>
  <c r="F17" i="197"/>
  <c r="H17" i="197"/>
  <c r="O17" i="197"/>
  <c r="P17" i="197"/>
  <c r="Q17" i="197"/>
  <c r="R17" i="197"/>
  <c r="S17" i="197"/>
  <c r="T17" i="197"/>
  <c r="G18" i="197"/>
  <c r="J18" i="197"/>
  <c r="L18" i="197" s="1"/>
  <c r="K18" i="197"/>
  <c r="M18" i="197"/>
  <c r="G19" i="197"/>
  <c r="J19" i="197"/>
  <c r="N19" i="197" s="1"/>
  <c r="K19" i="197"/>
  <c r="L19" i="197"/>
  <c r="M19" i="197"/>
  <c r="G20" i="197"/>
  <c r="J20" i="197"/>
  <c r="L20" i="197" s="1"/>
  <c r="K20" i="197"/>
  <c r="M20" i="197"/>
  <c r="N20" i="197"/>
  <c r="G21" i="197"/>
  <c r="J21" i="197"/>
  <c r="K21" i="197"/>
  <c r="L21" i="197"/>
  <c r="M21" i="197"/>
  <c r="N21" i="197"/>
  <c r="E24" i="197"/>
  <c r="F24" i="197"/>
  <c r="H24" i="197"/>
  <c r="O24" i="197"/>
  <c r="P24" i="197"/>
  <c r="Q24" i="197"/>
  <c r="R24" i="197"/>
  <c r="S24" i="197"/>
  <c r="T24" i="197"/>
  <c r="G25" i="197"/>
  <c r="J25" i="197"/>
  <c r="K25" i="197"/>
  <c r="L25" i="197"/>
  <c r="M25" i="197"/>
  <c r="N25" i="197"/>
  <c r="G26" i="197"/>
  <c r="J26" i="197"/>
  <c r="K26" i="197"/>
  <c r="M26" i="197"/>
  <c r="N26" i="197"/>
  <c r="G27" i="197"/>
  <c r="J27" i="197"/>
  <c r="K27" i="197"/>
  <c r="M27" i="197"/>
  <c r="G28" i="197"/>
  <c r="J28" i="197"/>
  <c r="L28" i="197" s="1"/>
  <c r="K28" i="197"/>
  <c r="M28" i="197"/>
  <c r="E31" i="197"/>
  <c r="F31" i="197"/>
  <c r="H31" i="197"/>
  <c r="O31" i="197"/>
  <c r="P31" i="197"/>
  <c r="Q31" i="197"/>
  <c r="R31" i="197"/>
  <c r="S31" i="197"/>
  <c r="T31" i="197"/>
  <c r="G32" i="197"/>
  <c r="J32" i="197"/>
  <c r="K32" i="197"/>
  <c r="L32" i="197"/>
  <c r="M32" i="197"/>
  <c r="N32" i="197"/>
  <c r="G33" i="197"/>
  <c r="J33" i="197"/>
  <c r="L33" i="197" s="1"/>
  <c r="K33" i="197"/>
  <c r="M33" i="197"/>
  <c r="G34" i="197"/>
  <c r="J34" i="197"/>
  <c r="N34" i="197" s="1"/>
  <c r="K34" i="197"/>
  <c r="L34" i="197"/>
  <c r="M34" i="197"/>
  <c r="E37" i="197"/>
  <c r="F37" i="197"/>
  <c r="H37" i="197"/>
  <c r="O37" i="197"/>
  <c r="P37" i="197"/>
  <c r="Q37" i="197"/>
  <c r="R37" i="197"/>
  <c r="S37" i="197"/>
  <c r="T37" i="197"/>
  <c r="G38" i="197"/>
  <c r="J38" i="197"/>
  <c r="N38" i="197" s="1"/>
  <c r="K38" i="197"/>
  <c r="L38" i="197"/>
  <c r="M38" i="197"/>
  <c r="G39" i="197"/>
  <c r="J39" i="197"/>
  <c r="K39" i="197"/>
  <c r="L39" i="197" s="1"/>
  <c r="M39" i="197"/>
  <c r="N39" i="197"/>
  <c r="E42" i="197"/>
  <c r="F42" i="197"/>
  <c r="H42" i="197"/>
  <c r="O42" i="197"/>
  <c r="P42" i="197"/>
  <c r="Q42" i="197"/>
  <c r="R42" i="197"/>
  <c r="S42" i="197"/>
  <c r="T42" i="197"/>
  <c r="G43" i="197"/>
  <c r="J43" i="197"/>
  <c r="K43" i="197"/>
  <c r="M43" i="197"/>
  <c r="G44" i="197"/>
  <c r="J44" i="197"/>
  <c r="N44" i="197" s="1"/>
  <c r="K44" i="197"/>
  <c r="L44" i="197"/>
  <c r="M44" i="197"/>
  <c r="G45" i="197"/>
  <c r="J45" i="197"/>
  <c r="N45" i="197" s="1"/>
  <c r="K45" i="197"/>
  <c r="L45" i="197"/>
  <c r="M45" i="197"/>
  <c r="G46" i="197"/>
  <c r="J46" i="197"/>
  <c r="K46" i="197"/>
  <c r="L46" i="197" s="1"/>
  <c r="M46" i="197"/>
  <c r="N46" i="197"/>
  <c r="E49" i="197"/>
  <c r="F49" i="197"/>
  <c r="H49" i="197"/>
  <c r="O49" i="197"/>
  <c r="P49" i="197"/>
  <c r="Q49" i="197"/>
  <c r="R49" i="197"/>
  <c r="S49" i="197"/>
  <c r="T49" i="197"/>
  <c r="G50" i="197"/>
  <c r="J50" i="197"/>
  <c r="N50" i="197" s="1"/>
  <c r="K50" i="197"/>
  <c r="L50" i="197"/>
  <c r="M50" i="197"/>
  <c r="G51" i="197"/>
  <c r="J51" i="197"/>
  <c r="K51" i="197"/>
  <c r="L51" i="197"/>
  <c r="M51" i="197"/>
  <c r="N51" i="197"/>
  <c r="E54" i="197"/>
  <c r="F54" i="197"/>
  <c r="H54" i="197"/>
  <c r="O54" i="197"/>
  <c r="P54" i="197"/>
  <c r="Q54" i="197"/>
  <c r="R54" i="197"/>
  <c r="S54" i="197"/>
  <c r="T54" i="197"/>
  <c r="G55" i="197"/>
  <c r="J55" i="197"/>
  <c r="K55" i="197"/>
  <c r="M55" i="197"/>
  <c r="G56" i="197"/>
  <c r="J56" i="197"/>
  <c r="L56" i="197" s="1"/>
  <c r="K56" i="197"/>
  <c r="M56" i="197"/>
  <c r="N56" i="197"/>
  <c r="G57" i="197"/>
  <c r="J57" i="197"/>
  <c r="K57" i="197"/>
  <c r="L57" i="197" s="1"/>
  <c r="M57" i="197"/>
  <c r="N57" i="197"/>
  <c r="E60" i="197"/>
  <c r="F60" i="197"/>
  <c r="H60" i="197"/>
  <c r="O60" i="197"/>
  <c r="P60" i="197"/>
  <c r="Q60" i="197"/>
  <c r="R60" i="197"/>
  <c r="S60" i="197"/>
  <c r="T60" i="197"/>
  <c r="G61" i="197"/>
  <c r="J61" i="197"/>
  <c r="K61" i="197"/>
  <c r="L61" i="197"/>
  <c r="M61" i="197"/>
  <c r="N61" i="197"/>
  <c r="G62" i="197"/>
  <c r="J62" i="197"/>
  <c r="K62" i="197"/>
  <c r="L62" i="197" s="1"/>
  <c r="M62" i="197"/>
  <c r="N62" i="197"/>
  <c r="E65" i="197"/>
  <c r="F65" i="197"/>
  <c r="H65" i="197"/>
  <c r="O65" i="197"/>
  <c r="P65" i="197"/>
  <c r="Q65" i="197"/>
  <c r="R65" i="197"/>
  <c r="S65" i="197"/>
  <c r="T65" i="197"/>
  <c r="G66" i="197"/>
  <c r="J66" i="197"/>
  <c r="N66" i="197" s="1"/>
  <c r="K66" i="197"/>
  <c r="L66" i="197"/>
  <c r="M66" i="197"/>
  <c r="G67" i="197"/>
  <c r="J67" i="197"/>
  <c r="N67" i="197" s="1"/>
  <c r="K67" i="197"/>
  <c r="M67" i="197"/>
  <c r="G68" i="197"/>
  <c r="J68" i="197"/>
  <c r="K68" i="197"/>
  <c r="L68" i="197" s="1"/>
  <c r="M68" i="197"/>
  <c r="N68" i="197"/>
  <c r="E71" i="197"/>
  <c r="F71" i="197"/>
  <c r="H71" i="197"/>
  <c r="O71" i="197"/>
  <c r="P71" i="197"/>
  <c r="Q71" i="197"/>
  <c r="R71" i="197"/>
  <c r="S71" i="197"/>
  <c r="T71" i="197"/>
  <c r="G72" i="197"/>
  <c r="J72" i="197"/>
  <c r="K72" i="197"/>
  <c r="L72" i="197"/>
  <c r="M72" i="197"/>
  <c r="N72" i="197"/>
  <c r="E75" i="197"/>
  <c r="F75" i="197"/>
  <c r="H75" i="197"/>
  <c r="O75" i="197"/>
  <c r="P75" i="197"/>
  <c r="Q75" i="197"/>
  <c r="R75" i="197"/>
  <c r="S75" i="197"/>
  <c r="T75" i="197"/>
  <c r="G76" i="197"/>
  <c r="J76" i="197"/>
  <c r="L76" i="197" s="1"/>
  <c r="K76" i="197"/>
  <c r="M76" i="197"/>
  <c r="N76" i="197"/>
  <c r="G77" i="197"/>
  <c r="J77" i="197"/>
  <c r="K77" i="197"/>
  <c r="M77" i="197"/>
  <c r="E80" i="197"/>
  <c r="F80" i="197"/>
  <c r="H80" i="197"/>
  <c r="O80" i="197"/>
  <c r="P80" i="197"/>
  <c r="Q80" i="197"/>
  <c r="R80" i="197"/>
  <c r="S80" i="197"/>
  <c r="T80" i="197"/>
  <c r="G81" i="197"/>
  <c r="J81" i="197"/>
  <c r="K81" i="197"/>
  <c r="M81" i="197"/>
  <c r="E84" i="197"/>
  <c r="F84" i="197"/>
  <c r="H84" i="197"/>
  <c r="O84" i="197"/>
  <c r="P84" i="197"/>
  <c r="Q84" i="197"/>
  <c r="R84" i="197"/>
  <c r="S84" i="197"/>
  <c r="T84" i="197"/>
  <c r="G85" i="197"/>
  <c r="J85" i="197"/>
  <c r="L85" i="197" s="1"/>
  <c r="K85" i="197"/>
  <c r="M85" i="197"/>
  <c r="N85" i="197"/>
  <c r="E88" i="197"/>
  <c r="F88" i="197"/>
  <c r="H88" i="197"/>
  <c r="O88" i="197"/>
  <c r="P88" i="197"/>
  <c r="Q88" i="197"/>
  <c r="R88" i="197"/>
  <c r="S88" i="197"/>
  <c r="T88" i="197"/>
  <c r="G89" i="197"/>
  <c r="J89" i="197"/>
  <c r="N89" i="197" s="1"/>
  <c r="K89" i="197"/>
  <c r="L89" i="197"/>
  <c r="M89" i="197"/>
  <c r="G90" i="197"/>
  <c r="J90" i="197"/>
  <c r="K90" i="197"/>
  <c r="M90" i="197"/>
  <c r="G91" i="197"/>
  <c r="J91" i="197"/>
  <c r="K91" i="197"/>
  <c r="L91" i="197"/>
  <c r="M91" i="197"/>
  <c r="N91" i="197"/>
  <c r="E94" i="197"/>
  <c r="F94" i="197"/>
  <c r="H94" i="197"/>
  <c r="O94" i="197"/>
  <c r="P94" i="197"/>
  <c r="Q94" i="197"/>
  <c r="R94" i="197"/>
  <c r="S94" i="197"/>
  <c r="T94" i="197"/>
  <c r="G95" i="197"/>
  <c r="J95" i="197"/>
  <c r="K95" i="197"/>
  <c r="L95" i="197"/>
  <c r="M95" i="197"/>
  <c r="N95" i="197"/>
  <c r="G96" i="197"/>
  <c r="J96" i="197"/>
  <c r="K96" i="197"/>
  <c r="L96" i="197" s="1"/>
  <c r="M96" i="197"/>
  <c r="N96" i="197"/>
  <c r="E99" i="197"/>
  <c r="F99" i="197"/>
  <c r="H99" i="197"/>
  <c r="O99" i="197"/>
  <c r="P99" i="197"/>
  <c r="Q99" i="197"/>
  <c r="R99" i="197"/>
  <c r="S99" i="197"/>
  <c r="T99" i="197"/>
  <c r="G100" i="197"/>
  <c r="J100" i="197"/>
  <c r="N100" i="197" s="1"/>
  <c r="K100" i="197"/>
  <c r="L100" i="197"/>
  <c r="M100" i="197"/>
  <c r="G101" i="197"/>
  <c r="J101" i="197"/>
  <c r="K101" i="197"/>
  <c r="M101" i="197"/>
  <c r="G102" i="197"/>
  <c r="J102" i="197"/>
  <c r="K102" i="197"/>
  <c r="L102" i="197"/>
  <c r="M102" i="197"/>
  <c r="N102" i="197"/>
  <c r="E105" i="197"/>
  <c r="F105" i="197"/>
  <c r="H105" i="197"/>
  <c r="O105" i="197"/>
  <c r="P105" i="197"/>
  <c r="Q105" i="197"/>
  <c r="R105" i="197"/>
  <c r="S105" i="197"/>
  <c r="T105" i="197"/>
  <c r="G106" i="197"/>
  <c r="J106" i="197"/>
  <c r="K106" i="197"/>
  <c r="M106" i="197"/>
  <c r="G107" i="197"/>
  <c r="J107" i="197"/>
  <c r="N107" i="197" s="1"/>
  <c r="K107" i="197"/>
  <c r="L107" i="197"/>
  <c r="M107" i="197"/>
  <c r="E110" i="197"/>
  <c r="F110" i="197"/>
  <c r="H110" i="197"/>
  <c r="O110" i="197"/>
  <c r="P110" i="197"/>
  <c r="Q110" i="197"/>
  <c r="R110" i="197"/>
  <c r="S110" i="197"/>
  <c r="T110" i="197"/>
  <c r="G111" i="197"/>
  <c r="J111" i="197"/>
  <c r="K111" i="197"/>
  <c r="M111" i="197"/>
  <c r="G112" i="197"/>
  <c r="J112" i="197"/>
  <c r="K112" i="197"/>
  <c r="M112" i="197"/>
  <c r="E115" i="197"/>
  <c r="F115" i="197"/>
  <c r="H115" i="197"/>
  <c r="O115" i="197"/>
  <c r="P115" i="197"/>
  <c r="Q115" i="197"/>
  <c r="R115" i="197"/>
  <c r="S115" i="197"/>
  <c r="T115" i="197"/>
  <c r="G116" i="197"/>
  <c r="J116" i="197"/>
  <c r="L116" i="197" s="1"/>
  <c r="K116" i="197"/>
  <c r="M116" i="197"/>
  <c r="G117" i="197"/>
  <c r="J117" i="197"/>
  <c r="K117" i="197"/>
  <c r="L117" i="197"/>
  <c r="M117" i="197"/>
  <c r="N117" i="197"/>
  <c r="G118" i="197"/>
  <c r="J118" i="197"/>
  <c r="K118" i="197"/>
  <c r="M118" i="197"/>
  <c r="G119" i="197"/>
  <c r="J119" i="197"/>
  <c r="N119" i="197" s="1"/>
  <c r="K119" i="197"/>
  <c r="L119" i="197"/>
  <c r="M119" i="197"/>
  <c r="G120" i="197"/>
  <c r="J120" i="197"/>
  <c r="N120" i="197" s="1"/>
  <c r="K120" i="197"/>
  <c r="L120" i="197"/>
  <c r="M120" i="197"/>
  <c r="E123" i="197"/>
  <c r="F123" i="197"/>
  <c r="H123" i="197"/>
  <c r="O123" i="197"/>
  <c r="P123" i="197"/>
  <c r="Q123" i="197"/>
  <c r="R123" i="197"/>
  <c r="S123" i="197"/>
  <c r="T123" i="197"/>
  <c r="G124" i="197"/>
  <c r="J124" i="197"/>
  <c r="K124" i="197"/>
  <c r="L124" i="197"/>
  <c r="M124" i="197"/>
  <c r="N124" i="197"/>
  <c r="G125" i="197"/>
  <c r="J125" i="197"/>
  <c r="K125" i="197"/>
  <c r="M125" i="197"/>
  <c r="G126" i="197"/>
  <c r="J126" i="197"/>
  <c r="K126" i="197"/>
  <c r="M126" i="197"/>
  <c r="E129" i="197"/>
  <c r="F129" i="197"/>
  <c r="H129" i="197"/>
  <c r="O129" i="197"/>
  <c r="P129" i="197"/>
  <c r="Q129" i="197"/>
  <c r="R129" i="197"/>
  <c r="S129" i="197"/>
  <c r="T129" i="197"/>
  <c r="G130" i="197"/>
  <c r="J130" i="197"/>
  <c r="N130" i="197" s="1"/>
  <c r="K130" i="197"/>
  <c r="L130" i="197"/>
  <c r="M130" i="197"/>
  <c r="E133" i="197"/>
  <c r="F133" i="197"/>
  <c r="H133" i="197"/>
  <c r="O133" i="197"/>
  <c r="P133" i="197"/>
  <c r="Q133" i="197"/>
  <c r="R133" i="197"/>
  <c r="S133" i="197"/>
  <c r="T133" i="197"/>
  <c r="G134" i="197"/>
  <c r="J134" i="197"/>
  <c r="L134" i="197" s="1"/>
  <c r="K134" i="197"/>
  <c r="M134" i="197"/>
  <c r="N134" i="197"/>
  <c r="G135" i="197"/>
  <c r="J135" i="197"/>
  <c r="K135" i="197"/>
  <c r="L135" i="197"/>
  <c r="M135" i="197"/>
  <c r="N135" i="197"/>
  <c r="E138" i="197"/>
  <c r="F138" i="197"/>
  <c r="H138" i="197"/>
  <c r="O138" i="197"/>
  <c r="P138" i="197"/>
  <c r="Q138" i="197"/>
  <c r="R138" i="197"/>
  <c r="S138" i="197"/>
  <c r="T138" i="197"/>
  <c r="G139" i="197"/>
  <c r="J139" i="197"/>
  <c r="L139" i="197" s="1"/>
  <c r="K139" i="197"/>
  <c r="M139" i="197"/>
  <c r="N139" i="197"/>
  <c r="G140" i="197"/>
  <c r="J140" i="197"/>
  <c r="N140" i="197" s="1"/>
  <c r="K140" i="197"/>
  <c r="L140" i="197"/>
  <c r="M140" i="197"/>
  <c r="E143" i="197"/>
  <c r="F143" i="197"/>
  <c r="H143" i="197"/>
  <c r="O143" i="197"/>
  <c r="P143" i="197"/>
  <c r="Q143" i="197"/>
  <c r="R143" i="197"/>
  <c r="S143" i="197"/>
  <c r="T143" i="197"/>
  <c r="G144" i="197"/>
  <c r="J144" i="197"/>
  <c r="K144" i="197"/>
  <c r="M144" i="197"/>
  <c r="G145" i="197"/>
  <c r="J145" i="197"/>
  <c r="K145" i="197"/>
  <c r="L145" i="197"/>
  <c r="M145" i="197"/>
  <c r="N145" i="197"/>
  <c r="G146" i="197"/>
  <c r="J146" i="197"/>
  <c r="K146" i="197"/>
  <c r="L146" i="197" s="1"/>
  <c r="M146" i="197"/>
  <c r="N146" i="197"/>
  <c r="G147" i="197"/>
  <c r="J147" i="197"/>
  <c r="L147" i="197" s="1"/>
  <c r="K147" i="197"/>
  <c r="M147" i="197"/>
  <c r="E150" i="197"/>
  <c r="F150" i="197"/>
  <c r="H150" i="197"/>
  <c r="O150" i="197"/>
  <c r="P150" i="197"/>
  <c r="Q150" i="197"/>
  <c r="R150" i="197"/>
  <c r="S150" i="197"/>
  <c r="T150" i="197"/>
  <c r="G151" i="197"/>
  <c r="J151" i="197"/>
  <c r="N151" i="197" s="1"/>
  <c r="K151" i="197"/>
  <c r="L151" i="197"/>
  <c r="M151" i="197"/>
  <c r="G152" i="197"/>
  <c r="J152" i="197"/>
  <c r="K152" i="197"/>
  <c r="L152" i="197"/>
  <c r="M152" i="197"/>
  <c r="N152" i="197"/>
  <c r="G153" i="197"/>
  <c r="J153" i="197"/>
  <c r="K153" i="197"/>
  <c r="M153" i="197"/>
  <c r="G154" i="197"/>
  <c r="J154" i="197"/>
  <c r="K154" i="197"/>
  <c r="M154" i="197"/>
  <c r="E157" i="197"/>
  <c r="F157" i="197"/>
  <c r="H157" i="197"/>
  <c r="O157" i="197"/>
  <c r="P157" i="197"/>
  <c r="Q157" i="197"/>
  <c r="R157" i="197"/>
  <c r="S157" i="197"/>
  <c r="T157" i="197"/>
  <c r="G158" i="197"/>
  <c r="J158" i="197"/>
  <c r="L158" i="197" s="1"/>
  <c r="K158" i="197"/>
  <c r="M158" i="197"/>
  <c r="N158" i="197"/>
  <c r="G159" i="197"/>
  <c r="J159" i="197"/>
  <c r="N159" i="197" s="1"/>
  <c r="K159" i="197"/>
  <c r="L159" i="197" s="1"/>
  <c r="M159" i="197"/>
  <c r="G160" i="197"/>
  <c r="J160" i="197"/>
  <c r="K160" i="197"/>
  <c r="M160" i="197"/>
  <c r="G161" i="197"/>
  <c r="J161" i="197"/>
  <c r="K161" i="197"/>
  <c r="L161" i="197"/>
  <c r="M161" i="197"/>
  <c r="N161" i="197"/>
  <c r="E164" i="197"/>
  <c r="F164" i="197"/>
  <c r="H164" i="197"/>
  <c r="O164" i="197"/>
  <c r="P164" i="197"/>
  <c r="Q164" i="197"/>
  <c r="R164" i="197"/>
  <c r="S164" i="197"/>
  <c r="T164" i="197"/>
  <c r="G165" i="197"/>
  <c r="J165" i="197"/>
  <c r="L165" i="197" s="1"/>
  <c r="K165" i="197"/>
  <c r="M165" i="197"/>
  <c r="N165" i="197"/>
  <c r="G166" i="197"/>
  <c r="J166" i="197"/>
  <c r="K166" i="197"/>
  <c r="L166" i="197"/>
  <c r="M166" i="197"/>
  <c r="N166" i="197"/>
  <c r="G167" i="197"/>
  <c r="J167" i="197"/>
  <c r="K167" i="197"/>
  <c r="M167" i="197"/>
  <c r="G168" i="197"/>
  <c r="J168" i="197"/>
  <c r="N168" i="197" s="1"/>
  <c r="K168" i="197"/>
  <c r="L168" i="197"/>
  <c r="M168" i="197"/>
  <c r="G169" i="197"/>
  <c r="J169" i="197"/>
  <c r="K169" i="197"/>
  <c r="L169" i="197"/>
  <c r="M169" i="197"/>
  <c r="N169" i="197"/>
  <c r="E172" i="197"/>
  <c r="F172" i="197"/>
  <c r="H172" i="197"/>
  <c r="O172" i="197"/>
  <c r="P172" i="197"/>
  <c r="Q172" i="197"/>
  <c r="R172" i="197"/>
  <c r="S172" i="197"/>
  <c r="T172" i="197"/>
  <c r="G173" i="197"/>
  <c r="J173" i="197"/>
  <c r="L173" i="197" s="1"/>
  <c r="K173" i="197"/>
  <c r="M173" i="197"/>
  <c r="N173" i="197"/>
  <c r="G174" i="197"/>
  <c r="J174" i="197"/>
  <c r="K174" i="197"/>
  <c r="M174" i="197"/>
  <c r="E177" i="197"/>
  <c r="F177" i="197"/>
  <c r="H177" i="197"/>
  <c r="O177" i="197"/>
  <c r="P177" i="197"/>
  <c r="Q177" i="197"/>
  <c r="R177" i="197"/>
  <c r="S177" i="197"/>
  <c r="T177" i="197"/>
  <c r="G178" i="197"/>
  <c r="J178" i="197"/>
  <c r="K178" i="197"/>
  <c r="M178" i="197"/>
  <c r="G179" i="197"/>
  <c r="J179" i="197"/>
  <c r="L179" i="197" s="1"/>
  <c r="K179" i="197"/>
  <c r="M179" i="197"/>
  <c r="E182" i="197"/>
  <c r="F182" i="197"/>
  <c r="H182" i="197"/>
  <c r="O182" i="197"/>
  <c r="P182" i="197"/>
  <c r="Q182" i="197"/>
  <c r="R182" i="197"/>
  <c r="S182" i="197"/>
  <c r="T182" i="197"/>
  <c r="G183" i="197"/>
  <c r="J183" i="197"/>
  <c r="K183" i="197"/>
  <c r="L183" i="197" s="1"/>
  <c r="M183" i="197"/>
  <c r="N183" i="197"/>
  <c r="E186" i="197"/>
  <c r="F186" i="197"/>
  <c r="H186" i="197"/>
  <c r="O186" i="197"/>
  <c r="P186" i="197"/>
  <c r="Q186" i="197"/>
  <c r="R186" i="197"/>
  <c r="S186" i="197"/>
  <c r="T186" i="197"/>
  <c r="G187" i="197"/>
  <c r="J187" i="197"/>
  <c r="K187" i="197"/>
  <c r="L187" i="197"/>
  <c r="M187" i="197"/>
  <c r="N187" i="197"/>
  <c r="E190" i="197"/>
  <c r="F190" i="197"/>
  <c r="H190" i="197"/>
  <c r="O190" i="197"/>
  <c r="P190" i="197"/>
  <c r="Q190" i="197"/>
  <c r="R190" i="197"/>
  <c r="S190" i="197"/>
  <c r="T190" i="197"/>
  <c r="G191" i="197"/>
  <c r="J191" i="197"/>
  <c r="L191" i="197" s="1"/>
  <c r="K191" i="197"/>
  <c r="M191" i="197"/>
  <c r="N191" i="197"/>
  <c r="G192" i="197"/>
  <c r="J192" i="197"/>
  <c r="N192" i="197" s="1"/>
  <c r="K192" i="197"/>
  <c r="L192" i="197"/>
  <c r="M192" i="197"/>
  <c r="E195" i="197"/>
  <c r="F195" i="197"/>
  <c r="H195" i="197"/>
  <c r="O195" i="197"/>
  <c r="P195" i="197"/>
  <c r="Q195" i="197"/>
  <c r="R195" i="197"/>
  <c r="S195" i="197"/>
  <c r="T195" i="197"/>
  <c r="G196" i="197"/>
  <c r="J196" i="197"/>
  <c r="L196" i="197" s="1"/>
  <c r="K196" i="197"/>
  <c r="M196" i="197"/>
  <c r="N196" i="197"/>
  <c r="G197" i="197"/>
  <c r="J197" i="197"/>
  <c r="K197" i="197"/>
  <c r="L197" i="197"/>
  <c r="M197" i="197"/>
  <c r="N197" i="197"/>
  <c r="E200" i="197"/>
  <c r="F200" i="197"/>
  <c r="H200" i="197"/>
  <c r="O200" i="197"/>
  <c r="P200" i="197"/>
  <c r="Q200" i="197"/>
  <c r="R200" i="197"/>
  <c r="S200" i="197"/>
  <c r="T200" i="197"/>
  <c r="G201" i="197"/>
  <c r="J201" i="197"/>
  <c r="K201" i="197"/>
  <c r="L201" i="197"/>
  <c r="M201" i="197"/>
  <c r="N201" i="197"/>
  <c r="G202" i="197"/>
  <c r="J202" i="197"/>
  <c r="K202" i="197"/>
  <c r="M202" i="197"/>
  <c r="E205" i="197"/>
  <c r="F205" i="197"/>
  <c r="H205" i="197"/>
  <c r="O205" i="197"/>
  <c r="P205" i="197"/>
  <c r="Q205" i="197"/>
  <c r="R205" i="197"/>
  <c r="S205" i="197"/>
  <c r="T205" i="197"/>
  <c r="G206" i="197"/>
  <c r="J206" i="197"/>
  <c r="K206" i="197"/>
  <c r="M206" i="197"/>
  <c r="G207" i="197"/>
  <c r="J207" i="197"/>
  <c r="K207" i="197"/>
  <c r="M207" i="197"/>
  <c r="G208" i="197"/>
  <c r="J208" i="197"/>
  <c r="N208" i="197" s="1"/>
  <c r="K208" i="197"/>
  <c r="L208" i="197"/>
  <c r="M208" i="197"/>
  <c r="E211" i="197"/>
  <c r="F211" i="197"/>
  <c r="H211" i="197"/>
  <c r="O211" i="197"/>
  <c r="P211" i="197"/>
  <c r="Q211" i="197"/>
  <c r="R211" i="197"/>
  <c r="S211" i="197"/>
  <c r="T211" i="197"/>
  <c r="G212" i="197"/>
  <c r="J212" i="197"/>
  <c r="K212" i="197"/>
  <c r="L212" i="197"/>
  <c r="M212" i="197"/>
  <c r="N212" i="197"/>
  <c r="G213" i="197"/>
  <c r="J213" i="197"/>
  <c r="L213" i="197" s="1"/>
  <c r="K213" i="197"/>
  <c r="M213" i="197"/>
  <c r="N213" i="197"/>
  <c r="E216" i="197"/>
  <c r="F216" i="197"/>
  <c r="H216" i="197"/>
  <c r="O216" i="197"/>
  <c r="P216" i="197"/>
  <c r="Q216" i="197"/>
  <c r="R216" i="197"/>
  <c r="S216" i="197"/>
  <c r="T216" i="197"/>
  <c r="G217" i="197"/>
  <c r="J217" i="197"/>
  <c r="L217" i="197" s="1"/>
  <c r="K217" i="197"/>
  <c r="M217" i="197"/>
  <c r="E220" i="197"/>
  <c r="F220" i="197"/>
  <c r="H220" i="197"/>
  <c r="O220" i="197"/>
  <c r="P220" i="197"/>
  <c r="Q220" i="197"/>
  <c r="R220" i="197"/>
  <c r="S220" i="197"/>
  <c r="T220" i="197"/>
  <c r="G221" i="197"/>
  <c r="J221" i="197"/>
  <c r="N221" i="197" s="1"/>
  <c r="K221" i="197"/>
  <c r="L221" i="197"/>
  <c r="M221" i="197"/>
  <c r="G222" i="197"/>
  <c r="J222" i="197"/>
  <c r="K222" i="197"/>
  <c r="M222" i="197"/>
  <c r="G223" i="197"/>
  <c r="J223" i="197"/>
  <c r="K223" i="197"/>
  <c r="L223" i="197" s="1"/>
  <c r="M223" i="197"/>
  <c r="N223" i="197"/>
  <c r="G224" i="197"/>
  <c r="J224" i="197"/>
  <c r="K224" i="197"/>
  <c r="M224" i="197"/>
  <c r="E227" i="197"/>
  <c r="F227" i="197"/>
  <c r="H227" i="197"/>
  <c r="O227" i="197"/>
  <c r="P227" i="197"/>
  <c r="Q227" i="197"/>
  <c r="R227" i="197"/>
  <c r="S227" i="197"/>
  <c r="T227" i="197"/>
  <c r="G228" i="197"/>
  <c r="J228" i="197"/>
  <c r="K228" i="197"/>
  <c r="L228" i="197"/>
  <c r="M228" i="197"/>
  <c r="N228" i="197"/>
  <c r="E231" i="197"/>
  <c r="F231" i="197"/>
  <c r="H231" i="197"/>
  <c r="O231" i="197"/>
  <c r="P231" i="197"/>
  <c r="Q231" i="197"/>
  <c r="R231" i="197"/>
  <c r="S231" i="197"/>
  <c r="T231" i="197"/>
  <c r="G232" i="197"/>
  <c r="J232" i="197"/>
  <c r="K232" i="197"/>
  <c r="M232" i="197"/>
  <c r="G233" i="197"/>
  <c r="J233" i="197"/>
  <c r="K233" i="197"/>
  <c r="M233" i="197"/>
  <c r="G234" i="197"/>
  <c r="J234" i="197"/>
  <c r="K234" i="197"/>
  <c r="L234" i="197"/>
  <c r="M234" i="197"/>
  <c r="N234" i="197"/>
  <c r="E237" i="197"/>
  <c r="F237" i="197"/>
  <c r="H237" i="197"/>
  <c r="O237" i="197"/>
  <c r="P237" i="197"/>
  <c r="Q237" i="197"/>
  <c r="R237" i="197"/>
  <c r="S237" i="197"/>
  <c r="T237" i="197"/>
  <c r="G238" i="197"/>
  <c r="J238" i="197"/>
  <c r="K238" i="197"/>
  <c r="M238" i="197"/>
  <c r="G239" i="197"/>
  <c r="J239" i="197"/>
  <c r="K239" i="197"/>
  <c r="L239" i="197"/>
  <c r="M239" i="197"/>
  <c r="N239" i="197"/>
  <c r="E242" i="197"/>
  <c r="F242" i="197"/>
  <c r="H242" i="197"/>
  <c r="O242" i="197"/>
  <c r="P242" i="197"/>
  <c r="Q242" i="197"/>
  <c r="R242" i="197"/>
  <c r="S242" i="197"/>
  <c r="T242" i="197"/>
  <c r="G243" i="197"/>
  <c r="J243" i="197"/>
  <c r="K243" i="197"/>
  <c r="M243" i="197"/>
  <c r="G244" i="197"/>
  <c r="J244" i="197"/>
  <c r="K244" i="197"/>
  <c r="L244" i="197"/>
  <c r="M244" i="197"/>
  <c r="N244" i="197"/>
  <c r="E247" i="197"/>
  <c r="F247" i="197"/>
  <c r="H247" i="197"/>
  <c r="O247" i="197"/>
  <c r="P247" i="197"/>
  <c r="Q247" i="197"/>
  <c r="R247" i="197"/>
  <c r="S247" i="197"/>
  <c r="T247" i="197"/>
  <c r="G248" i="197"/>
  <c r="J248" i="197"/>
  <c r="K248" i="197"/>
  <c r="M248" i="197"/>
  <c r="E251" i="197"/>
  <c r="F251" i="197"/>
  <c r="H251" i="197"/>
  <c r="O251" i="197"/>
  <c r="P251" i="197"/>
  <c r="Q251" i="197"/>
  <c r="R251" i="197"/>
  <c r="S251" i="197"/>
  <c r="T251" i="197"/>
  <c r="G252" i="197"/>
  <c r="J252" i="197"/>
  <c r="K252" i="197"/>
  <c r="L252" i="197" s="1"/>
  <c r="M252" i="197"/>
  <c r="N252" i="197"/>
  <c r="E255" i="197"/>
  <c r="F255" i="197"/>
  <c r="H255" i="197"/>
  <c r="O255" i="197"/>
  <c r="P255" i="197"/>
  <c r="Q255" i="197"/>
  <c r="R255" i="197"/>
  <c r="S255" i="197"/>
  <c r="T255" i="197"/>
  <c r="G256" i="197"/>
  <c r="J256" i="197"/>
  <c r="K256" i="197"/>
  <c r="L256" i="197"/>
  <c r="M256" i="197"/>
  <c r="N256" i="197"/>
  <c r="G257" i="197"/>
  <c r="J257" i="197"/>
  <c r="K257" i="197"/>
  <c r="M257" i="197"/>
  <c r="E260" i="197"/>
  <c r="F260" i="197"/>
  <c r="H260" i="197"/>
  <c r="O260" i="197"/>
  <c r="P260" i="197"/>
  <c r="Q260" i="197"/>
  <c r="R260" i="197"/>
  <c r="S260" i="197"/>
  <c r="T260" i="197"/>
  <c r="G261" i="197"/>
  <c r="J261" i="197"/>
  <c r="K261" i="197"/>
  <c r="M261" i="197"/>
  <c r="E264" i="197"/>
  <c r="F264" i="197"/>
  <c r="H264" i="197"/>
  <c r="O264" i="197"/>
  <c r="P264" i="197"/>
  <c r="Q264" i="197"/>
  <c r="R264" i="197"/>
  <c r="S264" i="197"/>
  <c r="T264" i="197"/>
  <c r="G265" i="197"/>
  <c r="J265" i="197"/>
  <c r="K265" i="197"/>
  <c r="L265" i="197"/>
  <c r="M265" i="197"/>
  <c r="N265" i="197"/>
  <c r="G266" i="197"/>
  <c r="J266" i="197"/>
  <c r="L266" i="197" s="1"/>
  <c r="K266" i="197"/>
  <c r="M266" i="197"/>
  <c r="N266" i="197"/>
  <c r="G267" i="197"/>
  <c r="J267" i="197"/>
  <c r="N267" i="197" s="1"/>
  <c r="K267" i="197"/>
  <c r="L267" i="197"/>
  <c r="M267" i="197"/>
  <c r="E270" i="197"/>
  <c r="F270" i="197"/>
  <c r="H270" i="197"/>
  <c r="O270" i="197"/>
  <c r="P270" i="197"/>
  <c r="Q270" i="197"/>
  <c r="R270" i="197"/>
  <c r="S270" i="197"/>
  <c r="T270" i="197"/>
  <c r="G271" i="197"/>
  <c r="J271" i="197"/>
  <c r="K271" i="197"/>
  <c r="M271" i="197"/>
  <c r="G272" i="197"/>
  <c r="J272" i="197"/>
  <c r="N272" i="197" s="1"/>
  <c r="K272" i="197"/>
  <c r="L272" i="197"/>
  <c r="M272" i="197"/>
  <c r="G273" i="197"/>
  <c r="J273" i="197"/>
  <c r="K273" i="197"/>
  <c r="L273" i="197"/>
  <c r="M273" i="197"/>
  <c r="N273" i="197"/>
  <c r="E276" i="197"/>
  <c r="F276" i="197"/>
  <c r="H276" i="197"/>
  <c r="O276" i="197"/>
  <c r="P276" i="197"/>
  <c r="Q276" i="197"/>
  <c r="R276" i="197"/>
  <c r="S276" i="197"/>
  <c r="T276" i="197"/>
  <c r="G277" i="197"/>
  <c r="J277" i="197"/>
  <c r="N277" i="197" s="1"/>
  <c r="K277" i="197"/>
  <c r="L277" i="197"/>
  <c r="M277" i="197"/>
  <c r="G278" i="197"/>
  <c r="J278" i="197"/>
  <c r="L278" i="197" s="1"/>
  <c r="K278" i="197"/>
  <c r="M278" i="197"/>
  <c r="N278" i="197"/>
  <c r="E281" i="197"/>
  <c r="F281" i="197"/>
  <c r="H281" i="197"/>
  <c r="O281" i="197"/>
  <c r="P281" i="197"/>
  <c r="Q281" i="197"/>
  <c r="R281" i="197"/>
  <c r="S281" i="197"/>
  <c r="T281" i="197"/>
  <c r="G282" i="197"/>
  <c r="J282" i="197"/>
  <c r="K282" i="197"/>
  <c r="M282" i="197"/>
  <c r="G283" i="197"/>
  <c r="J283" i="197"/>
  <c r="K283" i="197"/>
  <c r="M283" i="197"/>
  <c r="E286" i="197"/>
  <c r="F286" i="197"/>
  <c r="H286" i="197"/>
  <c r="O286" i="197"/>
  <c r="P286" i="197"/>
  <c r="Q286" i="197"/>
  <c r="R286" i="197"/>
  <c r="S286" i="197"/>
  <c r="T286" i="197"/>
  <c r="G287" i="197"/>
  <c r="J287" i="197"/>
  <c r="N287" i="197" s="1"/>
  <c r="K287" i="197"/>
  <c r="L287" i="197"/>
  <c r="M287" i="197"/>
  <c r="G288" i="197"/>
  <c r="J288" i="197"/>
  <c r="K288" i="197"/>
  <c r="M288" i="197"/>
  <c r="N288" i="197"/>
  <c r="G289" i="197"/>
  <c r="J289" i="197"/>
  <c r="K289" i="197"/>
  <c r="L289" i="197"/>
  <c r="M289" i="197"/>
  <c r="N289" i="197"/>
  <c r="E292" i="197"/>
  <c r="F292" i="197"/>
  <c r="H292" i="197"/>
  <c r="O292" i="197"/>
  <c r="P292" i="197"/>
  <c r="Q292" i="197"/>
  <c r="R292" i="197"/>
  <c r="S292" i="197"/>
  <c r="T292" i="197"/>
  <c r="G293" i="197"/>
  <c r="J293" i="197"/>
  <c r="L293" i="197" s="1"/>
  <c r="K293" i="197"/>
  <c r="M293" i="197"/>
  <c r="N293" i="197"/>
  <c r="G294" i="197"/>
  <c r="J294" i="197"/>
  <c r="N294" i="197" s="1"/>
  <c r="K294" i="197"/>
  <c r="L294" i="197"/>
  <c r="M294" i="197"/>
  <c r="E297" i="197"/>
  <c r="F297" i="197"/>
  <c r="H297" i="197"/>
  <c r="O297" i="197"/>
  <c r="P297" i="197"/>
  <c r="Q297" i="197"/>
  <c r="R297" i="197"/>
  <c r="S297" i="197"/>
  <c r="T297" i="197"/>
  <c r="G298" i="197"/>
  <c r="J298" i="197"/>
  <c r="L298" i="197" s="1"/>
  <c r="K298" i="197"/>
  <c r="M298" i="197"/>
  <c r="E301" i="197"/>
  <c r="F301" i="197"/>
  <c r="H301" i="197"/>
  <c r="O301" i="197"/>
  <c r="P301" i="197"/>
  <c r="Q301" i="197"/>
  <c r="R301" i="197"/>
  <c r="S301" i="197"/>
  <c r="T301" i="197"/>
  <c r="G302" i="197"/>
  <c r="J302" i="197"/>
  <c r="N302" i="197" s="1"/>
  <c r="K302" i="197"/>
  <c r="L302" i="197"/>
  <c r="M302" i="197"/>
  <c r="G303" i="197"/>
  <c r="J303" i="197"/>
  <c r="K303" i="197"/>
  <c r="L303" i="197"/>
  <c r="M303" i="197"/>
  <c r="N303" i="197"/>
  <c r="G304" i="197"/>
  <c r="J304" i="197"/>
  <c r="K304" i="197"/>
  <c r="M304" i="197"/>
  <c r="E307" i="197"/>
  <c r="F307" i="197"/>
  <c r="H307" i="197"/>
  <c r="O307" i="197"/>
  <c r="P307" i="197"/>
  <c r="Q307" i="197"/>
  <c r="R307" i="197"/>
  <c r="S307" i="197"/>
  <c r="T307" i="197"/>
  <c r="G308" i="197"/>
  <c r="J308" i="197"/>
  <c r="L308" i="197" s="1"/>
  <c r="K308" i="197"/>
  <c r="M308" i="197"/>
  <c r="G309" i="197"/>
  <c r="J309" i="197"/>
  <c r="K309" i="197"/>
  <c r="M309" i="197"/>
  <c r="G310" i="197"/>
  <c r="J310" i="197"/>
  <c r="L310" i="197" s="1"/>
  <c r="K310" i="197"/>
  <c r="M310" i="197"/>
  <c r="E313" i="197"/>
  <c r="F313" i="197"/>
  <c r="H313" i="197"/>
  <c r="O313" i="197"/>
  <c r="P313" i="197"/>
  <c r="Q313" i="197"/>
  <c r="R313" i="197"/>
  <c r="S313" i="197"/>
  <c r="T313" i="197"/>
  <c r="G314" i="197"/>
  <c r="J314" i="197"/>
  <c r="K314" i="197"/>
  <c r="L314" i="197" s="1"/>
  <c r="M314" i="197"/>
  <c r="N314" i="197"/>
  <c r="E317" i="197"/>
  <c r="F317" i="197"/>
  <c r="H317" i="197"/>
  <c r="O317" i="197"/>
  <c r="P317" i="197"/>
  <c r="Q317" i="197"/>
  <c r="R317" i="197"/>
  <c r="S317" i="197"/>
  <c r="T317" i="197"/>
  <c r="G318" i="197"/>
  <c r="J318" i="197"/>
  <c r="K318" i="197"/>
  <c r="L318" i="197"/>
  <c r="M318" i="197"/>
  <c r="N318" i="197"/>
  <c r="G319" i="197"/>
  <c r="J319" i="197"/>
  <c r="K319" i="197"/>
  <c r="M319" i="197"/>
  <c r="G320" i="197"/>
  <c r="J320" i="197"/>
  <c r="K320" i="197"/>
  <c r="M320" i="197"/>
  <c r="E323" i="197"/>
  <c r="F323" i="197"/>
  <c r="H323" i="197"/>
  <c r="O323" i="197"/>
  <c r="P323" i="197"/>
  <c r="Q323" i="197"/>
  <c r="R323" i="197"/>
  <c r="S323" i="197"/>
  <c r="T323" i="197"/>
  <c r="G324" i="197"/>
  <c r="J324" i="197"/>
  <c r="K324" i="197"/>
  <c r="L324" i="197"/>
  <c r="M324" i="197"/>
  <c r="N324" i="197"/>
  <c r="E327" i="197"/>
  <c r="F327" i="197"/>
  <c r="H327" i="197"/>
  <c r="O327" i="197"/>
  <c r="P327" i="197"/>
  <c r="Q327" i="197"/>
  <c r="R327" i="197"/>
  <c r="S327" i="197"/>
  <c r="T327" i="197"/>
  <c r="G328" i="197"/>
  <c r="J328" i="197"/>
  <c r="N328" i="197" s="1"/>
  <c r="K328" i="197"/>
  <c r="L328" i="197"/>
  <c r="M328" i="197"/>
  <c r="G329" i="197"/>
  <c r="J329" i="197"/>
  <c r="K329" i="197"/>
  <c r="L329" i="197"/>
  <c r="M329" i="197"/>
  <c r="N329" i="197"/>
  <c r="G330" i="197"/>
  <c r="J330" i="197"/>
  <c r="L330" i="197" s="1"/>
  <c r="K330" i="197"/>
  <c r="M330" i="197"/>
  <c r="N330" i="197"/>
  <c r="E333" i="197"/>
  <c r="F333" i="197"/>
  <c r="H333" i="197"/>
  <c r="O333" i="197"/>
  <c r="P333" i="197"/>
  <c r="Q333" i="197"/>
  <c r="R333" i="197"/>
  <c r="S333" i="197"/>
  <c r="T333" i="197"/>
  <c r="G334" i="197"/>
  <c r="J334" i="197"/>
  <c r="K334" i="197"/>
  <c r="M334" i="197"/>
  <c r="G335" i="197"/>
  <c r="J335" i="197"/>
  <c r="L335" i="197" s="1"/>
  <c r="K335" i="197"/>
  <c r="M335" i="197"/>
  <c r="N335" i="197"/>
  <c r="G336" i="197"/>
  <c r="J336" i="197"/>
  <c r="K336" i="197"/>
  <c r="L336" i="197"/>
  <c r="M336" i="197"/>
  <c r="N336" i="197"/>
  <c r="G337" i="197"/>
  <c r="J337" i="197"/>
  <c r="K337" i="197"/>
  <c r="M337" i="197"/>
  <c r="E340" i="197"/>
  <c r="F340" i="197"/>
  <c r="H340" i="197"/>
  <c r="O340" i="197"/>
  <c r="P340" i="197"/>
  <c r="Q340" i="197"/>
  <c r="R340" i="197"/>
  <c r="S340" i="197"/>
  <c r="T340" i="197"/>
  <c r="G341" i="197"/>
  <c r="J341" i="197"/>
  <c r="N341" i="197" s="1"/>
  <c r="K341" i="197"/>
  <c r="L341" i="197"/>
  <c r="M341" i="197"/>
  <c r="G342" i="197"/>
  <c r="J342" i="197"/>
  <c r="N342" i="197" s="1"/>
  <c r="K342" i="197"/>
  <c r="L342" i="197"/>
  <c r="M342" i="197"/>
  <c r="G343" i="197"/>
  <c r="J343" i="197"/>
  <c r="K343" i="197"/>
  <c r="L343" i="197"/>
  <c r="M343" i="197"/>
  <c r="N343" i="197"/>
  <c r="E346" i="197"/>
  <c r="F346" i="197"/>
  <c r="H346" i="197"/>
  <c r="O346" i="197"/>
  <c r="P346" i="197"/>
  <c r="Q346" i="197"/>
  <c r="R346" i="197"/>
  <c r="S346" i="197"/>
  <c r="T346" i="197"/>
  <c r="G347" i="197"/>
  <c r="J347" i="197"/>
  <c r="K347" i="197"/>
  <c r="L347" i="197"/>
  <c r="M347" i="197"/>
  <c r="N347" i="197"/>
  <c r="G348" i="197"/>
  <c r="J348" i="197"/>
  <c r="K348" i="197"/>
  <c r="M348" i="197"/>
  <c r="G349" i="197"/>
  <c r="J349" i="197"/>
  <c r="N349" i="197" s="1"/>
  <c r="K349" i="197"/>
  <c r="L349" i="197"/>
  <c r="M349" i="197"/>
  <c r="E352" i="197"/>
  <c r="F352" i="197"/>
  <c r="H352" i="197"/>
  <c r="O352" i="197"/>
  <c r="P352" i="197"/>
  <c r="Q352" i="197"/>
  <c r="R352" i="197"/>
  <c r="S352" i="197"/>
  <c r="T352" i="197"/>
  <c r="G353" i="197"/>
  <c r="J353" i="197"/>
  <c r="K353" i="197"/>
  <c r="L353" i="197"/>
  <c r="M353" i="197"/>
  <c r="N353" i="197"/>
  <c r="G354" i="197"/>
  <c r="J354" i="197"/>
  <c r="L354" i="197" s="1"/>
  <c r="K354" i="197"/>
  <c r="M354" i="197"/>
  <c r="N354" i="197"/>
  <c r="G355" i="197"/>
  <c r="J355" i="197"/>
  <c r="N355" i="197" s="1"/>
  <c r="K355" i="197"/>
  <c r="L355" i="197"/>
  <c r="M355" i="197"/>
  <c r="G356" i="197"/>
  <c r="J356" i="197"/>
  <c r="L356" i="197" s="1"/>
  <c r="K356" i="197"/>
  <c r="M356" i="197"/>
  <c r="E359" i="197"/>
  <c r="F359" i="197"/>
  <c r="H359" i="197"/>
  <c r="O359" i="197"/>
  <c r="P359" i="197"/>
  <c r="Q359" i="197"/>
  <c r="R359" i="197"/>
  <c r="S359" i="197"/>
  <c r="T359" i="197"/>
  <c r="G360" i="197"/>
  <c r="J360" i="197"/>
  <c r="K360" i="197"/>
  <c r="M360" i="197"/>
  <c r="G361" i="197"/>
  <c r="J361" i="197"/>
  <c r="L361" i="197" s="1"/>
  <c r="K361" i="197"/>
  <c r="M361" i="197"/>
  <c r="N361" i="197"/>
  <c r="E364" i="197"/>
  <c r="F364" i="197"/>
  <c r="H364" i="197"/>
  <c r="O364" i="197"/>
  <c r="P364" i="197"/>
  <c r="Q364" i="197"/>
  <c r="R364" i="197"/>
  <c r="S364" i="197"/>
  <c r="T364" i="197"/>
  <c r="G365" i="197"/>
  <c r="J365" i="197"/>
  <c r="L365" i="197" s="1"/>
  <c r="K365" i="197"/>
  <c r="M365" i="197"/>
  <c r="G366" i="197"/>
  <c r="J366" i="197"/>
  <c r="K366" i="197"/>
  <c r="L366" i="197"/>
  <c r="M366" i="197"/>
  <c r="N366" i="197"/>
  <c r="E369" i="197"/>
  <c r="F369" i="197"/>
  <c r="H369" i="197"/>
  <c r="O369" i="197"/>
  <c r="P369" i="197"/>
  <c r="Q369" i="197"/>
  <c r="R369" i="197"/>
  <c r="S369" i="197"/>
  <c r="T369" i="197"/>
  <c r="G370" i="197"/>
  <c r="J370" i="197"/>
  <c r="L370" i="197" s="1"/>
  <c r="K370" i="197"/>
  <c r="M370" i="197"/>
  <c r="G371" i="197"/>
  <c r="J371" i="197"/>
  <c r="N371" i="197" s="1"/>
  <c r="K371" i="197"/>
  <c r="L371" i="197"/>
  <c r="M371" i="197"/>
  <c r="G372" i="197"/>
  <c r="J372" i="197"/>
  <c r="N372" i="197" s="1"/>
  <c r="K372" i="197"/>
  <c r="L372" i="197"/>
  <c r="M372" i="197"/>
  <c r="E375" i="197"/>
  <c r="F375" i="197"/>
  <c r="H375" i="197"/>
  <c r="O375" i="197"/>
  <c r="P375" i="197"/>
  <c r="Q375" i="197"/>
  <c r="R375" i="197"/>
  <c r="S375" i="197"/>
  <c r="T375" i="197"/>
  <c r="G376" i="197"/>
  <c r="J376" i="197"/>
  <c r="K376" i="197"/>
  <c r="L376" i="197"/>
  <c r="M376" i="197"/>
  <c r="N376" i="197"/>
  <c r="G377" i="197"/>
  <c r="J377" i="197"/>
  <c r="L377" i="197" s="1"/>
  <c r="K377" i="197"/>
  <c r="M377" i="197"/>
  <c r="N377" i="197"/>
  <c r="G378" i="197"/>
  <c r="J378" i="197"/>
  <c r="N378" i="197" s="1"/>
  <c r="K378" i="197"/>
  <c r="L378" i="197"/>
  <c r="M378" i="197"/>
  <c r="G379" i="197"/>
  <c r="J379" i="197"/>
  <c r="L379" i="197" s="1"/>
  <c r="K379" i="197"/>
  <c r="M379" i="197"/>
  <c r="E382" i="197"/>
  <c r="F382" i="197"/>
  <c r="H382" i="197"/>
  <c r="O382" i="197"/>
  <c r="P382" i="197"/>
  <c r="Q382" i="197"/>
  <c r="R382" i="197"/>
  <c r="S382" i="197"/>
  <c r="T382" i="197"/>
  <c r="G383" i="197"/>
  <c r="J383" i="197"/>
  <c r="N383" i="197" s="1"/>
  <c r="K383" i="197"/>
  <c r="L383" i="197"/>
  <c r="M383" i="197"/>
  <c r="G384" i="197"/>
  <c r="J384" i="197"/>
  <c r="K384" i="197"/>
  <c r="L384" i="197"/>
  <c r="M384" i="197"/>
  <c r="N384" i="197"/>
  <c r="G385" i="197"/>
  <c r="J385" i="197"/>
  <c r="K385" i="197"/>
  <c r="M385" i="197"/>
  <c r="G386" i="197"/>
  <c r="J386" i="197"/>
  <c r="K386" i="197"/>
  <c r="M386" i="197"/>
  <c r="E389" i="197"/>
  <c r="F389" i="197"/>
  <c r="H389" i="197"/>
  <c r="O389" i="197"/>
  <c r="P389" i="197"/>
  <c r="Q389" i="197"/>
  <c r="R389" i="197"/>
  <c r="S389" i="197"/>
  <c r="T389" i="197"/>
  <c r="G390" i="197"/>
  <c r="J390" i="197"/>
  <c r="K390" i="197"/>
  <c r="L390" i="197"/>
  <c r="M390" i="197"/>
  <c r="N390" i="197"/>
  <c r="G391" i="197"/>
  <c r="J391" i="197"/>
  <c r="L391" i="197" s="1"/>
  <c r="K391" i="197"/>
  <c r="M391" i="197"/>
  <c r="G392" i="197"/>
  <c r="J392" i="197"/>
  <c r="N392" i="197" s="1"/>
  <c r="K392" i="197"/>
  <c r="L392" i="197"/>
  <c r="M392" i="197"/>
  <c r="E395" i="197"/>
  <c r="F395" i="197"/>
  <c r="H395" i="197"/>
  <c r="O395" i="197"/>
  <c r="P395" i="197"/>
  <c r="Q395" i="197"/>
  <c r="R395" i="197"/>
  <c r="S395" i="197"/>
  <c r="T395" i="197"/>
  <c r="G396" i="197"/>
  <c r="J396" i="197"/>
  <c r="K396" i="197"/>
  <c r="M396" i="197"/>
  <c r="G397" i="197"/>
  <c r="J397" i="197"/>
  <c r="K397" i="197"/>
  <c r="L397" i="197" s="1"/>
  <c r="M397" i="197"/>
  <c r="N397" i="197"/>
  <c r="G398" i="197"/>
  <c r="J398" i="197"/>
  <c r="N398" i="197" s="1"/>
  <c r="K398" i="197"/>
  <c r="M398" i="197"/>
  <c r="E401" i="197"/>
  <c r="F401" i="197"/>
  <c r="H401" i="197"/>
  <c r="O401" i="197"/>
  <c r="P401" i="197"/>
  <c r="Q401" i="197"/>
  <c r="R401" i="197"/>
  <c r="S401" i="197"/>
  <c r="T401" i="197"/>
  <c r="G402" i="197"/>
  <c r="J402" i="197"/>
  <c r="K402" i="197"/>
  <c r="L402" i="197"/>
  <c r="M402" i="197"/>
  <c r="N402" i="197"/>
  <c r="G403" i="197"/>
  <c r="J403" i="197"/>
  <c r="L403" i="197" s="1"/>
  <c r="K403" i="197"/>
  <c r="M403" i="197"/>
  <c r="G404" i="197"/>
  <c r="J404" i="197"/>
  <c r="K404" i="197"/>
  <c r="M404" i="197"/>
  <c r="G405" i="197"/>
  <c r="J405" i="197"/>
  <c r="L405" i="197" s="1"/>
  <c r="K405" i="197"/>
  <c r="M405" i="197"/>
  <c r="N405" i="197"/>
  <c r="G406" i="197"/>
  <c r="J406" i="197"/>
  <c r="K406" i="197"/>
  <c r="L406" i="197" s="1"/>
  <c r="M406" i="197"/>
  <c r="N406" i="197"/>
  <c r="G407" i="197"/>
  <c r="J407" i="197"/>
  <c r="L407" i="197" s="1"/>
  <c r="K407" i="197"/>
  <c r="M407" i="197"/>
  <c r="N407" i="197"/>
  <c r="E410" i="197"/>
  <c r="F410" i="197"/>
  <c r="H410" i="197"/>
  <c r="O410" i="197"/>
  <c r="P410" i="197"/>
  <c r="Q410" i="197"/>
  <c r="R410" i="197"/>
  <c r="S410" i="197"/>
  <c r="T410" i="197"/>
  <c r="G411" i="197"/>
  <c r="J411" i="197"/>
  <c r="L411" i="197" s="1"/>
  <c r="K411" i="197"/>
  <c r="M411" i="197"/>
  <c r="G412" i="197"/>
  <c r="J412" i="197"/>
  <c r="K412" i="197"/>
  <c r="L412" i="197" s="1"/>
  <c r="M412" i="197"/>
  <c r="N412" i="197"/>
  <c r="G413" i="197"/>
  <c r="J413" i="197"/>
  <c r="L413" i="197" s="1"/>
  <c r="K413" i="197"/>
  <c r="M413" i="197"/>
  <c r="N413" i="197"/>
  <c r="G414" i="197"/>
  <c r="J414" i="197"/>
  <c r="N414" i="197" s="1"/>
  <c r="K414" i="197"/>
  <c r="L414" i="197"/>
  <c r="M414" i="197"/>
  <c r="E417" i="197"/>
  <c r="F417" i="197"/>
  <c r="H417" i="197"/>
  <c r="O417" i="197"/>
  <c r="P417" i="197"/>
  <c r="Q417" i="197"/>
  <c r="R417" i="197"/>
  <c r="S417" i="197"/>
  <c r="T417" i="197"/>
  <c r="G418" i="197"/>
  <c r="J418" i="197"/>
  <c r="L418" i="197" s="1"/>
  <c r="K418" i="197"/>
  <c r="M418" i="197"/>
  <c r="N418" i="197"/>
  <c r="G419" i="197"/>
  <c r="J419" i="197"/>
  <c r="N419" i="197" s="1"/>
  <c r="K419" i="197"/>
  <c r="L419" i="197"/>
  <c r="M419" i="197"/>
  <c r="G420" i="197"/>
  <c r="J420" i="197"/>
  <c r="N420" i="197" s="1"/>
  <c r="K420" i="197"/>
  <c r="L420" i="197"/>
  <c r="M420" i="197"/>
  <c r="E423" i="197"/>
  <c r="F423" i="197"/>
  <c r="H423" i="197"/>
  <c r="O423" i="197"/>
  <c r="P423" i="197"/>
  <c r="Q423" i="197"/>
  <c r="R423" i="197"/>
  <c r="S423" i="197"/>
  <c r="T423" i="197"/>
  <c r="G424" i="197"/>
  <c r="J424" i="197"/>
  <c r="L424" i="197" s="1"/>
  <c r="K424" i="197"/>
  <c r="M424" i="197"/>
  <c r="N424" i="197"/>
  <c r="G425" i="197"/>
  <c r="J425" i="197"/>
  <c r="N425" i="197" s="1"/>
  <c r="K425" i="197"/>
  <c r="L425" i="197"/>
  <c r="M425" i="197"/>
  <c r="G426" i="197"/>
  <c r="J426" i="197"/>
  <c r="K426" i="197"/>
  <c r="M426" i="197"/>
  <c r="E429" i="197"/>
  <c r="F429" i="197"/>
  <c r="H429" i="197"/>
  <c r="O429" i="197"/>
  <c r="P429" i="197"/>
  <c r="Q429" i="197"/>
  <c r="R429" i="197"/>
  <c r="S429" i="197"/>
  <c r="T429" i="197"/>
  <c r="G430" i="197"/>
  <c r="J430" i="197"/>
  <c r="N430" i="197" s="1"/>
  <c r="K430" i="197"/>
  <c r="L430" i="197"/>
  <c r="M430" i="197"/>
  <c r="G431" i="197"/>
  <c r="J431" i="197"/>
  <c r="K431" i="197"/>
  <c r="L431" i="197"/>
  <c r="M431" i="197"/>
  <c r="N431" i="197"/>
  <c r="G432" i="197"/>
  <c r="J432" i="197"/>
  <c r="K432" i="197"/>
  <c r="L432" i="197" s="1"/>
  <c r="M432" i="197"/>
  <c r="N432" i="197"/>
  <c r="G433" i="197"/>
  <c r="J433" i="197"/>
  <c r="L433" i="197" s="1"/>
  <c r="K433" i="197"/>
  <c r="M433" i="197"/>
  <c r="N433" i="197"/>
  <c r="E436" i="197"/>
  <c r="F436" i="197"/>
  <c r="H436" i="197"/>
  <c r="O436" i="197"/>
  <c r="P436" i="197"/>
  <c r="Q436" i="197"/>
  <c r="R436" i="197"/>
  <c r="S436" i="197"/>
  <c r="T436" i="197"/>
  <c r="G437" i="197"/>
  <c r="J437" i="197"/>
  <c r="L437" i="197" s="1"/>
  <c r="K437" i="197"/>
  <c r="M437" i="197"/>
  <c r="N437" i="197"/>
  <c r="E440" i="197"/>
  <c r="F440" i="197"/>
  <c r="H440" i="197"/>
  <c r="O440" i="197"/>
  <c r="P440" i="197"/>
  <c r="Q440" i="197"/>
  <c r="R440" i="197"/>
  <c r="S440" i="197"/>
  <c r="T440" i="197"/>
  <c r="G441" i="197"/>
  <c r="J441" i="197"/>
  <c r="N441" i="197" s="1"/>
  <c r="K441" i="197"/>
  <c r="L441" i="197"/>
  <c r="M441" i="197"/>
  <c r="G442" i="197"/>
  <c r="J442" i="197"/>
  <c r="L442" i="197" s="1"/>
  <c r="K442" i="197"/>
  <c r="M442" i="197"/>
  <c r="N442" i="197"/>
  <c r="G443" i="197"/>
  <c r="J443" i="197"/>
  <c r="K443" i="197"/>
  <c r="L443" i="197"/>
  <c r="M443" i="197"/>
  <c r="N443" i="197"/>
  <c r="E446" i="197"/>
  <c r="F446" i="197"/>
  <c r="H446" i="197"/>
  <c r="O446" i="197"/>
  <c r="P446" i="197"/>
  <c r="Q446" i="197"/>
  <c r="R446" i="197"/>
  <c r="S446" i="197"/>
  <c r="T446" i="197"/>
  <c r="G447" i="197"/>
  <c r="J447" i="197"/>
  <c r="N447" i="197" s="1"/>
  <c r="K447" i="197"/>
  <c r="L447" i="197"/>
  <c r="M447" i="197"/>
  <c r="E450" i="197"/>
  <c r="F450" i="197"/>
  <c r="H450" i="197"/>
  <c r="O450" i="197"/>
  <c r="P450" i="197"/>
  <c r="Q450" i="197"/>
  <c r="R450" i="197"/>
  <c r="S450" i="197"/>
  <c r="T450" i="197"/>
  <c r="G451" i="197"/>
  <c r="J451" i="197"/>
  <c r="L451" i="197" s="1"/>
  <c r="K451" i="197"/>
  <c r="M451" i="197"/>
  <c r="G452" i="197"/>
  <c r="J452" i="197"/>
  <c r="K452" i="197"/>
  <c r="M452" i="197"/>
  <c r="E455" i="197"/>
  <c r="F455" i="197"/>
  <c r="H455" i="197"/>
  <c r="O455" i="197"/>
  <c r="P455" i="197"/>
  <c r="Q455" i="197"/>
  <c r="R455" i="197"/>
  <c r="S455" i="197"/>
  <c r="T455" i="197"/>
  <c r="G456" i="197"/>
  <c r="J456" i="197"/>
  <c r="K456" i="197"/>
  <c r="L456" i="197"/>
  <c r="M456" i="197"/>
  <c r="N456" i="197"/>
  <c r="G457" i="197"/>
  <c r="J457" i="197"/>
  <c r="K457" i="197"/>
  <c r="M457" i="197"/>
  <c r="E460" i="197"/>
  <c r="F460" i="197"/>
  <c r="H460" i="197"/>
  <c r="O460" i="197"/>
  <c r="P460" i="197"/>
  <c r="Q460" i="197"/>
  <c r="R460" i="197"/>
  <c r="S460" i="197"/>
  <c r="T460" i="197"/>
  <c r="G461" i="197"/>
  <c r="J461" i="197"/>
  <c r="K461" i="197"/>
  <c r="L461" i="197"/>
  <c r="M461" i="197"/>
  <c r="N461" i="197"/>
  <c r="E464" i="197"/>
  <c r="F464" i="197"/>
  <c r="H464" i="197"/>
  <c r="O464" i="197"/>
  <c r="P464" i="197"/>
  <c r="Q464" i="197"/>
  <c r="R464" i="197"/>
  <c r="S464" i="197"/>
  <c r="T464" i="197"/>
  <c r="G465" i="197"/>
  <c r="J465" i="197"/>
  <c r="N465" i="197" s="1"/>
  <c r="K465" i="197"/>
  <c r="L465" i="197"/>
  <c r="M465" i="197"/>
  <c r="G466" i="197"/>
  <c r="J466" i="197"/>
  <c r="K466" i="197"/>
  <c r="M466" i="197"/>
  <c r="N466" i="197"/>
  <c r="G467" i="197"/>
  <c r="J467" i="197"/>
  <c r="K467" i="197"/>
  <c r="L467" i="197"/>
  <c r="M467" i="197"/>
  <c r="N467" i="197"/>
  <c r="E470" i="197"/>
  <c r="F470" i="197"/>
  <c r="H470" i="197"/>
  <c r="O470" i="197"/>
  <c r="P470" i="197"/>
  <c r="Q470" i="197"/>
  <c r="R470" i="197"/>
  <c r="S470" i="197"/>
  <c r="T470" i="197"/>
  <c r="G471" i="197"/>
  <c r="J471" i="197"/>
  <c r="N471" i="197" s="1"/>
  <c r="K471" i="197"/>
  <c r="L471" i="197"/>
  <c r="M471" i="197"/>
  <c r="E474" i="197"/>
  <c r="F474" i="197"/>
  <c r="H474" i="197"/>
  <c r="O474" i="197"/>
  <c r="P474" i="197"/>
  <c r="Q474" i="197"/>
  <c r="R474" i="197"/>
  <c r="S474" i="197"/>
  <c r="T474" i="197"/>
  <c r="G475" i="197"/>
  <c r="J475" i="197"/>
  <c r="K475" i="197"/>
  <c r="M475" i="197"/>
  <c r="G476" i="197"/>
  <c r="J476" i="197"/>
  <c r="N476" i="197" s="1"/>
  <c r="K476" i="197"/>
  <c r="L476" i="197"/>
  <c r="M476" i="197"/>
  <c r="G477" i="197"/>
  <c r="J477" i="197"/>
  <c r="N477" i="197" s="1"/>
  <c r="K477" i="197"/>
  <c r="M477" i="197"/>
  <c r="E480" i="197"/>
  <c r="F480" i="197"/>
  <c r="H480" i="197"/>
  <c r="O480" i="197"/>
  <c r="P480" i="197"/>
  <c r="Q480" i="197"/>
  <c r="R480" i="197"/>
  <c r="S480" i="197"/>
  <c r="T480" i="197"/>
  <c r="G481" i="197"/>
  <c r="J481" i="197"/>
  <c r="K481" i="197"/>
  <c r="M481" i="197"/>
  <c r="G482" i="197"/>
  <c r="J482" i="197"/>
  <c r="K482" i="197"/>
  <c r="L482" i="197"/>
  <c r="M482" i="197"/>
  <c r="N482" i="197"/>
  <c r="G483" i="197"/>
  <c r="J483" i="197"/>
  <c r="K483" i="197"/>
  <c r="L483" i="197" s="1"/>
  <c r="M483" i="197"/>
  <c r="N483" i="197"/>
  <c r="E486" i="197"/>
  <c r="F486" i="197"/>
  <c r="H486" i="197"/>
  <c r="O486" i="197"/>
  <c r="P486" i="197"/>
  <c r="Q486" i="197"/>
  <c r="R486" i="197"/>
  <c r="S486" i="197"/>
  <c r="T486" i="197"/>
  <c r="G487" i="197"/>
  <c r="J487" i="197"/>
  <c r="N487" i="197" s="1"/>
  <c r="K487" i="197"/>
  <c r="L487" i="197"/>
  <c r="M487" i="197"/>
  <c r="E490" i="197"/>
  <c r="F490" i="197"/>
  <c r="H490" i="197"/>
  <c r="O490" i="197"/>
  <c r="P490" i="197"/>
  <c r="Q490" i="197"/>
  <c r="R490" i="197"/>
  <c r="S490" i="197"/>
  <c r="T490" i="197"/>
  <c r="G491" i="197"/>
  <c r="J491" i="197"/>
  <c r="L491" i="197" s="1"/>
  <c r="K491" i="197"/>
  <c r="M491" i="197"/>
  <c r="N491" i="197"/>
  <c r="G492" i="197"/>
  <c r="J492" i="197"/>
  <c r="N492" i="197" s="1"/>
  <c r="K492" i="197"/>
  <c r="L492" i="197"/>
  <c r="M492" i="197"/>
  <c r="E495" i="197"/>
  <c r="F495" i="197"/>
  <c r="H495" i="197"/>
  <c r="O495" i="197"/>
  <c r="P495" i="197"/>
  <c r="Q495" i="197"/>
  <c r="R495" i="197"/>
  <c r="S495" i="197"/>
  <c r="T495" i="197"/>
  <c r="G496" i="197"/>
  <c r="J496" i="197"/>
  <c r="K496" i="197"/>
  <c r="L496" i="197"/>
  <c r="M496" i="197"/>
  <c r="N496" i="197"/>
  <c r="E499" i="197"/>
  <c r="F499" i="197"/>
  <c r="H499" i="197"/>
  <c r="O499" i="197"/>
  <c r="P499" i="197"/>
  <c r="Q499" i="197"/>
  <c r="R499" i="197"/>
  <c r="S499" i="197"/>
  <c r="T499" i="197"/>
  <c r="G500" i="197"/>
  <c r="J500" i="197"/>
  <c r="K500" i="197"/>
  <c r="L500" i="197"/>
  <c r="M500" i="197"/>
  <c r="N500" i="197"/>
  <c r="E503" i="197"/>
  <c r="F503" i="197"/>
  <c r="H503" i="197"/>
  <c r="O503" i="197"/>
  <c r="P503" i="197"/>
  <c r="Q503" i="197"/>
  <c r="R503" i="197"/>
  <c r="S503" i="197"/>
  <c r="T503" i="197"/>
  <c r="G504" i="197"/>
  <c r="J504" i="197"/>
  <c r="L504" i="197" s="1"/>
  <c r="K504" i="197"/>
  <c r="M504" i="197"/>
  <c r="N504" i="197"/>
  <c r="G505" i="197"/>
  <c r="J505" i="197"/>
  <c r="N505" i="197" s="1"/>
  <c r="K505" i="197"/>
  <c r="L505" i="197"/>
  <c r="M505" i="197"/>
  <c r="G506" i="197"/>
  <c r="J506" i="197"/>
  <c r="K506" i="197"/>
  <c r="M506" i="197"/>
  <c r="E509" i="197"/>
  <c r="F509" i="197"/>
  <c r="H509" i="197"/>
  <c r="O509" i="197"/>
  <c r="P509" i="197"/>
  <c r="Q509" i="197"/>
  <c r="R509" i="197"/>
  <c r="S509" i="197"/>
  <c r="T509" i="197"/>
  <c r="G510" i="197"/>
  <c r="J510" i="197"/>
  <c r="N510" i="197" s="1"/>
  <c r="K510" i="197"/>
  <c r="L510" i="197"/>
  <c r="M510" i="197"/>
  <c r="G511" i="197"/>
  <c r="J511" i="197"/>
  <c r="N511" i="197" s="1"/>
  <c r="K511" i="197"/>
  <c r="L511" i="197"/>
  <c r="M511" i="197"/>
  <c r="G512" i="197"/>
  <c r="J512" i="197"/>
  <c r="K512" i="197"/>
  <c r="L512" i="197"/>
  <c r="M512" i="197"/>
  <c r="N512" i="197"/>
  <c r="E515" i="197"/>
  <c r="F515" i="197"/>
  <c r="H515" i="197"/>
  <c r="O515" i="197"/>
  <c r="P515" i="197"/>
  <c r="Q515" i="197"/>
  <c r="R515" i="197"/>
  <c r="S515" i="197"/>
  <c r="T515" i="197"/>
  <c r="G516" i="197"/>
  <c r="J516" i="197"/>
  <c r="N516" i="197" s="1"/>
  <c r="K516" i="197"/>
  <c r="L516" i="197"/>
  <c r="M516" i="197"/>
  <c r="G517" i="197"/>
  <c r="J517" i="197"/>
  <c r="L517" i="197" s="1"/>
  <c r="K517" i="197"/>
  <c r="M517" i="197"/>
  <c r="E520" i="197"/>
  <c r="F520" i="197"/>
  <c r="H520" i="197"/>
  <c r="O520" i="197"/>
  <c r="P520" i="197"/>
  <c r="Q520" i="197"/>
  <c r="R520" i="197"/>
  <c r="S520" i="197"/>
  <c r="T520" i="197"/>
  <c r="G521" i="197"/>
  <c r="J521" i="197"/>
  <c r="N521" i="197" s="1"/>
  <c r="K521" i="197"/>
  <c r="L521" i="197"/>
  <c r="M521" i="197"/>
  <c r="G522" i="197"/>
  <c r="J522" i="197"/>
  <c r="L522" i="197" s="1"/>
  <c r="K522" i="197"/>
  <c r="M522" i="197"/>
  <c r="G523" i="197"/>
  <c r="J523" i="197"/>
  <c r="K523" i="197"/>
  <c r="L523" i="197"/>
  <c r="M523" i="197"/>
  <c r="N523" i="197"/>
  <c r="E526" i="197"/>
  <c r="F526" i="197"/>
  <c r="H526" i="197"/>
  <c r="O526" i="197"/>
  <c r="P526" i="197"/>
  <c r="Q526" i="197"/>
  <c r="R526" i="197"/>
  <c r="S526" i="197"/>
  <c r="T526" i="197"/>
  <c r="G527" i="197"/>
  <c r="J527" i="197"/>
  <c r="N527" i="197" s="1"/>
  <c r="K527" i="197"/>
  <c r="L527" i="197"/>
  <c r="M527" i="197"/>
  <c r="G528" i="197"/>
  <c r="J528" i="197"/>
  <c r="K528" i="197"/>
  <c r="M528" i="197"/>
  <c r="N528" i="197"/>
  <c r="G529" i="197"/>
  <c r="J529" i="197"/>
  <c r="K529" i="197"/>
  <c r="L529" i="197" s="1"/>
  <c r="M529" i="197"/>
  <c r="N529" i="197"/>
  <c r="G530" i="197"/>
  <c r="J530" i="197"/>
  <c r="L530" i="197" s="1"/>
  <c r="K530" i="197"/>
  <c r="M530" i="197"/>
  <c r="N530" i="197"/>
  <c r="E533" i="197"/>
  <c r="F533" i="197"/>
  <c r="H533" i="197"/>
  <c r="O533" i="197"/>
  <c r="P533" i="197"/>
  <c r="Q533" i="197"/>
  <c r="R533" i="197"/>
  <c r="S533" i="197"/>
  <c r="T533" i="197"/>
  <c r="G534" i="197"/>
  <c r="J534" i="197"/>
  <c r="K534" i="197"/>
  <c r="L534" i="197"/>
  <c r="M534" i="197"/>
  <c r="N534" i="197"/>
  <c r="G535" i="197"/>
  <c r="J535" i="197"/>
  <c r="L535" i="197" s="1"/>
  <c r="K535" i="197"/>
  <c r="M535" i="197"/>
  <c r="G536" i="197"/>
  <c r="J536" i="197"/>
  <c r="N536" i="197" s="1"/>
  <c r="K536" i="197"/>
  <c r="L536" i="197"/>
  <c r="M536" i="197"/>
  <c r="E539" i="197"/>
  <c r="F539" i="197"/>
  <c r="H539" i="197"/>
  <c r="O539" i="197"/>
  <c r="P539" i="197"/>
  <c r="Q539" i="197"/>
  <c r="R539" i="197"/>
  <c r="S539" i="197"/>
  <c r="T539" i="197"/>
  <c r="G540" i="197"/>
  <c r="J540" i="197"/>
  <c r="K540" i="197"/>
  <c r="L540" i="197"/>
  <c r="M540" i="197"/>
  <c r="N540" i="197"/>
  <c r="G541" i="197"/>
  <c r="J541" i="197"/>
  <c r="K541" i="197"/>
  <c r="M541" i="197"/>
  <c r="N541" i="197"/>
  <c r="G542" i="197"/>
  <c r="J542" i="197"/>
  <c r="N542" i="197" s="1"/>
  <c r="K542" i="197"/>
  <c r="L542" i="197"/>
  <c r="M542" i="197"/>
  <c r="G543" i="197"/>
  <c r="J543" i="197"/>
  <c r="K543" i="197"/>
  <c r="M543" i="197"/>
  <c r="E546" i="197"/>
  <c r="F546" i="197"/>
  <c r="H546" i="197"/>
  <c r="O546" i="197"/>
  <c r="P546" i="197"/>
  <c r="Q546" i="197"/>
  <c r="R546" i="197"/>
  <c r="S546" i="197"/>
  <c r="T546" i="197"/>
  <c r="G547" i="197"/>
  <c r="J547" i="197"/>
  <c r="N547" i="197" s="1"/>
  <c r="K547" i="197"/>
  <c r="L547" i="197"/>
  <c r="M547" i="197"/>
  <c r="G548" i="197"/>
  <c r="J548" i="197"/>
  <c r="K548" i="197"/>
  <c r="L548" i="197"/>
  <c r="M548" i="197"/>
  <c r="N548" i="197"/>
  <c r="E551" i="197"/>
  <c r="F551" i="197"/>
  <c r="H551" i="197"/>
  <c r="O551" i="197"/>
  <c r="P551" i="197"/>
  <c r="Q551" i="197"/>
  <c r="R551" i="197"/>
  <c r="S551" i="197"/>
  <c r="T551" i="197"/>
  <c r="G552" i="197"/>
  <c r="J552" i="197"/>
  <c r="L552" i="197" s="1"/>
  <c r="K552" i="197"/>
  <c r="M552" i="197"/>
  <c r="N552" i="197"/>
  <c r="E555" i="197"/>
  <c r="F555" i="197"/>
  <c r="H555" i="197"/>
  <c r="O555" i="197"/>
  <c r="P555" i="197"/>
  <c r="Q555" i="197"/>
  <c r="R555" i="197"/>
  <c r="S555" i="197"/>
  <c r="T555" i="197"/>
  <c r="G556" i="197"/>
  <c r="J556" i="197"/>
  <c r="K556" i="197"/>
  <c r="L556" i="197"/>
  <c r="M556" i="197"/>
  <c r="N556" i="197"/>
  <c r="G557" i="197"/>
  <c r="J557" i="197"/>
  <c r="L557" i="197" s="1"/>
  <c r="K557" i="197"/>
  <c r="M557" i="197"/>
  <c r="N557" i="197"/>
  <c r="G558" i="197"/>
  <c r="J558" i="197"/>
  <c r="N558" i="197" s="1"/>
  <c r="K558" i="197"/>
  <c r="L558" i="197"/>
  <c r="M558" i="197"/>
  <c r="G559" i="197"/>
  <c r="J559" i="197"/>
  <c r="K559" i="197"/>
  <c r="M559" i="197"/>
  <c r="E562" i="197"/>
  <c r="F562" i="197"/>
  <c r="H562" i="197"/>
  <c r="O562" i="197"/>
  <c r="P562" i="197"/>
  <c r="Q562" i="197"/>
  <c r="R562" i="197"/>
  <c r="S562" i="197"/>
  <c r="T562" i="197"/>
  <c r="G563" i="197"/>
  <c r="J563" i="197"/>
  <c r="K563" i="197"/>
  <c r="M563" i="197"/>
  <c r="E566" i="197"/>
  <c r="F566" i="197"/>
  <c r="H566" i="197"/>
  <c r="O566" i="197"/>
  <c r="P566" i="197"/>
  <c r="Q566" i="197"/>
  <c r="R566" i="197"/>
  <c r="S566" i="197"/>
  <c r="T566" i="197"/>
  <c r="G567" i="197"/>
  <c r="J567" i="197"/>
  <c r="K567" i="197"/>
  <c r="L567" i="197"/>
  <c r="M567" i="197"/>
  <c r="N567" i="197"/>
  <c r="G568" i="197"/>
  <c r="J568" i="197"/>
  <c r="L568" i="197" s="1"/>
  <c r="K568" i="197"/>
  <c r="M568" i="197"/>
  <c r="N568" i="197"/>
  <c r="E571" i="197"/>
  <c r="F571" i="197"/>
  <c r="H571" i="197"/>
  <c r="O571" i="197"/>
  <c r="P571" i="197"/>
  <c r="Q571" i="197"/>
  <c r="R571" i="197"/>
  <c r="S571" i="197"/>
  <c r="T571" i="197"/>
  <c r="G572" i="197"/>
  <c r="J572" i="197"/>
  <c r="L572" i="197" s="1"/>
  <c r="K572" i="197"/>
  <c r="M572" i="197"/>
  <c r="N572" i="197"/>
  <c r="E575" i="197"/>
  <c r="F575" i="197"/>
  <c r="H575" i="197"/>
  <c r="O575" i="197"/>
  <c r="P575" i="197"/>
  <c r="Q575" i="197"/>
  <c r="R575" i="197"/>
  <c r="S575" i="197"/>
  <c r="T575" i="197"/>
  <c r="G576" i="197"/>
  <c r="J576" i="197"/>
  <c r="K576" i="197"/>
  <c r="M576" i="197"/>
  <c r="G577" i="197"/>
  <c r="J577" i="197"/>
  <c r="L577" i="197" s="1"/>
  <c r="K577" i="197"/>
  <c r="M577" i="197"/>
  <c r="N577" i="197"/>
  <c r="E580" i="197"/>
  <c r="F580" i="197"/>
  <c r="H580" i="197"/>
  <c r="O580" i="197"/>
  <c r="P580" i="197"/>
  <c r="Q580" i="197"/>
  <c r="R580" i="197"/>
  <c r="S580" i="197"/>
  <c r="T580" i="197"/>
  <c r="G581" i="197"/>
  <c r="J581" i="197"/>
  <c r="L581" i="197" s="1"/>
  <c r="K581" i="197"/>
  <c r="M581" i="197"/>
  <c r="G582" i="197"/>
  <c r="J582" i="197"/>
  <c r="N582" i="197" s="1"/>
  <c r="K582" i="197"/>
  <c r="L582" i="197"/>
  <c r="M582" i="197"/>
  <c r="E585" i="197"/>
  <c r="F585" i="197"/>
  <c r="H585" i="197"/>
  <c r="O585" i="197"/>
  <c r="P585" i="197"/>
  <c r="Q585" i="197"/>
  <c r="R585" i="197"/>
  <c r="S585" i="197"/>
  <c r="T585" i="197"/>
  <c r="G586" i="197"/>
  <c r="J586" i="197"/>
  <c r="L586" i="197" s="1"/>
  <c r="K586" i="197"/>
  <c r="M586" i="197"/>
  <c r="N586" i="197"/>
  <c r="G587" i="197"/>
  <c r="J587" i="197"/>
  <c r="N587" i="197" s="1"/>
  <c r="K587" i="197"/>
  <c r="L587" i="197" s="1"/>
  <c r="M587" i="197"/>
  <c r="E590" i="197"/>
  <c r="F590" i="197"/>
  <c r="H590" i="197"/>
  <c r="O590" i="197"/>
  <c r="P590" i="197"/>
  <c r="Q590" i="197"/>
  <c r="R590" i="197"/>
  <c r="S590" i="197"/>
  <c r="T590" i="197"/>
  <c r="G591" i="197"/>
  <c r="J591" i="197"/>
  <c r="K591" i="197"/>
  <c r="L591" i="197"/>
  <c r="M591" i="197"/>
  <c r="N591" i="197"/>
  <c r="G592" i="197"/>
  <c r="J592" i="197"/>
  <c r="K592" i="197"/>
  <c r="M592" i="197"/>
  <c r="G593" i="197"/>
  <c r="J593" i="197"/>
  <c r="N593" i="197" s="1"/>
  <c r="K593" i="197"/>
  <c r="L593" i="197"/>
  <c r="M593" i="197"/>
  <c r="G594" i="197"/>
  <c r="J594" i="197"/>
  <c r="L594" i="197" s="1"/>
  <c r="K594" i="197"/>
  <c r="M594" i="197"/>
  <c r="G595" i="197"/>
  <c r="J595" i="197"/>
  <c r="K595" i="197"/>
  <c r="L595" i="197" s="1"/>
  <c r="M595" i="197"/>
  <c r="N595" i="197"/>
  <c r="E598" i="197"/>
  <c r="F598" i="197"/>
  <c r="H598" i="197"/>
  <c r="O598" i="197"/>
  <c r="P598" i="197"/>
  <c r="Q598" i="197"/>
  <c r="R598" i="197"/>
  <c r="S598" i="197"/>
  <c r="T598" i="197"/>
  <c r="G599" i="197"/>
  <c r="J599" i="197"/>
  <c r="N599" i="197" s="1"/>
  <c r="K599" i="197"/>
  <c r="L599" i="197"/>
  <c r="M599" i="197"/>
  <c r="E602" i="197"/>
  <c r="F602" i="197"/>
  <c r="H602" i="197"/>
  <c r="O602" i="197"/>
  <c r="P602" i="197"/>
  <c r="Q602" i="197"/>
  <c r="R602" i="197"/>
  <c r="S602" i="197"/>
  <c r="T602" i="197"/>
  <c r="G603" i="197"/>
  <c r="J603" i="197"/>
  <c r="L603" i="197" s="1"/>
  <c r="K603" i="197"/>
  <c r="M603" i="197"/>
  <c r="N603" i="197"/>
  <c r="G604" i="197"/>
  <c r="J604" i="197"/>
  <c r="N604" i="197" s="1"/>
  <c r="K604" i="197"/>
  <c r="L604" i="197"/>
  <c r="M604" i="197"/>
  <c r="E607" i="197"/>
  <c r="F607" i="197"/>
  <c r="H607" i="197"/>
  <c r="O607" i="197"/>
  <c r="P607" i="197"/>
  <c r="Q607" i="197"/>
  <c r="R607" i="197"/>
  <c r="S607" i="197"/>
  <c r="T607" i="197"/>
  <c r="G608" i="197"/>
  <c r="J608" i="197"/>
  <c r="K608" i="197"/>
  <c r="M608" i="197"/>
  <c r="G609" i="197"/>
  <c r="J609" i="197"/>
  <c r="K609" i="197"/>
  <c r="M609" i="197"/>
  <c r="E612" i="197"/>
  <c r="F612" i="197"/>
  <c r="H612" i="197"/>
  <c r="O612" i="197"/>
  <c r="P612" i="197"/>
  <c r="Q612" i="197"/>
  <c r="R612" i="197"/>
  <c r="S612" i="197"/>
  <c r="T612" i="197"/>
  <c r="G613" i="197"/>
  <c r="J613" i="197"/>
  <c r="K613" i="197"/>
  <c r="L613" i="197"/>
  <c r="M613" i="197"/>
  <c r="N613" i="197"/>
  <c r="G614" i="197"/>
  <c r="J614" i="197"/>
  <c r="K614" i="197"/>
  <c r="M614" i="197"/>
  <c r="G615" i="197"/>
  <c r="J615" i="197"/>
  <c r="N615" i="197" s="1"/>
  <c r="K615" i="197"/>
  <c r="L615" i="197"/>
  <c r="M615" i="197"/>
  <c r="G616" i="197"/>
  <c r="J616" i="197"/>
  <c r="L616" i="197" s="1"/>
  <c r="K616" i="197"/>
  <c r="M616" i="197"/>
  <c r="N616" i="197"/>
  <c r="E619" i="197"/>
  <c r="F619" i="197"/>
  <c r="H619" i="197"/>
  <c r="O619" i="197"/>
  <c r="P619" i="197"/>
  <c r="Q619" i="197"/>
  <c r="R619" i="197"/>
  <c r="S619" i="197"/>
  <c r="T619" i="197"/>
  <c r="G620" i="197"/>
  <c r="J620" i="197"/>
  <c r="N620" i="197" s="1"/>
  <c r="K620" i="197"/>
  <c r="L620" i="197"/>
  <c r="M620" i="197"/>
  <c r="G621" i="197"/>
  <c r="J621" i="197"/>
  <c r="K621" i="197"/>
  <c r="M621" i="197"/>
  <c r="G622" i="197"/>
  <c r="J622" i="197"/>
  <c r="K622" i="197"/>
  <c r="L622" i="197"/>
  <c r="M622" i="197"/>
  <c r="N622" i="197"/>
  <c r="E625" i="197"/>
  <c r="F625" i="197"/>
  <c r="H625" i="197"/>
  <c r="O625" i="197"/>
  <c r="P625" i="197"/>
  <c r="Q625" i="197"/>
  <c r="R625" i="197"/>
  <c r="S625" i="197"/>
  <c r="T625" i="197"/>
  <c r="G626" i="197"/>
  <c r="J626" i="197"/>
  <c r="N626" i="197" s="1"/>
  <c r="K626" i="197"/>
  <c r="L626" i="197"/>
  <c r="M626" i="197"/>
  <c r="E629" i="197"/>
  <c r="F629" i="197"/>
  <c r="H629" i="197"/>
  <c r="O629" i="197"/>
  <c r="P629" i="197"/>
  <c r="Q629" i="197"/>
  <c r="R629" i="197"/>
  <c r="S629" i="197"/>
  <c r="T629" i="197"/>
  <c r="G630" i="197"/>
  <c r="J630" i="197"/>
  <c r="K630" i="197"/>
  <c r="M630" i="197"/>
  <c r="G631" i="197"/>
  <c r="J631" i="197"/>
  <c r="N631" i="197" s="1"/>
  <c r="K631" i="197"/>
  <c r="M631" i="197"/>
  <c r="E634" i="197"/>
  <c r="F634" i="197"/>
  <c r="H634" i="197"/>
  <c r="O634" i="197"/>
  <c r="P634" i="197"/>
  <c r="Q634" i="197"/>
  <c r="R634" i="197"/>
  <c r="S634" i="197"/>
  <c r="T634" i="197"/>
  <c r="G635" i="197"/>
  <c r="J635" i="197"/>
  <c r="K635" i="197"/>
  <c r="L635" i="197"/>
  <c r="M635" i="197"/>
  <c r="N635" i="197"/>
  <c r="G636" i="197"/>
  <c r="J636" i="197"/>
  <c r="K636" i="197"/>
  <c r="M636" i="197"/>
  <c r="G637" i="197"/>
  <c r="J637" i="197"/>
  <c r="N637" i="197" s="1"/>
  <c r="K637" i="197"/>
  <c r="L637" i="197"/>
  <c r="M637" i="197"/>
  <c r="E640" i="197"/>
  <c r="F640" i="197"/>
  <c r="H640" i="197"/>
  <c r="O640" i="197"/>
  <c r="P640" i="197"/>
  <c r="Q640" i="197"/>
  <c r="R640" i="197"/>
  <c r="S640" i="197"/>
  <c r="T640" i="197"/>
  <c r="G641" i="197"/>
  <c r="J641" i="197"/>
  <c r="K641" i="197"/>
  <c r="M641" i="197"/>
  <c r="N641" i="197"/>
  <c r="G642" i="197"/>
  <c r="J642" i="197"/>
  <c r="K642" i="197"/>
  <c r="M642" i="197"/>
  <c r="G643" i="197"/>
  <c r="J643" i="197"/>
  <c r="K643" i="197"/>
  <c r="L643" i="197"/>
  <c r="M643" i="197"/>
  <c r="N643" i="197"/>
  <c r="E646" i="197"/>
  <c r="F646" i="197"/>
  <c r="H646" i="197"/>
  <c r="O646" i="197"/>
  <c r="P646" i="197"/>
  <c r="Q646" i="197"/>
  <c r="R646" i="197"/>
  <c r="S646" i="197"/>
  <c r="T646" i="197"/>
  <c r="G647" i="197"/>
  <c r="J647" i="197"/>
  <c r="L647" i="197" s="1"/>
  <c r="K647" i="197"/>
  <c r="M647" i="197"/>
  <c r="N647" i="197"/>
  <c r="G648" i="197"/>
  <c r="J648" i="197"/>
  <c r="N648" i="197" s="1"/>
  <c r="K648" i="197"/>
  <c r="M648" i="197"/>
  <c r="G649" i="197"/>
  <c r="J649" i="197"/>
  <c r="K649" i="197"/>
  <c r="M649" i="197"/>
  <c r="G650" i="197"/>
  <c r="J650" i="197"/>
  <c r="K650" i="197"/>
  <c r="L650" i="197"/>
  <c r="M650" i="197"/>
  <c r="N650" i="197"/>
  <c r="L5" i="202"/>
  <c r="E6" i="202"/>
  <c r="L6" i="202"/>
  <c r="L7" i="202"/>
  <c r="E12" i="202"/>
  <c r="F12" i="202"/>
  <c r="H12" i="202"/>
  <c r="O12" i="202"/>
  <c r="P12" i="202"/>
  <c r="Q12" i="202"/>
  <c r="R12" i="202"/>
  <c r="S12" i="202"/>
  <c r="T12" i="202"/>
  <c r="G13" i="202"/>
  <c r="J13" i="202"/>
  <c r="K13" i="202"/>
  <c r="M13" i="202"/>
  <c r="G14" i="202"/>
  <c r="J14" i="202"/>
  <c r="N14" i="202" s="1"/>
  <c r="K14" i="202"/>
  <c r="L14" i="202"/>
  <c r="M14" i="202"/>
  <c r="E17" i="202"/>
  <c r="F17" i="202"/>
  <c r="H17" i="202"/>
  <c r="O17" i="202"/>
  <c r="P17" i="202"/>
  <c r="Q17" i="202"/>
  <c r="R17" i="202"/>
  <c r="S17" i="202"/>
  <c r="T17" i="202"/>
  <c r="G18" i="202"/>
  <c r="J18" i="202"/>
  <c r="K18" i="202"/>
  <c r="L18" i="202"/>
  <c r="M18" i="202"/>
  <c r="N18" i="202"/>
  <c r="E21" i="202"/>
  <c r="F21" i="202"/>
  <c r="H21" i="202"/>
  <c r="O21" i="202"/>
  <c r="P21" i="202"/>
  <c r="Q21" i="202"/>
  <c r="R21" i="202"/>
  <c r="S21" i="202"/>
  <c r="T21" i="202"/>
  <c r="G22" i="202"/>
  <c r="J22" i="202"/>
  <c r="N22" i="202" s="1"/>
  <c r="K22" i="202"/>
  <c r="L22" i="202"/>
  <c r="M22" i="202"/>
  <c r="G23" i="202"/>
  <c r="J23" i="202"/>
  <c r="K23" i="202"/>
  <c r="L23" i="202"/>
  <c r="M23" i="202"/>
  <c r="N23" i="202"/>
  <c r="E26" i="202"/>
  <c r="F26" i="202"/>
  <c r="H26" i="202"/>
  <c r="O26" i="202"/>
  <c r="P26" i="202"/>
  <c r="Q26" i="202"/>
  <c r="R26" i="202"/>
  <c r="S26" i="202"/>
  <c r="T26" i="202"/>
  <c r="G27" i="202"/>
  <c r="J27" i="202"/>
  <c r="N27" i="202" s="1"/>
  <c r="K27" i="202"/>
  <c r="M27" i="202"/>
  <c r="G28" i="202"/>
  <c r="J28" i="202"/>
  <c r="K28" i="202"/>
  <c r="M28" i="202"/>
  <c r="N28" i="202"/>
  <c r="G29" i="202"/>
  <c r="J29" i="202"/>
  <c r="K29" i="202"/>
  <c r="L29" i="202"/>
  <c r="M29" i="202"/>
  <c r="N29" i="202"/>
  <c r="E32" i="202"/>
  <c r="F32" i="202"/>
  <c r="H32" i="202"/>
  <c r="O32" i="202"/>
  <c r="P32" i="202"/>
  <c r="Q32" i="202"/>
  <c r="R32" i="202"/>
  <c r="S32" i="202"/>
  <c r="T32" i="202"/>
  <c r="G33" i="202"/>
  <c r="J33" i="202"/>
  <c r="L33" i="202" s="1"/>
  <c r="K33" i="202"/>
  <c r="M33" i="202"/>
  <c r="N33" i="202"/>
  <c r="G34" i="202"/>
  <c r="J34" i="202"/>
  <c r="K34" i="202"/>
  <c r="L34" i="202"/>
  <c r="M34" i="202"/>
  <c r="N34" i="202"/>
  <c r="G35" i="202"/>
  <c r="J35" i="202"/>
  <c r="L35" i="202" s="1"/>
  <c r="K35" i="202"/>
  <c r="M35" i="202"/>
  <c r="G36" i="202"/>
  <c r="J36" i="202"/>
  <c r="N36" i="202" s="1"/>
  <c r="K36" i="202"/>
  <c r="L36" i="202"/>
  <c r="M36" i="202"/>
  <c r="E39" i="202"/>
  <c r="F39" i="202"/>
  <c r="H39" i="202"/>
  <c r="O39" i="202"/>
  <c r="P39" i="202"/>
  <c r="Q39" i="202"/>
  <c r="R39" i="202"/>
  <c r="S39" i="202"/>
  <c r="T39" i="202"/>
  <c r="G40" i="202"/>
  <c r="J40" i="202"/>
  <c r="K40" i="202"/>
  <c r="L40" i="202"/>
  <c r="M40" i="202"/>
  <c r="N40" i="202"/>
  <c r="G41" i="202"/>
  <c r="J41" i="202"/>
  <c r="K41" i="202"/>
  <c r="M41" i="202"/>
  <c r="N41" i="202"/>
  <c r="G42" i="202"/>
  <c r="J42" i="202"/>
  <c r="N42" i="202" s="1"/>
  <c r="K42" i="202"/>
  <c r="L42" i="202"/>
  <c r="M42" i="202"/>
  <c r="G43" i="202"/>
  <c r="J43" i="202"/>
  <c r="K43" i="202"/>
  <c r="L43" i="202" s="1"/>
  <c r="M43" i="202"/>
  <c r="N43" i="202"/>
  <c r="E46" i="202"/>
  <c r="F46" i="202"/>
  <c r="H46" i="202"/>
  <c r="O46" i="202"/>
  <c r="P46" i="202"/>
  <c r="Q46" i="202"/>
  <c r="R46" i="202"/>
  <c r="S46" i="202"/>
  <c r="T46" i="202"/>
  <c r="G47" i="202"/>
  <c r="J47" i="202"/>
  <c r="N47" i="202" s="1"/>
  <c r="K47" i="202"/>
  <c r="L47" i="202"/>
  <c r="M47" i="202"/>
  <c r="G48" i="202"/>
  <c r="J48" i="202"/>
  <c r="L48" i="202" s="1"/>
  <c r="K48" i="202"/>
  <c r="M48" i="202"/>
  <c r="N48" i="202"/>
  <c r="G49" i="202"/>
  <c r="J49" i="202"/>
  <c r="K49" i="202"/>
  <c r="L49" i="202"/>
  <c r="M49" i="202"/>
  <c r="N49" i="202"/>
  <c r="G50" i="202"/>
  <c r="J50" i="202"/>
  <c r="K50" i="202"/>
  <c r="M50" i="202"/>
  <c r="G51" i="202"/>
  <c r="J51" i="202"/>
  <c r="N51" i="202" s="1"/>
  <c r="K51" i="202"/>
  <c r="M51" i="202"/>
  <c r="E54" i="202"/>
  <c r="F54" i="202"/>
  <c r="H54" i="202"/>
  <c r="O54" i="202"/>
  <c r="P54" i="202"/>
  <c r="Q54" i="202"/>
  <c r="R54" i="202"/>
  <c r="S54" i="202"/>
  <c r="T54" i="202"/>
  <c r="G55" i="202"/>
  <c r="J55" i="202"/>
  <c r="K55" i="202"/>
  <c r="L55" i="202"/>
  <c r="M55" i="202"/>
  <c r="N55" i="202"/>
  <c r="G56" i="202"/>
  <c r="J56" i="202"/>
  <c r="K56" i="202"/>
  <c r="M56" i="202"/>
  <c r="E59" i="202"/>
  <c r="F59" i="202"/>
  <c r="H59" i="202"/>
  <c r="O59" i="202"/>
  <c r="P59" i="202"/>
  <c r="Q59" i="202"/>
  <c r="R59" i="202"/>
  <c r="S59" i="202"/>
  <c r="T59" i="202"/>
  <c r="G60" i="202"/>
  <c r="J60" i="202"/>
  <c r="K60" i="202"/>
  <c r="L60" i="202"/>
  <c r="M60" i="202"/>
  <c r="N60" i="202"/>
  <c r="G61" i="202"/>
  <c r="J61" i="202"/>
  <c r="K61" i="202"/>
  <c r="M61" i="202"/>
  <c r="E64" i="202"/>
  <c r="F64" i="202"/>
  <c r="H64" i="202"/>
  <c r="O64" i="202"/>
  <c r="P64" i="202"/>
  <c r="Q64" i="202"/>
  <c r="R64" i="202"/>
  <c r="S64" i="202"/>
  <c r="T64" i="202"/>
  <c r="G65" i="202"/>
  <c r="J65" i="202"/>
  <c r="K65" i="202"/>
  <c r="L65" i="202"/>
  <c r="M65" i="202"/>
  <c r="N65" i="202"/>
  <c r="E68" i="202"/>
  <c r="F68" i="202"/>
  <c r="H68" i="202"/>
  <c r="O68" i="202"/>
  <c r="P68" i="202"/>
  <c r="Q68" i="202"/>
  <c r="R68" i="202"/>
  <c r="S68" i="202"/>
  <c r="T68" i="202"/>
  <c r="G69" i="202"/>
  <c r="J69" i="202"/>
  <c r="N69" i="202" s="1"/>
  <c r="K69" i="202"/>
  <c r="L69" i="202"/>
  <c r="M69" i="202"/>
  <c r="G70" i="202"/>
  <c r="J70" i="202"/>
  <c r="N70" i="202" s="1"/>
  <c r="K70" i="202"/>
  <c r="M70" i="202"/>
  <c r="E73" i="202"/>
  <c r="F73" i="202"/>
  <c r="H73" i="202"/>
  <c r="O73" i="202"/>
  <c r="P73" i="202"/>
  <c r="Q73" i="202"/>
  <c r="R73" i="202"/>
  <c r="S73" i="202"/>
  <c r="T73" i="202"/>
  <c r="G74" i="202"/>
  <c r="J74" i="202"/>
  <c r="L74" i="202" s="1"/>
  <c r="K74" i="202"/>
  <c r="M74" i="202"/>
  <c r="N74" i="202"/>
  <c r="G75" i="202"/>
  <c r="J75" i="202"/>
  <c r="N75" i="202" s="1"/>
  <c r="K75" i="202"/>
  <c r="L75" i="202"/>
  <c r="M75" i="202"/>
  <c r="E78" i="202"/>
  <c r="F78" i="202"/>
  <c r="H78" i="202"/>
  <c r="O78" i="202"/>
  <c r="P78" i="202"/>
  <c r="Q78" i="202"/>
  <c r="R78" i="202"/>
  <c r="S78" i="202"/>
  <c r="T78" i="202"/>
  <c r="G79" i="202"/>
  <c r="J79" i="202"/>
  <c r="K79" i="202"/>
  <c r="M79" i="202"/>
  <c r="N79" i="202"/>
  <c r="E82" i="202"/>
  <c r="F82" i="202"/>
  <c r="H82" i="202"/>
  <c r="O82" i="202"/>
  <c r="P82" i="202"/>
  <c r="Q82" i="202"/>
  <c r="R82" i="202"/>
  <c r="S82" i="202"/>
  <c r="T82" i="202"/>
  <c r="G83" i="202"/>
  <c r="J83" i="202"/>
  <c r="K83" i="202"/>
  <c r="M83" i="202"/>
  <c r="G84" i="202"/>
  <c r="J84" i="202"/>
  <c r="K84" i="202"/>
  <c r="L84" i="202"/>
  <c r="M84" i="202"/>
  <c r="N84" i="202"/>
  <c r="E87" i="202"/>
  <c r="F87" i="202"/>
  <c r="H87" i="202"/>
  <c r="O87" i="202"/>
  <c r="P87" i="202"/>
  <c r="Q87" i="202"/>
  <c r="R87" i="202"/>
  <c r="S87" i="202"/>
  <c r="T87" i="202"/>
  <c r="G88" i="202"/>
  <c r="J88" i="202"/>
  <c r="L88" i="202" s="1"/>
  <c r="K88" i="202"/>
  <c r="M88" i="202"/>
  <c r="N88" i="202"/>
  <c r="G89" i="202"/>
  <c r="J89" i="202"/>
  <c r="K89" i="202"/>
  <c r="L89" i="202"/>
  <c r="M89" i="202"/>
  <c r="N89" i="202"/>
  <c r="E92" i="202"/>
  <c r="F92" i="202"/>
  <c r="H92" i="202"/>
  <c r="O92" i="202"/>
  <c r="P92" i="202"/>
  <c r="Q92" i="202"/>
  <c r="R92" i="202"/>
  <c r="S92" i="202"/>
  <c r="T92" i="202"/>
  <c r="G93" i="202"/>
  <c r="J93" i="202"/>
  <c r="K93" i="202"/>
  <c r="M93" i="202"/>
  <c r="G94" i="202"/>
  <c r="J94" i="202"/>
  <c r="K94" i="202"/>
  <c r="L94" i="202" s="1"/>
  <c r="M94" i="202"/>
  <c r="N94" i="202"/>
  <c r="G95" i="202"/>
  <c r="J95" i="202"/>
  <c r="K95" i="202"/>
  <c r="L95" i="202" s="1"/>
  <c r="M95" i="202"/>
  <c r="N95" i="202"/>
  <c r="E98" i="202"/>
  <c r="F98" i="202"/>
  <c r="H98" i="202"/>
  <c r="O98" i="202"/>
  <c r="P98" i="202"/>
  <c r="Q98" i="202"/>
  <c r="R98" i="202"/>
  <c r="S98" i="202"/>
  <c r="T98" i="202"/>
  <c r="G99" i="202"/>
  <c r="J99" i="202"/>
  <c r="K99" i="202"/>
  <c r="L99" i="202"/>
  <c r="M99" i="202"/>
  <c r="N99" i="202"/>
  <c r="E102" i="202"/>
  <c r="F102" i="202"/>
  <c r="H102" i="202"/>
  <c r="O102" i="202"/>
  <c r="P102" i="202"/>
  <c r="Q102" i="202"/>
  <c r="R102" i="202"/>
  <c r="S102" i="202"/>
  <c r="T102" i="202"/>
  <c r="G103" i="202"/>
  <c r="J103" i="202"/>
  <c r="K103" i="202"/>
  <c r="M103" i="202"/>
  <c r="E106" i="202"/>
  <c r="F106" i="202"/>
  <c r="H106" i="202"/>
  <c r="O106" i="202"/>
  <c r="P106" i="202"/>
  <c r="Q106" i="202"/>
  <c r="R106" i="202"/>
  <c r="S106" i="202"/>
  <c r="T106" i="202"/>
  <c r="G107" i="202"/>
  <c r="J107" i="202"/>
  <c r="K107" i="202"/>
  <c r="L107" i="202"/>
  <c r="M107" i="202"/>
  <c r="N107" i="202"/>
  <c r="G108" i="202"/>
  <c r="J108" i="202"/>
  <c r="K108" i="202"/>
  <c r="M108" i="202"/>
  <c r="N108" i="202"/>
  <c r="E111" i="202"/>
  <c r="F111" i="202"/>
  <c r="H111" i="202"/>
  <c r="O111" i="202"/>
  <c r="P111" i="202"/>
  <c r="Q111" i="202"/>
  <c r="R111" i="202"/>
  <c r="S111" i="202"/>
  <c r="T111" i="202"/>
  <c r="G112" i="202"/>
  <c r="J112" i="202"/>
  <c r="K112" i="202"/>
  <c r="M112" i="202"/>
  <c r="E115" i="202"/>
  <c r="F115" i="202"/>
  <c r="H115" i="202"/>
  <c r="O115" i="202"/>
  <c r="P115" i="202"/>
  <c r="Q115" i="202"/>
  <c r="R115" i="202"/>
  <c r="S115" i="202"/>
  <c r="T115" i="202"/>
  <c r="G116" i="202"/>
  <c r="J116" i="202"/>
  <c r="N116" i="202" s="1"/>
  <c r="K116" i="202"/>
  <c r="L116" i="202"/>
  <c r="M116" i="202"/>
  <c r="G117" i="202"/>
  <c r="J117" i="202"/>
  <c r="K117" i="202"/>
  <c r="L117" i="202"/>
  <c r="M117" i="202"/>
  <c r="N117" i="202"/>
  <c r="E120" i="202"/>
  <c r="F120" i="202"/>
  <c r="H120" i="202"/>
  <c r="O120" i="202"/>
  <c r="P120" i="202"/>
  <c r="Q120" i="202"/>
  <c r="R120" i="202"/>
  <c r="S120" i="202"/>
  <c r="T120" i="202"/>
  <c r="G121" i="202"/>
  <c r="J121" i="202"/>
  <c r="L121" i="202" s="1"/>
  <c r="K121" i="202"/>
  <c r="M121" i="202"/>
  <c r="G122" i="202"/>
  <c r="J122" i="202"/>
  <c r="K122" i="202"/>
  <c r="M122" i="202"/>
  <c r="G123" i="202"/>
  <c r="J123" i="202"/>
  <c r="K123" i="202"/>
  <c r="M123" i="202"/>
  <c r="N123" i="202"/>
  <c r="E126" i="202"/>
  <c r="F126" i="202"/>
  <c r="H126" i="202"/>
  <c r="O126" i="202"/>
  <c r="P126" i="202"/>
  <c r="Q126" i="202"/>
  <c r="R126" i="202"/>
  <c r="S126" i="202"/>
  <c r="T126" i="202"/>
  <c r="G127" i="202"/>
  <c r="J127" i="202"/>
  <c r="N127" i="202" s="1"/>
  <c r="K127" i="202"/>
  <c r="M127" i="202"/>
  <c r="G128" i="202"/>
  <c r="J128" i="202"/>
  <c r="N128" i="202" s="1"/>
  <c r="K128" i="202"/>
  <c r="L128" i="202"/>
  <c r="M128" i="202"/>
  <c r="G129" i="202"/>
  <c r="J129" i="202"/>
  <c r="K129" i="202"/>
  <c r="L129" i="202" s="1"/>
  <c r="M129" i="202"/>
  <c r="N129" i="202"/>
  <c r="E132" i="202"/>
  <c r="F132" i="202"/>
  <c r="H132" i="202"/>
  <c r="O132" i="202"/>
  <c r="P132" i="202"/>
  <c r="Q132" i="202"/>
  <c r="R132" i="202"/>
  <c r="S132" i="202"/>
  <c r="T132" i="202"/>
  <c r="G133" i="202"/>
  <c r="J133" i="202"/>
  <c r="N133" i="202" s="1"/>
  <c r="K133" i="202"/>
  <c r="L133" i="202"/>
  <c r="M133" i="202"/>
  <c r="G134" i="202"/>
  <c r="J134" i="202"/>
  <c r="N134" i="202" s="1"/>
  <c r="K134" i="202"/>
  <c r="M134" i="202"/>
  <c r="E137" i="202"/>
  <c r="F137" i="202"/>
  <c r="H137" i="202"/>
  <c r="O137" i="202"/>
  <c r="P137" i="202"/>
  <c r="Q137" i="202"/>
  <c r="R137" i="202"/>
  <c r="S137" i="202"/>
  <c r="T137" i="202"/>
  <c r="G138" i="202"/>
  <c r="J138" i="202"/>
  <c r="N138" i="202" s="1"/>
  <c r="K138" i="202"/>
  <c r="L138" i="202"/>
  <c r="M138" i="202"/>
  <c r="G139" i="202"/>
  <c r="J139" i="202"/>
  <c r="K139" i="202"/>
  <c r="L139" i="202"/>
  <c r="M139" i="202"/>
  <c r="N139" i="202"/>
  <c r="E142" i="202"/>
  <c r="F142" i="202"/>
  <c r="H142" i="202"/>
  <c r="O142" i="202"/>
  <c r="P142" i="202"/>
  <c r="Q142" i="202"/>
  <c r="R142" i="202"/>
  <c r="S142" i="202"/>
  <c r="T142" i="202"/>
  <c r="G143" i="202"/>
  <c r="J143" i="202"/>
  <c r="L143" i="202" s="1"/>
  <c r="K143" i="202"/>
  <c r="M143" i="202"/>
  <c r="N143" i="202"/>
  <c r="G144" i="202"/>
  <c r="J144" i="202"/>
  <c r="K144" i="202"/>
  <c r="M144" i="202"/>
  <c r="G145" i="202"/>
  <c r="J145" i="202"/>
  <c r="L145" i="202" s="1"/>
  <c r="K145" i="202"/>
  <c r="M145" i="202"/>
  <c r="G146" i="202"/>
  <c r="J146" i="202"/>
  <c r="K146" i="202"/>
  <c r="L146" i="202"/>
  <c r="M146" i="202"/>
  <c r="N146" i="202"/>
  <c r="E149" i="202"/>
  <c r="F149" i="202"/>
  <c r="H149" i="202"/>
  <c r="O149" i="202"/>
  <c r="P149" i="202"/>
  <c r="Q149" i="202"/>
  <c r="R149" i="202"/>
  <c r="S149" i="202"/>
  <c r="T149" i="202"/>
  <c r="G150" i="202"/>
  <c r="J150" i="202"/>
  <c r="K150" i="202"/>
  <c r="M150" i="202"/>
  <c r="G151" i="202"/>
  <c r="J151" i="202"/>
  <c r="K151" i="202"/>
  <c r="L151" i="202"/>
  <c r="M151" i="202"/>
  <c r="N151" i="202"/>
  <c r="G152" i="202"/>
  <c r="J152" i="202"/>
  <c r="L152" i="202" s="1"/>
  <c r="K152" i="202"/>
  <c r="M152" i="202"/>
  <c r="N152" i="202"/>
  <c r="E155" i="202"/>
  <c r="F155" i="202"/>
  <c r="H155" i="202"/>
  <c r="O155" i="202"/>
  <c r="P155" i="202"/>
  <c r="Q155" i="202"/>
  <c r="R155" i="202"/>
  <c r="S155" i="202"/>
  <c r="T155" i="202"/>
  <c r="G156" i="202"/>
  <c r="J156" i="202"/>
  <c r="K156" i="202"/>
  <c r="L156" i="202"/>
  <c r="M156" i="202"/>
  <c r="N156" i="202"/>
  <c r="G157" i="202"/>
  <c r="J157" i="202"/>
  <c r="K157" i="202"/>
  <c r="L157" i="202" s="1"/>
  <c r="M157" i="202"/>
  <c r="N157" i="202"/>
  <c r="G158" i="202"/>
  <c r="J158" i="202"/>
  <c r="K158" i="202"/>
  <c r="M158" i="202"/>
  <c r="N158" i="202"/>
  <c r="E161" i="202"/>
  <c r="F161" i="202"/>
  <c r="H161" i="202"/>
  <c r="O161" i="202"/>
  <c r="P161" i="202"/>
  <c r="Q161" i="202"/>
  <c r="R161" i="202"/>
  <c r="S161" i="202"/>
  <c r="T161" i="202"/>
  <c r="G162" i="202"/>
  <c r="J162" i="202"/>
  <c r="K162" i="202"/>
  <c r="L162" i="202"/>
  <c r="M162" i="202"/>
  <c r="N162" i="202"/>
  <c r="G163" i="202"/>
  <c r="J163" i="202"/>
  <c r="N163" i="202" s="1"/>
  <c r="K163" i="202"/>
  <c r="M163" i="202"/>
  <c r="G164" i="202"/>
  <c r="J164" i="202"/>
  <c r="N164" i="202" s="1"/>
  <c r="K164" i="202"/>
  <c r="L164" i="202" s="1"/>
  <c r="M164" i="202"/>
  <c r="G165" i="202"/>
  <c r="J165" i="202"/>
  <c r="L165" i="202" s="1"/>
  <c r="K165" i="202"/>
  <c r="M165" i="202"/>
  <c r="N165" i="202"/>
  <c r="G166" i="202"/>
  <c r="J166" i="202"/>
  <c r="K166" i="202"/>
  <c r="L166" i="202" s="1"/>
  <c r="M166" i="202"/>
  <c r="N166" i="202"/>
  <c r="E169" i="202"/>
  <c r="F169" i="202"/>
  <c r="H169" i="202"/>
  <c r="O169" i="202"/>
  <c r="P169" i="202"/>
  <c r="Q169" i="202"/>
  <c r="R169" i="202"/>
  <c r="S169" i="202"/>
  <c r="T169" i="202"/>
  <c r="G170" i="202"/>
  <c r="J170" i="202"/>
  <c r="N170" i="202" s="1"/>
  <c r="K170" i="202"/>
  <c r="L170" i="202"/>
  <c r="M170" i="202"/>
  <c r="E173" i="202"/>
  <c r="F173" i="202"/>
  <c r="H173" i="202"/>
  <c r="O173" i="202"/>
  <c r="P173" i="202"/>
  <c r="Q173" i="202"/>
  <c r="R173" i="202"/>
  <c r="S173" i="202"/>
  <c r="T173" i="202"/>
  <c r="G174" i="202"/>
  <c r="J174" i="202"/>
  <c r="K174" i="202"/>
  <c r="M174" i="202"/>
  <c r="G175" i="202"/>
  <c r="J175" i="202"/>
  <c r="N175" i="202" s="1"/>
  <c r="K175" i="202"/>
  <c r="L175" i="202"/>
  <c r="M175" i="202"/>
  <c r="G176" i="202"/>
  <c r="J176" i="202"/>
  <c r="N176" i="202" s="1"/>
  <c r="K176" i="202"/>
  <c r="L176" i="202"/>
  <c r="M176" i="202"/>
  <c r="G177" i="202"/>
  <c r="J177" i="202"/>
  <c r="K177" i="202"/>
  <c r="L177" i="202"/>
  <c r="M177" i="202"/>
  <c r="N177" i="202"/>
  <c r="G178" i="202"/>
  <c r="J178" i="202"/>
  <c r="K178" i="202"/>
  <c r="M178" i="202"/>
  <c r="N178" i="202"/>
  <c r="E181" i="202"/>
  <c r="F181" i="202"/>
  <c r="H181" i="202"/>
  <c r="O181" i="202"/>
  <c r="P181" i="202"/>
  <c r="Q181" i="202"/>
  <c r="R181" i="202"/>
  <c r="S181" i="202"/>
  <c r="T181" i="202"/>
  <c r="G182" i="202"/>
  <c r="J182" i="202"/>
  <c r="K182" i="202"/>
  <c r="M182" i="202"/>
  <c r="G183" i="202"/>
  <c r="J183" i="202"/>
  <c r="K183" i="202"/>
  <c r="L183" i="202"/>
  <c r="M183" i="202"/>
  <c r="N183" i="202"/>
  <c r="E186" i="202"/>
  <c r="F186" i="202"/>
  <c r="H186" i="202"/>
  <c r="O186" i="202"/>
  <c r="P186" i="202"/>
  <c r="Q186" i="202"/>
  <c r="R186" i="202"/>
  <c r="S186" i="202"/>
  <c r="T186" i="202"/>
  <c r="G187" i="202"/>
  <c r="J187" i="202"/>
  <c r="L187" i="202" s="1"/>
  <c r="K187" i="202"/>
  <c r="M187" i="202"/>
  <c r="G188" i="202"/>
  <c r="J188" i="202"/>
  <c r="K188" i="202"/>
  <c r="L188" i="202" s="1"/>
  <c r="M188" i="202"/>
  <c r="N188" i="202"/>
  <c r="G189" i="202"/>
  <c r="J189" i="202"/>
  <c r="L189" i="202" s="1"/>
  <c r="K189" i="202"/>
  <c r="M189" i="202"/>
  <c r="E192" i="202"/>
  <c r="F192" i="202"/>
  <c r="H192" i="202"/>
  <c r="O192" i="202"/>
  <c r="P192" i="202"/>
  <c r="Q192" i="202"/>
  <c r="R192" i="202"/>
  <c r="S192" i="202"/>
  <c r="T192" i="202"/>
  <c r="G193" i="202"/>
  <c r="J193" i="202"/>
  <c r="K193" i="202"/>
  <c r="L193" i="202" s="1"/>
  <c r="M193" i="202"/>
  <c r="N193" i="202"/>
  <c r="G194" i="202"/>
  <c r="J194" i="202"/>
  <c r="K194" i="202"/>
  <c r="L194" i="202" s="1"/>
  <c r="M194" i="202"/>
  <c r="N194" i="202"/>
  <c r="E197" i="202"/>
  <c r="F197" i="202"/>
  <c r="H197" i="202"/>
  <c r="O197" i="202"/>
  <c r="P197" i="202"/>
  <c r="Q197" i="202"/>
  <c r="R197" i="202"/>
  <c r="S197" i="202"/>
  <c r="T197" i="202"/>
  <c r="G198" i="202"/>
  <c r="J198" i="202"/>
  <c r="K198" i="202"/>
  <c r="M198" i="202"/>
  <c r="G199" i="202"/>
  <c r="J199" i="202"/>
  <c r="K199" i="202"/>
  <c r="L199" i="202" s="1"/>
  <c r="M199" i="202"/>
  <c r="N199" i="202"/>
  <c r="E202" i="202"/>
  <c r="F202" i="202"/>
  <c r="H202" i="202"/>
  <c r="O202" i="202"/>
  <c r="P202" i="202"/>
  <c r="Q202" i="202"/>
  <c r="R202" i="202"/>
  <c r="S202" i="202"/>
  <c r="T202" i="202"/>
  <c r="G203" i="202"/>
  <c r="J203" i="202"/>
  <c r="N203" i="202" s="1"/>
  <c r="K203" i="202"/>
  <c r="L203" i="202"/>
  <c r="M203" i="202"/>
  <c r="E206" i="202"/>
  <c r="F206" i="202"/>
  <c r="H206" i="202"/>
  <c r="O206" i="202"/>
  <c r="P206" i="202"/>
  <c r="Q206" i="202"/>
  <c r="R206" i="202"/>
  <c r="S206" i="202"/>
  <c r="T206" i="202"/>
  <c r="G207" i="202"/>
  <c r="J207" i="202"/>
  <c r="L207" i="202" s="1"/>
  <c r="K207" i="202"/>
  <c r="M207" i="202"/>
  <c r="E210" i="202"/>
  <c r="F210" i="202"/>
  <c r="H210" i="202"/>
  <c r="O210" i="202"/>
  <c r="P210" i="202"/>
  <c r="Q210" i="202"/>
  <c r="R210" i="202"/>
  <c r="S210" i="202"/>
  <c r="T210" i="202"/>
  <c r="G211" i="202"/>
  <c r="J211" i="202"/>
  <c r="L211" i="202" s="1"/>
  <c r="K211" i="202"/>
  <c r="M211" i="202"/>
  <c r="E214" i="202"/>
  <c r="F214" i="202"/>
  <c r="H214" i="202"/>
  <c r="O214" i="202"/>
  <c r="P214" i="202"/>
  <c r="Q214" i="202"/>
  <c r="R214" i="202"/>
  <c r="S214" i="202"/>
  <c r="T214" i="202"/>
  <c r="G215" i="202"/>
  <c r="J215" i="202"/>
  <c r="N215" i="202" s="1"/>
  <c r="K215" i="202"/>
  <c r="M215" i="202"/>
  <c r="G216" i="202"/>
  <c r="J216" i="202"/>
  <c r="K216" i="202"/>
  <c r="L216" i="202"/>
  <c r="M216" i="202"/>
  <c r="N216" i="202"/>
  <c r="E219" i="202"/>
  <c r="F219" i="202"/>
  <c r="H219" i="202"/>
  <c r="O219" i="202"/>
  <c r="P219" i="202"/>
  <c r="Q219" i="202"/>
  <c r="R219" i="202"/>
  <c r="S219" i="202"/>
  <c r="T219" i="202"/>
  <c r="G220" i="202"/>
  <c r="J220" i="202"/>
  <c r="L220" i="202" s="1"/>
  <c r="K220" i="202"/>
  <c r="M220" i="202"/>
  <c r="N220" i="202"/>
  <c r="G221" i="202"/>
  <c r="J221" i="202"/>
  <c r="K221" i="202"/>
  <c r="M221" i="202"/>
  <c r="E224" i="202"/>
  <c r="F224" i="202"/>
  <c r="H224" i="202"/>
  <c r="O224" i="202"/>
  <c r="P224" i="202"/>
  <c r="Q224" i="202"/>
  <c r="R224" i="202"/>
  <c r="S224" i="202"/>
  <c r="T224" i="202"/>
  <c r="G225" i="202"/>
  <c r="J225" i="202"/>
  <c r="L225" i="202" s="1"/>
  <c r="K225" i="202"/>
  <c r="M225" i="202"/>
  <c r="N225" i="202"/>
  <c r="G226" i="202"/>
  <c r="J226" i="202"/>
  <c r="K226" i="202"/>
  <c r="M226" i="202"/>
  <c r="E229" i="202"/>
  <c r="F229" i="202"/>
  <c r="H229" i="202"/>
  <c r="O229" i="202"/>
  <c r="P229" i="202"/>
  <c r="Q229" i="202"/>
  <c r="R229" i="202"/>
  <c r="S229" i="202"/>
  <c r="T229" i="202"/>
  <c r="G230" i="202"/>
  <c r="J230" i="202"/>
  <c r="K230" i="202"/>
  <c r="L230" i="202"/>
  <c r="M230" i="202"/>
  <c r="N230" i="202"/>
  <c r="G231" i="202"/>
  <c r="J231" i="202"/>
  <c r="K231" i="202"/>
  <c r="M231" i="202"/>
  <c r="E234" i="202"/>
  <c r="F234" i="202"/>
  <c r="H234" i="202"/>
  <c r="O234" i="202"/>
  <c r="P234" i="202"/>
  <c r="Q234" i="202"/>
  <c r="R234" i="202"/>
  <c r="S234" i="202"/>
  <c r="T234" i="202"/>
  <c r="G235" i="202"/>
  <c r="J235" i="202"/>
  <c r="K235" i="202"/>
  <c r="L235" i="202"/>
  <c r="M235" i="202"/>
  <c r="N235" i="202"/>
  <c r="G236" i="202"/>
  <c r="J236" i="202"/>
  <c r="K236" i="202"/>
  <c r="M236" i="202"/>
  <c r="E239" i="202"/>
  <c r="F239" i="202"/>
  <c r="H239" i="202"/>
  <c r="O239" i="202"/>
  <c r="P239" i="202"/>
  <c r="Q239" i="202"/>
  <c r="R239" i="202"/>
  <c r="S239" i="202"/>
  <c r="T239" i="202"/>
  <c r="G240" i="202"/>
  <c r="J240" i="202"/>
  <c r="N240" i="202" s="1"/>
  <c r="K240" i="202"/>
  <c r="M240" i="202"/>
  <c r="E243" i="202"/>
  <c r="F243" i="202"/>
  <c r="H243" i="202"/>
  <c r="O243" i="202"/>
  <c r="P243" i="202"/>
  <c r="Q243" i="202"/>
  <c r="R243" i="202"/>
  <c r="S243" i="202"/>
  <c r="T243" i="202"/>
  <c r="G244" i="202"/>
  <c r="J244" i="202"/>
  <c r="K244" i="202"/>
  <c r="M244" i="202"/>
  <c r="G245" i="202"/>
  <c r="J245" i="202"/>
  <c r="K245" i="202"/>
  <c r="L245" i="202"/>
  <c r="M245" i="202"/>
  <c r="N245" i="202"/>
  <c r="G246" i="202"/>
  <c r="J246" i="202"/>
  <c r="K246" i="202"/>
  <c r="L246" i="202" s="1"/>
  <c r="M246" i="202"/>
  <c r="N246" i="202"/>
  <c r="G247" i="202"/>
  <c r="J247" i="202"/>
  <c r="L247" i="202" s="1"/>
  <c r="K247" i="202"/>
  <c r="M247" i="202"/>
  <c r="N247" i="202"/>
  <c r="E250" i="202"/>
  <c r="F250" i="202"/>
  <c r="H250" i="202"/>
  <c r="O250" i="202"/>
  <c r="P250" i="202"/>
  <c r="Q250" i="202"/>
  <c r="R250" i="202"/>
  <c r="S250" i="202"/>
  <c r="T250" i="202"/>
  <c r="G251" i="202"/>
  <c r="J251" i="202"/>
  <c r="K251" i="202"/>
  <c r="M251" i="202"/>
  <c r="G252" i="202"/>
  <c r="J252" i="202"/>
  <c r="K252" i="202"/>
  <c r="L252" i="202" s="1"/>
  <c r="M252" i="202"/>
  <c r="N252" i="202"/>
  <c r="G253" i="202"/>
  <c r="J253" i="202"/>
  <c r="K253" i="202"/>
  <c r="M253" i="202"/>
  <c r="N253" i="202"/>
  <c r="G254" i="202"/>
  <c r="J254" i="202"/>
  <c r="K254" i="202"/>
  <c r="M254" i="202"/>
  <c r="E257" i="202"/>
  <c r="F257" i="202"/>
  <c r="H257" i="202"/>
  <c r="O257" i="202"/>
  <c r="P257" i="202"/>
  <c r="Q257" i="202"/>
  <c r="R257" i="202"/>
  <c r="S257" i="202"/>
  <c r="T257" i="202"/>
  <c r="G258" i="202"/>
  <c r="J258" i="202"/>
  <c r="L258" i="202" s="1"/>
  <c r="K258" i="202"/>
  <c r="M258" i="202"/>
  <c r="N258" i="202"/>
  <c r="G259" i="202"/>
  <c r="J259" i="202"/>
  <c r="K259" i="202"/>
  <c r="M259" i="202"/>
  <c r="G260" i="202"/>
  <c r="J260" i="202"/>
  <c r="K260" i="202"/>
  <c r="M260" i="202"/>
  <c r="E263" i="202"/>
  <c r="F263" i="202"/>
  <c r="H263" i="202"/>
  <c r="O263" i="202"/>
  <c r="P263" i="202"/>
  <c r="Q263" i="202"/>
  <c r="R263" i="202"/>
  <c r="S263" i="202"/>
  <c r="T263" i="202"/>
  <c r="G264" i="202"/>
  <c r="J264" i="202"/>
  <c r="K264" i="202"/>
  <c r="M264" i="202"/>
  <c r="E267" i="202"/>
  <c r="F267" i="202"/>
  <c r="H267" i="202"/>
  <c r="O267" i="202"/>
  <c r="P267" i="202"/>
  <c r="Q267" i="202"/>
  <c r="R267" i="202"/>
  <c r="S267" i="202"/>
  <c r="T267" i="202"/>
  <c r="G268" i="202"/>
  <c r="J268" i="202"/>
  <c r="K268" i="202"/>
  <c r="L268" i="202"/>
  <c r="M268" i="202"/>
  <c r="N268" i="202"/>
  <c r="E271" i="202"/>
  <c r="F271" i="202"/>
  <c r="H271" i="202"/>
  <c r="O271" i="202"/>
  <c r="P271" i="202"/>
  <c r="Q271" i="202"/>
  <c r="R271" i="202"/>
  <c r="S271" i="202"/>
  <c r="T271" i="202"/>
  <c r="G272" i="202"/>
  <c r="J272" i="202"/>
  <c r="N272" i="202" s="1"/>
  <c r="K272" i="202"/>
  <c r="M272" i="202"/>
  <c r="E275" i="202"/>
  <c r="F275" i="202"/>
  <c r="H275" i="202"/>
  <c r="O275" i="202"/>
  <c r="P275" i="202"/>
  <c r="Q275" i="202"/>
  <c r="R275" i="202"/>
  <c r="S275" i="202"/>
  <c r="T275" i="202"/>
  <c r="G276" i="202"/>
  <c r="J276" i="202"/>
  <c r="L276" i="202" s="1"/>
  <c r="K276" i="202"/>
  <c r="M276" i="202"/>
  <c r="E279" i="202"/>
  <c r="F279" i="202"/>
  <c r="H279" i="202"/>
  <c r="O279" i="202"/>
  <c r="P279" i="202"/>
  <c r="Q279" i="202"/>
  <c r="R279" i="202"/>
  <c r="S279" i="202"/>
  <c r="T279" i="202"/>
  <c r="G280" i="202"/>
  <c r="J280" i="202"/>
  <c r="L280" i="202" s="1"/>
  <c r="K280" i="202"/>
  <c r="M280" i="202"/>
  <c r="N280" i="202"/>
  <c r="E283" i="202"/>
  <c r="F283" i="202"/>
  <c r="H283" i="202"/>
  <c r="O283" i="202"/>
  <c r="P283" i="202"/>
  <c r="Q283" i="202"/>
  <c r="R283" i="202"/>
  <c r="S283" i="202"/>
  <c r="T283" i="202"/>
  <c r="G284" i="202"/>
  <c r="J284" i="202"/>
  <c r="N284" i="202" s="1"/>
  <c r="K284" i="202"/>
  <c r="M284" i="202"/>
  <c r="E287" i="202"/>
  <c r="F287" i="202"/>
  <c r="H287" i="202"/>
  <c r="O287" i="202"/>
  <c r="P287" i="202"/>
  <c r="Q287" i="202"/>
  <c r="R287" i="202"/>
  <c r="S287" i="202"/>
  <c r="T287" i="202"/>
  <c r="G288" i="202"/>
  <c r="J288" i="202"/>
  <c r="K288" i="202"/>
  <c r="L288" i="202"/>
  <c r="M288" i="202"/>
  <c r="N288" i="202"/>
  <c r="G289" i="202"/>
  <c r="J289" i="202"/>
  <c r="L289" i="202" s="1"/>
  <c r="K289" i="202"/>
  <c r="M289" i="202"/>
  <c r="N289" i="202"/>
  <c r="E292" i="202"/>
  <c r="F292" i="202"/>
  <c r="H292" i="202"/>
  <c r="O292" i="202"/>
  <c r="P292" i="202"/>
  <c r="Q292" i="202"/>
  <c r="R292" i="202"/>
  <c r="S292" i="202"/>
  <c r="T292" i="202"/>
  <c r="G293" i="202"/>
  <c r="J293" i="202"/>
  <c r="K293" i="202"/>
  <c r="L293" i="202"/>
  <c r="M293" i="202"/>
  <c r="N293" i="202"/>
  <c r="E296" i="202"/>
  <c r="F296" i="202"/>
  <c r="H296" i="202"/>
  <c r="O296" i="202"/>
  <c r="P296" i="202"/>
  <c r="Q296" i="202"/>
  <c r="R296" i="202"/>
  <c r="S296" i="202"/>
  <c r="T296" i="202"/>
  <c r="G297" i="202"/>
  <c r="J297" i="202"/>
  <c r="K297" i="202"/>
  <c r="M297" i="202"/>
  <c r="E300" i="202"/>
  <c r="F300" i="202"/>
  <c r="H300" i="202"/>
  <c r="O300" i="202"/>
  <c r="P300" i="202"/>
  <c r="Q300" i="202"/>
  <c r="R300" i="202"/>
  <c r="S300" i="202"/>
  <c r="T300" i="202"/>
  <c r="G301" i="202"/>
  <c r="J301" i="202"/>
  <c r="L301" i="202" s="1"/>
  <c r="K301" i="202"/>
  <c r="M301" i="202"/>
  <c r="N301" i="202"/>
  <c r="E304" i="202"/>
  <c r="F304" i="202"/>
  <c r="H304" i="202"/>
  <c r="O304" i="202"/>
  <c r="P304" i="202"/>
  <c r="Q304" i="202"/>
  <c r="R304" i="202"/>
  <c r="S304" i="202"/>
  <c r="T304" i="202"/>
  <c r="G305" i="202"/>
  <c r="J305" i="202"/>
  <c r="N305" i="202" s="1"/>
  <c r="K305" i="202"/>
  <c r="M305" i="202"/>
  <c r="E308" i="202"/>
  <c r="F308" i="202"/>
  <c r="H308" i="202"/>
  <c r="O308" i="202"/>
  <c r="P308" i="202"/>
  <c r="Q308" i="202"/>
  <c r="R308" i="202"/>
  <c r="S308" i="202"/>
  <c r="T308" i="202"/>
  <c r="G309" i="202"/>
  <c r="J309" i="202"/>
  <c r="K309" i="202"/>
  <c r="M309" i="202"/>
  <c r="E312" i="202"/>
  <c r="F312" i="202"/>
  <c r="H312" i="202"/>
  <c r="O312" i="202"/>
  <c r="P312" i="202"/>
  <c r="Q312" i="202"/>
  <c r="R312" i="202"/>
  <c r="S312" i="202"/>
  <c r="T312" i="202"/>
  <c r="G313" i="202"/>
  <c r="J313" i="202"/>
  <c r="K313" i="202"/>
  <c r="L313" i="202"/>
  <c r="M313" i="202"/>
  <c r="N313" i="202"/>
  <c r="E316" i="202"/>
  <c r="F316" i="202"/>
  <c r="H316" i="202"/>
  <c r="O316" i="202"/>
  <c r="P316" i="202"/>
  <c r="Q316" i="202"/>
  <c r="R316" i="202"/>
  <c r="S316" i="202"/>
  <c r="T316" i="202"/>
  <c r="G317" i="202"/>
  <c r="J317" i="202"/>
  <c r="K317" i="202"/>
  <c r="M317" i="202"/>
  <c r="E320" i="202"/>
  <c r="F320" i="202"/>
  <c r="H320" i="202"/>
  <c r="O320" i="202"/>
  <c r="P320" i="202"/>
  <c r="Q320" i="202"/>
  <c r="R320" i="202"/>
  <c r="S320" i="202"/>
  <c r="T320" i="202"/>
  <c r="G321" i="202"/>
  <c r="J321" i="202"/>
  <c r="K321" i="202"/>
  <c r="M321" i="202"/>
  <c r="E324" i="202"/>
  <c r="F324" i="202"/>
  <c r="H324" i="202"/>
  <c r="O324" i="202"/>
  <c r="P324" i="202"/>
  <c r="Q324" i="202"/>
  <c r="R324" i="202"/>
  <c r="S324" i="202"/>
  <c r="T324" i="202"/>
  <c r="G325" i="202"/>
  <c r="J325" i="202"/>
  <c r="K325" i="202"/>
  <c r="L325" i="202"/>
  <c r="M325" i="202"/>
  <c r="N325" i="202"/>
  <c r="G326" i="202"/>
  <c r="J326" i="202"/>
  <c r="K326" i="202"/>
  <c r="M326" i="202"/>
  <c r="N326" i="202"/>
  <c r="E329" i="202"/>
  <c r="F329" i="202"/>
  <c r="H329" i="202"/>
  <c r="O329" i="202"/>
  <c r="P329" i="202"/>
  <c r="Q329" i="202"/>
  <c r="R329" i="202"/>
  <c r="S329" i="202"/>
  <c r="T329" i="202"/>
  <c r="G330" i="202"/>
  <c r="J330" i="202"/>
  <c r="K330" i="202"/>
  <c r="M330" i="202"/>
  <c r="G331" i="202"/>
  <c r="J331" i="202"/>
  <c r="K331" i="202"/>
  <c r="L331" i="202" s="1"/>
  <c r="M331" i="202"/>
  <c r="N331" i="202"/>
  <c r="E334" i="202"/>
  <c r="F334" i="202"/>
  <c r="H334" i="202"/>
  <c r="O334" i="202"/>
  <c r="P334" i="202"/>
  <c r="Q334" i="202"/>
  <c r="R334" i="202"/>
  <c r="S334" i="202"/>
  <c r="T334" i="202"/>
  <c r="G335" i="202"/>
  <c r="J335" i="202"/>
  <c r="N335" i="202" s="1"/>
  <c r="K335" i="202"/>
  <c r="L335" i="202"/>
  <c r="M335" i="202"/>
  <c r="E338" i="202"/>
  <c r="F338" i="202"/>
  <c r="H338" i="202"/>
  <c r="O338" i="202"/>
  <c r="P338" i="202"/>
  <c r="Q338" i="202"/>
  <c r="R338" i="202"/>
  <c r="S338" i="202"/>
  <c r="T338" i="202"/>
  <c r="G339" i="202"/>
  <c r="J339" i="202"/>
  <c r="L339" i="202" s="1"/>
  <c r="K339" i="202"/>
  <c r="M339" i="202"/>
  <c r="N339" i="202"/>
  <c r="G340" i="202"/>
  <c r="J340" i="202"/>
  <c r="N340" i="202" s="1"/>
  <c r="K340" i="202"/>
  <c r="L340" i="202"/>
  <c r="M340" i="202"/>
  <c r="E343" i="202"/>
  <c r="F343" i="202"/>
  <c r="H343" i="202"/>
  <c r="O343" i="202"/>
  <c r="P343" i="202"/>
  <c r="Q343" i="202"/>
  <c r="R343" i="202"/>
  <c r="S343" i="202"/>
  <c r="T343" i="202"/>
  <c r="G344" i="202"/>
  <c r="J344" i="202"/>
  <c r="L344" i="202" s="1"/>
  <c r="K344" i="202"/>
  <c r="M344" i="202"/>
  <c r="E347" i="202"/>
  <c r="F347" i="202"/>
  <c r="H347" i="202"/>
  <c r="O347" i="202"/>
  <c r="P347" i="202"/>
  <c r="Q347" i="202"/>
  <c r="R347" i="202"/>
  <c r="S347" i="202"/>
  <c r="T347" i="202"/>
  <c r="G348" i="202"/>
  <c r="J348" i="202"/>
  <c r="N348" i="202" s="1"/>
  <c r="K348" i="202"/>
  <c r="L348" i="202"/>
  <c r="M348" i="202"/>
  <c r="G349" i="202"/>
  <c r="J349" i="202"/>
  <c r="K349" i="202"/>
  <c r="L349" i="202"/>
  <c r="M349" i="202"/>
  <c r="N349" i="202"/>
  <c r="E352" i="202"/>
  <c r="F352" i="202"/>
  <c r="H352" i="202"/>
  <c r="O352" i="202"/>
  <c r="P352" i="202"/>
  <c r="Q352" i="202"/>
  <c r="R352" i="202"/>
  <c r="S352" i="202"/>
  <c r="T352" i="202"/>
  <c r="G353" i="202"/>
  <c r="J353" i="202"/>
  <c r="L353" i="202" s="1"/>
  <c r="K353" i="202"/>
  <c r="M353" i="202"/>
  <c r="G354" i="202"/>
  <c r="J354" i="202"/>
  <c r="K354" i="202"/>
  <c r="L354" i="202"/>
  <c r="M354" i="202"/>
  <c r="N354" i="202"/>
  <c r="E357" i="202"/>
  <c r="F357" i="202"/>
  <c r="H357" i="202"/>
  <c r="O357" i="202"/>
  <c r="P357" i="202"/>
  <c r="Q357" i="202"/>
  <c r="R357" i="202"/>
  <c r="S357" i="202"/>
  <c r="T357" i="202"/>
  <c r="G358" i="202"/>
  <c r="J358" i="202"/>
  <c r="K358" i="202"/>
  <c r="M358" i="202"/>
  <c r="G359" i="202"/>
  <c r="J359" i="202"/>
  <c r="K359" i="202"/>
  <c r="L359" i="202"/>
  <c r="M359" i="202"/>
  <c r="N359" i="202"/>
  <c r="G360" i="202"/>
  <c r="J360" i="202"/>
  <c r="K360" i="202"/>
  <c r="L360" i="202" s="1"/>
  <c r="M360" i="202"/>
  <c r="N360" i="202"/>
  <c r="G361" i="202"/>
  <c r="J361" i="202"/>
  <c r="L361" i="202" s="1"/>
  <c r="K361" i="202"/>
  <c r="M361" i="202"/>
  <c r="N361" i="202"/>
  <c r="G362" i="202"/>
  <c r="J362" i="202"/>
  <c r="N362" i="202" s="1"/>
  <c r="K362" i="202"/>
  <c r="L362" i="202"/>
  <c r="M362" i="202"/>
  <c r="G363" i="202"/>
  <c r="J363" i="202"/>
  <c r="K363" i="202"/>
  <c r="M363" i="202"/>
  <c r="N363" i="202"/>
  <c r="E366" i="202"/>
  <c r="F366" i="202"/>
  <c r="H366" i="202"/>
  <c r="O366" i="202"/>
  <c r="P366" i="202"/>
  <c r="Q366" i="202"/>
  <c r="R366" i="202"/>
  <c r="S366" i="202"/>
  <c r="T366" i="202"/>
  <c r="G367" i="202"/>
  <c r="J367" i="202"/>
  <c r="N367" i="202" s="1"/>
  <c r="K367" i="202"/>
  <c r="L367" i="202"/>
  <c r="M367" i="202"/>
  <c r="G368" i="202"/>
  <c r="J368" i="202"/>
  <c r="N368" i="202" s="1"/>
  <c r="K368" i="202"/>
  <c r="L368" i="202"/>
  <c r="M368" i="202"/>
  <c r="E371" i="202"/>
  <c r="F371" i="202"/>
  <c r="H371" i="202"/>
  <c r="O371" i="202"/>
  <c r="P371" i="202"/>
  <c r="Q371" i="202"/>
  <c r="R371" i="202"/>
  <c r="S371" i="202"/>
  <c r="T371" i="202"/>
  <c r="G372" i="202"/>
  <c r="J372" i="202"/>
  <c r="L372" i="202" s="1"/>
  <c r="K372" i="202"/>
  <c r="M372" i="202"/>
  <c r="N372" i="202"/>
  <c r="G373" i="202"/>
  <c r="J373" i="202"/>
  <c r="K373" i="202"/>
  <c r="M373" i="202"/>
  <c r="G374" i="202"/>
  <c r="J374" i="202"/>
  <c r="L374" i="202" s="1"/>
  <c r="K374" i="202"/>
  <c r="M374" i="202"/>
  <c r="E377" i="202"/>
  <c r="F377" i="202"/>
  <c r="H377" i="202"/>
  <c r="O377" i="202"/>
  <c r="P377" i="202"/>
  <c r="Q377" i="202"/>
  <c r="R377" i="202"/>
  <c r="S377" i="202"/>
  <c r="T377" i="202"/>
  <c r="G378" i="202"/>
  <c r="J378" i="202"/>
  <c r="N378" i="202" s="1"/>
  <c r="K378" i="202"/>
  <c r="M378" i="202"/>
  <c r="G379" i="202"/>
  <c r="J379" i="202"/>
  <c r="L379" i="202" s="1"/>
  <c r="K379" i="202"/>
  <c r="M379" i="202"/>
  <c r="N379" i="202"/>
  <c r="G380" i="202"/>
  <c r="J380" i="202"/>
  <c r="K380" i="202"/>
  <c r="L380" i="202"/>
  <c r="M380" i="202"/>
  <c r="N380" i="202"/>
  <c r="G381" i="202"/>
  <c r="J381" i="202"/>
  <c r="N381" i="202" s="1"/>
  <c r="K381" i="202"/>
  <c r="M381" i="202"/>
  <c r="G382" i="202"/>
  <c r="J382" i="202"/>
  <c r="N382" i="202" s="1"/>
  <c r="K382" i="202"/>
  <c r="L382" i="202"/>
  <c r="M382" i="202"/>
  <c r="G383" i="202"/>
  <c r="J383" i="202"/>
  <c r="K383" i="202"/>
  <c r="L383" i="202"/>
  <c r="M383" i="202"/>
  <c r="N383" i="202"/>
  <c r="E386" i="202"/>
  <c r="F386" i="202"/>
  <c r="H386" i="202"/>
  <c r="O386" i="202"/>
  <c r="P386" i="202"/>
  <c r="Q386" i="202"/>
  <c r="R386" i="202"/>
  <c r="S386" i="202"/>
  <c r="T386" i="202"/>
  <c r="G387" i="202"/>
  <c r="J387" i="202"/>
  <c r="L387" i="202" s="1"/>
  <c r="K387" i="202"/>
  <c r="M387" i="202"/>
  <c r="N387" i="202"/>
  <c r="G388" i="202"/>
  <c r="J388" i="202"/>
  <c r="N388" i="202" s="1"/>
  <c r="K388" i="202"/>
  <c r="L388" i="202"/>
  <c r="M388" i="202"/>
  <c r="G389" i="202"/>
  <c r="J389" i="202"/>
  <c r="K389" i="202"/>
  <c r="M389" i="202"/>
  <c r="G390" i="202"/>
  <c r="J390" i="202"/>
  <c r="K390" i="202"/>
  <c r="L390" i="202"/>
  <c r="M390" i="202"/>
  <c r="N390" i="202"/>
  <c r="G391" i="202"/>
  <c r="J391" i="202"/>
  <c r="K391" i="202"/>
  <c r="M391" i="202"/>
  <c r="E394" i="202"/>
  <c r="F394" i="202"/>
  <c r="H394" i="202"/>
  <c r="O394" i="202"/>
  <c r="P394" i="202"/>
  <c r="Q394" i="202"/>
  <c r="R394" i="202"/>
  <c r="S394" i="202"/>
  <c r="T394" i="202"/>
  <c r="G395" i="202"/>
  <c r="J395" i="202"/>
  <c r="K395" i="202"/>
  <c r="L395" i="202"/>
  <c r="M395" i="202"/>
  <c r="N395" i="202"/>
  <c r="E398" i="202"/>
  <c r="F398" i="202"/>
  <c r="H398" i="202"/>
  <c r="O398" i="202"/>
  <c r="P398" i="202"/>
  <c r="Q398" i="202"/>
  <c r="R398" i="202"/>
  <c r="S398" i="202"/>
  <c r="T398" i="202"/>
  <c r="G399" i="202"/>
  <c r="J399" i="202"/>
  <c r="K399" i="202"/>
  <c r="M399" i="202"/>
  <c r="G400" i="202"/>
  <c r="J400" i="202"/>
  <c r="N400" i="202" s="1"/>
  <c r="K400" i="202"/>
  <c r="L400" i="202"/>
  <c r="M400" i="202"/>
  <c r="E403" i="202"/>
  <c r="F403" i="202"/>
  <c r="H403" i="202"/>
  <c r="O403" i="202"/>
  <c r="P403" i="202"/>
  <c r="Q403" i="202"/>
  <c r="R403" i="202"/>
  <c r="S403" i="202"/>
  <c r="T403" i="202"/>
  <c r="G404" i="202"/>
  <c r="J404" i="202"/>
  <c r="K404" i="202"/>
  <c r="M404" i="202"/>
  <c r="E407" i="202"/>
  <c r="F407" i="202"/>
  <c r="H407" i="202"/>
  <c r="O407" i="202"/>
  <c r="P407" i="202"/>
  <c r="Q407" i="202"/>
  <c r="R407" i="202"/>
  <c r="S407" i="202"/>
  <c r="T407" i="202"/>
  <c r="G408" i="202"/>
  <c r="J408" i="202"/>
  <c r="K408" i="202"/>
  <c r="L408" i="202"/>
  <c r="M408" i="202"/>
  <c r="N408" i="202"/>
  <c r="E411" i="202"/>
  <c r="F411" i="202"/>
  <c r="H411" i="202"/>
  <c r="O411" i="202"/>
  <c r="P411" i="202"/>
  <c r="Q411" i="202"/>
  <c r="R411" i="202"/>
  <c r="S411" i="202"/>
  <c r="T411" i="202"/>
  <c r="G412" i="202"/>
  <c r="J412" i="202"/>
  <c r="K412" i="202"/>
  <c r="L412" i="202"/>
  <c r="M412" i="202"/>
  <c r="N412" i="202"/>
  <c r="E415" i="202"/>
  <c r="F415" i="202"/>
  <c r="H415" i="202"/>
  <c r="O415" i="202"/>
  <c r="P415" i="202"/>
  <c r="Q415" i="202"/>
  <c r="R415" i="202"/>
  <c r="S415" i="202"/>
  <c r="T415" i="202"/>
  <c r="G416" i="202"/>
  <c r="J416" i="202"/>
  <c r="K416" i="202"/>
  <c r="M416" i="202"/>
  <c r="E419" i="202"/>
  <c r="F419" i="202"/>
  <c r="H419" i="202"/>
  <c r="O419" i="202"/>
  <c r="P419" i="202"/>
  <c r="Q419" i="202"/>
  <c r="R419" i="202"/>
  <c r="S419" i="202"/>
  <c r="T419" i="202"/>
  <c r="G420" i="202"/>
  <c r="J420" i="202"/>
  <c r="K420" i="202"/>
  <c r="L420" i="202"/>
  <c r="M420" i="202"/>
  <c r="N420" i="202"/>
  <c r="E423" i="202"/>
  <c r="F423" i="202"/>
  <c r="H423" i="202"/>
  <c r="O423" i="202"/>
  <c r="P423" i="202"/>
  <c r="Q423" i="202"/>
  <c r="R423" i="202"/>
  <c r="S423" i="202"/>
  <c r="T423" i="202"/>
  <c r="G424" i="202"/>
  <c r="J424" i="202"/>
  <c r="K424" i="202"/>
  <c r="M424" i="202"/>
  <c r="E427" i="202"/>
  <c r="F427" i="202"/>
  <c r="H427" i="202"/>
  <c r="O427" i="202"/>
  <c r="P427" i="202"/>
  <c r="Q427" i="202"/>
  <c r="R427" i="202"/>
  <c r="S427" i="202"/>
  <c r="T427" i="202"/>
  <c r="G428" i="202"/>
  <c r="J428" i="202"/>
  <c r="K428" i="202"/>
  <c r="M428" i="202"/>
  <c r="E431" i="202"/>
  <c r="F431" i="202"/>
  <c r="H431" i="202"/>
  <c r="O431" i="202"/>
  <c r="P431" i="202"/>
  <c r="Q431" i="202"/>
  <c r="R431" i="202"/>
  <c r="S431" i="202"/>
  <c r="T431" i="202"/>
  <c r="G432" i="202"/>
  <c r="J432" i="202"/>
  <c r="K432" i="202"/>
  <c r="L432" i="202"/>
  <c r="M432" i="202"/>
  <c r="N432" i="202"/>
  <c r="G433" i="202"/>
  <c r="J433" i="202"/>
  <c r="K433" i="202"/>
  <c r="L433" i="202" s="1"/>
  <c r="M433" i="202"/>
  <c r="N433" i="202"/>
  <c r="E436" i="202"/>
  <c r="F436" i="202"/>
  <c r="H436" i="202"/>
  <c r="O436" i="202"/>
  <c r="P436" i="202"/>
  <c r="Q436" i="202"/>
  <c r="R436" i="202"/>
  <c r="S436" i="202"/>
  <c r="T436" i="202"/>
  <c r="G437" i="202"/>
  <c r="J437" i="202"/>
  <c r="K437" i="202"/>
  <c r="L437" i="202"/>
  <c r="M437" i="202"/>
  <c r="N437" i="202"/>
  <c r="E440" i="202"/>
  <c r="F440" i="202"/>
  <c r="H440" i="202"/>
  <c r="O440" i="202"/>
  <c r="P440" i="202"/>
  <c r="Q440" i="202"/>
  <c r="R440" i="202"/>
  <c r="S440" i="202"/>
  <c r="T440" i="202"/>
  <c r="G441" i="202"/>
  <c r="J441" i="202"/>
  <c r="K441" i="202"/>
  <c r="M441" i="202"/>
  <c r="G442" i="202"/>
  <c r="J442" i="202"/>
  <c r="N442" i="202" s="1"/>
  <c r="K442" i="202"/>
  <c r="L442" i="202"/>
  <c r="M442" i="202"/>
  <c r="E445" i="202"/>
  <c r="F445" i="202"/>
  <c r="H445" i="202"/>
  <c r="O445" i="202"/>
  <c r="P445" i="202"/>
  <c r="Q445" i="202"/>
  <c r="R445" i="202"/>
  <c r="S445" i="202"/>
  <c r="T445" i="202"/>
  <c r="G446" i="202"/>
  <c r="J446" i="202"/>
  <c r="L446" i="202" s="1"/>
  <c r="K446" i="202"/>
  <c r="M446" i="202"/>
  <c r="N446" i="202"/>
  <c r="E449" i="202"/>
  <c r="F449" i="202"/>
  <c r="H449" i="202"/>
  <c r="O449" i="202"/>
  <c r="P449" i="202"/>
  <c r="Q449" i="202"/>
  <c r="R449" i="202"/>
  <c r="S449" i="202"/>
  <c r="T449" i="202"/>
  <c r="G450" i="202"/>
  <c r="J450" i="202"/>
  <c r="K450" i="202"/>
  <c r="L450" i="202"/>
  <c r="M450" i="202"/>
  <c r="N450" i="202"/>
  <c r="E453" i="202"/>
  <c r="F453" i="202"/>
  <c r="H453" i="202"/>
  <c r="O453" i="202"/>
  <c r="P453" i="202"/>
  <c r="Q453" i="202"/>
  <c r="R453" i="202"/>
  <c r="S453" i="202"/>
  <c r="T453" i="202"/>
  <c r="G454" i="202"/>
  <c r="J454" i="202"/>
  <c r="K454" i="202"/>
  <c r="M454" i="202"/>
  <c r="E457" i="202"/>
  <c r="F457" i="202"/>
  <c r="H457" i="202"/>
  <c r="O457" i="202"/>
  <c r="P457" i="202"/>
  <c r="Q457" i="202"/>
  <c r="R457" i="202"/>
  <c r="S457" i="202"/>
  <c r="T457" i="202"/>
  <c r="G458" i="202"/>
  <c r="J458" i="202"/>
  <c r="K458" i="202"/>
  <c r="L458" i="202"/>
  <c r="M458" i="202"/>
  <c r="N458" i="202"/>
  <c r="E461" i="202"/>
  <c r="F461" i="202"/>
  <c r="H461" i="202"/>
  <c r="O461" i="202"/>
  <c r="P461" i="202"/>
  <c r="Q461" i="202"/>
  <c r="R461" i="202"/>
  <c r="S461" i="202"/>
  <c r="T461" i="202"/>
  <c r="G462" i="202"/>
  <c r="J462" i="202"/>
  <c r="N462" i="202" s="1"/>
  <c r="K462" i="202"/>
  <c r="L462" i="202"/>
  <c r="M462" i="202"/>
  <c r="E465" i="202"/>
  <c r="F465" i="202"/>
  <c r="H465" i="202"/>
  <c r="O465" i="202"/>
  <c r="P465" i="202"/>
  <c r="Q465" i="202"/>
  <c r="R465" i="202"/>
  <c r="S465" i="202"/>
  <c r="T465" i="202"/>
  <c r="G466" i="202"/>
  <c r="J466" i="202"/>
  <c r="L466" i="202" s="1"/>
  <c r="K466" i="202"/>
  <c r="M466" i="202"/>
  <c r="N466" i="202"/>
  <c r="E469" i="202"/>
  <c r="F469" i="202"/>
  <c r="H469" i="202"/>
  <c r="O469" i="202"/>
  <c r="P469" i="202"/>
  <c r="Q469" i="202"/>
  <c r="R469" i="202"/>
  <c r="S469" i="202"/>
  <c r="T469" i="202"/>
  <c r="G470" i="202"/>
  <c r="J470" i="202"/>
  <c r="K470" i="202"/>
  <c r="L470" i="202"/>
  <c r="M470" i="202"/>
  <c r="N470" i="202"/>
  <c r="E473" i="202"/>
  <c r="F473" i="202"/>
  <c r="H473" i="202"/>
  <c r="O473" i="202"/>
  <c r="P473" i="202"/>
  <c r="Q473" i="202"/>
  <c r="R473" i="202"/>
  <c r="S473" i="202"/>
  <c r="T473" i="202"/>
  <c r="G474" i="202"/>
  <c r="J474" i="202"/>
  <c r="N474" i="202" s="1"/>
  <c r="K474" i="202"/>
  <c r="L474" i="202"/>
  <c r="M474" i="202"/>
  <c r="E477" i="202"/>
  <c r="F477" i="202"/>
  <c r="H477" i="202"/>
  <c r="O477" i="202"/>
  <c r="P477" i="202"/>
  <c r="Q477" i="202"/>
  <c r="R477" i="202"/>
  <c r="S477" i="202"/>
  <c r="T477" i="202"/>
  <c r="G478" i="202"/>
  <c r="J478" i="202"/>
  <c r="K478" i="202"/>
  <c r="M478" i="202"/>
  <c r="E481" i="202"/>
  <c r="F481" i="202"/>
  <c r="H481" i="202"/>
  <c r="O481" i="202"/>
  <c r="P481" i="202"/>
  <c r="Q481" i="202"/>
  <c r="R481" i="202"/>
  <c r="S481" i="202"/>
  <c r="T481" i="202"/>
  <c r="G482" i="202"/>
  <c r="J482" i="202"/>
  <c r="N482" i="202" s="1"/>
  <c r="K482" i="202"/>
  <c r="L482" i="202"/>
  <c r="M482" i="202"/>
  <c r="E485" i="202"/>
  <c r="F485" i="202"/>
  <c r="H485" i="202"/>
  <c r="O485" i="202"/>
  <c r="P485" i="202"/>
  <c r="Q485" i="202"/>
  <c r="R485" i="202"/>
  <c r="S485" i="202"/>
  <c r="T485" i="202"/>
  <c r="G486" i="202"/>
  <c r="J486" i="202"/>
  <c r="N486" i="202" s="1"/>
  <c r="K486" i="202"/>
  <c r="L486" i="202"/>
  <c r="M486" i="202"/>
  <c r="E489" i="202"/>
  <c r="F489" i="202"/>
  <c r="H489" i="202"/>
  <c r="O489" i="202"/>
  <c r="P489" i="202"/>
  <c r="Q489" i="202"/>
  <c r="R489" i="202"/>
  <c r="S489" i="202"/>
  <c r="T489" i="202"/>
  <c r="G490" i="202"/>
  <c r="J490" i="202"/>
  <c r="K490" i="202"/>
  <c r="L490" i="202"/>
  <c r="M490" i="202"/>
  <c r="N490" i="202"/>
  <c r="G491" i="202"/>
  <c r="J491" i="202"/>
  <c r="K491" i="202"/>
  <c r="M491" i="202"/>
  <c r="E494" i="202"/>
  <c r="F494" i="202"/>
  <c r="H494" i="202"/>
  <c r="O494" i="202"/>
  <c r="P494" i="202"/>
  <c r="Q494" i="202"/>
  <c r="R494" i="202"/>
  <c r="S494" i="202"/>
  <c r="T494" i="202"/>
  <c r="G495" i="202"/>
  <c r="J495" i="202"/>
  <c r="K495" i="202"/>
  <c r="L495" i="202"/>
  <c r="M495" i="202"/>
  <c r="N495" i="202"/>
  <c r="G496" i="202"/>
  <c r="J496" i="202"/>
  <c r="K496" i="202"/>
  <c r="M496" i="202"/>
  <c r="N496" i="202"/>
  <c r="E499" i="202"/>
  <c r="F499" i="202"/>
  <c r="H499" i="202"/>
  <c r="O499" i="202"/>
  <c r="P499" i="202"/>
  <c r="Q499" i="202"/>
  <c r="R499" i="202"/>
  <c r="S499" i="202"/>
  <c r="T499" i="202"/>
  <c r="G500" i="202"/>
  <c r="J500" i="202"/>
  <c r="K500" i="202"/>
  <c r="M500" i="202"/>
  <c r="E503" i="202"/>
  <c r="F503" i="202"/>
  <c r="H503" i="202"/>
  <c r="O503" i="202"/>
  <c r="P503" i="202"/>
  <c r="Q503" i="202"/>
  <c r="R503" i="202"/>
  <c r="S503" i="202"/>
  <c r="T503" i="202"/>
  <c r="G504" i="202"/>
  <c r="J504" i="202"/>
  <c r="N504" i="202" s="1"/>
  <c r="K504" i="202"/>
  <c r="L504" i="202"/>
  <c r="M504" i="202"/>
  <c r="G505" i="202"/>
  <c r="J505" i="202"/>
  <c r="K505" i="202"/>
  <c r="L505" i="202"/>
  <c r="M505" i="202"/>
  <c r="N505" i="202"/>
  <c r="E508" i="202"/>
  <c r="F508" i="202"/>
  <c r="H508" i="202"/>
  <c r="O508" i="202"/>
  <c r="P508" i="202"/>
  <c r="Q508" i="202"/>
  <c r="R508" i="202"/>
  <c r="S508" i="202"/>
  <c r="T508" i="202"/>
  <c r="G509" i="202"/>
  <c r="J509" i="202"/>
  <c r="L509" i="202" s="1"/>
  <c r="K509" i="202"/>
  <c r="M509" i="202"/>
  <c r="G510" i="202"/>
  <c r="J510" i="202"/>
  <c r="K510" i="202"/>
  <c r="M510" i="202"/>
  <c r="E513" i="202"/>
  <c r="F513" i="202"/>
  <c r="H513" i="202"/>
  <c r="O513" i="202"/>
  <c r="P513" i="202"/>
  <c r="Q513" i="202"/>
  <c r="R513" i="202"/>
  <c r="S513" i="202"/>
  <c r="T513" i="202"/>
  <c r="G514" i="202"/>
  <c r="J514" i="202"/>
  <c r="L514" i="202" s="1"/>
  <c r="K514" i="202"/>
  <c r="M514" i="202"/>
  <c r="E517" i="202"/>
  <c r="F517" i="202"/>
  <c r="H517" i="202"/>
  <c r="O517" i="202"/>
  <c r="P517" i="202"/>
  <c r="Q517" i="202"/>
  <c r="R517" i="202"/>
  <c r="S517" i="202"/>
  <c r="T517" i="202"/>
  <c r="G518" i="202"/>
  <c r="J518" i="202"/>
  <c r="N518" i="202" s="1"/>
  <c r="K518" i="202"/>
  <c r="L518" i="202"/>
  <c r="M518" i="202"/>
  <c r="E521" i="202"/>
  <c r="F521" i="202"/>
  <c r="H521" i="202"/>
  <c r="O521" i="202"/>
  <c r="P521" i="202"/>
  <c r="Q521" i="202"/>
  <c r="R521" i="202"/>
  <c r="S521" i="202"/>
  <c r="T521" i="202"/>
  <c r="G522" i="202"/>
  <c r="J522" i="202"/>
  <c r="K522" i="202"/>
  <c r="M522" i="202"/>
  <c r="G523" i="202"/>
  <c r="J523" i="202"/>
  <c r="L523" i="202" s="1"/>
  <c r="K523" i="202"/>
  <c r="M523" i="202"/>
  <c r="N523" i="202"/>
  <c r="E526" i="202"/>
  <c r="F526" i="202"/>
  <c r="H526" i="202"/>
  <c r="O526" i="202"/>
  <c r="P526" i="202"/>
  <c r="Q526" i="202"/>
  <c r="R526" i="202"/>
  <c r="S526" i="202"/>
  <c r="T526" i="202"/>
  <c r="G527" i="202"/>
  <c r="J527" i="202"/>
  <c r="L527" i="202" s="1"/>
  <c r="K527" i="202"/>
  <c r="M527" i="202"/>
  <c r="E530" i="202"/>
  <c r="F530" i="202"/>
  <c r="H530" i="202"/>
  <c r="O530" i="202"/>
  <c r="P530" i="202"/>
  <c r="Q530" i="202"/>
  <c r="R530" i="202"/>
  <c r="S530" i="202"/>
  <c r="T530" i="202"/>
  <c r="G531" i="202"/>
  <c r="J531" i="202"/>
  <c r="K531" i="202"/>
  <c r="L531" i="202"/>
  <c r="M531" i="202"/>
  <c r="N531" i="202"/>
  <c r="G532" i="202"/>
  <c r="J532" i="202"/>
  <c r="K532" i="202"/>
  <c r="M532" i="202"/>
  <c r="N532" i="202"/>
  <c r="E535" i="202"/>
  <c r="F535" i="202"/>
  <c r="H535" i="202"/>
  <c r="O535" i="202"/>
  <c r="P535" i="202"/>
  <c r="Q535" i="202"/>
  <c r="R535" i="202"/>
  <c r="S535" i="202"/>
  <c r="T535" i="202"/>
  <c r="G536" i="202"/>
  <c r="J536" i="202"/>
  <c r="K536" i="202"/>
  <c r="M536" i="202"/>
  <c r="E539" i="202"/>
  <c r="F539" i="202"/>
  <c r="H539" i="202"/>
  <c r="O539" i="202"/>
  <c r="P539" i="202"/>
  <c r="Q539" i="202"/>
  <c r="R539" i="202"/>
  <c r="S539" i="202"/>
  <c r="T539" i="202"/>
  <c r="G540" i="202"/>
  <c r="J540" i="202"/>
  <c r="K540" i="202"/>
  <c r="M540" i="202"/>
  <c r="G541" i="202"/>
  <c r="J541" i="202"/>
  <c r="K541" i="202"/>
  <c r="M541" i="202"/>
  <c r="E544" i="202"/>
  <c r="F544" i="202"/>
  <c r="H544" i="202"/>
  <c r="O544" i="202"/>
  <c r="P544" i="202"/>
  <c r="Q544" i="202"/>
  <c r="R544" i="202"/>
  <c r="S544" i="202"/>
  <c r="T544" i="202"/>
  <c r="G545" i="202"/>
  <c r="J545" i="202"/>
  <c r="K545" i="202"/>
  <c r="M545" i="202"/>
  <c r="G546" i="202"/>
  <c r="J546" i="202"/>
  <c r="N546" i="202" s="1"/>
  <c r="K546" i="202"/>
  <c r="M546" i="202"/>
  <c r="E549" i="202"/>
  <c r="F549" i="202"/>
  <c r="H549" i="202"/>
  <c r="O549" i="202"/>
  <c r="P549" i="202"/>
  <c r="Q549" i="202"/>
  <c r="R549" i="202"/>
  <c r="S549" i="202"/>
  <c r="T549" i="202"/>
  <c r="G550" i="202"/>
  <c r="J550" i="202"/>
  <c r="L550" i="202" s="1"/>
  <c r="K550" i="202"/>
  <c r="M550" i="202"/>
  <c r="G551" i="202"/>
  <c r="J551" i="202"/>
  <c r="N551" i="202" s="1"/>
  <c r="K551" i="202"/>
  <c r="L551" i="202"/>
  <c r="M551" i="202"/>
  <c r="G552" i="202"/>
  <c r="J552" i="202"/>
  <c r="K552" i="202"/>
  <c r="M552" i="202"/>
  <c r="E555" i="202"/>
  <c r="F555" i="202"/>
  <c r="H555" i="202"/>
  <c r="O555" i="202"/>
  <c r="P555" i="202"/>
  <c r="Q555" i="202"/>
  <c r="R555" i="202"/>
  <c r="S555" i="202"/>
  <c r="T555" i="202"/>
  <c r="G556" i="202"/>
  <c r="J556" i="202"/>
  <c r="K556" i="202"/>
  <c r="M556" i="202"/>
  <c r="E559" i="202"/>
  <c r="F559" i="202"/>
  <c r="H559" i="202"/>
  <c r="O559" i="202"/>
  <c r="P559" i="202"/>
  <c r="Q559" i="202"/>
  <c r="R559" i="202"/>
  <c r="S559" i="202"/>
  <c r="T559" i="202"/>
  <c r="G560" i="202"/>
  <c r="J560" i="202"/>
  <c r="K560" i="202"/>
  <c r="L560" i="202"/>
  <c r="M560" i="202"/>
  <c r="N560" i="202"/>
  <c r="G561" i="202"/>
  <c r="J561" i="202"/>
  <c r="K561" i="202"/>
  <c r="M561" i="202"/>
  <c r="G562" i="202"/>
  <c r="J562" i="202"/>
  <c r="K562" i="202"/>
  <c r="M562" i="202"/>
  <c r="E565" i="202"/>
  <c r="F565" i="202"/>
  <c r="H565" i="202"/>
  <c r="O565" i="202"/>
  <c r="P565" i="202"/>
  <c r="Q565" i="202"/>
  <c r="R565" i="202"/>
  <c r="S565" i="202"/>
  <c r="T565" i="202"/>
  <c r="G566" i="202"/>
  <c r="J566" i="202"/>
  <c r="K566" i="202"/>
  <c r="L566" i="202"/>
  <c r="M566" i="202"/>
  <c r="N566" i="202"/>
  <c r="G567" i="202"/>
  <c r="J567" i="202"/>
  <c r="N567" i="202" s="1"/>
  <c r="K567" i="202"/>
  <c r="M567" i="202"/>
  <c r="G568" i="202"/>
  <c r="J568" i="202"/>
  <c r="N568" i="202" s="1"/>
  <c r="K568" i="202"/>
  <c r="L568" i="202"/>
  <c r="M568" i="202"/>
  <c r="E571" i="202"/>
  <c r="F571" i="202"/>
  <c r="H571" i="202"/>
  <c r="O571" i="202"/>
  <c r="P571" i="202"/>
  <c r="Q571" i="202"/>
  <c r="R571" i="202"/>
  <c r="S571" i="202"/>
  <c r="T571" i="202"/>
  <c r="G572" i="202"/>
  <c r="J572" i="202"/>
  <c r="L572" i="202" s="1"/>
  <c r="K572" i="202"/>
  <c r="M572" i="202"/>
  <c r="G573" i="202"/>
  <c r="J573" i="202"/>
  <c r="K573" i="202"/>
  <c r="M573" i="202"/>
  <c r="E576" i="202"/>
  <c r="F576" i="202"/>
  <c r="H576" i="202"/>
  <c r="O576" i="202"/>
  <c r="P576" i="202"/>
  <c r="Q576" i="202"/>
  <c r="R576" i="202"/>
  <c r="S576" i="202"/>
  <c r="T576" i="202"/>
  <c r="G577" i="202"/>
  <c r="J577" i="202"/>
  <c r="K577" i="202"/>
  <c r="L577" i="202"/>
  <c r="M577" i="202"/>
  <c r="N577" i="202"/>
  <c r="E580" i="202"/>
  <c r="F580" i="202"/>
  <c r="H580" i="202"/>
  <c r="O580" i="202"/>
  <c r="P580" i="202"/>
  <c r="Q580" i="202"/>
  <c r="R580" i="202"/>
  <c r="S580" i="202"/>
  <c r="T580" i="202"/>
  <c r="G581" i="202"/>
  <c r="J581" i="202"/>
  <c r="K581" i="202"/>
  <c r="L581" i="202"/>
  <c r="M581" i="202"/>
  <c r="N581" i="202"/>
  <c r="E584" i="202"/>
  <c r="F584" i="202"/>
  <c r="H584" i="202"/>
  <c r="O584" i="202"/>
  <c r="P584" i="202"/>
  <c r="Q584" i="202"/>
  <c r="R584" i="202"/>
  <c r="S584" i="202"/>
  <c r="T584" i="202"/>
  <c r="G585" i="202"/>
  <c r="J585" i="202"/>
  <c r="L585" i="202" s="1"/>
  <c r="K585" i="202"/>
  <c r="M585" i="202"/>
  <c r="E588" i="202"/>
  <c r="F588" i="202"/>
  <c r="H588" i="202"/>
  <c r="O588" i="202"/>
  <c r="P588" i="202"/>
  <c r="Q588" i="202"/>
  <c r="R588" i="202"/>
  <c r="S588" i="202"/>
  <c r="T588" i="202"/>
  <c r="G589" i="202"/>
  <c r="J589" i="202"/>
  <c r="K589" i="202"/>
  <c r="L589" i="202"/>
  <c r="M589" i="202"/>
  <c r="N589" i="202"/>
  <c r="E592" i="202"/>
  <c r="F592" i="202"/>
  <c r="H592" i="202"/>
  <c r="O592" i="202"/>
  <c r="P592" i="202"/>
  <c r="Q592" i="202"/>
  <c r="R592" i="202"/>
  <c r="S592" i="202"/>
  <c r="T592" i="202"/>
  <c r="G593" i="202"/>
  <c r="J593" i="202"/>
  <c r="N593" i="202" s="1"/>
  <c r="K593" i="202"/>
  <c r="M593" i="202"/>
  <c r="E596" i="202"/>
  <c r="F596" i="202"/>
  <c r="H596" i="202"/>
  <c r="O596" i="202"/>
  <c r="P596" i="202"/>
  <c r="Q596" i="202"/>
  <c r="R596" i="202"/>
  <c r="S596" i="202"/>
  <c r="T596" i="202"/>
  <c r="G597" i="202"/>
  <c r="J597" i="202"/>
  <c r="K597" i="202"/>
  <c r="M597" i="202"/>
  <c r="E600" i="202"/>
  <c r="F600" i="202"/>
  <c r="H600" i="202"/>
  <c r="O600" i="202"/>
  <c r="P600" i="202"/>
  <c r="Q600" i="202"/>
  <c r="R600" i="202"/>
  <c r="S600" i="202"/>
  <c r="T600" i="202"/>
  <c r="G601" i="202"/>
  <c r="J601" i="202"/>
  <c r="K601" i="202"/>
  <c r="L601" i="202"/>
  <c r="M601" i="202"/>
  <c r="N601" i="202"/>
  <c r="E604" i="202"/>
  <c r="F604" i="202"/>
  <c r="H604" i="202"/>
  <c r="O604" i="202"/>
  <c r="P604" i="202"/>
  <c r="Q604" i="202"/>
  <c r="R604" i="202"/>
  <c r="S604" i="202"/>
  <c r="T604" i="202"/>
  <c r="G605" i="202"/>
  <c r="J605" i="202"/>
  <c r="N605" i="202" s="1"/>
  <c r="K605" i="202"/>
  <c r="L605" i="202"/>
  <c r="M605" i="202"/>
  <c r="E608" i="202"/>
  <c r="F608" i="202"/>
  <c r="H608" i="202"/>
  <c r="O608" i="202"/>
  <c r="P608" i="202"/>
  <c r="Q608" i="202"/>
  <c r="R608" i="202"/>
  <c r="S608" i="202"/>
  <c r="T608" i="202"/>
  <c r="G609" i="202"/>
  <c r="J609" i="202"/>
  <c r="K609" i="202"/>
  <c r="L609" i="202"/>
  <c r="M609" i="202"/>
  <c r="N609" i="202"/>
  <c r="E612" i="202"/>
  <c r="F612" i="202"/>
  <c r="H612" i="202"/>
  <c r="O612" i="202"/>
  <c r="P612" i="202"/>
  <c r="Q612" i="202"/>
  <c r="R612" i="202"/>
  <c r="S612" i="202"/>
  <c r="T612" i="202"/>
  <c r="G613" i="202"/>
  <c r="J613" i="202"/>
  <c r="N613" i="202" s="1"/>
  <c r="K613" i="202"/>
  <c r="L613" i="202"/>
  <c r="M613" i="202"/>
  <c r="D5" i="1"/>
  <c r="D6" i="1"/>
  <c r="L5" i="2"/>
  <c r="L6" i="2"/>
  <c r="L7" i="2"/>
  <c r="E12" i="2"/>
  <c r="F12" i="2"/>
  <c r="H12" i="2"/>
  <c r="O12" i="2"/>
  <c r="P12" i="2"/>
  <c r="Q12" i="2"/>
  <c r="R12" i="2"/>
  <c r="S12" i="2"/>
  <c r="T12" i="2"/>
  <c r="G13" i="2"/>
  <c r="J13" i="2"/>
  <c r="L13" i="2" s="1"/>
  <c r="K13" i="2"/>
  <c r="M13" i="2"/>
  <c r="N13" i="2"/>
  <c r="G14" i="2"/>
  <c r="J14" i="2"/>
  <c r="N14" i="2" s="1"/>
  <c r="K14" i="2"/>
  <c r="L14" i="2"/>
  <c r="M14" i="2"/>
  <c r="G15" i="2"/>
  <c r="J15" i="2"/>
  <c r="K15" i="2"/>
  <c r="M15" i="2"/>
  <c r="G16" i="2"/>
  <c r="J16" i="2"/>
  <c r="K16" i="2"/>
  <c r="L16" i="2"/>
  <c r="M16" i="2"/>
  <c r="N16" i="2"/>
  <c r="G17" i="2"/>
  <c r="J17" i="2"/>
  <c r="N17" i="2" s="1"/>
  <c r="K17" i="2"/>
  <c r="M17" i="2"/>
  <c r="G18" i="2"/>
  <c r="J18" i="2"/>
  <c r="K18" i="2"/>
  <c r="M18" i="2"/>
  <c r="G19" i="2"/>
  <c r="J19" i="2"/>
  <c r="K19" i="2"/>
  <c r="L19" i="2"/>
  <c r="M19" i="2"/>
  <c r="N19" i="2"/>
  <c r="E22" i="2"/>
  <c r="F22" i="2"/>
  <c r="H22" i="2"/>
  <c r="O22" i="2"/>
  <c r="P22" i="2"/>
  <c r="Q22" i="2"/>
  <c r="R22" i="2"/>
  <c r="S22" i="2"/>
  <c r="T22" i="2"/>
  <c r="G23" i="2"/>
  <c r="J23" i="2"/>
  <c r="L23" i="2" s="1"/>
  <c r="K23" i="2"/>
  <c r="M23" i="2"/>
  <c r="G24" i="2"/>
  <c r="J24" i="2"/>
  <c r="K24" i="2"/>
  <c r="M24" i="2"/>
  <c r="G25" i="2"/>
  <c r="J25" i="2"/>
  <c r="K25" i="2"/>
  <c r="M25" i="2"/>
  <c r="G26" i="2"/>
  <c r="J26" i="2"/>
  <c r="K26" i="2"/>
  <c r="L26" i="2"/>
  <c r="M26" i="2"/>
  <c r="N26" i="2"/>
  <c r="G27" i="2"/>
  <c r="J27" i="2"/>
  <c r="L27" i="2" s="1"/>
  <c r="K27" i="2"/>
  <c r="M27" i="2"/>
  <c r="G28" i="2"/>
  <c r="J28" i="2"/>
  <c r="N28" i="2" s="1"/>
  <c r="K28" i="2"/>
  <c r="M28" i="2"/>
  <c r="G29" i="2"/>
  <c r="J29" i="2"/>
  <c r="K29" i="2"/>
  <c r="L29" i="2"/>
  <c r="M29" i="2"/>
  <c r="N29" i="2"/>
  <c r="G30" i="2"/>
  <c r="J30" i="2"/>
  <c r="K30" i="2"/>
  <c r="L30" i="2" s="1"/>
  <c r="M30" i="2"/>
  <c r="N30" i="2"/>
  <c r="G31" i="2"/>
  <c r="J31" i="2"/>
  <c r="L31" i="2" s="1"/>
  <c r="K31" i="2"/>
  <c r="M31" i="2"/>
  <c r="G32" i="2"/>
  <c r="J32" i="2"/>
  <c r="N32" i="2" s="1"/>
  <c r="K32" i="2"/>
  <c r="L32" i="2"/>
  <c r="M32" i="2"/>
  <c r="G33" i="2"/>
  <c r="J33" i="2"/>
  <c r="K33" i="2"/>
  <c r="L33" i="2" s="1"/>
  <c r="M33" i="2"/>
  <c r="N33" i="2"/>
  <c r="G34" i="2"/>
  <c r="J34" i="2"/>
  <c r="K34" i="2"/>
  <c r="L34" i="2" s="1"/>
  <c r="M34" i="2"/>
  <c r="N34" i="2"/>
  <c r="G35" i="2"/>
  <c r="J35" i="2"/>
  <c r="K35" i="2"/>
  <c r="M35" i="2"/>
  <c r="N35" i="2"/>
  <c r="G36" i="2"/>
  <c r="J36" i="2"/>
  <c r="K36" i="2"/>
  <c r="M36" i="2"/>
  <c r="G37" i="2"/>
  <c r="J37" i="2"/>
  <c r="K37" i="2"/>
  <c r="M37" i="2"/>
  <c r="E40" i="2"/>
  <c r="F40" i="2"/>
  <c r="H40" i="2"/>
  <c r="O40" i="2"/>
  <c r="P40" i="2"/>
  <c r="Q40" i="2"/>
  <c r="R40" i="2"/>
  <c r="S40" i="2"/>
  <c r="T40" i="2"/>
  <c r="G41" i="2"/>
  <c r="J41" i="2"/>
  <c r="N41" i="2" s="1"/>
  <c r="K41" i="2"/>
  <c r="L41" i="2"/>
  <c r="M41" i="2"/>
  <c r="G42" i="2"/>
  <c r="J42" i="2"/>
  <c r="N42" i="2" s="1"/>
  <c r="K42" i="2"/>
  <c r="L42" i="2"/>
  <c r="M42" i="2"/>
  <c r="G43" i="2"/>
  <c r="J43" i="2"/>
  <c r="K43" i="2"/>
  <c r="L43" i="2"/>
  <c r="M43" i="2"/>
  <c r="N43" i="2"/>
  <c r="G44" i="2"/>
  <c r="J44" i="2"/>
  <c r="L44" i="2" s="1"/>
  <c r="K44" i="2"/>
  <c r="M44" i="2"/>
  <c r="N44" i="2"/>
  <c r="G45" i="2"/>
  <c r="J45" i="2"/>
  <c r="N45" i="2" s="1"/>
  <c r="K45" i="2"/>
  <c r="L45" i="2"/>
  <c r="M45" i="2"/>
  <c r="G46" i="2"/>
  <c r="J46" i="2"/>
  <c r="K46" i="2"/>
  <c r="L46" i="2"/>
  <c r="M46" i="2"/>
  <c r="N46" i="2"/>
  <c r="G47" i="2"/>
  <c r="J47" i="2"/>
  <c r="K47" i="2"/>
  <c r="L47" i="2" s="1"/>
  <c r="M47" i="2"/>
  <c r="N47" i="2"/>
  <c r="G48" i="2"/>
  <c r="J48" i="2"/>
  <c r="K48" i="2"/>
  <c r="M48" i="2"/>
  <c r="G49" i="2"/>
  <c r="J49" i="2"/>
  <c r="K49" i="2"/>
  <c r="M49" i="2"/>
  <c r="G50" i="2"/>
  <c r="J50" i="2"/>
  <c r="L50" i="2" s="1"/>
  <c r="K50" i="2"/>
  <c r="M50" i="2"/>
  <c r="G51" i="2"/>
  <c r="J51" i="2"/>
  <c r="K51" i="2"/>
  <c r="L51" i="2" s="1"/>
  <c r="M51" i="2"/>
  <c r="N51" i="2"/>
  <c r="G52" i="2"/>
  <c r="J52" i="2"/>
  <c r="L52" i="2" s="1"/>
  <c r="K52" i="2"/>
  <c r="M52" i="2"/>
  <c r="N52" i="2"/>
  <c r="G53" i="2"/>
  <c r="J53" i="2"/>
  <c r="K53" i="2"/>
  <c r="M53" i="2"/>
  <c r="G54" i="2"/>
  <c r="J54" i="2"/>
  <c r="N54" i="2" s="1"/>
  <c r="K54" i="2"/>
  <c r="L54" i="2"/>
  <c r="M54" i="2"/>
  <c r="G55" i="2"/>
  <c r="J55" i="2"/>
  <c r="K55" i="2"/>
  <c r="L55" i="2"/>
  <c r="M55" i="2"/>
  <c r="N55" i="2"/>
  <c r="G56" i="2"/>
  <c r="J56" i="2"/>
  <c r="N56" i="2" s="1"/>
  <c r="K56" i="2"/>
  <c r="M56" i="2"/>
  <c r="G57" i="2"/>
  <c r="J57" i="2"/>
  <c r="N57" i="2" s="1"/>
  <c r="K57" i="2"/>
  <c r="L57" i="2"/>
  <c r="M57" i="2"/>
  <c r="G58" i="2"/>
  <c r="J58" i="2"/>
  <c r="N58" i="2" s="1"/>
  <c r="K58" i="2"/>
  <c r="L58" i="2"/>
  <c r="M58" i="2"/>
  <c r="E61" i="2"/>
  <c r="F61" i="2"/>
  <c r="H61" i="2"/>
  <c r="O61" i="2"/>
  <c r="P61" i="2"/>
  <c r="Q61" i="2"/>
  <c r="R61" i="2"/>
  <c r="S61" i="2"/>
  <c r="T61" i="2"/>
  <c r="G62" i="2"/>
  <c r="J62" i="2"/>
  <c r="L62" i="2" s="1"/>
  <c r="K62" i="2"/>
  <c r="M62" i="2"/>
  <c r="N62" i="2"/>
  <c r="G63" i="2"/>
  <c r="J63" i="2"/>
  <c r="K63" i="2"/>
  <c r="M63" i="2"/>
  <c r="G64" i="2"/>
  <c r="J64" i="2"/>
  <c r="K64" i="2"/>
  <c r="L64" i="2"/>
  <c r="M64" i="2"/>
  <c r="N64" i="2"/>
  <c r="G65" i="2"/>
  <c r="J65" i="2"/>
  <c r="K65" i="2"/>
  <c r="L65" i="2"/>
  <c r="M65" i="2"/>
  <c r="N65" i="2"/>
  <c r="G66" i="2"/>
  <c r="J66" i="2"/>
  <c r="L66" i="2" s="1"/>
  <c r="K66" i="2"/>
  <c r="M66" i="2"/>
  <c r="N66" i="2"/>
  <c r="G67" i="2"/>
  <c r="J67" i="2"/>
  <c r="N67" i="2" s="1"/>
  <c r="K67" i="2"/>
  <c r="L67" i="2"/>
  <c r="M67" i="2"/>
  <c r="G68" i="2"/>
  <c r="J68" i="2"/>
  <c r="K68" i="2"/>
  <c r="M68" i="2"/>
  <c r="G69" i="2"/>
  <c r="J69" i="2"/>
  <c r="K69" i="2"/>
  <c r="L69" i="2"/>
  <c r="M69" i="2"/>
  <c r="N69" i="2"/>
  <c r="G70" i="2"/>
  <c r="J70" i="2"/>
  <c r="K70" i="2"/>
  <c r="M70" i="2"/>
  <c r="G71" i="2"/>
  <c r="J71" i="2"/>
  <c r="N71" i="2" s="1"/>
  <c r="K71" i="2"/>
  <c r="L71" i="2"/>
  <c r="M71" i="2"/>
  <c r="G72" i="2"/>
  <c r="J72" i="2"/>
  <c r="N72" i="2" s="1"/>
  <c r="K72" i="2"/>
  <c r="L72" i="2"/>
  <c r="M72" i="2"/>
  <c r="G73" i="2"/>
  <c r="J73" i="2"/>
  <c r="K73" i="2"/>
  <c r="L73" i="2" s="1"/>
  <c r="M73" i="2"/>
  <c r="N73" i="2"/>
  <c r="G74" i="2"/>
  <c r="J74" i="2"/>
  <c r="K74" i="2"/>
  <c r="M74" i="2"/>
  <c r="N74" i="2"/>
  <c r="G75" i="2"/>
  <c r="J75" i="2"/>
  <c r="N75" i="2" s="1"/>
  <c r="K75" i="2"/>
  <c r="L75" i="2"/>
  <c r="M75" i="2"/>
  <c r="G76" i="2"/>
  <c r="J76" i="2"/>
  <c r="K76" i="2"/>
  <c r="M76" i="2"/>
  <c r="G77" i="2"/>
  <c r="J77" i="2"/>
  <c r="K77" i="2"/>
  <c r="L77" i="2" s="1"/>
  <c r="M77" i="2"/>
  <c r="N77" i="2"/>
  <c r="G78" i="2"/>
  <c r="J78" i="2"/>
  <c r="L78" i="2" s="1"/>
  <c r="K78" i="2"/>
  <c r="M78" i="2"/>
  <c r="N78" i="2"/>
  <c r="G79" i="2"/>
  <c r="J79" i="2"/>
  <c r="K79" i="2"/>
  <c r="M79" i="2"/>
  <c r="G80" i="2"/>
  <c r="J80" i="2"/>
  <c r="K80" i="2"/>
  <c r="L80" i="2" s="1"/>
  <c r="M80" i="2"/>
  <c r="N80" i="2"/>
  <c r="G81" i="2"/>
  <c r="J81" i="2"/>
  <c r="K81" i="2"/>
  <c r="L81" i="2" s="1"/>
  <c r="M81" i="2"/>
  <c r="N81" i="2"/>
  <c r="G82" i="2"/>
  <c r="J82" i="2"/>
  <c r="L82" i="2" s="1"/>
  <c r="K82" i="2"/>
  <c r="M82" i="2"/>
  <c r="N82" i="2"/>
  <c r="G83" i="2"/>
  <c r="J83" i="2"/>
  <c r="N83" i="2" s="1"/>
  <c r="K83" i="2"/>
  <c r="L83" i="2"/>
  <c r="M83" i="2"/>
  <c r="G84" i="2"/>
  <c r="J84" i="2"/>
  <c r="K84" i="2"/>
  <c r="M84" i="2"/>
  <c r="N84" i="2"/>
  <c r="E87" i="2"/>
  <c r="F87" i="2"/>
  <c r="H87" i="2"/>
  <c r="O87" i="2"/>
  <c r="P87" i="2"/>
  <c r="Q87" i="2"/>
  <c r="R87" i="2"/>
  <c r="S87" i="2"/>
  <c r="T87" i="2"/>
  <c r="G88" i="2"/>
  <c r="J88" i="2"/>
  <c r="N88" i="2" s="1"/>
  <c r="K88" i="2"/>
  <c r="L88" i="2"/>
  <c r="M88" i="2"/>
  <c r="G89" i="2"/>
  <c r="J89" i="2"/>
  <c r="K89" i="2"/>
  <c r="L89" i="2"/>
  <c r="M89" i="2"/>
  <c r="N89" i="2"/>
  <c r="G90" i="2"/>
  <c r="J90" i="2"/>
  <c r="K90" i="2"/>
  <c r="L90" i="2"/>
  <c r="M90" i="2"/>
  <c r="N90" i="2"/>
  <c r="G91" i="2"/>
  <c r="J91" i="2"/>
  <c r="K91" i="2"/>
  <c r="M91" i="2"/>
  <c r="G92" i="2"/>
  <c r="J92" i="2"/>
  <c r="K92" i="2"/>
  <c r="M92" i="2"/>
  <c r="G93" i="2"/>
  <c r="J93" i="2"/>
  <c r="K93" i="2"/>
  <c r="L93" i="2"/>
  <c r="M93" i="2"/>
  <c r="N93" i="2"/>
  <c r="G94" i="2"/>
  <c r="J94" i="2"/>
  <c r="K94" i="2"/>
  <c r="L94" i="2"/>
  <c r="M94" i="2"/>
  <c r="N94" i="2"/>
  <c r="G95" i="2"/>
  <c r="J95" i="2"/>
  <c r="L95" i="2" s="1"/>
  <c r="K95" i="2"/>
  <c r="M95" i="2"/>
  <c r="N95" i="2"/>
  <c r="G96" i="2"/>
  <c r="J96" i="2"/>
  <c r="K96" i="2"/>
  <c r="M96" i="2"/>
  <c r="G97" i="2"/>
  <c r="J97" i="2"/>
  <c r="K97" i="2"/>
  <c r="M97" i="2"/>
  <c r="N97" i="2"/>
  <c r="G98" i="2"/>
  <c r="J98" i="2"/>
  <c r="N98" i="2" s="1"/>
  <c r="K98" i="2"/>
  <c r="L98" i="2"/>
  <c r="M98" i="2"/>
  <c r="G99" i="2"/>
  <c r="J99" i="2"/>
  <c r="K99" i="2"/>
  <c r="L99" i="2" s="1"/>
  <c r="M99" i="2"/>
  <c r="N99" i="2"/>
  <c r="G100" i="2"/>
  <c r="J100" i="2"/>
  <c r="K100" i="2"/>
  <c r="L100" i="2" s="1"/>
  <c r="M100" i="2"/>
  <c r="N100" i="2"/>
  <c r="G101" i="2"/>
  <c r="J101" i="2"/>
  <c r="K101" i="2"/>
  <c r="M101" i="2"/>
  <c r="N101" i="2"/>
  <c r="G102" i="2"/>
  <c r="J102" i="2"/>
  <c r="K102" i="2"/>
  <c r="M102" i="2"/>
  <c r="G103" i="2"/>
  <c r="J103" i="2"/>
  <c r="L103" i="2" s="1"/>
  <c r="K103" i="2"/>
  <c r="M103" i="2"/>
  <c r="G104" i="2"/>
  <c r="J104" i="2"/>
  <c r="K104" i="2"/>
  <c r="L104" i="2"/>
  <c r="M104" i="2"/>
  <c r="N104" i="2"/>
  <c r="G105" i="2"/>
  <c r="J105" i="2"/>
  <c r="K105" i="2"/>
  <c r="M105" i="2"/>
  <c r="G106" i="2"/>
  <c r="J106" i="2"/>
  <c r="N106" i="2" s="1"/>
  <c r="K106" i="2"/>
  <c r="M106" i="2"/>
  <c r="E109" i="2"/>
  <c r="F109" i="2"/>
  <c r="H109" i="2"/>
  <c r="O109" i="2"/>
  <c r="P109" i="2"/>
  <c r="Q109" i="2"/>
  <c r="R109" i="2"/>
  <c r="S109" i="2"/>
  <c r="T109" i="2"/>
  <c r="G110" i="2"/>
  <c r="J110" i="2"/>
  <c r="K110" i="2"/>
  <c r="M110" i="2"/>
  <c r="G111" i="2"/>
  <c r="J111" i="2"/>
  <c r="N111" i="2" s="1"/>
  <c r="K111" i="2"/>
  <c r="L111" i="2"/>
  <c r="M111" i="2"/>
  <c r="G112" i="2"/>
  <c r="J112" i="2"/>
  <c r="L112" i="2" s="1"/>
  <c r="K112" i="2"/>
  <c r="M112" i="2"/>
  <c r="N112" i="2"/>
  <c r="G113" i="2"/>
  <c r="J113" i="2"/>
  <c r="K113" i="2"/>
  <c r="L113" i="2"/>
  <c r="M113" i="2"/>
  <c r="N113" i="2"/>
  <c r="G114" i="2"/>
  <c r="J114" i="2"/>
  <c r="K114" i="2"/>
  <c r="M114" i="2"/>
  <c r="G115" i="2"/>
  <c r="J115" i="2"/>
  <c r="N115" i="2" s="1"/>
  <c r="K115" i="2"/>
  <c r="L115" i="2"/>
  <c r="M115" i="2"/>
  <c r="G116" i="2"/>
  <c r="J116" i="2"/>
  <c r="N116" i="2" s="1"/>
  <c r="K116" i="2"/>
  <c r="L116" i="2"/>
  <c r="M116" i="2"/>
  <c r="G117" i="2"/>
  <c r="J117" i="2"/>
  <c r="K117" i="2"/>
  <c r="L117" i="2" s="1"/>
  <c r="M117" i="2"/>
  <c r="N117" i="2"/>
  <c r="G118" i="2"/>
  <c r="J118" i="2"/>
  <c r="K118" i="2"/>
  <c r="M118" i="2"/>
  <c r="N118" i="2"/>
  <c r="G119" i="2"/>
  <c r="J119" i="2"/>
  <c r="K119" i="2"/>
  <c r="M119" i="2"/>
  <c r="G120" i="2"/>
  <c r="J120" i="2"/>
  <c r="N120" i="2" s="1"/>
  <c r="K120" i="2"/>
  <c r="L120" i="2"/>
  <c r="M120" i="2"/>
  <c r="G121" i="2"/>
  <c r="J121" i="2"/>
  <c r="K121" i="2"/>
  <c r="L121" i="2"/>
  <c r="M121" i="2"/>
  <c r="N121" i="2"/>
  <c r="G122" i="2"/>
  <c r="J122" i="2"/>
  <c r="L122" i="2" s="1"/>
  <c r="K122" i="2"/>
  <c r="M122" i="2"/>
  <c r="N122" i="2"/>
  <c r="G123" i="2"/>
  <c r="J123" i="2"/>
  <c r="N123" i="2" s="1"/>
  <c r="K123" i="2"/>
  <c r="L123" i="2"/>
  <c r="M123" i="2"/>
  <c r="G124" i="2"/>
  <c r="J124" i="2"/>
  <c r="K124" i="2"/>
  <c r="M124" i="2"/>
  <c r="E127" i="2"/>
  <c r="F127" i="2"/>
  <c r="H127" i="2"/>
  <c r="O127" i="2"/>
  <c r="P127" i="2"/>
  <c r="Q127" i="2"/>
  <c r="R127" i="2"/>
  <c r="S127" i="2"/>
  <c r="T127" i="2"/>
  <c r="G128" i="2"/>
  <c r="J128" i="2"/>
  <c r="L128" i="2" s="1"/>
  <c r="K128" i="2"/>
  <c r="M128" i="2"/>
  <c r="N128" i="2"/>
  <c r="G129" i="2"/>
  <c r="J129" i="2"/>
  <c r="K129" i="2"/>
  <c r="M129" i="2"/>
  <c r="G130" i="2"/>
  <c r="J130" i="2"/>
  <c r="K130" i="2"/>
  <c r="L130" i="2"/>
  <c r="M130" i="2"/>
  <c r="N130" i="2"/>
  <c r="G131" i="2"/>
  <c r="J131" i="2"/>
  <c r="K131" i="2"/>
  <c r="L131" i="2"/>
  <c r="M131" i="2"/>
  <c r="N131" i="2"/>
  <c r="G132" i="2"/>
  <c r="J132" i="2"/>
  <c r="L132" i="2" s="1"/>
  <c r="K132" i="2"/>
  <c r="M132" i="2"/>
  <c r="G133" i="2"/>
  <c r="J133" i="2"/>
  <c r="N133" i="2" s="1"/>
  <c r="K133" i="2"/>
  <c r="M133" i="2"/>
  <c r="G134" i="2"/>
  <c r="J134" i="2"/>
  <c r="K134" i="2"/>
  <c r="L134" i="2" s="1"/>
  <c r="M134" i="2"/>
  <c r="N134" i="2"/>
  <c r="G135" i="2"/>
  <c r="J135" i="2"/>
  <c r="K135" i="2"/>
  <c r="L135" i="2" s="1"/>
  <c r="M135" i="2"/>
  <c r="N135" i="2"/>
  <c r="G136" i="2"/>
  <c r="J136" i="2"/>
  <c r="K136" i="2"/>
  <c r="M136" i="2"/>
  <c r="G137" i="2"/>
  <c r="J137" i="2"/>
  <c r="K137" i="2"/>
  <c r="M137" i="2"/>
  <c r="E140" i="2"/>
  <c r="F140" i="2"/>
  <c r="H140" i="2"/>
  <c r="O140" i="2"/>
  <c r="P140" i="2"/>
  <c r="Q140" i="2"/>
  <c r="R140" i="2"/>
  <c r="S140" i="2"/>
  <c r="T140" i="2"/>
  <c r="G141" i="2"/>
  <c r="J141" i="2"/>
  <c r="N141" i="2" s="1"/>
  <c r="K141" i="2"/>
  <c r="L141" i="2"/>
  <c r="M141" i="2"/>
  <c r="G142" i="2"/>
  <c r="J142" i="2"/>
  <c r="N142" i="2" s="1"/>
  <c r="K142" i="2"/>
  <c r="L142" i="2"/>
  <c r="M142" i="2"/>
  <c r="G143" i="2"/>
  <c r="J143" i="2"/>
  <c r="K143" i="2"/>
  <c r="L143" i="2"/>
  <c r="M143" i="2"/>
  <c r="N143" i="2"/>
  <c r="G144" i="2"/>
  <c r="J144" i="2"/>
  <c r="L144" i="2" s="1"/>
  <c r="K144" i="2"/>
  <c r="M144" i="2"/>
  <c r="N144" i="2"/>
  <c r="G145" i="2"/>
  <c r="J145" i="2"/>
  <c r="K145" i="2"/>
  <c r="M145" i="2"/>
  <c r="G146" i="2"/>
  <c r="J146" i="2"/>
  <c r="K146" i="2"/>
  <c r="M146" i="2"/>
  <c r="G147" i="2"/>
  <c r="J147" i="2"/>
  <c r="K147" i="2"/>
  <c r="L147" i="2"/>
  <c r="M147" i="2"/>
  <c r="N147" i="2"/>
  <c r="G148" i="2"/>
  <c r="J148" i="2"/>
  <c r="L148" i="2" s="1"/>
  <c r="K148" i="2"/>
  <c r="M148" i="2"/>
  <c r="N148" i="2"/>
  <c r="G149" i="2"/>
  <c r="J149" i="2"/>
  <c r="N149" i="2" s="1"/>
  <c r="K149" i="2"/>
  <c r="L149" i="2"/>
  <c r="M149" i="2"/>
  <c r="G150" i="2"/>
  <c r="J150" i="2"/>
  <c r="K150" i="2"/>
  <c r="L150" i="2"/>
  <c r="M150" i="2"/>
  <c r="N150" i="2"/>
  <c r="E153" i="2"/>
  <c r="F153" i="2"/>
  <c r="H153" i="2"/>
  <c r="O153" i="2"/>
  <c r="P153" i="2"/>
  <c r="Q153" i="2"/>
  <c r="R153" i="2"/>
  <c r="S153" i="2"/>
  <c r="T153" i="2"/>
  <c r="G154" i="2"/>
  <c r="J154" i="2"/>
  <c r="K154" i="2"/>
  <c r="L154" i="2"/>
  <c r="M154" i="2"/>
  <c r="N154" i="2"/>
  <c r="G155" i="2"/>
  <c r="J155" i="2"/>
  <c r="K155" i="2"/>
  <c r="M155" i="2"/>
  <c r="G156" i="2"/>
  <c r="J156" i="2"/>
  <c r="K156" i="2"/>
  <c r="M156" i="2"/>
  <c r="G157" i="2"/>
  <c r="J157" i="2"/>
  <c r="N157" i="2" s="1"/>
  <c r="K157" i="2"/>
  <c r="L157" i="2"/>
  <c r="M157" i="2"/>
  <c r="G158" i="2"/>
  <c r="J158" i="2"/>
  <c r="K158" i="2"/>
  <c r="L158" i="2"/>
  <c r="M158" i="2"/>
  <c r="N158" i="2"/>
  <c r="G159" i="2"/>
  <c r="J159" i="2"/>
  <c r="K159" i="2"/>
  <c r="M159" i="2"/>
  <c r="N159" i="2"/>
  <c r="G160" i="2"/>
  <c r="J160" i="2"/>
  <c r="N160" i="2" s="1"/>
  <c r="K160" i="2"/>
  <c r="L160" i="2"/>
  <c r="M160" i="2"/>
  <c r="G161" i="2"/>
  <c r="J161" i="2"/>
  <c r="N161" i="2" s="1"/>
  <c r="K161" i="2"/>
  <c r="M161" i="2"/>
  <c r="E164" i="2"/>
  <c r="F164" i="2"/>
  <c r="H164" i="2"/>
  <c r="O164" i="2"/>
  <c r="P164" i="2"/>
  <c r="Q164" i="2"/>
  <c r="R164" i="2"/>
  <c r="S164" i="2"/>
  <c r="T164" i="2"/>
  <c r="G165" i="2"/>
  <c r="J165" i="2"/>
  <c r="K165" i="2"/>
  <c r="L165" i="2"/>
  <c r="M165" i="2"/>
  <c r="N165" i="2"/>
  <c r="G166" i="2"/>
  <c r="J166" i="2"/>
  <c r="L166" i="2" s="1"/>
  <c r="K166" i="2"/>
  <c r="M166" i="2"/>
  <c r="N166" i="2"/>
  <c r="G167" i="2"/>
  <c r="J167" i="2"/>
  <c r="K167" i="2"/>
  <c r="M167" i="2"/>
  <c r="G168" i="2"/>
  <c r="J168" i="2"/>
  <c r="K168" i="2"/>
  <c r="M168" i="2"/>
  <c r="G169" i="2"/>
  <c r="J169" i="2"/>
  <c r="K169" i="2"/>
  <c r="L169" i="2"/>
  <c r="M169" i="2"/>
  <c r="N169" i="2"/>
  <c r="G170" i="2"/>
  <c r="J170" i="2"/>
  <c r="L170" i="2" s="1"/>
  <c r="K170" i="2"/>
  <c r="M170" i="2"/>
  <c r="G171" i="2"/>
  <c r="J171" i="2"/>
  <c r="N171" i="2" s="1"/>
  <c r="K171" i="2"/>
  <c r="L171" i="2"/>
  <c r="M171" i="2"/>
  <c r="G172" i="2"/>
  <c r="J172" i="2"/>
  <c r="K172" i="2"/>
  <c r="L172" i="2"/>
  <c r="M172" i="2"/>
  <c r="N172" i="2"/>
  <c r="G173" i="2"/>
  <c r="J173" i="2"/>
  <c r="K173" i="2"/>
  <c r="L173" i="2" s="1"/>
  <c r="M173" i="2"/>
  <c r="N173" i="2"/>
  <c r="E176" i="2"/>
  <c r="F176" i="2"/>
  <c r="H176" i="2"/>
  <c r="O176" i="2"/>
  <c r="P176" i="2"/>
  <c r="Q176" i="2"/>
  <c r="R176" i="2"/>
  <c r="S176" i="2"/>
  <c r="T176" i="2"/>
  <c r="G177" i="2"/>
  <c r="J177" i="2"/>
  <c r="K177" i="2"/>
  <c r="L177" i="2"/>
  <c r="M177" i="2"/>
  <c r="N177" i="2"/>
  <c r="G178" i="2"/>
  <c r="J178" i="2"/>
  <c r="K178" i="2"/>
  <c r="M178" i="2"/>
  <c r="G179" i="2"/>
  <c r="J179" i="2"/>
  <c r="N179" i="2" s="1"/>
  <c r="K179" i="2"/>
  <c r="L179" i="2"/>
  <c r="M179" i="2"/>
  <c r="G180" i="2"/>
  <c r="J180" i="2"/>
  <c r="K180" i="2"/>
  <c r="L180" i="2"/>
  <c r="M180" i="2"/>
  <c r="N180" i="2"/>
  <c r="G181" i="2"/>
  <c r="J181" i="2"/>
  <c r="K181" i="2"/>
  <c r="L181" i="2" s="1"/>
  <c r="M181" i="2"/>
  <c r="N181" i="2"/>
  <c r="G182" i="2"/>
  <c r="J182" i="2"/>
  <c r="L182" i="2" s="1"/>
  <c r="K182" i="2"/>
  <c r="M182" i="2"/>
  <c r="N182" i="2"/>
  <c r="G183" i="2"/>
  <c r="J183" i="2"/>
  <c r="N183" i="2" s="1"/>
  <c r="K183" i="2"/>
  <c r="L183" i="2"/>
  <c r="M183" i="2"/>
  <c r="G184" i="2"/>
  <c r="J184" i="2"/>
  <c r="K184" i="2"/>
  <c r="M184" i="2"/>
  <c r="E187" i="2"/>
  <c r="F187" i="2"/>
  <c r="H187" i="2"/>
  <c r="O187" i="2"/>
  <c r="P187" i="2"/>
  <c r="Q187" i="2"/>
  <c r="R187" i="2"/>
  <c r="S187" i="2"/>
  <c r="T187" i="2"/>
  <c r="G188" i="2"/>
  <c r="J188" i="2"/>
  <c r="K188" i="2"/>
  <c r="L188" i="2"/>
  <c r="M188" i="2"/>
  <c r="N188" i="2"/>
  <c r="G189" i="2"/>
  <c r="J189" i="2"/>
  <c r="K189" i="2"/>
  <c r="L189" i="2"/>
  <c r="M189" i="2"/>
  <c r="N189" i="2"/>
  <c r="G190" i="2"/>
  <c r="J190" i="2"/>
  <c r="L190" i="2" s="1"/>
  <c r="K190" i="2"/>
  <c r="M190" i="2"/>
  <c r="N190" i="2"/>
  <c r="G191" i="2"/>
  <c r="J191" i="2"/>
  <c r="N191" i="2" s="1"/>
  <c r="K191" i="2"/>
  <c r="L191" i="2"/>
  <c r="M191" i="2"/>
  <c r="G192" i="2"/>
  <c r="J192" i="2"/>
  <c r="K192" i="2"/>
  <c r="M192" i="2"/>
  <c r="G193" i="2"/>
  <c r="J193" i="2"/>
  <c r="K193" i="2"/>
  <c r="L193" i="2"/>
  <c r="M193" i="2"/>
  <c r="N193" i="2"/>
  <c r="G194" i="2"/>
  <c r="J194" i="2"/>
  <c r="K194" i="2"/>
  <c r="M194" i="2"/>
  <c r="G195" i="2"/>
  <c r="J195" i="2"/>
  <c r="K195" i="2"/>
  <c r="M195" i="2"/>
  <c r="G196" i="2"/>
  <c r="J196" i="2"/>
  <c r="N196" i="2" s="1"/>
  <c r="K196" i="2"/>
  <c r="L196" i="2"/>
  <c r="M196" i="2"/>
  <c r="G197" i="2"/>
  <c r="J197" i="2"/>
  <c r="K197" i="2"/>
  <c r="L197" i="2"/>
  <c r="M197" i="2"/>
  <c r="N197" i="2"/>
  <c r="G198" i="2"/>
  <c r="J198" i="2"/>
  <c r="L198" i="2" s="1"/>
  <c r="K198" i="2"/>
  <c r="M198" i="2"/>
  <c r="N198" i="2"/>
  <c r="G199" i="2"/>
  <c r="J199" i="2"/>
  <c r="N199" i="2" s="1"/>
  <c r="K199" i="2"/>
  <c r="L199" i="2"/>
  <c r="M199" i="2"/>
  <c r="E202" i="2"/>
  <c r="F202" i="2"/>
  <c r="H202" i="2"/>
  <c r="O202" i="2"/>
  <c r="P202" i="2"/>
  <c r="Q202" i="2"/>
  <c r="R202" i="2"/>
  <c r="S202" i="2"/>
  <c r="T202" i="2"/>
  <c r="G203" i="2"/>
  <c r="J203" i="2"/>
  <c r="K203" i="2"/>
  <c r="M203" i="2"/>
  <c r="N203" i="2"/>
  <c r="G204" i="2"/>
  <c r="J204" i="2"/>
  <c r="K204" i="2"/>
  <c r="L204" i="2"/>
  <c r="M204" i="2"/>
  <c r="N204" i="2"/>
  <c r="G205" i="2"/>
  <c r="J205" i="2"/>
  <c r="K205" i="2"/>
  <c r="M205" i="2"/>
  <c r="G206" i="2"/>
  <c r="J206" i="2"/>
  <c r="N206" i="2" s="1"/>
  <c r="K206" i="2"/>
  <c r="L206" i="2"/>
  <c r="M206" i="2"/>
  <c r="G207" i="2"/>
  <c r="J207" i="2"/>
  <c r="N207" i="2" s="1"/>
  <c r="K207" i="2"/>
  <c r="L207" i="2"/>
  <c r="M207" i="2"/>
  <c r="G208" i="2"/>
  <c r="J208" i="2"/>
  <c r="K208" i="2"/>
  <c r="L208" i="2" s="1"/>
  <c r="M208" i="2"/>
  <c r="N208" i="2"/>
  <c r="G209" i="2"/>
  <c r="J209" i="2"/>
  <c r="K209" i="2"/>
  <c r="M209" i="2"/>
  <c r="N209" i="2"/>
  <c r="G210" i="2"/>
  <c r="J210" i="2"/>
  <c r="N210" i="2" s="1"/>
  <c r="K210" i="2"/>
  <c r="L210" i="2"/>
  <c r="M210" i="2"/>
  <c r="G211" i="2"/>
  <c r="J211" i="2"/>
  <c r="N211" i="2" s="1"/>
  <c r="K211" i="2"/>
  <c r="L211" i="2" s="1"/>
  <c r="M211" i="2"/>
  <c r="E214" i="2"/>
  <c r="F214" i="2"/>
  <c r="H214" i="2"/>
  <c r="O214" i="2"/>
  <c r="P214" i="2"/>
  <c r="Q214" i="2"/>
  <c r="R214" i="2"/>
  <c r="S214" i="2"/>
  <c r="T214" i="2"/>
  <c r="G215" i="2"/>
  <c r="J215" i="2"/>
  <c r="N215" i="2" s="1"/>
  <c r="K215" i="2"/>
  <c r="L215" i="2"/>
  <c r="M215" i="2"/>
  <c r="G216" i="2"/>
  <c r="J216" i="2"/>
  <c r="K216" i="2"/>
  <c r="L216" i="2"/>
  <c r="M216" i="2"/>
  <c r="N216" i="2"/>
  <c r="G217" i="2"/>
  <c r="J217" i="2"/>
  <c r="K217" i="2"/>
  <c r="L217" i="2"/>
  <c r="M217" i="2"/>
  <c r="N217" i="2"/>
  <c r="G218" i="2"/>
  <c r="J218" i="2"/>
  <c r="L218" i="2" s="1"/>
  <c r="K218" i="2"/>
  <c r="M218" i="2"/>
  <c r="N218" i="2"/>
  <c r="G219" i="2"/>
  <c r="J219" i="2"/>
  <c r="K219" i="2"/>
  <c r="M219" i="2"/>
  <c r="G220" i="2"/>
  <c r="J220" i="2"/>
  <c r="L220" i="2" s="1"/>
  <c r="K220" i="2"/>
  <c r="M220" i="2"/>
  <c r="N220" i="2"/>
  <c r="G221" i="2"/>
  <c r="J221" i="2"/>
  <c r="K221" i="2"/>
  <c r="L221" i="2" s="1"/>
  <c r="M221" i="2"/>
  <c r="N221" i="2"/>
  <c r="G222" i="2"/>
  <c r="J222" i="2"/>
  <c r="L222" i="2" s="1"/>
  <c r="K222" i="2"/>
  <c r="M222" i="2"/>
  <c r="G223" i="2"/>
  <c r="J223" i="2"/>
  <c r="N223" i="2" s="1"/>
  <c r="K223" i="2"/>
  <c r="L223" i="2"/>
  <c r="M223" i="2"/>
  <c r="G224" i="2"/>
  <c r="J224" i="2"/>
  <c r="N224" i="2" s="1"/>
  <c r="K224" i="2"/>
  <c r="L224" i="2"/>
  <c r="M224" i="2"/>
  <c r="G225" i="2"/>
  <c r="J225" i="2"/>
  <c r="K225" i="2"/>
  <c r="L225" i="2" s="1"/>
  <c r="M225" i="2"/>
  <c r="N225" i="2"/>
  <c r="G226" i="2"/>
  <c r="J226" i="2"/>
  <c r="K226" i="2"/>
  <c r="M226" i="2"/>
  <c r="N226" i="2"/>
  <c r="G227" i="2"/>
  <c r="J227" i="2"/>
  <c r="K227" i="2"/>
  <c r="M227" i="2"/>
  <c r="E230" i="2"/>
  <c r="F230" i="2"/>
  <c r="H230" i="2"/>
  <c r="O230" i="2"/>
  <c r="P230" i="2"/>
  <c r="Q230" i="2"/>
  <c r="R230" i="2"/>
  <c r="S230" i="2"/>
  <c r="T230" i="2"/>
  <c r="G231" i="2"/>
  <c r="J231" i="2"/>
  <c r="K231" i="2"/>
  <c r="L231" i="2"/>
  <c r="M231" i="2"/>
  <c r="N231" i="2"/>
  <c r="G232" i="2"/>
  <c r="J232" i="2"/>
  <c r="K232" i="2"/>
  <c r="M232" i="2"/>
  <c r="G233" i="2"/>
  <c r="J233" i="2"/>
  <c r="K233" i="2"/>
  <c r="M233" i="2"/>
  <c r="G234" i="2"/>
  <c r="J234" i="2"/>
  <c r="K234" i="2"/>
  <c r="L234" i="2"/>
  <c r="M234" i="2"/>
  <c r="N234" i="2"/>
  <c r="G235" i="2"/>
  <c r="J235" i="2"/>
  <c r="K235" i="2"/>
  <c r="L235" i="2" s="1"/>
  <c r="M235" i="2"/>
  <c r="N235" i="2"/>
  <c r="G236" i="2"/>
  <c r="J236" i="2"/>
  <c r="K236" i="2"/>
  <c r="M236" i="2"/>
  <c r="G237" i="2"/>
  <c r="J237" i="2"/>
  <c r="N237" i="2" s="1"/>
  <c r="K237" i="2"/>
  <c r="L237" i="2" s="1"/>
  <c r="M237" i="2"/>
  <c r="G238" i="2"/>
  <c r="J238" i="2"/>
  <c r="K238" i="2"/>
  <c r="M238" i="2"/>
  <c r="N238" i="2"/>
  <c r="G239" i="2"/>
  <c r="J239" i="2"/>
  <c r="K239" i="2"/>
  <c r="L239" i="2" s="1"/>
  <c r="M239" i="2"/>
  <c r="N239" i="2"/>
  <c r="G240" i="2"/>
  <c r="J240" i="2"/>
  <c r="K240" i="2"/>
  <c r="M240" i="2"/>
  <c r="N240" i="2"/>
  <c r="G241" i="2"/>
  <c r="J241" i="2"/>
  <c r="N241" i="2" s="1"/>
  <c r="K241" i="2"/>
  <c r="L241" i="2"/>
  <c r="M241" i="2"/>
  <c r="G242" i="2"/>
  <c r="J242" i="2"/>
  <c r="N242" i="2" s="1"/>
  <c r="K242" i="2"/>
  <c r="L242" i="2" s="1"/>
  <c r="M242" i="2"/>
  <c r="E245" i="2"/>
  <c r="F245" i="2"/>
  <c r="H245" i="2"/>
  <c r="O245" i="2"/>
  <c r="P245" i="2"/>
  <c r="Q245" i="2"/>
  <c r="R245" i="2"/>
  <c r="S245" i="2"/>
  <c r="T245" i="2"/>
  <c r="G246" i="2"/>
  <c r="J246" i="2"/>
  <c r="K246" i="2"/>
  <c r="L246" i="2" s="1"/>
  <c r="M246" i="2"/>
  <c r="N246" i="2"/>
  <c r="G247" i="2"/>
  <c r="J247" i="2"/>
  <c r="L247" i="2" s="1"/>
  <c r="K247" i="2"/>
  <c r="M247" i="2"/>
  <c r="N247" i="2"/>
  <c r="G248" i="2"/>
  <c r="J248" i="2"/>
  <c r="K248" i="2"/>
  <c r="M248" i="2"/>
  <c r="G249" i="2"/>
  <c r="J249" i="2"/>
  <c r="L249" i="2" s="1"/>
  <c r="K249" i="2"/>
  <c r="M249" i="2"/>
  <c r="G250" i="2"/>
  <c r="J250" i="2"/>
  <c r="K250" i="2"/>
  <c r="L250" i="2"/>
  <c r="M250" i="2"/>
  <c r="N250" i="2"/>
  <c r="G251" i="2"/>
  <c r="J251" i="2"/>
  <c r="L251" i="2" s="1"/>
  <c r="K251" i="2"/>
  <c r="M251" i="2"/>
  <c r="G252" i="2"/>
  <c r="J252" i="2"/>
  <c r="N252" i="2" s="1"/>
  <c r="K252" i="2"/>
  <c r="L252" i="2"/>
  <c r="M252" i="2"/>
  <c r="G253" i="2"/>
  <c r="J253" i="2"/>
  <c r="K253" i="2"/>
  <c r="L253" i="2" s="1"/>
  <c r="M253" i="2"/>
  <c r="N253" i="2"/>
  <c r="G254" i="2"/>
  <c r="J254" i="2"/>
  <c r="K254" i="2"/>
  <c r="L254" i="2" s="1"/>
  <c r="M254" i="2"/>
  <c r="N254" i="2"/>
  <c r="G255" i="2"/>
  <c r="J255" i="2"/>
  <c r="L255" i="2" s="1"/>
  <c r="K255" i="2"/>
  <c r="M255" i="2"/>
  <c r="N255" i="2"/>
  <c r="G256" i="2"/>
  <c r="J256" i="2"/>
  <c r="K256" i="2"/>
  <c r="M256" i="2"/>
  <c r="G257" i="2"/>
  <c r="J257" i="2"/>
  <c r="L257" i="2" s="1"/>
  <c r="K257" i="2"/>
  <c r="M257" i="2"/>
  <c r="E260" i="2"/>
  <c r="F260" i="2"/>
  <c r="H260" i="2"/>
  <c r="O260" i="2"/>
  <c r="P260" i="2"/>
  <c r="Q260" i="2"/>
  <c r="R260" i="2"/>
  <c r="S260" i="2"/>
  <c r="T260" i="2"/>
  <c r="G261" i="2"/>
  <c r="J261" i="2"/>
  <c r="K261" i="2"/>
  <c r="M261" i="2"/>
  <c r="G262" i="2"/>
  <c r="J262" i="2"/>
  <c r="K262" i="2"/>
  <c r="L262" i="2"/>
  <c r="M262" i="2"/>
  <c r="N262" i="2"/>
  <c r="G263" i="2"/>
  <c r="J263" i="2"/>
  <c r="L263" i="2" s="1"/>
  <c r="K263" i="2"/>
  <c r="M263" i="2"/>
  <c r="N263" i="2"/>
  <c r="G264" i="2"/>
  <c r="J264" i="2"/>
  <c r="K264" i="2"/>
  <c r="M264" i="2"/>
  <c r="G265" i="2"/>
  <c r="J265" i="2"/>
  <c r="L265" i="2" s="1"/>
  <c r="K265" i="2"/>
  <c r="M265" i="2"/>
  <c r="G266" i="2"/>
  <c r="J266" i="2"/>
  <c r="K266" i="2"/>
  <c r="L266" i="2"/>
  <c r="M266" i="2"/>
  <c r="N266" i="2"/>
  <c r="G267" i="2"/>
  <c r="J267" i="2"/>
  <c r="K267" i="2"/>
  <c r="M267" i="2"/>
  <c r="G268" i="2"/>
  <c r="J268" i="2"/>
  <c r="K268" i="2"/>
  <c r="M268" i="2"/>
  <c r="G269" i="2"/>
  <c r="J269" i="2"/>
  <c r="K269" i="2"/>
  <c r="L269" i="2"/>
  <c r="M269" i="2"/>
  <c r="N269" i="2"/>
  <c r="G270" i="2"/>
  <c r="J270" i="2"/>
  <c r="K270" i="2"/>
  <c r="L270" i="2" s="1"/>
  <c r="M270" i="2"/>
  <c r="N270" i="2"/>
  <c r="G271" i="2"/>
  <c r="J271" i="2"/>
  <c r="K271" i="2"/>
  <c r="M271" i="2"/>
  <c r="G272" i="2"/>
  <c r="J272" i="2"/>
  <c r="K272" i="2"/>
  <c r="M272" i="2"/>
  <c r="G273" i="2"/>
  <c r="J273" i="2"/>
  <c r="L273" i="2" s="1"/>
  <c r="K273" i="2"/>
  <c r="M273" i="2"/>
  <c r="N273" i="2"/>
  <c r="G274" i="2"/>
  <c r="J274" i="2"/>
  <c r="K274" i="2"/>
  <c r="L274" i="2" s="1"/>
  <c r="M274" i="2"/>
  <c r="N274" i="2"/>
  <c r="G275" i="2"/>
  <c r="J275" i="2"/>
  <c r="K275" i="2"/>
  <c r="M275" i="2"/>
  <c r="G276" i="2"/>
  <c r="J276" i="2"/>
  <c r="K276" i="2"/>
  <c r="M276" i="2"/>
  <c r="G277" i="2"/>
  <c r="J277" i="2"/>
  <c r="K277" i="2"/>
  <c r="M277" i="2"/>
  <c r="G278" i="2"/>
  <c r="J278" i="2"/>
  <c r="K278" i="2"/>
  <c r="L278" i="2" s="1"/>
  <c r="M278" i="2"/>
  <c r="N278" i="2"/>
  <c r="G279" i="2"/>
  <c r="J279" i="2"/>
  <c r="K279" i="2"/>
  <c r="M279" i="2"/>
  <c r="N279" i="2"/>
  <c r="E282" i="2"/>
  <c r="F282" i="2"/>
  <c r="H282" i="2"/>
  <c r="O282" i="2"/>
  <c r="P282" i="2"/>
  <c r="Q282" i="2"/>
  <c r="R282" i="2"/>
  <c r="S282" i="2"/>
  <c r="T282" i="2"/>
  <c r="G283" i="2"/>
  <c r="J283" i="2"/>
  <c r="L283" i="2" s="1"/>
  <c r="K283" i="2"/>
  <c r="M283" i="2"/>
  <c r="G284" i="2"/>
  <c r="J284" i="2"/>
  <c r="N284" i="2" s="1"/>
  <c r="K284" i="2"/>
  <c r="L284" i="2"/>
  <c r="M284" i="2"/>
  <c r="G285" i="2"/>
  <c r="J285" i="2"/>
  <c r="N285" i="2" s="1"/>
  <c r="K285" i="2"/>
  <c r="L285" i="2"/>
  <c r="M285" i="2"/>
  <c r="G286" i="2"/>
  <c r="J286" i="2"/>
  <c r="K286" i="2"/>
  <c r="L286" i="2"/>
  <c r="M286" i="2"/>
  <c r="N286" i="2"/>
  <c r="G287" i="2"/>
  <c r="J287" i="2"/>
  <c r="L287" i="2" s="1"/>
  <c r="K287" i="2"/>
  <c r="M287" i="2"/>
  <c r="N287" i="2"/>
  <c r="G288" i="2"/>
  <c r="J288" i="2"/>
  <c r="N288" i="2" s="1"/>
  <c r="K288" i="2"/>
  <c r="L288" i="2"/>
  <c r="M288" i="2"/>
  <c r="G289" i="2"/>
  <c r="J289" i="2"/>
  <c r="L289" i="2" s="1"/>
  <c r="K289" i="2"/>
  <c r="M289" i="2"/>
  <c r="G290" i="2"/>
  <c r="J290" i="2"/>
  <c r="K290" i="2"/>
  <c r="L290" i="2"/>
  <c r="M290" i="2"/>
  <c r="N290" i="2"/>
  <c r="G291" i="2"/>
  <c r="J291" i="2"/>
  <c r="K291" i="2"/>
  <c r="M291" i="2"/>
  <c r="G292" i="2"/>
  <c r="J292" i="2"/>
  <c r="N292" i="2" s="1"/>
  <c r="K292" i="2"/>
  <c r="L292" i="2" s="1"/>
  <c r="M292" i="2"/>
  <c r="G293" i="2"/>
  <c r="J293" i="2"/>
  <c r="K293" i="2"/>
  <c r="L293" i="2"/>
  <c r="M293" i="2"/>
  <c r="N293" i="2"/>
  <c r="G294" i="2"/>
  <c r="J294" i="2"/>
  <c r="K294" i="2"/>
  <c r="L294" i="2"/>
  <c r="M294" i="2"/>
  <c r="N294" i="2"/>
  <c r="G295" i="2"/>
  <c r="J295" i="2"/>
  <c r="L295" i="2" s="1"/>
  <c r="K295" i="2"/>
  <c r="M295" i="2"/>
  <c r="N295" i="2"/>
  <c r="G296" i="2"/>
  <c r="J296" i="2"/>
  <c r="K296" i="2"/>
  <c r="M296" i="2"/>
  <c r="G297" i="2"/>
  <c r="J297" i="2"/>
  <c r="K297" i="2"/>
  <c r="M297" i="2"/>
  <c r="N297" i="2"/>
  <c r="G298" i="2"/>
  <c r="J298" i="2"/>
  <c r="K298" i="2"/>
  <c r="L298" i="2"/>
  <c r="M298" i="2"/>
  <c r="N298" i="2"/>
  <c r="E301" i="2"/>
  <c r="F301" i="2"/>
  <c r="H301" i="2"/>
  <c r="O301" i="2"/>
  <c r="P301" i="2"/>
  <c r="Q301" i="2"/>
  <c r="R301" i="2"/>
  <c r="S301" i="2"/>
  <c r="T301" i="2"/>
  <c r="G302" i="2"/>
  <c r="J302" i="2"/>
  <c r="L302" i="2" s="1"/>
  <c r="K302" i="2"/>
  <c r="M302" i="2"/>
  <c r="N302" i="2"/>
  <c r="G303" i="2"/>
  <c r="J303" i="2"/>
  <c r="N303" i="2" s="1"/>
  <c r="K303" i="2"/>
  <c r="L303" i="2"/>
  <c r="M303" i="2"/>
  <c r="G304" i="2"/>
  <c r="J304" i="2"/>
  <c r="L304" i="2" s="1"/>
  <c r="K304" i="2"/>
  <c r="M304" i="2"/>
  <c r="N304" i="2"/>
  <c r="G305" i="2"/>
  <c r="J305" i="2"/>
  <c r="K305" i="2"/>
  <c r="L305" i="2"/>
  <c r="M305" i="2"/>
  <c r="N305" i="2"/>
  <c r="G306" i="2"/>
  <c r="J306" i="2"/>
  <c r="K306" i="2"/>
  <c r="M306" i="2"/>
  <c r="G307" i="2"/>
  <c r="J307" i="2"/>
  <c r="K307" i="2"/>
  <c r="M307" i="2"/>
  <c r="G308" i="2"/>
  <c r="J308" i="2"/>
  <c r="N308" i="2" s="1"/>
  <c r="K308" i="2"/>
  <c r="L308" i="2"/>
  <c r="M308" i="2"/>
  <c r="G309" i="2"/>
  <c r="J309" i="2"/>
  <c r="K309" i="2"/>
  <c r="L309" i="2" s="1"/>
  <c r="M309" i="2"/>
  <c r="N309" i="2"/>
  <c r="G310" i="2"/>
  <c r="J310" i="2"/>
  <c r="L310" i="2" s="1"/>
  <c r="K310" i="2"/>
  <c r="M310" i="2"/>
  <c r="N310" i="2"/>
  <c r="G311" i="2"/>
  <c r="J311" i="2"/>
  <c r="N311" i="2" s="1"/>
  <c r="K311" i="2"/>
  <c r="L311" i="2" s="1"/>
  <c r="M311" i="2"/>
  <c r="G312" i="2"/>
  <c r="J312" i="2"/>
  <c r="K312" i="2"/>
  <c r="L312" i="2" s="1"/>
  <c r="M312" i="2"/>
  <c r="N312" i="2"/>
  <c r="E315" i="2"/>
  <c r="F315" i="2"/>
  <c r="H315" i="2"/>
  <c r="O315" i="2"/>
  <c r="P315" i="2"/>
  <c r="Q315" i="2"/>
  <c r="R315" i="2"/>
  <c r="S315" i="2"/>
  <c r="T315" i="2"/>
  <c r="G316" i="2"/>
  <c r="J316" i="2"/>
  <c r="N316" i="2" s="1"/>
  <c r="K316" i="2"/>
  <c r="L316" i="2"/>
  <c r="M316" i="2"/>
  <c r="G317" i="2"/>
  <c r="J317" i="2"/>
  <c r="K317" i="2"/>
  <c r="M317" i="2"/>
  <c r="G318" i="2"/>
  <c r="J318" i="2"/>
  <c r="K318" i="2"/>
  <c r="L318" i="2"/>
  <c r="M318" i="2"/>
  <c r="N318" i="2"/>
  <c r="G319" i="2"/>
  <c r="J319" i="2"/>
  <c r="L319" i="2" s="1"/>
  <c r="K319" i="2"/>
  <c r="M319" i="2"/>
  <c r="G320" i="2"/>
  <c r="J320" i="2"/>
  <c r="N320" i="2" s="1"/>
  <c r="K320" i="2"/>
  <c r="L320" i="2"/>
  <c r="M320" i="2"/>
  <c r="G321" i="2"/>
  <c r="J321" i="2"/>
  <c r="L321" i="2" s="1"/>
  <c r="K321" i="2"/>
  <c r="M321" i="2"/>
  <c r="G322" i="2"/>
  <c r="J322" i="2"/>
  <c r="K322" i="2"/>
  <c r="L322" i="2"/>
  <c r="M322" i="2"/>
  <c r="N322" i="2"/>
  <c r="G323" i="2"/>
  <c r="J323" i="2"/>
  <c r="K323" i="2"/>
  <c r="M323" i="2"/>
  <c r="G324" i="2"/>
  <c r="J324" i="2"/>
  <c r="N324" i="2" s="1"/>
  <c r="K324" i="2"/>
  <c r="L324" i="2" s="1"/>
  <c r="M324" i="2"/>
  <c r="G325" i="2"/>
  <c r="J325" i="2"/>
  <c r="K325" i="2"/>
  <c r="L325" i="2"/>
  <c r="M325" i="2"/>
  <c r="N325" i="2"/>
  <c r="G326" i="2"/>
  <c r="J326" i="2"/>
  <c r="K326" i="2"/>
  <c r="L326" i="2" s="1"/>
  <c r="M326" i="2"/>
  <c r="N326" i="2"/>
  <c r="G327" i="2"/>
  <c r="J327" i="2"/>
  <c r="L327" i="2" s="1"/>
  <c r="K327" i="2"/>
  <c r="M327" i="2"/>
  <c r="G328" i="2"/>
  <c r="J328" i="2"/>
  <c r="K328" i="2"/>
  <c r="M328" i="2"/>
  <c r="G329" i="2"/>
  <c r="J329" i="2"/>
  <c r="L329" i="2" s="1"/>
  <c r="K329" i="2"/>
  <c r="M329" i="2"/>
  <c r="N329" i="2"/>
  <c r="G330" i="2"/>
  <c r="J330" i="2"/>
  <c r="K330" i="2"/>
  <c r="L330" i="2" s="1"/>
  <c r="M330" i="2"/>
  <c r="N330" i="2"/>
  <c r="G331" i="2"/>
  <c r="J331" i="2"/>
  <c r="L331" i="2" s="1"/>
  <c r="K331" i="2"/>
  <c r="M331" i="2"/>
  <c r="N331" i="2"/>
  <c r="G332" i="2"/>
  <c r="J332" i="2"/>
  <c r="N332" i="2" s="1"/>
  <c r="K332" i="2"/>
  <c r="L332" i="2"/>
  <c r="M332" i="2"/>
  <c r="G333" i="2"/>
  <c r="J333" i="2"/>
  <c r="N333" i="2" s="1"/>
  <c r="K333" i="2"/>
  <c r="L333" i="2"/>
  <c r="M333" i="2"/>
  <c r="G334" i="2"/>
  <c r="J334" i="2"/>
  <c r="K334" i="2"/>
  <c r="L334" i="2"/>
  <c r="M334" i="2"/>
  <c r="N334" i="2"/>
  <c r="G335" i="2"/>
  <c r="J335" i="2"/>
  <c r="K335" i="2"/>
  <c r="M335" i="2"/>
  <c r="G336" i="2"/>
  <c r="J336" i="2"/>
  <c r="N336" i="2" s="1"/>
  <c r="K336" i="2"/>
  <c r="L336" i="2"/>
  <c r="M336" i="2"/>
  <c r="G337" i="2"/>
  <c r="J337" i="2"/>
  <c r="N337" i="2" s="1"/>
  <c r="K337" i="2"/>
  <c r="L337" i="2"/>
  <c r="M337" i="2"/>
  <c r="E340" i="2"/>
  <c r="F340" i="2"/>
  <c r="H340" i="2"/>
  <c r="O340" i="2"/>
  <c r="P340" i="2"/>
  <c r="Q340" i="2"/>
  <c r="R340" i="2"/>
  <c r="S340" i="2"/>
  <c r="T340" i="2"/>
  <c r="G341" i="2"/>
  <c r="J341" i="2"/>
  <c r="L341" i="2" s="1"/>
  <c r="K341" i="2"/>
  <c r="M341" i="2"/>
  <c r="N341" i="2"/>
  <c r="G342" i="2"/>
  <c r="J342" i="2"/>
  <c r="K342" i="2"/>
  <c r="M342" i="2"/>
  <c r="G343" i="2"/>
  <c r="J343" i="2"/>
  <c r="N343" i="2" s="1"/>
  <c r="K343" i="2"/>
  <c r="L343" i="2"/>
  <c r="M343" i="2"/>
  <c r="G344" i="2"/>
  <c r="J344" i="2"/>
  <c r="K344" i="2"/>
  <c r="L344" i="2"/>
  <c r="M344" i="2"/>
  <c r="N344" i="2"/>
  <c r="G345" i="2"/>
  <c r="J345" i="2"/>
  <c r="L345" i="2" s="1"/>
  <c r="K345" i="2"/>
  <c r="M345" i="2"/>
  <c r="N345" i="2"/>
  <c r="G346" i="2"/>
  <c r="J346" i="2"/>
  <c r="N346" i="2" s="1"/>
  <c r="K346" i="2"/>
  <c r="L346" i="2"/>
  <c r="M346" i="2"/>
  <c r="G347" i="2"/>
  <c r="J347" i="2"/>
  <c r="K347" i="2"/>
  <c r="L347" i="2"/>
  <c r="M347" i="2"/>
  <c r="N347" i="2"/>
  <c r="G348" i="2"/>
  <c r="J348" i="2"/>
  <c r="K348" i="2"/>
  <c r="L348" i="2"/>
  <c r="M348" i="2"/>
  <c r="N348" i="2"/>
  <c r="G349" i="2"/>
  <c r="J349" i="2"/>
  <c r="K349" i="2"/>
  <c r="M349" i="2"/>
  <c r="G350" i="2"/>
  <c r="J350" i="2"/>
  <c r="N350" i="2" s="1"/>
  <c r="K350" i="2"/>
  <c r="L350" i="2" s="1"/>
  <c r="M350" i="2"/>
  <c r="G351" i="2"/>
  <c r="J351" i="2"/>
  <c r="N351" i="2" s="1"/>
  <c r="K351" i="2"/>
  <c r="L351" i="2"/>
  <c r="M351" i="2"/>
  <c r="G352" i="2"/>
  <c r="J352" i="2"/>
  <c r="K352" i="2"/>
  <c r="L352" i="2" s="1"/>
  <c r="M352" i="2"/>
  <c r="N352" i="2"/>
  <c r="G353" i="2"/>
  <c r="J353" i="2"/>
  <c r="L353" i="2" s="1"/>
  <c r="K353" i="2"/>
  <c r="M353" i="2"/>
  <c r="N353" i="2"/>
  <c r="G354" i="2"/>
  <c r="J354" i="2"/>
  <c r="N354" i="2" s="1"/>
  <c r="K354" i="2"/>
  <c r="L354" i="2" s="1"/>
  <c r="M354" i="2"/>
  <c r="G355" i="2"/>
  <c r="J355" i="2"/>
  <c r="K355" i="2"/>
  <c r="L355" i="2"/>
  <c r="M355" i="2"/>
  <c r="N355" i="2"/>
  <c r="G356" i="2"/>
  <c r="J356" i="2"/>
  <c r="K356" i="2"/>
  <c r="L356" i="2" s="1"/>
  <c r="M356" i="2"/>
  <c r="N356" i="2"/>
  <c r="G357" i="2"/>
  <c r="J357" i="2"/>
  <c r="L357" i="2" s="1"/>
  <c r="K357" i="2"/>
  <c r="M357" i="2"/>
  <c r="N357" i="2"/>
  <c r="G358" i="2"/>
  <c r="J358" i="2"/>
  <c r="K358" i="2"/>
  <c r="M358" i="2"/>
  <c r="G359" i="2"/>
  <c r="J359" i="2"/>
  <c r="K359" i="2"/>
  <c r="L359" i="2" s="1"/>
  <c r="M359" i="2"/>
  <c r="N359" i="2"/>
  <c r="G360" i="2"/>
  <c r="J360" i="2"/>
  <c r="K360" i="2"/>
  <c r="L360" i="2" s="1"/>
  <c r="M360" i="2"/>
  <c r="N360" i="2"/>
  <c r="G361" i="2"/>
  <c r="J361" i="2"/>
  <c r="L361" i="2" s="1"/>
  <c r="K361" i="2"/>
  <c r="M361" i="2"/>
  <c r="N361" i="2"/>
  <c r="G362" i="2"/>
  <c r="J362" i="2"/>
  <c r="K362" i="2"/>
  <c r="M362" i="2"/>
  <c r="G363" i="2"/>
  <c r="J363" i="2"/>
  <c r="K363" i="2"/>
  <c r="M363" i="2"/>
  <c r="N363" i="2"/>
  <c r="G364" i="2"/>
  <c r="J364" i="2"/>
  <c r="K364" i="2"/>
  <c r="L364" i="2"/>
  <c r="M364" i="2"/>
  <c r="N364" i="2"/>
  <c r="G365" i="2"/>
  <c r="J365" i="2"/>
  <c r="K365" i="2"/>
  <c r="M365" i="2"/>
  <c r="G366" i="2"/>
  <c r="J366" i="2"/>
  <c r="K366" i="2"/>
  <c r="M366" i="2"/>
  <c r="E369" i="2"/>
  <c r="F369" i="2"/>
  <c r="H369" i="2"/>
  <c r="O369" i="2"/>
  <c r="P369" i="2"/>
  <c r="Q369" i="2"/>
  <c r="R369" i="2"/>
  <c r="S369" i="2"/>
  <c r="T369" i="2"/>
  <c r="G370" i="2"/>
  <c r="J370" i="2"/>
  <c r="K370" i="2"/>
  <c r="L370" i="2"/>
  <c r="M370" i="2"/>
  <c r="N370" i="2"/>
  <c r="G371" i="2"/>
  <c r="J371" i="2"/>
  <c r="L371" i="2" s="1"/>
  <c r="K371" i="2"/>
  <c r="M371" i="2"/>
  <c r="G372" i="2"/>
  <c r="J372" i="2"/>
  <c r="N372" i="2" s="1"/>
  <c r="K372" i="2"/>
  <c r="M372" i="2"/>
  <c r="G373" i="2"/>
  <c r="J373" i="2"/>
  <c r="N373" i="2" s="1"/>
  <c r="K373" i="2"/>
  <c r="L373" i="2" s="1"/>
  <c r="M373" i="2"/>
  <c r="G374" i="2"/>
  <c r="J374" i="2"/>
  <c r="K374" i="2"/>
  <c r="L374" i="2"/>
  <c r="M374" i="2"/>
  <c r="N374" i="2"/>
  <c r="G375" i="2"/>
  <c r="J375" i="2"/>
  <c r="K375" i="2"/>
  <c r="M375" i="2"/>
  <c r="G376" i="2"/>
  <c r="J376" i="2"/>
  <c r="N376" i="2" s="1"/>
  <c r="K376" i="2"/>
  <c r="M376" i="2"/>
  <c r="G377" i="2"/>
  <c r="J377" i="2"/>
  <c r="N377" i="2" s="1"/>
  <c r="K377" i="2"/>
  <c r="L377" i="2"/>
  <c r="M377" i="2"/>
  <c r="G378" i="2"/>
  <c r="J378" i="2"/>
  <c r="K378" i="2"/>
  <c r="L378" i="2" s="1"/>
  <c r="M378" i="2"/>
  <c r="N378" i="2"/>
  <c r="G379" i="2"/>
  <c r="J379" i="2"/>
  <c r="K379" i="2"/>
  <c r="M379" i="2"/>
  <c r="N379" i="2"/>
  <c r="G380" i="2"/>
  <c r="J380" i="2"/>
  <c r="N380" i="2" s="1"/>
  <c r="K380" i="2"/>
  <c r="L380" i="2" s="1"/>
  <c r="M380" i="2"/>
  <c r="E383" i="2"/>
  <c r="F383" i="2"/>
  <c r="H383" i="2"/>
  <c r="O383" i="2"/>
  <c r="P383" i="2"/>
  <c r="Q383" i="2"/>
  <c r="R383" i="2"/>
  <c r="S383" i="2"/>
  <c r="T383" i="2"/>
  <c r="G384" i="2"/>
  <c r="J384" i="2"/>
  <c r="L384" i="2" s="1"/>
  <c r="K384" i="2"/>
  <c r="M384" i="2"/>
  <c r="G385" i="2"/>
  <c r="J385" i="2"/>
  <c r="N385" i="2" s="1"/>
  <c r="K385" i="2"/>
  <c r="L385" i="2"/>
  <c r="M385" i="2"/>
  <c r="G386" i="2"/>
  <c r="J386" i="2"/>
  <c r="L386" i="2" s="1"/>
  <c r="K386" i="2"/>
  <c r="M386" i="2"/>
  <c r="N386" i="2"/>
  <c r="G387" i="2"/>
  <c r="J387" i="2"/>
  <c r="K387" i="2"/>
  <c r="L387" i="2"/>
  <c r="M387" i="2"/>
  <c r="N387" i="2"/>
  <c r="G388" i="2"/>
  <c r="J388" i="2"/>
  <c r="K388" i="2"/>
  <c r="M388" i="2"/>
  <c r="G389" i="2"/>
  <c r="J389" i="2"/>
  <c r="K389" i="2"/>
  <c r="M389" i="2"/>
  <c r="G390" i="2"/>
  <c r="J390" i="2"/>
  <c r="N390" i="2" s="1"/>
  <c r="K390" i="2"/>
  <c r="M390" i="2"/>
  <c r="G391" i="2"/>
  <c r="J391" i="2"/>
  <c r="K391" i="2"/>
  <c r="L391" i="2" s="1"/>
  <c r="M391" i="2"/>
  <c r="N391" i="2"/>
  <c r="G392" i="2"/>
  <c r="J392" i="2"/>
  <c r="L392" i="2" s="1"/>
  <c r="K392" i="2"/>
  <c r="M392" i="2"/>
  <c r="N392" i="2"/>
  <c r="G393" i="2"/>
  <c r="J393" i="2"/>
  <c r="N393" i="2" s="1"/>
  <c r="K393" i="2"/>
  <c r="L393" i="2"/>
  <c r="M393" i="2"/>
  <c r="G394" i="2"/>
  <c r="J394" i="2"/>
  <c r="K394" i="2"/>
  <c r="L394" i="2"/>
  <c r="M394" i="2"/>
  <c r="N394" i="2"/>
  <c r="G395" i="2"/>
  <c r="J395" i="2"/>
  <c r="K395" i="2"/>
  <c r="L395" i="2"/>
  <c r="M395" i="2"/>
  <c r="N395" i="2"/>
  <c r="G396" i="2"/>
  <c r="J396" i="2"/>
  <c r="K396" i="2"/>
  <c r="M396" i="2"/>
  <c r="G397" i="2"/>
  <c r="J397" i="2"/>
  <c r="K397" i="2"/>
  <c r="M397" i="2"/>
  <c r="G398" i="2"/>
  <c r="J398" i="2"/>
  <c r="L398" i="2" s="1"/>
  <c r="K398" i="2"/>
  <c r="M398" i="2"/>
  <c r="G399" i="2"/>
  <c r="J399" i="2"/>
  <c r="K399" i="2"/>
  <c r="L399" i="2"/>
  <c r="M399" i="2"/>
  <c r="N399" i="2"/>
  <c r="G400" i="2"/>
  <c r="J400" i="2"/>
  <c r="L400" i="2" s="1"/>
  <c r="K400" i="2"/>
  <c r="M400" i="2"/>
  <c r="N400" i="2"/>
  <c r="G401" i="2"/>
  <c r="J401" i="2"/>
  <c r="N401" i="2" s="1"/>
  <c r="K401" i="2"/>
  <c r="L401" i="2"/>
  <c r="M401" i="2"/>
  <c r="G402" i="2"/>
  <c r="J402" i="2"/>
  <c r="N402" i="2" s="1"/>
  <c r="K402" i="2"/>
  <c r="M402" i="2"/>
  <c r="G403" i="2"/>
  <c r="J403" i="2"/>
  <c r="K403" i="2"/>
  <c r="L403" i="2"/>
  <c r="M403" i="2"/>
  <c r="N403" i="2"/>
  <c r="G404" i="2"/>
  <c r="J404" i="2"/>
  <c r="K404" i="2"/>
  <c r="M404" i="2"/>
  <c r="G405" i="2"/>
  <c r="J405" i="2"/>
  <c r="K405" i="2"/>
  <c r="M405" i="2"/>
  <c r="E408" i="2"/>
  <c r="F408" i="2"/>
  <c r="H408" i="2"/>
  <c r="O408" i="2"/>
  <c r="P408" i="2"/>
  <c r="Q408" i="2"/>
  <c r="R408" i="2"/>
  <c r="S408" i="2"/>
  <c r="T408" i="2"/>
  <c r="G409" i="2"/>
  <c r="J409" i="2"/>
  <c r="K409" i="2"/>
  <c r="L409" i="2" s="1"/>
  <c r="M409" i="2"/>
  <c r="N409" i="2"/>
  <c r="G410" i="2"/>
  <c r="J410" i="2"/>
  <c r="K410" i="2"/>
  <c r="M410" i="2"/>
  <c r="G411" i="2"/>
  <c r="J411" i="2"/>
  <c r="K411" i="2"/>
  <c r="M411" i="2"/>
  <c r="G412" i="2"/>
  <c r="J412" i="2"/>
  <c r="L412" i="2" s="1"/>
  <c r="K412" i="2"/>
  <c r="M412" i="2"/>
  <c r="G413" i="2"/>
  <c r="J413" i="2"/>
  <c r="K413" i="2"/>
  <c r="L413" i="2"/>
  <c r="M413" i="2"/>
  <c r="N413" i="2"/>
  <c r="G414" i="2"/>
  <c r="J414" i="2"/>
  <c r="K414" i="2"/>
  <c r="M414" i="2"/>
  <c r="G415" i="2"/>
  <c r="J415" i="2"/>
  <c r="K415" i="2"/>
  <c r="M415" i="2"/>
  <c r="G416" i="2"/>
  <c r="J416" i="2"/>
  <c r="N416" i="2" s="1"/>
  <c r="K416" i="2"/>
  <c r="L416" i="2"/>
  <c r="M416" i="2"/>
  <c r="G417" i="2"/>
  <c r="J417" i="2"/>
  <c r="K417" i="2"/>
  <c r="L417" i="2"/>
  <c r="M417" i="2"/>
  <c r="N417" i="2"/>
  <c r="G418" i="2"/>
  <c r="J418" i="2"/>
  <c r="K418" i="2"/>
  <c r="M418" i="2"/>
  <c r="G419" i="2"/>
  <c r="J419" i="2"/>
  <c r="K419" i="2"/>
  <c r="M419" i="2"/>
  <c r="G420" i="2"/>
  <c r="J420" i="2"/>
  <c r="N420" i="2" s="1"/>
  <c r="K420" i="2"/>
  <c r="M420" i="2"/>
  <c r="G421" i="2"/>
  <c r="J421" i="2"/>
  <c r="K421" i="2"/>
  <c r="L421" i="2" s="1"/>
  <c r="M421" i="2"/>
  <c r="N421" i="2"/>
  <c r="G422" i="2"/>
  <c r="J422" i="2"/>
  <c r="L422" i="2" s="1"/>
  <c r="K422" i="2"/>
  <c r="M422" i="2"/>
  <c r="N422" i="2"/>
  <c r="G423" i="2"/>
  <c r="J423" i="2"/>
  <c r="N423" i="2" s="1"/>
  <c r="K423" i="2"/>
  <c r="L423" i="2" s="1"/>
  <c r="M423" i="2"/>
  <c r="G424" i="2"/>
  <c r="J424" i="2"/>
  <c r="K424" i="2"/>
  <c r="L424" i="2" s="1"/>
  <c r="M424" i="2"/>
  <c r="N424" i="2"/>
  <c r="G425" i="2"/>
  <c r="J425" i="2"/>
  <c r="K425" i="2"/>
  <c r="L425" i="2" s="1"/>
  <c r="M425" i="2"/>
  <c r="N425" i="2"/>
  <c r="G426" i="2"/>
  <c r="J426" i="2"/>
  <c r="K426" i="2"/>
  <c r="M426" i="2"/>
  <c r="N426" i="2"/>
  <c r="G427" i="2"/>
  <c r="J427" i="2"/>
  <c r="K427" i="2"/>
  <c r="M427" i="2"/>
  <c r="G428" i="2"/>
  <c r="J428" i="2"/>
  <c r="K428" i="2"/>
  <c r="M428" i="2"/>
  <c r="E431" i="2"/>
  <c r="F431" i="2"/>
  <c r="H431" i="2"/>
  <c r="O431" i="2"/>
  <c r="P431" i="2"/>
  <c r="Q431" i="2"/>
  <c r="R431" i="2"/>
  <c r="S431" i="2"/>
  <c r="T431" i="2"/>
  <c r="G432" i="2"/>
  <c r="J432" i="2"/>
  <c r="L432" i="2" s="1"/>
  <c r="K432" i="2"/>
  <c r="M432" i="2"/>
  <c r="G433" i="2"/>
  <c r="J433" i="2"/>
  <c r="K433" i="2"/>
  <c r="L433" i="2"/>
  <c r="M433" i="2"/>
  <c r="N433" i="2"/>
  <c r="G434" i="2"/>
  <c r="J434" i="2"/>
  <c r="L434" i="2" s="1"/>
  <c r="K434" i="2"/>
  <c r="M434" i="2"/>
  <c r="G435" i="2"/>
  <c r="J435" i="2"/>
  <c r="N435" i="2" s="1"/>
  <c r="K435" i="2"/>
  <c r="L435" i="2"/>
  <c r="M435" i="2"/>
  <c r="G436" i="2"/>
  <c r="J436" i="2"/>
  <c r="K436" i="2"/>
  <c r="L436" i="2"/>
  <c r="M436" i="2"/>
  <c r="N436" i="2"/>
  <c r="G437" i="2"/>
  <c r="J437" i="2"/>
  <c r="K437" i="2"/>
  <c r="L437" i="2"/>
  <c r="M437" i="2"/>
  <c r="N437" i="2"/>
  <c r="G438" i="2"/>
  <c r="J438" i="2"/>
  <c r="K438" i="2"/>
  <c r="M438" i="2"/>
  <c r="G439" i="2"/>
  <c r="J439" i="2"/>
  <c r="K439" i="2"/>
  <c r="M439" i="2"/>
  <c r="G440" i="2"/>
  <c r="J440" i="2"/>
  <c r="N440" i="2" s="1"/>
  <c r="K440" i="2"/>
  <c r="L440" i="2"/>
  <c r="M440" i="2"/>
  <c r="G441" i="2"/>
  <c r="J441" i="2"/>
  <c r="K441" i="2"/>
  <c r="L441" i="2"/>
  <c r="M441" i="2"/>
  <c r="N441" i="2"/>
  <c r="G442" i="2"/>
  <c r="J442" i="2"/>
  <c r="L442" i="2" s="1"/>
  <c r="K442" i="2"/>
  <c r="M442" i="2"/>
  <c r="N442" i="2"/>
  <c r="G443" i="2"/>
  <c r="J443" i="2"/>
  <c r="N443" i="2" s="1"/>
  <c r="K443" i="2"/>
  <c r="L443" i="2"/>
  <c r="M443" i="2"/>
  <c r="G444" i="2"/>
  <c r="J444" i="2"/>
  <c r="L444" i="2" s="1"/>
  <c r="K444" i="2"/>
  <c r="M444" i="2"/>
  <c r="G445" i="2"/>
  <c r="J445" i="2"/>
  <c r="K445" i="2"/>
  <c r="L445" i="2"/>
  <c r="M445" i="2"/>
  <c r="N445" i="2"/>
  <c r="G446" i="2"/>
  <c r="J446" i="2"/>
  <c r="K446" i="2"/>
  <c r="M446" i="2"/>
  <c r="G447" i="2"/>
  <c r="J447" i="2"/>
  <c r="K447" i="2"/>
  <c r="M447" i="2"/>
  <c r="E450" i="2"/>
  <c r="F450" i="2"/>
  <c r="H450" i="2"/>
  <c r="O450" i="2"/>
  <c r="P450" i="2"/>
  <c r="Q450" i="2"/>
  <c r="R450" i="2"/>
  <c r="S450" i="2"/>
  <c r="T450" i="2"/>
  <c r="G451" i="2"/>
  <c r="J451" i="2"/>
  <c r="K451" i="2"/>
  <c r="M451" i="2"/>
  <c r="N451" i="2"/>
  <c r="G452" i="2"/>
  <c r="J452" i="2"/>
  <c r="K452" i="2"/>
  <c r="L452" i="2"/>
  <c r="M452" i="2"/>
  <c r="N452" i="2"/>
  <c r="G453" i="2"/>
  <c r="J453" i="2"/>
  <c r="L453" i="2" s="1"/>
  <c r="K453" i="2"/>
  <c r="M453" i="2"/>
  <c r="G454" i="2"/>
  <c r="J454" i="2"/>
  <c r="N454" i="2" s="1"/>
  <c r="K454" i="2"/>
  <c r="L454" i="2"/>
  <c r="M454" i="2"/>
  <c r="G455" i="2"/>
  <c r="J455" i="2"/>
  <c r="N455" i="2" s="1"/>
  <c r="K455" i="2"/>
  <c r="L455" i="2"/>
  <c r="M455" i="2"/>
  <c r="G456" i="2"/>
  <c r="J456" i="2"/>
  <c r="K456" i="2"/>
  <c r="L456" i="2"/>
  <c r="M456" i="2"/>
  <c r="N456" i="2"/>
  <c r="G457" i="2"/>
  <c r="J457" i="2"/>
  <c r="K457" i="2"/>
  <c r="M457" i="2"/>
  <c r="G458" i="2"/>
  <c r="J458" i="2"/>
  <c r="N458" i="2" s="1"/>
  <c r="K458" i="2"/>
  <c r="L458" i="2"/>
  <c r="M458" i="2"/>
  <c r="G459" i="2"/>
  <c r="J459" i="2"/>
  <c r="K459" i="2"/>
  <c r="L459" i="2"/>
  <c r="M459" i="2"/>
  <c r="N459" i="2"/>
  <c r="G460" i="2"/>
  <c r="J460" i="2"/>
  <c r="K460" i="2"/>
  <c r="L460" i="2"/>
  <c r="M460" i="2"/>
  <c r="N460" i="2"/>
  <c r="G461" i="2"/>
  <c r="J461" i="2"/>
  <c r="K461" i="2"/>
  <c r="M461" i="2"/>
  <c r="G462" i="2"/>
  <c r="J462" i="2"/>
  <c r="N462" i="2" s="1"/>
  <c r="K462" i="2"/>
  <c r="L462" i="2" s="1"/>
  <c r="M462" i="2"/>
  <c r="G463" i="2"/>
  <c r="J463" i="2"/>
  <c r="K463" i="2"/>
  <c r="L463" i="2"/>
  <c r="M463" i="2"/>
  <c r="N463" i="2"/>
  <c r="G464" i="2"/>
  <c r="J464" i="2"/>
  <c r="K464" i="2"/>
  <c r="L464" i="2" s="1"/>
  <c r="M464" i="2"/>
  <c r="N464" i="2"/>
  <c r="E467" i="2"/>
  <c r="F467" i="2"/>
  <c r="H467" i="2"/>
  <c r="O467" i="2"/>
  <c r="P467" i="2"/>
  <c r="Q467" i="2"/>
  <c r="R467" i="2"/>
  <c r="S467" i="2"/>
  <c r="T467" i="2"/>
  <c r="G468" i="2"/>
  <c r="J468" i="2"/>
  <c r="N468" i="2" s="1"/>
  <c r="K468" i="2"/>
  <c r="L468" i="2"/>
  <c r="M468" i="2"/>
  <c r="G469" i="2"/>
  <c r="J469" i="2"/>
  <c r="K469" i="2"/>
  <c r="L469" i="2"/>
  <c r="M469" i="2"/>
  <c r="N469" i="2"/>
  <c r="G470" i="2"/>
  <c r="J470" i="2"/>
  <c r="L470" i="2" s="1"/>
  <c r="K470" i="2"/>
  <c r="M470" i="2"/>
  <c r="N470" i="2"/>
  <c r="G471" i="2"/>
  <c r="J471" i="2"/>
  <c r="N471" i="2" s="1"/>
  <c r="K471" i="2"/>
  <c r="L471" i="2"/>
  <c r="M471" i="2"/>
  <c r="G472" i="2"/>
  <c r="J472" i="2"/>
  <c r="L472" i="2" s="1"/>
  <c r="K472" i="2"/>
  <c r="M472" i="2"/>
  <c r="N472" i="2"/>
  <c r="G473" i="2"/>
  <c r="J473" i="2"/>
  <c r="K473" i="2"/>
  <c r="L473" i="2"/>
  <c r="M473" i="2"/>
  <c r="N473" i="2"/>
  <c r="G474" i="2"/>
  <c r="J474" i="2"/>
  <c r="K474" i="2"/>
  <c r="M474" i="2"/>
  <c r="G475" i="2"/>
  <c r="J475" i="2"/>
  <c r="K475" i="2"/>
  <c r="M475" i="2"/>
  <c r="G476" i="2"/>
  <c r="J476" i="2"/>
  <c r="L476" i="2" s="1"/>
  <c r="K476" i="2"/>
  <c r="M476" i="2"/>
  <c r="G477" i="2"/>
  <c r="J477" i="2"/>
  <c r="K477" i="2"/>
  <c r="L477" i="2"/>
  <c r="M477" i="2"/>
  <c r="N477" i="2"/>
  <c r="G478" i="2"/>
  <c r="J478" i="2"/>
  <c r="L478" i="2" s="1"/>
  <c r="K478" i="2"/>
  <c r="M478" i="2"/>
  <c r="G479" i="2"/>
  <c r="J479" i="2"/>
  <c r="N479" i="2" s="1"/>
  <c r="K479" i="2"/>
  <c r="L479" i="2"/>
  <c r="M479" i="2"/>
  <c r="G480" i="2"/>
  <c r="J480" i="2"/>
  <c r="N480" i="2" s="1"/>
  <c r="K480" i="2"/>
  <c r="L480" i="2"/>
  <c r="M480" i="2"/>
  <c r="G481" i="2"/>
  <c r="J481" i="2"/>
  <c r="K481" i="2"/>
  <c r="L481" i="2"/>
  <c r="M481" i="2"/>
  <c r="N481" i="2"/>
  <c r="G482" i="2"/>
  <c r="J482" i="2"/>
  <c r="K482" i="2"/>
  <c r="M482" i="2"/>
  <c r="G483" i="2"/>
  <c r="J483" i="2"/>
  <c r="K483" i="2"/>
  <c r="M483" i="2"/>
  <c r="G484" i="2"/>
  <c r="J484" i="2"/>
  <c r="K484" i="2"/>
  <c r="L484" i="2"/>
  <c r="M484" i="2"/>
  <c r="N484" i="2"/>
  <c r="G485" i="2"/>
  <c r="J485" i="2"/>
  <c r="K485" i="2"/>
  <c r="L485" i="2" s="1"/>
  <c r="M485" i="2"/>
  <c r="N485" i="2"/>
  <c r="G486" i="2"/>
  <c r="J486" i="2"/>
  <c r="L486" i="2" s="1"/>
  <c r="K486" i="2"/>
  <c r="M486" i="2"/>
  <c r="N486" i="2"/>
  <c r="G487" i="2"/>
  <c r="J487" i="2"/>
  <c r="N487" i="2" s="1"/>
  <c r="K487" i="2"/>
  <c r="L487" i="2"/>
  <c r="M487" i="2"/>
  <c r="G488" i="2"/>
  <c r="J488" i="2"/>
  <c r="K488" i="2"/>
  <c r="M488" i="2"/>
  <c r="G489" i="2"/>
  <c r="J489" i="2"/>
  <c r="K489" i="2"/>
  <c r="L489" i="2"/>
  <c r="M489" i="2"/>
  <c r="N489" i="2"/>
  <c r="G490" i="2"/>
  <c r="J490" i="2"/>
  <c r="K490" i="2"/>
  <c r="M490" i="2"/>
  <c r="G491" i="2"/>
  <c r="J491" i="2"/>
  <c r="K491" i="2"/>
  <c r="M491" i="2"/>
  <c r="E494" i="2"/>
  <c r="F494" i="2"/>
  <c r="H494" i="2"/>
  <c r="O494" i="2"/>
  <c r="P494" i="2"/>
  <c r="Q494" i="2"/>
  <c r="R494" i="2"/>
  <c r="S494" i="2"/>
  <c r="T494" i="2"/>
  <c r="G495" i="2"/>
  <c r="J495" i="2"/>
  <c r="K495" i="2"/>
  <c r="L495" i="2"/>
  <c r="M495" i="2"/>
  <c r="N495" i="2"/>
  <c r="G496" i="2"/>
  <c r="J496" i="2"/>
  <c r="L496" i="2" s="1"/>
  <c r="K496" i="2"/>
  <c r="M496" i="2"/>
  <c r="G497" i="2"/>
  <c r="J497" i="2"/>
  <c r="K497" i="2"/>
  <c r="M497" i="2"/>
  <c r="G498" i="2"/>
  <c r="J498" i="2"/>
  <c r="L498" i="2" s="1"/>
  <c r="K498" i="2"/>
  <c r="M498" i="2"/>
  <c r="G499" i="2"/>
  <c r="J499" i="2"/>
  <c r="K499" i="2"/>
  <c r="L499" i="2"/>
  <c r="M499" i="2"/>
  <c r="N499" i="2"/>
  <c r="G500" i="2"/>
  <c r="J500" i="2"/>
  <c r="L500" i="2" s="1"/>
  <c r="K500" i="2"/>
  <c r="M500" i="2"/>
  <c r="N500" i="2"/>
  <c r="G501" i="2"/>
  <c r="J501" i="2"/>
  <c r="N501" i="2" s="1"/>
  <c r="K501" i="2"/>
  <c r="M501" i="2"/>
  <c r="G502" i="2"/>
  <c r="J502" i="2"/>
  <c r="N502" i="2" s="1"/>
  <c r="K502" i="2"/>
  <c r="L502" i="2"/>
  <c r="M502" i="2"/>
  <c r="G503" i="2"/>
  <c r="J503" i="2"/>
  <c r="K503" i="2"/>
  <c r="L503" i="2"/>
  <c r="M503" i="2"/>
  <c r="N503" i="2"/>
  <c r="G504" i="2"/>
  <c r="J504" i="2"/>
  <c r="K504" i="2"/>
  <c r="M504" i="2"/>
  <c r="G505" i="2"/>
  <c r="J505" i="2"/>
  <c r="K505" i="2"/>
  <c r="M505" i="2"/>
  <c r="G506" i="2"/>
  <c r="J506" i="2"/>
  <c r="N506" i="2" s="1"/>
  <c r="K506" i="2"/>
  <c r="L506" i="2"/>
  <c r="M506" i="2"/>
  <c r="G507" i="2"/>
  <c r="J507" i="2"/>
  <c r="K507" i="2"/>
  <c r="L507" i="2" s="1"/>
  <c r="M507" i="2"/>
  <c r="N507" i="2"/>
  <c r="G508" i="2"/>
  <c r="J508" i="2"/>
  <c r="K508" i="2"/>
  <c r="M508" i="2"/>
  <c r="N508" i="2"/>
  <c r="G509" i="2"/>
  <c r="J509" i="2"/>
  <c r="N509" i="2" s="1"/>
  <c r="K509" i="2"/>
  <c r="L509" i="2" s="1"/>
  <c r="M509" i="2"/>
  <c r="G510" i="2"/>
  <c r="J510" i="2"/>
  <c r="K510" i="2"/>
  <c r="L510" i="2" s="1"/>
  <c r="M510" i="2"/>
  <c r="N510" i="2"/>
  <c r="G511" i="2"/>
  <c r="J511" i="2"/>
  <c r="K511" i="2"/>
  <c r="L511" i="2" s="1"/>
  <c r="M511" i="2"/>
  <c r="N511" i="2"/>
  <c r="G512" i="2"/>
  <c r="J512" i="2"/>
  <c r="K512" i="2"/>
  <c r="M512" i="2"/>
  <c r="G513" i="2"/>
  <c r="J513" i="2"/>
  <c r="K513" i="2"/>
  <c r="M513" i="2"/>
  <c r="E516" i="2"/>
  <c r="F516" i="2"/>
  <c r="H516" i="2"/>
  <c r="O516" i="2"/>
  <c r="P516" i="2"/>
  <c r="Q516" i="2"/>
  <c r="R516" i="2"/>
  <c r="S516" i="2"/>
  <c r="T516" i="2"/>
  <c r="G517" i="2"/>
  <c r="J517" i="2"/>
  <c r="N517" i="2" s="1"/>
  <c r="K517" i="2"/>
  <c r="M517" i="2"/>
  <c r="G518" i="2"/>
  <c r="J518" i="2"/>
  <c r="N518" i="2" s="1"/>
  <c r="K518" i="2"/>
  <c r="L518" i="2"/>
  <c r="M518" i="2"/>
  <c r="G519" i="2"/>
  <c r="J519" i="2"/>
  <c r="K519" i="2"/>
  <c r="L519" i="2"/>
  <c r="M519" i="2"/>
  <c r="N519" i="2"/>
  <c r="G520" i="2"/>
  <c r="J520" i="2"/>
  <c r="L520" i="2" s="1"/>
  <c r="K520" i="2"/>
  <c r="M520" i="2"/>
  <c r="N520" i="2"/>
  <c r="G521" i="2"/>
  <c r="J521" i="2"/>
  <c r="N521" i="2" s="1"/>
  <c r="K521" i="2"/>
  <c r="M521" i="2"/>
  <c r="G522" i="2"/>
  <c r="J522" i="2"/>
  <c r="L522" i="2" s="1"/>
  <c r="K522" i="2"/>
  <c r="M522" i="2"/>
  <c r="N522" i="2"/>
  <c r="G523" i="2"/>
  <c r="J523" i="2"/>
  <c r="K523" i="2"/>
  <c r="L523" i="2"/>
  <c r="M523" i="2"/>
  <c r="N523" i="2"/>
  <c r="G524" i="2"/>
  <c r="J524" i="2"/>
  <c r="L524" i="2" s="1"/>
  <c r="K524" i="2"/>
  <c r="M524" i="2"/>
  <c r="E527" i="2"/>
  <c r="F527" i="2"/>
  <c r="H527" i="2"/>
  <c r="O527" i="2"/>
  <c r="P527" i="2"/>
  <c r="Q527" i="2"/>
  <c r="R527" i="2"/>
  <c r="S527" i="2"/>
  <c r="T527" i="2"/>
  <c r="G528" i="2"/>
  <c r="J528" i="2"/>
  <c r="N528" i="2" s="1"/>
  <c r="K528" i="2"/>
  <c r="L528" i="2"/>
  <c r="M528" i="2"/>
  <c r="G529" i="2"/>
  <c r="J529" i="2"/>
  <c r="L529" i="2" s="1"/>
  <c r="K529" i="2"/>
  <c r="M529" i="2"/>
  <c r="N529" i="2"/>
  <c r="G530" i="2"/>
  <c r="J530" i="2"/>
  <c r="K530" i="2"/>
  <c r="L530" i="2"/>
  <c r="M530" i="2"/>
  <c r="N530" i="2"/>
  <c r="G531" i="2"/>
  <c r="J531" i="2"/>
  <c r="K531" i="2"/>
  <c r="M531" i="2"/>
  <c r="G532" i="2"/>
  <c r="J532" i="2"/>
  <c r="K532" i="2"/>
  <c r="M532" i="2"/>
  <c r="G533" i="2"/>
  <c r="J533" i="2"/>
  <c r="K533" i="2"/>
  <c r="L533" i="2"/>
  <c r="M533" i="2"/>
  <c r="N533" i="2"/>
  <c r="G534" i="2"/>
  <c r="J534" i="2"/>
  <c r="K534" i="2"/>
  <c r="L534" i="2" s="1"/>
  <c r="M534" i="2"/>
  <c r="N534" i="2"/>
  <c r="G535" i="2"/>
  <c r="J535" i="2"/>
  <c r="K535" i="2"/>
  <c r="M535" i="2"/>
  <c r="G536" i="2"/>
  <c r="J536" i="2"/>
  <c r="K536" i="2"/>
  <c r="M536" i="2"/>
  <c r="G537" i="2"/>
  <c r="J537" i="2"/>
  <c r="L537" i="2" s="1"/>
  <c r="K537" i="2"/>
  <c r="M537" i="2"/>
  <c r="G538" i="2"/>
  <c r="J538" i="2"/>
  <c r="K538" i="2"/>
  <c r="L538" i="2"/>
  <c r="M538" i="2"/>
  <c r="N538" i="2"/>
  <c r="G539" i="2"/>
  <c r="J539" i="2"/>
  <c r="K539" i="2"/>
  <c r="M539" i="2"/>
  <c r="G540" i="2"/>
  <c r="J540" i="2"/>
  <c r="K540" i="2"/>
  <c r="M540" i="2"/>
  <c r="G541" i="2"/>
  <c r="J541" i="2"/>
  <c r="N541" i="2" s="1"/>
  <c r="K541" i="2"/>
  <c r="L541" i="2"/>
  <c r="M541" i="2"/>
  <c r="G542" i="2"/>
  <c r="J542" i="2"/>
  <c r="K542" i="2"/>
  <c r="L542" i="2"/>
  <c r="M542" i="2"/>
  <c r="N542" i="2"/>
  <c r="G543" i="2"/>
  <c r="J543" i="2"/>
  <c r="K543" i="2"/>
  <c r="M543" i="2"/>
  <c r="N543" i="2"/>
  <c r="G544" i="2"/>
  <c r="J544" i="2"/>
  <c r="N544" i="2" s="1"/>
  <c r="K544" i="2"/>
  <c r="L544" i="2"/>
  <c r="M544" i="2"/>
  <c r="G545" i="2"/>
  <c r="J545" i="2"/>
  <c r="N545" i="2" s="1"/>
  <c r="K545" i="2"/>
  <c r="L545" i="2"/>
  <c r="M545" i="2"/>
  <c r="G546" i="2"/>
  <c r="J546" i="2"/>
  <c r="K546" i="2"/>
  <c r="L546" i="2" s="1"/>
  <c r="M546" i="2"/>
  <c r="N546" i="2"/>
  <c r="G547" i="2"/>
  <c r="J547" i="2"/>
  <c r="K547" i="2"/>
  <c r="M547" i="2"/>
  <c r="N547" i="2"/>
  <c r="G548" i="2"/>
  <c r="J548" i="2"/>
  <c r="K548" i="2"/>
  <c r="M548" i="2"/>
  <c r="G549" i="2"/>
  <c r="J549" i="2"/>
  <c r="K549" i="2"/>
  <c r="L549" i="2"/>
  <c r="M549" i="2"/>
  <c r="N549" i="2"/>
  <c r="G550" i="2"/>
  <c r="J550" i="2"/>
  <c r="K550" i="2"/>
  <c r="L550" i="2" s="1"/>
  <c r="M550" i="2"/>
  <c r="N550" i="2"/>
  <c r="E553" i="2"/>
  <c r="F553" i="2"/>
  <c r="H553" i="2"/>
  <c r="O553" i="2"/>
  <c r="P553" i="2"/>
  <c r="Q553" i="2"/>
  <c r="R553" i="2"/>
  <c r="S553" i="2"/>
  <c r="T553" i="2"/>
  <c r="G554" i="2"/>
  <c r="J554" i="2"/>
  <c r="K554" i="2"/>
  <c r="L554" i="2"/>
  <c r="M554" i="2"/>
  <c r="N554" i="2"/>
  <c r="G555" i="2"/>
  <c r="J555" i="2"/>
  <c r="K555" i="2"/>
  <c r="M555" i="2"/>
  <c r="G556" i="2"/>
  <c r="J556" i="2"/>
  <c r="N556" i="2" s="1"/>
  <c r="K556" i="2"/>
  <c r="L556" i="2"/>
  <c r="M556" i="2"/>
  <c r="G557" i="2"/>
  <c r="J557" i="2"/>
  <c r="K557" i="2"/>
  <c r="L557" i="2"/>
  <c r="M557" i="2"/>
  <c r="N557" i="2"/>
  <c r="G558" i="2"/>
  <c r="J558" i="2"/>
  <c r="K558" i="2"/>
  <c r="L558" i="2"/>
  <c r="M558" i="2"/>
  <c r="N558" i="2"/>
  <c r="G559" i="2"/>
  <c r="J559" i="2"/>
  <c r="K559" i="2"/>
  <c r="M559" i="2"/>
  <c r="G560" i="2"/>
  <c r="J560" i="2"/>
  <c r="K560" i="2"/>
  <c r="M560" i="2"/>
  <c r="G561" i="2"/>
  <c r="J561" i="2"/>
  <c r="K561" i="2"/>
  <c r="L561" i="2"/>
  <c r="M561" i="2"/>
  <c r="N561" i="2"/>
  <c r="E564" i="2"/>
  <c r="F564" i="2"/>
  <c r="H564" i="2"/>
  <c r="O564" i="2"/>
  <c r="P564" i="2"/>
  <c r="Q564" i="2"/>
  <c r="R564" i="2"/>
  <c r="S564" i="2"/>
  <c r="T564" i="2"/>
  <c r="G565" i="2"/>
  <c r="J565" i="2"/>
  <c r="K565" i="2"/>
  <c r="L565" i="2"/>
  <c r="M565" i="2"/>
  <c r="N565" i="2"/>
  <c r="G566" i="2"/>
  <c r="J566" i="2"/>
  <c r="L566" i="2" s="1"/>
  <c r="K566" i="2"/>
  <c r="M566" i="2"/>
  <c r="N566" i="2"/>
  <c r="G567" i="2"/>
  <c r="J567" i="2"/>
  <c r="K567" i="2"/>
  <c r="M567" i="2"/>
  <c r="G568" i="2"/>
  <c r="J568" i="2"/>
  <c r="L568" i="2" s="1"/>
  <c r="K568" i="2"/>
  <c r="M568" i="2"/>
  <c r="N568" i="2"/>
  <c r="G569" i="2"/>
  <c r="J569" i="2"/>
  <c r="K569" i="2"/>
  <c r="L569" i="2"/>
  <c r="M569" i="2"/>
  <c r="N569" i="2"/>
  <c r="G570" i="2"/>
  <c r="J570" i="2"/>
  <c r="K570" i="2"/>
  <c r="M570" i="2"/>
  <c r="G571" i="2"/>
  <c r="J571" i="2"/>
  <c r="N571" i="2" s="1"/>
  <c r="K571" i="2"/>
  <c r="M571" i="2"/>
  <c r="G572" i="2"/>
  <c r="J572" i="2"/>
  <c r="K572" i="2"/>
  <c r="M572" i="2"/>
  <c r="G573" i="2"/>
  <c r="J573" i="2"/>
  <c r="K573" i="2"/>
  <c r="L573" i="2"/>
  <c r="M573" i="2"/>
  <c r="N573" i="2"/>
  <c r="G574" i="2"/>
  <c r="J574" i="2"/>
  <c r="K574" i="2"/>
  <c r="M574" i="2"/>
  <c r="N574" i="2"/>
  <c r="G575" i="2"/>
  <c r="J575" i="2"/>
  <c r="N575" i="2" s="1"/>
  <c r="K575" i="2"/>
  <c r="L575" i="2" s="1"/>
  <c r="M575" i="2"/>
  <c r="E578" i="2"/>
  <c r="F578" i="2"/>
  <c r="H578" i="2"/>
  <c r="O578" i="2"/>
  <c r="P578" i="2"/>
  <c r="Q578" i="2"/>
  <c r="R578" i="2"/>
  <c r="S578" i="2"/>
  <c r="T578" i="2"/>
  <c r="G579" i="2"/>
  <c r="J579" i="2"/>
  <c r="L579" i="2" s="1"/>
  <c r="K579" i="2"/>
  <c r="M579" i="2"/>
  <c r="N579" i="2"/>
  <c r="G580" i="2"/>
  <c r="J580" i="2"/>
  <c r="N580" i="2" s="1"/>
  <c r="K580" i="2"/>
  <c r="L580" i="2"/>
  <c r="M580" i="2"/>
  <c r="G581" i="2"/>
  <c r="J581" i="2"/>
  <c r="L581" i="2" s="1"/>
  <c r="K581" i="2"/>
  <c r="M581" i="2"/>
  <c r="G582" i="2"/>
  <c r="J582" i="2"/>
  <c r="K582" i="2"/>
  <c r="L582" i="2"/>
  <c r="M582" i="2"/>
  <c r="N582" i="2"/>
  <c r="G583" i="2"/>
  <c r="J583" i="2"/>
  <c r="K583" i="2"/>
  <c r="M583" i="2"/>
  <c r="N583" i="2"/>
  <c r="G584" i="2"/>
  <c r="J584" i="2"/>
  <c r="N584" i="2" s="1"/>
  <c r="K584" i="2"/>
  <c r="L584" i="2"/>
  <c r="M584" i="2"/>
  <c r="G585" i="2"/>
  <c r="J585" i="2"/>
  <c r="N585" i="2" s="1"/>
  <c r="K585" i="2"/>
  <c r="L585" i="2"/>
  <c r="M585" i="2"/>
  <c r="G586" i="2"/>
  <c r="J586" i="2"/>
  <c r="K586" i="2"/>
  <c r="L586" i="2" s="1"/>
  <c r="M586" i="2"/>
  <c r="N586" i="2"/>
  <c r="G587" i="2"/>
  <c r="J587" i="2"/>
  <c r="K587" i="2"/>
  <c r="M587" i="2"/>
  <c r="N587" i="2"/>
  <c r="G588" i="2"/>
  <c r="J588" i="2"/>
  <c r="N588" i="2" s="1"/>
  <c r="K588" i="2"/>
  <c r="M588" i="2"/>
  <c r="G589" i="2"/>
  <c r="J589" i="2"/>
  <c r="K589" i="2"/>
  <c r="M589" i="2"/>
  <c r="E592" i="2"/>
  <c r="F592" i="2"/>
  <c r="H592" i="2"/>
  <c r="O592" i="2"/>
  <c r="P592" i="2"/>
  <c r="Q592" i="2"/>
  <c r="R592" i="2"/>
  <c r="S592" i="2"/>
  <c r="T592" i="2"/>
  <c r="G593" i="2"/>
  <c r="J593" i="2"/>
  <c r="K593" i="2"/>
  <c r="M593" i="2"/>
  <c r="G594" i="2"/>
  <c r="J594" i="2"/>
  <c r="K594" i="2"/>
  <c r="M594" i="2"/>
  <c r="G595" i="2"/>
  <c r="J595" i="2"/>
  <c r="K595" i="2"/>
  <c r="L595" i="2" s="1"/>
  <c r="M595" i="2"/>
  <c r="N595" i="2"/>
  <c r="G596" i="2"/>
  <c r="J596" i="2"/>
  <c r="K596" i="2"/>
  <c r="L596" i="2" s="1"/>
  <c r="M596" i="2"/>
  <c r="N596" i="2"/>
  <c r="G597" i="2"/>
  <c r="J597" i="2"/>
  <c r="K597" i="2"/>
  <c r="M597" i="2"/>
  <c r="G598" i="2"/>
  <c r="J598" i="2"/>
  <c r="K598" i="2"/>
  <c r="M598" i="2"/>
  <c r="G599" i="2"/>
  <c r="J599" i="2"/>
  <c r="K599" i="2"/>
  <c r="M599" i="2"/>
  <c r="G600" i="2"/>
  <c r="J600" i="2"/>
  <c r="K600" i="2"/>
  <c r="L600" i="2"/>
  <c r="M600" i="2"/>
  <c r="N600" i="2"/>
  <c r="G601" i="2"/>
  <c r="J601" i="2"/>
  <c r="K601" i="2"/>
  <c r="M601" i="2"/>
  <c r="E604" i="2"/>
  <c r="F604" i="2"/>
  <c r="H604" i="2"/>
  <c r="O604" i="2"/>
  <c r="P604" i="2"/>
  <c r="Q604" i="2"/>
  <c r="R604" i="2"/>
  <c r="S604" i="2"/>
  <c r="T604" i="2"/>
  <c r="G605" i="2"/>
  <c r="J605" i="2"/>
  <c r="K605" i="2"/>
  <c r="L605" i="2"/>
  <c r="M605" i="2"/>
  <c r="N605" i="2"/>
  <c r="G606" i="2"/>
  <c r="J606" i="2"/>
  <c r="K606" i="2"/>
  <c r="M606" i="2"/>
  <c r="G607" i="2"/>
  <c r="J607" i="2"/>
  <c r="K607" i="2"/>
  <c r="M607" i="2"/>
  <c r="G608" i="2"/>
  <c r="J608" i="2"/>
  <c r="K608" i="2"/>
  <c r="L608" i="2"/>
  <c r="M608" i="2"/>
  <c r="N608" i="2"/>
  <c r="G609" i="2"/>
  <c r="J609" i="2"/>
  <c r="K609" i="2"/>
  <c r="L609" i="2" s="1"/>
  <c r="M609" i="2"/>
  <c r="N609" i="2"/>
  <c r="G610" i="2"/>
  <c r="J610" i="2"/>
  <c r="L610" i="2" s="1"/>
  <c r="K610" i="2"/>
  <c r="M610" i="2"/>
  <c r="N610" i="2"/>
  <c r="G611" i="2"/>
  <c r="J611" i="2"/>
  <c r="N611" i="2" s="1"/>
  <c r="K611" i="2"/>
  <c r="L611" i="2"/>
  <c r="M611" i="2"/>
  <c r="G612" i="2"/>
  <c r="J612" i="2"/>
  <c r="L612" i="2" s="1"/>
  <c r="K612" i="2"/>
  <c r="M612" i="2"/>
  <c r="N612" i="2"/>
  <c r="G613" i="2"/>
  <c r="J613" i="2"/>
  <c r="K613" i="2"/>
  <c r="L613" i="2"/>
  <c r="M613" i="2"/>
  <c r="N613" i="2"/>
  <c r="E616" i="2"/>
  <c r="F616" i="2"/>
  <c r="H616" i="2"/>
  <c r="O616" i="2"/>
  <c r="P616" i="2"/>
  <c r="Q616" i="2"/>
  <c r="R616" i="2"/>
  <c r="S616" i="2"/>
  <c r="T616" i="2"/>
  <c r="G617" i="2"/>
  <c r="J617" i="2"/>
  <c r="K617" i="2"/>
  <c r="M617" i="2"/>
  <c r="G618" i="2"/>
  <c r="J618" i="2"/>
  <c r="N618" i="2" s="1"/>
  <c r="K618" i="2"/>
  <c r="M618" i="2"/>
  <c r="G619" i="2"/>
  <c r="J619" i="2"/>
  <c r="K619" i="2"/>
  <c r="L619" i="2"/>
  <c r="M619" i="2"/>
  <c r="N619" i="2"/>
  <c r="G620" i="2"/>
  <c r="J620" i="2"/>
  <c r="L620" i="2" s="1"/>
  <c r="K620" i="2"/>
  <c r="M620" i="2"/>
  <c r="N620" i="2"/>
  <c r="G621" i="2"/>
  <c r="J621" i="2"/>
  <c r="N621" i="2" s="1"/>
  <c r="K621" i="2"/>
  <c r="L621" i="2"/>
  <c r="M621" i="2"/>
  <c r="G622" i="2"/>
  <c r="J622" i="2"/>
  <c r="N622" i="2" s="1"/>
  <c r="K622" i="2"/>
  <c r="L622" i="2" s="1"/>
  <c r="M622" i="2"/>
  <c r="G623" i="2"/>
  <c r="J623" i="2"/>
  <c r="K623" i="2"/>
  <c r="L623" i="2" s="1"/>
  <c r="M623" i="2"/>
  <c r="N623" i="2"/>
  <c r="G624" i="2"/>
  <c r="J624" i="2"/>
  <c r="K624" i="2"/>
  <c r="M624" i="2"/>
  <c r="N624" i="2"/>
  <c r="G625" i="2"/>
  <c r="J625" i="2"/>
  <c r="K625" i="2"/>
  <c r="M625" i="2"/>
  <c r="G626" i="2"/>
  <c r="J626" i="2"/>
  <c r="K626" i="2"/>
  <c r="L626" i="2"/>
  <c r="M626" i="2"/>
  <c r="N626" i="2"/>
  <c r="G627" i="2"/>
  <c r="J627" i="2"/>
  <c r="K627" i="2"/>
  <c r="L627" i="2" s="1"/>
  <c r="M627" i="2"/>
  <c r="N627" i="2"/>
  <c r="E630" i="2"/>
  <c r="F630" i="2"/>
  <c r="H630" i="2"/>
  <c r="O630" i="2"/>
  <c r="P630" i="2"/>
  <c r="Q630" i="2"/>
  <c r="R630" i="2"/>
  <c r="S630" i="2"/>
  <c r="T630" i="2"/>
  <c r="G631" i="2"/>
  <c r="J631" i="2"/>
  <c r="K631" i="2"/>
  <c r="L631" i="2"/>
  <c r="M631" i="2"/>
  <c r="N631" i="2"/>
  <c r="G632" i="2"/>
  <c r="J632" i="2"/>
  <c r="L632" i="2" s="1"/>
  <c r="K632" i="2"/>
  <c r="M632" i="2"/>
  <c r="G633" i="2"/>
  <c r="J633" i="2"/>
  <c r="N633" i="2" s="1"/>
  <c r="K633" i="2"/>
  <c r="L633" i="2"/>
  <c r="M633" i="2"/>
  <c r="G634" i="2"/>
  <c r="J634" i="2"/>
  <c r="K634" i="2"/>
  <c r="M634" i="2"/>
  <c r="G635" i="2"/>
  <c r="J635" i="2"/>
  <c r="K635" i="2"/>
  <c r="L635" i="2"/>
  <c r="M635" i="2"/>
  <c r="N635" i="2"/>
  <c r="G636" i="2"/>
  <c r="J636" i="2"/>
  <c r="K636" i="2"/>
  <c r="M636" i="2"/>
  <c r="G637" i="2"/>
  <c r="J637" i="2"/>
  <c r="K637" i="2"/>
  <c r="M637" i="2"/>
  <c r="G638" i="2"/>
  <c r="J638" i="2"/>
  <c r="L638" i="2" s="1"/>
  <c r="K638" i="2"/>
  <c r="M638" i="2"/>
  <c r="N638" i="2"/>
  <c r="G639" i="2"/>
  <c r="J639" i="2"/>
  <c r="K639" i="2"/>
  <c r="L639" i="2"/>
  <c r="M639" i="2"/>
  <c r="N639" i="2"/>
  <c r="E642" i="2"/>
  <c r="F642" i="2"/>
  <c r="H642" i="2"/>
  <c r="O642" i="2"/>
  <c r="P642" i="2"/>
  <c r="Q642" i="2"/>
  <c r="R642" i="2"/>
  <c r="S642" i="2"/>
  <c r="T642" i="2"/>
  <c r="G643" i="2"/>
  <c r="J643" i="2"/>
  <c r="L643" i="2" s="1"/>
  <c r="K643" i="2"/>
  <c r="M643" i="2"/>
  <c r="N643" i="2"/>
  <c r="G644" i="2"/>
  <c r="J644" i="2"/>
  <c r="N644" i="2" s="1"/>
  <c r="K644" i="2"/>
  <c r="L644" i="2"/>
  <c r="M644" i="2"/>
  <c r="G645" i="2"/>
  <c r="J645" i="2"/>
  <c r="K645" i="2"/>
  <c r="M645" i="2"/>
  <c r="G646" i="2"/>
  <c r="J646" i="2"/>
  <c r="K646" i="2"/>
  <c r="L646" i="2"/>
  <c r="M646" i="2"/>
  <c r="N646" i="2"/>
  <c r="G647" i="2"/>
  <c r="J647" i="2"/>
  <c r="K647" i="2"/>
  <c r="M647" i="2"/>
  <c r="G648" i="2"/>
  <c r="J648" i="2"/>
  <c r="N648" i="2" s="1"/>
  <c r="K648" i="2"/>
  <c r="M648" i="2"/>
  <c r="G649" i="2"/>
  <c r="J649" i="2"/>
  <c r="K649" i="2"/>
  <c r="M649" i="2"/>
  <c r="G650" i="2"/>
  <c r="J650" i="2"/>
  <c r="K650" i="2"/>
  <c r="L650" i="2"/>
  <c r="M650" i="2"/>
  <c r="N650" i="2"/>
  <c r="E653" i="2"/>
  <c r="F653" i="2"/>
  <c r="H653" i="2"/>
  <c r="O653" i="2"/>
  <c r="P653" i="2"/>
  <c r="Q653" i="2"/>
  <c r="R653" i="2"/>
  <c r="S653" i="2"/>
  <c r="T653" i="2"/>
  <c r="G654" i="2"/>
  <c r="J654" i="2"/>
  <c r="K654" i="2"/>
  <c r="M654" i="2"/>
  <c r="G655" i="2"/>
  <c r="J655" i="2"/>
  <c r="K655" i="2"/>
  <c r="L655" i="2"/>
  <c r="M655" i="2"/>
  <c r="N655" i="2"/>
  <c r="G656" i="2"/>
  <c r="J656" i="2"/>
  <c r="K656" i="2"/>
  <c r="L656" i="2"/>
  <c r="M656" i="2"/>
  <c r="N656" i="2"/>
  <c r="G657" i="2"/>
  <c r="J657" i="2"/>
  <c r="L657" i="2" s="1"/>
  <c r="K657" i="2"/>
  <c r="M657" i="2"/>
  <c r="G658" i="2"/>
  <c r="J658" i="2"/>
  <c r="N658" i="2" s="1"/>
  <c r="K658" i="2"/>
  <c r="L658" i="2"/>
  <c r="M658" i="2"/>
  <c r="G659" i="2"/>
  <c r="J659" i="2"/>
  <c r="L659" i="2" s="1"/>
  <c r="K659" i="2"/>
  <c r="M659" i="2"/>
  <c r="N659" i="2"/>
  <c r="G660" i="2"/>
  <c r="J660" i="2"/>
  <c r="K660" i="2"/>
  <c r="L660" i="2"/>
  <c r="M660" i="2"/>
  <c r="N660" i="2"/>
  <c r="G661" i="2"/>
  <c r="J661" i="2"/>
  <c r="K661" i="2"/>
  <c r="M661" i="2"/>
  <c r="G662" i="2"/>
  <c r="J662" i="2"/>
  <c r="K662" i="2"/>
  <c r="M662" i="2"/>
  <c r="G663" i="2"/>
  <c r="J663" i="2"/>
  <c r="K663" i="2"/>
  <c r="M663" i="2"/>
  <c r="G664" i="2"/>
  <c r="J664" i="2"/>
  <c r="K664" i="2"/>
  <c r="L664" i="2" s="1"/>
  <c r="M664" i="2"/>
  <c r="N664" i="2"/>
  <c r="G665" i="2"/>
  <c r="J665" i="2"/>
  <c r="L665" i="2" s="1"/>
  <c r="K665" i="2"/>
  <c r="M665" i="2"/>
  <c r="N665" i="2"/>
  <c r="G666" i="2"/>
  <c r="J666" i="2"/>
  <c r="N666" i="2" s="1"/>
  <c r="K666" i="2"/>
  <c r="L666" i="2"/>
  <c r="M666" i="2"/>
  <c r="G667" i="2"/>
  <c r="J667" i="2"/>
  <c r="K667" i="2"/>
  <c r="L667" i="2"/>
  <c r="M667" i="2"/>
  <c r="N667" i="2"/>
  <c r="G668" i="2"/>
  <c r="J668" i="2"/>
  <c r="K668" i="2"/>
  <c r="L668" i="2"/>
  <c r="M668" i="2"/>
  <c r="N668" i="2"/>
  <c r="G669" i="2"/>
  <c r="J669" i="2"/>
  <c r="K669" i="2"/>
  <c r="M669" i="2"/>
  <c r="E672" i="2"/>
  <c r="F672" i="2"/>
  <c r="H672" i="2"/>
  <c r="O672" i="2"/>
  <c r="P672" i="2"/>
  <c r="Q672" i="2"/>
  <c r="R672" i="2"/>
  <c r="S672" i="2"/>
  <c r="T672" i="2"/>
  <c r="G673" i="2"/>
  <c r="J673" i="2"/>
  <c r="K673" i="2"/>
  <c r="L673" i="2"/>
  <c r="M673" i="2"/>
  <c r="N673" i="2"/>
  <c r="G674" i="2"/>
  <c r="J674" i="2"/>
  <c r="L674" i="2" s="1"/>
  <c r="K674" i="2"/>
  <c r="M674" i="2"/>
  <c r="N674" i="2"/>
  <c r="G675" i="2"/>
  <c r="J675" i="2"/>
  <c r="N675" i="2" s="1"/>
  <c r="K675" i="2"/>
  <c r="L675" i="2"/>
  <c r="M675" i="2"/>
  <c r="G676" i="2"/>
  <c r="J676" i="2"/>
  <c r="K676" i="2"/>
  <c r="M676" i="2"/>
  <c r="G677" i="2"/>
  <c r="J677" i="2"/>
  <c r="K677" i="2"/>
  <c r="L677" i="2"/>
  <c r="M677" i="2"/>
  <c r="N677" i="2"/>
  <c r="G678" i="2"/>
  <c r="J678" i="2"/>
  <c r="L678" i="2" s="1"/>
  <c r="K678" i="2"/>
  <c r="M678" i="2"/>
  <c r="G679" i="2"/>
  <c r="J679" i="2"/>
  <c r="K679" i="2"/>
  <c r="M679" i="2"/>
  <c r="E682" i="2"/>
  <c r="F682" i="2"/>
  <c r="H682" i="2"/>
  <c r="O682" i="2"/>
  <c r="P682" i="2"/>
  <c r="Q682" i="2"/>
  <c r="R682" i="2"/>
  <c r="S682" i="2"/>
  <c r="T682" i="2"/>
  <c r="G683" i="2"/>
  <c r="J683" i="2"/>
  <c r="N683" i="2" s="1"/>
  <c r="K683" i="2"/>
  <c r="L683" i="2"/>
  <c r="M683" i="2"/>
  <c r="G684" i="2"/>
  <c r="J684" i="2"/>
  <c r="L684" i="2" s="1"/>
  <c r="K684" i="2"/>
  <c r="M684" i="2"/>
  <c r="G685" i="2"/>
  <c r="J685" i="2"/>
  <c r="K685" i="2"/>
  <c r="L685" i="2"/>
  <c r="M685" i="2"/>
  <c r="N685" i="2"/>
  <c r="G686" i="2"/>
  <c r="J686" i="2"/>
  <c r="K686" i="2"/>
  <c r="M686" i="2"/>
  <c r="N686" i="2"/>
  <c r="G687" i="2"/>
  <c r="J687" i="2"/>
  <c r="N687" i="2" s="1"/>
  <c r="K687" i="2"/>
  <c r="L687" i="2"/>
  <c r="M687" i="2"/>
  <c r="G688" i="2"/>
  <c r="J688" i="2"/>
  <c r="K688" i="2"/>
  <c r="L688" i="2"/>
  <c r="M688" i="2"/>
  <c r="N688" i="2"/>
  <c r="G689" i="2"/>
  <c r="J689" i="2"/>
  <c r="K689" i="2"/>
  <c r="L689" i="2"/>
  <c r="M689" i="2"/>
  <c r="N689" i="2"/>
  <c r="G690" i="2"/>
  <c r="J690" i="2"/>
  <c r="K690" i="2"/>
  <c r="M690" i="2"/>
  <c r="N690" i="2"/>
  <c r="G691" i="2"/>
  <c r="J691" i="2"/>
  <c r="K691" i="2"/>
  <c r="M691" i="2"/>
  <c r="E694" i="2"/>
  <c r="F694" i="2"/>
  <c r="H694" i="2"/>
  <c r="O694" i="2"/>
  <c r="P694" i="2"/>
  <c r="Q694" i="2"/>
  <c r="R694" i="2"/>
  <c r="S694" i="2"/>
  <c r="T694" i="2"/>
  <c r="G695" i="2"/>
  <c r="J695" i="2"/>
  <c r="K695" i="2"/>
  <c r="L695" i="2"/>
  <c r="M695" i="2"/>
  <c r="N695" i="2"/>
  <c r="G696" i="2"/>
  <c r="J696" i="2"/>
  <c r="K696" i="2"/>
  <c r="L696" i="2"/>
  <c r="M696" i="2"/>
  <c r="N696" i="2"/>
  <c r="G697" i="2"/>
  <c r="J697" i="2"/>
  <c r="L697" i="2" s="1"/>
  <c r="K697" i="2"/>
  <c r="M697" i="2"/>
  <c r="G698" i="2"/>
  <c r="J698" i="2"/>
  <c r="N698" i="2" s="1"/>
  <c r="K698" i="2"/>
  <c r="L698" i="2"/>
  <c r="M698" i="2"/>
  <c r="G699" i="2"/>
  <c r="J699" i="2"/>
  <c r="K699" i="2"/>
  <c r="M699" i="2"/>
  <c r="G700" i="2"/>
  <c r="J700" i="2"/>
  <c r="K700" i="2"/>
  <c r="L700" i="2"/>
  <c r="M700" i="2"/>
  <c r="N700" i="2"/>
  <c r="G701" i="2"/>
  <c r="J701" i="2"/>
  <c r="K701" i="2"/>
  <c r="M701" i="2"/>
  <c r="G702" i="2"/>
  <c r="J702" i="2"/>
  <c r="N702" i="2" s="1"/>
  <c r="K702" i="2"/>
  <c r="L702" i="2"/>
  <c r="M702" i="2"/>
  <c r="E705" i="2"/>
  <c r="F705" i="2"/>
  <c r="H705" i="2"/>
  <c r="O705" i="2"/>
  <c r="P705" i="2"/>
  <c r="Q705" i="2"/>
  <c r="R705" i="2"/>
  <c r="S705" i="2"/>
  <c r="T705" i="2"/>
  <c r="G706" i="2"/>
  <c r="J706" i="2"/>
  <c r="K706" i="2"/>
  <c r="L706" i="2"/>
  <c r="M706" i="2"/>
  <c r="N706" i="2"/>
  <c r="G707" i="2"/>
  <c r="J707" i="2"/>
  <c r="L707" i="2" s="1"/>
  <c r="K707" i="2"/>
  <c r="M707" i="2"/>
  <c r="N707" i="2"/>
  <c r="G708" i="2"/>
  <c r="J708" i="2"/>
  <c r="N708" i="2" s="1"/>
  <c r="K708" i="2"/>
  <c r="M708" i="2"/>
  <c r="G709" i="2"/>
  <c r="J709" i="2"/>
  <c r="K709" i="2"/>
  <c r="M709" i="2"/>
  <c r="G710" i="2"/>
  <c r="J710" i="2"/>
  <c r="K710" i="2"/>
  <c r="L710" i="2"/>
  <c r="M710" i="2"/>
  <c r="N710" i="2"/>
  <c r="G711" i="2"/>
  <c r="J711" i="2"/>
  <c r="K711" i="2"/>
  <c r="M711" i="2"/>
  <c r="G712" i="2"/>
  <c r="J712" i="2"/>
  <c r="K712" i="2"/>
  <c r="M712" i="2"/>
  <c r="G713" i="2"/>
  <c r="J713" i="2"/>
  <c r="N713" i="2" s="1"/>
  <c r="K713" i="2"/>
  <c r="L713" i="2"/>
  <c r="M713" i="2"/>
  <c r="G714" i="2"/>
  <c r="J714" i="2"/>
  <c r="K714" i="2"/>
  <c r="L714" i="2" s="1"/>
  <c r="M714" i="2"/>
  <c r="N714" i="2"/>
  <c r="G715" i="2"/>
  <c r="J715" i="2"/>
  <c r="K715" i="2"/>
  <c r="M715" i="2"/>
  <c r="N715" i="2"/>
  <c r="E718" i="2"/>
  <c r="F718" i="2"/>
  <c r="H718" i="2"/>
  <c r="O718" i="2"/>
  <c r="P718" i="2"/>
  <c r="Q718" i="2"/>
  <c r="R718" i="2"/>
  <c r="S718" i="2"/>
  <c r="T718" i="2"/>
  <c r="G719" i="2"/>
  <c r="J719" i="2"/>
  <c r="K719" i="2"/>
  <c r="L719" i="2"/>
  <c r="M719" i="2"/>
  <c r="N719" i="2"/>
  <c r="G720" i="2"/>
  <c r="J720" i="2"/>
  <c r="L720" i="2" s="1"/>
  <c r="K720" i="2"/>
  <c r="M720" i="2"/>
  <c r="N720" i="2"/>
  <c r="G721" i="2"/>
  <c r="J721" i="2"/>
  <c r="N721" i="2" s="1"/>
  <c r="K721" i="2"/>
  <c r="L721" i="2"/>
  <c r="M721" i="2"/>
  <c r="G722" i="2"/>
  <c r="J722" i="2"/>
  <c r="K722" i="2"/>
  <c r="M722" i="2"/>
  <c r="N722" i="2"/>
  <c r="G723" i="2"/>
  <c r="J723" i="2"/>
  <c r="K723" i="2"/>
  <c r="L723" i="2"/>
  <c r="M723" i="2"/>
  <c r="N723" i="2"/>
  <c r="G724" i="2"/>
  <c r="J724" i="2"/>
  <c r="K724" i="2"/>
  <c r="M724" i="2"/>
  <c r="E727" i="2"/>
  <c r="F727" i="2"/>
  <c r="H727" i="2"/>
  <c r="O727" i="2"/>
  <c r="P727" i="2"/>
  <c r="Q727" i="2"/>
  <c r="R727" i="2"/>
  <c r="S727" i="2"/>
  <c r="T727" i="2"/>
  <c r="G728" i="2"/>
  <c r="J728" i="2"/>
  <c r="N728" i="2" s="1"/>
  <c r="K728" i="2"/>
  <c r="L728" i="2"/>
  <c r="M728" i="2"/>
  <c r="G729" i="2"/>
  <c r="J729" i="2"/>
  <c r="L729" i="2" s="1"/>
  <c r="K729" i="2"/>
  <c r="M729" i="2"/>
  <c r="N729" i="2"/>
  <c r="G730" i="2"/>
  <c r="J730" i="2"/>
  <c r="K730" i="2"/>
  <c r="L730" i="2"/>
  <c r="M730" i="2"/>
  <c r="N730" i="2"/>
  <c r="G731" i="2"/>
  <c r="J731" i="2"/>
  <c r="K731" i="2"/>
  <c r="M731" i="2"/>
  <c r="G732" i="2"/>
  <c r="J732" i="2"/>
  <c r="K732" i="2"/>
  <c r="M732" i="2"/>
  <c r="E735" i="2"/>
  <c r="F735" i="2"/>
  <c r="H735" i="2"/>
  <c r="O735" i="2"/>
  <c r="P735" i="2"/>
  <c r="Q735" i="2"/>
  <c r="R735" i="2"/>
  <c r="S735" i="2"/>
  <c r="T735" i="2"/>
  <c r="G736" i="2"/>
  <c r="J736" i="2"/>
  <c r="K736" i="2"/>
  <c r="M736" i="2"/>
  <c r="G737" i="2"/>
  <c r="J737" i="2"/>
  <c r="K737" i="2"/>
  <c r="L737" i="2"/>
  <c r="M737" i="2"/>
  <c r="N737" i="2"/>
  <c r="G738" i="2"/>
  <c r="J738" i="2"/>
  <c r="K738" i="2"/>
  <c r="L738" i="2" s="1"/>
  <c r="M738" i="2"/>
  <c r="N738" i="2"/>
  <c r="G739" i="2"/>
  <c r="J739" i="2"/>
  <c r="K739" i="2"/>
  <c r="M739" i="2"/>
  <c r="G740" i="2"/>
  <c r="J740" i="2"/>
  <c r="N740" i="2" s="1"/>
  <c r="K740" i="2"/>
  <c r="L740" i="2"/>
  <c r="M740" i="2"/>
  <c r="E743" i="2"/>
  <c r="F743" i="2"/>
  <c r="H743" i="2"/>
  <c r="O743" i="2"/>
  <c r="P743" i="2"/>
  <c r="Q743" i="2"/>
  <c r="R743" i="2"/>
  <c r="S743" i="2"/>
  <c r="T743" i="2"/>
  <c r="G744" i="2"/>
  <c r="J744" i="2"/>
  <c r="L744" i="2" s="1"/>
  <c r="K744" i="2"/>
  <c r="M744" i="2"/>
  <c r="G745" i="2"/>
  <c r="J745" i="2"/>
  <c r="K745" i="2"/>
  <c r="L745" i="2"/>
  <c r="M745" i="2"/>
  <c r="N745" i="2"/>
  <c r="G746" i="2"/>
  <c r="J746" i="2"/>
  <c r="L746" i="2" s="1"/>
  <c r="K746" i="2"/>
  <c r="M746" i="2"/>
  <c r="N746" i="2"/>
  <c r="G747" i="2"/>
  <c r="J747" i="2"/>
  <c r="N747" i="2" s="1"/>
  <c r="K747" i="2"/>
  <c r="L747" i="2"/>
  <c r="M747" i="2"/>
  <c r="G748" i="2"/>
  <c r="J748" i="2"/>
  <c r="N748" i="2" s="1"/>
  <c r="K748" i="2"/>
  <c r="L748" i="2"/>
  <c r="M748" i="2"/>
  <c r="E751" i="2"/>
  <c r="F751" i="2"/>
  <c r="H751" i="2"/>
  <c r="O751" i="2"/>
  <c r="P751" i="2"/>
  <c r="Q751" i="2"/>
  <c r="R751" i="2"/>
  <c r="S751" i="2"/>
  <c r="T751" i="2"/>
  <c r="G752" i="2"/>
  <c r="J752" i="2"/>
  <c r="L752" i="2" s="1"/>
  <c r="K752" i="2"/>
  <c r="M752" i="2"/>
  <c r="N752" i="2"/>
  <c r="G753" i="2"/>
  <c r="J753" i="2"/>
  <c r="K753" i="2"/>
  <c r="L753" i="2"/>
  <c r="M753" i="2"/>
  <c r="N753" i="2"/>
  <c r="G754" i="2"/>
  <c r="J754" i="2"/>
  <c r="K754" i="2"/>
  <c r="M754" i="2"/>
  <c r="G755" i="2"/>
  <c r="J755" i="2"/>
  <c r="K755" i="2"/>
  <c r="M755" i="2"/>
  <c r="G756" i="2"/>
  <c r="J756" i="2"/>
  <c r="K756" i="2"/>
  <c r="M756" i="2"/>
  <c r="G757" i="2"/>
  <c r="J757" i="2"/>
  <c r="K757" i="2"/>
  <c r="L757" i="2"/>
  <c r="M757" i="2"/>
  <c r="N757" i="2"/>
  <c r="G758" i="2"/>
  <c r="J758" i="2"/>
  <c r="K758" i="2"/>
  <c r="M758" i="2"/>
  <c r="N758" i="2"/>
  <c r="G759" i="2"/>
  <c r="J759" i="2"/>
  <c r="N759" i="2" s="1"/>
  <c r="K759" i="2"/>
  <c r="L759" i="2"/>
  <c r="M759" i="2"/>
  <c r="G760" i="2"/>
  <c r="J760" i="2"/>
  <c r="K760" i="2"/>
  <c r="L760" i="2"/>
  <c r="M760" i="2"/>
  <c r="N760" i="2"/>
  <c r="G761" i="2"/>
  <c r="J761" i="2"/>
  <c r="K761" i="2"/>
  <c r="L761" i="2" s="1"/>
  <c r="M761" i="2"/>
  <c r="N761" i="2"/>
  <c r="E764" i="2"/>
  <c r="F764" i="2"/>
  <c r="H764" i="2"/>
  <c r="O764" i="2"/>
  <c r="P764" i="2"/>
  <c r="Q764" i="2"/>
  <c r="R764" i="2"/>
  <c r="S764" i="2"/>
  <c r="T764" i="2"/>
  <c r="G765" i="2"/>
  <c r="J765" i="2"/>
  <c r="N765" i="2" s="1"/>
  <c r="K765" i="2"/>
  <c r="L765" i="2"/>
  <c r="M765" i="2"/>
  <c r="G766" i="2"/>
  <c r="J766" i="2"/>
  <c r="K766" i="2"/>
  <c r="L766" i="2"/>
  <c r="M766" i="2"/>
  <c r="N766" i="2"/>
  <c r="G767" i="2"/>
  <c r="J767" i="2"/>
  <c r="K767" i="2"/>
  <c r="M767" i="2"/>
  <c r="G768" i="2"/>
  <c r="J768" i="2"/>
  <c r="K768" i="2"/>
  <c r="M768" i="2"/>
  <c r="G769" i="2"/>
  <c r="J769" i="2"/>
  <c r="K769" i="2"/>
  <c r="L769" i="2"/>
  <c r="M769" i="2"/>
  <c r="N769" i="2"/>
  <c r="G770" i="2"/>
  <c r="J770" i="2"/>
  <c r="K770" i="2"/>
  <c r="L770" i="2" s="1"/>
  <c r="M770" i="2"/>
  <c r="N770" i="2"/>
  <c r="G771" i="2"/>
  <c r="J771" i="2"/>
  <c r="L771" i="2" s="1"/>
  <c r="K771" i="2"/>
  <c r="M771" i="2"/>
  <c r="N771" i="2"/>
  <c r="G772" i="2"/>
  <c r="J772" i="2"/>
  <c r="N772" i="2" s="1"/>
  <c r="K772" i="2"/>
  <c r="L772" i="2"/>
  <c r="M772" i="2"/>
  <c r="G773" i="2"/>
  <c r="J773" i="2"/>
  <c r="L773" i="2" s="1"/>
  <c r="K773" i="2"/>
  <c r="M773" i="2"/>
  <c r="N773" i="2"/>
  <c r="G774" i="2"/>
  <c r="J774" i="2"/>
  <c r="K774" i="2"/>
  <c r="L774" i="2"/>
  <c r="M774" i="2"/>
  <c r="N774" i="2"/>
  <c r="G775" i="2"/>
  <c r="J775" i="2"/>
  <c r="K775" i="2"/>
  <c r="M775" i="2"/>
  <c r="G776" i="2"/>
  <c r="J776" i="2"/>
  <c r="K776" i="2"/>
  <c r="M776" i="2"/>
  <c r="G777" i="2"/>
  <c r="J777" i="2"/>
  <c r="K777" i="2"/>
  <c r="M777" i="2"/>
  <c r="E780" i="2"/>
  <c r="F780" i="2"/>
  <c r="H780" i="2"/>
  <c r="O780" i="2"/>
  <c r="P780" i="2"/>
  <c r="Q780" i="2"/>
  <c r="R780" i="2"/>
  <c r="S780" i="2"/>
  <c r="T780" i="2"/>
  <c r="G781" i="2"/>
  <c r="J781" i="2"/>
  <c r="L781" i="2" s="1"/>
  <c r="K781" i="2"/>
  <c r="M781" i="2"/>
  <c r="N781" i="2"/>
  <c r="G782" i="2"/>
  <c r="J782" i="2"/>
  <c r="K782" i="2"/>
  <c r="M782" i="2"/>
  <c r="G783" i="2"/>
  <c r="J783" i="2"/>
  <c r="K783" i="2"/>
  <c r="L783" i="2"/>
  <c r="M783" i="2"/>
  <c r="N783" i="2"/>
  <c r="G784" i="2"/>
  <c r="J784" i="2"/>
  <c r="K784" i="2"/>
  <c r="L784" i="2" s="1"/>
  <c r="M784" i="2"/>
  <c r="N784" i="2"/>
  <c r="G785" i="2"/>
  <c r="J785" i="2"/>
  <c r="L785" i="2" s="1"/>
  <c r="K785" i="2"/>
  <c r="M785" i="2"/>
  <c r="G786" i="2"/>
  <c r="J786" i="2"/>
  <c r="K786" i="2"/>
  <c r="M786" i="2"/>
  <c r="G787" i="2"/>
  <c r="J787" i="2"/>
  <c r="K787" i="2"/>
  <c r="M787" i="2"/>
  <c r="N787" i="2"/>
  <c r="G788" i="2"/>
  <c r="J788" i="2"/>
  <c r="K788" i="2"/>
  <c r="L788" i="2"/>
  <c r="M788" i="2"/>
  <c r="N788" i="2"/>
  <c r="G789" i="2"/>
  <c r="J789" i="2"/>
  <c r="K789" i="2"/>
  <c r="M789" i="2"/>
  <c r="G790" i="2"/>
  <c r="J790" i="2"/>
  <c r="N790" i="2" s="1"/>
  <c r="K790" i="2"/>
  <c r="M790" i="2"/>
  <c r="G791" i="2"/>
  <c r="J791" i="2"/>
  <c r="N791" i="2" s="1"/>
  <c r="K791" i="2"/>
  <c r="L791" i="2"/>
  <c r="M791" i="2"/>
  <c r="G792" i="2"/>
  <c r="J792" i="2"/>
  <c r="K792" i="2"/>
  <c r="L792" i="2"/>
  <c r="M792" i="2"/>
  <c r="N792" i="2"/>
  <c r="G793" i="2"/>
  <c r="J793" i="2"/>
  <c r="K793" i="2"/>
  <c r="M793" i="2"/>
  <c r="N793" i="2"/>
  <c r="E796" i="2"/>
  <c r="F796" i="2"/>
  <c r="H796" i="2"/>
  <c r="O796" i="2"/>
  <c r="P796" i="2"/>
  <c r="Q796" i="2"/>
  <c r="R796" i="2"/>
  <c r="S796" i="2"/>
  <c r="T796" i="2"/>
  <c r="G797" i="2"/>
  <c r="J797" i="2"/>
  <c r="K797" i="2"/>
  <c r="M797" i="2"/>
  <c r="G798" i="2"/>
  <c r="J798" i="2"/>
  <c r="K798" i="2"/>
  <c r="M798" i="2"/>
  <c r="G799" i="2"/>
  <c r="J799" i="2"/>
  <c r="N799" i="2" s="1"/>
  <c r="K799" i="2"/>
  <c r="L799" i="2"/>
  <c r="M799" i="2"/>
  <c r="G800" i="2"/>
  <c r="J800" i="2"/>
  <c r="K800" i="2"/>
  <c r="L800" i="2"/>
  <c r="M800" i="2"/>
  <c r="N800" i="2"/>
  <c r="G801" i="2"/>
  <c r="J801" i="2"/>
  <c r="L801" i="2" s="1"/>
  <c r="K801" i="2"/>
  <c r="M801" i="2"/>
  <c r="N801" i="2"/>
  <c r="G802" i="2"/>
  <c r="J802" i="2"/>
  <c r="N802" i="2" s="1"/>
  <c r="K802" i="2"/>
  <c r="L802" i="2"/>
  <c r="M802" i="2"/>
  <c r="G803" i="2"/>
  <c r="J803" i="2"/>
  <c r="K803" i="2"/>
  <c r="M803" i="2"/>
  <c r="E806" i="2"/>
  <c r="F806" i="2"/>
  <c r="H806" i="2"/>
  <c r="O806" i="2"/>
  <c r="P806" i="2"/>
  <c r="Q806" i="2"/>
  <c r="R806" i="2"/>
  <c r="S806" i="2"/>
  <c r="T806" i="2"/>
  <c r="G807" i="2"/>
  <c r="J807" i="2"/>
  <c r="K807" i="2"/>
  <c r="L807" i="2"/>
  <c r="M807" i="2"/>
  <c r="N807" i="2"/>
  <c r="G808" i="2"/>
  <c r="J808" i="2"/>
  <c r="L808" i="2" s="1"/>
  <c r="K808" i="2"/>
  <c r="M808" i="2"/>
  <c r="N808" i="2"/>
  <c r="G809" i="2"/>
  <c r="J809" i="2"/>
  <c r="N809" i="2" s="1"/>
  <c r="K809" i="2"/>
  <c r="L809" i="2"/>
  <c r="M809" i="2"/>
  <c r="G810" i="2"/>
  <c r="J810" i="2"/>
  <c r="K810" i="2"/>
  <c r="L810" i="2"/>
  <c r="M810" i="2"/>
  <c r="N810" i="2"/>
  <c r="G811" i="2"/>
  <c r="J811" i="2"/>
  <c r="K811" i="2"/>
  <c r="L811" i="2" s="1"/>
  <c r="M811" i="2"/>
  <c r="N811" i="2"/>
  <c r="G812" i="2"/>
  <c r="J812" i="2"/>
  <c r="K812" i="2"/>
  <c r="M812" i="2"/>
  <c r="N812" i="2"/>
  <c r="G813" i="2"/>
  <c r="J813" i="2"/>
  <c r="N813" i="2" s="1"/>
  <c r="K813" i="2"/>
  <c r="L813" i="2"/>
  <c r="M813" i="2"/>
  <c r="G814" i="2"/>
  <c r="J814" i="2"/>
  <c r="K814" i="2"/>
  <c r="M814" i="2"/>
  <c r="G815" i="2"/>
  <c r="J815" i="2"/>
  <c r="K815" i="2"/>
  <c r="L815" i="2"/>
  <c r="M815" i="2"/>
  <c r="N815" i="2"/>
  <c r="E818" i="2"/>
  <c r="F818" i="2"/>
  <c r="H818" i="2"/>
  <c r="O818" i="2"/>
  <c r="P818" i="2"/>
  <c r="Q818" i="2"/>
  <c r="R818" i="2"/>
  <c r="S818" i="2"/>
  <c r="T818" i="2"/>
  <c r="G819" i="2"/>
  <c r="J819" i="2"/>
  <c r="K819" i="2"/>
  <c r="M819" i="2"/>
  <c r="G820" i="2"/>
  <c r="J820" i="2"/>
  <c r="K820" i="2"/>
  <c r="L820" i="2"/>
  <c r="M820" i="2"/>
  <c r="N820" i="2"/>
  <c r="G821" i="2"/>
  <c r="J821" i="2"/>
  <c r="L821" i="2" s="1"/>
  <c r="K821" i="2"/>
  <c r="M821" i="2"/>
  <c r="G822" i="2"/>
  <c r="J822" i="2"/>
  <c r="N822" i="2" s="1"/>
  <c r="K822" i="2"/>
  <c r="L822" i="2"/>
  <c r="M822" i="2"/>
  <c r="G823" i="2"/>
  <c r="J823" i="2"/>
  <c r="K823" i="2"/>
  <c r="L823" i="2"/>
  <c r="M823" i="2"/>
  <c r="N823" i="2"/>
  <c r="G824" i="2"/>
  <c r="J824" i="2"/>
  <c r="K824" i="2"/>
  <c r="L824" i="2"/>
  <c r="M824" i="2"/>
  <c r="N824" i="2"/>
  <c r="G825" i="2"/>
  <c r="J825" i="2"/>
  <c r="K825" i="2"/>
  <c r="M825" i="2"/>
  <c r="G826" i="2"/>
  <c r="J826" i="2"/>
  <c r="K826" i="2"/>
  <c r="M826" i="2"/>
  <c r="E829" i="2"/>
  <c r="F829" i="2"/>
  <c r="H829" i="2"/>
  <c r="O829" i="2"/>
  <c r="P829" i="2"/>
  <c r="Q829" i="2"/>
  <c r="R829" i="2"/>
  <c r="S829" i="2"/>
  <c r="T829" i="2"/>
  <c r="G830" i="2"/>
  <c r="J830" i="2"/>
  <c r="K830" i="2"/>
  <c r="L830" i="2"/>
  <c r="M830" i="2"/>
  <c r="N830" i="2"/>
  <c r="G831" i="2"/>
  <c r="J831" i="2"/>
  <c r="K831" i="2"/>
  <c r="M831" i="2"/>
  <c r="G832" i="2"/>
  <c r="J832" i="2"/>
  <c r="N832" i="2" s="1"/>
  <c r="K832" i="2"/>
  <c r="L832" i="2"/>
  <c r="M832" i="2"/>
  <c r="G833" i="2"/>
  <c r="J833" i="2"/>
  <c r="K833" i="2"/>
  <c r="L833" i="2"/>
  <c r="M833" i="2"/>
  <c r="N833" i="2"/>
  <c r="G834" i="2"/>
  <c r="J834" i="2"/>
  <c r="K834" i="2"/>
  <c r="L834" i="2" s="1"/>
  <c r="M834" i="2"/>
  <c r="N834" i="2"/>
  <c r="G835" i="2"/>
  <c r="J835" i="2"/>
  <c r="K835" i="2"/>
  <c r="M835" i="2"/>
  <c r="N835" i="2"/>
  <c r="E838" i="2"/>
  <c r="F838" i="2"/>
  <c r="H838" i="2"/>
  <c r="O838" i="2"/>
  <c r="P838" i="2"/>
  <c r="Q838" i="2"/>
  <c r="R838" i="2"/>
  <c r="S838" i="2"/>
  <c r="T838" i="2"/>
  <c r="G839" i="2"/>
  <c r="J839" i="2"/>
  <c r="K839" i="2"/>
  <c r="L839" i="2"/>
  <c r="M839" i="2"/>
  <c r="N839" i="2"/>
  <c r="G840" i="2"/>
  <c r="J840" i="2"/>
  <c r="L840" i="2" s="1"/>
  <c r="K840" i="2"/>
  <c r="M840" i="2"/>
  <c r="N840" i="2"/>
  <c r="G841" i="2"/>
  <c r="J841" i="2"/>
  <c r="N841" i="2" s="1"/>
  <c r="K841" i="2"/>
  <c r="L841" i="2"/>
  <c r="M841" i="2"/>
  <c r="G842" i="2"/>
  <c r="J842" i="2"/>
  <c r="L842" i="2" s="1"/>
  <c r="K842" i="2"/>
  <c r="M842" i="2"/>
  <c r="G843" i="2"/>
  <c r="J843" i="2"/>
  <c r="K843" i="2"/>
  <c r="L843" i="2"/>
  <c r="M843" i="2"/>
  <c r="N843" i="2"/>
  <c r="G844" i="2"/>
  <c r="J844" i="2"/>
  <c r="K844" i="2"/>
  <c r="M844" i="2"/>
  <c r="N844" i="2"/>
  <c r="G845" i="2"/>
  <c r="J845" i="2"/>
  <c r="N845" i="2" s="1"/>
  <c r="K845" i="2"/>
  <c r="M845" i="2"/>
  <c r="G846" i="2"/>
  <c r="J846" i="2"/>
  <c r="K846" i="2"/>
  <c r="L846" i="2"/>
  <c r="M846" i="2"/>
  <c r="N846" i="2"/>
  <c r="G847" i="2"/>
  <c r="J847" i="2"/>
  <c r="K847" i="2"/>
  <c r="L847" i="2" s="1"/>
  <c r="M847" i="2"/>
  <c r="N847" i="2"/>
  <c r="G848" i="2"/>
  <c r="J848" i="2"/>
  <c r="K848" i="2"/>
  <c r="M848" i="2"/>
  <c r="N848" i="2"/>
  <c r="E851" i="2"/>
  <c r="F851" i="2"/>
  <c r="H851" i="2"/>
  <c r="O851" i="2"/>
  <c r="P851" i="2"/>
  <c r="Q851" i="2"/>
  <c r="R851" i="2"/>
  <c r="S851" i="2"/>
  <c r="T851" i="2"/>
  <c r="G852" i="2"/>
  <c r="J852" i="2"/>
  <c r="L852" i="2" s="1"/>
  <c r="K852" i="2"/>
  <c r="M852" i="2"/>
  <c r="N852" i="2"/>
  <c r="G853" i="2"/>
  <c r="J853" i="2"/>
  <c r="K853" i="2"/>
  <c r="L853" i="2"/>
  <c r="M853" i="2"/>
  <c r="N853" i="2"/>
  <c r="G854" i="2"/>
  <c r="J854" i="2"/>
  <c r="L854" i="2" s="1"/>
  <c r="K854" i="2"/>
  <c r="M854" i="2"/>
  <c r="G855" i="2"/>
  <c r="J855" i="2"/>
  <c r="N855" i="2" s="1"/>
  <c r="K855" i="2"/>
  <c r="L855" i="2"/>
  <c r="M855" i="2"/>
  <c r="E858" i="2"/>
  <c r="F858" i="2"/>
  <c r="H858" i="2"/>
  <c r="O858" i="2"/>
  <c r="P858" i="2"/>
  <c r="Q858" i="2"/>
  <c r="R858" i="2"/>
  <c r="S858" i="2"/>
  <c r="T858" i="2"/>
  <c r="G859" i="2"/>
  <c r="J859" i="2"/>
  <c r="K859" i="2"/>
  <c r="M859" i="2"/>
  <c r="G860" i="2"/>
  <c r="J860" i="2"/>
  <c r="K860" i="2"/>
  <c r="M860" i="2"/>
  <c r="G861" i="2"/>
  <c r="J861" i="2"/>
  <c r="K861" i="2"/>
  <c r="M861" i="2"/>
  <c r="G862" i="2"/>
  <c r="J862" i="2"/>
  <c r="K862" i="2"/>
  <c r="L862" i="2"/>
  <c r="M862" i="2"/>
  <c r="N862" i="2"/>
  <c r="G863" i="2"/>
  <c r="J863" i="2"/>
  <c r="L863" i="2" s="1"/>
  <c r="K863" i="2"/>
  <c r="M863" i="2"/>
  <c r="G864" i="2"/>
  <c r="J864" i="2"/>
  <c r="N864" i="2" s="1"/>
  <c r="K864" i="2"/>
  <c r="L864" i="2"/>
  <c r="M864" i="2"/>
  <c r="G865" i="2"/>
  <c r="J865" i="2"/>
  <c r="K865" i="2"/>
  <c r="L865" i="2"/>
  <c r="M865" i="2"/>
  <c r="N865" i="2"/>
  <c r="G866" i="2"/>
  <c r="J866" i="2"/>
  <c r="K866" i="2"/>
  <c r="L866" i="2"/>
  <c r="M866" i="2"/>
  <c r="N866" i="2"/>
  <c r="G867" i="2"/>
  <c r="J867" i="2"/>
  <c r="K867" i="2"/>
  <c r="M867" i="2"/>
  <c r="G868" i="2"/>
  <c r="J868" i="2"/>
  <c r="K868" i="2"/>
  <c r="M868" i="2"/>
  <c r="G869" i="2"/>
  <c r="J869" i="2"/>
  <c r="N869" i="2" s="1"/>
  <c r="K869" i="2"/>
  <c r="L869" i="2"/>
  <c r="M869" i="2"/>
  <c r="G870" i="2"/>
  <c r="J870" i="2"/>
  <c r="K870" i="2"/>
  <c r="L870" i="2" s="1"/>
  <c r="M870" i="2"/>
  <c r="N870" i="2"/>
  <c r="G871" i="2"/>
  <c r="J871" i="2"/>
  <c r="L871" i="2" s="1"/>
  <c r="K871" i="2"/>
  <c r="M871" i="2"/>
  <c r="N871" i="2"/>
  <c r="G872" i="2"/>
  <c r="J872" i="2"/>
  <c r="N872" i="2" s="1"/>
  <c r="K872" i="2"/>
  <c r="L872" i="2" s="1"/>
  <c r="M872" i="2"/>
  <c r="G873" i="2"/>
  <c r="J873" i="2"/>
  <c r="L873" i="2" s="1"/>
  <c r="K873" i="2"/>
  <c r="M873" i="2"/>
  <c r="N873" i="2"/>
  <c r="G874" i="2"/>
  <c r="J874" i="2"/>
  <c r="K874" i="2"/>
  <c r="L874" i="2"/>
  <c r="M874" i="2"/>
  <c r="N874" i="2"/>
  <c r="G875" i="2"/>
  <c r="J875" i="2"/>
  <c r="K875" i="2"/>
  <c r="M875" i="2"/>
  <c r="G876" i="2"/>
  <c r="J876" i="2"/>
  <c r="K876" i="2"/>
  <c r="M876" i="2"/>
  <c r="G877" i="2"/>
  <c r="J877" i="2"/>
  <c r="L877" i="2" s="1"/>
  <c r="K877" i="2"/>
  <c r="M877" i="2"/>
  <c r="G878" i="2"/>
  <c r="J878" i="2"/>
  <c r="K878" i="2"/>
  <c r="L878" i="2"/>
  <c r="M878" i="2"/>
  <c r="N878" i="2"/>
  <c r="G879" i="2"/>
  <c r="J879" i="2"/>
  <c r="L879" i="2" s="1"/>
  <c r="K879" i="2"/>
  <c r="M879" i="2"/>
  <c r="N879" i="2"/>
  <c r="G880" i="2"/>
  <c r="J880" i="2"/>
  <c r="N880" i="2" s="1"/>
  <c r="K880" i="2"/>
  <c r="L880" i="2" s="1"/>
  <c r="M880" i="2"/>
  <c r="E883" i="2"/>
  <c r="F883" i="2"/>
  <c r="H883" i="2"/>
  <c r="O883" i="2"/>
  <c r="P883" i="2"/>
  <c r="Q883" i="2"/>
  <c r="R883" i="2"/>
  <c r="S883" i="2"/>
  <c r="T883" i="2"/>
  <c r="G884" i="2"/>
  <c r="J884" i="2"/>
  <c r="K884" i="2"/>
  <c r="L884" i="2"/>
  <c r="M884" i="2"/>
  <c r="N884" i="2"/>
  <c r="G885" i="2"/>
  <c r="J885" i="2"/>
  <c r="L885" i="2" s="1"/>
  <c r="K885" i="2"/>
  <c r="M885" i="2"/>
  <c r="N885" i="2"/>
  <c r="G886" i="2"/>
  <c r="J886" i="2"/>
  <c r="N886" i="2" s="1"/>
  <c r="K886" i="2"/>
  <c r="L886" i="2"/>
  <c r="M886" i="2"/>
  <c r="G887" i="2"/>
  <c r="J887" i="2"/>
  <c r="K887" i="2"/>
  <c r="M887" i="2"/>
  <c r="G888" i="2"/>
  <c r="J888" i="2"/>
  <c r="K888" i="2"/>
  <c r="L888" i="2" s="1"/>
  <c r="M888" i="2"/>
  <c r="N888" i="2"/>
  <c r="G889" i="2"/>
  <c r="J889" i="2"/>
  <c r="L889" i="2" s="1"/>
  <c r="K889" i="2"/>
  <c r="M889" i="2"/>
  <c r="N889" i="2"/>
  <c r="G890" i="2"/>
  <c r="J890" i="2"/>
  <c r="N890" i="2" s="1"/>
  <c r="K890" i="2"/>
  <c r="M890" i="2"/>
  <c r="G891" i="2"/>
  <c r="J891" i="2"/>
  <c r="K891" i="2"/>
  <c r="L891" i="2" s="1"/>
  <c r="M891" i="2"/>
  <c r="N891" i="2"/>
  <c r="G892" i="2"/>
  <c r="J892" i="2"/>
  <c r="K892" i="2"/>
  <c r="L892" i="2" s="1"/>
  <c r="M892" i="2"/>
  <c r="N892" i="2"/>
  <c r="E895" i="2"/>
  <c r="F895" i="2"/>
  <c r="H895" i="2"/>
  <c r="O895" i="2"/>
  <c r="P895" i="2"/>
  <c r="Q895" i="2"/>
  <c r="R895" i="2"/>
  <c r="S895" i="2"/>
  <c r="T895" i="2"/>
  <c r="G896" i="2"/>
  <c r="J896" i="2"/>
  <c r="L896" i="2" s="1"/>
  <c r="K896" i="2"/>
  <c r="M896" i="2"/>
  <c r="N896" i="2"/>
  <c r="G897" i="2"/>
  <c r="J897" i="2"/>
  <c r="K897" i="2"/>
  <c r="L897" i="2"/>
  <c r="M897" i="2"/>
  <c r="N897" i="2"/>
  <c r="G898" i="2"/>
  <c r="J898" i="2"/>
  <c r="K898" i="2"/>
  <c r="M898" i="2"/>
  <c r="G899" i="2"/>
  <c r="J899" i="2"/>
  <c r="K899" i="2"/>
  <c r="M899" i="2"/>
  <c r="G900" i="2"/>
  <c r="J900" i="2"/>
  <c r="L900" i="2" s="1"/>
  <c r="K900" i="2"/>
  <c r="M900" i="2"/>
  <c r="N900" i="2"/>
  <c r="G901" i="2"/>
  <c r="J901" i="2"/>
  <c r="K901" i="2"/>
  <c r="L901" i="2"/>
  <c r="M901" i="2"/>
  <c r="N901" i="2"/>
  <c r="G902" i="2"/>
  <c r="J902" i="2"/>
  <c r="K902" i="2"/>
  <c r="M902" i="2"/>
  <c r="G903" i="2"/>
  <c r="J903" i="2"/>
  <c r="N903" i="2" s="1"/>
  <c r="K903" i="2"/>
  <c r="L903" i="2"/>
  <c r="M903" i="2"/>
  <c r="E906" i="2"/>
  <c r="F906" i="2"/>
  <c r="H906" i="2"/>
  <c r="O906" i="2"/>
  <c r="P906" i="2"/>
  <c r="Q906" i="2"/>
  <c r="R906" i="2"/>
  <c r="S906" i="2"/>
  <c r="T906" i="2"/>
  <c r="G907" i="2"/>
  <c r="J907" i="2"/>
  <c r="K907" i="2"/>
  <c r="L907" i="2"/>
  <c r="M907" i="2"/>
  <c r="N907" i="2"/>
  <c r="G908" i="2"/>
  <c r="J908" i="2"/>
  <c r="L908" i="2" s="1"/>
  <c r="K908" i="2"/>
  <c r="M908" i="2"/>
  <c r="N908" i="2"/>
  <c r="G909" i="2"/>
  <c r="J909" i="2"/>
  <c r="N909" i="2" s="1"/>
  <c r="K909" i="2"/>
  <c r="L909" i="2"/>
  <c r="M909" i="2"/>
  <c r="G910" i="2"/>
  <c r="J910" i="2"/>
  <c r="L910" i="2" s="1"/>
  <c r="K910" i="2"/>
  <c r="M910" i="2"/>
  <c r="N910" i="2"/>
  <c r="G911" i="2"/>
  <c r="J911" i="2"/>
  <c r="K911" i="2"/>
  <c r="L911" i="2"/>
  <c r="M911" i="2"/>
  <c r="N911" i="2"/>
  <c r="G912" i="2"/>
  <c r="J912" i="2"/>
  <c r="K912" i="2"/>
  <c r="M912" i="2"/>
  <c r="N912" i="2"/>
  <c r="G913" i="2"/>
  <c r="J913" i="2"/>
  <c r="N913" i="2" s="1"/>
  <c r="K913" i="2"/>
  <c r="L913" i="2"/>
  <c r="M913" i="2"/>
  <c r="G914" i="2"/>
  <c r="J914" i="2"/>
  <c r="K914" i="2"/>
  <c r="L914" i="2" s="1"/>
  <c r="M914" i="2"/>
  <c r="N914" i="2"/>
  <c r="G915" i="2"/>
  <c r="J915" i="2"/>
  <c r="K915" i="2"/>
  <c r="L915" i="2" s="1"/>
  <c r="M915" i="2"/>
  <c r="N915" i="2"/>
  <c r="G916" i="2"/>
  <c r="J916" i="2"/>
  <c r="K916" i="2"/>
  <c r="M916" i="2"/>
  <c r="N916" i="2"/>
  <c r="G917" i="2"/>
  <c r="J917" i="2"/>
  <c r="K917" i="2"/>
  <c r="M917" i="2"/>
  <c r="G918" i="2"/>
  <c r="J918" i="2"/>
  <c r="L918" i="2" s="1"/>
  <c r="K918" i="2"/>
  <c r="M918" i="2"/>
  <c r="N918" i="2"/>
  <c r="G919" i="2"/>
  <c r="J919" i="2"/>
  <c r="K919" i="2"/>
  <c r="L919" i="2"/>
  <c r="M919" i="2"/>
  <c r="N919" i="2"/>
  <c r="G920" i="2"/>
  <c r="J920" i="2"/>
  <c r="K920" i="2"/>
  <c r="M920" i="2"/>
  <c r="E923" i="2"/>
  <c r="F923" i="2"/>
  <c r="H923" i="2"/>
  <c r="O923" i="2"/>
  <c r="P923" i="2"/>
  <c r="Q923" i="2"/>
  <c r="R923" i="2"/>
  <c r="S923" i="2"/>
  <c r="T923" i="2"/>
  <c r="G924" i="2"/>
  <c r="J924" i="2"/>
  <c r="K924" i="2"/>
  <c r="L924" i="2"/>
  <c r="M924" i="2"/>
  <c r="N924" i="2"/>
  <c r="G925" i="2"/>
  <c r="J925" i="2"/>
  <c r="L925" i="2" s="1"/>
  <c r="K925" i="2"/>
  <c r="M925" i="2"/>
  <c r="G926" i="2"/>
  <c r="J926" i="2"/>
  <c r="K926" i="2"/>
  <c r="M926" i="2"/>
  <c r="G927" i="2"/>
  <c r="J927" i="2"/>
  <c r="K927" i="2"/>
  <c r="L927" i="2"/>
  <c r="M927" i="2"/>
  <c r="N927" i="2"/>
  <c r="G928" i="2"/>
  <c r="J928" i="2"/>
  <c r="K928" i="2"/>
  <c r="L928" i="2" s="1"/>
  <c r="M928" i="2"/>
  <c r="N928" i="2"/>
  <c r="G929" i="2"/>
  <c r="J929" i="2"/>
  <c r="K929" i="2"/>
  <c r="M929" i="2"/>
  <c r="N929" i="2"/>
  <c r="G930" i="2"/>
  <c r="J930" i="2"/>
  <c r="N930" i="2" s="1"/>
  <c r="K930" i="2"/>
  <c r="L930" i="2"/>
  <c r="M930" i="2"/>
  <c r="G931" i="2"/>
  <c r="J931" i="2"/>
  <c r="L931" i="2" s="1"/>
  <c r="K931" i="2"/>
  <c r="M931" i="2"/>
  <c r="N931" i="2"/>
  <c r="E934" i="2"/>
  <c r="F934" i="2"/>
  <c r="H934" i="2"/>
  <c r="O934" i="2"/>
  <c r="P934" i="2"/>
  <c r="Q934" i="2"/>
  <c r="R934" i="2"/>
  <c r="S934" i="2"/>
  <c r="T934" i="2"/>
  <c r="G935" i="2"/>
  <c r="J935" i="2"/>
  <c r="K935" i="2"/>
  <c r="M935" i="2"/>
  <c r="G936" i="2"/>
  <c r="J936" i="2"/>
  <c r="K936" i="2"/>
  <c r="M936" i="2"/>
  <c r="G937" i="2"/>
  <c r="J937" i="2"/>
  <c r="L937" i="2" s="1"/>
  <c r="K937" i="2"/>
  <c r="M937" i="2"/>
  <c r="N937" i="2"/>
  <c r="G938" i="2"/>
  <c r="J938" i="2"/>
  <c r="K938" i="2"/>
  <c r="L938" i="2"/>
  <c r="M938" i="2"/>
  <c r="N938" i="2"/>
  <c r="G939" i="2"/>
  <c r="J939" i="2"/>
  <c r="L939" i="2" s="1"/>
  <c r="K939" i="2"/>
  <c r="M939" i="2"/>
  <c r="G940" i="2"/>
  <c r="J940" i="2"/>
  <c r="N940" i="2" s="1"/>
  <c r="K940" i="2"/>
  <c r="L940" i="2"/>
  <c r="M940" i="2"/>
  <c r="G941" i="2"/>
  <c r="J941" i="2"/>
  <c r="N941" i="2" s="1"/>
  <c r="K941" i="2"/>
  <c r="L941" i="2"/>
  <c r="M941" i="2"/>
  <c r="G942" i="2"/>
  <c r="J942" i="2"/>
  <c r="K942" i="2"/>
  <c r="L942" i="2"/>
  <c r="M942" i="2"/>
  <c r="N942" i="2"/>
  <c r="G943" i="2"/>
  <c r="J943" i="2"/>
  <c r="K943" i="2"/>
  <c r="M943" i="2"/>
  <c r="G944" i="2"/>
  <c r="J944" i="2"/>
  <c r="K944" i="2"/>
  <c r="M944" i="2"/>
  <c r="G945" i="2"/>
  <c r="J945" i="2"/>
  <c r="K945" i="2"/>
  <c r="L945" i="2"/>
  <c r="M945" i="2"/>
  <c r="N945" i="2"/>
  <c r="G946" i="2"/>
  <c r="J946" i="2"/>
  <c r="K946" i="2"/>
  <c r="L946" i="2"/>
  <c r="M946" i="2"/>
  <c r="N946" i="2"/>
  <c r="G947" i="2"/>
  <c r="J947" i="2"/>
  <c r="K947" i="2"/>
  <c r="M947" i="2"/>
  <c r="G948" i="2"/>
  <c r="J948" i="2"/>
  <c r="N948" i="2" s="1"/>
  <c r="K948" i="2"/>
  <c r="L948" i="2"/>
  <c r="M948" i="2"/>
  <c r="G949" i="2"/>
  <c r="J949" i="2"/>
  <c r="L949" i="2" s="1"/>
  <c r="K949" i="2"/>
  <c r="M949" i="2"/>
  <c r="N949" i="2"/>
  <c r="E952" i="2"/>
  <c r="F952" i="2"/>
  <c r="H952" i="2"/>
  <c r="O952" i="2"/>
  <c r="P952" i="2"/>
  <c r="Q952" i="2"/>
  <c r="R952" i="2"/>
  <c r="S952" i="2"/>
  <c r="T952" i="2"/>
  <c r="G953" i="2"/>
  <c r="J953" i="2"/>
  <c r="N953" i="2" s="1"/>
  <c r="K953" i="2"/>
  <c r="L953" i="2"/>
  <c r="M953" i="2"/>
  <c r="G954" i="2"/>
  <c r="J954" i="2"/>
  <c r="K954" i="2"/>
  <c r="L954" i="2"/>
  <c r="M954" i="2"/>
  <c r="N954" i="2"/>
  <c r="G955" i="2"/>
  <c r="J955" i="2"/>
  <c r="K955" i="2"/>
  <c r="L955" i="2"/>
  <c r="M955" i="2"/>
  <c r="N955" i="2"/>
  <c r="G956" i="2"/>
  <c r="J956" i="2"/>
  <c r="K956" i="2"/>
  <c r="M956" i="2"/>
  <c r="G957" i="2"/>
  <c r="J957" i="2"/>
  <c r="K957" i="2"/>
  <c r="M957" i="2"/>
  <c r="G958" i="2"/>
  <c r="J958" i="2"/>
  <c r="L958" i="2" s="1"/>
  <c r="K958" i="2"/>
  <c r="M958" i="2"/>
  <c r="G959" i="2"/>
  <c r="J959" i="2"/>
  <c r="K959" i="2"/>
  <c r="L959" i="2" s="1"/>
  <c r="M959" i="2"/>
  <c r="N959" i="2"/>
  <c r="G960" i="2"/>
  <c r="J960" i="2"/>
  <c r="L960" i="2" s="1"/>
  <c r="K960" i="2"/>
  <c r="M960" i="2"/>
  <c r="N960" i="2"/>
  <c r="G961" i="2"/>
  <c r="J961" i="2"/>
  <c r="N961" i="2" s="1"/>
  <c r="K961" i="2"/>
  <c r="L961" i="2"/>
  <c r="M961" i="2"/>
  <c r="G962" i="2"/>
  <c r="J962" i="2"/>
  <c r="N962" i="2" s="1"/>
  <c r="K962" i="2"/>
  <c r="L962" i="2"/>
  <c r="M962" i="2"/>
  <c r="G963" i="2"/>
  <c r="J963" i="2"/>
  <c r="K963" i="2"/>
  <c r="L963" i="2"/>
  <c r="M963" i="2"/>
  <c r="N963" i="2"/>
  <c r="G964" i="2"/>
  <c r="J964" i="2"/>
  <c r="K964" i="2"/>
  <c r="M964" i="2"/>
  <c r="G965" i="2"/>
  <c r="J965" i="2"/>
  <c r="K965" i="2"/>
  <c r="M965" i="2"/>
  <c r="E968" i="2"/>
  <c r="F968" i="2"/>
  <c r="H968" i="2"/>
  <c r="O968" i="2"/>
  <c r="P968" i="2"/>
  <c r="Q968" i="2"/>
  <c r="R968" i="2"/>
  <c r="S968" i="2"/>
  <c r="T968" i="2"/>
  <c r="G969" i="2"/>
  <c r="J969" i="2"/>
  <c r="K969" i="2"/>
  <c r="L969" i="2"/>
  <c r="M969" i="2"/>
  <c r="N969" i="2"/>
  <c r="G970" i="2"/>
  <c r="J970" i="2"/>
  <c r="L970" i="2" s="1"/>
  <c r="K970" i="2"/>
  <c r="M970" i="2"/>
  <c r="N970" i="2"/>
  <c r="G971" i="2"/>
  <c r="J971" i="2"/>
  <c r="N971" i="2" s="1"/>
  <c r="K971" i="2"/>
  <c r="L971" i="2"/>
  <c r="M971" i="2"/>
  <c r="G972" i="2"/>
  <c r="J972" i="2"/>
  <c r="K972" i="2"/>
  <c r="L972" i="2"/>
  <c r="M972" i="2"/>
  <c r="N972" i="2"/>
  <c r="G973" i="2"/>
  <c r="J973" i="2"/>
  <c r="K973" i="2"/>
  <c r="L973" i="2"/>
  <c r="M973" i="2"/>
  <c r="N973" i="2"/>
  <c r="G974" i="2"/>
  <c r="J974" i="2"/>
  <c r="K974" i="2"/>
  <c r="M974" i="2"/>
  <c r="N974" i="2"/>
  <c r="G975" i="2"/>
  <c r="J975" i="2"/>
  <c r="N975" i="2" s="1"/>
  <c r="K975" i="2"/>
  <c r="M975" i="2"/>
  <c r="G976" i="2"/>
  <c r="J976" i="2"/>
  <c r="K976" i="2"/>
  <c r="M976" i="2"/>
  <c r="N976" i="2"/>
  <c r="G977" i="2"/>
  <c r="J977" i="2"/>
  <c r="K977" i="2"/>
  <c r="L977" i="2"/>
  <c r="M977" i="2"/>
  <c r="N977" i="2"/>
  <c r="G978" i="2"/>
  <c r="J978" i="2"/>
  <c r="L978" i="2" s="1"/>
  <c r="K978" i="2"/>
  <c r="M978" i="2"/>
  <c r="N978" i="2"/>
  <c r="G979" i="2"/>
  <c r="J979" i="2"/>
  <c r="N979" i="2" s="1"/>
  <c r="K979" i="2"/>
  <c r="L979" i="2"/>
  <c r="M979" i="2"/>
  <c r="G980" i="2"/>
  <c r="J980" i="2"/>
  <c r="N980" i="2" s="1"/>
  <c r="K980" i="2"/>
  <c r="L980" i="2"/>
  <c r="M980" i="2"/>
  <c r="E983" i="2"/>
  <c r="F983" i="2"/>
  <c r="H983" i="2"/>
  <c r="O983" i="2"/>
  <c r="P983" i="2"/>
  <c r="Q983" i="2"/>
  <c r="R983" i="2"/>
  <c r="S983" i="2"/>
  <c r="T983" i="2"/>
  <c r="G984" i="2"/>
  <c r="J984" i="2"/>
  <c r="N984" i="2" s="1"/>
  <c r="K984" i="2"/>
  <c r="M984" i="2"/>
  <c r="G985" i="2"/>
  <c r="J985" i="2"/>
  <c r="K985" i="2"/>
  <c r="L985" i="2"/>
  <c r="M985" i="2"/>
  <c r="N985" i="2"/>
  <c r="G986" i="2"/>
  <c r="J986" i="2"/>
  <c r="K986" i="2"/>
  <c r="L986" i="2"/>
  <c r="M986" i="2"/>
  <c r="N986" i="2"/>
  <c r="G987" i="2"/>
  <c r="J987" i="2"/>
  <c r="L987" i="2" s="1"/>
  <c r="K987" i="2"/>
  <c r="M987" i="2"/>
  <c r="N987" i="2"/>
  <c r="G988" i="2"/>
  <c r="J988" i="2"/>
  <c r="N988" i="2" s="1"/>
  <c r="K988" i="2"/>
  <c r="L988" i="2"/>
  <c r="M988" i="2"/>
  <c r="G989" i="2"/>
  <c r="J989" i="2"/>
  <c r="K989" i="2"/>
  <c r="M989" i="2"/>
  <c r="G990" i="2"/>
  <c r="J990" i="2"/>
  <c r="K990" i="2"/>
  <c r="L990" i="2"/>
  <c r="M990" i="2"/>
  <c r="N990" i="2"/>
  <c r="G991" i="2"/>
  <c r="J991" i="2"/>
  <c r="N991" i="2" s="1"/>
  <c r="K991" i="2"/>
  <c r="M991" i="2"/>
  <c r="G992" i="2"/>
  <c r="J992" i="2"/>
  <c r="K992" i="2"/>
  <c r="M992" i="2"/>
  <c r="G993" i="2"/>
  <c r="J993" i="2"/>
  <c r="K993" i="2"/>
  <c r="L993" i="2"/>
  <c r="M993" i="2"/>
  <c r="N993" i="2"/>
  <c r="G994" i="2"/>
  <c r="J994" i="2"/>
  <c r="K994" i="2"/>
  <c r="L994" i="2" s="1"/>
  <c r="M994" i="2"/>
  <c r="N994" i="2"/>
  <c r="G995" i="2"/>
  <c r="J995" i="2"/>
  <c r="K995" i="2"/>
  <c r="M995" i="2"/>
  <c r="N995" i="2"/>
  <c r="G996" i="2"/>
  <c r="J996" i="2"/>
  <c r="N996" i="2" s="1"/>
  <c r="K996" i="2"/>
  <c r="M996" i="2"/>
  <c r="G997" i="2"/>
  <c r="J997" i="2"/>
  <c r="L997" i="2" s="1"/>
  <c r="K997" i="2"/>
  <c r="M997" i="2"/>
  <c r="N997" i="2"/>
  <c r="G998" i="2"/>
  <c r="J998" i="2"/>
  <c r="K998" i="2"/>
  <c r="L998" i="2"/>
  <c r="M998" i="2"/>
  <c r="N998" i="2"/>
  <c r="G999" i="2"/>
  <c r="J999" i="2"/>
  <c r="L999" i="2" s="1"/>
  <c r="K999" i="2"/>
  <c r="M999" i="2"/>
  <c r="E1002" i="2"/>
  <c r="F1002" i="2"/>
  <c r="H1002" i="2"/>
  <c r="O1002" i="2"/>
  <c r="P1002" i="2"/>
  <c r="Q1002" i="2"/>
  <c r="R1002" i="2"/>
  <c r="S1002" i="2"/>
  <c r="T1002" i="2"/>
  <c r="G1003" i="2"/>
  <c r="J1003" i="2"/>
  <c r="K1003" i="2"/>
  <c r="L1003" i="2"/>
  <c r="M1003" i="2"/>
  <c r="N1003" i="2"/>
  <c r="G1004" i="2"/>
  <c r="J1004" i="2"/>
  <c r="K1004" i="2"/>
  <c r="L1004" i="2"/>
  <c r="M1004" i="2"/>
  <c r="N1004" i="2"/>
  <c r="G1005" i="2"/>
  <c r="J1005" i="2"/>
  <c r="L1005" i="2" s="1"/>
  <c r="K1005" i="2"/>
  <c r="M1005" i="2"/>
  <c r="N1005" i="2"/>
  <c r="G1006" i="2"/>
  <c r="J1006" i="2"/>
  <c r="K1006" i="2"/>
  <c r="M1006" i="2"/>
  <c r="G1007" i="2"/>
  <c r="J1007" i="2"/>
  <c r="L1007" i="2" s="1"/>
  <c r="K1007" i="2"/>
  <c r="M1007" i="2"/>
  <c r="G1008" i="2"/>
  <c r="J1008" i="2"/>
  <c r="K1008" i="2"/>
  <c r="L1008" i="2"/>
  <c r="M1008" i="2"/>
  <c r="N1008" i="2"/>
  <c r="G1009" i="2"/>
  <c r="J1009" i="2"/>
  <c r="K1009" i="2"/>
  <c r="M1009" i="2"/>
  <c r="N1009" i="2"/>
  <c r="G1010" i="2"/>
  <c r="J1010" i="2"/>
  <c r="K1010" i="2"/>
  <c r="M1010" i="2"/>
  <c r="G1011" i="2"/>
  <c r="J1011" i="2"/>
  <c r="N1011" i="2" s="1"/>
  <c r="K1011" i="2"/>
  <c r="L1011" i="2"/>
  <c r="M1011" i="2"/>
  <c r="G1012" i="2"/>
  <c r="J1012" i="2"/>
  <c r="K1012" i="2"/>
  <c r="L1012" i="2" s="1"/>
  <c r="M1012" i="2"/>
  <c r="N1012" i="2"/>
  <c r="G1013" i="2"/>
  <c r="J1013" i="2"/>
  <c r="K1013" i="2"/>
  <c r="M1013" i="2"/>
  <c r="N1013" i="2"/>
  <c r="G1014" i="2"/>
  <c r="J1014" i="2"/>
  <c r="N1014" i="2" s="1"/>
  <c r="K1014" i="2"/>
  <c r="L1014" i="2"/>
  <c r="M1014" i="2"/>
  <c r="G1015" i="2"/>
  <c r="J1015" i="2"/>
  <c r="K1015" i="2"/>
  <c r="M1015" i="2"/>
  <c r="N1015" i="2"/>
  <c r="G1016" i="2"/>
  <c r="J1016" i="2"/>
  <c r="K1016" i="2"/>
  <c r="L1016" i="2" s="1"/>
  <c r="M1016" i="2"/>
  <c r="N1016" i="2"/>
  <c r="G1017" i="2"/>
  <c r="J1017" i="2"/>
  <c r="L1017" i="2" s="1"/>
  <c r="K1017" i="2"/>
  <c r="M1017" i="2"/>
  <c r="N1017" i="2"/>
  <c r="E1020" i="2"/>
  <c r="F1020" i="2"/>
  <c r="H1020" i="2"/>
  <c r="O1020" i="2"/>
  <c r="P1020" i="2"/>
  <c r="Q1020" i="2"/>
  <c r="R1020" i="2"/>
  <c r="S1020" i="2"/>
  <c r="T1020" i="2"/>
  <c r="G1021" i="2"/>
  <c r="J1021" i="2"/>
  <c r="K1021" i="2"/>
  <c r="L1021" i="2"/>
  <c r="M1021" i="2"/>
  <c r="N1021" i="2"/>
  <c r="G1022" i="2"/>
  <c r="J1022" i="2"/>
  <c r="L1022" i="2" s="1"/>
  <c r="K1022" i="2"/>
  <c r="M1022" i="2"/>
  <c r="N1022" i="2"/>
  <c r="G1023" i="2"/>
  <c r="J1023" i="2"/>
  <c r="N1023" i="2" s="1"/>
  <c r="K1023" i="2"/>
  <c r="L1023" i="2"/>
  <c r="M1023" i="2"/>
  <c r="G1024" i="2"/>
  <c r="J1024" i="2"/>
  <c r="L1024" i="2" s="1"/>
  <c r="K1024" i="2"/>
  <c r="M1024" i="2"/>
  <c r="G1025" i="2"/>
  <c r="J1025" i="2"/>
  <c r="K1025" i="2"/>
  <c r="L1025" i="2"/>
  <c r="M1025" i="2"/>
  <c r="N1025" i="2"/>
  <c r="G1026" i="2"/>
  <c r="J1026" i="2"/>
  <c r="L1026" i="2" s="1"/>
  <c r="K1026" i="2"/>
  <c r="M1026" i="2"/>
  <c r="N1026" i="2"/>
  <c r="G1027" i="2"/>
  <c r="J1027" i="2"/>
  <c r="N1027" i="2" s="1"/>
  <c r="K1027" i="2"/>
  <c r="L1027" i="2" s="1"/>
  <c r="M1027" i="2"/>
  <c r="G1028" i="2"/>
  <c r="J1028" i="2"/>
  <c r="K1028" i="2"/>
  <c r="M1028" i="2"/>
  <c r="G1029" i="2"/>
  <c r="J1029" i="2"/>
  <c r="K1029" i="2"/>
  <c r="L1029" i="2"/>
  <c r="M1029" i="2"/>
  <c r="N1029" i="2"/>
  <c r="G1030" i="2"/>
  <c r="J1030" i="2"/>
  <c r="N1030" i="2" s="1"/>
  <c r="K1030" i="2"/>
  <c r="M1030" i="2"/>
  <c r="G1031" i="2"/>
  <c r="J1031" i="2"/>
  <c r="N1031" i="2" s="1"/>
  <c r="K1031" i="2"/>
  <c r="L1031" i="2" s="1"/>
  <c r="M1031" i="2"/>
  <c r="G1032" i="2"/>
  <c r="J1032" i="2"/>
  <c r="L1032" i="2" s="1"/>
  <c r="K1032" i="2"/>
  <c r="M1032" i="2"/>
  <c r="N1032" i="2"/>
  <c r="G1033" i="2"/>
  <c r="J1033" i="2"/>
  <c r="K1033" i="2"/>
  <c r="L1033" i="2"/>
  <c r="M1033" i="2"/>
  <c r="N1033" i="2"/>
  <c r="G1034" i="2"/>
  <c r="J1034" i="2"/>
  <c r="K1034" i="2"/>
  <c r="M1034" i="2"/>
  <c r="G1035" i="2"/>
  <c r="J1035" i="2"/>
  <c r="N1035" i="2" s="1"/>
  <c r="K1035" i="2"/>
  <c r="L1035" i="2"/>
  <c r="M1035" i="2"/>
  <c r="G1036" i="2"/>
  <c r="J1036" i="2"/>
  <c r="L1036" i="2" s="1"/>
  <c r="K1036" i="2"/>
  <c r="M1036" i="2"/>
  <c r="N1036" i="2"/>
  <c r="G1037" i="2"/>
  <c r="J1037" i="2"/>
  <c r="K1037" i="2"/>
  <c r="L1037" i="2" s="1"/>
  <c r="M1037" i="2"/>
  <c r="N1037" i="2"/>
  <c r="G1038" i="2"/>
  <c r="J1038" i="2"/>
  <c r="L1038" i="2" s="1"/>
  <c r="K1038" i="2"/>
  <c r="M1038" i="2"/>
  <c r="G1039" i="2"/>
  <c r="J1039" i="2"/>
  <c r="N1039" i="2" s="1"/>
  <c r="K1039" i="2"/>
  <c r="L1039" i="2"/>
  <c r="M1039" i="2"/>
  <c r="G1040" i="2"/>
  <c r="J1040" i="2"/>
  <c r="K1040" i="2"/>
  <c r="M1040" i="2"/>
  <c r="G1041" i="2"/>
  <c r="J1041" i="2"/>
  <c r="K1041" i="2"/>
  <c r="L1041" i="2" s="1"/>
  <c r="M1041" i="2"/>
  <c r="N1041" i="2"/>
  <c r="G1042" i="2"/>
  <c r="J1042" i="2"/>
  <c r="L1042" i="2" s="1"/>
  <c r="K1042" i="2"/>
  <c r="M1042" i="2"/>
  <c r="N1042" i="2"/>
  <c r="G1043" i="2"/>
  <c r="J1043" i="2"/>
  <c r="N1043" i="2" s="1"/>
  <c r="K1043" i="2"/>
  <c r="L1043" i="2"/>
  <c r="M1043" i="2"/>
  <c r="G1044" i="2"/>
  <c r="J1044" i="2"/>
  <c r="L1044" i="2" s="1"/>
  <c r="K1044" i="2"/>
  <c r="M1044" i="2"/>
  <c r="N1044" i="2"/>
  <c r="G1045" i="2"/>
  <c r="J1045" i="2"/>
  <c r="K1045" i="2"/>
  <c r="L1045" i="2" s="1"/>
  <c r="M1045" i="2"/>
  <c r="N1045" i="2"/>
  <c r="G1046" i="2"/>
  <c r="J1046" i="2"/>
  <c r="K1046" i="2"/>
  <c r="M1046" i="2"/>
  <c r="E1049" i="2"/>
  <c r="F1049" i="2"/>
  <c r="H1049" i="2"/>
  <c r="O1049" i="2"/>
  <c r="P1049" i="2"/>
  <c r="Q1049" i="2"/>
  <c r="R1049" i="2"/>
  <c r="S1049" i="2"/>
  <c r="T1049" i="2"/>
  <c r="G1050" i="2"/>
  <c r="J1050" i="2"/>
  <c r="K1050" i="2"/>
  <c r="L1050" i="2"/>
  <c r="M1050" i="2"/>
  <c r="N1050" i="2"/>
  <c r="G1051" i="2"/>
  <c r="J1051" i="2"/>
  <c r="K1051" i="2"/>
  <c r="L1051" i="2"/>
  <c r="M1051" i="2"/>
  <c r="N1051" i="2"/>
  <c r="G1052" i="2"/>
  <c r="J1052" i="2"/>
  <c r="K1052" i="2"/>
  <c r="M1052" i="2"/>
  <c r="G1053" i="2"/>
  <c r="J1053" i="2"/>
  <c r="K1053" i="2"/>
  <c r="M1053" i="2"/>
  <c r="G1054" i="2"/>
  <c r="J1054" i="2"/>
  <c r="L1054" i="2" s="1"/>
  <c r="K1054" i="2"/>
  <c r="M1054" i="2"/>
  <c r="G1055" i="2"/>
  <c r="J1055" i="2"/>
  <c r="K1055" i="2"/>
  <c r="L1055" i="2"/>
  <c r="M1055" i="2"/>
  <c r="N1055" i="2"/>
  <c r="G1056" i="2"/>
  <c r="J1056" i="2"/>
  <c r="L1056" i="2" s="1"/>
  <c r="K1056" i="2"/>
  <c r="M1056" i="2"/>
  <c r="N1056" i="2"/>
  <c r="G1057" i="2"/>
  <c r="J1057" i="2"/>
  <c r="N1057" i="2" s="1"/>
  <c r="K1057" i="2"/>
  <c r="L1057" i="2"/>
  <c r="M1057" i="2"/>
  <c r="G1058" i="2"/>
  <c r="J1058" i="2"/>
  <c r="N1058" i="2" s="1"/>
  <c r="K1058" i="2"/>
  <c r="L1058" i="2" s="1"/>
  <c r="M1058" i="2"/>
  <c r="G1059" i="2"/>
  <c r="J1059" i="2"/>
  <c r="K1059" i="2"/>
  <c r="L1059" i="2"/>
  <c r="M1059" i="2"/>
  <c r="N1059" i="2"/>
  <c r="G1060" i="2"/>
  <c r="J1060" i="2"/>
  <c r="K1060" i="2"/>
  <c r="M1060" i="2"/>
  <c r="G1061" i="2"/>
  <c r="J1061" i="2"/>
  <c r="K1061" i="2"/>
  <c r="M1061" i="2"/>
  <c r="G1062" i="2"/>
  <c r="J1062" i="2"/>
  <c r="K1062" i="2"/>
  <c r="L1062" i="2"/>
  <c r="M1062" i="2"/>
  <c r="N1062" i="2"/>
  <c r="G1063" i="2"/>
  <c r="J1063" i="2"/>
  <c r="K1063" i="2"/>
  <c r="L1063" i="2" s="1"/>
  <c r="M1063" i="2"/>
  <c r="N1063" i="2"/>
  <c r="G1064" i="2"/>
  <c r="J1064" i="2"/>
  <c r="K1064" i="2"/>
  <c r="M1064" i="2"/>
  <c r="G1065" i="2"/>
  <c r="J1065" i="2"/>
  <c r="N1065" i="2" s="1"/>
  <c r="K1065" i="2"/>
  <c r="L1065" i="2" s="1"/>
  <c r="M1065" i="2"/>
  <c r="G1066" i="2"/>
  <c r="J1066" i="2"/>
  <c r="L1066" i="2" s="1"/>
  <c r="K1066" i="2"/>
  <c r="M1066" i="2"/>
  <c r="N1066" i="2"/>
  <c r="G1067" i="2"/>
  <c r="J1067" i="2"/>
  <c r="K1067" i="2"/>
  <c r="L1067" i="2"/>
  <c r="M1067" i="2"/>
  <c r="N1067" i="2"/>
  <c r="G1068" i="2"/>
  <c r="J1068" i="2"/>
  <c r="K1068" i="2"/>
  <c r="M1068" i="2"/>
  <c r="G1069" i="2"/>
  <c r="J1069" i="2"/>
  <c r="K1069" i="2"/>
  <c r="M1069" i="2"/>
  <c r="G1070" i="2"/>
  <c r="J1070" i="2"/>
  <c r="N1070" i="2" s="1"/>
  <c r="K1070" i="2"/>
  <c r="L1070" i="2"/>
  <c r="M1070" i="2"/>
  <c r="E1073" i="2"/>
  <c r="F1073" i="2"/>
  <c r="H1073" i="2"/>
  <c r="O1073" i="2"/>
  <c r="P1073" i="2"/>
  <c r="Q1073" i="2"/>
  <c r="R1073" i="2"/>
  <c r="S1073" i="2"/>
  <c r="T1073" i="2"/>
  <c r="G1074" i="2"/>
  <c r="J1074" i="2"/>
  <c r="L1074" i="2" s="1"/>
  <c r="K1074" i="2"/>
  <c r="M1074" i="2"/>
  <c r="N1074" i="2"/>
  <c r="G1075" i="2"/>
  <c r="J1075" i="2"/>
  <c r="K1075" i="2"/>
  <c r="L1075" i="2"/>
  <c r="M1075" i="2"/>
  <c r="N1075" i="2"/>
  <c r="G1076" i="2"/>
  <c r="J1076" i="2"/>
  <c r="K1076" i="2"/>
  <c r="M1076" i="2"/>
  <c r="G1077" i="2"/>
  <c r="J1077" i="2"/>
  <c r="N1077" i="2" s="1"/>
  <c r="K1077" i="2"/>
  <c r="L1077" i="2"/>
  <c r="M1077" i="2"/>
  <c r="G1078" i="2"/>
  <c r="J1078" i="2"/>
  <c r="L1078" i="2" s="1"/>
  <c r="K1078" i="2"/>
  <c r="M1078" i="2"/>
  <c r="N1078" i="2"/>
  <c r="G1079" i="2"/>
  <c r="J1079" i="2"/>
  <c r="N1079" i="2" s="1"/>
  <c r="K1079" i="2"/>
  <c r="L1079" i="2"/>
  <c r="M1079" i="2"/>
  <c r="G1080" i="2"/>
  <c r="J1080" i="2"/>
  <c r="N1080" i="2" s="1"/>
  <c r="K1080" i="2"/>
  <c r="M1080" i="2"/>
  <c r="G1081" i="2"/>
  <c r="J1081" i="2"/>
  <c r="K1081" i="2"/>
  <c r="L1081" i="2" s="1"/>
  <c r="M1081" i="2"/>
  <c r="N1081" i="2"/>
  <c r="G1082" i="2"/>
  <c r="J1082" i="2"/>
  <c r="K1082" i="2"/>
  <c r="M1082" i="2"/>
  <c r="N1082" i="2"/>
  <c r="G1083" i="2"/>
  <c r="J1083" i="2"/>
  <c r="N1083" i="2" s="1"/>
  <c r="K1083" i="2"/>
  <c r="L1083" i="2"/>
  <c r="M1083" i="2"/>
  <c r="G1084" i="2"/>
  <c r="J1084" i="2"/>
  <c r="K1084" i="2"/>
  <c r="M1084" i="2"/>
  <c r="G1085" i="2"/>
  <c r="J1085" i="2"/>
  <c r="K1085" i="2"/>
  <c r="L1085" i="2"/>
  <c r="M1085" i="2"/>
  <c r="N1085" i="2"/>
  <c r="G1086" i="2"/>
  <c r="J1086" i="2"/>
  <c r="N1086" i="2" s="1"/>
  <c r="K1086" i="2"/>
  <c r="M1086" i="2"/>
  <c r="G1087" i="2"/>
  <c r="J1087" i="2"/>
  <c r="N1087" i="2" s="1"/>
  <c r="K1087" i="2"/>
  <c r="L1087" i="2"/>
  <c r="M1087" i="2"/>
  <c r="E1090" i="2"/>
  <c r="F1090" i="2"/>
  <c r="H1090" i="2"/>
  <c r="O1090" i="2"/>
  <c r="P1090" i="2"/>
  <c r="Q1090" i="2"/>
  <c r="R1090" i="2"/>
  <c r="S1090" i="2"/>
  <c r="T1090" i="2"/>
  <c r="G1091" i="2"/>
  <c r="J1091" i="2"/>
  <c r="L1091" i="2" s="1"/>
  <c r="K1091" i="2"/>
  <c r="M1091" i="2"/>
  <c r="N1091" i="2"/>
  <c r="G1092" i="2"/>
  <c r="J1092" i="2"/>
  <c r="N1092" i="2" s="1"/>
  <c r="K1092" i="2"/>
  <c r="L1092" i="2"/>
  <c r="M1092" i="2"/>
  <c r="G1093" i="2"/>
  <c r="J1093" i="2"/>
  <c r="L1093" i="2" s="1"/>
  <c r="K1093" i="2"/>
  <c r="M1093" i="2"/>
  <c r="N1093" i="2"/>
  <c r="G1094" i="2"/>
  <c r="J1094" i="2"/>
  <c r="K1094" i="2"/>
  <c r="L1094" i="2"/>
  <c r="M1094" i="2"/>
  <c r="N1094" i="2"/>
  <c r="G1095" i="2"/>
  <c r="J1095" i="2"/>
  <c r="K1095" i="2"/>
  <c r="M1095" i="2"/>
  <c r="G1096" i="2"/>
  <c r="J1096" i="2"/>
  <c r="K1096" i="2"/>
  <c r="M1096" i="2"/>
  <c r="G1097" i="2"/>
  <c r="J1097" i="2"/>
  <c r="L1097" i="2" s="1"/>
  <c r="K1097" i="2"/>
  <c r="M1097" i="2"/>
  <c r="G1098" i="2"/>
  <c r="J1098" i="2"/>
  <c r="K1098" i="2"/>
  <c r="L1098" i="2"/>
  <c r="M1098" i="2"/>
  <c r="N1098" i="2"/>
  <c r="G1099" i="2"/>
  <c r="J1099" i="2"/>
  <c r="L1099" i="2" s="1"/>
  <c r="K1099" i="2"/>
  <c r="M1099" i="2"/>
  <c r="G1100" i="2"/>
  <c r="J1100" i="2"/>
  <c r="K1100" i="2"/>
  <c r="L1100" i="2" s="1"/>
  <c r="M1100" i="2"/>
  <c r="N1100" i="2"/>
  <c r="G1101" i="2"/>
  <c r="J1101" i="2"/>
  <c r="L1101" i="2" s="1"/>
  <c r="K1101" i="2"/>
  <c r="M1101" i="2"/>
  <c r="N1101" i="2"/>
  <c r="G1102" i="2"/>
  <c r="J1102" i="2"/>
  <c r="N1102" i="2" s="1"/>
  <c r="K1102" i="2"/>
  <c r="L1102" i="2"/>
  <c r="M1102" i="2"/>
  <c r="G1103" i="2"/>
  <c r="J1103" i="2"/>
  <c r="L1103" i="2" s="1"/>
  <c r="K1103" i="2"/>
  <c r="M1103" i="2"/>
  <c r="N1103" i="2"/>
  <c r="G1104" i="2"/>
  <c r="J1104" i="2"/>
  <c r="K1104" i="2"/>
  <c r="L1104" i="2"/>
  <c r="M1104" i="2"/>
  <c r="N1104" i="2"/>
  <c r="G1105" i="2"/>
  <c r="J1105" i="2"/>
  <c r="L1105" i="2" s="1"/>
  <c r="K1105" i="2"/>
  <c r="M1105" i="2"/>
  <c r="G1106" i="2"/>
  <c r="J1106" i="2"/>
  <c r="N1106" i="2" s="1"/>
  <c r="K1106" i="2"/>
  <c r="L1106" i="2"/>
  <c r="M1106" i="2"/>
  <c r="G1107" i="2"/>
  <c r="J1107" i="2"/>
  <c r="L1107" i="2" s="1"/>
  <c r="K1107" i="2"/>
  <c r="M1107" i="2"/>
  <c r="N1107" i="2"/>
  <c r="G1108" i="2"/>
  <c r="J1108" i="2"/>
  <c r="K1108" i="2"/>
  <c r="L1108" i="2" s="1"/>
  <c r="M1108" i="2"/>
  <c r="N1108" i="2"/>
  <c r="G1109" i="2"/>
  <c r="J1109" i="2"/>
  <c r="L1109" i="2" s="1"/>
  <c r="K1109" i="2"/>
  <c r="M1109" i="2"/>
  <c r="N1109" i="2"/>
  <c r="G1110" i="2"/>
  <c r="J1110" i="2"/>
  <c r="N1110" i="2" s="1"/>
  <c r="K1110" i="2"/>
  <c r="L1110" i="2"/>
  <c r="M1110" i="2"/>
  <c r="G1111" i="2"/>
  <c r="J1111" i="2"/>
  <c r="L1111" i="2" s="1"/>
  <c r="K1111" i="2"/>
  <c r="M1111" i="2"/>
  <c r="N1111" i="2"/>
  <c r="G1112" i="2"/>
  <c r="J1112" i="2"/>
  <c r="K1112" i="2"/>
  <c r="L1112" i="2"/>
  <c r="M1112" i="2"/>
  <c r="N1112" i="2"/>
  <c r="E1115" i="2"/>
  <c r="F1115" i="2"/>
  <c r="H1115" i="2"/>
  <c r="O1115" i="2"/>
  <c r="P1115" i="2"/>
  <c r="Q1115" i="2"/>
  <c r="R1115" i="2"/>
  <c r="S1115" i="2"/>
  <c r="T1115" i="2"/>
  <c r="G1116" i="2"/>
  <c r="J1116" i="2"/>
  <c r="K1116" i="2"/>
  <c r="L1116" i="2"/>
  <c r="M1116" i="2"/>
  <c r="N1116" i="2"/>
  <c r="G1117" i="2"/>
  <c r="J1117" i="2"/>
  <c r="L1117" i="2" s="1"/>
  <c r="K1117" i="2"/>
  <c r="M1117" i="2"/>
  <c r="G1118" i="2"/>
  <c r="J1118" i="2"/>
  <c r="N1118" i="2" s="1"/>
  <c r="K1118" i="2"/>
  <c r="L1118" i="2"/>
  <c r="M1118" i="2"/>
  <c r="G1119" i="2"/>
  <c r="J1119" i="2"/>
  <c r="L1119" i="2" s="1"/>
  <c r="K1119" i="2"/>
  <c r="M1119" i="2"/>
  <c r="N1119" i="2"/>
  <c r="G1120" i="2"/>
  <c r="J1120" i="2"/>
  <c r="K1120" i="2"/>
  <c r="L1120" i="2"/>
  <c r="M1120" i="2"/>
  <c r="N1120" i="2"/>
  <c r="G1121" i="2"/>
  <c r="J1121" i="2"/>
  <c r="K1121" i="2"/>
  <c r="M1121" i="2"/>
  <c r="G1122" i="2"/>
  <c r="J1122" i="2"/>
  <c r="N1122" i="2" s="1"/>
  <c r="K1122" i="2"/>
  <c r="L1122" i="2"/>
  <c r="M1122" i="2"/>
  <c r="G1123" i="2"/>
  <c r="J1123" i="2"/>
  <c r="L1123" i="2" s="1"/>
  <c r="K1123" i="2"/>
  <c r="M1123" i="2"/>
  <c r="N1123" i="2"/>
  <c r="G1124" i="2"/>
  <c r="J1124" i="2"/>
  <c r="K1124" i="2"/>
  <c r="L1124" i="2" s="1"/>
  <c r="M1124" i="2"/>
  <c r="N1124" i="2"/>
  <c r="G1125" i="2"/>
  <c r="J1125" i="2"/>
  <c r="L1125" i="2" s="1"/>
  <c r="K1125" i="2"/>
  <c r="M1125" i="2"/>
  <c r="N1125" i="2"/>
  <c r="G1126" i="2"/>
  <c r="J1126" i="2"/>
  <c r="N1126" i="2" s="1"/>
  <c r="K1126" i="2"/>
  <c r="L1126" i="2"/>
  <c r="M1126" i="2"/>
  <c r="G1127" i="2"/>
  <c r="J1127" i="2"/>
  <c r="K1127" i="2"/>
  <c r="M1127" i="2"/>
  <c r="G1128" i="2"/>
  <c r="J1128" i="2"/>
  <c r="K1128" i="2"/>
  <c r="L1128" i="2" s="1"/>
  <c r="M1128" i="2"/>
  <c r="N1128" i="2"/>
  <c r="G1129" i="2"/>
  <c r="J1129" i="2"/>
  <c r="L1129" i="2" s="1"/>
  <c r="K1129" i="2"/>
  <c r="M1129" i="2"/>
  <c r="N1129" i="2"/>
  <c r="G1130" i="2"/>
  <c r="J1130" i="2"/>
  <c r="N1130" i="2" s="1"/>
  <c r="K1130" i="2"/>
  <c r="L1130" i="2"/>
  <c r="M1130" i="2"/>
  <c r="G1131" i="2"/>
  <c r="J1131" i="2"/>
  <c r="L1131" i="2" s="1"/>
  <c r="K1131" i="2"/>
  <c r="M1131" i="2"/>
  <c r="G1132" i="2"/>
  <c r="J1132" i="2"/>
  <c r="K1132" i="2"/>
  <c r="L1132" i="2" s="1"/>
  <c r="M1132" i="2"/>
  <c r="N1132" i="2"/>
  <c r="G1133" i="2"/>
  <c r="J1133" i="2"/>
  <c r="K1133" i="2"/>
  <c r="M1133" i="2"/>
  <c r="G1134" i="2"/>
  <c r="J1134" i="2"/>
  <c r="N1134" i="2" s="1"/>
  <c r="K1134" i="2"/>
  <c r="L1134" i="2" s="1"/>
  <c r="M1134" i="2"/>
  <c r="E1137" i="2"/>
  <c r="F1137" i="2"/>
  <c r="H1137" i="2"/>
  <c r="O1137" i="2"/>
  <c r="P1137" i="2"/>
  <c r="Q1137" i="2"/>
  <c r="R1137" i="2"/>
  <c r="S1137" i="2"/>
  <c r="T1137" i="2"/>
  <c r="G1138" i="2"/>
  <c r="J1138" i="2"/>
  <c r="N1138" i="2" s="1"/>
  <c r="K1138" i="2"/>
  <c r="L1138" i="2"/>
  <c r="M1138" i="2"/>
  <c r="G1139" i="2"/>
  <c r="J1139" i="2"/>
  <c r="L1139" i="2" s="1"/>
  <c r="K1139" i="2"/>
  <c r="M1139" i="2"/>
  <c r="G1140" i="2"/>
  <c r="J1140" i="2"/>
  <c r="K1140" i="2"/>
  <c r="L1140" i="2"/>
  <c r="M1140" i="2"/>
  <c r="N1140" i="2"/>
  <c r="G1141" i="2"/>
  <c r="J1141" i="2"/>
  <c r="L1141" i="2" s="1"/>
  <c r="K1141" i="2"/>
  <c r="M1141" i="2"/>
  <c r="N1141" i="2"/>
  <c r="G1142" i="2"/>
  <c r="J1142" i="2"/>
  <c r="N1142" i="2" s="1"/>
  <c r="K1142" i="2"/>
  <c r="L1142" i="2"/>
  <c r="M1142" i="2"/>
  <c r="G1143" i="2"/>
  <c r="J1143" i="2"/>
  <c r="L1143" i="2" s="1"/>
  <c r="K1143" i="2"/>
  <c r="M1143" i="2"/>
  <c r="N1143" i="2"/>
  <c r="G1144" i="2"/>
  <c r="J1144" i="2"/>
  <c r="K1144" i="2"/>
  <c r="L1144" i="2"/>
  <c r="M1144" i="2"/>
  <c r="N1144" i="2"/>
  <c r="G1145" i="2"/>
  <c r="J1145" i="2"/>
  <c r="L1145" i="2" s="1"/>
  <c r="K1145" i="2"/>
  <c r="M1145" i="2"/>
  <c r="G1146" i="2"/>
  <c r="J1146" i="2"/>
  <c r="N1146" i="2" s="1"/>
  <c r="K1146" i="2"/>
  <c r="L1146" i="2"/>
  <c r="M1146" i="2"/>
  <c r="G1147" i="2"/>
  <c r="J1147" i="2"/>
  <c r="L1147" i="2" s="1"/>
  <c r="K1147" i="2"/>
  <c r="M1147" i="2"/>
  <c r="G1148" i="2"/>
  <c r="J1148" i="2"/>
  <c r="K1148" i="2"/>
  <c r="L1148" i="2"/>
  <c r="M1148" i="2"/>
  <c r="N1148" i="2"/>
  <c r="G1149" i="2"/>
  <c r="J1149" i="2"/>
  <c r="K1149" i="2"/>
  <c r="M1149" i="2"/>
  <c r="N1149" i="2"/>
  <c r="G1150" i="2"/>
  <c r="J1150" i="2"/>
  <c r="N1150" i="2" s="1"/>
  <c r="K1150" i="2"/>
  <c r="L1150" i="2"/>
  <c r="M1150" i="2"/>
  <c r="G1151" i="2"/>
  <c r="J1151" i="2"/>
  <c r="K1151" i="2"/>
  <c r="M1151" i="2"/>
  <c r="N1151" i="2"/>
  <c r="G1152" i="2"/>
  <c r="J1152" i="2"/>
  <c r="K1152" i="2"/>
  <c r="L1152" i="2"/>
  <c r="M1152" i="2"/>
  <c r="N1152" i="2"/>
  <c r="G1153" i="2"/>
  <c r="J1153" i="2"/>
  <c r="L1153" i="2" s="1"/>
  <c r="K1153" i="2"/>
  <c r="M1153" i="2"/>
  <c r="G1154" i="2"/>
  <c r="J1154" i="2"/>
  <c r="N1154" i="2" s="1"/>
  <c r="K1154" i="2"/>
  <c r="L1154" i="2"/>
  <c r="M1154" i="2"/>
  <c r="G1155" i="2"/>
  <c r="J1155" i="2"/>
  <c r="K1155" i="2"/>
  <c r="M1155" i="2"/>
  <c r="N1155" i="2"/>
  <c r="G1156" i="2"/>
  <c r="J1156" i="2"/>
  <c r="K1156" i="2"/>
  <c r="L1156" i="2"/>
  <c r="M1156" i="2"/>
  <c r="N1156" i="2"/>
  <c r="G1157" i="2"/>
  <c r="J1157" i="2"/>
  <c r="K1157" i="2"/>
  <c r="M1157" i="2"/>
  <c r="N1157" i="2"/>
  <c r="G1158" i="2"/>
  <c r="J1158" i="2"/>
  <c r="N1158" i="2" s="1"/>
  <c r="K1158" i="2"/>
  <c r="L1158" i="2"/>
  <c r="M1158" i="2"/>
  <c r="G1159" i="2"/>
  <c r="J1159" i="2"/>
  <c r="K1159" i="2"/>
  <c r="M1159" i="2"/>
  <c r="N1159" i="2"/>
  <c r="G1160" i="2"/>
  <c r="J1160" i="2"/>
  <c r="K1160" i="2"/>
  <c r="L1160" i="2"/>
  <c r="M1160" i="2"/>
  <c r="N1160" i="2"/>
  <c r="E1163" i="2"/>
  <c r="F1163" i="2"/>
  <c r="H1163" i="2"/>
  <c r="O1163" i="2"/>
  <c r="P1163" i="2"/>
  <c r="Q1163" i="2"/>
  <c r="R1163" i="2"/>
  <c r="S1163" i="2"/>
  <c r="T1163" i="2"/>
  <c r="G1164" i="2"/>
  <c r="J1164" i="2"/>
  <c r="L1164" i="2" s="1"/>
  <c r="K1164" i="2"/>
  <c r="M1164" i="2"/>
  <c r="N1164" i="2"/>
  <c r="G1165" i="2"/>
  <c r="J1165" i="2"/>
  <c r="K1165" i="2"/>
  <c r="L1165" i="2"/>
  <c r="M1165" i="2"/>
  <c r="N1165" i="2"/>
  <c r="G1166" i="2"/>
  <c r="J1166" i="2"/>
  <c r="K1166" i="2"/>
  <c r="M1166" i="2"/>
  <c r="G1167" i="2"/>
  <c r="J1167" i="2"/>
  <c r="N1167" i="2" s="1"/>
  <c r="K1167" i="2"/>
  <c r="L1167" i="2"/>
  <c r="M1167" i="2"/>
  <c r="G1168" i="2"/>
  <c r="J1168" i="2"/>
  <c r="L1168" i="2" s="1"/>
  <c r="K1168" i="2"/>
  <c r="M1168" i="2"/>
  <c r="N1168" i="2"/>
  <c r="G1169" i="2"/>
  <c r="J1169" i="2"/>
  <c r="K1169" i="2"/>
  <c r="L1169" i="2"/>
  <c r="M1169" i="2"/>
  <c r="N1169" i="2"/>
  <c r="G1170" i="2"/>
  <c r="J1170" i="2"/>
  <c r="L1170" i="2" s="1"/>
  <c r="K1170" i="2"/>
  <c r="M1170" i="2"/>
  <c r="N1170" i="2"/>
  <c r="G1171" i="2"/>
  <c r="J1171" i="2"/>
  <c r="N1171" i="2" s="1"/>
  <c r="K1171" i="2"/>
  <c r="L1171" i="2"/>
  <c r="M1171" i="2"/>
  <c r="G1172" i="2"/>
  <c r="J1172" i="2"/>
  <c r="K1172" i="2"/>
  <c r="M1172" i="2"/>
  <c r="G1173" i="2"/>
  <c r="J1173" i="2"/>
  <c r="K1173" i="2"/>
  <c r="L1173" i="2" s="1"/>
  <c r="M1173" i="2"/>
  <c r="N1173" i="2"/>
  <c r="G1174" i="2"/>
  <c r="J1174" i="2"/>
  <c r="L1174" i="2" s="1"/>
  <c r="K1174" i="2"/>
  <c r="M1174" i="2"/>
  <c r="N1174" i="2"/>
  <c r="G1175" i="2"/>
  <c r="J1175" i="2"/>
  <c r="N1175" i="2" s="1"/>
  <c r="K1175" i="2"/>
  <c r="L1175" i="2"/>
  <c r="M1175" i="2"/>
  <c r="G1176" i="2"/>
  <c r="J1176" i="2"/>
  <c r="K1176" i="2"/>
  <c r="M1176" i="2"/>
  <c r="N1176" i="2"/>
  <c r="G1177" i="2"/>
  <c r="J1177" i="2"/>
  <c r="K1177" i="2"/>
  <c r="L1177" i="2" s="1"/>
  <c r="M1177" i="2"/>
  <c r="N1177" i="2"/>
  <c r="G1178" i="2"/>
  <c r="J1178" i="2"/>
  <c r="L1178" i="2" s="1"/>
  <c r="K1178" i="2"/>
  <c r="M1178" i="2"/>
  <c r="N1178" i="2"/>
  <c r="G1179" i="2"/>
  <c r="J1179" i="2"/>
  <c r="N1179" i="2" s="1"/>
  <c r="K1179" i="2"/>
  <c r="L1179" i="2" s="1"/>
  <c r="M1179" i="2"/>
  <c r="G1180" i="2"/>
  <c r="J1180" i="2"/>
  <c r="K1180" i="2"/>
  <c r="M1180" i="2"/>
  <c r="N1180" i="2"/>
  <c r="G1181" i="2"/>
  <c r="J1181" i="2"/>
  <c r="K1181" i="2"/>
  <c r="L1181" i="2" s="1"/>
  <c r="M1181" i="2"/>
  <c r="N1181" i="2"/>
  <c r="G1182" i="2"/>
  <c r="J1182" i="2"/>
  <c r="K1182" i="2"/>
  <c r="M1182" i="2"/>
  <c r="N1182" i="2"/>
  <c r="G1183" i="2"/>
  <c r="J1183" i="2"/>
  <c r="N1183" i="2" s="1"/>
  <c r="K1183" i="2"/>
  <c r="L1183" i="2" s="1"/>
  <c r="M1183" i="2"/>
  <c r="G1184" i="2"/>
  <c r="J1184" i="2"/>
  <c r="K1184" i="2"/>
  <c r="M1184" i="2"/>
  <c r="N1184" i="2"/>
  <c r="E1187" i="2"/>
  <c r="F1187" i="2"/>
  <c r="H1187" i="2"/>
  <c r="O1187" i="2"/>
  <c r="P1187" i="2"/>
  <c r="Q1187" i="2"/>
  <c r="R1187" i="2"/>
  <c r="S1187" i="2"/>
  <c r="T1187" i="2"/>
  <c r="G1188" i="2"/>
  <c r="J1188" i="2"/>
  <c r="L1188" i="2" s="1"/>
  <c r="K1188" i="2"/>
  <c r="M1188" i="2"/>
  <c r="G1189" i="2"/>
  <c r="J1189" i="2"/>
  <c r="N1189" i="2" s="1"/>
  <c r="K1189" i="2"/>
  <c r="M1189" i="2"/>
  <c r="G1190" i="2"/>
  <c r="J1190" i="2"/>
  <c r="L1190" i="2" s="1"/>
  <c r="K1190" i="2"/>
  <c r="M1190" i="2"/>
  <c r="G1191" i="2"/>
  <c r="J1191" i="2"/>
  <c r="K1191" i="2"/>
  <c r="L1191" i="2"/>
  <c r="M1191" i="2"/>
  <c r="N1191" i="2"/>
  <c r="G1192" i="2"/>
  <c r="J1192" i="2"/>
  <c r="L1192" i="2" s="1"/>
  <c r="K1192" i="2"/>
  <c r="M1192" i="2"/>
  <c r="N1192" i="2"/>
  <c r="G1193" i="2"/>
  <c r="J1193" i="2"/>
  <c r="N1193" i="2" s="1"/>
  <c r="K1193" i="2"/>
  <c r="L1193" i="2"/>
  <c r="M1193" i="2"/>
  <c r="G1194" i="2"/>
  <c r="J1194" i="2"/>
  <c r="N1194" i="2" s="1"/>
  <c r="K1194" i="2"/>
  <c r="L1194" i="2"/>
  <c r="M1194" i="2"/>
  <c r="G1195" i="2"/>
  <c r="J1195" i="2"/>
  <c r="K1195" i="2"/>
  <c r="L1195" i="2"/>
  <c r="M1195" i="2"/>
  <c r="N1195" i="2"/>
  <c r="G1196" i="2"/>
  <c r="J1196" i="2"/>
  <c r="L1196" i="2" s="1"/>
  <c r="K1196" i="2"/>
  <c r="M1196" i="2"/>
  <c r="G1197" i="2"/>
  <c r="J1197" i="2"/>
  <c r="N1197" i="2" s="1"/>
  <c r="K1197" i="2"/>
  <c r="M1197" i="2"/>
  <c r="G1198" i="2"/>
  <c r="J1198" i="2"/>
  <c r="K1198" i="2"/>
  <c r="L1198" i="2"/>
  <c r="M1198" i="2"/>
  <c r="N1198" i="2"/>
  <c r="G1199" i="2"/>
  <c r="J1199" i="2"/>
  <c r="K1199" i="2"/>
  <c r="L1199" i="2"/>
  <c r="M1199" i="2"/>
  <c r="N1199" i="2"/>
  <c r="G1200" i="2"/>
  <c r="J1200" i="2"/>
  <c r="L1200" i="2" s="1"/>
  <c r="K1200" i="2"/>
  <c r="M1200" i="2"/>
  <c r="G1201" i="2"/>
  <c r="J1201" i="2"/>
  <c r="N1201" i="2" s="1"/>
  <c r="K1201" i="2"/>
  <c r="L1201" i="2"/>
  <c r="M1201" i="2"/>
  <c r="G1202" i="2"/>
  <c r="J1202" i="2"/>
  <c r="N1202" i="2" s="1"/>
  <c r="K1202" i="2"/>
  <c r="M1202" i="2"/>
  <c r="G1203" i="2"/>
  <c r="J1203" i="2"/>
  <c r="K1203" i="2"/>
  <c r="L1203" i="2"/>
  <c r="M1203" i="2"/>
  <c r="N1203" i="2"/>
  <c r="G1204" i="2"/>
  <c r="J1204" i="2"/>
  <c r="L1204" i="2" s="1"/>
  <c r="K1204" i="2"/>
  <c r="M1204" i="2"/>
  <c r="G1205" i="2"/>
  <c r="J1205" i="2"/>
  <c r="N1205" i="2" s="1"/>
  <c r="K1205" i="2"/>
  <c r="M1205" i="2"/>
  <c r="G1206" i="2"/>
  <c r="J1206" i="2"/>
  <c r="L1206" i="2" s="1"/>
  <c r="K1206" i="2"/>
  <c r="M1206" i="2"/>
  <c r="G1207" i="2"/>
  <c r="J1207" i="2"/>
  <c r="K1207" i="2"/>
  <c r="L1207" i="2"/>
  <c r="M1207" i="2"/>
  <c r="N1207" i="2"/>
  <c r="G1208" i="2"/>
  <c r="J1208" i="2"/>
  <c r="K1208" i="2"/>
  <c r="M1208" i="2"/>
  <c r="N1208" i="2"/>
  <c r="G1209" i="2"/>
  <c r="J1209" i="2"/>
  <c r="N1209" i="2" s="1"/>
  <c r="K1209" i="2"/>
  <c r="L1209" i="2"/>
  <c r="M1209" i="2"/>
  <c r="G1210" i="2"/>
  <c r="J1210" i="2"/>
  <c r="N1210" i="2" s="1"/>
  <c r="K1210" i="2"/>
  <c r="L1210" i="2"/>
  <c r="M1210" i="2"/>
  <c r="G1211" i="2"/>
  <c r="J1211" i="2"/>
  <c r="K1211" i="2"/>
  <c r="L1211" i="2"/>
  <c r="M1211" i="2"/>
  <c r="N1211" i="2"/>
  <c r="G1212" i="2"/>
  <c r="J1212" i="2"/>
  <c r="L1212" i="2" s="1"/>
  <c r="K1212" i="2"/>
  <c r="M1212" i="2"/>
  <c r="G1213" i="2"/>
  <c r="J1213" i="2"/>
  <c r="N1213" i="2" s="1"/>
  <c r="K1213" i="2"/>
  <c r="M1213" i="2"/>
  <c r="G1214" i="2"/>
  <c r="J1214" i="2"/>
  <c r="K1214" i="2"/>
  <c r="L1214" i="2"/>
  <c r="M1214" i="2"/>
  <c r="N1214" i="2"/>
  <c r="G1215" i="2"/>
  <c r="J1215" i="2"/>
  <c r="K1215" i="2"/>
  <c r="L1215" i="2"/>
  <c r="M1215" i="2"/>
  <c r="N1215" i="2"/>
  <c r="G1216" i="2"/>
  <c r="J1216" i="2"/>
  <c r="L1216" i="2" s="1"/>
  <c r="K1216" i="2"/>
  <c r="M1216" i="2"/>
  <c r="G1217" i="2"/>
  <c r="J1217" i="2"/>
  <c r="N1217" i="2" s="1"/>
  <c r="K1217" i="2"/>
  <c r="L1217" i="2"/>
  <c r="M1217" i="2"/>
  <c r="G1218" i="2"/>
  <c r="J1218" i="2"/>
  <c r="L1218" i="2" s="1"/>
  <c r="K1218" i="2"/>
  <c r="M1218" i="2"/>
  <c r="N1218" i="2"/>
  <c r="G1219" i="2"/>
  <c r="J1219" i="2"/>
  <c r="K1219" i="2"/>
  <c r="L1219" i="2"/>
  <c r="M1219" i="2"/>
  <c r="N1219" i="2"/>
  <c r="G1220" i="2"/>
  <c r="J1220" i="2"/>
  <c r="L1220" i="2" s="1"/>
  <c r="K1220" i="2"/>
  <c r="M1220" i="2"/>
  <c r="G1221" i="2"/>
  <c r="J1221" i="2"/>
  <c r="N1221" i="2" s="1"/>
  <c r="K1221" i="2"/>
  <c r="M1221" i="2"/>
  <c r="G1222" i="2"/>
  <c r="J1222" i="2"/>
  <c r="L1222" i="2" s="1"/>
  <c r="K1222" i="2"/>
  <c r="M1222" i="2"/>
  <c r="G1223" i="2"/>
  <c r="J1223" i="2"/>
  <c r="K1223" i="2"/>
  <c r="L1223" i="2"/>
  <c r="M1223" i="2"/>
  <c r="N1223" i="2"/>
  <c r="G1224" i="2"/>
  <c r="J1224" i="2"/>
  <c r="K1224" i="2"/>
  <c r="M1224" i="2"/>
  <c r="N1224" i="2"/>
  <c r="G1225" i="2"/>
  <c r="J1225" i="2"/>
  <c r="N1225" i="2" s="1"/>
  <c r="K1225" i="2"/>
  <c r="L1225" i="2"/>
  <c r="M1225" i="2"/>
  <c r="G1226" i="2"/>
  <c r="J1226" i="2"/>
  <c r="N1226" i="2" s="1"/>
  <c r="K1226" i="2"/>
  <c r="L1226" i="2"/>
  <c r="M1226" i="2"/>
  <c r="G1227" i="2"/>
  <c r="J1227" i="2"/>
  <c r="K1227" i="2"/>
  <c r="L1227" i="2"/>
  <c r="M1227" i="2"/>
  <c r="N1227" i="2"/>
  <c r="G1228" i="2"/>
  <c r="J1228" i="2"/>
  <c r="L1228" i="2" s="1"/>
  <c r="K1228" i="2"/>
  <c r="M1228" i="2"/>
  <c r="G1229" i="2"/>
  <c r="J1229" i="2"/>
  <c r="N1229" i="2" s="1"/>
  <c r="K1229" i="2"/>
  <c r="M1229" i="2"/>
  <c r="E1232" i="2"/>
  <c r="F1232" i="2"/>
  <c r="H1232" i="2"/>
  <c r="O1232" i="2"/>
  <c r="P1232" i="2"/>
  <c r="Q1232" i="2"/>
  <c r="R1232" i="2"/>
  <c r="S1232" i="2"/>
  <c r="T1232" i="2"/>
  <c r="G1233" i="2"/>
  <c r="J1233" i="2"/>
  <c r="L1233" i="2" s="1"/>
  <c r="K1233" i="2"/>
  <c r="M1233" i="2"/>
  <c r="N1233" i="2"/>
  <c r="G1234" i="2"/>
  <c r="J1234" i="2"/>
  <c r="N1234" i="2" s="1"/>
  <c r="K1234" i="2"/>
  <c r="L1234" i="2"/>
  <c r="M1234" i="2"/>
  <c r="G1235" i="2"/>
  <c r="J1235" i="2"/>
  <c r="L1235" i="2" s="1"/>
  <c r="K1235" i="2"/>
  <c r="M1235" i="2"/>
  <c r="G1236" i="2"/>
  <c r="J1236" i="2"/>
  <c r="K1236" i="2"/>
  <c r="L1236" i="2"/>
  <c r="M1236" i="2"/>
  <c r="N1236" i="2"/>
  <c r="G1237" i="2"/>
  <c r="J1237" i="2"/>
  <c r="L1237" i="2" s="1"/>
  <c r="K1237" i="2"/>
  <c r="M1237" i="2"/>
  <c r="N1237" i="2"/>
  <c r="G1238" i="2"/>
  <c r="J1238" i="2"/>
  <c r="N1238" i="2" s="1"/>
  <c r="K1238" i="2"/>
  <c r="L1238" i="2"/>
  <c r="M1238" i="2"/>
  <c r="G1239" i="2"/>
  <c r="J1239" i="2"/>
  <c r="K1239" i="2"/>
  <c r="M1239" i="2"/>
  <c r="G1240" i="2"/>
  <c r="J1240" i="2"/>
  <c r="K1240" i="2"/>
  <c r="L1240" i="2"/>
  <c r="M1240" i="2"/>
  <c r="N1240" i="2"/>
  <c r="G1241" i="2"/>
  <c r="J1241" i="2"/>
  <c r="N1241" i="2" s="1"/>
  <c r="K1241" i="2"/>
  <c r="M1241" i="2"/>
  <c r="G1242" i="2"/>
  <c r="J1242" i="2"/>
  <c r="N1242" i="2" s="1"/>
  <c r="K1242" i="2"/>
  <c r="L1242" i="2" s="1"/>
  <c r="M1242" i="2"/>
  <c r="G1243" i="2"/>
  <c r="J1243" i="2"/>
  <c r="L1243" i="2" s="1"/>
  <c r="K1243" i="2"/>
  <c r="M1243" i="2"/>
  <c r="G1244" i="2"/>
  <c r="J1244" i="2"/>
  <c r="K1244" i="2"/>
  <c r="L1244" i="2"/>
  <c r="M1244" i="2"/>
  <c r="N1244" i="2"/>
  <c r="G1245" i="2"/>
  <c r="J1245" i="2"/>
  <c r="K1245" i="2"/>
  <c r="M1245" i="2"/>
  <c r="G1246" i="2"/>
  <c r="J1246" i="2"/>
  <c r="N1246" i="2" s="1"/>
  <c r="K1246" i="2"/>
  <c r="L1246" i="2"/>
  <c r="M1246" i="2"/>
  <c r="G1247" i="2"/>
  <c r="J1247" i="2"/>
  <c r="L1247" i="2" s="1"/>
  <c r="K1247" i="2"/>
  <c r="M1247" i="2"/>
  <c r="G1248" i="2"/>
  <c r="J1248" i="2"/>
  <c r="K1248" i="2"/>
  <c r="L1248" i="2" s="1"/>
  <c r="M1248" i="2"/>
  <c r="N1248" i="2"/>
  <c r="G1249" i="2"/>
  <c r="J1249" i="2"/>
  <c r="L1249" i="2" s="1"/>
  <c r="K1249" i="2"/>
  <c r="M1249" i="2"/>
  <c r="N1249" i="2"/>
  <c r="G1250" i="2"/>
  <c r="J1250" i="2"/>
  <c r="N1250" i="2" s="1"/>
  <c r="K1250" i="2"/>
  <c r="L1250" i="2"/>
  <c r="M1250" i="2"/>
  <c r="E1253" i="2"/>
  <c r="F1253" i="2"/>
  <c r="H1253" i="2"/>
  <c r="O1253" i="2"/>
  <c r="P1253" i="2"/>
  <c r="Q1253" i="2"/>
  <c r="R1253" i="2"/>
  <c r="S1253" i="2"/>
  <c r="T1253" i="2"/>
  <c r="G1254" i="2"/>
  <c r="J1254" i="2"/>
  <c r="L1254" i="2" s="1"/>
  <c r="K1254" i="2"/>
  <c r="M1254" i="2"/>
  <c r="G1255" i="2"/>
  <c r="J1255" i="2"/>
  <c r="K1255" i="2"/>
  <c r="L1255" i="2"/>
  <c r="M1255" i="2"/>
  <c r="N1255" i="2"/>
  <c r="G1256" i="2"/>
  <c r="J1256" i="2"/>
  <c r="L1256" i="2" s="1"/>
  <c r="K1256" i="2"/>
  <c r="M1256" i="2"/>
  <c r="N1256" i="2"/>
  <c r="G1257" i="2"/>
  <c r="J1257" i="2"/>
  <c r="N1257" i="2" s="1"/>
  <c r="K1257" i="2"/>
  <c r="L1257" i="2"/>
  <c r="M1257" i="2"/>
  <c r="G1258" i="2"/>
  <c r="J1258" i="2"/>
  <c r="N1258" i="2" s="1"/>
  <c r="K1258" i="2"/>
  <c r="L1258" i="2"/>
  <c r="M1258" i="2"/>
  <c r="G1259" i="2"/>
  <c r="J1259" i="2"/>
  <c r="K1259" i="2"/>
  <c r="L1259" i="2"/>
  <c r="M1259" i="2"/>
  <c r="N1259" i="2"/>
  <c r="G1260" i="2"/>
  <c r="J1260" i="2"/>
  <c r="L1260" i="2" s="1"/>
  <c r="K1260" i="2"/>
  <c r="M1260" i="2"/>
  <c r="G1261" i="2"/>
  <c r="J1261" i="2"/>
  <c r="N1261" i="2" s="1"/>
  <c r="K1261" i="2"/>
  <c r="M1261" i="2"/>
  <c r="G1262" i="2"/>
  <c r="J1262" i="2"/>
  <c r="K1262" i="2"/>
  <c r="L1262" i="2"/>
  <c r="M1262" i="2"/>
  <c r="N1262" i="2"/>
  <c r="G1263" i="2"/>
  <c r="J1263" i="2"/>
  <c r="K1263" i="2"/>
  <c r="L1263" i="2" s="1"/>
  <c r="M1263" i="2"/>
  <c r="N1263" i="2"/>
  <c r="E1266" i="2"/>
  <c r="F1266" i="2"/>
  <c r="H1266" i="2"/>
  <c r="O1266" i="2"/>
  <c r="P1266" i="2"/>
  <c r="Q1266" i="2"/>
  <c r="R1266" i="2"/>
  <c r="S1266" i="2"/>
  <c r="T1266" i="2"/>
  <c r="G1267" i="2"/>
  <c r="J1267" i="2"/>
  <c r="K1267" i="2"/>
  <c r="L1267" i="2"/>
  <c r="M1267" i="2"/>
  <c r="N1267" i="2"/>
  <c r="G1268" i="2"/>
  <c r="J1268" i="2"/>
  <c r="L1268" i="2" s="1"/>
  <c r="K1268" i="2"/>
  <c r="M1268" i="2"/>
  <c r="G1269" i="2"/>
  <c r="J1269" i="2"/>
  <c r="N1269" i="2" s="1"/>
  <c r="K1269" i="2"/>
  <c r="L1269" i="2"/>
  <c r="M1269" i="2"/>
  <c r="G1270" i="2"/>
  <c r="J1270" i="2"/>
  <c r="L1270" i="2" s="1"/>
  <c r="K1270" i="2"/>
  <c r="M1270" i="2"/>
  <c r="G1271" i="2"/>
  <c r="J1271" i="2"/>
  <c r="K1271" i="2"/>
  <c r="L1271" i="2"/>
  <c r="M1271" i="2"/>
  <c r="N1271" i="2"/>
  <c r="G1272" i="2"/>
  <c r="J1272" i="2"/>
  <c r="K1272" i="2"/>
  <c r="M1272" i="2"/>
  <c r="G1273" i="2"/>
  <c r="J1273" i="2"/>
  <c r="N1273" i="2" s="1"/>
  <c r="K1273" i="2"/>
  <c r="L1273" i="2"/>
  <c r="M1273" i="2"/>
  <c r="G1274" i="2"/>
  <c r="J1274" i="2"/>
  <c r="L1274" i="2" s="1"/>
  <c r="K1274" i="2"/>
  <c r="M1274" i="2"/>
  <c r="N1274" i="2"/>
  <c r="G1275" i="2"/>
  <c r="J1275" i="2"/>
  <c r="K1275" i="2"/>
  <c r="L1275" i="2" s="1"/>
  <c r="M1275" i="2"/>
  <c r="N1275" i="2"/>
  <c r="G1276" i="2"/>
  <c r="J1276" i="2"/>
  <c r="L1276" i="2" s="1"/>
  <c r="K1276" i="2"/>
  <c r="M1276" i="2"/>
  <c r="N1276" i="2"/>
  <c r="G1277" i="2"/>
  <c r="J1277" i="2"/>
  <c r="N1277" i="2" s="1"/>
  <c r="K1277" i="2"/>
  <c r="L1277" i="2"/>
  <c r="M1277" i="2"/>
  <c r="G1278" i="2"/>
  <c r="J1278" i="2"/>
  <c r="K1278" i="2"/>
  <c r="M1278" i="2"/>
  <c r="N1278" i="2"/>
  <c r="G1279" i="2"/>
  <c r="J1279" i="2"/>
  <c r="K1279" i="2"/>
  <c r="L1279" i="2" s="1"/>
  <c r="M1279" i="2"/>
  <c r="N1279" i="2"/>
  <c r="G1280" i="2"/>
  <c r="J1280" i="2"/>
  <c r="L1280" i="2" s="1"/>
  <c r="K1280" i="2"/>
  <c r="M1280" i="2"/>
  <c r="N1280" i="2"/>
  <c r="G1281" i="2"/>
  <c r="J1281" i="2"/>
  <c r="N1281" i="2" s="1"/>
  <c r="K1281" i="2"/>
  <c r="L1281" i="2"/>
  <c r="M1281" i="2"/>
  <c r="G1282" i="2"/>
  <c r="J1282" i="2"/>
  <c r="K1282" i="2"/>
  <c r="M1282" i="2"/>
  <c r="N1282" i="2"/>
  <c r="G1283" i="2"/>
  <c r="J1283" i="2"/>
  <c r="K1283" i="2"/>
  <c r="L1283" i="2" s="1"/>
  <c r="M1283" i="2"/>
  <c r="N1283" i="2"/>
  <c r="G1284" i="2"/>
  <c r="J1284" i="2"/>
  <c r="K1284" i="2"/>
  <c r="M1284" i="2"/>
  <c r="N1284" i="2"/>
  <c r="G1285" i="2"/>
  <c r="J1285" i="2"/>
  <c r="N1285" i="2" s="1"/>
  <c r="K1285" i="2"/>
  <c r="L1285" i="2" s="1"/>
  <c r="M1285" i="2"/>
  <c r="G1286" i="2"/>
  <c r="J1286" i="2"/>
  <c r="L1286" i="2" s="1"/>
  <c r="K1286" i="2"/>
  <c r="M1286" i="2"/>
  <c r="G1287" i="2"/>
  <c r="J1287" i="2"/>
  <c r="K1287" i="2"/>
  <c r="L1287" i="2" s="1"/>
  <c r="M1287" i="2"/>
  <c r="N1287" i="2"/>
  <c r="G1288" i="2"/>
  <c r="J1288" i="2"/>
  <c r="L1288" i="2" s="1"/>
  <c r="K1288" i="2"/>
  <c r="M1288" i="2"/>
  <c r="N1288" i="2"/>
  <c r="G1289" i="2"/>
  <c r="J1289" i="2"/>
  <c r="N1289" i="2" s="1"/>
  <c r="K1289" i="2"/>
  <c r="L1289" i="2" s="1"/>
  <c r="M1289" i="2"/>
  <c r="G1290" i="2"/>
  <c r="J1290" i="2"/>
  <c r="K1290" i="2"/>
  <c r="M1290" i="2"/>
  <c r="N1290" i="2"/>
  <c r="E1293" i="2"/>
  <c r="F1293" i="2"/>
  <c r="H1293" i="2"/>
  <c r="O1293" i="2"/>
  <c r="P1293" i="2"/>
  <c r="Q1293" i="2"/>
  <c r="R1293" i="2"/>
  <c r="S1293" i="2"/>
  <c r="T1293" i="2"/>
  <c r="G1294" i="2"/>
  <c r="J1294" i="2"/>
  <c r="L1294" i="2" s="1"/>
  <c r="K1294" i="2"/>
  <c r="M1294" i="2"/>
  <c r="G1295" i="2"/>
  <c r="J1295" i="2"/>
  <c r="N1295" i="2" s="1"/>
  <c r="K1295" i="2"/>
  <c r="M1295" i="2"/>
  <c r="G1296" i="2"/>
  <c r="J1296" i="2"/>
  <c r="K1296" i="2"/>
  <c r="L1296" i="2"/>
  <c r="M1296" i="2"/>
  <c r="N1296" i="2"/>
  <c r="G1297" i="2"/>
  <c r="J1297" i="2"/>
  <c r="K1297" i="2"/>
  <c r="L1297" i="2"/>
  <c r="M1297" i="2"/>
  <c r="N1297" i="2"/>
  <c r="G1298" i="2"/>
  <c r="J1298" i="2"/>
  <c r="L1298" i="2" s="1"/>
  <c r="K1298" i="2"/>
  <c r="M1298" i="2"/>
  <c r="G1299" i="2"/>
  <c r="J1299" i="2"/>
  <c r="N1299" i="2" s="1"/>
  <c r="K1299" i="2"/>
  <c r="L1299" i="2"/>
  <c r="M1299" i="2"/>
  <c r="G1300" i="2"/>
  <c r="J1300" i="2"/>
  <c r="L1300" i="2" s="1"/>
  <c r="K1300" i="2"/>
  <c r="M1300" i="2"/>
  <c r="N1300" i="2"/>
  <c r="G1301" i="2"/>
  <c r="J1301" i="2"/>
  <c r="K1301" i="2"/>
  <c r="L1301" i="2"/>
  <c r="M1301" i="2"/>
  <c r="N1301" i="2"/>
  <c r="G1302" i="2"/>
  <c r="J1302" i="2"/>
  <c r="L1302" i="2" s="1"/>
  <c r="K1302" i="2"/>
  <c r="M1302" i="2"/>
  <c r="G1303" i="2"/>
  <c r="J1303" i="2"/>
  <c r="N1303" i="2" s="1"/>
  <c r="K1303" i="2"/>
  <c r="M1303" i="2"/>
  <c r="G1304" i="2"/>
  <c r="J1304" i="2"/>
  <c r="L1304" i="2" s="1"/>
  <c r="K1304" i="2"/>
  <c r="M1304" i="2"/>
  <c r="G1305" i="2"/>
  <c r="J1305" i="2"/>
  <c r="K1305" i="2"/>
  <c r="L1305" i="2"/>
  <c r="M1305" i="2"/>
  <c r="N1305" i="2"/>
  <c r="G1306" i="2"/>
  <c r="J1306" i="2"/>
  <c r="K1306" i="2"/>
  <c r="M1306" i="2"/>
  <c r="N1306" i="2"/>
  <c r="G1307" i="2"/>
  <c r="J1307" i="2"/>
  <c r="N1307" i="2" s="1"/>
  <c r="K1307" i="2"/>
  <c r="L1307" i="2"/>
  <c r="M1307" i="2"/>
  <c r="G1308" i="2"/>
  <c r="J1308" i="2"/>
  <c r="N1308" i="2" s="1"/>
  <c r="K1308" i="2"/>
  <c r="L1308" i="2"/>
  <c r="M1308" i="2"/>
  <c r="G1309" i="2"/>
  <c r="J1309" i="2"/>
  <c r="K1309" i="2"/>
  <c r="L1309" i="2"/>
  <c r="M1309" i="2"/>
  <c r="N1309" i="2"/>
  <c r="G1310" i="2"/>
  <c r="J1310" i="2"/>
  <c r="K1310" i="2"/>
  <c r="M1310" i="2"/>
  <c r="G1311" i="2"/>
  <c r="J1311" i="2"/>
  <c r="N1311" i="2" s="1"/>
  <c r="K1311" i="2"/>
  <c r="M1311" i="2"/>
  <c r="G1312" i="2"/>
  <c r="J1312" i="2"/>
  <c r="K1312" i="2"/>
  <c r="L1312" i="2"/>
  <c r="M1312" i="2"/>
  <c r="N1312" i="2"/>
  <c r="G1313" i="2"/>
  <c r="J1313" i="2"/>
  <c r="K1313" i="2"/>
  <c r="L1313" i="2"/>
  <c r="M1313" i="2"/>
  <c r="N1313" i="2"/>
  <c r="G1314" i="2"/>
  <c r="J1314" i="2"/>
  <c r="L1314" i="2" s="1"/>
  <c r="K1314" i="2"/>
  <c r="M1314" i="2"/>
  <c r="G1315" i="2"/>
  <c r="J1315" i="2"/>
  <c r="N1315" i="2" s="1"/>
  <c r="K1315" i="2"/>
  <c r="L1315" i="2"/>
  <c r="M1315" i="2"/>
  <c r="G1316" i="2"/>
  <c r="J1316" i="2"/>
  <c r="L1316" i="2" s="1"/>
  <c r="K1316" i="2"/>
  <c r="M1316" i="2"/>
  <c r="N1316" i="2"/>
  <c r="G1317" i="2"/>
  <c r="J1317" i="2"/>
  <c r="K1317" i="2"/>
  <c r="L1317" i="2"/>
  <c r="M1317" i="2"/>
  <c r="N1317" i="2"/>
  <c r="G1318" i="2"/>
  <c r="J1318" i="2"/>
  <c r="L1318" i="2" s="1"/>
  <c r="K1318" i="2"/>
  <c r="M1318" i="2"/>
  <c r="G1319" i="2"/>
  <c r="J1319" i="2"/>
  <c r="N1319" i="2" s="1"/>
  <c r="K1319" i="2"/>
  <c r="M1319" i="2"/>
  <c r="G1320" i="2"/>
  <c r="J1320" i="2"/>
  <c r="L1320" i="2" s="1"/>
  <c r="K1320" i="2"/>
  <c r="M1320" i="2"/>
  <c r="E1323" i="2"/>
  <c r="F1323" i="2"/>
  <c r="H1323" i="2"/>
  <c r="O1323" i="2"/>
  <c r="P1323" i="2"/>
  <c r="Q1323" i="2"/>
  <c r="R1323" i="2"/>
  <c r="S1323" i="2"/>
  <c r="T1323" i="2"/>
  <c r="G1324" i="2"/>
  <c r="J1324" i="2"/>
  <c r="N1324" i="2" s="1"/>
  <c r="K1324" i="2"/>
  <c r="L1324" i="2"/>
  <c r="M1324" i="2"/>
  <c r="G1325" i="2"/>
  <c r="J1325" i="2"/>
  <c r="L1325" i="2" s="1"/>
  <c r="K1325" i="2"/>
  <c r="M1325" i="2"/>
  <c r="N1325" i="2"/>
  <c r="G1326" i="2"/>
  <c r="J1326" i="2"/>
  <c r="K1326" i="2"/>
  <c r="L1326" i="2"/>
  <c r="M1326" i="2"/>
  <c r="N1326" i="2"/>
  <c r="G1327" i="2"/>
  <c r="J1327" i="2"/>
  <c r="K1327" i="2"/>
  <c r="M1327" i="2"/>
  <c r="N1327" i="2"/>
  <c r="G1328" i="2"/>
  <c r="J1328" i="2"/>
  <c r="N1328" i="2" s="1"/>
  <c r="K1328" i="2"/>
  <c r="L1328" i="2" s="1"/>
  <c r="M1328" i="2"/>
  <c r="G1329" i="2"/>
  <c r="J1329" i="2"/>
  <c r="L1329" i="2" s="1"/>
  <c r="K1329" i="2"/>
  <c r="M1329" i="2"/>
  <c r="G1330" i="2"/>
  <c r="J1330" i="2"/>
  <c r="K1330" i="2"/>
  <c r="L1330" i="2" s="1"/>
  <c r="M1330" i="2"/>
  <c r="N1330" i="2"/>
  <c r="G1331" i="2"/>
  <c r="J1331" i="2"/>
  <c r="L1331" i="2" s="1"/>
  <c r="K1331" i="2"/>
  <c r="M1331" i="2"/>
  <c r="N1331" i="2"/>
  <c r="E1334" i="2"/>
  <c r="F1334" i="2"/>
  <c r="H1334" i="2"/>
  <c r="O1334" i="2"/>
  <c r="P1334" i="2"/>
  <c r="Q1334" i="2"/>
  <c r="R1334" i="2"/>
  <c r="S1334" i="2"/>
  <c r="T1334" i="2"/>
  <c r="G1335" i="2"/>
  <c r="J1335" i="2"/>
  <c r="N1335" i="2" s="1"/>
  <c r="K1335" i="2"/>
  <c r="L1335" i="2"/>
  <c r="M1335" i="2"/>
  <c r="G1336" i="2"/>
  <c r="J1336" i="2"/>
  <c r="N1336" i="2" s="1"/>
  <c r="K1336" i="2"/>
  <c r="L1336" i="2"/>
  <c r="M1336" i="2"/>
  <c r="G1337" i="2"/>
  <c r="J1337" i="2"/>
  <c r="K1337" i="2"/>
  <c r="L1337" i="2"/>
  <c r="M1337" i="2"/>
  <c r="N1337" i="2"/>
  <c r="G1338" i="2"/>
  <c r="J1338" i="2"/>
  <c r="L1338" i="2" s="1"/>
  <c r="K1338" i="2"/>
  <c r="M1338" i="2"/>
  <c r="G1339" i="2"/>
  <c r="J1339" i="2"/>
  <c r="N1339" i="2" s="1"/>
  <c r="K1339" i="2"/>
  <c r="M1339" i="2"/>
  <c r="G1340" i="2"/>
  <c r="J1340" i="2"/>
  <c r="K1340" i="2"/>
  <c r="L1340" i="2"/>
  <c r="M1340" i="2"/>
  <c r="N1340" i="2"/>
  <c r="G1341" i="2"/>
  <c r="J1341" i="2"/>
  <c r="K1341" i="2"/>
  <c r="L1341" i="2"/>
  <c r="M1341" i="2"/>
  <c r="N1341" i="2"/>
  <c r="G1342" i="2"/>
  <c r="J1342" i="2"/>
  <c r="L1342" i="2" s="1"/>
  <c r="K1342" i="2"/>
  <c r="M1342" i="2"/>
  <c r="G1343" i="2"/>
  <c r="J1343" i="2"/>
  <c r="N1343" i="2" s="1"/>
  <c r="K1343" i="2"/>
  <c r="L1343" i="2"/>
  <c r="M1343" i="2"/>
  <c r="G1344" i="2"/>
  <c r="J1344" i="2"/>
  <c r="L1344" i="2" s="1"/>
  <c r="K1344" i="2"/>
  <c r="M1344" i="2"/>
  <c r="N1344" i="2"/>
  <c r="G1345" i="2"/>
  <c r="J1345" i="2"/>
  <c r="K1345" i="2"/>
  <c r="L1345" i="2"/>
  <c r="M1345" i="2"/>
  <c r="N1345" i="2"/>
  <c r="G1346" i="2"/>
  <c r="J1346" i="2"/>
  <c r="L1346" i="2" s="1"/>
  <c r="K1346" i="2"/>
  <c r="M1346" i="2"/>
  <c r="G1347" i="2"/>
  <c r="J1347" i="2"/>
  <c r="N1347" i="2" s="1"/>
  <c r="K1347" i="2"/>
  <c r="M1347" i="2"/>
  <c r="E1350" i="2"/>
  <c r="F1350" i="2"/>
  <c r="H1350" i="2"/>
  <c r="O1350" i="2"/>
  <c r="P1350" i="2"/>
  <c r="Q1350" i="2"/>
  <c r="R1350" i="2"/>
  <c r="S1350" i="2"/>
  <c r="T1350" i="2"/>
  <c r="G1351" i="2"/>
  <c r="J1351" i="2"/>
  <c r="K1351" i="2"/>
  <c r="L1351" i="2"/>
  <c r="M1351" i="2"/>
  <c r="N1351" i="2"/>
  <c r="G1352" i="2"/>
  <c r="J1352" i="2"/>
  <c r="L1352" i="2" s="1"/>
  <c r="K1352" i="2"/>
  <c r="M1352" i="2"/>
  <c r="N1352" i="2"/>
  <c r="G1353" i="2"/>
  <c r="J1353" i="2"/>
  <c r="N1353" i="2" s="1"/>
  <c r="K1353" i="2"/>
  <c r="L1353" i="2"/>
  <c r="M1353" i="2"/>
  <c r="G1354" i="2"/>
  <c r="J1354" i="2"/>
  <c r="L1354" i="2" s="1"/>
  <c r="K1354" i="2"/>
  <c r="M1354" i="2"/>
  <c r="N1354" i="2"/>
  <c r="G1355" i="2"/>
  <c r="J1355" i="2"/>
  <c r="K1355" i="2"/>
  <c r="L1355" i="2"/>
  <c r="M1355" i="2"/>
  <c r="N1355" i="2"/>
  <c r="G1356" i="2"/>
  <c r="J1356" i="2"/>
  <c r="K1356" i="2"/>
  <c r="M1356" i="2"/>
  <c r="N1356" i="2"/>
  <c r="G1357" i="2"/>
  <c r="J1357" i="2"/>
  <c r="N1357" i="2" s="1"/>
  <c r="K1357" i="2"/>
  <c r="L1357" i="2" s="1"/>
  <c r="M1357" i="2"/>
  <c r="G1358" i="2"/>
  <c r="J1358" i="2"/>
  <c r="K1358" i="2"/>
  <c r="M1358" i="2"/>
  <c r="N1358" i="2"/>
  <c r="E1361" i="2"/>
  <c r="F1361" i="2"/>
  <c r="H1361" i="2"/>
  <c r="O1361" i="2"/>
  <c r="P1361" i="2"/>
  <c r="Q1361" i="2"/>
  <c r="R1361" i="2"/>
  <c r="S1361" i="2"/>
  <c r="T1361" i="2"/>
  <c r="G1362" i="2"/>
  <c r="J1362" i="2"/>
  <c r="L1362" i="2" s="1"/>
  <c r="K1362" i="2"/>
  <c r="M1362" i="2"/>
  <c r="N1362" i="2"/>
  <c r="G1363" i="2"/>
  <c r="J1363" i="2"/>
  <c r="N1363" i="2" s="1"/>
  <c r="K1363" i="2"/>
  <c r="M1363" i="2"/>
  <c r="G1364" i="2"/>
  <c r="J1364" i="2"/>
  <c r="N1364" i="2" s="1"/>
  <c r="K1364" i="2"/>
  <c r="L1364" i="2"/>
  <c r="M1364" i="2"/>
  <c r="G1365" i="2"/>
  <c r="J1365" i="2"/>
  <c r="K1365" i="2"/>
  <c r="L1365" i="2"/>
  <c r="M1365" i="2"/>
  <c r="N1365" i="2"/>
  <c r="G1366" i="2"/>
  <c r="J1366" i="2"/>
  <c r="L1366" i="2" s="1"/>
  <c r="K1366" i="2"/>
  <c r="M1366" i="2"/>
  <c r="N1366" i="2"/>
  <c r="G1367" i="2"/>
  <c r="J1367" i="2"/>
  <c r="N1367" i="2" s="1"/>
  <c r="K1367" i="2"/>
  <c r="L1367" i="2"/>
  <c r="M1367" i="2"/>
  <c r="G1368" i="2"/>
  <c r="J1368" i="2"/>
  <c r="N1368" i="2" s="1"/>
  <c r="K1368" i="2"/>
  <c r="M1368" i="2"/>
  <c r="G1369" i="2"/>
  <c r="J1369" i="2"/>
  <c r="K1369" i="2"/>
  <c r="L1369" i="2"/>
  <c r="M1369" i="2"/>
  <c r="N1369" i="2"/>
  <c r="G1370" i="2"/>
  <c r="J1370" i="2"/>
  <c r="K1370" i="2"/>
  <c r="M1370" i="2"/>
  <c r="N1370" i="2"/>
  <c r="G1371" i="2"/>
  <c r="J1371" i="2"/>
  <c r="N1371" i="2" s="1"/>
  <c r="K1371" i="2"/>
  <c r="L1371" i="2"/>
  <c r="M1371" i="2"/>
  <c r="G1372" i="2"/>
  <c r="J1372" i="2"/>
  <c r="K1372" i="2"/>
  <c r="L1372" i="2"/>
  <c r="M1372" i="2"/>
  <c r="N1372" i="2"/>
  <c r="E1375" i="2"/>
  <c r="F1375" i="2"/>
  <c r="H1375" i="2"/>
  <c r="O1375" i="2"/>
  <c r="P1375" i="2"/>
  <c r="Q1375" i="2"/>
  <c r="R1375" i="2"/>
  <c r="S1375" i="2"/>
  <c r="T1375" i="2"/>
  <c r="G1376" i="2"/>
  <c r="J1376" i="2"/>
  <c r="K1376" i="2"/>
  <c r="L1376" i="2"/>
  <c r="M1376" i="2"/>
  <c r="N1376" i="2"/>
  <c r="G1377" i="2"/>
  <c r="J1377" i="2"/>
  <c r="L1377" i="2" s="1"/>
  <c r="K1377" i="2"/>
  <c r="M1377" i="2"/>
  <c r="G1378" i="2"/>
  <c r="J1378" i="2"/>
  <c r="N1378" i="2" s="1"/>
  <c r="K1378" i="2"/>
  <c r="L1378" i="2"/>
  <c r="M1378" i="2"/>
  <c r="G1379" i="2"/>
  <c r="J1379" i="2"/>
  <c r="L1379" i="2" s="1"/>
  <c r="K1379" i="2"/>
  <c r="M1379" i="2"/>
  <c r="G1380" i="2"/>
  <c r="J1380" i="2"/>
  <c r="K1380" i="2"/>
  <c r="L1380" i="2"/>
  <c r="M1380" i="2"/>
  <c r="N1380" i="2"/>
  <c r="G1381" i="2"/>
  <c r="J1381" i="2"/>
  <c r="L1381" i="2" s="1"/>
  <c r="K1381" i="2"/>
  <c r="M1381" i="2"/>
  <c r="N1381" i="2"/>
  <c r="G1382" i="2"/>
  <c r="J1382" i="2"/>
  <c r="N1382" i="2" s="1"/>
  <c r="K1382" i="2"/>
  <c r="L1382" i="2"/>
  <c r="M1382" i="2"/>
  <c r="G1383" i="2"/>
  <c r="J1383" i="2"/>
  <c r="K1383" i="2"/>
  <c r="M1383" i="2"/>
  <c r="N1383" i="2"/>
  <c r="G1384" i="2"/>
  <c r="J1384" i="2"/>
  <c r="K1384" i="2"/>
  <c r="L1384" i="2" s="1"/>
  <c r="M1384" i="2"/>
  <c r="N1384" i="2"/>
  <c r="G1385" i="2"/>
  <c r="J1385" i="2"/>
  <c r="K1385" i="2"/>
  <c r="M1385" i="2"/>
  <c r="N1385" i="2"/>
  <c r="E1388" i="2"/>
  <c r="F1388" i="2"/>
  <c r="H1388" i="2"/>
  <c r="O1388" i="2"/>
  <c r="P1388" i="2"/>
  <c r="Q1388" i="2"/>
  <c r="R1388" i="2"/>
  <c r="S1388" i="2"/>
  <c r="T1388" i="2"/>
  <c r="G1389" i="2"/>
  <c r="J1389" i="2"/>
  <c r="N1389" i="2" s="1"/>
  <c r="K1389" i="2"/>
  <c r="L1389" i="2"/>
  <c r="M1389" i="2"/>
  <c r="G1390" i="2"/>
  <c r="J1390" i="2"/>
  <c r="K1390" i="2"/>
  <c r="L1390" i="2"/>
  <c r="M1390" i="2"/>
  <c r="N1390" i="2"/>
  <c r="G1391" i="2"/>
  <c r="J1391" i="2"/>
  <c r="L1391" i="2" s="1"/>
  <c r="K1391" i="2"/>
  <c r="M1391" i="2"/>
  <c r="N1391" i="2"/>
  <c r="G1392" i="2"/>
  <c r="J1392" i="2"/>
  <c r="N1392" i="2" s="1"/>
  <c r="K1392" i="2"/>
  <c r="L1392" i="2"/>
  <c r="M1392" i="2"/>
  <c r="G1393" i="2"/>
  <c r="J1393" i="2"/>
  <c r="N1393" i="2" s="1"/>
  <c r="K1393" i="2"/>
  <c r="M1393" i="2"/>
  <c r="G1394" i="2"/>
  <c r="J1394" i="2"/>
  <c r="K1394" i="2"/>
  <c r="L1394" i="2"/>
  <c r="M1394" i="2"/>
  <c r="N1394" i="2"/>
  <c r="E1397" i="2"/>
  <c r="F1397" i="2"/>
  <c r="H1397" i="2"/>
  <c r="O1397" i="2"/>
  <c r="P1397" i="2"/>
  <c r="Q1397" i="2"/>
  <c r="R1397" i="2"/>
  <c r="S1397" i="2"/>
  <c r="T1397" i="2"/>
  <c r="G1398" i="2"/>
  <c r="J1398" i="2"/>
  <c r="L1398" i="2" s="1"/>
  <c r="K1398" i="2"/>
  <c r="M1398" i="2"/>
  <c r="G1399" i="2"/>
  <c r="J1399" i="2"/>
  <c r="K1399" i="2"/>
  <c r="L1399" i="2"/>
  <c r="M1399" i="2"/>
  <c r="N1399" i="2"/>
  <c r="G1400" i="2"/>
  <c r="J1400" i="2"/>
  <c r="L1400" i="2" s="1"/>
  <c r="K1400" i="2"/>
  <c r="M1400" i="2"/>
  <c r="G1401" i="2"/>
  <c r="J1401" i="2"/>
  <c r="N1401" i="2" s="1"/>
  <c r="K1401" i="2"/>
  <c r="L1401" i="2"/>
  <c r="M1401" i="2"/>
  <c r="G1402" i="2"/>
  <c r="J1402" i="2"/>
  <c r="K1402" i="2"/>
  <c r="M1402" i="2"/>
  <c r="N1402" i="2"/>
  <c r="E1405" i="2"/>
  <c r="F1405" i="2"/>
  <c r="H1405" i="2"/>
  <c r="O1405" i="2"/>
  <c r="P1405" i="2"/>
  <c r="Q1405" i="2"/>
  <c r="R1405" i="2"/>
  <c r="S1405" i="2"/>
  <c r="T1405" i="2"/>
  <c r="G1406" i="2"/>
  <c r="J1406" i="2"/>
  <c r="N1406" i="2" s="1"/>
  <c r="K1406" i="2"/>
  <c r="M1406" i="2"/>
  <c r="G1407" i="2"/>
  <c r="J1407" i="2"/>
  <c r="K1407" i="2"/>
  <c r="L1407" i="2"/>
  <c r="M1407" i="2"/>
  <c r="N1407" i="2"/>
  <c r="G1408" i="2"/>
  <c r="J1408" i="2"/>
  <c r="L1408" i="2" s="1"/>
  <c r="K1408" i="2"/>
  <c r="M1408" i="2"/>
  <c r="N1408" i="2"/>
  <c r="G1409" i="2"/>
  <c r="J1409" i="2"/>
  <c r="N1409" i="2" s="1"/>
  <c r="K1409" i="2"/>
  <c r="L1409" i="2"/>
  <c r="M1409" i="2"/>
  <c r="G1410" i="2"/>
  <c r="J1410" i="2"/>
  <c r="K1410" i="2"/>
  <c r="L1410" i="2"/>
  <c r="M1410" i="2"/>
  <c r="N1410" i="2"/>
  <c r="G1411" i="2"/>
  <c r="J1411" i="2"/>
  <c r="K1411" i="2"/>
  <c r="L1411" i="2"/>
  <c r="M1411" i="2"/>
  <c r="N1411" i="2"/>
  <c r="G1412" i="2"/>
  <c r="J1412" i="2"/>
  <c r="K1412" i="2"/>
  <c r="M1412" i="2"/>
  <c r="N1412" i="2"/>
  <c r="G1413" i="2"/>
  <c r="J1413" i="2"/>
  <c r="N1413" i="2" s="1"/>
  <c r="K1413" i="2"/>
  <c r="M1413" i="2"/>
  <c r="E1416" i="2"/>
  <c r="F1416" i="2"/>
  <c r="H1416" i="2"/>
  <c r="O1416" i="2"/>
  <c r="P1416" i="2"/>
  <c r="Q1416" i="2"/>
  <c r="R1416" i="2"/>
  <c r="S1416" i="2"/>
  <c r="T1416" i="2"/>
  <c r="G1417" i="2"/>
  <c r="J1417" i="2"/>
  <c r="L1417" i="2" s="1"/>
  <c r="K1417" i="2"/>
  <c r="M1417" i="2"/>
  <c r="N1417" i="2"/>
  <c r="G1418" i="2"/>
  <c r="J1418" i="2"/>
  <c r="K1418" i="2"/>
  <c r="L1418" i="2"/>
  <c r="M1418" i="2"/>
  <c r="N1418" i="2"/>
  <c r="G1419" i="2"/>
  <c r="J1419" i="2"/>
  <c r="L1419" i="2" s="1"/>
  <c r="K1419" i="2"/>
  <c r="M1419" i="2"/>
  <c r="E1422" i="2"/>
  <c r="F1422" i="2"/>
  <c r="H1422" i="2"/>
  <c r="O1422" i="2"/>
  <c r="P1422" i="2"/>
  <c r="Q1422" i="2"/>
  <c r="R1422" i="2"/>
  <c r="S1422" i="2"/>
  <c r="T1422" i="2"/>
  <c r="G1423" i="2"/>
  <c r="J1423" i="2"/>
  <c r="N1423" i="2" s="1"/>
  <c r="K1423" i="2"/>
  <c r="L1423" i="2"/>
  <c r="M1423" i="2"/>
  <c r="G1424" i="2"/>
  <c r="J1424" i="2"/>
  <c r="N1424" i="2" s="1"/>
  <c r="K1424" i="2"/>
  <c r="L1424" i="2"/>
  <c r="M1424" i="2"/>
  <c r="G1425" i="2"/>
  <c r="J1425" i="2"/>
  <c r="K1425" i="2"/>
  <c r="L1425" i="2"/>
  <c r="M1425" i="2"/>
  <c r="N1425" i="2"/>
  <c r="G1426" i="2"/>
  <c r="J1426" i="2"/>
  <c r="L1426" i="2" s="1"/>
  <c r="K1426" i="2"/>
  <c r="M1426" i="2"/>
  <c r="G1427" i="2"/>
  <c r="J1427" i="2"/>
  <c r="N1427" i="2" s="1"/>
  <c r="K1427" i="2"/>
  <c r="M1427" i="2"/>
  <c r="G1428" i="2"/>
  <c r="J1428" i="2"/>
  <c r="K1428" i="2"/>
  <c r="L1428" i="2"/>
  <c r="M1428" i="2"/>
  <c r="N1428" i="2"/>
  <c r="G1429" i="2"/>
  <c r="J1429" i="2"/>
  <c r="K1429" i="2"/>
  <c r="L1429" i="2" s="1"/>
  <c r="M1429" i="2"/>
  <c r="N1429" i="2"/>
  <c r="G1430" i="2"/>
  <c r="J1430" i="2"/>
  <c r="L1430" i="2" s="1"/>
  <c r="K1430" i="2"/>
  <c r="M1430" i="2"/>
  <c r="G1431" i="2"/>
  <c r="J1431" i="2"/>
  <c r="N1431" i="2" s="1"/>
  <c r="K1431" i="2"/>
  <c r="L1431" i="2" s="1"/>
  <c r="M1431" i="2"/>
  <c r="G1432" i="2"/>
  <c r="J1432" i="2"/>
  <c r="L1432" i="2" s="1"/>
  <c r="K1432" i="2"/>
  <c r="M1432" i="2"/>
  <c r="N1432" i="2"/>
  <c r="G1433" i="2"/>
  <c r="J1433" i="2"/>
  <c r="K1433" i="2"/>
  <c r="L1433" i="2"/>
  <c r="M1433" i="2"/>
  <c r="N1433" i="2"/>
  <c r="G1434" i="2"/>
  <c r="J1434" i="2"/>
  <c r="L1434" i="2" s="1"/>
  <c r="K1434" i="2"/>
  <c r="M1434" i="2"/>
  <c r="E1437" i="2"/>
  <c r="F1437" i="2"/>
  <c r="H1437" i="2"/>
  <c r="O1437" i="2"/>
  <c r="P1437" i="2"/>
  <c r="Q1437" i="2"/>
  <c r="R1437" i="2"/>
  <c r="S1437" i="2"/>
  <c r="T1437" i="2"/>
  <c r="G1438" i="2"/>
  <c r="J1438" i="2"/>
  <c r="K1438" i="2"/>
  <c r="M1438" i="2"/>
  <c r="G1439" i="2"/>
  <c r="J1439" i="2"/>
  <c r="K1439" i="2"/>
  <c r="L1439" i="2"/>
  <c r="M1439" i="2"/>
  <c r="N1439" i="2"/>
  <c r="G1440" i="2"/>
  <c r="J1440" i="2"/>
  <c r="L1440" i="2" s="1"/>
  <c r="K1440" i="2"/>
  <c r="M1440" i="2"/>
  <c r="G1441" i="2"/>
  <c r="J1441" i="2"/>
  <c r="N1441" i="2" s="1"/>
  <c r="K1441" i="2"/>
  <c r="L1441" i="2"/>
  <c r="M1441" i="2"/>
  <c r="G1442" i="2"/>
  <c r="J1442" i="2"/>
  <c r="L1442" i="2" s="1"/>
  <c r="K1442" i="2"/>
  <c r="M1442" i="2"/>
  <c r="N1442" i="2"/>
  <c r="G1443" i="2"/>
  <c r="J1443" i="2"/>
  <c r="K1443" i="2"/>
  <c r="L1443" i="2"/>
  <c r="M1443" i="2"/>
  <c r="N1443" i="2"/>
  <c r="G1444" i="2"/>
  <c r="J1444" i="2"/>
  <c r="K1444" i="2"/>
  <c r="M1444" i="2"/>
  <c r="G1445" i="2"/>
  <c r="J1445" i="2"/>
  <c r="N1445" i="2" s="1"/>
  <c r="K1445" i="2"/>
  <c r="L1445" i="2"/>
  <c r="M1445" i="2"/>
  <c r="G1446" i="2"/>
  <c r="J1446" i="2"/>
  <c r="L1446" i="2" s="1"/>
  <c r="K1446" i="2"/>
  <c r="M1446" i="2"/>
  <c r="G1447" i="2"/>
  <c r="J1447" i="2"/>
  <c r="K1447" i="2"/>
  <c r="L1447" i="2"/>
  <c r="M1447" i="2"/>
  <c r="N1447" i="2"/>
  <c r="G1448" i="2"/>
  <c r="J1448" i="2"/>
  <c r="L1448" i="2" s="1"/>
  <c r="K1448" i="2"/>
  <c r="M1448" i="2"/>
  <c r="G1449" i="2"/>
  <c r="J1449" i="2"/>
  <c r="N1449" i="2" s="1"/>
  <c r="K1449" i="2"/>
  <c r="L1449" i="2"/>
  <c r="M1449" i="2"/>
  <c r="E1452" i="2"/>
  <c r="F1452" i="2"/>
  <c r="H1452" i="2"/>
  <c r="O1452" i="2"/>
  <c r="P1452" i="2"/>
  <c r="Q1452" i="2"/>
  <c r="R1452" i="2"/>
  <c r="S1452" i="2"/>
  <c r="T1452" i="2"/>
  <c r="G1453" i="2"/>
  <c r="J1453" i="2"/>
  <c r="K1453" i="2"/>
  <c r="L1453" i="2"/>
  <c r="M1453" i="2"/>
  <c r="N1453" i="2"/>
  <c r="G1454" i="2"/>
  <c r="J1454" i="2"/>
  <c r="K1454" i="2"/>
  <c r="L1454" i="2"/>
  <c r="M1454" i="2"/>
  <c r="N1454" i="2"/>
  <c r="G1455" i="2"/>
  <c r="J1455" i="2"/>
  <c r="L1455" i="2" s="1"/>
  <c r="K1455" i="2"/>
  <c r="M1455" i="2"/>
  <c r="N1455" i="2"/>
  <c r="G1456" i="2"/>
  <c r="J1456" i="2"/>
  <c r="N1456" i="2" s="1"/>
  <c r="K1456" i="2"/>
  <c r="M1456" i="2"/>
  <c r="G1457" i="2"/>
  <c r="J1457" i="2"/>
  <c r="L1457" i="2" s="1"/>
  <c r="K1457" i="2"/>
  <c r="M1457" i="2"/>
  <c r="N1457" i="2"/>
  <c r="G1458" i="2"/>
  <c r="J1458" i="2"/>
  <c r="K1458" i="2"/>
  <c r="L1458" i="2"/>
  <c r="M1458" i="2"/>
  <c r="N1458" i="2"/>
  <c r="G1459" i="2"/>
  <c r="J1459" i="2"/>
  <c r="L1459" i="2" s="1"/>
  <c r="K1459" i="2"/>
  <c r="M1459" i="2"/>
  <c r="G1460" i="2"/>
  <c r="J1460" i="2"/>
  <c r="N1460" i="2" s="1"/>
  <c r="K1460" i="2"/>
  <c r="M1460" i="2"/>
  <c r="G1461" i="2"/>
  <c r="J1461" i="2"/>
  <c r="N1461" i="2" s="1"/>
  <c r="K1461" i="2"/>
  <c r="L1461" i="2"/>
  <c r="M1461" i="2"/>
  <c r="G1462" i="2"/>
  <c r="J1462" i="2"/>
  <c r="K1462" i="2"/>
  <c r="L1462" i="2"/>
  <c r="M1462" i="2"/>
  <c r="N1462" i="2"/>
  <c r="E1465" i="2"/>
  <c r="F1465" i="2"/>
  <c r="H1465" i="2"/>
  <c r="O1465" i="2"/>
  <c r="P1465" i="2"/>
  <c r="Q1465" i="2"/>
  <c r="R1465" i="2"/>
  <c r="S1465" i="2"/>
  <c r="T1465" i="2"/>
  <c r="G1466" i="2"/>
  <c r="J1466" i="2"/>
  <c r="K1466" i="2"/>
  <c r="L1466" i="2"/>
  <c r="M1466" i="2"/>
  <c r="N1466" i="2"/>
  <c r="G1467" i="2"/>
  <c r="J1467" i="2"/>
  <c r="L1467" i="2" s="1"/>
  <c r="K1467" i="2"/>
  <c r="M1467" i="2"/>
  <c r="G1468" i="2"/>
  <c r="J1468" i="2"/>
  <c r="N1468" i="2" s="1"/>
  <c r="K1468" i="2"/>
  <c r="L1468" i="2"/>
  <c r="M1468" i="2"/>
  <c r="G1469" i="2"/>
  <c r="J1469" i="2"/>
  <c r="L1469" i="2" s="1"/>
  <c r="K1469" i="2"/>
  <c r="M1469" i="2"/>
  <c r="N1469" i="2"/>
  <c r="G1470" i="2"/>
  <c r="J1470" i="2"/>
  <c r="K1470" i="2"/>
  <c r="L1470" i="2"/>
  <c r="M1470" i="2"/>
  <c r="N1470" i="2"/>
  <c r="G1471" i="2"/>
  <c r="J1471" i="2"/>
  <c r="K1471" i="2"/>
  <c r="M1471" i="2"/>
  <c r="G1472" i="2"/>
  <c r="J1472" i="2"/>
  <c r="L1472" i="2" s="1"/>
  <c r="K1472" i="2"/>
  <c r="M1472" i="2"/>
  <c r="G1473" i="2"/>
  <c r="J1473" i="2"/>
  <c r="K1473" i="2"/>
  <c r="L1473" i="2"/>
  <c r="M1473" i="2"/>
  <c r="N1473" i="2"/>
  <c r="E1476" i="2"/>
  <c r="D1476" i="2" s="1"/>
  <c r="D1477" i="2" s="1"/>
  <c r="F1476" i="2"/>
  <c r="H1476" i="2"/>
  <c r="O1476" i="2"/>
  <c r="P1476" i="2"/>
  <c r="Q1476" i="2"/>
  <c r="R1476" i="2"/>
  <c r="S1476" i="2"/>
  <c r="T1476" i="2"/>
  <c r="G1477" i="2"/>
  <c r="J1477" i="2"/>
  <c r="N1477" i="2" s="1"/>
  <c r="K1477" i="2"/>
  <c r="L1477" i="2"/>
  <c r="M1477" i="2"/>
  <c r="G1478" i="2"/>
  <c r="J1478" i="2"/>
  <c r="L1478" i="2" s="1"/>
  <c r="K1478" i="2"/>
  <c r="M1478" i="2"/>
  <c r="N1478" i="2"/>
  <c r="G1479" i="2"/>
  <c r="J1479" i="2"/>
  <c r="K1479" i="2"/>
  <c r="L1479" i="2"/>
  <c r="M1479" i="2"/>
  <c r="N1479" i="2"/>
  <c r="G1480" i="2"/>
  <c r="J1480" i="2"/>
  <c r="L1480" i="2" s="1"/>
  <c r="K1480" i="2"/>
  <c r="M1480" i="2"/>
  <c r="G1481" i="2"/>
  <c r="J1481" i="2"/>
  <c r="N1481" i="2" s="1"/>
  <c r="K1481" i="2"/>
  <c r="M1481" i="2"/>
  <c r="G1482" i="2"/>
  <c r="J1482" i="2"/>
  <c r="L1482" i="2" s="1"/>
  <c r="K1482" i="2"/>
  <c r="M1482" i="2"/>
  <c r="G1483" i="2"/>
  <c r="J1483" i="2"/>
  <c r="K1483" i="2"/>
  <c r="L1483" i="2"/>
  <c r="M1483" i="2"/>
  <c r="N1483" i="2"/>
  <c r="E1486" i="2"/>
  <c r="F1486" i="2"/>
  <c r="H1486" i="2"/>
  <c r="O1486" i="2"/>
  <c r="P1486" i="2"/>
  <c r="Q1486" i="2"/>
  <c r="R1486" i="2"/>
  <c r="S1486" i="2"/>
  <c r="T1486" i="2"/>
  <c r="G1487" i="2"/>
  <c r="J1487" i="2"/>
  <c r="N1487" i="2" s="1"/>
  <c r="K1487" i="2"/>
  <c r="L1487" i="2"/>
  <c r="M1487" i="2"/>
  <c r="G1488" i="2"/>
  <c r="J1488" i="2"/>
  <c r="K1488" i="2"/>
  <c r="L1488" i="2"/>
  <c r="M1488" i="2"/>
  <c r="N1488" i="2"/>
  <c r="G1489" i="2"/>
  <c r="J1489" i="2"/>
  <c r="L1489" i="2" s="1"/>
  <c r="K1489" i="2"/>
  <c r="M1489" i="2"/>
  <c r="N1489" i="2"/>
  <c r="G1490" i="2"/>
  <c r="J1490" i="2"/>
  <c r="N1490" i="2" s="1"/>
  <c r="K1490" i="2"/>
  <c r="L1490" i="2"/>
  <c r="M1490" i="2"/>
  <c r="G1491" i="2"/>
  <c r="J1491" i="2"/>
  <c r="N1491" i="2" s="1"/>
  <c r="K1491" i="2"/>
  <c r="M1491" i="2"/>
  <c r="G1492" i="2"/>
  <c r="J1492" i="2"/>
  <c r="K1492" i="2"/>
  <c r="L1492" i="2"/>
  <c r="M1492" i="2"/>
  <c r="N1492" i="2"/>
  <c r="G1493" i="2"/>
  <c r="J1493" i="2"/>
  <c r="K1493" i="2"/>
  <c r="M1493" i="2"/>
  <c r="N1493" i="2"/>
  <c r="G1494" i="2"/>
  <c r="J1494" i="2"/>
  <c r="N1494" i="2" s="1"/>
  <c r="K1494" i="2"/>
  <c r="L1494" i="2"/>
  <c r="M1494" i="2"/>
  <c r="G1495" i="2"/>
  <c r="J1495" i="2"/>
  <c r="K1495" i="2"/>
  <c r="L1495" i="2"/>
  <c r="M1495" i="2"/>
  <c r="N1495" i="2"/>
  <c r="E1498" i="2"/>
  <c r="D1498" i="2" s="1"/>
  <c r="D1499" i="2" s="1"/>
  <c r="F1498" i="2"/>
  <c r="H1498" i="2"/>
  <c r="O1498" i="2"/>
  <c r="P1498" i="2"/>
  <c r="Q1498" i="2"/>
  <c r="R1498" i="2"/>
  <c r="S1498" i="2"/>
  <c r="T1498" i="2"/>
  <c r="G1499" i="2"/>
  <c r="J1499" i="2"/>
  <c r="L1499" i="2" s="1"/>
  <c r="K1499" i="2"/>
  <c r="M1499" i="2"/>
  <c r="G1500" i="2"/>
  <c r="J1500" i="2"/>
  <c r="N1500" i="2" s="1"/>
  <c r="K1500" i="2"/>
  <c r="L1500" i="2"/>
  <c r="M1500" i="2"/>
  <c r="G1501" i="2"/>
  <c r="J1501" i="2"/>
  <c r="L1501" i="2" s="1"/>
  <c r="K1501" i="2"/>
  <c r="M1501" i="2"/>
  <c r="N1501" i="2"/>
  <c r="G1502" i="2"/>
  <c r="J1502" i="2"/>
  <c r="K1502" i="2"/>
  <c r="L1502" i="2"/>
  <c r="M1502" i="2"/>
  <c r="N1502" i="2"/>
  <c r="G1503" i="2"/>
  <c r="J1503" i="2"/>
  <c r="L1503" i="2" s="1"/>
  <c r="K1503" i="2"/>
  <c r="M1503" i="2"/>
  <c r="G1504" i="2"/>
  <c r="J1504" i="2"/>
  <c r="N1504" i="2" s="1"/>
  <c r="K1504" i="2"/>
  <c r="M1504" i="2"/>
  <c r="G1505" i="2"/>
  <c r="J1505" i="2"/>
  <c r="L1505" i="2" s="1"/>
  <c r="K1505" i="2"/>
  <c r="M1505" i="2"/>
  <c r="G1506" i="2"/>
  <c r="J1506" i="2"/>
  <c r="K1506" i="2"/>
  <c r="L1506" i="2"/>
  <c r="M1506" i="2"/>
  <c r="N1506" i="2"/>
  <c r="G1507" i="2"/>
  <c r="J1507" i="2"/>
  <c r="K1507" i="2"/>
  <c r="M1507" i="2"/>
  <c r="N1507" i="2"/>
  <c r="E1510" i="2"/>
  <c r="D1510" i="2" s="1"/>
  <c r="D1511" i="2" s="1"/>
  <c r="F1510" i="2"/>
  <c r="H1510" i="2"/>
  <c r="O1510" i="2"/>
  <c r="P1510" i="2"/>
  <c r="Q1510" i="2"/>
  <c r="R1510" i="2"/>
  <c r="S1510" i="2"/>
  <c r="T1510" i="2"/>
  <c r="G1511" i="2"/>
  <c r="J1511" i="2"/>
  <c r="K1511" i="2"/>
  <c r="L1511" i="2"/>
  <c r="M1511" i="2"/>
  <c r="N1511" i="2"/>
  <c r="G1512" i="2"/>
  <c r="J1512" i="2"/>
  <c r="L1512" i="2" s="1"/>
  <c r="K1512" i="2"/>
  <c r="M1512" i="2"/>
  <c r="G1513" i="2"/>
  <c r="J1513" i="2"/>
  <c r="N1513" i="2" s="1"/>
  <c r="K1513" i="2"/>
  <c r="L1513" i="2"/>
  <c r="M1513" i="2"/>
  <c r="G1514" i="2"/>
  <c r="J1514" i="2"/>
  <c r="L1514" i="2" s="1"/>
  <c r="K1514" i="2"/>
  <c r="M1514" i="2"/>
  <c r="N1514" i="2"/>
  <c r="G1515" i="2"/>
  <c r="J1515" i="2"/>
  <c r="K1515" i="2"/>
  <c r="L1515" i="2"/>
  <c r="M1515" i="2"/>
  <c r="N1515" i="2"/>
  <c r="G1516" i="2"/>
  <c r="J1516" i="2"/>
  <c r="L1516" i="2" s="1"/>
  <c r="K1516" i="2"/>
  <c r="M1516" i="2"/>
  <c r="G1517" i="2"/>
  <c r="J1517" i="2"/>
  <c r="N1517" i="2" s="1"/>
  <c r="K1517" i="2"/>
  <c r="M1517" i="2"/>
  <c r="G1518" i="2"/>
  <c r="J1518" i="2"/>
  <c r="L1518" i="2" s="1"/>
  <c r="K1518" i="2"/>
  <c r="M1518" i="2"/>
  <c r="G1519" i="2"/>
  <c r="J1519" i="2"/>
  <c r="K1519" i="2"/>
  <c r="L1519" i="2"/>
  <c r="M1519" i="2"/>
  <c r="N1519" i="2"/>
  <c r="G1520" i="2"/>
  <c r="J1520" i="2"/>
  <c r="K1520" i="2"/>
  <c r="M1520" i="2"/>
  <c r="N1520" i="2"/>
  <c r="G1521" i="2"/>
  <c r="J1521" i="2"/>
  <c r="N1521" i="2" s="1"/>
  <c r="K1521" i="2"/>
  <c r="L1521" i="2"/>
  <c r="M1521" i="2"/>
  <c r="E1524" i="2"/>
  <c r="F1524" i="2"/>
  <c r="H1524" i="2"/>
  <c r="O1524" i="2"/>
  <c r="P1524" i="2"/>
  <c r="Q1524" i="2"/>
  <c r="R1524" i="2"/>
  <c r="S1524" i="2"/>
  <c r="T1524" i="2"/>
  <c r="G1525" i="2"/>
  <c r="J1525" i="2"/>
  <c r="K1525" i="2"/>
  <c r="L1525" i="2"/>
  <c r="M1525" i="2"/>
  <c r="N1525" i="2"/>
  <c r="G1526" i="2"/>
  <c r="J1526" i="2"/>
  <c r="L1526" i="2" s="1"/>
  <c r="K1526" i="2"/>
  <c r="M1526" i="2"/>
  <c r="N1526" i="2"/>
  <c r="G1527" i="2"/>
  <c r="J1527" i="2"/>
  <c r="N1527" i="2" s="1"/>
  <c r="K1527" i="2"/>
  <c r="M1527" i="2"/>
  <c r="G1528" i="2"/>
  <c r="J1528" i="2"/>
  <c r="L1528" i="2" s="1"/>
  <c r="K1528" i="2"/>
  <c r="M1528" i="2"/>
  <c r="N1528" i="2"/>
  <c r="G1529" i="2"/>
  <c r="J1529" i="2"/>
  <c r="K1529" i="2"/>
  <c r="L1529" i="2"/>
  <c r="M1529" i="2"/>
  <c r="N1529" i="2"/>
  <c r="G1530" i="2"/>
  <c r="J1530" i="2"/>
  <c r="L1530" i="2" s="1"/>
  <c r="K1530" i="2"/>
  <c r="M1530" i="2"/>
  <c r="G1531" i="2"/>
  <c r="J1531" i="2"/>
  <c r="N1531" i="2" s="1"/>
  <c r="K1531" i="2"/>
  <c r="M1531" i="2"/>
  <c r="G1532" i="2"/>
  <c r="J1532" i="2"/>
  <c r="N1532" i="2" s="1"/>
  <c r="K1532" i="2"/>
  <c r="L1532" i="2" s="1"/>
  <c r="M1532" i="2"/>
  <c r="G1533" i="2"/>
  <c r="J1533" i="2"/>
  <c r="K1533" i="2"/>
  <c r="L1533" i="2"/>
  <c r="M1533" i="2"/>
  <c r="N1533" i="2"/>
  <c r="E1536" i="2"/>
  <c r="F1536" i="2"/>
  <c r="H1536" i="2"/>
  <c r="O1536" i="2"/>
  <c r="P1536" i="2"/>
  <c r="Q1536" i="2"/>
  <c r="R1536" i="2"/>
  <c r="S1536" i="2"/>
  <c r="T1536" i="2"/>
  <c r="G1537" i="2"/>
  <c r="J1537" i="2"/>
  <c r="L1537" i="2" s="1"/>
  <c r="K1537" i="2"/>
  <c r="M1537" i="2"/>
  <c r="N1537" i="2"/>
  <c r="G1538" i="2"/>
  <c r="J1538" i="2"/>
  <c r="K1538" i="2"/>
  <c r="L1538" i="2"/>
  <c r="M1538" i="2"/>
  <c r="N1538" i="2"/>
  <c r="G1539" i="2"/>
  <c r="J1539" i="2"/>
  <c r="L1539" i="2" s="1"/>
  <c r="K1539" i="2"/>
  <c r="M1539" i="2"/>
  <c r="G1540" i="2"/>
  <c r="J1540" i="2"/>
  <c r="N1540" i="2" s="1"/>
  <c r="K1540" i="2"/>
  <c r="M1540" i="2"/>
  <c r="G1541" i="2"/>
  <c r="J1541" i="2"/>
  <c r="L1541" i="2" s="1"/>
  <c r="K1541" i="2"/>
  <c r="M1541" i="2"/>
  <c r="G1542" i="2"/>
  <c r="J1542" i="2"/>
  <c r="K1542" i="2"/>
  <c r="L1542" i="2"/>
  <c r="M1542" i="2"/>
  <c r="N1542" i="2"/>
  <c r="G1543" i="2"/>
  <c r="J1543" i="2"/>
  <c r="K1543" i="2"/>
  <c r="M1543" i="2"/>
  <c r="N1543" i="2"/>
  <c r="G1544" i="2"/>
  <c r="J1544" i="2"/>
  <c r="N1544" i="2" s="1"/>
  <c r="K1544" i="2"/>
  <c r="L1544" i="2"/>
  <c r="M1544" i="2"/>
  <c r="G1545" i="2"/>
  <c r="J1545" i="2"/>
  <c r="N1545" i="2" s="1"/>
  <c r="K1545" i="2"/>
  <c r="L1545" i="2"/>
  <c r="M1545" i="2"/>
  <c r="G1546" i="2"/>
  <c r="J1546" i="2"/>
  <c r="K1546" i="2"/>
  <c r="L1546" i="2"/>
  <c r="M1546" i="2"/>
  <c r="N1546" i="2"/>
  <c r="G1547" i="2"/>
  <c r="J1547" i="2"/>
  <c r="N1547" i="2" s="1"/>
  <c r="K1547" i="2"/>
  <c r="M1547" i="2"/>
  <c r="E1550" i="2"/>
  <c r="F1550" i="2"/>
  <c r="H1550" i="2"/>
  <c r="O1550" i="2"/>
  <c r="P1550" i="2"/>
  <c r="Q1550" i="2"/>
  <c r="R1550" i="2"/>
  <c r="S1550" i="2"/>
  <c r="T1550" i="2"/>
  <c r="G1551" i="2"/>
  <c r="J1551" i="2"/>
  <c r="L1551" i="2" s="1"/>
  <c r="K1551" i="2"/>
  <c r="M1551" i="2"/>
  <c r="G1552" i="2"/>
  <c r="J1552" i="2"/>
  <c r="K1552" i="2"/>
  <c r="L1552" i="2"/>
  <c r="M1552" i="2"/>
  <c r="N1552" i="2"/>
  <c r="G1553" i="2"/>
  <c r="J1553" i="2"/>
  <c r="L1553" i="2" s="1"/>
  <c r="K1553" i="2"/>
  <c r="M1553" i="2"/>
  <c r="N1553" i="2"/>
  <c r="G1554" i="2"/>
  <c r="J1554" i="2"/>
  <c r="N1554" i="2" s="1"/>
  <c r="K1554" i="2"/>
  <c r="L1554" i="2"/>
  <c r="M1554" i="2"/>
  <c r="G1555" i="2"/>
  <c r="J1555" i="2"/>
  <c r="N1555" i="2" s="1"/>
  <c r="K1555" i="2"/>
  <c r="L1555" i="2"/>
  <c r="M1555" i="2"/>
  <c r="G1556" i="2"/>
  <c r="J1556" i="2"/>
  <c r="K1556" i="2"/>
  <c r="L1556" i="2"/>
  <c r="M1556" i="2"/>
  <c r="N1556" i="2"/>
  <c r="G1557" i="2"/>
  <c r="J1557" i="2"/>
  <c r="N1557" i="2" s="1"/>
  <c r="K1557" i="2"/>
  <c r="M1557" i="2"/>
  <c r="G1558" i="2"/>
  <c r="J1558" i="2"/>
  <c r="N1558" i="2" s="1"/>
  <c r="K1558" i="2"/>
  <c r="M1558" i="2"/>
  <c r="G1559" i="2"/>
  <c r="J1559" i="2"/>
  <c r="K1559" i="2"/>
  <c r="L1559" i="2"/>
  <c r="M1559" i="2"/>
  <c r="N1559" i="2"/>
  <c r="G1560" i="2"/>
  <c r="J1560" i="2"/>
  <c r="K1560" i="2"/>
  <c r="L1560" i="2" s="1"/>
  <c r="M1560" i="2"/>
  <c r="N1560" i="2"/>
  <c r="G1561" i="2"/>
  <c r="J1561" i="2"/>
  <c r="L1561" i="2" s="1"/>
  <c r="K1561" i="2"/>
  <c r="M1561" i="2"/>
  <c r="G1562" i="2"/>
  <c r="J1562" i="2"/>
  <c r="N1562" i="2" s="1"/>
  <c r="K1562" i="2"/>
  <c r="L1562" i="2"/>
  <c r="M1562" i="2"/>
  <c r="E1565" i="2"/>
  <c r="F1565" i="2"/>
  <c r="H1565" i="2"/>
  <c r="O1565" i="2"/>
  <c r="P1565" i="2"/>
  <c r="Q1565" i="2"/>
  <c r="R1565" i="2"/>
  <c r="S1565" i="2"/>
  <c r="T1565" i="2"/>
  <c r="G1566" i="2"/>
  <c r="J1566" i="2"/>
  <c r="L1566" i="2" s="1"/>
  <c r="K1566" i="2"/>
  <c r="M1566" i="2"/>
  <c r="G1567" i="2"/>
  <c r="J1567" i="2"/>
  <c r="N1567" i="2" s="1"/>
  <c r="K1567" i="2"/>
  <c r="M1567" i="2"/>
  <c r="G1568" i="2"/>
  <c r="J1568" i="2"/>
  <c r="N1568" i="2" s="1"/>
  <c r="K1568" i="2"/>
  <c r="L1568" i="2"/>
  <c r="M1568" i="2"/>
  <c r="G1569" i="2"/>
  <c r="J1569" i="2"/>
  <c r="K1569" i="2"/>
  <c r="L1569" i="2"/>
  <c r="M1569" i="2"/>
  <c r="N1569" i="2"/>
  <c r="G1570" i="2"/>
  <c r="J1570" i="2"/>
  <c r="L1570" i="2" s="1"/>
  <c r="K1570" i="2"/>
  <c r="M1570" i="2"/>
  <c r="N1570" i="2"/>
  <c r="G1571" i="2"/>
  <c r="J1571" i="2"/>
  <c r="N1571" i="2" s="1"/>
  <c r="K1571" i="2"/>
  <c r="L1571" i="2"/>
  <c r="M1571" i="2"/>
  <c r="G1572" i="2"/>
  <c r="J1572" i="2"/>
  <c r="N1572" i="2" s="1"/>
  <c r="K1572" i="2"/>
  <c r="M1572" i="2"/>
  <c r="E1575" i="2"/>
  <c r="F1575" i="2"/>
  <c r="H1575" i="2"/>
  <c r="O1575" i="2"/>
  <c r="P1575" i="2"/>
  <c r="Q1575" i="2"/>
  <c r="R1575" i="2"/>
  <c r="S1575" i="2"/>
  <c r="T1575" i="2"/>
  <c r="G1576" i="2"/>
  <c r="J1576" i="2"/>
  <c r="L1576" i="2" s="1"/>
  <c r="K1576" i="2"/>
  <c r="M1576" i="2"/>
  <c r="G1577" i="2"/>
  <c r="J1577" i="2"/>
  <c r="N1577" i="2" s="1"/>
  <c r="K1577" i="2"/>
  <c r="M1577" i="2"/>
  <c r="G1578" i="2"/>
  <c r="J1578" i="2"/>
  <c r="K1578" i="2"/>
  <c r="L1578" i="2"/>
  <c r="M1578" i="2"/>
  <c r="N1578" i="2"/>
  <c r="G1579" i="2"/>
  <c r="J1579" i="2"/>
  <c r="K1579" i="2"/>
  <c r="L1579" i="2"/>
  <c r="M1579" i="2"/>
  <c r="N1579" i="2"/>
  <c r="G1580" i="2"/>
  <c r="J1580" i="2"/>
  <c r="L1580" i="2" s="1"/>
  <c r="K1580" i="2"/>
  <c r="M1580" i="2"/>
  <c r="G1581" i="2"/>
  <c r="J1581" i="2"/>
  <c r="N1581" i="2" s="1"/>
  <c r="K1581" i="2"/>
  <c r="L1581" i="2"/>
  <c r="M1581" i="2"/>
  <c r="G1582" i="2"/>
  <c r="J1582" i="2"/>
  <c r="L1582" i="2" s="1"/>
  <c r="K1582" i="2"/>
  <c r="M1582" i="2"/>
  <c r="N1582" i="2"/>
  <c r="G1583" i="2"/>
  <c r="J1583" i="2"/>
  <c r="K1583" i="2"/>
  <c r="L1583" i="2"/>
  <c r="M1583" i="2"/>
  <c r="N1583" i="2"/>
  <c r="G1584" i="2"/>
  <c r="J1584" i="2"/>
  <c r="L1584" i="2" s="1"/>
  <c r="K1584" i="2"/>
  <c r="M1584" i="2"/>
  <c r="E1587" i="2"/>
  <c r="D1587" i="2" s="1"/>
  <c r="D1588" i="2" s="1"/>
  <c r="F1587" i="2"/>
  <c r="H1587" i="2"/>
  <c r="O1587" i="2"/>
  <c r="P1587" i="2"/>
  <c r="Q1587" i="2"/>
  <c r="R1587" i="2"/>
  <c r="S1587" i="2"/>
  <c r="T1587" i="2"/>
  <c r="G1588" i="2"/>
  <c r="J1588" i="2"/>
  <c r="K1588" i="2"/>
  <c r="L1588" i="2"/>
  <c r="M1588" i="2"/>
  <c r="N1588" i="2"/>
  <c r="G1589" i="2"/>
  <c r="J1589" i="2"/>
  <c r="L1589" i="2" s="1"/>
  <c r="K1589" i="2"/>
  <c r="M1589" i="2"/>
  <c r="G1590" i="2"/>
  <c r="J1590" i="2"/>
  <c r="N1590" i="2" s="1"/>
  <c r="K1590" i="2"/>
  <c r="M1590" i="2"/>
  <c r="G1591" i="2"/>
  <c r="J1591" i="2"/>
  <c r="K1591" i="2"/>
  <c r="L1591" i="2"/>
  <c r="M1591" i="2"/>
  <c r="N1591" i="2"/>
  <c r="G1592" i="2"/>
  <c r="J1592" i="2"/>
  <c r="K1592" i="2"/>
  <c r="L1592" i="2" s="1"/>
  <c r="M1592" i="2"/>
  <c r="N1592" i="2"/>
  <c r="G1593" i="2"/>
  <c r="J1593" i="2"/>
  <c r="L1593" i="2" s="1"/>
  <c r="K1593" i="2"/>
  <c r="M1593" i="2"/>
  <c r="G1594" i="2"/>
  <c r="J1594" i="2"/>
  <c r="N1594" i="2" s="1"/>
  <c r="K1594" i="2"/>
  <c r="L1594" i="2" s="1"/>
  <c r="M1594" i="2"/>
  <c r="G1595" i="2"/>
  <c r="J1595" i="2"/>
  <c r="L1595" i="2" s="1"/>
  <c r="K1595" i="2"/>
  <c r="M1595" i="2"/>
  <c r="N1595" i="2"/>
  <c r="G1596" i="2"/>
  <c r="J1596" i="2"/>
  <c r="K1596" i="2"/>
  <c r="L1596" i="2"/>
  <c r="M1596" i="2"/>
  <c r="N1596" i="2"/>
  <c r="G1597" i="2"/>
  <c r="J1597" i="2"/>
  <c r="L1597" i="2" s="1"/>
  <c r="K1597" i="2"/>
  <c r="M1597" i="2"/>
  <c r="G1598" i="2"/>
  <c r="J1598" i="2"/>
  <c r="N1598" i="2" s="1"/>
  <c r="K1598" i="2"/>
  <c r="M1598" i="2"/>
  <c r="G1599" i="2"/>
  <c r="J1599" i="2"/>
  <c r="L1599" i="2" s="1"/>
  <c r="K1599" i="2"/>
  <c r="M1599" i="2"/>
  <c r="G1600" i="2"/>
  <c r="J1600" i="2"/>
  <c r="K1600" i="2"/>
  <c r="L1600" i="2"/>
  <c r="M1600" i="2"/>
  <c r="N1600" i="2"/>
  <c r="E1603" i="2"/>
  <c r="F1603" i="2"/>
  <c r="H1603" i="2"/>
  <c r="O1603" i="2"/>
  <c r="P1603" i="2"/>
  <c r="Q1603" i="2"/>
  <c r="R1603" i="2"/>
  <c r="S1603" i="2"/>
  <c r="T1603" i="2"/>
  <c r="G1604" i="2"/>
  <c r="J1604" i="2"/>
  <c r="N1604" i="2" s="1"/>
  <c r="K1604" i="2"/>
  <c r="L1604" i="2"/>
  <c r="M1604" i="2"/>
  <c r="G1605" i="2"/>
  <c r="J1605" i="2"/>
  <c r="L1605" i="2" s="1"/>
  <c r="K1605" i="2"/>
  <c r="M1605" i="2"/>
  <c r="N1605" i="2"/>
  <c r="G1606" i="2"/>
  <c r="J1606" i="2"/>
  <c r="K1606" i="2"/>
  <c r="L1606" i="2"/>
  <c r="M1606" i="2"/>
  <c r="N1606" i="2"/>
  <c r="G1607" i="2"/>
  <c r="J1607" i="2"/>
  <c r="L1607" i="2" s="1"/>
  <c r="K1607" i="2"/>
  <c r="M1607" i="2"/>
  <c r="G1608" i="2"/>
  <c r="J1608" i="2"/>
  <c r="N1608" i="2" s="1"/>
  <c r="K1608" i="2"/>
  <c r="M1608" i="2"/>
  <c r="G1609" i="2"/>
  <c r="J1609" i="2"/>
  <c r="L1609" i="2" s="1"/>
  <c r="K1609" i="2"/>
  <c r="M1609" i="2"/>
  <c r="G1610" i="2"/>
  <c r="J1610" i="2"/>
  <c r="K1610" i="2"/>
  <c r="L1610" i="2"/>
  <c r="M1610" i="2"/>
  <c r="N1610" i="2"/>
  <c r="G1611" i="2"/>
  <c r="J1611" i="2"/>
  <c r="K1611" i="2"/>
  <c r="M1611" i="2"/>
  <c r="N1611" i="2"/>
  <c r="G1612" i="2"/>
  <c r="J1612" i="2"/>
  <c r="N1612" i="2" s="1"/>
  <c r="K1612" i="2"/>
  <c r="L1612" i="2"/>
  <c r="M1612" i="2"/>
  <c r="G1613" i="2"/>
  <c r="J1613" i="2"/>
  <c r="N1613" i="2" s="1"/>
  <c r="K1613" i="2"/>
  <c r="L1613" i="2"/>
  <c r="M1613" i="2"/>
  <c r="G1614" i="2"/>
  <c r="J1614" i="2"/>
  <c r="K1614" i="2"/>
  <c r="L1614" i="2"/>
  <c r="M1614" i="2"/>
  <c r="N1614" i="2"/>
  <c r="G1615" i="2"/>
  <c r="J1615" i="2"/>
  <c r="N1615" i="2" s="1"/>
  <c r="K1615" i="2"/>
  <c r="M1615" i="2"/>
  <c r="G1616" i="2"/>
  <c r="J1616" i="2"/>
  <c r="N1616" i="2" s="1"/>
  <c r="K1616" i="2"/>
  <c r="M1616" i="2"/>
  <c r="E1619" i="2"/>
  <c r="D1619" i="2" s="1"/>
  <c r="D1620" i="2" s="1"/>
  <c r="F1619" i="2"/>
  <c r="H1619" i="2"/>
  <c r="O1619" i="2"/>
  <c r="P1619" i="2"/>
  <c r="Q1619" i="2"/>
  <c r="R1619" i="2"/>
  <c r="S1619" i="2"/>
  <c r="T1619" i="2"/>
  <c r="G1620" i="2"/>
  <c r="J1620" i="2"/>
  <c r="L1620" i="2" s="1"/>
  <c r="K1620" i="2"/>
  <c r="M1620" i="2"/>
  <c r="N1620" i="2"/>
  <c r="G1621" i="2"/>
  <c r="J1621" i="2"/>
  <c r="N1621" i="2" s="1"/>
  <c r="K1621" i="2"/>
  <c r="M1621" i="2"/>
  <c r="G1622" i="2"/>
  <c r="J1622" i="2"/>
  <c r="L1622" i="2" s="1"/>
  <c r="K1622" i="2"/>
  <c r="M1622" i="2"/>
  <c r="N1622" i="2"/>
  <c r="G1623" i="2"/>
  <c r="J1623" i="2"/>
  <c r="K1623" i="2"/>
  <c r="L1623" i="2"/>
  <c r="M1623" i="2"/>
  <c r="N1623" i="2"/>
  <c r="G1624" i="2"/>
  <c r="J1624" i="2"/>
  <c r="L1624" i="2" s="1"/>
  <c r="K1624" i="2"/>
  <c r="M1624" i="2"/>
  <c r="G1625" i="2"/>
  <c r="J1625" i="2"/>
  <c r="N1625" i="2" s="1"/>
  <c r="K1625" i="2"/>
  <c r="M1625" i="2"/>
  <c r="G1626" i="2"/>
  <c r="J1626" i="2"/>
  <c r="N1626" i="2" s="1"/>
  <c r="K1626" i="2"/>
  <c r="L1626" i="2"/>
  <c r="M1626" i="2"/>
  <c r="E1629" i="2"/>
  <c r="D1629" i="2" s="1"/>
  <c r="D1630" i="2" s="1"/>
  <c r="F1629" i="2"/>
  <c r="H1629" i="2"/>
  <c r="O1629" i="2"/>
  <c r="P1629" i="2"/>
  <c r="Q1629" i="2"/>
  <c r="R1629" i="2"/>
  <c r="S1629" i="2"/>
  <c r="T1629" i="2"/>
  <c r="G1630" i="2"/>
  <c r="J1630" i="2"/>
  <c r="K1630" i="2"/>
  <c r="M1630" i="2"/>
  <c r="N1630" i="2"/>
  <c r="G1631" i="2"/>
  <c r="J1631" i="2"/>
  <c r="N1631" i="2" s="1"/>
  <c r="K1631" i="2"/>
  <c r="L1631" i="2"/>
  <c r="M1631" i="2"/>
  <c r="G1632" i="2"/>
  <c r="J1632" i="2"/>
  <c r="N1632" i="2" s="1"/>
  <c r="K1632" i="2"/>
  <c r="L1632" i="2"/>
  <c r="M1632" i="2"/>
  <c r="G1633" i="2"/>
  <c r="J1633" i="2"/>
  <c r="K1633" i="2"/>
  <c r="L1633" i="2"/>
  <c r="M1633" i="2"/>
  <c r="N1633" i="2"/>
  <c r="G1634" i="2"/>
  <c r="J1634" i="2"/>
  <c r="L1634" i="2" s="1"/>
  <c r="K1634" i="2"/>
  <c r="M1634" i="2"/>
  <c r="G1635" i="2"/>
  <c r="J1635" i="2"/>
  <c r="N1635" i="2" s="1"/>
  <c r="K1635" i="2"/>
  <c r="M1635" i="2"/>
  <c r="G1636" i="2"/>
  <c r="J1636" i="2"/>
  <c r="K1636" i="2"/>
  <c r="L1636" i="2"/>
  <c r="M1636" i="2"/>
  <c r="N1636" i="2"/>
  <c r="G1637" i="2"/>
  <c r="J1637" i="2"/>
  <c r="K1637" i="2"/>
  <c r="L1637" i="2"/>
  <c r="M1637" i="2"/>
  <c r="N1637" i="2"/>
  <c r="G1638" i="2"/>
  <c r="J1638" i="2"/>
  <c r="L1638" i="2" s="1"/>
  <c r="K1638" i="2"/>
  <c r="M1638" i="2"/>
  <c r="G1639" i="2"/>
  <c r="J1639" i="2"/>
  <c r="N1639" i="2" s="1"/>
  <c r="K1639" i="2"/>
  <c r="L1639" i="2"/>
  <c r="M1639" i="2"/>
  <c r="G1640" i="2"/>
  <c r="J1640" i="2"/>
  <c r="L1640" i="2" s="1"/>
  <c r="K1640" i="2"/>
  <c r="M1640" i="2"/>
  <c r="N1640" i="2"/>
  <c r="G1641" i="2"/>
  <c r="J1641" i="2"/>
  <c r="K1641" i="2"/>
  <c r="L1641" i="2"/>
  <c r="M1641" i="2"/>
  <c r="N1641" i="2"/>
  <c r="G1642" i="2"/>
  <c r="J1642" i="2"/>
  <c r="L1642" i="2" s="1"/>
  <c r="K1642" i="2"/>
  <c r="M1642" i="2"/>
  <c r="G1643" i="2"/>
  <c r="J1643" i="2"/>
  <c r="N1643" i="2" s="1"/>
  <c r="K1643" i="2"/>
  <c r="M1643" i="2"/>
  <c r="G1644" i="2"/>
  <c r="J1644" i="2"/>
  <c r="L1644" i="2" s="1"/>
  <c r="K1644" i="2"/>
  <c r="M1644" i="2"/>
  <c r="G1645" i="2"/>
  <c r="J1645" i="2"/>
  <c r="K1645" i="2"/>
  <c r="L1645" i="2"/>
  <c r="M1645" i="2"/>
  <c r="N1645" i="2"/>
  <c r="G1646" i="2"/>
  <c r="J1646" i="2"/>
  <c r="K1646" i="2"/>
  <c r="M1646" i="2"/>
  <c r="N1646" i="2"/>
  <c r="G1647" i="2"/>
  <c r="J1647" i="2"/>
  <c r="N1647" i="2" s="1"/>
  <c r="K1647" i="2"/>
  <c r="L1647" i="2"/>
  <c r="M1647" i="2"/>
  <c r="G1648" i="2"/>
  <c r="J1648" i="2"/>
  <c r="N1648" i="2" s="1"/>
  <c r="K1648" i="2"/>
  <c r="L1648" i="2"/>
  <c r="M1648" i="2"/>
  <c r="G1649" i="2"/>
  <c r="J1649" i="2"/>
  <c r="K1649" i="2"/>
  <c r="L1649" i="2"/>
  <c r="M1649" i="2"/>
  <c r="N1649" i="2"/>
  <c r="G1650" i="2"/>
  <c r="J1650" i="2"/>
  <c r="N1650" i="2" s="1"/>
  <c r="K1650" i="2"/>
  <c r="M1650" i="2"/>
  <c r="G1651" i="2"/>
  <c r="J1651" i="2"/>
  <c r="N1651" i="2" s="1"/>
  <c r="K1651" i="2"/>
  <c r="M1651" i="2"/>
  <c r="G1652" i="2"/>
  <c r="J1652" i="2"/>
  <c r="K1652" i="2"/>
  <c r="L1652" i="2"/>
  <c r="M1652" i="2"/>
  <c r="N1652" i="2"/>
  <c r="G1653" i="2"/>
  <c r="J1653" i="2"/>
  <c r="K1653" i="2"/>
  <c r="L1653" i="2" s="1"/>
  <c r="M1653" i="2"/>
  <c r="N1653" i="2"/>
  <c r="G1654" i="2"/>
  <c r="J1654" i="2"/>
  <c r="L1654" i="2" s="1"/>
  <c r="K1654" i="2"/>
  <c r="M1654" i="2"/>
  <c r="E1657" i="2"/>
  <c r="F1657" i="2"/>
  <c r="H1657" i="2"/>
  <c r="O1657" i="2"/>
  <c r="P1657" i="2"/>
  <c r="Q1657" i="2"/>
  <c r="R1657" i="2"/>
  <c r="S1657" i="2"/>
  <c r="T1657" i="2"/>
  <c r="G1658" i="2"/>
  <c r="J1658" i="2"/>
  <c r="K1658" i="2"/>
  <c r="L1658" i="2"/>
  <c r="M1658" i="2"/>
  <c r="N1658" i="2"/>
  <c r="G1659" i="2"/>
  <c r="J1659" i="2"/>
  <c r="L1659" i="2" s="1"/>
  <c r="K1659" i="2"/>
  <c r="M1659" i="2"/>
  <c r="N1659" i="2"/>
  <c r="G1660" i="2"/>
  <c r="J1660" i="2"/>
  <c r="N1660" i="2" s="1"/>
  <c r="K1660" i="2"/>
  <c r="L1660" i="2"/>
  <c r="M1660" i="2"/>
  <c r="G1661" i="2"/>
  <c r="J1661" i="2"/>
  <c r="N1661" i="2" s="1"/>
  <c r="K1661" i="2"/>
  <c r="L1661" i="2"/>
  <c r="M1661" i="2"/>
  <c r="G1662" i="2"/>
  <c r="J1662" i="2"/>
  <c r="K1662" i="2"/>
  <c r="L1662" i="2"/>
  <c r="M1662" i="2"/>
  <c r="N1662" i="2"/>
  <c r="G1663" i="2"/>
  <c r="J1663" i="2"/>
  <c r="L1663" i="2" s="1"/>
  <c r="K1663" i="2"/>
  <c r="M1663" i="2"/>
  <c r="G1664" i="2"/>
  <c r="J1664" i="2"/>
  <c r="N1664" i="2" s="1"/>
  <c r="K1664" i="2"/>
  <c r="M1664" i="2"/>
  <c r="G1665" i="2"/>
  <c r="J1665" i="2"/>
  <c r="K1665" i="2"/>
  <c r="L1665" i="2"/>
  <c r="M1665" i="2"/>
  <c r="N1665" i="2"/>
  <c r="G1666" i="2"/>
  <c r="J1666" i="2"/>
  <c r="K1666" i="2"/>
  <c r="L1666" i="2" s="1"/>
  <c r="M1666" i="2"/>
  <c r="N1666" i="2"/>
  <c r="G1667" i="2"/>
  <c r="J1667" i="2"/>
  <c r="L1667" i="2" s="1"/>
  <c r="K1667" i="2"/>
  <c r="M1667" i="2"/>
  <c r="G1668" i="2"/>
  <c r="J1668" i="2"/>
  <c r="N1668" i="2" s="1"/>
  <c r="K1668" i="2"/>
  <c r="L1668" i="2" s="1"/>
  <c r="M1668" i="2"/>
  <c r="G1669" i="2"/>
  <c r="J1669" i="2"/>
  <c r="L1669" i="2" s="1"/>
  <c r="K1669" i="2"/>
  <c r="M1669" i="2"/>
  <c r="N1669" i="2"/>
  <c r="G1670" i="2"/>
  <c r="J1670" i="2"/>
  <c r="K1670" i="2"/>
  <c r="L1670" i="2"/>
  <c r="M1670" i="2"/>
  <c r="N1670" i="2"/>
  <c r="G1671" i="2"/>
  <c r="J1671" i="2"/>
  <c r="L1671" i="2" s="1"/>
  <c r="K1671" i="2"/>
  <c r="M1671" i="2"/>
  <c r="G1672" i="2"/>
  <c r="J1672" i="2"/>
  <c r="N1672" i="2" s="1"/>
  <c r="K1672" i="2"/>
  <c r="M1672" i="2"/>
  <c r="E1675" i="2"/>
  <c r="F1675" i="2"/>
  <c r="H1675" i="2"/>
  <c r="O1675" i="2"/>
  <c r="P1675" i="2"/>
  <c r="Q1675" i="2"/>
  <c r="R1675" i="2"/>
  <c r="S1675" i="2"/>
  <c r="T1675" i="2"/>
  <c r="G1676" i="2"/>
  <c r="J1676" i="2"/>
  <c r="K1676" i="2"/>
  <c r="L1676" i="2"/>
  <c r="M1676" i="2"/>
  <c r="N1676" i="2"/>
  <c r="G1677" i="2"/>
  <c r="J1677" i="2"/>
  <c r="L1677" i="2" s="1"/>
  <c r="K1677" i="2"/>
  <c r="M1677" i="2"/>
  <c r="G1678" i="2"/>
  <c r="J1678" i="2"/>
  <c r="N1678" i="2" s="1"/>
  <c r="K1678" i="2"/>
  <c r="L1678" i="2"/>
  <c r="M1678" i="2"/>
  <c r="G1679" i="2"/>
  <c r="J1679" i="2"/>
  <c r="K1679" i="2"/>
  <c r="L1679" i="2"/>
  <c r="M1679" i="2"/>
  <c r="N1679" i="2"/>
  <c r="G1680" i="2"/>
  <c r="J1680" i="2"/>
  <c r="K1680" i="2"/>
  <c r="L1680" i="2"/>
  <c r="M1680" i="2"/>
  <c r="N1680" i="2"/>
  <c r="G1681" i="2"/>
  <c r="J1681" i="2"/>
  <c r="L1681" i="2" s="1"/>
  <c r="K1681" i="2"/>
  <c r="M1681" i="2"/>
  <c r="N1681" i="2"/>
  <c r="G1682" i="2"/>
  <c r="J1682" i="2"/>
  <c r="N1682" i="2" s="1"/>
  <c r="K1682" i="2"/>
  <c r="M1682" i="2"/>
  <c r="G1683" i="2"/>
  <c r="J1683" i="2"/>
  <c r="L1683" i="2" s="1"/>
  <c r="K1683" i="2"/>
  <c r="M1683" i="2"/>
  <c r="N1683" i="2"/>
  <c r="G1684" i="2"/>
  <c r="J1684" i="2"/>
  <c r="K1684" i="2"/>
  <c r="L1684" i="2" s="1"/>
  <c r="M1684" i="2"/>
  <c r="N1684" i="2"/>
  <c r="G1685" i="2"/>
  <c r="J1685" i="2"/>
  <c r="L1685" i="2" s="1"/>
  <c r="K1685" i="2"/>
  <c r="M1685" i="2"/>
  <c r="G1686" i="2"/>
  <c r="J1686" i="2"/>
  <c r="N1686" i="2" s="1"/>
  <c r="K1686" i="2"/>
  <c r="M1686" i="2"/>
  <c r="G1687" i="2"/>
  <c r="J1687" i="2"/>
  <c r="N1687" i="2" s="1"/>
  <c r="K1687" i="2"/>
  <c r="L1687" i="2" s="1"/>
  <c r="M1687" i="2"/>
  <c r="G1688" i="2"/>
  <c r="J1688" i="2"/>
  <c r="K1688" i="2"/>
  <c r="L1688" i="2"/>
  <c r="M1688" i="2"/>
  <c r="N1688" i="2"/>
  <c r="G1689" i="2"/>
  <c r="J1689" i="2"/>
  <c r="K1689" i="2"/>
  <c r="M1689" i="2"/>
  <c r="N1689" i="2"/>
  <c r="E1692" i="2"/>
  <c r="D1692" i="2" s="1"/>
  <c r="D1693" i="2" s="1"/>
  <c r="F1692" i="2"/>
  <c r="H1692" i="2"/>
  <c r="O1692" i="2"/>
  <c r="P1692" i="2"/>
  <c r="Q1692" i="2"/>
  <c r="R1692" i="2"/>
  <c r="S1692" i="2"/>
  <c r="T1692" i="2"/>
  <c r="G1693" i="2"/>
  <c r="J1693" i="2"/>
  <c r="K1693" i="2"/>
  <c r="L1693" i="2"/>
  <c r="M1693" i="2"/>
  <c r="N1693" i="2"/>
  <c r="G1694" i="2"/>
  <c r="J1694" i="2"/>
  <c r="L1694" i="2" s="1"/>
  <c r="K1694" i="2"/>
  <c r="M1694" i="2"/>
  <c r="N1694" i="2"/>
  <c r="G1695" i="2"/>
  <c r="J1695" i="2"/>
  <c r="N1695" i="2" s="1"/>
  <c r="K1695" i="2"/>
  <c r="M1695" i="2"/>
  <c r="G1696" i="2"/>
  <c r="J1696" i="2"/>
  <c r="L1696" i="2" s="1"/>
  <c r="K1696" i="2"/>
  <c r="M1696" i="2"/>
  <c r="N1696" i="2"/>
  <c r="G1697" i="2"/>
  <c r="J1697" i="2"/>
  <c r="K1697" i="2"/>
  <c r="L1697" i="2"/>
  <c r="M1697" i="2"/>
  <c r="N1697" i="2"/>
  <c r="G1698" i="2"/>
  <c r="J1698" i="2"/>
  <c r="L1698" i="2" s="1"/>
  <c r="K1698" i="2"/>
  <c r="M1698" i="2"/>
  <c r="G1699" i="2"/>
  <c r="J1699" i="2"/>
  <c r="N1699" i="2" s="1"/>
  <c r="K1699" i="2"/>
  <c r="M1699" i="2"/>
  <c r="G1700" i="2"/>
  <c r="J1700" i="2"/>
  <c r="N1700" i="2" s="1"/>
  <c r="K1700" i="2"/>
  <c r="L1700" i="2"/>
  <c r="M1700" i="2"/>
  <c r="G1701" i="2"/>
  <c r="J1701" i="2"/>
  <c r="K1701" i="2"/>
  <c r="L1701" i="2"/>
  <c r="M1701" i="2"/>
  <c r="N1701" i="2"/>
  <c r="G1702" i="2"/>
  <c r="J1702" i="2"/>
  <c r="K1702" i="2"/>
  <c r="M1702" i="2"/>
  <c r="N1702" i="2"/>
  <c r="G1703" i="2"/>
  <c r="J1703" i="2"/>
  <c r="N1703" i="2" s="1"/>
  <c r="K1703" i="2"/>
  <c r="L1703" i="2"/>
  <c r="M1703" i="2"/>
  <c r="G1704" i="2"/>
  <c r="J1704" i="2"/>
  <c r="L1704" i="2" s="1"/>
  <c r="K1704" i="2"/>
  <c r="M1704" i="2"/>
  <c r="E1707" i="2"/>
  <c r="D1707" i="2" s="1"/>
  <c r="D1708" i="2" s="1"/>
  <c r="F1707" i="2"/>
  <c r="H1707" i="2"/>
  <c r="O1707" i="2"/>
  <c r="P1707" i="2"/>
  <c r="Q1707" i="2"/>
  <c r="R1707" i="2"/>
  <c r="S1707" i="2"/>
  <c r="T1707" i="2"/>
  <c r="G1708" i="2"/>
  <c r="J1708" i="2"/>
  <c r="K1708" i="2"/>
  <c r="M1708" i="2"/>
  <c r="G1709" i="2"/>
  <c r="J1709" i="2"/>
  <c r="N1709" i="2" s="1"/>
  <c r="K1709" i="2"/>
  <c r="M1709" i="2"/>
  <c r="G1710" i="2"/>
  <c r="J1710" i="2"/>
  <c r="K1710" i="2"/>
  <c r="L1710" i="2"/>
  <c r="M1710" i="2"/>
  <c r="N1710" i="2"/>
  <c r="G1711" i="2"/>
  <c r="J1711" i="2"/>
  <c r="K1711" i="2"/>
  <c r="L1711" i="2"/>
  <c r="M1711" i="2"/>
  <c r="N1711" i="2"/>
  <c r="G1712" i="2"/>
  <c r="J1712" i="2"/>
  <c r="L1712" i="2" s="1"/>
  <c r="K1712" i="2"/>
  <c r="M1712" i="2"/>
  <c r="G1713" i="2"/>
  <c r="J1713" i="2"/>
  <c r="N1713" i="2" s="1"/>
  <c r="K1713" i="2"/>
  <c r="L1713" i="2"/>
  <c r="M1713" i="2"/>
  <c r="G1714" i="2"/>
  <c r="J1714" i="2"/>
  <c r="L1714" i="2" s="1"/>
  <c r="K1714" i="2"/>
  <c r="M1714" i="2"/>
  <c r="N1714" i="2"/>
  <c r="G1715" i="2"/>
  <c r="J1715" i="2"/>
  <c r="K1715" i="2"/>
  <c r="L1715" i="2"/>
  <c r="M1715" i="2"/>
  <c r="N1715" i="2"/>
  <c r="G1716" i="2"/>
  <c r="J1716" i="2"/>
  <c r="L1716" i="2" s="1"/>
  <c r="K1716" i="2"/>
  <c r="M1716" i="2"/>
  <c r="G1717" i="2"/>
  <c r="J1717" i="2"/>
  <c r="N1717" i="2" s="1"/>
  <c r="K1717" i="2"/>
  <c r="M1717" i="2"/>
  <c r="G1718" i="2"/>
  <c r="J1718" i="2"/>
  <c r="L1718" i="2" s="1"/>
  <c r="K1718" i="2"/>
  <c r="M1718" i="2"/>
  <c r="G1719" i="2"/>
  <c r="J1719" i="2"/>
  <c r="K1719" i="2"/>
  <c r="L1719" i="2"/>
  <c r="M1719" i="2"/>
  <c r="N1719" i="2"/>
  <c r="G1720" i="2"/>
  <c r="J1720" i="2"/>
  <c r="K1720" i="2"/>
  <c r="M1720" i="2"/>
  <c r="N1720" i="2"/>
  <c r="G1721" i="2"/>
  <c r="J1721" i="2"/>
  <c r="N1721" i="2" s="1"/>
  <c r="K1721" i="2"/>
  <c r="L1721" i="2"/>
  <c r="M1721" i="2"/>
  <c r="G1722" i="2"/>
  <c r="J1722" i="2"/>
  <c r="N1722" i="2" s="1"/>
  <c r="K1722" i="2"/>
  <c r="L1722" i="2"/>
  <c r="M1722" i="2"/>
  <c r="G1723" i="2"/>
  <c r="J1723" i="2"/>
  <c r="K1723" i="2"/>
  <c r="L1723" i="2"/>
  <c r="M1723" i="2"/>
  <c r="N1723" i="2"/>
  <c r="E1726" i="2"/>
  <c r="F1726" i="2"/>
  <c r="H1726" i="2"/>
  <c r="O1726" i="2"/>
  <c r="P1726" i="2"/>
  <c r="Q1726" i="2"/>
  <c r="R1726" i="2"/>
  <c r="S1726" i="2"/>
  <c r="T1726" i="2"/>
  <c r="G1727" i="2"/>
  <c r="J1727" i="2"/>
  <c r="L1727" i="2" s="1"/>
  <c r="K1727" i="2"/>
  <c r="M1727" i="2"/>
  <c r="G1728" i="2"/>
  <c r="J1728" i="2"/>
  <c r="K1728" i="2"/>
  <c r="L1728" i="2"/>
  <c r="M1728" i="2"/>
  <c r="N1728" i="2"/>
  <c r="G1729" i="2"/>
  <c r="J1729" i="2"/>
  <c r="L1729" i="2" s="1"/>
  <c r="K1729" i="2"/>
  <c r="M1729" i="2"/>
  <c r="G1730" i="2"/>
  <c r="J1730" i="2"/>
  <c r="N1730" i="2" s="1"/>
  <c r="K1730" i="2"/>
  <c r="L1730" i="2"/>
  <c r="M1730" i="2"/>
  <c r="G1731" i="2"/>
  <c r="J1731" i="2"/>
  <c r="K1731" i="2"/>
  <c r="L1731" i="2"/>
  <c r="M1731" i="2"/>
  <c r="N1731" i="2"/>
  <c r="G1732" i="2"/>
  <c r="J1732" i="2"/>
  <c r="K1732" i="2"/>
  <c r="L1732" i="2"/>
  <c r="M1732" i="2"/>
  <c r="N1732" i="2"/>
  <c r="G1733" i="2"/>
  <c r="J1733" i="2"/>
  <c r="K1733" i="2"/>
  <c r="M1733" i="2"/>
  <c r="N1733" i="2"/>
  <c r="G1734" i="2"/>
  <c r="J1734" i="2"/>
  <c r="N1734" i="2" s="1"/>
  <c r="K1734" i="2"/>
  <c r="M1734" i="2"/>
  <c r="G1735" i="2"/>
  <c r="J1735" i="2"/>
  <c r="L1735" i="2" s="1"/>
  <c r="K1735" i="2"/>
  <c r="M1735" i="2"/>
  <c r="N1735" i="2"/>
  <c r="G1736" i="2"/>
  <c r="J1736" i="2"/>
  <c r="K1736" i="2"/>
  <c r="L1736" i="2" s="1"/>
  <c r="M1736" i="2"/>
  <c r="N1736" i="2"/>
  <c r="G1737" i="2"/>
  <c r="J1737" i="2"/>
  <c r="L1737" i="2" s="1"/>
  <c r="K1737" i="2"/>
  <c r="M1737" i="2"/>
  <c r="G1738" i="2"/>
  <c r="J1738" i="2"/>
  <c r="N1738" i="2" s="1"/>
  <c r="K1738" i="2"/>
  <c r="M1738" i="2"/>
  <c r="G1739" i="2"/>
  <c r="J1739" i="2"/>
  <c r="N1739" i="2" s="1"/>
  <c r="K1739" i="2"/>
  <c r="L1739" i="2"/>
  <c r="M1739" i="2"/>
  <c r="G1740" i="2"/>
  <c r="J1740" i="2"/>
  <c r="K1740" i="2"/>
  <c r="L1740" i="2"/>
  <c r="M1740" i="2"/>
  <c r="N1740" i="2"/>
  <c r="G1741" i="2"/>
  <c r="J1741" i="2"/>
  <c r="K1741" i="2"/>
  <c r="M1741" i="2"/>
  <c r="N1741" i="2"/>
  <c r="G1742" i="2"/>
  <c r="J1742" i="2"/>
  <c r="N1742" i="2" s="1"/>
  <c r="K1742" i="2"/>
  <c r="L1742" i="2"/>
  <c r="M1742" i="2"/>
  <c r="G1743" i="2"/>
  <c r="J1743" i="2"/>
  <c r="L1743" i="2" s="1"/>
  <c r="K1743" i="2"/>
  <c r="M1743" i="2"/>
  <c r="G1744" i="2"/>
  <c r="J1744" i="2"/>
  <c r="K1744" i="2"/>
  <c r="L1744" i="2"/>
  <c r="M1744" i="2"/>
  <c r="N1744" i="2"/>
  <c r="G1745" i="2"/>
  <c r="J1745" i="2"/>
  <c r="N1745" i="2" s="1"/>
  <c r="K1745" i="2"/>
  <c r="M1745" i="2"/>
  <c r="E1748" i="2"/>
  <c r="F1748" i="2"/>
  <c r="H1748" i="2"/>
  <c r="O1748" i="2"/>
  <c r="P1748" i="2"/>
  <c r="Q1748" i="2"/>
  <c r="R1748" i="2"/>
  <c r="S1748" i="2"/>
  <c r="T1748" i="2"/>
  <c r="G1749" i="2"/>
  <c r="J1749" i="2"/>
  <c r="N1749" i="2" s="1"/>
  <c r="K1749" i="2"/>
  <c r="L1749" i="2"/>
  <c r="M1749" i="2"/>
  <c r="G1750" i="2"/>
  <c r="J1750" i="2"/>
  <c r="K1750" i="2"/>
  <c r="L1750" i="2"/>
  <c r="M1750" i="2"/>
  <c r="N1750" i="2"/>
  <c r="G1751" i="2"/>
  <c r="J1751" i="2"/>
  <c r="L1751" i="2" s="1"/>
  <c r="K1751" i="2"/>
  <c r="M1751" i="2"/>
  <c r="N1751" i="2"/>
  <c r="G1752" i="2"/>
  <c r="J1752" i="2"/>
  <c r="N1752" i="2" s="1"/>
  <c r="K1752" i="2"/>
  <c r="L1752" i="2"/>
  <c r="M1752" i="2"/>
  <c r="G1753" i="2"/>
  <c r="J1753" i="2"/>
  <c r="L1753" i="2" s="1"/>
  <c r="K1753" i="2"/>
  <c r="M1753" i="2"/>
  <c r="G1754" i="2"/>
  <c r="J1754" i="2"/>
  <c r="K1754" i="2"/>
  <c r="L1754" i="2"/>
  <c r="M1754" i="2"/>
  <c r="N1754" i="2"/>
  <c r="G1755" i="2"/>
  <c r="J1755" i="2"/>
  <c r="N1755" i="2" s="1"/>
  <c r="K1755" i="2"/>
  <c r="M1755" i="2"/>
  <c r="G1756" i="2"/>
  <c r="J1756" i="2"/>
  <c r="N1756" i="2" s="1"/>
  <c r="K1756" i="2"/>
  <c r="L1756" i="2"/>
  <c r="M1756" i="2"/>
  <c r="G1757" i="2"/>
  <c r="J1757" i="2"/>
  <c r="K1757" i="2"/>
  <c r="L1757" i="2"/>
  <c r="M1757" i="2"/>
  <c r="N1757" i="2"/>
  <c r="G1758" i="2"/>
  <c r="J1758" i="2"/>
  <c r="K1758" i="2"/>
  <c r="L1758" i="2" s="1"/>
  <c r="M1758" i="2"/>
  <c r="N1758" i="2"/>
  <c r="G1759" i="2"/>
  <c r="J1759" i="2"/>
  <c r="K1759" i="2"/>
  <c r="M1759" i="2"/>
  <c r="N1759" i="2"/>
  <c r="G1760" i="2"/>
  <c r="J1760" i="2"/>
  <c r="N1760" i="2" s="1"/>
  <c r="K1760" i="2"/>
  <c r="M1760" i="2"/>
  <c r="G1761" i="2"/>
  <c r="J1761" i="2"/>
  <c r="L1761" i="2" s="1"/>
  <c r="K1761" i="2"/>
  <c r="M1761" i="2"/>
  <c r="N1761" i="2"/>
  <c r="G1762" i="2"/>
  <c r="J1762" i="2"/>
  <c r="K1762" i="2"/>
  <c r="L1762" i="2" s="1"/>
  <c r="M1762" i="2"/>
  <c r="N1762" i="2"/>
  <c r="G1763" i="2"/>
  <c r="J1763" i="2"/>
  <c r="L1763" i="2" s="1"/>
  <c r="K1763" i="2"/>
  <c r="M1763" i="2"/>
  <c r="E1766" i="2"/>
  <c r="F1766" i="2"/>
  <c r="H1766" i="2"/>
  <c r="O1766" i="2"/>
  <c r="P1766" i="2"/>
  <c r="Q1766" i="2"/>
  <c r="R1766" i="2"/>
  <c r="S1766" i="2"/>
  <c r="T1766" i="2"/>
  <c r="G1767" i="2"/>
  <c r="J1767" i="2"/>
  <c r="K1767" i="2"/>
  <c r="L1767" i="2"/>
  <c r="M1767" i="2"/>
  <c r="N1767" i="2"/>
  <c r="G1768" i="2"/>
  <c r="J1768" i="2"/>
  <c r="L1768" i="2" s="1"/>
  <c r="K1768" i="2"/>
  <c r="M1768" i="2"/>
  <c r="G1769" i="2"/>
  <c r="J1769" i="2"/>
  <c r="N1769" i="2" s="1"/>
  <c r="K1769" i="2"/>
  <c r="L1769" i="2"/>
  <c r="M1769" i="2"/>
  <c r="G1770" i="2"/>
  <c r="J1770" i="2"/>
  <c r="K1770" i="2"/>
  <c r="L1770" i="2"/>
  <c r="M1770" i="2"/>
  <c r="N1770" i="2"/>
  <c r="G1771" i="2"/>
  <c r="J1771" i="2"/>
  <c r="K1771" i="2"/>
  <c r="L1771" i="2"/>
  <c r="M1771" i="2"/>
  <c r="N1771" i="2"/>
  <c r="G1772" i="2"/>
  <c r="J1772" i="2"/>
  <c r="L1772" i="2" s="1"/>
  <c r="K1772" i="2"/>
  <c r="M1772" i="2"/>
  <c r="N1772" i="2"/>
  <c r="G1773" i="2"/>
  <c r="J1773" i="2"/>
  <c r="N1773" i="2" s="1"/>
  <c r="K1773" i="2"/>
  <c r="M1773" i="2"/>
  <c r="G1774" i="2"/>
  <c r="J1774" i="2"/>
  <c r="L1774" i="2" s="1"/>
  <c r="K1774" i="2"/>
  <c r="M1774" i="2"/>
  <c r="N1774" i="2"/>
  <c r="G1775" i="2"/>
  <c r="J1775" i="2"/>
  <c r="K1775" i="2"/>
  <c r="L1775" i="2" s="1"/>
  <c r="M1775" i="2"/>
  <c r="N1775" i="2"/>
  <c r="G1776" i="2"/>
  <c r="J1776" i="2"/>
  <c r="L1776" i="2" s="1"/>
  <c r="K1776" i="2"/>
  <c r="M1776" i="2"/>
  <c r="G1777" i="2"/>
  <c r="J1777" i="2"/>
  <c r="N1777" i="2" s="1"/>
  <c r="K1777" i="2"/>
  <c r="M1777" i="2"/>
  <c r="G1778" i="2"/>
  <c r="J1778" i="2"/>
  <c r="N1778" i="2" s="1"/>
  <c r="K1778" i="2"/>
  <c r="L1778" i="2"/>
  <c r="M1778" i="2"/>
  <c r="G1779" i="2"/>
  <c r="J1779" i="2"/>
  <c r="K1779" i="2"/>
  <c r="L1779" i="2"/>
  <c r="M1779" i="2"/>
  <c r="N1779" i="2"/>
  <c r="G1780" i="2"/>
  <c r="J1780" i="2"/>
  <c r="K1780" i="2"/>
  <c r="M1780" i="2"/>
  <c r="N1780" i="2"/>
  <c r="G1781" i="2"/>
  <c r="J1781" i="2"/>
  <c r="N1781" i="2" s="1"/>
  <c r="K1781" i="2"/>
  <c r="L1781" i="2"/>
  <c r="M1781" i="2"/>
  <c r="G1782" i="2"/>
  <c r="J1782" i="2"/>
  <c r="N1782" i="2" s="1"/>
  <c r="K1782" i="2"/>
  <c r="M1782" i="2"/>
  <c r="G1783" i="2"/>
  <c r="J1783" i="2"/>
  <c r="K1783" i="2"/>
  <c r="L1783" i="2"/>
  <c r="M1783" i="2"/>
  <c r="N1783" i="2"/>
  <c r="G1784" i="2"/>
  <c r="J1784" i="2"/>
  <c r="N1784" i="2" s="1"/>
  <c r="K1784" i="2"/>
  <c r="M1784" i="2"/>
  <c r="G1785" i="2"/>
  <c r="J1785" i="2"/>
  <c r="N1785" i="2" s="1"/>
  <c r="K1785" i="2"/>
  <c r="L1785" i="2"/>
  <c r="M1785" i="2"/>
  <c r="E1788" i="2"/>
  <c r="D1788" i="2" s="1"/>
  <c r="D1789" i="2" s="1"/>
  <c r="D1790" i="2" s="1"/>
  <c r="D1791" i="2" s="1"/>
  <c r="D1792" i="2" s="1"/>
  <c r="D1793" i="2" s="1"/>
  <c r="D1794" i="2" s="1"/>
  <c r="D1795" i="2" s="1"/>
  <c r="D1796" i="2" s="1"/>
  <c r="D1797" i="2" s="1"/>
  <c r="D1798" i="2" s="1"/>
  <c r="D1799" i="2" s="1"/>
  <c r="D1800" i="2" s="1"/>
  <c r="D1801" i="2" s="1"/>
  <c r="D1802" i="2" s="1"/>
  <c r="D1803" i="2" s="1"/>
  <c r="D1804" i="2" s="1"/>
  <c r="D1805" i="2" s="1"/>
  <c r="D1806" i="2" s="1"/>
  <c r="D1807" i="2" s="1"/>
  <c r="D1808" i="2" s="1"/>
  <c r="D1809" i="2" s="1"/>
  <c r="D1810" i="2" s="1"/>
  <c r="D1811" i="2" s="1"/>
  <c r="D1812" i="2" s="1"/>
  <c r="D1813" i="2" s="1"/>
  <c r="F1788" i="2"/>
  <c r="H1788" i="2"/>
  <c r="O1788" i="2"/>
  <c r="P1788" i="2"/>
  <c r="Q1788" i="2"/>
  <c r="R1788" i="2"/>
  <c r="S1788" i="2"/>
  <c r="T1788" i="2"/>
  <c r="G1789" i="2"/>
  <c r="J1789" i="2"/>
  <c r="K1789" i="2"/>
  <c r="L1789" i="2"/>
  <c r="M1789" i="2"/>
  <c r="N1789" i="2"/>
  <c r="G1790" i="2"/>
  <c r="J1790" i="2"/>
  <c r="L1790" i="2" s="1"/>
  <c r="K1790" i="2"/>
  <c r="M1790" i="2"/>
  <c r="G1791" i="2"/>
  <c r="J1791" i="2"/>
  <c r="N1791" i="2" s="1"/>
  <c r="K1791" i="2"/>
  <c r="L1791" i="2"/>
  <c r="M1791" i="2"/>
  <c r="G1792" i="2"/>
  <c r="J1792" i="2"/>
  <c r="L1792" i="2" s="1"/>
  <c r="K1792" i="2"/>
  <c r="M1792" i="2"/>
  <c r="N1792" i="2"/>
  <c r="G1793" i="2"/>
  <c r="J1793" i="2"/>
  <c r="K1793" i="2"/>
  <c r="L1793" i="2"/>
  <c r="M1793" i="2"/>
  <c r="N1793" i="2"/>
  <c r="G1794" i="2"/>
  <c r="J1794" i="2"/>
  <c r="L1794" i="2" s="1"/>
  <c r="K1794" i="2"/>
  <c r="M1794" i="2"/>
  <c r="G1795" i="2"/>
  <c r="J1795" i="2"/>
  <c r="N1795" i="2" s="1"/>
  <c r="K1795" i="2"/>
  <c r="M1795" i="2"/>
  <c r="G1796" i="2"/>
  <c r="J1796" i="2"/>
  <c r="L1796" i="2" s="1"/>
  <c r="K1796" i="2"/>
  <c r="M1796" i="2"/>
  <c r="G1797" i="2"/>
  <c r="J1797" i="2"/>
  <c r="K1797" i="2"/>
  <c r="L1797" i="2"/>
  <c r="M1797" i="2"/>
  <c r="N1797" i="2"/>
  <c r="G1798" i="2"/>
  <c r="J1798" i="2"/>
  <c r="K1798" i="2"/>
  <c r="M1798" i="2"/>
  <c r="N1798" i="2"/>
  <c r="G1799" i="2"/>
  <c r="J1799" i="2"/>
  <c r="N1799" i="2" s="1"/>
  <c r="K1799" i="2"/>
  <c r="L1799" i="2"/>
  <c r="M1799" i="2"/>
  <c r="G1800" i="2"/>
  <c r="J1800" i="2"/>
  <c r="N1800" i="2" s="1"/>
  <c r="K1800" i="2"/>
  <c r="L1800" i="2"/>
  <c r="M1800" i="2"/>
  <c r="G1801" i="2"/>
  <c r="J1801" i="2"/>
  <c r="K1801" i="2"/>
  <c r="L1801" i="2"/>
  <c r="M1801" i="2"/>
  <c r="N1801" i="2"/>
  <c r="G1802" i="2"/>
  <c r="J1802" i="2"/>
  <c r="N1802" i="2" s="1"/>
  <c r="K1802" i="2"/>
  <c r="M1802" i="2"/>
  <c r="G1803" i="2"/>
  <c r="J1803" i="2"/>
  <c r="N1803" i="2" s="1"/>
  <c r="K1803" i="2"/>
  <c r="M1803" i="2"/>
  <c r="G1804" i="2"/>
  <c r="J1804" i="2"/>
  <c r="K1804" i="2"/>
  <c r="L1804" i="2"/>
  <c r="M1804" i="2"/>
  <c r="N1804" i="2"/>
  <c r="G1805" i="2"/>
  <c r="J1805" i="2"/>
  <c r="K1805" i="2"/>
  <c r="L1805" i="2" s="1"/>
  <c r="M1805" i="2"/>
  <c r="N1805" i="2"/>
  <c r="G1806" i="2"/>
  <c r="J1806" i="2"/>
  <c r="L1806" i="2" s="1"/>
  <c r="K1806" i="2"/>
  <c r="M1806" i="2"/>
  <c r="G1807" i="2"/>
  <c r="J1807" i="2"/>
  <c r="N1807" i="2" s="1"/>
  <c r="K1807" i="2"/>
  <c r="L1807" i="2"/>
  <c r="M1807" i="2"/>
  <c r="G1808" i="2"/>
  <c r="J1808" i="2"/>
  <c r="L1808" i="2" s="1"/>
  <c r="K1808" i="2"/>
  <c r="M1808" i="2"/>
  <c r="N1808" i="2"/>
  <c r="G1809" i="2"/>
  <c r="J1809" i="2"/>
  <c r="K1809" i="2"/>
  <c r="L1809" i="2"/>
  <c r="M1809" i="2"/>
  <c r="N1809" i="2"/>
  <c r="G1810" i="2"/>
  <c r="J1810" i="2"/>
  <c r="L1810" i="2" s="1"/>
  <c r="K1810" i="2"/>
  <c r="M1810" i="2"/>
  <c r="G1811" i="2"/>
  <c r="J1811" i="2"/>
  <c r="N1811" i="2" s="1"/>
  <c r="K1811" i="2"/>
  <c r="M1811" i="2"/>
  <c r="G1812" i="2"/>
  <c r="J1812" i="2"/>
  <c r="L1812" i="2" s="1"/>
  <c r="K1812" i="2"/>
  <c r="M1812" i="2"/>
  <c r="G1813" i="2"/>
  <c r="J1813" i="2"/>
  <c r="K1813" i="2"/>
  <c r="L1813" i="2"/>
  <c r="M1813" i="2"/>
  <c r="N1813" i="2"/>
  <c r="E1816" i="2"/>
  <c r="F1816" i="2"/>
  <c r="H1816" i="2"/>
  <c r="O1816" i="2"/>
  <c r="P1816" i="2"/>
  <c r="Q1816" i="2"/>
  <c r="R1816" i="2"/>
  <c r="S1816" i="2"/>
  <c r="T1816" i="2"/>
  <c r="G1817" i="2"/>
  <c r="J1817" i="2"/>
  <c r="N1817" i="2" s="1"/>
  <c r="K1817" i="2"/>
  <c r="L1817" i="2"/>
  <c r="M1817" i="2"/>
  <c r="G1818" i="2"/>
  <c r="J1818" i="2"/>
  <c r="K1818" i="2"/>
  <c r="L1818" i="2"/>
  <c r="M1818" i="2"/>
  <c r="N1818" i="2"/>
  <c r="G1819" i="2"/>
  <c r="J1819" i="2"/>
  <c r="L1819" i="2" s="1"/>
  <c r="K1819" i="2"/>
  <c r="M1819" i="2"/>
  <c r="N1819" i="2"/>
  <c r="G1820" i="2"/>
  <c r="J1820" i="2"/>
  <c r="N1820" i="2" s="1"/>
  <c r="K1820" i="2"/>
  <c r="L1820" i="2"/>
  <c r="M1820" i="2"/>
  <c r="G1821" i="2"/>
  <c r="J1821" i="2"/>
  <c r="L1821" i="2" s="1"/>
  <c r="K1821" i="2"/>
  <c r="M1821" i="2"/>
  <c r="G1822" i="2"/>
  <c r="J1822" i="2"/>
  <c r="K1822" i="2"/>
  <c r="L1822" i="2"/>
  <c r="M1822" i="2"/>
  <c r="N1822" i="2"/>
  <c r="G1823" i="2"/>
  <c r="J1823" i="2"/>
  <c r="N1823" i="2" s="1"/>
  <c r="K1823" i="2"/>
  <c r="M1823" i="2"/>
  <c r="G1824" i="2"/>
  <c r="J1824" i="2"/>
  <c r="N1824" i="2" s="1"/>
  <c r="K1824" i="2"/>
  <c r="L1824" i="2"/>
  <c r="M1824" i="2"/>
  <c r="E1827" i="2"/>
  <c r="D1827" i="2" s="1"/>
  <c r="D1828" i="2" s="1"/>
  <c r="F1827" i="2"/>
  <c r="H1827" i="2"/>
  <c r="O1827" i="2"/>
  <c r="P1827" i="2"/>
  <c r="Q1827" i="2"/>
  <c r="R1827" i="2"/>
  <c r="S1827" i="2"/>
  <c r="T1827" i="2"/>
  <c r="G1828" i="2"/>
  <c r="J1828" i="2"/>
  <c r="K1828" i="2"/>
  <c r="L1828" i="2" s="1"/>
  <c r="M1828" i="2"/>
  <c r="N1828" i="2"/>
  <c r="G1829" i="2"/>
  <c r="J1829" i="2"/>
  <c r="L1829" i="2" s="1"/>
  <c r="K1829" i="2"/>
  <c r="M1829" i="2"/>
  <c r="G1830" i="2"/>
  <c r="J1830" i="2"/>
  <c r="N1830" i="2" s="1"/>
  <c r="K1830" i="2"/>
  <c r="L1830" i="2"/>
  <c r="M1830" i="2"/>
  <c r="G1831" i="2"/>
  <c r="J1831" i="2"/>
  <c r="L1831" i="2" s="1"/>
  <c r="K1831" i="2"/>
  <c r="M1831" i="2"/>
  <c r="N1831" i="2"/>
  <c r="G1832" i="2"/>
  <c r="J1832" i="2"/>
  <c r="K1832" i="2"/>
  <c r="L1832" i="2"/>
  <c r="M1832" i="2"/>
  <c r="N1832" i="2"/>
  <c r="G1833" i="2"/>
  <c r="J1833" i="2"/>
  <c r="L1833" i="2" s="1"/>
  <c r="K1833" i="2"/>
  <c r="M1833" i="2"/>
  <c r="G1834" i="2"/>
  <c r="J1834" i="2"/>
  <c r="N1834" i="2" s="1"/>
  <c r="K1834" i="2"/>
  <c r="M1834" i="2"/>
  <c r="G1835" i="2"/>
  <c r="J1835" i="2"/>
  <c r="L1835" i="2" s="1"/>
  <c r="K1835" i="2"/>
  <c r="M1835" i="2"/>
  <c r="G1836" i="2"/>
  <c r="J1836" i="2"/>
  <c r="K1836" i="2"/>
  <c r="L1836" i="2"/>
  <c r="M1836" i="2"/>
  <c r="N1836" i="2"/>
  <c r="G1837" i="2"/>
  <c r="J1837" i="2"/>
  <c r="K1837" i="2"/>
  <c r="M1837" i="2"/>
  <c r="N1837" i="2"/>
  <c r="G1838" i="2"/>
  <c r="J1838" i="2"/>
  <c r="N1838" i="2" s="1"/>
  <c r="K1838" i="2"/>
  <c r="L1838" i="2"/>
  <c r="M1838" i="2"/>
  <c r="E1841" i="2"/>
  <c r="D1841" i="2" s="1"/>
  <c r="D1842" i="2" s="1"/>
  <c r="F1841" i="2"/>
  <c r="H1841" i="2"/>
  <c r="O1841" i="2"/>
  <c r="P1841" i="2"/>
  <c r="Q1841" i="2"/>
  <c r="R1841" i="2"/>
  <c r="S1841" i="2"/>
  <c r="T1841" i="2"/>
  <c r="G1842" i="2"/>
  <c r="J1842" i="2"/>
  <c r="N1842" i="2" s="1"/>
  <c r="K1842" i="2"/>
  <c r="M1842" i="2"/>
  <c r="G1843" i="2"/>
  <c r="J1843" i="2"/>
  <c r="N1843" i="2" s="1"/>
  <c r="K1843" i="2"/>
  <c r="L1843" i="2"/>
  <c r="M1843" i="2"/>
  <c r="G1844" i="2"/>
  <c r="J1844" i="2"/>
  <c r="K1844" i="2"/>
  <c r="L1844" i="2"/>
  <c r="M1844" i="2"/>
  <c r="N1844" i="2"/>
  <c r="G1845" i="2"/>
  <c r="J1845" i="2"/>
  <c r="K1845" i="2"/>
  <c r="L1845" i="2" s="1"/>
  <c r="M1845" i="2"/>
  <c r="N1845" i="2"/>
  <c r="G1846" i="2"/>
  <c r="J1846" i="2"/>
  <c r="K1846" i="2"/>
  <c r="M1846" i="2"/>
  <c r="N1846" i="2"/>
  <c r="G1847" i="2"/>
  <c r="J1847" i="2"/>
  <c r="N1847" i="2" s="1"/>
  <c r="K1847" i="2"/>
  <c r="M1847" i="2"/>
  <c r="G1848" i="2"/>
  <c r="J1848" i="2"/>
  <c r="L1848" i="2" s="1"/>
  <c r="K1848" i="2"/>
  <c r="M1848" i="2"/>
  <c r="N1848" i="2"/>
  <c r="G1849" i="2"/>
  <c r="J1849" i="2"/>
  <c r="K1849" i="2"/>
  <c r="L1849" i="2" s="1"/>
  <c r="M1849" i="2"/>
  <c r="N1849" i="2"/>
  <c r="G1850" i="2"/>
  <c r="J1850" i="2"/>
  <c r="L1850" i="2" s="1"/>
  <c r="K1850" i="2"/>
  <c r="M1850" i="2"/>
  <c r="G1851" i="2"/>
  <c r="J1851" i="2"/>
  <c r="N1851" i="2" s="1"/>
  <c r="K1851" i="2"/>
  <c r="M1851" i="2"/>
  <c r="G1852" i="2"/>
  <c r="J1852" i="2"/>
  <c r="N1852" i="2" s="1"/>
  <c r="K1852" i="2"/>
  <c r="L1852" i="2"/>
  <c r="M1852" i="2"/>
  <c r="G1853" i="2"/>
  <c r="J1853" i="2"/>
  <c r="K1853" i="2"/>
  <c r="L1853" i="2"/>
  <c r="M1853" i="2"/>
  <c r="N1853" i="2"/>
  <c r="E1856" i="2"/>
  <c r="F1856" i="2"/>
  <c r="H1856" i="2"/>
  <c r="O1856" i="2"/>
  <c r="P1856" i="2"/>
  <c r="Q1856" i="2"/>
  <c r="R1856" i="2"/>
  <c r="S1856" i="2"/>
  <c r="T1856" i="2"/>
  <c r="G1857" i="2"/>
  <c r="J1857" i="2"/>
  <c r="N1857" i="2" s="1"/>
  <c r="K1857" i="2"/>
  <c r="M1857" i="2"/>
  <c r="G1858" i="2"/>
  <c r="J1858" i="2"/>
  <c r="L1858" i="2" s="1"/>
  <c r="K1858" i="2"/>
  <c r="M1858" i="2"/>
  <c r="N1858" i="2"/>
  <c r="G1859" i="2"/>
  <c r="J1859" i="2"/>
  <c r="K1859" i="2"/>
  <c r="L1859" i="2"/>
  <c r="M1859" i="2"/>
  <c r="N1859" i="2"/>
  <c r="G1860" i="2"/>
  <c r="J1860" i="2"/>
  <c r="L1860" i="2" s="1"/>
  <c r="K1860" i="2"/>
  <c r="M1860" i="2"/>
  <c r="G1861" i="2"/>
  <c r="J1861" i="2"/>
  <c r="N1861" i="2" s="1"/>
  <c r="K1861" i="2"/>
  <c r="M1861" i="2"/>
  <c r="G1862" i="2"/>
  <c r="J1862" i="2"/>
  <c r="N1862" i="2" s="1"/>
  <c r="K1862" i="2"/>
  <c r="L1862" i="2" s="1"/>
  <c r="M1862" i="2"/>
  <c r="G1863" i="2"/>
  <c r="J1863" i="2"/>
  <c r="K1863" i="2"/>
  <c r="L1863" i="2"/>
  <c r="M1863" i="2"/>
  <c r="N1863" i="2"/>
  <c r="G1864" i="2"/>
  <c r="J1864" i="2"/>
  <c r="K1864" i="2"/>
  <c r="M1864" i="2"/>
  <c r="N1864" i="2"/>
  <c r="G1865" i="2"/>
  <c r="J1865" i="2"/>
  <c r="N1865" i="2" s="1"/>
  <c r="K1865" i="2"/>
  <c r="L1865" i="2"/>
  <c r="M1865" i="2"/>
  <c r="G1866" i="2"/>
  <c r="J1866" i="2"/>
  <c r="N1866" i="2" s="1"/>
  <c r="K1866" i="2"/>
  <c r="M1866" i="2"/>
  <c r="G1867" i="2"/>
  <c r="J1867" i="2"/>
  <c r="K1867" i="2"/>
  <c r="L1867" i="2"/>
  <c r="M1867" i="2"/>
  <c r="N1867" i="2"/>
  <c r="G1868" i="2"/>
  <c r="J1868" i="2"/>
  <c r="N1868" i="2" s="1"/>
  <c r="K1868" i="2"/>
  <c r="M1868" i="2"/>
  <c r="G1869" i="2"/>
  <c r="J1869" i="2"/>
  <c r="N1869" i="2" s="1"/>
  <c r="K1869" i="2"/>
  <c r="L1869" i="2"/>
  <c r="M1869" i="2"/>
  <c r="E1872" i="2"/>
  <c r="D1872" i="2" s="1"/>
  <c r="D1873" i="2" s="1"/>
  <c r="D1874" i="2" s="1"/>
  <c r="D1875" i="2" s="1"/>
  <c r="D1876" i="2" s="1"/>
  <c r="D1877" i="2" s="1"/>
  <c r="D1878" i="2" s="1"/>
  <c r="D1879" i="2" s="1"/>
  <c r="D1880" i="2" s="1"/>
  <c r="D1881" i="2" s="1"/>
  <c r="D1882" i="2" s="1"/>
  <c r="D1883" i="2" s="1"/>
  <c r="D1884" i="2" s="1"/>
  <c r="D1885" i="2" s="1"/>
  <c r="D1886" i="2" s="1"/>
  <c r="D1887" i="2" s="1"/>
  <c r="D1888" i="2" s="1"/>
  <c r="D1889" i="2" s="1"/>
  <c r="D1890" i="2" s="1"/>
  <c r="D1891" i="2" s="1"/>
  <c r="D1892" i="2" s="1"/>
  <c r="D1893" i="2" s="1"/>
  <c r="D1894" i="2" s="1"/>
  <c r="D1895" i="2" s="1"/>
  <c r="F1872" i="2"/>
  <c r="H1872" i="2"/>
  <c r="O1872" i="2"/>
  <c r="P1872" i="2"/>
  <c r="Q1872" i="2"/>
  <c r="R1872" i="2"/>
  <c r="S1872" i="2"/>
  <c r="T1872" i="2"/>
  <c r="G1873" i="2"/>
  <c r="J1873" i="2"/>
  <c r="L1873" i="2" s="1"/>
  <c r="K1873" i="2"/>
  <c r="M1873" i="2"/>
  <c r="G1874" i="2"/>
  <c r="J1874" i="2"/>
  <c r="N1874" i="2" s="1"/>
  <c r="K1874" i="2"/>
  <c r="M1874" i="2"/>
  <c r="G1875" i="2"/>
  <c r="J1875" i="2"/>
  <c r="K1875" i="2"/>
  <c r="L1875" i="2"/>
  <c r="M1875" i="2"/>
  <c r="N1875" i="2"/>
  <c r="G1876" i="2"/>
  <c r="J1876" i="2"/>
  <c r="K1876" i="2"/>
  <c r="L1876" i="2"/>
  <c r="M1876" i="2"/>
  <c r="N1876" i="2"/>
  <c r="G1877" i="2"/>
  <c r="J1877" i="2"/>
  <c r="L1877" i="2" s="1"/>
  <c r="K1877" i="2"/>
  <c r="M1877" i="2"/>
  <c r="G1878" i="2"/>
  <c r="J1878" i="2"/>
  <c r="N1878" i="2" s="1"/>
  <c r="K1878" i="2"/>
  <c r="L1878" i="2"/>
  <c r="M1878" i="2"/>
  <c r="G1879" i="2"/>
  <c r="J1879" i="2"/>
  <c r="L1879" i="2" s="1"/>
  <c r="K1879" i="2"/>
  <c r="M1879" i="2"/>
  <c r="N1879" i="2"/>
  <c r="G1880" i="2"/>
  <c r="J1880" i="2"/>
  <c r="K1880" i="2"/>
  <c r="L1880" i="2"/>
  <c r="M1880" i="2"/>
  <c r="N1880" i="2"/>
  <c r="G1881" i="2"/>
  <c r="J1881" i="2"/>
  <c r="L1881" i="2" s="1"/>
  <c r="K1881" i="2"/>
  <c r="M1881" i="2"/>
  <c r="G1882" i="2"/>
  <c r="J1882" i="2"/>
  <c r="N1882" i="2" s="1"/>
  <c r="K1882" i="2"/>
  <c r="M1882" i="2"/>
  <c r="G1883" i="2"/>
  <c r="J1883" i="2"/>
  <c r="L1883" i="2" s="1"/>
  <c r="K1883" i="2"/>
  <c r="M1883" i="2"/>
  <c r="G1884" i="2"/>
  <c r="J1884" i="2"/>
  <c r="K1884" i="2"/>
  <c r="L1884" i="2"/>
  <c r="M1884" i="2"/>
  <c r="N1884" i="2"/>
  <c r="G1885" i="2"/>
  <c r="J1885" i="2"/>
  <c r="K1885" i="2"/>
  <c r="M1885" i="2"/>
  <c r="N1885" i="2"/>
  <c r="G1886" i="2"/>
  <c r="J1886" i="2"/>
  <c r="N1886" i="2" s="1"/>
  <c r="K1886" i="2"/>
  <c r="L1886" i="2"/>
  <c r="M1886" i="2"/>
  <c r="G1887" i="2"/>
  <c r="J1887" i="2"/>
  <c r="N1887" i="2" s="1"/>
  <c r="K1887" i="2"/>
  <c r="L1887" i="2"/>
  <c r="M1887" i="2"/>
  <c r="G1888" i="2"/>
  <c r="J1888" i="2"/>
  <c r="K1888" i="2"/>
  <c r="L1888" i="2"/>
  <c r="M1888" i="2"/>
  <c r="N1888" i="2"/>
  <c r="G1889" i="2"/>
  <c r="J1889" i="2"/>
  <c r="N1889" i="2" s="1"/>
  <c r="K1889" i="2"/>
  <c r="M1889" i="2"/>
  <c r="G1890" i="2"/>
  <c r="J1890" i="2"/>
  <c r="N1890" i="2" s="1"/>
  <c r="K1890" i="2"/>
  <c r="M1890" i="2"/>
  <c r="G1891" i="2"/>
  <c r="J1891" i="2"/>
  <c r="K1891" i="2"/>
  <c r="L1891" i="2"/>
  <c r="M1891" i="2"/>
  <c r="N1891" i="2"/>
  <c r="G1892" i="2"/>
  <c r="J1892" i="2"/>
  <c r="K1892" i="2"/>
  <c r="L1892" i="2" s="1"/>
  <c r="M1892" i="2"/>
  <c r="N1892" i="2"/>
  <c r="G1893" i="2"/>
  <c r="J1893" i="2"/>
  <c r="L1893" i="2" s="1"/>
  <c r="K1893" i="2"/>
  <c r="M1893" i="2"/>
  <c r="G1894" i="2"/>
  <c r="J1894" i="2"/>
  <c r="N1894" i="2" s="1"/>
  <c r="K1894" i="2"/>
  <c r="L1894" i="2" s="1"/>
  <c r="M1894" i="2"/>
  <c r="G1895" i="2"/>
  <c r="J1895" i="2"/>
  <c r="L1895" i="2" s="1"/>
  <c r="K1895" i="2"/>
  <c r="M1895" i="2"/>
  <c r="N1895" i="2"/>
  <c r="E1898" i="2"/>
  <c r="D1898" i="2" s="1"/>
  <c r="D1899" i="2" s="1"/>
  <c r="F1898" i="2"/>
  <c r="H1898" i="2"/>
  <c r="O1898" i="2"/>
  <c r="P1898" i="2"/>
  <c r="Q1898" i="2"/>
  <c r="R1898" i="2"/>
  <c r="S1898" i="2"/>
  <c r="T1898" i="2"/>
  <c r="G1899" i="2"/>
  <c r="J1899" i="2"/>
  <c r="L1899" i="2" s="1"/>
  <c r="K1899" i="2"/>
  <c r="M1899" i="2"/>
  <c r="N1899" i="2"/>
  <c r="G1900" i="2"/>
  <c r="J1900" i="2"/>
  <c r="N1900" i="2" s="1"/>
  <c r="K1900" i="2"/>
  <c r="L1900" i="2"/>
  <c r="M1900" i="2"/>
  <c r="G1901" i="2"/>
  <c r="J1901" i="2"/>
  <c r="N1901" i="2" s="1"/>
  <c r="K1901" i="2"/>
  <c r="M1901" i="2"/>
  <c r="G1902" i="2"/>
  <c r="J1902" i="2"/>
  <c r="K1902" i="2"/>
  <c r="L1902" i="2"/>
  <c r="M1902" i="2"/>
  <c r="N1902" i="2"/>
  <c r="G1903" i="2"/>
  <c r="J1903" i="2"/>
  <c r="N1903" i="2" s="1"/>
  <c r="K1903" i="2"/>
  <c r="M1903" i="2"/>
  <c r="G1904" i="2"/>
  <c r="J1904" i="2"/>
  <c r="N1904" i="2" s="1"/>
  <c r="K1904" i="2"/>
  <c r="L1904" i="2"/>
  <c r="M1904" i="2"/>
  <c r="G1905" i="2"/>
  <c r="J1905" i="2"/>
  <c r="K1905" i="2"/>
  <c r="L1905" i="2"/>
  <c r="M1905" i="2"/>
  <c r="N1905" i="2"/>
  <c r="G1906" i="2"/>
  <c r="J1906" i="2"/>
  <c r="K1906" i="2"/>
  <c r="L1906" i="2" s="1"/>
  <c r="M1906" i="2"/>
  <c r="N1906" i="2"/>
  <c r="G1907" i="2"/>
  <c r="J1907" i="2"/>
  <c r="K1907" i="2"/>
  <c r="M1907" i="2"/>
  <c r="N1907" i="2"/>
  <c r="G1908" i="2"/>
  <c r="J1908" i="2"/>
  <c r="N1908" i="2" s="1"/>
  <c r="K1908" i="2"/>
  <c r="M1908" i="2"/>
  <c r="G1909" i="2"/>
  <c r="J1909" i="2"/>
  <c r="L1909" i="2" s="1"/>
  <c r="K1909" i="2"/>
  <c r="M1909" i="2"/>
  <c r="N1909" i="2"/>
  <c r="G1910" i="2"/>
  <c r="J1910" i="2"/>
  <c r="K1910" i="2"/>
  <c r="L1910" i="2" s="1"/>
  <c r="M1910" i="2"/>
  <c r="N1910" i="2"/>
  <c r="G1911" i="2"/>
  <c r="J1911" i="2"/>
  <c r="L1911" i="2" s="1"/>
  <c r="K1911" i="2"/>
  <c r="M1911" i="2"/>
  <c r="G1912" i="2"/>
  <c r="J1912" i="2"/>
  <c r="N1912" i="2" s="1"/>
  <c r="K1912" i="2"/>
  <c r="M1912" i="2"/>
  <c r="G1913" i="2"/>
  <c r="J1913" i="2"/>
  <c r="N1913" i="2" s="1"/>
  <c r="K1913" i="2"/>
  <c r="L1913" i="2" s="1"/>
  <c r="M1913" i="2"/>
  <c r="G1914" i="2"/>
  <c r="J1914" i="2"/>
  <c r="K1914" i="2"/>
  <c r="L1914" i="2"/>
  <c r="M1914" i="2"/>
  <c r="N1914" i="2"/>
  <c r="G1915" i="2"/>
  <c r="J1915" i="2"/>
  <c r="K1915" i="2"/>
  <c r="M1915" i="2"/>
  <c r="N1915" i="2"/>
  <c r="E1918" i="2"/>
  <c r="F1918" i="2"/>
  <c r="H1918" i="2"/>
  <c r="O1918" i="2"/>
  <c r="P1918" i="2"/>
  <c r="Q1918" i="2"/>
  <c r="R1918" i="2"/>
  <c r="S1918" i="2"/>
  <c r="T1918" i="2"/>
  <c r="G1919" i="2"/>
  <c r="J1919" i="2"/>
  <c r="K1919" i="2"/>
  <c r="L1919" i="2" s="1"/>
  <c r="M1919" i="2"/>
  <c r="N1919" i="2"/>
  <c r="G1920" i="2"/>
  <c r="J1920" i="2"/>
  <c r="L1920" i="2" s="1"/>
  <c r="K1920" i="2"/>
  <c r="M1920" i="2"/>
  <c r="N1920" i="2"/>
  <c r="G1921" i="2"/>
  <c r="J1921" i="2"/>
  <c r="N1921" i="2" s="1"/>
  <c r="K1921" i="2"/>
  <c r="M1921" i="2"/>
  <c r="G1922" i="2"/>
  <c r="J1922" i="2"/>
  <c r="L1922" i="2" s="1"/>
  <c r="K1922" i="2"/>
  <c r="M1922" i="2"/>
  <c r="N1922" i="2"/>
  <c r="G1923" i="2"/>
  <c r="J1923" i="2"/>
  <c r="K1923" i="2"/>
  <c r="L1923" i="2" s="1"/>
  <c r="M1923" i="2"/>
  <c r="N1923" i="2"/>
  <c r="G1924" i="2"/>
  <c r="J1924" i="2"/>
  <c r="L1924" i="2" s="1"/>
  <c r="K1924" i="2"/>
  <c r="M1924" i="2"/>
  <c r="G1925" i="2"/>
  <c r="J1925" i="2"/>
  <c r="N1925" i="2" s="1"/>
  <c r="K1925" i="2"/>
  <c r="M1925" i="2"/>
  <c r="G1926" i="2"/>
  <c r="J1926" i="2"/>
  <c r="N1926" i="2" s="1"/>
  <c r="K1926" i="2"/>
  <c r="L1926" i="2"/>
  <c r="M1926" i="2"/>
  <c r="G1927" i="2"/>
  <c r="J1927" i="2"/>
  <c r="K1927" i="2"/>
  <c r="L1927" i="2"/>
  <c r="M1927" i="2"/>
  <c r="N1927" i="2"/>
  <c r="G1928" i="2"/>
  <c r="J1928" i="2"/>
  <c r="K1928" i="2"/>
  <c r="M1928" i="2"/>
  <c r="N1928" i="2"/>
  <c r="G1929" i="2"/>
  <c r="J1929" i="2"/>
  <c r="N1929" i="2" s="1"/>
  <c r="K1929" i="2"/>
  <c r="L1929" i="2"/>
  <c r="M1929" i="2"/>
  <c r="E1932" i="2"/>
  <c r="D1932" i="2" s="1"/>
  <c r="D1933" i="2" s="1"/>
  <c r="D1934" i="2" s="1"/>
  <c r="D1935" i="2" s="1"/>
  <c r="D1936" i="2" s="1"/>
  <c r="D1937" i="2" s="1"/>
  <c r="D1938" i="2" s="1"/>
  <c r="D1939" i="2" s="1"/>
  <c r="D1940" i="2" s="1"/>
  <c r="D1941" i="2" s="1"/>
  <c r="D1942" i="2" s="1"/>
  <c r="D1943" i="2" s="1"/>
  <c r="D1944" i="2" s="1"/>
  <c r="D1945" i="2" s="1"/>
  <c r="D1946" i="2" s="1"/>
  <c r="D1947" i="2" s="1"/>
  <c r="D1948" i="2" s="1"/>
  <c r="D1949" i="2" s="1"/>
  <c r="D1950" i="2" s="1"/>
  <c r="D1951" i="2" s="1"/>
  <c r="F1932" i="2"/>
  <c r="H1932" i="2"/>
  <c r="O1932" i="2"/>
  <c r="P1932" i="2"/>
  <c r="Q1932" i="2"/>
  <c r="R1932" i="2"/>
  <c r="S1932" i="2"/>
  <c r="T1932" i="2"/>
  <c r="G1933" i="2"/>
  <c r="J1933" i="2"/>
  <c r="K1933" i="2"/>
  <c r="L1933" i="2"/>
  <c r="M1933" i="2"/>
  <c r="N1933" i="2"/>
  <c r="G1934" i="2"/>
  <c r="J1934" i="2"/>
  <c r="L1934" i="2" s="1"/>
  <c r="K1934" i="2"/>
  <c r="M1934" i="2"/>
  <c r="G1935" i="2"/>
  <c r="J1935" i="2"/>
  <c r="N1935" i="2" s="1"/>
  <c r="K1935" i="2"/>
  <c r="M1935" i="2"/>
  <c r="G1936" i="2"/>
  <c r="J1936" i="2"/>
  <c r="K1936" i="2"/>
  <c r="L1936" i="2"/>
  <c r="M1936" i="2"/>
  <c r="N1936" i="2"/>
  <c r="G1937" i="2"/>
  <c r="J1937" i="2"/>
  <c r="K1937" i="2"/>
  <c r="L1937" i="2"/>
  <c r="M1937" i="2"/>
  <c r="N1937" i="2"/>
  <c r="G1938" i="2"/>
  <c r="J1938" i="2"/>
  <c r="L1938" i="2" s="1"/>
  <c r="K1938" i="2"/>
  <c r="M1938" i="2"/>
  <c r="G1939" i="2"/>
  <c r="J1939" i="2"/>
  <c r="N1939" i="2" s="1"/>
  <c r="K1939" i="2"/>
  <c r="L1939" i="2"/>
  <c r="M1939" i="2"/>
  <c r="G1940" i="2"/>
  <c r="J1940" i="2"/>
  <c r="L1940" i="2" s="1"/>
  <c r="K1940" i="2"/>
  <c r="M1940" i="2"/>
  <c r="N1940" i="2"/>
  <c r="G1941" i="2"/>
  <c r="J1941" i="2"/>
  <c r="K1941" i="2"/>
  <c r="L1941" i="2"/>
  <c r="M1941" i="2"/>
  <c r="N1941" i="2"/>
  <c r="G1942" i="2"/>
  <c r="J1942" i="2"/>
  <c r="L1942" i="2" s="1"/>
  <c r="K1942" i="2"/>
  <c r="M1942" i="2"/>
  <c r="G1943" i="2"/>
  <c r="J1943" i="2"/>
  <c r="N1943" i="2" s="1"/>
  <c r="K1943" i="2"/>
  <c r="M1943" i="2"/>
  <c r="G1944" i="2"/>
  <c r="J1944" i="2"/>
  <c r="L1944" i="2" s="1"/>
  <c r="K1944" i="2"/>
  <c r="M1944" i="2"/>
  <c r="G1945" i="2"/>
  <c r="J1945" i="2"/>
  <c r="K1945" i="2"/>
  <c r="L1945" i="2"/>
  <c r="M1945" i="2"/>
  <c r="N1945" i="2"/>
  <c r="G1946" i="2"/>
  <c r="J1946" i="2"/>
  <c r="K1946" i="2"/>
  <c r="M1946" i="2"/>
  <c r="N1946" i="2"/>
  <c r="G1947" i="2"/>
  <c r="J1947" i="2"/>
  <c r="N1947" i="2" s="1"/>
  <c r="K1947" i="2"/>
  <c r="L1947" i="2"/>
  <c r="M1947" i="2"/>
  <c r="G1948" i="2"/>
  <c r="J1948" i="2"/>
  <c r="N1948" i="2" s="1"/>
  <c r="K1948" i="2"/>
  <c r="L1948" i="2"/>
  <c r="M1948" i="2"/>
  <c r="G1949" i="2"/>
  <c r="J1949" i="2"/>
  <c r="K1949" i="2"/>
  <c r="L1949" i="2"/>
  <c r="M1949" i="2"/>
  <c r="N1949" i="2"/>
  <c r="G1950" i="2"/>
  <c r="J1950" i="2"/>
  <c r="K1950" i="2"/>
  <c r="M1950" i="2"/>
  <c r="G1951" i="2"/>
  <c r="J1951" i="2"/>
  <c r="N1951" i="2" s="1"/>
  <c r="K1951" i="2"/>
  <c r="M1951" i="2"/>
  <c r="E1954" i="2"/>
  <c r="D1954" i="2" s="1"/>
  <c r="D1955" i="2" s="1"/>
  <c r="F1954" i="2"/>
  <c r="H1954" i="2"/>
  <c r="O1954" i="2"/>
  <c r="P1954" i="2"/>
  <c r="Q1954" i="2"/>
  <c r="R1954" i="2"/>
  <c r="S1954" i="2"/>
  <c r="T1954" i="2"/>
  <c r="G1955" i="2"/>
  <c r="J1955" i="2"/>
  <c r="K1955" i="2"/>
  <c r="M1955" i="2"/>
  <c r="N1955" i="2"/>
  <c r="G1956" i="2"/>
  <c r="J1956" i="2"/>
  <c r="N1956" i="2" s="1"/>
  <c r="K1956" i="2"/>
  <c r="M1956" i="2"/>
  <c r="G1957" i="2"/>
  <c r="J1957" i="2"/>
  <c r="L1957" i="2" s="1"/>
  <c r="K1957" i="2"/>
  <c r="M1957" i="2"/>
  <c r="N1957" i="2"/>
  <c r="G1958" i="2"/>
  <c r="J1958" i="2"/>
  <c r="K1958" i="2"/>
  <c r="L1958" i="2"/>
  <c r="M1958" i="2"/>
  <c r="N1958" i="2"/>
  <c r="G1959" i="2"/>
  <c r="J1959" i="2"/>
  <c r="L1959" i="2" s="1"/>
  <c r="K1959" i="2"/>
  <c r="M1959" i="2"/>
  <c r="G1960" i="2"/>
  <c r="J1960" i="2"/>
  <c r="N1960" i="2" s="1"/>
  <c r="K1960" i="2"/>
  <c r="M1960" i="2"/>
  <c r="G1961" i="2"/>
  <c r="J1961" i="2"/>
  <c r="N1961" i="2" s="1"/>
  <c r="K1961" i="2"/>
  <c r="L1961" i="2"/>
  <c r="M1961" i="2"/>
  <c r="G1962" i="2"/>
  <c r="J1962" i="2"/>
  <c r="K1962" i="2"/>
  <c r="L1962" i="2"/>
  <c r="M1962" i="2"/>
  <c r="N1962" i="2"/>
  <c r="G1963" i="2"/>
  <c r="J1963" i="2"/>
  <c r="L1963" i="2" s="1"/>
  <c r="K1963" i="2"/>
  <c r="M1963" i="2"/>
  <c r="N1963" i="2"/>
  <c r="G1964" i="2"/>
  <c r="J1964" i="2"/>
  <c r="N1964" i="2" s="1"/>
  <c r="K1964" i="2"/>
  <c r="L1964" i="2"/>
  <c r="M1964" i="2"/>
  <c r="G1965" i="2"/>
  <c r="J1965" i="2"/>
  <c r="L1965" i="2" s="1"/>
  <c r="K1965" i="2"/>
  <c r="M1965" i="2"/>
  <c r="G1966" i="2"/>
  <c r="J1966" i="2"/>
  <c r="K1966" i="2"/>
  <c r="L1966" i="2"/>
  <c r="M1966" i="2"/>
  <c r="N1966" i="2"/>
  <c r="G1967" i="2"/>
  <c r="J1967" i="2"/>
  <c r="N1967" i="2" s="1"/>
  <c r="K1967" i="2"/>
  <c r="M1967" i="2"/>
  <c r="G1968" i="2"/>
  <c r="J1968" i="2"/>
  <c r="N1968" i="2" s="1"/>
  <c r="K1968" i="2"/>
  <c r="L1968" i="2"/>
  <c r="M1968" i="2"/>
  <c r="G1969" i="2"/>
  <c r="J1969" i="2"/>
  <c r="K1969" i="2"/>
  <c r="L1969" i="2"/>
  <c r="M1969" i="2"/>
  <c r="N1969" i="2"/>
  <c r="G1970" i="2"/>
  <c r="J1970" i="2"/>
  <c r="K1970" i="2"/>
  <c r="L1970" i="2" s="1"/>
  <c r="M1970" i="2"/>
  <c r="N1970" i="2"/>
  <c r="G1971" i="2"/>
  <c r="J1971" i="2"/>
  <c r="K1971" i="2"/>
  <c r="M1971" i="2"/>
  <c r="N1971" i="2"/>
  <c r="G1972" i="2"/>
  <c r="J1972" i="2"/>
  <c r="N1972" i="2" s="1"/>
  <c r="K1972" i="2"/>
  <c r="M1972" i="2"/>
  <c r="G1973" i="2"/>
  <c r="J1973" i="2"/>
  <c r="L1973" i="2" s="1"/>
  <c r="K1973" i="2"/>
  <c r="M1973" i="2"/>
  <c r="N1973" i="2"/>
  <c r="G1974" i="2"/>
  <c r="J1974" i="2"/>
  <c r="K1974" i="2"/>
  <c r="L1974" i="2" s="1"/>
  <c r="M1974" i="2"/>
  <c r="N1974" i="2"/>
  <c r="G1975" i="2"/>
  <c r="J1975" i="2"/>
  <c r="L1975" i="2" s="1"/>
  <c r="K1975" i="2"/>
  <c r="M1975" i="2"/>
  <c r="G1976" i="2"/>
  <c r="J1976" i="2"/>
  <c r="N1976" i="2" s="1"/>
  <c r="K1976" i="2"/>
  <c r="M1976" i="2"/>
  <c r="G1977" i="2"/>
  <c r="J1977" i="2"/>
  <c r="N1977" i="2" s="1"/>
  <c r="K1977" i="2"/>
  <c r="L1977" i="2"/>
  <c r="M1977" i="2"/>
  <c r="G1978" i="2"/>
  <c r="J1978" i="2"/>
  <c r="K1978" i="2"/>
  <c r="L1978" i="2"/>
  <c r="M1978" i="2"/>
  <c r="N1978" i="2"/>
  <c r="G1979" i="2"/>
  <c r="J1979" i="2"/>
  <c r="K1979" i="2"/>
  <c r="M1979" i="2"/>
  <c r="N1979" i="2"/>
  <c r="G1980" i="2"/>
  <c r="J1980" i="2"/>
  <c r="N1980" i="2" s="1"/>
  <c r="K1980" i="2"/>
  <c r="L1980" i="2"/>
  <c r="M1980" i="2"/>
  <c r="E1983" i="2"/>
  <c r="D1983" i="2" s="1"/>
  <c r="D1984" i="2" s="1"/>
  <c r="F1983" i="2"/>
  <c r="H1983" i="2"/>
  <c r="O1983" i="2"/>
  <c r="P1983" i="2"/>
  <c r="Q1983" i="2"/>
  <c r="R1983" i="2"/>
  <c r="S1983" i="2"/>
  <c r="T1983" i="2"/>
  <c r="G1984" i="2"/>
  <c r="J1984" i="2"/>
  <c r="K1984" i="2"/>
  <c r="L1984" i="2"/>
  <c r="M1984" i="2"/>
  <c r="N1984" i="2"/>
  <c r="G1985" i="2"/>
  <c r="J1985" i="2"/>
  <c r="L1985" i="2" s="1"/>
  <c r="K1985" i="2"/>
  <c r="M1985" i="2"/>
  <c r="G1986" i="2"/>
  <c r="J1986" i="2"/>
  <c r="N1986" i="2" s="1"/>
  <c r="K1986" i="2"/>
  <c r="M1986" i="2"/>
  <c r="G1987" i="2"/>
  <c r="J1987" i="2"/>
  <c r="K1987" i="2"/>
  <c r="L1987" i="2"/>
  <c r="M1987" i="2"/>
  <c r="N1987" i="2"/>
  <c r="G1988" i="2"/>
  <c r="J1988" i="2"/>
  <c r="K1988" i="2"/>
  <c r="L1988" i="2"/>
  <c r="M1988" i="2"/>
  <c r="N1988" i="2"/>
  <c r="G1989" i="2"/>
  <c r="J1989" i="2"/>
  <c r="L1989" i="2" s="1"/>
  <c r="K1989" i="2"/>
  <c r="M1989" i="2"/>
  <c r="G1990" i="2"/>
  <c r="J1990" i="2"/>
  <c r="N1990" i="2" s="1"/>
  <c r="K1990" i="2"/>
  <c r="L1990" i="2"/>
  <c r="M1990" i="2"/>
  <c r="G1991" i="2"/>
  <c r="J1991" i="2"/>
  <c r="L1991" i="2" s="1"/>
  <c r="K1991" i="2"/>
  <c r="M1991" i="2"/>
  <c r="N1991" i="2"/>
  <c r="G1992" i="2"/>
  <c r="J1992" i="2"/>
  <c r="K1992" i="2"/>
  <c r="L1992" i="2"/>
  <c r="M1992" i="2"/>
  <c r="N1992" i="2"/>
  <c r="G1993" i="2"/>
  <c r="J1993" i="2"/>
  <c r="L1993" i="2" s="1"/>
  <c r="K1993" i="2"/>
  <c r="M1993" i="2"/>
  <c r="G1994" i="2"/>
  <c r="J1994" i="2"/>
  <c r="N1994" i="2" s="1"/>
  <c r="K1994" i="2"/>
  <c r="M1994" i="2"/>
  <c r="G1995" i="2"/>
  <c r="J1995" i="2"/>
  <c r="L1995" i="2" s="1"/>
  <c r="K1995" i="2"/>
  <c r="M1995" i="2"/>
  <c r="G1996" i="2"/>
  <c r="J1996" i="2"/>
  <c r="K1996" i="2"/>
  <c r="L1996" i="2"/>
  <c r="M1996" i="2"/>
  <c r="N1996" i="2"/>
  <c r="G1997" i="2"/>
  <c r="J1997" i="2"/>
  <c r="K1997" i="2"/>
  <c r="M1997" i="2"/>
  <c r="N1997" i="2"/>
  <c r="G1998" i="2"/>
  <c r="J1998" i="2"/>
  <c r="N1998" i="2" s="1"/>
  <c r="K1998" i="2"/>
  <c r="L1998" i="2"/>
  <c r="M1998" i="2"/>
  <c r="G1999" i="2"/>
  <c r="J1999" i="2"/>
  <c r="N1999" i="2" s="1"/>
  <c r="K1999" i="2"/>
  <c r="L1999" i="2"/>
  <c r="M1999" i="2"/>
  <c r="G2000" i="2"/>
  <c r="J2000" i="2"/>
  <c r="K2000" i="2"/>
  <c r="L2000" i="2"/>
  <c r="M2000" i="2"/>
  <c r="N2000" i="2"/>
  <c r="G2001" i="2"/>
  <c r="J2001" i="2"/>
  <c r="N2001" i="2" s="1"/>
  <c r="K2001" i="2"/>
  <c r="M2001" i="2"/>
  <c r="G2002" i="2"/>
  <c r="J2002" i="2"/>
  <c r="N2002" i="2" s="1"/>
  <c r="K2002" i="2"/>
  <c r="M2002" i="2"/>
  <c r="G2003" i="2"/>
  <c r="J2003" i="2"/>
  <c r="K2003" i="2"/>
  <c r="L2003" i="2"/>
  <c r="M2003" i="2"/>
  <c r="N2003" i="2"/>
  <c r="G2004" i="2"/>
  <c r="J2004" i="2"/>
  <c r="K2004" i="2"/>
  <c r="L2004" i="2" s="1"/>
  <c r="M2004" i="2"/>
  <c r="N2004" i="2"/>
  <c r="G2005" i="2"/>
  <c r="J2005" i="2"/>
  <c r="L2005" i="2" s="1"/>
  <c r="K2005" i="2"/>
  <c r="M2005" i="2"/>
  <c r="G2006" i="2"/>
  <c r="J2006" i="2"/>
  <c r="N2006" i="2" s="1"/>
  <c r="K2006" i="2"/>
  <c r="L2006" i="2"/>
  <c r="M2006" i="2"/>
  <c r="G2007" i="2"/>
  <c r="J2007" i="2"/>
  <c r="L2007" i="2" s="1"/>
  <c r="K2007" i="2"/>
  <c r="M2007" i="2"/>
  <c r="N2007" i="2"/>
  <c r="G2008" i="2"/>
  <c r="J2008" i="2"/>
  <c r="K2008" i="2"/>
  <c r="L2008" i="2"/>
  <c r="M2008" i="2"/>
  <c r="N2008" i="2"/>
  <c r="G2009" i="2"/>
  <c r="J2009" i="2"/>
  <c r="L2009" i="2" s="1"/>
  <c r="K2009" i="2"/>
  <c r="M2009" i="2"/>
  <c r="G2010" i="2"/>
  <c r="J2010" i="2"/>
  <c r="N2010" i="2" s="1"/>
  <c r="K2010" i="2"/>
  <c r="M2010" i="2"/>
  <c r="E2013" i="2"/>
  <c r="F2013" i="2"/>
  <c r="H2013" i="2"/>
  <c r="O2013" i="2"/>
  <c r="P2013" i="2"/>
  <c r="Q2013" i="2"/>
  <c r="R2013" i="2"/>
  <c r="S2013" i="2"/>
  <c r="T2013" i="2"/>
  <c r="G2014" i="2"/>
  <c r="J2014" i="2"/>
  <c r="L2014" i="2" s="1"/>
  <c r="K2014" i="2"/>
  <c r="M2014" i="2"/>
  <c r="N2014" i="2"/>
  <c r="G2015" i="2"/>
  <c r="J2015" i="2"/>
  <c r="N2015" i="2" s="1"/>
  <c r="K2015" i="2"/>
  <c r="L2015" i="2"/>
  <c r="M2015" i="2"/>
  <c r="G2016" i="2"/>
  <c r="J2016" i="2"/>
  <c r="N2016" i="2" s="1"/>
  <c r="K2016" i="2"/>
  <c r="M2016" i="2"/>
  <c r="G2017" i="2"/>
  <c r="J2017" i="2"/>
  <c r="K2017" i="2"/>
  <c r="L2017" i="2"/>
  <c r="M2017" i="2"/>
  <c r="N2017" i="2"/>
  <c r="G2018" i="2"/>
  <c r="J2018" i="2"/>
  <c r="N2018" i="2" s="1"/>
  <c r="K2018" i="2"/>
  <c r="M2018" i="2"/>
  <c r="G2019" i="2"/>
  <c r="J2019" i="2"/>
  <c r="N2019" i="2" s="1"/>
  <c r="K2019" i="2"/>
  <c r="L2019" i="2"/>
  <c r="M2019" i="2"/>
  <c r="G2020" i="2"/>
  <c r="J2020" i="2"/>
  <c r="K2020" i="2"/>
  <c r="L2020" i="2"/>
  <c r="M2020" i="2"/>
  <c r="N2020" i="2"/>
  <c r="E2023" i="2"/>
  <c r="D2023" i="2" s="1"/>
  <c r="D2024" i="2" s="1"/>
  <c r="D2025" i="2" s="1"/>
  <c r="D2026" i="2" s="1"/>
  <c r="D2027" i="2" s="1"/>
  <c r="D2028" i="2" s="1"/>
  <c r="D2029" i="2" s="1"/>
  <c r="D2030" i="2" s="1"/>
  <c r="D2031" i="2" s="1"/>
  <c r="D2032" i="2" s="1"/>
  <c r="D2033" i="2" s="1"/>
  <c r="F2023" i="2"/>
  <c r="H2023" i="2"/>
  <c r="O2023" i="2"/>
  <c r="P2023" i="2"/>
  <c r="Q2023" i="2"/>
  <c r="R2023" i="2"/>
  <c r="S2023" i="2"/>
  <c r="T2023" i="2"/>
  <c r="G2024" i="2"/>
  <c r="J2024" i="2"/>
  <c r="L2024" i="2" s="1"/>
  <c r="K2024" i="2"/>
  <c r="M2024" i="2"/>
  <c r="G2025" i="2"/>
  <c r="J2025" i="2"/>
  <c r="N2025" i="2" s="1"/>
  <c r="K2025" i="2"/>
  <c r="L2025" i="2"/>
  <c r="M2025" i="2"/>
  <c r="G2026" i="2"/>
  <c r="J2026" i="2"/>
  <c r="L2026" i="2" s="1"/>
  <c r="K2026" i="2"/>
  <c r="M2026" i="2"/>
  <c r="N2026" i="2"/>
  <c r="G2027" i="2"/>
  <c r="J2027" i="2"/>
  <c r="K2027" i="2"/>
  <c r="L2027" i="2"/>
  <c r="M2027" i="2"/>
  <c r="N2027" i="2"/>
  <c r="G2028" i="2"/>
  <c r="J2028" i="2"/>
  <c r="L2028" i="2" s="1"/>
  <c r="K2028" i="2"/>
  <c r="M2028" i="2"/>
  <c r="G2029" i="2"/>
  <c r="J2029" i="2"/>
  <c r="N2029" i="2" s="1"/>
  <c r="K2029" i="2"/>
  <c r="M2029" i="2"/>
  <c r="G2030" i="2"/>
  <c r="J2030" i="2"/>
  <c r="L2030" i="2" s="1"/>
  <c r="K2030" i="2"/>
  <c r="M2030" i="2"/>
  <c r="G2031" i="2"/>
  <c r="J2031" i="2"/>
  <c r="K2031" i="2"/>
  <c r="L2031" i="2"/>
  <c r="M2031" i="2"/>
  <c r="N2031" i="2"/>
  <c r="G2032" i="2"/>
  <c r="J2032" i="2"/>
  <c r="K2032" i="2"/>
  <c r="M2032" i="2"/>
  <c r="N2032" i="2"/>
  <c r="G2033" i="2"/>
  <c r="J2033" i="2"/>
  <c r="N2033" i="2" s="1"/>
  <c r="K2033" i="2"/>
  <c r="L2033" i="2"/>
  <c r="M2033" i="2"/>
  <c r="E2036" i="2"/>
  <c r="D2036" i="2" s="1"/>
  <c r="D2037" i="2" s="1"/>
  <c r="F2036" i="2"/>
  <c r="H2036" i="2"/>
  <c r="O2036" i="2"/>
  <c r="P2036" i="2"/>
  <c r="Q2036" i="2"/>
  <c r="R2036" i="2"/>
  <c r="S2036" i="2"/>
  <c r="T2036" i="2"/>
  <c r="G2037" i="2"/>
  <c r="J2037" i="2"/>
  <c r="L2037" i="2" s="1"/>
  <c r="K2037" i="2"/>
  <c r="M2037" i="2"/>
  <c r="G2038" i="2"/>
  <c r="J2038" i="2"/>
  <c r="N2038" i="2" s="1"/>
  <c r="K2038" i="2"/>
  <c r="L2038" i="2"/>
  <c r="M2038" i="2"/>
  <c r="G2039" i="2"/>
  <c r="J2039" i="2"/>
  <c r="K2039" i="2"/>
  <c r="L2039" i="2"/>
  <c r="M2039" i="2"/>
  <c r="N2039" i="2"/>
  <c r="G2040" i="2"/>
  <c r="J2040" i="2"/>
  <c r="K2040" i="2"/>
  <c r="L2040" i="2"/>
  <c r="M2040" i="2"/>
  <c r="N2040" i="2"/>
  <c r="G2041" i="2"/>
  <c r="J2041" i="2"/>
  <c r="L2041" i="2" s="1"/>
  <c r="K2041" i="2"/>
  <c r="M2041" i="2"/>
  <c r="N2041" i="2"/>
  <c r="G2042" i="2"/>
  <c r="J2042" i="2"/>
  <c r="N2042" i="2" s="1"/>
  <c r="K2042" i="2"/>
  <c r="M2042" i="2"/>
  <c r="G2043" i="2"/>
  <c r="J2043" i="2"/>
  <c r="L2043" i="2" s="1"/>
  <c r="K2043" i="2"/>
  <c r="M2043" i="2"/>
  <c r="N2043" i="2"/>
  <c r="E2046" i="2"/>
  <c r="F2046" i="2"/>
  <c r="H2046" i="2"/>
  <c r="O2046" i="2"/>
  <c r="P2046" i="2"/>
  <c r="Q2046" i="2"/>
  <c r="R2046" i="2"/>
  <c r="S2046" i="2"/>
  <c r="T2046" i="2"/>
  <c r="G2047" i="2"/>
  <c r="J2047" i="2"/>
  <c r="L2047" i="2" s="1"/>
  <c r="K2047" i="2"/>
  <c r="M2047" i="2"/>
  <c r="G2048" i="2"/>
  <c r="J2048" i="2"/>
  <c r="N2048" i="2" s="1"/>
  <c r="K2048" i="2"/>
  <c r="M2048" i="2"/>
  <c r="G2049" i="2"/>
  <c r="J2049" i="2"/>
  <c r="L2049" i="2" s="1"/>
  <c r="K2049" i="2"/>
  <c r="M2049" i="2"/>
  <c r="G2050" i="2"/>
  <c r="J2050" i="2"/>
  <c r="K2050" i="2"/>
  <c r="L2050" i="2"/>
  <c r="M2050" i="2"/>
  <c r="N2050" i="2"/>
  <c r="G2051" i="2"/>
  <c r="J2051" i="2"/>
  <c r="L2051" i="2" s="1"/>
  <c r="K2051" i="2"/>
  <c r="M2051" i="2"/>
  <c r="N2051" i="2"/>
  <c r="G2052" i="2"/>
  <c r="J2052" i="2"/>
  <c r="N2052" i="2" s="1"/>
  <c r="K2052" i="2"/>
  <c r="L2052" i="2"/>
  <c r="M2052" i="2"/>
  <c r="G2053" i="2"/>
  <c r="J2053" i="2"/>
  <c r="N2053" i="2" s="1"/>
  <c r="K2053" i="2"/>
  <c r="L2053" i="2"/>
  <c r="M2053" i="2"/>
  <c r="G2054" i="2"/>
  <c r="J2054" i="2"/>
  <c r="K2054" i="2"/>
  <c r="L2054" i="2"/>
  <c r="M2054" i="2"/>
  <c r="N2054" i="2"/>
  <c r="G2055" i="2"/>
  <c r="J2055" i="2"/>
  <c r="N2055" i="2" s="1"/>
  <c r="K2055" i="2"/>
  <c r="M2055" i="2"/>
  <c r="G2056" i="2"/>
  <c r="J2056" i="2"/>
  <c r="N2056" i="2" s="1"/>
  <c r="K2056" i="2"/>
  <c r="M2056" i="2"/>
  <c r="G2057" i="2"/>
  <c r="J2057" i="2"/>
  <c r="K2057" i="2"/>
  <c r="L2057" i="2"/>
  <c r="M2057" i="2"/>
  <c r="N2057" i="2"/>
  <c r="G2058" i="2"/>
  <c r="J2058" i="2"/>
  <c r="K2058" i="2"/>
  <c r="L2058" i="2" s="1"/>
  <c r="M2058" i="2"/>
  <c r="N2058" i="2"/>
  <c r="G2059" i="2"/>
  <c r="J2059" i="2"/>
  <c r="L2059" i="2" s="1"/>
  <c r="K2059" i="2"/>
  <c r="M2059" i="2"/>
  <c r="G2060" i="2"/>
  <c r="J2060" i="2"/>
  <c r="N2060" i="2" s="1"/>
  <c r="K2060" i="2"/>
  <c r="L2060" i="2"/>
  <c r="M2060" i="2"/>
  <c r="G2061" i="2"/>
  <c r="J2061" i="2"/>
  <c r="L2061" i="2" s="1"/>
  <c r="K2061" i="2"/>
  <c r="M2061" i="2"/>
  <c r="N2061" i="2"/>
  <c r="G2062" i="2"/>
  <c r="J2062" i="2"/>
  <c r="K2062" i="2"/>
  <c r="L2062" i="2"/>
  <c r="M2062" i="2"/>
  <c r="N2062" i="2"/>
  <c r="E2065" i="2"/>
  <c r="F2065" i="2"/>
  <c r="H2065" i="2"/>
  <c r="O2065" i="2"/>
  <c r="P2065" i="2"/>
  <c r="Q2065" i="2"/>
  <c r="R2065" i="2"/>
  <c r="S2065" i="2"/>
  <c r="T2065" i="2"/>
  <c r="G2066" i="2"/>
  <c r="J2066" i="2"/>
  <c r="L2066" i="2" s="1"/>
  <c r="K2066" i="2"/>
  <c r="M2066" i="2"/>
  <c r="N2066" i="2"/>
  <c r="E2069" i="2"/>
  <c r="F2069" i="2"/>
  <c r="H2069" i="2"/>
  <c r="O2069" i="2"/>
  <c r="P2069" i="2"/>
  <c r="Q2069" i="2"/>
  <c r="R2069" i="2"/>
  <c r="S2069" i="2"/>
  <c r="T2069" i="2"/>
  <c r="G2070" i="2"/>
  <c r="J2070" i="2"/>
  <c r="L2070" i="2" s="1"/>
  <c r="K2070" i="2"/>
  <c r="M2070" i="2"/>
  <c r="E2073" i="2"/>
  <c r="F2073" i="2"/>
  <c r="H2073" i="2"/>
  <c r="O2073" i="2"/>
  <c r="P2073" i="2"/>
  <c r="Q2073" i="2"/>
  <c r="R2073" i="2"/>
  <c r="S2073" i="2"/>
  <c r="T2073" i="2"/>
  <c r="G2074" i="2"/>
  <c r="J2074" i="2"/>
  <c r="K2074" i="2"/>
  <c r="L2074" i="2"/>
  <c r="M2074" i="2"/>
  <c r="N2074" i="2"/>
  <c r="G2075" i="2"/>
  <c r="J2075" i="2"/>
  <c r="N2075" i="2" s="1"/>
  <c r="K2075" i="2"/>
  <c r="M2075" i="2"/>
  <c r="E2078" i="2"/>
  <c r="F2078" i="2"/>
  <c r="H2078" i="2"/>
  <c r="O2078" i="2"/>
  <c r="P2078" i="2"/>
  <c r="Q2078" i="2"/>
  <c r="R2078" i="2"/>
  <c r="S2078" i="2"/>
  <c r="T2078" i="2"/>
  <c r="G2079" i="2"/>
  <c r="J2079" i="2"/>
  <c r="L2079" i="2" s="1"/>
  <c r="K2079" i="2"/>
  <c r="M2079" i="2"/>
  <c r="E2082" i="2"/>
  <c r="F2082" i="2"/>
  <c r="H2082" i="2"/>
  <c r="O2082" i="2"/>
  <c r="P2082" i="2"/>
  <c r="Q2082" i="2"/>
  <c r="R2082" i="2"/>
  <c r="S2082" i="2"/>
  <c r="T2082" i="2"/>
  <c r="G2083" i="2"/>
  <c r="J2083" i="2"/>
  <c r="N2083" i="2" s="1"/>
  <c r="K2083" i="2"/>
  <c r="M2083" i="2"/>
  <c r="E2086" i="2"/>
  <c r="D2086" i="2" s="1"/>
  <c r="D2087" i="2" s="1"/>
  <c r="D2088" i="2" s="1"/>
  <c r="F2086" i="2"/>
  <c r="H2086" i="2"/>
  <c r="O2086" i="2"/>
  <c r="P2086" i="2"/>
  <c r="Q2086" i="2"/>
  <c r="R2086" i="2"/>
  <c r="S2086" i="2"/>
  <c r="T2086" i="2"/>
  <c r="G2087" i="2"/>
  <c r="J2087" i="2"/>
  <c r="K2087" i="2"/>
  <c r="L2087" i="2"/>
  <c r="M2087" i="2"/>
  <c r="N2087" i="2"/>
  <c r="G2088" i="2"/>
  <c r="J2088" i="2"/>
  <c r="L2088" i="2" s="1"/>
  <c r="K2088" i="2"/>
  <c r="M2088" i="2"/>
  <c r="N2088" i="2"/>
  <c r="E2091" i="2"/>
  <c r="D2091" i="2" s="1"/>
  <c r="D2092" i="2" s="1"/>
  <c r="D2093" i="2" s="1"/>
  <c r="D2094" i="2" s="1"/>
  <c r="D2095" i="2" s="1"/>
  <c r="D2096" i="2" s="1"/>
  <c r="F2091" i="2"/>
  <c r="H2091" i="2"/>
  <c r="O2091" i="2"/>
  <c r="P2091" i="2"/>
  <c r="Q2091" i="2"/>
  <c r="R2091" i="2"/>
  <c r="S2091" i="2"/>
  <c r="T2091" i="2"/>
  <c r="G2092" i="2"/>
  <c r="J2092" i="2"/>
  <c r="K2092" i="2"/>
  <c r="L2092" i="2"/>
  <c r="M2092" i="2"/>
  <c r="N2092" i="2"/>
  <c r="G2093" i="2"/>
  <c r="J2093" i="2"/>
  <c r="N2093" i="2" s="1"/>
  <c r="K2093" i="2"/>
  <c r="M2093" i="2"/>
  <c r="G2094" i="2"/>
  <c r="J2094" i="2"/>
  <c r="N2094" i="2" s="1"/>
  <c r="K2094" i="2"/>
  <c r="L2094" i="2"/>
  <c r="M2094" i="2"/>
  <c r="G2095" i="2"/>
  <c r="J2095" i="2"/>
  <c r="K2095" i="2"/>
  <c r="L2095" i="2"/>
  <c r="M2095" i="2"/>
  <c r="N2095" i="2"/>
  <c r="G2096" i="2"/>
  <c r="J2096" i="2"/>
  <c r="K2096" i="2"/>
  <c r="L2096" i="2" s="1"/>
  <c r="M2096" i="2"/>
  <c r="N2096" i="2"/>
  <c r="E2099" i="2"/>
  <c r="D2099" i="2" s="1"/>
  <c r="F2099" i="2"/>
  <c r="H2099" i="2"/>
  <c r="O2099" i="2"/>
  <c r="P2099" i="2"/>
  <c r="Q2099" i="2"/>
  <c r="R2099" i="2"/>
  <c r="S2099" i="2"/>
  <c r="T2099" i="2"/>
  <c r="G2100" i="2"/>
  <c r="J2100" i="2"/>
  <c r="N2100" i="2" s="1"/>
  <c r="K2100" i="2"/>
  <c r="L2100" i="2"/>
  <c r="M2100" i="2"/>
  <c r="G2101" i="2"/>
  <c r="J2101" i="2"/>
  <c r="N2101" i="2" s="1"/>
  <c r="K2101" i="2"/>
  <c r="M2101" i="2"/>
  <c r="E2104" i="2"/>
  <c r="D2104" i="2" s="1"/>
  <c r="D2105" i="2" s="1"/>
  <c r="F2104" i="2"/>
  <c r="H2104" i="2"/>
  <c r="O2104" i="2"/>
  <c r="P2104" i="2"/>
  <c r="Q2104" i="2"/>
  <c r="R2104" i="2"/>
  <c r="S2104" i="2"/>
  <c r="T2104" i="2"/>
  <c r="G2105" i="2"/>
  <c r="J2105" i="2"/>
  <c r="N2105" i="2" s="1"/>
  <c r="K2105" i="2"/>
  <c r="M2105" i="2"/>
  <c r="E2108" i="2"/>
  <c r="F2108" i="2"/>
  <c r="H2108" i="2"/>
  <c r="O2108" i="2"/>
  <c r="P2108" i="2"/>
  <c r="Q2108" i="2"/>
  <c r="R2108" i="2"/>
  <c r="S2108" i="2"/>
  <c r="T2108" i="2"/>
  <c r="G2109" i="2"/>
  <c r="J2109" i="2"/>
  <c r="K2109" i="2"/>
  <c r="L2109" i="2"/>
  <c r="M2109" i="2"/>
  <c r="N2109" i="2"/>
  <c r="G2110" i="2"/>
  <c r="J2110" i="2"/>
  <c r="L2110" i="2" s="1"/>
  <c r="K2110" i="2"/>
  <c r="M2110" i="2"/>
  <c r="E2113" i="2"/>
  <c r="F2113" i="2"/>
  <c r="H2113" i="2"/>
  <c r="O2113" i="2"/>
  <c r="P2113" i="2"/>
  <c r="Q2113" i="2"/>
  <c r="R2113" i="2"/>
  <c r="S2113" i="2"/>
  <c r="T2113" i="2"/>
  <c r="G2114" i="2"/>
  <c r="J2114" i="2"/>
  <c r="K2114" i="2"/>
  <c r="L2114" i="2"/>
  <c r="M2114" i="2"/>
  <c r="N2114" i="2"/>
  <c r="G2115" i="2"/>
  <c r="J2115" i="2"/>
  <c r="N2115" i="2" s="1"/>
  <c r="K2115" i="2"/>
  <c r="M2115" i="2"/>
  <c r="E2118" i="2"/>
  <c r="F2118" i="2"/>
  <c r="H2118" i="2"/>
  <c r="O2118" i="2"/>
  <c r="P2118" i="2"/>
  <c r="Q2118" i="2"/>
  <c r="R2118" i="2"/>
  <c r="S2118" i="2"/>
  <c r="T2118" i="2"/>
  <c r="G2119" i="2"/>
  <c r="J2119" i="2"/>
  <c r="L2119" i="2" s="1"/>
  <c r="K2119" i="2"/>
  <c r="M2119" i="2"/>
  <c r="E2122" i="2"/>
  <c r="F2122" i="2"/>
  <c r="H2122" i="2"/>
  <c r="O2122" i="2"/>
  <c r="P2122" i="2"/>
  <c r="Q2122" i="2"/>
  <c r="R2122" i="2"/>
  <c r="S2122" i="2"/>
  <c r="T2122" i="2"/>
  <c r="G2123" i="2"/>
  <c r="J2123" i="2"/>
  <c r="N2123" i="2" s="1"/>
  <c r="K2123" i="2"/>
  <c r="M2123" i="2"/>
  <c r="G2124" i="2"/>
  <c r="J2124" i="2"/>
  <c r="K2124" i="2"/>
  <c r="L2124" i="2"/>
  <c r="M2124" i="2"/>
  <c r="N2124" i="2"/>
  <c r="G2125" i="2"/>
  <c r="J2125" i="2"/>
  <c r="K2125" i="2"/>
  <c r="L2125" i="2" s="1"/>
  <c r="M2125" i="2"/>
  <c r="N2125" i="2"/>
  <c r="G2126" i="2"/>
  <c r="J2126" i="2"/>
  <c r="L2126" i="2" s="1"/>
  <c r="K2126" i="2"/>
  <c r="M2126" i="2"/>
  <c r="E2129" i="2"/>
  <c r="F2129" i="2"/>
  <c r="H2129" i="2"/>
  <c r="O2129" i="2"/>
  <c r="P2129" i="2"/>
  <c r="Q2129" i="2"/>
  <c r="R2129" i="2"/>
  <c r="S2129" i="2"/>
  <c r="T2129" i="2"/>
  <c r="G2130" i="2"/>
  <c r="J2130" i="2"/>
  <c r="N2130" i="2" s="1"/>
  <c r="K2130" i="2"/>
  <c r="L2130" i="2"/>
  <c r="M2130" i="2"/>
  <c r="G2131" i="2"/>
  <c r="J2131" i="2"/>
  <c r="K2131" i="2"/>
  <c r="L2131" i="2"/>
  <c r="M2131" i="2"/>
  <c r="N2131" i="2"/>
  <c r="G2132" i="2"/>
  <c r="J2132" i="2"/>
  <c r="N2132" i="2" s="1"/>
  <c r="K2132" i="2"/>
  <c r="M2132" i="2"/>
  <c r="E2135" i="2"/>
  <c r="D2135" i="2" s="1"/>
  <c r="D2136" i="2" s="1"/>
  <c r="F2135" i="2"/>
  <c r="H2135" i="2"/>
  <c r="O2135" i="2"/>
  <c r="P2135" i="2"/>
  <c r="Q2135" i="2"/>
  <c r="R2135" i="2"/>
  <c r="S2135" i="2"/>
  <c r="T2135" i="2"/>
  <c r="G2136" i="2"/>
  <c r="J2136" i="2"/>
  <c r="K2136" i="2"/>
  <c r="L2136" i="2"/>
  <c r="M2136" i="2"/>
  <c r="N2136" i="2"/>
  <c r="E2139" i="2"/>
  <c r="F2139" i="2"/>
  <c r="H2139" i="2"/>
  <c r="O2139" i="2"/>
  <c r="P2139" i="2"/>
  <c r="Q2139" i="2"/>
  <c r="R2139" i="2"/>
  <c r="S2139" i="2"/>
  <c r="T2139" i="2"/>
  <c r="G2140" i="2"/>
  <c r="J2140" i="2"/>
  <c r="N2140" i="2" s="1"/>
  <c r="K2140" i="2"/>
  <c r="M2140" i="2"/>
  <c r="G2141" i="2"/>
  <c r="J2141" i="2"/>
  <c r="K2141" i="2"/>
  <c r="L2141" i="2"/>
  <c r="M2141" i="2"/>
  <c r="N2141" i="2"/>
  <c r="E2144" i="2"/>
  <c r="D2144" i="2" s="1"/>
  <c r="F2144" i="2"/>
  <c r="H2144" i="2"/>
  <c r="O2144" i="2"/>
  <c r="P2144" i="2"/>
  <c r="Q2144" i="2"/>
  <c r="R2144" i="2"/>
  <c r="S2144" i="2"/>
  <c r="T2144" i="2"/>
  <c r="G2145" i="2"/>
  <c r="J2145" i="2"/>
  <c r="N2145" i="2" s="1"/>
  <c r="K2145" i="2"/>
  <c r="M2145" i="2"/>
  <c r="G2146" i="2"/>
  <c r="J2146" i="2"/>
  <c r="L2146" i="2" s="1"/>
  <c r="K2146" i="2"/>
  <c r="M2146" i="2"/>
  <c r="E2149" i="2"/>
  <c r="F2149" i="2"/>
  <c r="H2149" i="2"/>
  <c r="O2149" i="2"/>
  <c r="P2149" i="2"/>
  <c r="Q2149" i="2"/>
  <c r="R2149" i="2"/>
  <c r="S2149" i="2"/>
  <c r="T2149" i="2"/>
  <c r="G2150" i="2"/>
  <c r="J2150" i="2"/>
  <c r="L2150" i="2" s="1"/>
  <c r="K2150" i="2"/>
  <c r="M2150" i="2"/>
  <c r="E2153" i="2"/>
  <c r="F2153" i="2"/>
  <c r="H2153" i="2"/>
  <c r="O2153" i="2"/>
  <c r="P2153" i="2"/>
  <c r="Q2153" i="2"/>
  <c r="R2153" i="2"/>
  <c r="S2153" i="2"/>
  <c r="T2153" i="2"/>
  <c r="G2154" i="2"/>
  <c r="J2154" i="2"/>
  <c r="K2154" i="2"/>
  <c r="L2154" i="2" s="1"/>
  <c r="M2154" i="2"/>
  <c r="N2154" i="2"/>
  <c r="E2157" i="2"/>
  <c r="F2157" i="2"/>
  <c r="H2157" i="2"/>
  <c r="O2157" i="2"/>
  <c r="P2157" i="2"/>
  <c r="Q2157" i="2"/>
  <c r="R2157" i="2"/>
  <c r="S2157" i="2"/>
  <c r="T2157" i="2"/>
  <c r="G2158" i="2"/>
  <c r="J2158" i="2"/>
  <c r="N2158" i="2" s="1"/>
  <c r="K2158" i="2"/>
  <c r="L2158" i="2"/>
  <c r="M2158" i="2"/>
  <c r="E2161" i="2"/>
  <c r="D2161" i="2" s="1"/>
  <c r="D2162" i="2" s="1"/>
  <c r="F2161" i="2"/>
  <c r="H2161" i="2"/>
  <c r="O2161" i="2"/>
  <c r="P2161" i="2"/>
  <c r="Q2161" i="2"/>
  <c r="R2161" i="2"/>
  <c r="S2161" i="2"/>
  <c r="T2161" i="2"/>
  <c r="G2162" i="2"/>
  <c r="J2162" i="2"/>
  <c r="N2162" i="2" s="1"/>
  <c r="K2162" i="2"/>
  <c r="M2162" i="2"/>
  <c r="D91" i="203"/>
  <c r="D161" i="203"/>
  <c r="D292" i="203"/>
  <c r="D331" i="203"/>
  <c r="D332" i="203" s="1"/>
  <c r="D339" i="203"/>
  <c r="D340" i="203" s="1"/>
  <c r="D335" i="203"/>
  <c r="D336" i="203" s="1"/>
  <c r="D328" i="203"/>
  <c r="D327" i="203"/>
  <c r="D323" i="203"/>
  <c r="D324" i="203" s="1"/>
  <c r="D320" i="203"/>
  <c r="D319" i="203"/>
  <c r="D315" i="203"/>
  <c r="D316" i="203" s="1"/>
  <c r="D310" i="203"/>
  <c r="D311" i="203" s="1"/>
  <c r="D312" i="203" s="1"/>
  <c r="D305" i="203"/>
  <c r="D306" i="203" s="1"/>
  <c r="D307" i="203" s="1"/>
  <c r="D300" i="203"/>
  <c r="D301" i="203" s="1"/>
  <c r="D302" i="203" s="1"/>
  <c r="D295" i="203"/>
  <c r="D296" i="203" s="1"/>
  <c r="D297" i="203" s="1"/>
  <c r="D291" i="203"/>
  <c r="D290" i="203"/>
  <c r="D284" i="203"/>
  <c r="D285" i="203" s="1"/>
  <c r="D286" i="203" s="1"/>
  <c r="D287" i="203" s="1"/>
  <c r="D280" i="203"/>
  <c r="D281" i="203" s="1"/>
  <c r="D275" i="203"/>
  <c r="D276" i="203" s="1"/>
  <c r="D277" i="203" s="1"/>
  <c r="D270" i="203"/>
  <c r="D271" i="203" s="1"/>
  <c r="D272" i="203" s="1"/>
  <c r="D266" i="203"/>
  <c r="D267" i="203" s="1"/>
  <c r="D262" i="203"/>
  <c r="D263" i="203" s="1"/>
  <c r="D258" i="203"/>
  <c r="D257" i="203"/>
  <c r="D254" i="203"/>
  <c r="D253" i="203"/>
  <c r="D249" i="203"/>
  <c r="D250" i="203" s="1"/>
  <c r="D248" i="203"/>
  <c r="D242" i="203"/>
  <c r="D243" i="203" s="1"/>
  <c r="D244" i="203" s="1"/>
  <c r="D245" i="203" s="1"/>
  <c r="D237" i="203"/>
  <c r="D238" i="203" s="1"/>
  <c r="D233" i="203"/>
  <c r="D234" i="203" s="1"/>
  <c r="D229" i="203"/>
  <c r="D230" i="203" s="1"/>
  <c r="D225" i="203"/>
  <c r="D226" i="203" s="1"/>
  <c r="D221" i="203"/>
  <c r="D222" i="203" s="1"/>
  <c r="D217" i="203"/>
  <c r="D218" i="203" s="1"/>
  <c r="D213" i="203"/>
  <c r="D214" i="203" s="1"/>
  <c r="D209" i="203"/>
  <c r="D210" i="203" s="1"/>
  <c r="D205" i="203"/>
  <c r="D206" i="203" s="1"/>
  <c r="D200" i="203"/>
  <c r="D201" i="203" s="1"/>
  <c r="D202" i="203" s="1"/>
  <c r="D199" i="203"/>
  <c r="D195" i="203"/>
  <c r="D196" i="203" s="1"/>
  <c r="D192" i="203"/>
  <c r="D191" i="203"/>
  <c r="D186" i="203"/>
  <c r="D187" i="203" s="1"/>
  <c r="D188" i="203" s="1"/>
  <c r="D182" i="203"/>
  <c r="D183" i="203" s="1"/>
  <c r="D177" i="203"/>
  <c r="D176" i="203"/>
  <c r="D172" i="203"/>
  <c r="D173" i="203" s="1"/>
  <c r="D168" i="203"/>
  <c r="D169" i="203" s="1"/>
  <c r="D164" i="203"/>
  <c r="D165" i="203" s="1"/>
  <c r="D159" i="203"/>
  <c r="D160" i="203" s="1"/>
  <c r="D153" i="203"/>
  <c r="D154" i="203" s="1"/>
  <c r="D155" i="203" s="1"/>
  <c r="D156" i="203" s="1"/>
  <c r="D146" i="203"/>
  <c r="D147" i="203" s="1"/>
  <c r="D148" i="203" s="1"/>
  <c r="D149" i="203" s="1"/>
  <c r="D150" i="203" s="1"/>
  <c r="D141" i="203"/>
  <c r="D142" i="203" s="1"/>
  <c r="D143" i="203" s="1"/>
  <c r="D137" i="203"/>
  <c r="D138" i="203" s="1"/>
  <c r="D130" i="203"/>
  <c r="D131" i="203" s="1"/>
  <c r="D125" i="203"/>
  <c r="D126" i="203" s="1"/>
  <c r="D127" i="203" s="1"/>
  <c r="D122" i="203"/>
  <c r="D121" i="203"/>
  <c r="D115" i="203"/>
  <c r="D116" i="203" s="1"/>
  <c r="D117" i="203" s="1"/>
  <c r="D118" i="203" s="1"/>
  <c r="D110" i="203"/>
  <c r="D111" i="203" s="1"/>
  <c r="D112" i="203" s="1"/>
  <c r="D109" i="203"/>
  <c r="D104" i="203"/>
  <c r="D105" i="203" s="1"/>
  <c r="D100" i="203"/>
  <c r="D101" i="203" s="1"/>
  <c r="D95" i="203"/>
  <c r="D96" i="203" s="1"/>
  <c r="D97" i="203" s="1"/>
  <c r="D94" i="203"/>
  <c r="D89" i="203"/>
  <c r="D90" i="203" s="1"/>
  <c r="D86" i="203"/>
  <c r="D85" i="203"/>
  <c r="D80" i="203"/>
  <c r="D81" i="203" s="1"/>
  <c r="D77" i="203"/>
  <c r="D76" i="203"/>
  <c r="D72" i="203"/>
  <c r="D73" i="203" s="1"/>
  <c r="D67" i="203"/>
  <c r="D68" i="203" s="1"/>
  <c r="D69" i="203" s="1"/>
  <c r="D66" i="203"/>
  <c r="D62" i="203"/>
  <c r="D61" i="203"/>
  <c r="D55" i="203"/>
  <c r="D56" i="203" s="1"/>
  <c r="D57" i="203" s="1"/>
  <c r="D58" i="203" s="1"/>
  <c r="D51" i="203"/>
  <c r="D52" i="203" s="1"/>
  <c r="D46" i="203"/>
  <c r="D47" i="203" s="1"/>
  <c r="D48" i="203" s="1"/>
  <c r="D42" i="203"/>
  <c r="D41" i="203"/>
  <c r="D36" i="203"/>
  <c r="D37" i="203" s="1"/>
  <c r="D38" i="203" s="1"/>
  <c r="D35" i="203"/>
  <c r="D30" i="203"/>
  <c r="D31" i="203" s="1"/>
  <c r="D26" i="203"/>
  <c r="D27" i="203" s="1"/>
  <c r="D22" i="203"/>
  <c r="D21" i="203"/>
  <c r="D16" i="203"/>
  <c r="D17" i="203" s="1"/>
  <c r="D18" i="203" s="1"/>
  <c r="D252" i="202"/>
  <c r="D253" i="202" s="1"/>
  <c r="D254" i="202" s="1"/>
  <c r="D379" i="202"/>
  <c r="D380" i="202" s="1"/>
  <c r="D381" i="202" s="1"/>
  <c r="D382" i="202" s="1"/>
  <c r="D383" i="202" s="1"/>
  <c r="D442" i="202"/>
  <c r="D567" i="202"/>
  <c r="D568" i="202" s="1"/>
  <c r="D612" i="202"/>
  <c r="D613" i="202" s="1"/>
  <c r="D609" i="202"/>
  <c r="D608" i="202"/>
  <c r="D604" i="202"/>
  <c r="D605" i="202" s="1"/>
  <c r="D601" i="202"/>
  <c r="D600" i="202"/>
  <c r="D597" i="202"/>
  <c r="D596" i="202"/>
  <c r="D592" i="202"/>
  <c r="D593" i="202" s="1"/>
  <c r="D588" i="202"/>
  <c r="D589" i="202" s="1"/>
  <c r="D584" i="202"/>
  <c r="D585" i="202" s="1"/>
  <c r="D581" i="202"/>
  <c r="D580" i="202"/>
  <c r="D577" i="202"/>
  <c r="D576" i="202"/>
  <c r="D571" i="202"/>
  <c r="D572" i="202" s="1"/>
  <c r="D573" i="202" s="1"/>
  <c r="D565" i="202"/>
  <c r="D566" i="202" s="1"/>
  <c r="D559" i="202"/>
  <c r="D560" i="202" s="1"/>
  <c r="D561" i="202" s="1"/>
  <c r="D562" i="202" s="1"/>
  <c r="D556" i="202"/>
  <c r="D555" i="202"/>
  <c r="D549" i="202"/>
  <c r="D550" i="202" s="1"/>
  <c r="D551" i="202" s="1"/>
  <c r="D552" i="202" s="1"/>
  <c r="D544" i="202"/>
  <c r="D545" i="202" s="1"/>
  <c r="D546" i="202" s="1"/>
  <c r="D539" i="202"/>
  <c r="D540" i="202" s="1"/>
  <c r="D541" i="202" s="1"/>
  <c r="D535" i="202"/>
  <c r="D536" i="202" s="1"/>
  <c r="D531" i="202"/>
  <c r="D532" i="202" s="1"/>
  <c r="D530" i="202"/>
  <c r="D526" i="202"/>
  <c r="D527" i="202" s="1"/>
  <c r="D521" i="202"/>
  <c r="D522" i="202" s="1"/>
  <c r="D523" i="202" s="1"/>
  <c r="D518" i="202"/>
  <c r="D517" i="202"/>
  <c r="D513" i="202"/>
  <c r="D514" i="202" s="1"/>
  <c r="D508" i="202"/>
  <c r="D509" i="202" s="1"/>
  <c r="D510" i="202" s="1"/>
  <c r="D503" i="202"/>
  <c r="D504" i="202" s="1"/>
  <c r="D499" i="202"/>
  <c r="D500" i="202" s="1"/>
  <c r="D494" i="202"/>
  <c r="D495" i="202" s="1"/>
  <c r="D490" i="202"/>
  <c r="D489" i="202"/>
  <c r="D486" i="202"/>
  <c r="D485" i="202"/>
  <c r="D481" i="202"/>
  <c r="D482" i="202" s="1"/>
  <c r="D478" i="202"/>
  <c r="D477" i="202"/>
  <c r="D473" i="202"/>
  <c r="D474" i="202" s="1"/>
  <c r="D469" i="202"/>
  <c r="D470" i="202" s="1"/>
  <c r="D466" i="202"/>
  <c r="D465" i="202"/>
  <c r="D461" i="202"/>
  <c r="D462" i="202" s="1"/>
  <c r="D458" i="202"/>
  <c r="D457" i="202"/>
  <c r="D453" i="202"/>
  <c r="D454" i="202" s="1"/>
  <c r="D449" i="202"/>
  <c r="D450" i="202" s="1"/>
  <c r="D445" i="202"/>
  <c r="D446" i="202" s="1"/>
  <c r="D440" i="202"/>
  <c r="D441" i="202" s="1"/>
  <c r="D436" i="202"/>
  <c r="D437" i="202" s="1"/>
  <c r="D432" i="202"/>
  <c r="D433" i="202" s="1"/>
  <c r="D431" i="202"/>
  <c r="D427" i="202"/>
  <c r="D428" i="202" s="1"/>
  <c r="D424" i="202"/>
  <c r="D423" i="202"/>
  <c r="D419" i="202"/>
  <c r="D420" i="202" s="1"/>
  <c r="D415" i="202"/>
  <c r="D416" i="202" s="1"/>
  <c r="D411" i="202"/>
  <c r="D412" i="202" s="1"/>
  <c r="D407" i="202"/>
  <c r="D408" i="202" s="1"/>
  <c r="D403" i="202"/>
  <c r="D404" i="202" s="1"/>
  <c r="D399" i="202"/>
  <c r="D400" i="202" s="1"/>
  <c r="D398" i="202"/>
  <c r="D394" i="202"/>
  <c r="D395" i="202" s="1"/>
  <c r="D386" i="202"/>
  <c r="D387" i="202" s="1"/>
  <c r="D377" i="202"/>
  <c r="D378" i="202" s="1"/>
  <c r="D371" i="202"/>
  <c r="D372" i="202" s="1"/>
  <c r="D367" i="202"/>
  <c r="D366" i="202"/>
  <c r="D357" i="202"/>
  <c r="D358" i="202" s="1"/>
  <c r="D359" i="202" s="1"/>
  <c r="D360" i="202" s="1"/>
  <c r="D361" i="202" s="1"/>
  <c r="D362" i="202" s="1"/>
  <c r="D363" i="202" s="1"/>
  <c r="D352" i="202"/>
  <c r="D353" i="202" s="1"/>
  <c r="D347" i="202"/>
  <c r="D348" i="202" s="1"/>
  <c r="D349" i="202" s="1"/>
  <c r="D344" i="202"/>
  <c r="D343" i="202"/>
  <c r="D338" i="202"/>
  <c r="D339" i="202" s="1"/>
  <c r="D340" i="202" s="1"/>
  <c r="D335" i="202"/>
  <c r="D334" i="202"/>
  <c r="D329" i="202"/>
  <c r="D330" i="202" s="1"/>
  <c r="D331" i="202" s="1"/>
  <c r="D324" i="202"/>
  <c r="D325" i="202" s="1"/>
  <c r="D320" i="202"/>
  <c r="D321" i="202" s="1"/>
  <c r="D317" i="202"/>
  <c r="D316" i="202"/>
  <c r="D312" i="202"/>
  <c r="D313" i="202" s="1"/>
  <c r="D308" i="202"/>
  <c r="D309" i="202" s="1"/>
  <c r="D304" i="202"/>
  <c r="D305" i="202" s="1"/>
  <c r="D301" i="202"/>
  <c r="D300" i="202"/>
  <c r="D297" i="202"/>
  <c r="D296" i="202"/>
  <c r="D292" i="202"/>
  <c r="D293" i="202" s="1"/>
  <c r="D287" i="202"/>
  <c r="D288" i="202" s="1"/>
  <c r="D289" i="202" s="1"/>
  <c r="D283" i="202"/>
  <c r="D284" i="202" s="1"/>
  <c r="D280" i="202"/>
  <c r="D279" i="202"/>
  <c r="D275" i="202"/>
  <c r="D276" i="202" s="1"/>
  <c r="D271" i="202"/>
  <c r="D272" i="202" s="1"/>
  <c r="D267" i="202"/>
  <c r="D268" i="202" s="1"/>
  <c r="D263" i="202"/>
  <c r="D264" i="202" s="1"/>
  <c r="D257" i="202"/>
  <c r="D258" i="202" s="1"/>
  <c r="D259" i="202" s="1"/>
  <c r="D260" i="202" s="1"/>
  <c r="D250" i="202"/>
  <c r="D251" i="202" s="1"/>
  <c r="D243" i="202"/>
  <c r="D244" i="202" s="1"/>
  <c r="D239" i="202"/>
  <c r="D240" i="202" s="1"/>
  <c r="D235" i="202"/>
  <c r="D236" i="202" s="1"/>
  <c r="D234" i="202"/>
  <c r="D229" i="202"/>
  <c r="D230" i="202" s="1"/>
  <c r="D224" i="202"/>
  <c r="D225" i="202" s="1"/>
  <c r="D219" i="202"/>
  <c r="D220" i="202" s="1"/>
  <c r="D221" i="202" s="1"/>
  <c r="D214" i="202"/>
  <c r="D215" i="202" s="1"/>
  <c r="D216" i="202" s="1"/>
  <c r="D210" i="202"/>
  <c r="D211" i="202" s="1"/>
  <c r="D206" i="202"/>
  <c r="D207" i="202" s="1"/>
  <c r="D202" i="202"/>
  <c r="D203" i="202" s="1"/>
  <c r="D198" i="202"/>
  <c r="D197" i="202"/>
  <c r="D192" i="202"/>
  <c r="D193" i="202" s="1"/>
  <c r="D186" i="202"/>
  <c r="D187" i="202" s="1"/>
  <c r="D181" i="202"/>
  <c r="D182" i="202" s="1"/>
  <c r="D174" i="202"/>
  <c r="D173" i="202"/>
  <c r="D169" i="202"/>
  <c r="D170" i="202" s="1"/>
  <c r="D162" i="202"/>
  <c r="D161" i="202"/>
  <c r="D155" i="202"/>
  <c r="D156" i="202" s="1"/>
  <c r="D149" i="202"/>
  <c r="D150" i="202" s="1"/>
  <c r="D151" i="202" s="1"/>
  <c r="D152" i="202" s="1"/>
  <c r="D143" i="202"/>
  <c r="D142" i="202"/>
  <c r="D137" i="202"/>
  <c r="D138" i="202" s="1"/>
  <c r="D133" i="202"/>
  <c r="D134" i="202" s="1"/>
  <c r="D132" i="202"/>
  <c r="D126" i="202"/>
  <c r="D127" i="202" s="1"/>
  <c r="D120" i="202"/>
  <c r="D121" i="202" s="1"/>
  <c r="D115" i="202"/>
  <c r="D116" i="202" s="1"/>
  <c r="D117" i="202" s="1"/>
  <c r="D111" i="202"/>
  <c r="D112" i="202" s="1"/>
  <c r="D107" i="202"/>
  <c r="D108" i="202" s="1"/>
  <c r="D106" i="202"/>
  <c r="D103" i="202"/>
  <c r="D102" i="202"/>
  <c r="D98" i="202"/>
  <c r="D99" i="202" s="1"/>
  <c r="D93" i="202"/>
  <c r="D92" i="202"/>
  <c r="D87" i="202"/>
  <c r="D88" i="202" s="1"/>
  <c r="D82" i="202"/>
  <c r="D83" i="202" s="1"/>
  <c r="D78" i="202"/>
  <c r="D79" i="202" s="1"/>
  <c r="D73" i="202"/>
  <c r="D74" i="202" s="1"/>
  <c r="D68" i="202"/>
  <c r="D69" i="202" s="1"/>
  <c r="D64" i="202"/>
  <c r="D65" i="202" s="1"/>
  <c r="D60" i="202"/>
  <c r="D59" i="202"/>
  <c r="D55" i="202"/>
  <c r="D54" i="202"/>
  <c r="D46" i="202"/>
  <c r="D47" i="202" s="1"/>
  <c r="D39" i="202"/>
  <c r="D40" i="202" s="1"/>
  <c r="D32" i="202"/>
  <c r="D33" i="202" s="1"/>
  <c r="D26" i="202"/>
  <c r="D27" i="202" s="1"/>
  <c r="D21" i="202"/>
  <c r="D22" i="202" s="1"/>
  <c r="D18" i="202"/>
  <c r="D17" i="202"/>
  <c r="D205" i="201"/>
  <c r="D232" i="201"/>
  <c r="D231" i="201"/>
  <c r="D227" i="201"/>
  <c r="D228" i="201" s="1"/>
  <c r="D226" i="201"/>
  <c r="D223" i="201"/>
  <c r="D222" i="201"/>
  <c r="D217" i="201"/>
  <c r="D218" i="201" s="1"/>
  <c r="D219" i="201" s="1"/>
  <c r="D213" i="201"/>
  <c r="D214" i="201" s="1"/>
  <c r="D212" i="201"/>
  <c r="D208" i="201"/>
  <c r="D209" i="201" s="1"/>
  <c r="D203" i="201"/>
  <c r="D204" i="201" s="1"/>
  <c r="D195" i="201"/>
  <c r="D196" i="201" s="1"/>
  <c r="D194" i="201"/>
  <c r="D188" i="201"/>
  <c r="D189" i="201" s="1"/>
  <c r="D190" i="201" s="1"/>
  <c r="D191" i="201" s="1"/>
  <c r="D184" i="201"/>
  <c r="D185" i="201" s="1"/>
  <c r="D183" i="201"/>
  <c r="D178" i="201"/>
  <c r="D179" i="201" s="1"/>
  <c r="D180" i="201" s="1"/>
  <c r="D174" i="201"/>
  <c r="D175" i="201" s="1"/>
  <c r="D169" i="201"/>
  <c r="D170" i="201" s="1"/>
  <c r="D171" i="201" s="1"/>
  <c r="D165" i="201"/>
  <c r="D166" i="201" s="1"/>
  <c r="D161" i="201"/>
  <c r="D162" i="201" s="1"/>
  <c r="D157" i="201"/>
  <c r="D158" i="201" s="1"/>
  <c r="D153" i="201"/>
  <c r="D154" i="201" s="1"/>
  <c r="D149" i="201"/>
  <c r="D150" i="201" s="1"/>
  <c r="D145" i="201"/>
  <c r="D146" i="201" s="1"/>
  <c r="D141" i="201"/>
  <c r="D142" i="201" s="1"/>
  <c r="D137" i="201"/>
  <c r="D138" i="201" s="1"/>
  <c r="D131" i="201"/>
  <c r="D132" i="201" s="1"/>
  <c r="D133" i="201" s="1"/>
  <c r="D134" i="201" s="1"/>
  <c r="D127" i="201"/>
  <c r="D128" i="201" s="1"/>
  <c r="D123" i="201"/>
  <c r="D124" i="201" s="1"/>
  <c r="D118" i="201"/>
  <c r="D119" i="201" s="1"/>
  <c r="D120" i="201" s="1"/>
  <c r="D114" i="201"/>
  <c r="D115" i="201" s="1"/>
  <c r="D109" i="201"/>
  <c r="D110" i="201" s="1"/>
  <c r="D111" i="201" s="1"/>
  <c r="D104" i="201"/>
  <c r="D105" i="201" s="1"/>
  <c r="D106" i="201" s="1"/>
  <c r="D101" i="201"/>
  <c r="D100" i="201"/>
  <c r="D96" i="201"/>
  <c r="D97" i="201" s="1"/>
  <c r="D93" i="201"/>
  <c r="D92" i="201"/>
  <c r="D89" i="201"/>
  <c r="D88" i="201"/>
  <c r="D84" i="201"/>
  <c r="D85" i="201" s="1"/>
  <c r="D81" i="201"/>
  <c r="D80" i="201"/>
  <c r="D76" i="201"/>
  <c r="D77" i="201" s="1"/>
  <c r="D72" i="201"/>
  <c r="D73" i="201" s="1"/>
  <c r="D68" i="201"/>
  <c r="D69" i="201" s="1"/>
  <c r="D64" i="201"/>
  <c r="D65" i="201" s="1"/>
  <c r="D59" i="201"/>
  <c r="D60" i="201" s="1"/>
  <c r="D61" i="201" s="1"/>
  <c r="D55" i="201"/>
  <c r="D56" i="201" s="1"/>
  <c r="D51" i="201"/>
  <c r="D52" i="201" s="1"/>
  <c r="D47" i="201"/>
  <c r="D48" i="201" s="1"/>
  <c r="D44" i="201"/>
  <c r="D43" i="201"/>
  <c r="D39" i="201"/>
  <c r="D40" i="201" s="1"/>
  <c r="D36" i="201"/>
  <c r="D35" i="201"/>
  <c r="D30" i="201"/>
  <c r="D31" i="201" s="1"/>
  <c r="D32" i="201" s="1"/>
  <c r="D25" i="201"/>
  <c r="D26" i="201" s="1"/>
  <c r="D27" i="201" s="1"/>
  <c r="D21" i="201"/>
  <c r="D22" i="201" s="1"/>
  <c r="D17" i="201"/>
  <c r="D18" i="201" s="1"/>
  <c r="D440" i="200"/>
  <c r="D441" i="200" s="1"/>
  <c r="D442" i="200" s="1"/>
  <c r="D443" i="200" s="1"/>
  <c r="D444" i="200" s="1"/>
  <c r="D445" i="200" s="1"/>
  <c r="D446" i="200" s="1"/>
  <c r="D447" i="200" s="1"/>
  <c r="D448" i="200" s="1"/>
  <c r="D550" i="200"/>
  <c r="D551" i="200" s="1"/>
  <c r="D602" i="200"/>
  <c r="D603" i="200" s="1"/>
  <c r="D626" i="200"/>
  <c r="D627" i="200" s="1"/>
  <c r="D628" i="200" s="1"/>
  <c r="D629" i="200" s="1"/>
  <c r="D630" i="200" s="1"/>
  <c r="D631" i="200" s="1"/>
  <c r="D712" i="200"/>
  <c r="D732" i="200"/>
  <c r="D733" i="200" s="1"/>
  <c r="D734" i="200" s="1"/>
  <c r="D735" i="200" s="1"/>
  <c r="D813" i="200"/>
  <c r="D814" i="200" s="1"/>
  <c r="D815" i="200" s="1"/>
  <c r="D816" i="200" s="1"/>
  <c r="D858" i="200"/>
  <c r="D859" i="200" s="1"/>
  <c r="D875" i="200"/>
  <c r="D876" i="200" s="1"/>
  <c r="D872" i="200"/>
  <c r="D871" i="200"/>
  <c r="D867" i="200"/>
  <c r="D868" i="200" s="1"/>
  <c r="D862" i="200"/>
  <c r="D863" i="200" s="1"/>
  <c r="D854" i="200"/>
  <c r="D855" i="200" s="1"/>
  <c r="D853" i="200"/>
  <c r="D849" i="200"/>
  <c r="D850" i="200" s="1"/>
  <c r="D845" i="200"/>
  <c r="D846" i="200" s="1"/>
  <c r="D841" i="200"/>
  <c r="D842" i="200" s="1"/>
  <c r="D835" i="200"/>
  <c r="D836" i="200" s="1"/>
  <c r="D832" i="200"/>
  <c r="D831" i="200"/>
  <c r="D827" i="200"/>
  <c r="D828" i="200" s="1"/>
  <c r="D823" i="200"/>
  <c r="D824" i="200" s="1"/>
  <c r="D819" i="200"/>
  <c r="D820" i="200" s="1"/>
  <c r="D811" i="200"/>
  <c r="D812" i="200" s="1"/>
  <c r="D806" i="200"/>
  <c r="D807" i="200" s="1"/>
  <c r="D808" i="200" s="1"/>
  <c r="D800" i="200"/>
  <c r="D801" i="200" s="1"/>
  <c r="D802" i="200" s="1"/>
  <c r="D803" i="200" s="1"/>
  <c r="D795" i="200"/>
  <c r="D796" i="200" s="1"/>
  <c r="D797" i="200" s="1"/>
  <c r="D782" i="200"/>
  <c r="D781" i="200"/>
  <c r="D770" i="200"/>
  <c r="D771" i="200" s="1"/>
  <c r="D772" i="200" s="1"/>
  <c r="D773" i="200" s="1"/>
  <c r="D774" i="200" s="1"/>
  <c r="D775" i="200" s="1"/>
  <c r="D776" i="200" s="1"/>
  <c r="D777" i="200" s="1"/>
  <c r="D778" i="200" s="1"/>
  <c r="D762" i="200"/>
  <c r="D763" i="200" s="1"/>
  <c r="D764" i="200" s="1"/>
  <c r="D765" i="200" s="1"/>
  <c r="D766" i="200" s="1"/>
  <c r="D767" i="200" s="1"/>
  <c r="D761" i="200"/>
  <c r="D755" i="200"/>
  <c r="D756" i="200" s="1"/>
  <c r="D757" i="200" s="1"/>
  <c r="D758" i="200" s="1"/>
  <c r="D754" i="200"/>
  <c r="D747" i="200"/>
  <c r="D748" i="200" s="1"/>
  <c r="D749" i="200" s="1"/>
  <c r="D750" i="200" s="1"/>
  <c r="D751" i="200" s="1"/>
  <c r="D738" i="200"/>
  <c r="D739" i="200" s="1"/>
  <c r="D740" i="200" s="1"/>
  <c r="D741" i="200" s="1"/>
  <c r="D742" i="200" s="1"/>
  <c r="D743" i="200" s="1"/>
  <c r="D744" i="200" s="1"/>
  <c r="D730" i="200"/>
  <c r="D731" i="200" s="1"/>
  <c r="D721" i="200"/>
  <c r="D722" i="200" s="1"/>
  <c r="D723" i="200" s="1"/>
  <c r="D724" i="200" s="1"/>
  <c r="D725" i="200" s="1"/>
  <c r="D726" i="200" s="1"/>
  <c r="D727" i="200" s="1"/>
  <c r="D715" i="200"/>
  <c r="D716" i="200" s="1"/>
  <c r="D710" i="200"/>
  <c r="D711" i="200" s="1"/>
  <c r="D699" i="200"/>
  <c r="D698" i="200"/>
  <c r="D689" i="200"/>
  <c r="D690" i="200" s="1"/>
  <c r="D680" i="200"/>
  <c r="D681" i="200" s="1"/>
  <c r="D682" i="200" s="1"/>
  <c r="D683" i="200" s="1"/>
  <c r="D684" i="200" s="1"/>
  <c r="D685" i="200" s="1"/>
  <c r="D686" i="200" s="1"/>
  <c r="D670" i="200"/>
  <c r="D671" i="200" s="1"/>
  <c r="D672" i="200" s="1"/>
  <c r="D673" i="200" s="1"/>
  <c r="D674" i="200" s="1"/>
  <c r="D675" i="200" s="1"/>
  <c r="D676" i="200" s="1"/>
  <c r="D677" i="200" s="1"/>
  <c r="D669" i="200"/>
  <c r="D659" i="200"/>
  <c r="D660" i="200" s="1"/>
  <c r="D651" i="200"/>
  <c r="D652" i="200" s="1"/>
  <c r="D653" i="200" s="1"/>
  <c r="D654" i="200" s="1"/>
  <c r="D655" i="200" s="1"/>
  <c r="D656" i="200" s="1"/>
  <c r="D650" i="200"/>
  <c r="D644" i="200"/>
  <c r="D645" i="200" s="1"/>
  <c r="D646" i="200" s="1"/>
  <c r="D647" i="200" s="1"/>
  <c r="D643" i="200"/>
  <c r="D634" i="200"/>
  <c r="D635" i="200" s="1"/>
  <c r="D624" i="200"/>
  <c r="D625" i="200" s="1"/>
  <c r="D619" i="200"/>
  <c r="D620" i="200" s="1"/>
  <c r="D621" i="200" s="1"/>
  <c r="D614" i="200"/>
  <c r="D613" i="200"/>
  <c r="D606" i="200"/>
  <c r="D607" i="200" s="1"/>
  <c r="D608" i="200" s="1"/>
  <c r="D609" i="200" s="1"/>
  <c r="D610" i="200" s="1"/>
  <c r="D600" i="200"/>
  <c r="D601" i="200" s="1"/>
  <c r="D595" i="200"/>
  <c r="D594" i="200"/>
  <c r="D587" i="200"/>
  <c r="D588" i="200" s="1"/>
  <c r="D581" i="200"/>
  <c r="D582" i="200" s="1"/>
  <c r="D576" i="200"/>
  <c r="D577" i="200" s="1"/>
  <c r="D569" i="200"/>
  <c r="D568" i="200"/>
  <c r="D563" i="200"/>
  <c r="D564" i="200" s="1"/>
  <c r="D554" i="200"/>
  <c r="D555" i="200" s="1"/>
  <c r="D548" i="200"/>
  <c r="D549" i="200" s="1"/>
  <c r="D542" i="200"/>
  <c r="D543" i="200" s="1"/>
  <c r="D538" i="200"/>
  <c r="D539" i="200" s="1"/>
  <c r="D537" i="200"/>
  <c r="D532" i="200"/>
  <c r="D533" i="200" s="1"/>
  <c r="D524" i="200"/>
  <c r="D525" i="200" s="1"/>
  <c r="D519" i="200"/>
  <c r="D520" i="200" s="1"/>
  <c r="D513" i="200"/>
  <c r="D514" i="200" s="1"/>
  <c r="D509" i="200"/>
  <c r="D510" i="200" s="1"/>
  <c r="D504" i="200"/>
  <c r="D505" i="200" s="1"/>
  <c r="D500" i="200"/>
  <c r="D501" i="200" s="1"/>
  <c r="D496" i="200"/>
  <c r="D495" i="200"/>
  <c r="D490" i="200"/>
  <c r="D491" i="200" s="1"/>
  <c r="D484" i="200"/>
  <c r="D485" i="200" s="1"/>
  <c r="D478" i="200"/>
  <c r="D479" i="200" s="1"/>
  <c r="D480" i="200" s="1"/>
  <c r="D481" i="200" s="1"/>
  <c r="D477" i="200"/>
  <c r="D468" i="200"/>
  <c r="D469" i="200" s="1"/>
  <c r="D459" i="200"/>
  <c r="D460" i="200" s="1"/>
  <c r="D452" i="200"/>
  <c r="D451" i="200"/>
  <c r="D438" i="200"/>
  <c r="D439" i="200" s="1"/>
  <c r="D431" i="200"/>
  <c r="D432" i="200" s="1"/>
  <c r="D422" i="200"/>
  <c r="D421" i="200"/>
  <c r="D413" i="200"/>
  <c r="D414" i="200" s="1"/>
  <c r="D405" i="200"/>
  <c r="D404" i="200"/>
  <c r="D398" i="200"/>
  <c r="D399" i="200" s="1"/>
  <c r="D400" i="200" s="1"/>
  <c r="D401" i="200" s="1"/>
  <c r="D387" i="200"/>
  <c r="D388" i="200" s="1"/>
  <c r="D376" i="200"/>
  <c r="D375" i="200"/>
  <c r="D367" i="200"/>
  <c r="D368" i="200" s="1"/>
  <c r="D360" i="200"/>
  <c r="D361" i="200" s="1"/>
  <c r="D353" i="200"/>
  <c r="D354" i="200" s="1"/>
  <c r="D345" i="200"/>
  <c r="D346" i="200" s="1"/>
  <c r="D337" i="200"/>
  <c r="D338" i="200" s="1"/>
  <c r="D331" i="200"/>
  <c r="D332" i="200" s="1"/>
  <c r="D333" i="200" s="1"/>
  <c r="D334" i="200" s="1"/>
  <c r="D323" i="200"/>
  <c r="D324" i="200" s="1"/>
  <c r="D317" i="200"/>
  <c r="D318" i="200" s="1"/>
  <c r="D311" i="200"/>
  <c r="D312" i="200" s="1"/>
  <c r="D300" i="200"/>
  <c r="D301" i="200" s="1"/>
  <c r="D296" i="200"/>
  <c r="D297" i="200" s="1"/>
  <c r="D289" i="200"/>
  <c r="D290" i="200" s="1"/>
  <c r="D285" i="200"/>
  <c r="D284" i="200"/>
  <c r="D280" i="200"/>
  <c r="D281" i="200" s="1"/>
  <c r="D274" i="200"/>
  <c r="D273" i="200"/>
  <c r="D269" i="200"/>
  <c r="D268" i="200"/>
  <c r="D264" i="200"/>
  <c r="D265" i="200" s="1"/>
  <c r="D260" i="200"/>
  <c r="D261" i="200" s="1"/>
  <c r="D256" i="200"/>
  <c r="D257" i="200" s="1"/>
  <c r="D252" i="200"/>
  <c r="D253" i="200" s="1"/>
  <c r="D248" i="200"/>
  <c r="D249" i="200" s="1"/>
  <c r="D245" i="200"/>
  <c r="D244" i="200"/>
  <c r="D240" i="200"/>
  <c r="D241" i="200" s="1"/>
  <c r="D235" i="200"/>
  <c r="D236" i="200" s="1"/>
  <c r="D231" i="200"/>
  <c r="D232" i="200" s="1"/>
  <c r="D225" i="200"/>
  <c r="D226" i="200" s="1"/>
  <c r="D221" i="200"/>
  <c r="D222" i="200" s="1"/>
  <c r="D217" i="200"/>
  <c r="D218" i="200" s="1"/>
  <c r="D213" i="200"/>
  <c r="D214" i="200" s="1"/>
  <c r="D205" i="200"/>
  <c r="D206" i="200" s="1"/>
  <c r="D201" i="200"/>
  <c r="D202" i="200" s="1"/>
  <c r="D195" i="200"/>
  <c r="D196" i="200" s="1"/>
  <c r="D186" i="200"/>
  <c r="D187" i="200" s="1"/>
  <c r="D179" i="200"/>
  <c r="D178" i="200"/>
  <c r="D171" i="200"/>
  <c r="D172" i="200" s="1"/>
  <c r="D158" i="200"/>
  <c r="D159" i="200" s="1"/>
  <c r="D148" i="200"/>
  <c r="D149" i="200" s="1"/>
  <c r="D141" i="200"/>
  <c r="D142" i="200" s="1"/>
  <c r="D127" i="200"/>
  <c r="D128" i="200" s="1"/>
  <c r="D119" i="200"/>
  <c r="D118" i="200"/>
  <c r="D112" i="200"/>
  <c r="D113" i="200" s="1"/>
  <c r="D105" i="200"/>
  <c r="D106" i="200" s="1"/>
  <c r="D96" i="200"/>
  <c r="D97" i="200" s="1"/>
  <c r="D90" i="200"/>
  <c r="D91" i="200" s="1"/>
  <c r="D85" i="200"/>
  <c r="D84" i="200"/>
  <c r="D77" i="200"/>
  <c r="D78" i="200" s="1"/>
  <c r="D70" i="200"/>
  <c r="D71" i="200" s="1"/>
  <c r="D63" i="200"/>
  <c r="D64" i="200" s="1"/>
  <c r="D58" i="200"/>
  <c r="D59" i="200" s="1"/>
  <c r="D55" i="200"/>
  <c r="D54" i="200"/>
  <c r="D48" i="200"/>
  <c r="D49" i="200" s="1"/>
  <c r="D44" i="200"/>
  <c r="D45" i="200" s="1"/>
  <c r="D39" i="200"/>
  <c r="D40" i="200" s="1"/>
  <c r="D32" i="200"/>
  <c r="D33" i="200" s="1"/>
  <c r="D24" i="200"/>
  <c r="D25" i="200" s="1"/>
  <c r="D17" i="200"/>
  <c r="D18" i="200" s="1"/>
  <c r="D371" i="199"/>
  <c r="D372" i="199" s="1"/>
  <c r="D373" i="199" s="1"/>
  <c r="D378" i="199"/>
  <c r="D379" i="199" s="1"/>
  <c r="D380" i="199" s="1"/>
  <c r="D415" i="199"/>
  <c r="D416" i="199" s="1"/>
  <c r="D417" i="199" s="1"/>
  <c r="D422" i="199"/>
  <c r="D423" i="199" s="1"/>
  <c r="D424" i="199" s="1"/>
  <c r="D425" i="199" s="1"/>
  <c r="D426" i="199" s="1"/>
  <c r="D427" i="199" s="1"/>
  <c r="D428" i="199" s="1"/>
  <c r="D535" i="199"/>
  <c r="D536" i="199" s="1"/>
  <c r="D537" i="199" s="1"/>
  <c r="D538" i="199" s="1"/>
  <c r="D555" i="199"/>
  <c r="D561" i="199"/>
  <c r="D562" i="199" s="1"/>
  <c r="D563" i="199" s="1"/>
  <c r="D564" i="199" s="1"/>
  <c r="D575" i="199"/>
  <c r="D576" i="199" s="1"/>
  <c r="D577" i="199" s="1"/>
  <c r="D578" i="199" s="1"/>
  <c r="D579" i="199" s="1"/>
  <c r="D619" i="199"/>
  <c r="D620" i="199" s="1"/>
  <c r="D616" i="199"/>
  <c r="D615" i="199"/>
  <c r="D611" i="199"/>
  <c r="D612" i="199" s="1"/>
  <c r="D608" i="199"/>
  <c r="D607" i="199"/>
  <c r="D603" i="199"/>
  <c r="D604" i="199" s="1"/>
  <c r="D599" i="199"/>
  <c r="D600" i="199" s="1"/>
  <c r="D596" i="199"/>
  <c r="D595" i="199"/>
  <c r="D591" i="199"/>
  <c r="D592" i="199" s="1"/>
  <c r="D582" i="199"/>
  <c r="D583" i="199" s="1"/>
  <c r="D584" i="199" s="1"/>
  <c r="D585" i="199" s="1"/>
  <c r="D586" i="199" s="1"/>
  <c r="D587" i="199" s="1"/>
  <c r="D588" i="199" s="1"/>
  <c r="D573" i="199"/>
  <c r="D574" i="199" s="1"/>
  <c r="D568" i="199"/>
  <c r="D569" i="199" s="1"/>
  <c r="D570" i="199" s="1"/>
  <c r="D567" i="199"/>
  <c r="D558" i="199"/>
  <c r="D559" i="199" s="1"/>
  <c r="D560" i="199" s="1"/>
  <c r="D552" i="199"/>
  <c r="D553" i="199" s="1"/>
  <c r="D554" i="199" s="1"/>
  <c r="D546" i="199"/>
  <c r="D547" i="199" s="1"/>
  <c r="D548" i="199" s="1"/>
  <c r="D549" i="199" s="1"/>
  <c r="D541" i="199"/>
  <c r="D542" i="199" s="1"/>
  <c r="D543" i="199" s="1"/>
  <c r="D533" i="199"/>
  <c r="D534" i="199" s="1"/>
  <c r="D526" i="199"/>
  <c r="D527" i="199" s="1"/>
  <c r="D522" i="199"/>
  <c r="D521" i="199"/>
  <c r="D514" i="199"/>
  <c r="D515" i="199" s="1"/>
  <c r="D516" i="199" s="1"/>
  <c r="D517" i="199" s="1"/>
  <c r="D518" i="199" s="1"/>
  <c r="D513" i="199"/>
  <c r="D506" i="199"/>
  <c r="D507" i="199" s="1"/>
  <c r="D500" i="199"/>
  <c r="D501" i="199" s="1"/>
  <c r="D494" i="199"/>
  <c r="D495" i="199" s="1"/>
  <c r="D496" i="199" s="1"/>
  <c r="D497" i="199" s="1"/>
  <c r="D491" i="199"/>
  <c r="D490" i="199"/>
  <c r="D485" i="199"/>
  <c r="D486" i="199" s="1"/>
  <c r="D479" i="199"/>
  <c r="D480" i="199" s="1"/>
  <c r="D474" i="199"/>
  <c r="D475" i="199" s="1"/>
  <c r="D476" i="199" s="1"/>
  <c r="D468" i="199"/>
  <c r="D469" i="199" s="1"/>
  <c r="D464" i="199"/>
  <c r="D465" i="199" s="1"/>
  <c r="D460" i="199"/>
  <c r="D461" i="199" s="1"/>
  <c r="D459" i="199"/>
  <c r="D455" i="199"/>
  <c r="D456" i="199" s="1"/>
  <c r="D451" i="199"/>
  <c r="D452" i="199" s="1"/>
  <c r="D447" i="199"/>
  <c r="D448" i="199" s="1"/>
  <c r="D444" i="199"/>
  <c r="D443" i="199"/>
  <c r="D439" i="199"/>
  <c r="D440" i="199" s="1"/>
  <c r="D435" i="199"/>
  <c r="D436" i="199" s="1"/>
  <c r="D431" i="199"/>
  <c r="D432" i="199" s="1"/>
  <c r="D420" i="199"/>
  <c r="D421" i="199" s="1"/>
  <c r="D410" i="199"/>
  <c r="D411" i="199" s="1"/>
  <c r="D412" i="199" s="1"/>
  <c r="D413" i="199" s="1"/>
  <c r="D414" i="199" s="1"/>
  <c r="D403" i="199"/>
  <c r="D404" i="199" s="1"/>
  <c r="D405" i="199" s="1"/>
  <c r="D406" i="199" s="1"/>
  <c r="D407" i="199" s="1"/>
  <c r="D395" i="199"/>
  <c r="D396" i="199" s="1"/>
  <c r="D384" i="199"/>
  <c r="D383" i="199"/>
  <c r="D376" i="199"/>
  <c r="D377" i="199" s="1"/>
  <c r="D369" i="199"/>
  <c r="D370" i="199" s="1"/>
  <c r="D364" i="199"/>
  <c r="D365" i="199" s="1"/>
  <c r="D361" i="199"/>
  <c r="D360" i="199"/>
  <c r="D354" i="199"/>
  <c r="D355" i="199" s="1"/>
  <c r="D349" i="199"/>
  <c r="D348" i="199"/>
  <c r="D341" i="199"/>
  <c r="D342" i="199" s="1"/>
  <c r="D336" i="199"/>
  <c r="D337" i="199" s="1"/>
  <c r="D338" i="199" s="1"/>
  <c r="D333" i="199"/>
  <c r="D332" i="199"/>
  <c r="D325" i="199"/>
  <c r="D326" i="199" s="1"/>
  <c r="D327" i="199" s="1"/>
  <c r="D328" i="199" s="1"/>
  <c r="D329" i="199" s="1"/>
  <c r="D322" i="199"/>
  <c r="D321" i="199"/>
  <c r="D318" i="199"/>
  <c r="D317" i="199"/>
  <c r="D310" i="199"/>
  <c r="D311" i="199" s="1"/>
  <c r="D304" i="199"/>
  <c r="D303" i="199"/>
  <c r="D297" i="199"/>
  <c r="D298" i="199" s="1"/>
  <c r="D294" i="199"/>
  <c r="D293" i="199"/>
  <c r="D289" i="199"/>
  <c r="D288" i="199"/>
  <c r="D284" i="199"/>
  <c r="D285" i="199" s="1"/>
  <c r="D279" i="199"/>
  <c r="D280" i="199" s="1"/>
  <c r="D281" i="199" s="1"/>
  <c r="D278" i="199"/>
  <c r="D272" i="199"/>
  <c r="D271" i="199"/>
  <c r="D265" i="199"/>
  <c r="D266" i="199" s="1"/>
  <c r="D267" i="199" s="1"/>
  <c r="D268" i="199" s="1"/>
  <c r="D260" i="199"/>
  <c r="D259" i="199"/>
  <c r="D252" i="199"/>
  <c r="D253" i="199" s="1"/>
  <c r="D243" i="199"/>
  <c r="D244" i="199" s="1"/>
  <c r="D235" i="199"/>
  <c r="D236" i="199" s="1"/>
  <c r="D228" i="199"/>
  <c r="D227" i="199"/>
  <c r="D219" i="199"/>
  <c r="D220" i="199" s="1"/>
  <c r="D221" i="199" s="1"/>
  <c r="D222" i="199" s="1"/>
  <c r="D223" i="199" s="1"/>
  <c r="D224" i="199" s="1"/>
  <c r="D213" i="199"/>
  <c r="D214" i="199" s="1"/>
  <c r="D204" i="199"/>
  <c r="D205" i="199" s="1"/>
  <c r="D206" i="199" s="1"/>
  <c r="D207" i="199" s="1"/>
  <c r="D208" i="199" s="1"/>
  <c r="D209" i="199" s="1"/>
  <c r="D210" i="199" s="1"/>
  <c r="D198" i="199"/>
  <c r="D197" i="199"/>
  <c r="D190" i="199"/>
  <c r="D191" i="199" s="1"/>
  <c r="D181" i="199"/>
  <c r="D182" i="199" s="1"/>
  <c r="D178" i="199"/>
  <c r="D177" i="199"/>
  <c r="D172" i="199"/>
  <c r="D173" i="199" s="1"/>
  <c r="D165" i="199"/>
  <c r="D164" i="199"/>
  <c r="D160" i="199"/>
  <c r="D159" i="199"/>
  <c r="D155" i="199"/>
  <c r="D156" i="199" s="1"/>
  <c r="D149" i="199"/>
  <c r="D150" i="199" s="1"/>
  <c r="D144" i="199"/>
  <c r="D145" i="199" s="1"/>
  <c r="D146" i="199" s="1"/>
  <c r="D137" i="199"/>
  <c r="D138" i="199" s="1"/>
  <c r="D130" i="199"/>
  <c r="D131" i="199" s="1"/>
  <c r="D125" i="199"/>
  <c r="D124" i="199"/>
  <c r="D120" i="199"/>
  <c r="D119" i="199"/>
  <c r="D114" i="199"/>
  <c r="D115" i="199" s="1"/>
  <c r="D108" i="199"/>
  <c r="D109" i="199" s="1"/>
  <c r="D102" i="199"/>
  <c r="D103" i="199" s="1"/>
  <c r="D95" i="199"/>
  <c r="D96" i="199" s="1"/>
  <c r="D87" i="199"/>
  <c r="D88" i="199" s="1"/>
  <c r="D81" i="199"/>
  <c r="D82" i="199" s="1"/>
  <c r="D78" i="199"/>
  <c r="D77" i="199"/>
  <c r="D73" i="199"/>
  <c r="D74" i="199" s="1"/>
  <c r="D66" i="199"/>
  <c r="D67" i="199" s="1"/>
  <c r="D61" i="199"/>
  <c r="D62" i="199" s="1"/>
  <c r="D57" i="199"/>
  <c r="D56" i="199"/>
  <c r="D52" i="199"/>
  <c r="D51" i="199"/>
  <c r="D44" i="199"/>
  <c r="D45" i="199" s="1"/>
  <c r="D38" i="199"/>
  <c r="D37" i="199"/>
  <c r="D29" i="199"/>
  <c r="D30" i="199" s="1"/>
  <c r="D23" i="199"/>
  <c r="D24" i="199" s="1"/>
  <c r="D17" i="199"/>
  <c r="D18" i="199" s="1"/>
  <c r="D66" i="198"/>
  <c r="D195" i="198"/>
  <c r="D196" i="198" s="1"/>
  <c r="D197" i="198" s="1"/>
  <c r="D191" i="198"/>
  <c r="D192" i="198" s="1"/>
  <c r="D187" i="198"/>
  <c r="D188" i="198" s="1"/>
  <c r="D184" i="198"/>
  <c r="D183" i="198"/>
  <c r="D180" i="198"/>
  <c r="D179" i="198"/>
  <c r="D174" i="198"/>
  <c r="D175" i="198" s="1"/>
  <c r="D176" i="198" s="1"/>
  <c r="D169" i="198"/>
  <c r="D170" i="198" s="1"/>
  <c r="D171" i="198" s="1"/>
  <c r="D165" i="198"/>
  <c r="D166" i="198" s="1"/>
  <c r="D161" i="198"/>
  <c r="D162" i="198" s="1"/>
  <c r="D157" i="198"/>
  <c r="D158" i="198" s="1"/>
  <c r="D154" i="198"/>
  <c r="D153" i="198"/>
  <c r="D148" i="198"/>
  <c r="D149" i="198" s="1"/>
  <c r="D150" i="198" s="1"/>
  <c r="D143" i="198"/>
  <c r="D144" i="198" s="1"/>
  <c r="D145" i="198" s="1"/>
  <c r="D138" i="198"/>
  <c r="D139" i="198" s="1"/>
  <c r="D140" i="198" s="1"/>
  <c r="D133" i="198"/>
  <c r="D134" i="198" s="1"/>
  <c r="D135" i="198" s="1"/>
  <c r="D129" i="198"/>
  <c r="D130" i="198" s="1"/>
  <c r="D125" i="198"/>
  <c r="D126" i="198" s="1"/>
  <c r="D120" i="198"/>
  <c r="D121" i="198" s="1"/>
  <c r="D122" i="198" s="1"/>
  <c r="D116" i="198"/>
  <c r="D117" i="198" s="1"/>
  <c r="D115" i="198"/>
  <c r="D112" i="198"/>
  <c r="D111" i="198"/>
  <c r="D107" i="198"/>
  <c r="D108" i="198" s="1"/>
  <c r="D104" i="198"/>
  <c r="D103" i="198"/>
  <c r="D98" i="198"/>
  <c r="D99" i="198" s="1"/>
  <c r="D100" i="198" s="1"/>
  <c r="D94" i="198"/>
  <c r="D95" i="198" s="1"/>
  <c r="D90" i="198"/>
  <c r="D91" i="198" s="1"/>
  <c r="D86" i="198"/>
  <c r="D87" i="198" s="1"/>
  <c r="D82" i="198"/>
  <c r="D83" i="198" s="1"/>
  <c r="D78" i="198"/>
  <c r="D79" i="198" s="1"/>
  <c r="D74" i="198"/>
  <c r="D75" i="198" s="1"/>
  <c r="D70" i="198"/>
  <c r="D71" i="198" s="1"/>
  <c r="D69" i="198"/>
  <c r="D64" i="198"/>
  <c r="D65" i="198" s="1"/>
  <c r="D60" i="198"/>
  <c r="D61" i="198" s="1"/>
  <c r="D59" i="198"/>
  <c r="D55" i="198"/>
  <c r="D56" i="198" s="1"/>
  <c r="D51" i="198"/>
  <c r="D52" i="198" s="1"/>
  <c r="D50" i="198"/>
  <c r="D45" i="198"/>
  <c r="D46" i="198" s="1"/>
  <c r="D47" i="198" s="1"/>
  <c r="D42" i="198"/>
  <c r="D41" i="198"/>
  <c r="D37" i="198"/>
  <c r="D38" i="198" s="1"/>
  <c r="D33" i="198"/>
  <c r="D34" i="198" s="1"/>
  <c r="D29" i="198"/>
  <c r="D30" i="198" s="1"/>
  <c r="D26" i="198"/>
  <c r="D25" i="198"/>
  <c r="D21" i="198"/>
  <c r="D20" i="198"/>
  <c r="D16" i="198"/>
  <c r="D17" i="198" s="1"/>
  <c r="D112" i="197"/>
  <c r="D412" i="197"/>
  <c r="D413" i="197" s="1"/>
  <c r="D414" i="197" s="1"/>
  <c r="D467" i="197"/>
  <c r="D511" i="197"/>
  <c r="D512" i="197" s="1"/>
  <c r="D609" i="197"/>
  <c r="D646" i="197"/>
  <c r="D647" i="197" s="1"/>
  <c r="D648" i="197" s="1"/>
  <c r="D649" i="197" s="1"/>
  <c r="D650" i="197" s="1"/>
  <c r="D640" i="197"/>
  <c r="D641" i="197" s="1"/>
  <c r="D635" i="197"/>
  <c r="D636" i="197" s="1"/>
  <c r="D637" i="197" s="1"/>
  <c r="D634" i="197"/>
  <c r="D629" i="197"/>
  <c r="D630" i="197" s="1"/>
  <c r="D631" i="197" s="1"/>
  <c r="D625" i="197"/>
  <c r="D626" i="197" s="1"/>
  <c r="D612" i="197"/>
  <c r="D613" i="197" s="1"/>
  <c r="D614" i="197" s="1"/>
  <c r="D615" i="197" s="1"/>
  <c r="D616" i="197" s="1"/>
  <c r="D607" i="197"/>
  <c r="D608" i="197" s="1"/>
  <c r="D602" i="197"/>
  <c r="D603" i="197" s="1"/>
  <c r="D604" i="197" s="1"/>
  <c r="D598" i="197"/>
  <c r="D599" i="197" s="1"/>
  <c r="D590" i="197"/>
  <c r="D591" i="197" s="1"/>
  <c r="D592" i="197" s="1"/>
  <c r="D593" i="197" s="1"/>
  <c r="D594" i="197" s="1"/>
  <c r="D595" i="197" s="1"/>
  <c r="D586" i="197"/>
  <c r="D587" i="197" s="1"/>
  <c r="D585" i="197"/>
  <c r="D580" i="197"/>
  <c r="D581" i="197" s="1"/>
  <c r="D576" i="197"/>
  <c r="D577" i="197" s="1"/>
  <c r="D575" i="197"/>
  <c r="D571" i="197"/>
  <c r="D572" i="197" s="1"/>
  <c r="D566" i="197"/>
  <c r="D567" i="197" s="1"/>
  <c r="D568" i="197" s="1"/>
  <c r="D562" i="197"/>
  <c r="D563" i="197" s="1"/>
  <c r="D555" i="197"/>
  <c r="D556" i="197" s="1"/>
  <c r="D557" i="197" s="1"/>
  <c r="D558" i="197" s="1"/>
  <c r="D559" i="197" s="1"/>
  <c r="D552" i="197"/>
  <c r="D551" i="197"/>
  <c r="D547" i="197"/>
  <c r="D548" i="197" s="1"/>
  <c r="D546" i="197"/>
  <c r="D539" i="197"/>
  <c r="D540" i="197" s="1"/>
  <c r="D534" i="197"/>
  <c r="D535" i="197" s="1"/>
  <c r="D536" i="197" s="1"/>
  <c r="D533" i="197"/>
  <c r="D527" i="197"/>
  <c r="D528" i="197" s="1"/>
  <c r="D529" i="197" s="1"/>
  <c r="D530" i="197" s="1"/>
  <c r="D526" i="197"/>
  <c r="D520" i="197"/>
  <c r="D521" i="197" s="1"/>
  <c r="D522" i="197" s="1"/>
  <c r="D523" i="197" s="1"/>
  <c r="D515" i="197"/>
  <c r="D516" i="197" s="1"/>
  <c r="D509" i="197"/>
  <c r="D510" i="197" s="1"/>
  <c r="D503" i="197"/>
  <c r="D504" i="197" s="1"/>
  <c r="D505" i="197" s="1"/>
  <c r="D506" i="197" s="1"/>
  <c r="D499" i="197"/>
  <c r="D500" i="197" s="1"/>
  <c r="D495" i="197"/>
  <c r="D496" i="197" s="1"/>
  <c r="D491" i="197"/>
  <c r="D492" i="197" s="1"/>
  <c r="D490" i="197"/>
  <c r="D487" i="197"/>
  <c r="D486" i="197"/>
  <c r="D480" i="197"/>
  <c r="D481" i="197" s="1"/>
  <c r="D474" i="197"/>
  <c r="D475" i="197" s="1"/>
  <c r="D476" i="197" s="1"/>
  <c r="D477" i="197" s="1"/>
  <c r="D470" i="197"/>
  <c r="D471" i="197" s="1"/>
  <c r="D464" i="197"/>
  <c r="D465" i="197" s="1"/>
  <c r="D466" i="197" s="1"/>
  <c r="D460" i="197"/>
  <c r="D461" i="197" s="1"/>
  <c r="D455" i="197"/>
  <c r="D456" i="197" s="1"/>
  <c r="D457" i="197" s="1"/>
  <c r="D450" i="197"/>
  <c r="D451" i="197" s="1"/>
  <c r="D452" i="197" s="1"/>
  <c r="D446" i="197"/>
  <c r="D447" i="197" s="1"/>
  <c r="D441" i="197"/>
  <c r="D440" i="197"/>
  <c r="D436" i="197"/>
  <c r="D437" i="197" s="1"/>
  <c r="D430" i="197"/>
  <c r="D429" i="197"/>
  <c r="D423" i="197"/>
  <c r="D424" i="197" s="1"/>
  <c r="D425" i="197" s="1"/>
  <c r="D426" i="197" s="1"/>
  <c r="D418" i="197"/>
  <c r="D419" i="197" s="1"/>
  <c r="D420" i="197" s="1"/>
  <c r="D417" i="197"/>
  <c r="D410" i="197"/>
  <c r="D411" i="197" s="1"/>
  <c r="D401" i="197"/>
  <c r="D402" i="197" s="1"/>
  <c r="D395" i="197"/>
  <c r="D396" i="197" s="1"/>
  <c r="D397" i="197" s="1"/>
  <c r="D398" i="197" s="1"/>
  <c r="D390" i="197"/>
  <c r="D391" i="197" s="1"/>
  <c r="D392" i="197" s="1"/>
  <c r="D389" i="197"/>
  <c r="D383" i="197"/>
  <c r="D384" i="197" s="1"/>
  <c r="D385" i="197" s="1"/>
  <c r="D386" i="197" s="1"/>
  <c r="D382" i="197"/>
  <c r="D375" i="197"/>
  <c r="D376" i="197" s="1"/>
  <c r="D377" i="197" s="1"/>
  <c r="D378" i="197" s="1"/>
  <c r="D379" i="197" s="1"/>
  <c r="D369" i="197"/>
  <c r="D370" i="197" s="1"/>
  <c r="D364" i="197"/>
  <c r="D365" i="197" s="1"/>
  <c r="D366" i="197" s="1"/>
  <c r="D359" i="197"/>
  <c r="D360" i="197" s="1"/>
  <c r="D361" i="197" s="1"/>
  <c r="D353" i="197"/>
  <c r="D352" i="197"/>
  <c r="D346" i="197"/>
  <c r="D347" i="197" s="1"/>
  <c r="D348" i="197" s="1"/>
  <c r="D349" i="197" s="1"/>
  <c r="D340" i="197"/>
  <c r="D341" i="197" s="1"/>
  <c r="D342" i="197" s="1"/>
  <c r="D343" i="197" s="1"/>
  <c r="D333" i="197"/>
  <c r="D334" i="197" s="1"/>
  <c r="D335" i="197" s="1"/>
  <c r="D336" i="197" s="1"/>
  <c r="D337" i="197" s="1"/>
  <c r="D327" i="197"/>
  <c r="D328" i="197" s="1"/>
  <c r="D323" i="197"/>
  <c r="D324" i="197" s="1"/>
  <c r="D318" i="197"/>
  <c r="D319" i="197" s="1"/>
  <c r="D320" i="197" s="1"/>
  <c r="D317" i="197"/>
  <c r="D314" i="197"/>
  <c r="D313" i="197"/>
  <c r="D307" i="197"/>
  <c r="D308" i="197" s="1"/>
  <c r="D309" i="197" s="1"/>
  <c r="D310" i="197" s="1"/>
  <c r="D302" i="197"/>
  <c r="D301" i="197"/>
  <c r="D297" i="197"/>
  <c r="D298" i="197" s="1"/>
  <c r="D292" i="197"/>
  <c r="D293" i="197" s="1"/>
  <c r="D286" i="197"/>
  <c r="D287" i="197" s="1"/>
  <c r="D288" i="197" s="1"/>
  <c r="D289" i="197" s="1"/>
  <c r="D281" i="197"/>
  <c r="D282" i="197" s="1"/>
  <c r="D277" i="197"/>
  <c r="D278" i="197" s="1"/>
  <c r="D276" i="197"/>
  <c r="D270" i="197"/>
  <c r="D271" i="197" s="1"/>
  <c r="D264" i="197"/>
  <c r="D265" i="197" s="1"/>
  <c r="D266" i="197" s="1"/>
  <c r="D267" i="197" s="1"/>
  <c r="D260" i="197"/>
  <c r="D261" i="197" s="1"/>
  <c r="D255" i="197"/>
  <c r="D256" i="197" s="1"/>
  <c r="D257" i="197" s="1"/>
  <c r="D251" i="197"/>
  <c r="D252" i="197" s="1"/>
  <c r="D247" i="197"/>
  <c r="D248" i="197" s="1"/>
  <c r="D243" i="197"/>
  <c r="D244" i="197" s="1"/>
  <c r="D242" i="197"/>
  <c r="D237" i="197"/>
  <c r="D238" i="197" s="1"/>
  <c r="D231" i="197"/>
  <c r="D232" i="197" s="1"/>
  <c r="D233" i="197" s="1"/>
  <c r="D234" i="197" s="1"/>
  <c r="D227" i="197"/>
  <c r="D228" i="197" s="1"/>
  <c r="D220" i="197"/>
  <c r="D221" i="197" s="1"/>
  <c r="D222" i="197" s="1"/>
  <c r="D223" i="197" s="1"/>
  <c r="D224" i="197" s="1"/>
  <c r="D216" i="197"/>
  <c r="D217" i="197" s="1"/>
  <c r="D212" i="197"/>
  <c r="D213" i="197" s="1"/>
  <c r="D211" i="197"/>
  <c r="D205" i="197"/>
  <c r="D206" i="197" s="1"/>
  <c r="D207" i="197" s="1"/>
  <c r="D208" i="197" s="1"/>
  <c r="D200" i="197"/>
  <c r="D201" i="197" s="1"/>
  <c r="D195" i="197"/>
  <c r="D196" i="197" s="1"/>
  <c r="D191" i="197"/>
  <c r="D190" i="197"/>
  <c r="D186" i="197"/>
  <c r="D187" i="197" s="1"/>
  <c r="D182" i="197"/>
  <c r="D183" i="197" s="1"/>
  <c r="D177" i="197"/>
  <c r="D178" i="197" s="1"/>
  <c r="D179" i="197" s="1"/>
  <c r="D172" i="197"/>
  <c r="D173" i="197" s="1"/>
  <c r="D164" i="197"/>
  <c r="D165" i="197" s="1"/>
  <c r="D157" i="197"/>
  <c r="D158" i="197" s="1"/>
  <c r="D150" i="197"/>
  <c r="D151" i="197" s="1"/>
  <c r="D143" i="197"/>
  <c r="D144" i="197" s="1"/>
  <c r="D138" i="197"/>
  <c r="D139" i="197" s="1"/>
  <c r="D140" i="197" s="1"/>
  <c r="D133" i="197"/>
  <c r="D134" i="197" s="1"/>
  <c r="D129" i="197"/>
  <c r="D130" i="197" s="1"/>
  <c r="D124" i="197"/>
  <c r="D123" i="197"/>
  <c r="D115" i="197"/>
  <c r="D116" i="197" s="1"/>
  <c r="D110" i="197"/>
  <c r="D111" i="197" s="1"/>
  <c r="D106" i="197"/>
  <c r="D105" i="197"/>
  <c r="D99" i="197"/>
  <c r="D100" i="197" s="1"/>
  <c r="D94" i="197"/>
  <c r="D95" i="197" s="1"/>
  <c r="D88" i="197"/>
  <c r="D89" i="197" s="1"/>
  <c r="D85" i="197"/>
  <c r="D84" i="197"/>
  <c r="D80" i="197"/>
  <c r="D81" i="197" s="1"/>
  <c r="D75" i="197"/>
  <c r="D76" i="197" s="1"/>
  <c r="D71" i="197"/>
  <c r="D72" i="197" s="1"/>
  <c r="D65" i="197"/>
  <c r="D66" i="197" s="1"/>
  <c r="D60" i="197"/>
  <c r="D61" i="197" s="1"/>
  <c r="D54" i="197"/>
  <c r="D55" i="197" s="1"/>
  <c r="D49" i="197"/>
  <c r="D50" i="197" s="1"/>
  <c r="D42" i="197"/>
  <c r="D43" i="197" s="1"/>
  <c r="D37" i="197"/>
  <c r="D38" i="197" s="1"/>
  <c r="D31" i="197"/>
  <c r="D32" i="197" s="1"/>
  <c r="D24" i="197"/>
  <c r="D25" i="197" s="1"/>
  <c r="D17" i="197"/>
  <c r="D18" i="197" s="1"/>
  <c r="D116" i="3"/>
  <c r="D117" i="3" s="1"/>
  <c r="D178" i="3"/>
  <c r="D253" i="3"/>
  <c r="D254" i="3" s="1"/>
  <c r="D255" i="3" s="1"/>
  <c r="D256" i="3" s="1"/>
  <c r="D279" i="3"/>
  <c r="D409" i="3"/>
  <c r="D410" i="3" s="1"/>
  <c r="D424" i="3"/>
  <c r="D425" i="3" s="1"/>
  <c r="D437" i="3"/>
  <c r="D438" i="3" s="1"/>
  <c r="D441" i="3"/>
  <c r="D442" i="3" s="1"/>
  <c r="D432" i="3"/>
  <c r="D433" i="3" s="1"/>
  <c r="D422" i="3"/>
  <c r="D423" i="3" s="1"/>
  <c r="D417" i="3"/>
  <c r="D418" i="3" s="1"/>
  <c r="D419" i="3" s="1"/>
  <c r="D413" i="3"/>
  <c r="D414" i="3" s="1"/>
  <c r="D407" i="3"/>
  <c r="D408" i="3" s="1"/>
  <c r="D402" i="3"/>
  <c r="D403" i="3" s="1"/>
  <c r="D397" i="3"/>
  <c r="D398" i="3" s="1"/>
  <c r="D399" i="3" s="1"/>
  <c r="D393" i="3"/>
  <c r="D394" i="3" s="1"/>
  <c r="D387" i="3"/>
  <c r="D388" i="3" s="1"/>
  <c r="D389" i="3" s="1"/>
  <c r="D390" i="3" s="1"/>
  <c r="D383" i="3"/>
  <c r="D384" i="3" s="1"/>
  <c r="D379" i="3"/>
  <c r="D380" i="3" s="1"/>
  <c r="D376" i="3"/>
  <c r="D375" i="3"/>
  <c r="D371" i="3"/>
  <c r="D372" i="3" s="1"/>
  <c r="D367" i="3"/>
  <c r="D368" i="3" s="1"/>
  <c r="D360" i="3"/>
  <c r="D361" i="3" s="1"/>
  <c r="D362" i="3" s="1"/>
  <c r="D363" i="3" s="1"/>
  <c r="D364" i="3" s="1"/>
  <c r="D356" i="3"/>
  <c r="D357" i="3" s="1"/>
  <c r="D353" i="3"/>
  <c r="D352" i="3"/>
  <c r="D347" i="3"/>
  <c r="D348" i="3" s="1"/>
  <c r="D344" i="3"/>
  <c r="D343" i="3"/>
  <c r="D340" i="3"/>
  <c r="D339" i="3"/>
  <c r="D335" i="3"/>
  <c r="D336" i="3" s="1"/>
  <c r="D331" i="3"/>
  <c r="D332" i="3" s="1"/>
  <c r="D327" i="3"/>
  <c r="D328" i="3" s="1"/>
  <c r="D323" i="3"/>
  <c r="D324" i="3" s="1"/>
  <c r="D320" i="3"/>
  <c r="D319" i="3"/>
  <c r="D315" i="3"/>
  <c r="D316" i="3" s="1"/>
  <c r="D312" i="3"/>
  <c r="D311" i="3"/>
  <c r="D307" i="3"/>
  <c r="D306" i="3"/>
  <c r="D300" i="3"/>
  <c r="D301" i="3" s="1"/>
  <c r="D296" i="3"/>
  <c r="D297" i="3" s="1"/>
  <c r="D291" i="3"/>
  <c r="D292" i="3" s="1"/>
  <c r="D287" i="3"/>
  <c r="D288" i="3" s="1"/>
  <c r="D286" i="3"/>
  <c r="D282" i="3"/>
  <c r="D283" i="3" s="1"/>
  <c r="D277" i="3"/>
  <c r="D278" i="3" s="1"/>
  <c r="D270" i="3"/>
  <c r="D271" i="3" s="1"/>
  <c r="D272" i="3" s="1"/>
  <c r="D273" i="3" s="1"/>
  <c r="D274" i="3" s="1"/>
  <c r="D264" i="3"/>
  <c r="D265" i="3" s="1"/>
  <c r="D266" i="3" s="1"/>
  <c r="D267" i="3" s="1"/>
  <c r="D259" i="3"/>
  <c r="D260" i="3" s="1"/>
  <c r="D251" i="3"/>
  <c r="D252" i="3" s="1"/>
  <c r="D243" i="3"/>
  <c r="D244" i="3" s="1"/>
  <c r="D245" i="3" s="1"/>
  <c r="D246" i="3" s="1"/>
  <c r="D247" i="3" s="1"/>
  <c r="D248" i="3" s="1"/>
  <c r="D239" i="3"/>
  <c r="D238" i="3"/>
  <c r="D232" i="3"/>
  <c r="D233" i="3" s="1"/>
  <c r="D227" i="3"/>
  <c r="D228" i="3" s="1"/>
  <c r="D229" i="3" s="1"/>
  <c r="D223" i="3"/>
  <c r="D224" i="3" s="1"/>
  <c r="D219" i="3"/>
  <c r="D220" i="3" s="1"/>
  <c r="D218" i="3"/>
  <c r="D214" i="3"/>
  <c r="D215" i="3" s="1"/>
  <c r="D210" i="3"/>
  <c r="D211" i="3" s="1"/>
  <c r="D206" i="3"/>
  <c r="D207" i="3" s="1"/>
  <c r="D202" i="3"/>
  <c r="D201" i="3"/>
  <c r="D197" i="3"/>
  <c r="D198" i="3" s="1"/>
  <c r="D193" i="3"/>
  <c r="D194" i="3" s="1"/>
  <c r="D189" i="3"/>
  <c r="D190" i="3" s="1"/>
  <c r="D185" i="3"/>
  <c r="D186" i="3" s="1"/>
  <c r="D181" i="3"/>
  <c r="D182" i="3" s="1"/>
  <c r="D176" i="3"/>
  <c r="D177" i="3" s="1"/>
  <c r="D173" i="3"/>
  <c r="D172" i="3"/>
  <c r="D168" i="3"/>
  <c r="D169" i="3" s="1"/>
  <c r="D164" i="3"/>
  <c r="D165" i="3" s="1"/>
  <c r="D159" i="3"/>
  <c r="D160" i="3" s="1"/>
  <c r="D155" i="3"/>
  <c r="D156" i="3" s="1"/>
  <c r="D151" i="3"/>
  <c r="D152" i="3" s="1"/>
  <c r="D146" i="3"/>
  <c r="D147" i="3" s="1"/>
  <c r="D148" i="3" s="1"/>
  <c r="D141" i="3"/>
  <c r="D142" i="3" s="1"/>
  <c r="D136" i="3"/>
  <c r="D137" i="3" s="1"/>
  <c r="D132" i="3"/>
  <c r="D133" i="3" s="1"/>
  <c r="D128" i="3"/>
  <c r="D129" i="3" s="1"/>
  <c r="D125" i="3"/>
  <c r="D124" i="3"/>
  <c r="D120" i="3"/>
  <c r="D121" i="3" s="1"/>
  <c r="D114" i="3"/>
  <c r="D115" i="3" s="1"/>
  <c r="D107" i="3"/>
  <c r="D108" i="3" s="1"/>
  <c r="D103" i="3"/>
  <c r="D104" i="3" s="1"/>
  <c r="D98" i="3"/>
  <c r="D99" i="3" s="1"/>
  <c r="D100" i="3" s="1"/>
  <c r="D94" i="3"/>
  <c r="D95" i="3" s="1"/>
  <c r="D87" i="3"/>
  <c r="D88" i="3" s="1"/>
  <c r="D84" i="3"/>
  <c r="D83" i="3"/>
  <c r="D79" i="3"/>
  <c r="D78" i="3"/>
  <c r="D72" i="3"/>
  <c r="D73" i="3" s="1"/>
  <c r="D74" i="3" s="1"/>
  <c r="D75" i="3" s="1"/>
  <c r="D68" i="3"/>
  <c r="D69" i="3" s="1"/>
  <c r="D62" i="3"/>
  <c r="D63" i="3" s="1"/>
  <c r="D64" i="3" s="1"/>
  <c r="D65" i="3" s="1"/>
  <c r="D56" i="3"/>
  <c r="D57" i="3" s="1"/>
  <c r="D52" i="3"/>
  <c r="D53" i="3" s="1"/>
  <c r="D51" i="3"/>
  <c r="D47" i="3"/>
  <c r="D48" i="3" s="1"/>
  <c r="D43" i="3"/>
  <c r="D44" i="3" s="1"/>
  <c r="D39" i="3"/>
  <c r="D40" i="3" s="1"/>
  <c r="D35" i="3"/>
  <c r="D36" i="3" s="1"/>
  <c r="D28" i="3"/>
  <c r="D29" i="3" s="1"/>
  <c r="D21" i="3"/>
  <c r="D22" i="3" s="1"/>
  <c r="D16" i="3"/>
  <c r="D17" i="3" s="1"/>
  <c r="D2132" i="2"/>
  <c r="D2157" i="2"/>
  <c r="D2158" i="2" s="1"/>
  <c r="D2153" i="2"/>
  <c r="D2154" i="2" s="1"/>
  <c r="D2149" i="2"/>
  <c r="D2150" i="2" s="1"/>
  <c r="D2145" i="2"/>
  <c r="D2146" i="2" s="1"/>
  <c r="D2139" i="2"/>
  <c r="D2140" i="2" s="1"/>
  <c r="D2141" i="2" s="1"/>
  <c r="D2129" i="2"/>
  <c r="D2130" i="2" s="1"/>
  <c r="D2131" i="2" s="1"/>
  <c r="D2122" i="2"/>
  <c r="D2123" i="2" s="1"/>
  <c r="D2124" i="2" s="1"/>
  <c r="D2125" i="2" s="1"/>
  <c r="D2126" i="2" s="1"/>
  <c r="D2119" i="2"/>
  <c r="D2118" i="2"/>
  <c r="D2114" i="2"/>
  <c r="D2115" i="2" s="1"/>
  <c r="D2113" i="2"/>
  <c r="D2108" i="2"/>
  <c r="D2109" i="2" s="1"/>
  <c r="D2110" i="2" s="1"/>
  <c r="D2100" i="2"/>
  <c r="D2101" i="2" s="1"/>
  <c r="D2083" i="2"/>
  <c r="D2082" i="2"/>
  <c r="D2079" i="2"/>
  <c r="D2078" i="2"/>
  <c r="D2073" i="2"/>
  <c r="D2074" i="2" s="1"/>
  <c r="D2075" i="2" s="1"/>
  <c r="D2070" i="2"/>
  <c r="D2069" i="2"/>
  <c r="D2065" i="2"/>
  <c r="D2066" i="2" s="1"/>
  <c r="D2046" i="2"/>
  <c r="D2047" i="2" s="1"/>
  <c r="D2048" i="2" s="1"/>
  <c r="D2049" i="2" s="1"/>
  <c r="D2050" i="2" s="1"/>
  <c r="D2051" i="2" s="1"/>
  <c r="D2052" i="2" s="1"/>
  <c r="D2053" i="2" s="1"/>
  <c r="D2054" i="2" s="1"/>
  <c r="D2055" i="2" s="1"/>
  <c r="D2056" i="2" s="1"/>
  <c r="D2057" i="2" s="1"/>
  <c r="D2058" i="2" s="1"/>
  <c r="D2059" i="2" s="1"/>
  <c r="D2060" i="2" s="1"/>
  <c r="D2061" i="2" s="1"/>
  <c r="D2062" i="2" s="1"/>
  <c r="D2013" i="2"/>
  <c r="D2014" i="2" s="1"/>
  <c r="D1918" i="2"/>
  <c r="D1919" i="2" s="1"/>
  <c r="D1920" i="2" s="1"/>
  <c r="D1921" i="2" s="1"/>
  <c r="D1922" i="2" s="1"/>
  <c r="D1923" i="2" s="1"/>
  <c r="D1924" i="2" s="1"/>
  <c r="D1925" i="2" s="1"/>
  <c r="D1926" i="2" s="1"/>
  <c r="D1927" i="2" s="1"/>
  <c r="D1928" i="2" s="1"/>
  <c r="D1929" i="2" s="1"/>
  <c r="D1856" i="2"/>
  <c r="D1857" i="2" s="1"/>
  <c r="D1816" i="2"/>
  <c r="D1817" i="2" s="1"/>
  <c r="D1818" i="2" s="1"/>
  <c r="D1819" i="2" s="1"/>
  <c r="D1820" i="2" s="1"/>
  <c r="D1821" i="2" s="1"/>
  <c r="D1822" i="2" s="1"/>
  <c r="D1823" i="2" s="1"/>
  <c r="D1824" i="2" s="1"/>
  <c r="D1766" i="2"/>
  <c r="D1767" i="2" s="1"/>
  <c r="D1768" i="2" s="1"/>
  <c r="D1769" i="2" s="1"/>
  <c r="D1770" i="2" s="1"/>
  <c r="D1771" i="2" s="1"/>
  <c r="D1772" i="2" s="1"/>
  <c r="D1773" i="2" s="1"/>
  <c r="D1774" i="2" s="1"/>
  <c r="D1775" i="2" s="1"/>
  <c r="D1776" i="2" s="1"/>
  <c r="D1777" i="2" s="1"/>
  <c r="D1778" i="2" s="1"/>
  <c r="D1779" i="2" s="1"/>
  <c r="D1780" i="2" s="1"/>
  <c r="D1781" i="2" s="1"/>
  <c r="D1782" i="2" s="1"/>
  <c r="D1783" i="2" s="1"/>
  <c r="D1784" i="2" s="1"/>
  <c r="D1785" i="2" s="1"/>
  <c r="D1748" i="2"/>
  <c r="D1749" i="2" s="1"/>
  <c r="D1726" i="2"/>
  <c r="D1727" i="2" s="1"/>
  <c r="D1675" i="2"/>
  <c r="D1676" i="2" s="1"/>
  <c r="D1657" i="2"/>
  <c r="D1658" i="2" s="1"/>
  <c r="D1603" i="2"/>
  <c r="D1604" i="2" s="1"/>
  <c r="D1575" i="2"/>
  <c r="D1576" i="2" s="1"/>
  <c r="D1565" i="2"/>
  <c r="D1566" i="2" s="1"/>
  <c r="D1551" i="2"/>
  <c r="D1550" i="2"/>
  <c r="D1536" i="2"/>
  <c r="D1537" i="2" s="1"/>
  <c r="D1524" i="2"/>
  <c r="D1525" i="2" s="1"/>
  <c r="D1487" i="2"/>
  <c r="D1486" i="2"/>
  <c r="D1465" i="2"/>
  <c r="D1466" i="2" s="1"/>
  <c r="D1452" i="2"/>
  <c r="D1453" i="2" s="1"/>
  <c r="D1437" i="2"/>
  <c r="D1438" i="2" s="1"/>
  <c r="D1422" i="2"/>
  <c r="D1423" i="2" s="1"/>
  <c r="D1416" i="2"/>
  <c r="D1417" i="2" s="1"/>
  <c r="D1405" i="2"/>
  <c r="D1406" i="2" s="1"/>
  <c r="D1398" i="2"/>
  <c r="D1397" i="2"/>
  <c r="D1388" i="2"/>
  <c r="D1389" i="2" s="1"/>
  <c r="D1375" i="2"/>
  <c r="D1376" i="2" s="1"/>
  <c r="D1361" i="2"/>
  <c r="D1362" i="2" s="1"/>
  <c r="D1350" i="2"/>
  <c r="D1351" i="2" s="1"/>
  <c r="D1334" i="2"/>
  <c r="D1335" i="2" s="1"/>
  <c r="D1323" i="2"/>
  <c r="D1324" i="2" s="1"/>
  <c r="D1293" i="2"/>
  <c r="D1294" i="2" s="1"/>
  <c r="D1267" i="2"/>
  <c r="D1266" i="2"/>
  <c r="D1253" i="2"/>
  <c r="D1254" i="2" s="1"/>
  <c r="D1232" i="2"/>
  <c r="D1233" i="2" s="1"/>
  <c r="D1187" i="2"/>
  <c r="D1188" i="2" s="1"/>
  <c r="D1163" i="2"/>
  <c r="D1164" i="2" s="1"/>
  <c r="D1137" i="2"/>
  <c r="D1138" i="2" s="1"/>
  <c r="D1115" i="2"/>
  <c r="D1116" i="2" s="1"/>
  <c r="D1090" i="2"/>
  <c r="D1091" i="2" s="1"/>
  <c r="D1073" i="2"/>
  <c r="D1074" i="2" s="1"/>
  <c r="D1049" i="2"/>
  <c r="D1050" i="2" s="1"/>
  <c r="D1021" i="2"/>
  <c r="D1020" i="2"/>
  <c r="D1002" i="2"/>
  <c r="D1003" i="2" s="1"/>
  <c r="D983" i="2"/>
  <c r="D984" i="2" s="1"/>
  <c r="D969" i="2"/>
  <c r="D968" i="2"/>
  <c r="D952" i="2"/>
  <c r="D953" i="2" s="1"/>
  <c r="D935" i="2"/>
  <c r="D934" i="2"/>
  <c r="D924" i="2"/>
  <c r="D923" i="2"/>
  <c r="D906" i="2"/>
  <c r="D907" i="2" s="1"/>
  <c r="D895" i="2"/>
  <c r="D896" i="2" s="1"/>
  <c r="D884" i="2"/>
  <c r="D883" i="2"/>
  <c r="D858" i="2"/>
  <c r="D859" i="2" s="1"/>
  <c r="D851" i="2"/>
  <c r="D852" i="2" s="1"/>
  <c r="D838" i="2"/>
  <c r="D839" i="2" s="1"/>
  <c r="D830" i="2"/>
  <c r="D829" i="2"/>
  <c r="D818" i="2"/>
  <c r="D819" i="2" s="1"/>
  <c r="D806" i="2"/>
  <c r="D807" i="2" s="1"/>
  <c r="D796" i="2"/>
  <c r="D797" i="2" s="1"/>
  <c r="D781" i="2"/>
  <c r="D780" i="2"/>
  <c r="D764" i="2"/>
  <c r="D765" i="2" s="1"/>
  <c r="D751" i="2"/>
  <c r="D752" i="2" s="1"/>
  <c r="D743" i="2"/>
  <c r="D744" i="2" s="1"/>
  <c r="D735" i="2"/>
  <c r="D736" i="2" s="1"/>
  <c r="D727" i="2"/>
  <c r="D728" i="2" s="1"/>
  <c r="D718" i="2"/>
  <c r="D719" i="2" s="1"/>
  <c r="D706" i="2"/>
  <c r="D705" i="2"/>
  <c r="D695" i="2"/>
  <c r="D694" i="2"/>
  <c r="D682" i="2"/>
  <c r="D683" i="2" s="1"/>
  <c r="D672" i="2"/>
  <c r="D673" i="2" s="1"/>
  <c r="D654" i="2"/>
  <c r="D653" i="2"/>
  <c r="D642" i="2"/>
  <c r="D643" i="2" s="1"/>
  <c r="D630" i="2"/>
  <c r="D631" i="2" s="1"/>
  <c r="D616" i="2"/>
  <c r="D617" i="2" s="1"/>
  <c r="D604" i="2"/>
  <c r="D605" i="2" s="1"/>
  <c r="D593" i="2"/>
  <c r="D592" i="2"/>
  <c r="D579" i="2"/>
  <c r="D578" i="2"/>
  <c r="D564" i="2"/>
  <c r="D565" i="2" s="1"/>
  <c r="D553" i="2"/>
  <c r="D554" i="2" s="1"/>
  <c r="D527" i="2"/>
  <c r="D528" i="2" s="1"/>
  <c r="D516" i="2"/>
  <c r="D517" i="2" s="1"/>
  <c r="D494" i="2"/>
  <c r="D495" i="2" s="1"/>
  <c r="D467" i="2"/>
  <c r="D468" i="2" s="1"/>
  <c r="D450" i="2"/>
  <c r="D451" i="2" s="1"/>
  <c r="D432" i="2"/>
  <c r="D431" i="2"/>
  <c r="D408" i="2"/>
  <c r="D409" i="2" s="1"/>
  <c r="D383" i="2"/>
  <c r="D384" i="2" s="1"/>
  <c r="D369" i="2"/>
  <c r="D370" i="2" s="1"/>
  <c r="D340" i="2"/>
  <c r="D341" i="2" s="1"/>
  <c r="D315" i="2"/>
  <c r="D316" i="2" s="1"/>
  <c r="D301" i="2"/>
  <c r="D302" i="2" s="1"/>
  <c r="D282" i="2"/>
  <c r="D283" i="2" s="1"/>
  <c r="D260" i="2"/>
  <c r="D261" i="2" s="1"/>
  <c r="D245" i="2"/>
  <c r="D246" i="2" s="1"/>
  <c r="D230" i="2"/>
  <c r="D231" i="2" s="1"/>
  <c r="D214" i="2"/>
  <c r="D215" i="2" s="1"/>
  <c r="D202" i="2"/>
  <c r="D203" i="2" s="1"/>
  <c r="D188" i="2"/>
  <c r="D187" i="2"/>
  <c r="D177" i="2"/>
  <c r="D176" i="2"/>
  <c r="D164" i="2"/>
  <c r="D165" i="2" s="1"/>
  <c r="D153" i="2"/>
  <c r="D154" i="2" s="1"/>
  <c r="D140" i="2"/>
  <c r="D141" i="2" s="1"/>
  <c r="D127" i="2"/>
  <c r="D128" i="2" s="1"/>
  <c r="D109" i="2"/>
  <c r="D110" i="2" s="1"/>
  <c r="D87" i="2"/>
  <c r="D88" i="2" s="1"/>
  <c r="D62" i="2"/>
  <c r="D61" i="2"/>
  <c r="D40" i="2"/>
  <c r="D41" i="2" s="1"/>
  <c r="D22" i="2"/>
  <c r="D23" i="2" s="1"/>
  <c r="N1975" i="2" l="1"/>
  <c r="N1860" i="2"/>
  <c r="N1776" i="2"/>
  <c r="N1763" i="2"/>
  <c r="N1624" i="2"/>
  <c r="N1566" i="2"/>
  <c r="N1459" i="2"/>
  <c r="L2145" i="2"/>
  <c r="L2101" i="2"/>
  <c r="L2048" i="2"/>
  <c r="L2029" i="2"/>
  <c r="L2016" i="2"/>
  <c r="L2010" i="2"/>
  <c r="L1994" i="2"/>
  <c r="N1985" i="2"/>
  <c r="L1907" i="2"/>
  <c r="L1901" i="2"/>
  <c r="L1882" i="2"/>
  <c r="N1873" i="2"/>
  <c r="L1866" i="2"/>
  <c r="L1811" i="2"/>
  <c r="L1795" i="2"/>
  <c r="L1782" i="2"/>
  <c r="L1672" i="2"/>
  <c r="N1663" i="2"/>
  <c r="L1608" i="2"/>
  <c r="L1598" i="2"/>
  <c r="N1589" i="2"/>
  <c r="N1576" i="2"/>
  <c r="L1572" i="2"/>
  <c r="L1540" i="2"/>
  <c r="L1517" i="2"/>
  <c r="L1504" i="2"/>
  <c r="L1491" i="2"/>
  <c r="L1481" i="2"/>
  <c r="N1426" i="2"/>
  <c r="L1412" i="2"/>
  <c r="L1406" i="2"/>
  <c r="L1402" i="2"/>
  <c r="L1393" i="2"/>
  <c r="L1383" i="2"/>
  <c r="L1368" i="2"/>
  <c r="L1347" i="2"/>
  <c r="N1338" i="2"/>
  <c r="N2146" i="2"/>
  <c r="N2119" i="2"/>
  <c r="L2105" i="2"/>
  <c r="N2079" i="2"/>
  <c r="N2049" i="2"/>
  <c r="L2042" i="2"/>
  <c r="L2032" i="2"/>
  <c r="N2030" i="2"/>
  <c r="L1997" i="2"/>
  <c r="N1995" i="2"/>
  <c r="L1972" i="2"/>
  <c r="L1956" i="2"/>
  <c r="L1946" i="2"/>
  <c r="N1944" i="2"/>
  <c r="L1921" i="2"/>
  <c r="L1908" i="2"/>
  <c r="L1885" i="2"/>
  <c r="N1883" i="2"/>
  <c r="L1857" i="2"/>
  <c r="L1847" i="2"/>
  <c r="L1837" i="2"/>
  <c r="N1835" i="2"/>
  <c r="N1812" i="2"/>
  <c r="L1798" i="2"/>
  <c r="N1796" i="2"/>
  <c r="L1773" i="2"/>
  <c r="L1760" i="2"/>
  <c r="L1734" i="2"/>
  <c r="L1720" i="2"/>
  <c r="N1718" i="2"/>
  <c r="L1695" i="2"/>
  <c r="L1682" i="2"/>
  <c r="L1646" i="2"/>
  <c r="N1644" i="2"/>
  <c r="L1630" i="2"/>
  <c r="L1621" i="2"/>
  <c r="L1611" i="2"/>
  <c r="N1609" i="2"/>
  <c r="N1599" i="2"/>
  <c r="N1551" i="2"/>
  <c r="L1543" i="2"/>
  <c r="N1541" i="2"/>
  <c r="L1527" i="2"/>
  <c r="L1520" i="2"/>
  <c r="N1518" i="2"/>
  <c r="L1507" i="2"/>
  <c r="N1505" i="2"/>
  <c r="N1482" i="2"/>
  <c r="N1472" i="2"/>
  <c r="L1471" i="2"/>
  <c r="N1471" i="2"/>
  <c r="L1456" i="2"/>
  <c r="L1438" i="2"/>
  <c r="N1438" i="2"/>
  <c r="L1413" i="2"/>
  <c r="L1356" i="2"/>
  <c r="N1320" i="2"/>
  <c r="L1306" i="2"/>
  <c r="N1304" i="2"/>
  <c r="N1254" i="2"/>
  <c r="L1224" i="2"/>
  <c r="N1222" i="2"/>
  <c r="L1208" i="2"/>
  <c r="N1206" i="2"/>
  <c r="L1202" i="2"/>
  <c r="N1190" i="2"/>
  <c r="L1180" i="2"/>
  <c r="L1155" i="2"/>
  <c r="N1061" i="2"/>
  <c r="L1061" i="2"/>
  <c r="N1053" i="2"/>
  <c r="L1053" i="2"/>
  <c r="L1034" i="2"/>
  <c r="N1034" i="2"/>
  <c r="L984" i="2"/>
  <c r="L975" i="2"/>
  <c r="N965" i="2"/>
  <c r="L965" i="2"/>
  <c r="N957" i="2"/>
  <c r="L957" i="2"/>
  <c r="L935" i="2"/>
  <c r="N935" i="2"/>
  <c r="L890" i="2"/>
  <c r="L887" i="2"/>
  <c r="N887" i="2"/>
  <c r="L789" i="2"/>
  <c r="N789" i="2"/>
  <c r="L709" i="2"/>
  <c r="N709" i="2"/>
  <c r="N634" i="2"/>
  <c r="L634" i="2"/>
  <c r="N2059" i="2"/>
  <c r="N1989" i="2"/>
  <c r="N1938" i="2"/>
  <c r="N1893" i="2"/>
  <c r="N1806" i="2"/>
  <c r="N1790" i="2"/>
  <c r="N1712" i="2"/>
  <c r="N1580" i="2"/>
  <c r="N1430" i="2"/>
  <c r="N1398" i="2"/>
  <c r="N1379" i="2"/>
  <c r="N1342" i="2"/>
  <c r="N1329" i="2"/>
  <c r="N1314" i="2"/>
  <c r="N1298" i="2"/>
  <c r="N1286" i="2"/>
  <c r="L1272" i="2"/>
  <c r="N1272" i="2"/>
  <c r="N1270" i="2"/>
  <c r="L1239" i="2"/>
  <c r="N1239" i="2"/>
  <c r="N1216" i="2"/>
  <c r="N1200" i="2"/>
  <c r="N1145" i="2"/>
  <c r="N1139" i="2"/>
  <c r="N1131" i="2"/>
  <c r="N1096" i="2"/>
  <c r="L1096" i="2"/>
  <c r="L1064" i="2"/>
  <c r="N1064" i="2"/>
  <c r="N1054" i="2"/>
  <c r="N1038" i="2"/>
  <c r="N992" i="2"/>
  <c r="L992" i="2"/>
  <c r="N958" i="2"/>
  <c r="N925" i="2"/>
  <c r="N876" i="2"/>
  <c r="L876" i="2"/>
  <c r="L488" i="2"/>
  <c r="N488" i="2"/>
  <c r="N2126" i="2"/>
  <c r="N2024" i="2"/>
  <c r="N1593" i="2"/>
  <c r="N1561" i="2"/>
  <c r="L2162" i="2"/>
  <c r="N2150" i="2"/>
  <c r="L2132" i="2"/>
  <c r="L2115" i="2"/>
  <c r="L2075" i="2"/>
  <c r="L2001" i="2"/>
  <c r="L1925" i="2"/>
  <c r="L1912" i="2"/>
  <c r="L1889" i="2"/>
  <c r="L1802" i="2"/>
  <c r="L1777" i="2"/>
  <c r="N1768" i="2"/>
  <c r="L1738" i="2"/>
  <c r="N1729" i="2"/>
  <c r="L1650" i="2"/>
  <c r="L1460" i="2"/>
  <c r="L1133" i="2"/>
  <c r="N1133" i="2"/>
  <c r="N1097" i="2"/>
  <c r="N1069" i="2"/>
  <c r="L1069" i="2"/>
  <c r="L1040" i="2"/>
  <c r="N1040" i="2"/>
  <c r="N1010" i="2"/>
  <c r="L1010" i="2"/>
  <c r="N999" i="2"/>
  <c r="N939" i="2"/>
  <c r="N877" i="2"/>
  <c r="L803" i="2"/>
  <c r="N803" i="2"/>
  <c r="N712" i="2"/>
  <c r="L712" i="2"/>
  <c r="L676" i="2"/>
  <c r="N676" i="2"/>
  <c r="N637" i="2"/>
  <c r="L637" i="2"/>
  <c r="L589" i="2"/>
  <c r="N589" i="2"/>
  <c r="N2005" i="2"/>
  <c r="N1877" i="2"/>
  <c r="N1829" i="2"/>
  <c r="N1667" i="2"/>
  <c r="N1654" i="2"/>
  <c r="N1638" i="2"/>
  <c r="N1512" i="2"/>
  <c r="N1499" i="2"/>
  <c r="L2055" i="2"/>
  <c r="N2037" i="2"/>
  <c r="L1976" i="2"/>
  <c r="L1960" i="2"/>
  <c r="L1950" i="2"/>
  <c r="L1861" i="2"/>
  <c r="L1851" i="2"/>
  <c r="L1708" i="2"/>
  <c r="L1699" i="2"/>
  <c r="L1686" i="2"/>
  <c r="N1677" i="2"/>
  <c r="L1625" i="2"/>
  <c r="L1615" i="2"/>
  <c r="L1567" i="2"/>
  <c r="L1557" i="2"/>
  <c r="L1547" i="2"/>
  <c r="L1531" i="2"/>
  <c r="L1444" i="2"/>
  <c r="N1444" i="2"/>
  <c r="L1363" i="2"/>
  <c r="L1310" i="2"/>
  <c r="L2140" i="2"/>
  <c r="L2123" i="2"/>
  <c r="N2110" i="2"/>
  <c r="L2083" i="2"/>
  <c r="N2070" i="2"/>
  <c r="L2056" i="2"/>
  <c r="N2047" i="2"/>
  <c r="N2028" i="2"/>
  <c r="N2009" i="2"/>
  <c r="L2002" i="2"/>
  <c r="N1993" i="2"/>
  <c r="L1986" i="2"/>
  <c r="L1979" i="2"/>
  <c r="L1951" i="2"/>
  <c r="N1942" i="2"/>
  <c r="L1935" i="2"/>
  <c r="L1928" i="2"/>
  <c r="L1915" i="2"/>
  <c r="L1890" i="2"/>
  <c r="N1881" i="2"/>
  <c r="L1874" i="2"/>
  <c r="L1864" i="2"/>
  <c r="N1833" i="2"/>
  <c r="N1810" i="2"/>
  <c r="L1803" i="2"/>
  <c r="N1794" i="2"/>
  <c r="L1780" i="2"/>
  <c r="L1741" i="2"/>
  <c r="N1716" i="2"/>
  <c r="L1709" i="2"/>
  <c r="L1702" i="2"/>
  <c r="L1689" i="2"/>
  <c r="N1671" i="2"/>
  <c r="L1664" i="2"/>
  <c r="L1651" i="2"/>
  <c r="N1642" i="2"/>
  <c r="L1635" i="2"/>
  <c r="L1616" i="2"/>
  <c r="N1607" i="2"/>
  <c r="N1597" i="2"/>
  <c r="L1590" i="2"/>
  <c r="N1584" i="2"/>
  <c r="L1577" i="2"/>
  <c r="L1558" i="2"/>
  <c r="N1539" i="2"/>
  <c r="N1516" i="2"/>
  <c r="N1503" i="2"/>
  <c r="N1480" i="2"/>
  <c r="N1448" i="2"/>
  <c r="N1434" i="2"/>
  <c r="L1427" i="2"/>
  <c r="N1377" i="2"/>
  <c r="N1346" i="2"/>
  <c r="L1339" i="2"/>
  <c r="N1318" i="2"/>
  <c r="L1311" i="2"/>
  <c r="N1302" i="2"/>
  <c r="L1295" i="2"/>
  <c r="L1278" i="2"/>
  <c r="L1261" i="2"/>
  <c r="L1245" i="2"/>
  <c r="N1245" i="2"/>
  <c r="N1243" i="2"/>
  <c r="L1229" i="2"/>
  <c r="N1220" i="2"/>
  <c r="L1213" i="2"/>
  <c r="N1204" i="2"/>
  <c r="L1197" i="2"/>
  <c r="N1188" i="2"/>
  <c r="L1176" i="2"/>
  <c r="L1159" i="2"/>
  <c r="L996" i="2"/>
  <c r="N899" i="2"/>
  <c r="L899" i="2"/>
  <c r="L861" i="2"/>
  <c r="N861" i="2"/>
  <c r="L859" i="2"/>
  <c r="N859" i="2"/>
  <c r="N854" i="2"/>
  <c r="N755" i="2"/>
  <c r="L755" i="2"/>
  <c r="L724" i="2"/>
  <c r="N724" i="2"/>
  <c r="L599" i="2"/>
  <c r="N599" i="2"/>
  <c r="L597" i="2"/>
  <c r="N597" i="2"/>
  <c r="N491" i="2"/>
  <c r="L491" i="2"/>
  <c r="L1166" i="2"/>
  <c r="N1166" i="2"/>
  <c r="L1076" i="2"/>
  <c r="N1076" i="2"/>
  <c r="L1052" i="2"/>
  <c r="N1052" i="2"/>
  <c r="L956" i="2"/>
  <c r="N956" i="2"/>
  <c r="L947" i="2"/>
  <c r="N947" i="2"/>
  <c r="N944" i="2"/>
  <c r="L944" i="2"/>
  <c r="N936" i="2"/>
  <c r="L936" i="2"/>
  <c r="L902" i="2"/>
  <c r="N902" i="2"/>
  <c r="L777" i="2"/>
  <c r="N777" i="2"/>
  <c r="L775" i="2"/>
  <c r="N775" i="2"/>
  <c r="L531" i="2"/>
  <c r="N531" i="2"/>
  <c r="N497" i="2"/>
  <c r="L497" i="2"/>
  <c r="L2093" i="2"/>
  <c r="L2018" i="2"/>
  <c r="L1967" i="2"/>
  <c r="N1965" i="2"/>
  <c r="L1903" i="2"/>
  <c r="L1868" i="2"/>
  <c r="L1842" i="2"/>
  <c r="L1823" i="2"/>
  <c r="N1821" i="2"/>
  <c r="L1784" i="2"/>
  <c r="L1755" i="2"/>
  <c r="N1753" i="2"/>
  <c r="L1745" i="2"/>
  <c r="N1743" i="2"/>
  <c r="N1727" i="2"/>
  <c r="N1704" i="2"/>
  <c r="L1493" i="2"/>
  <c r="L1385" i="2"/>
  <c r="L1370" i="2"/>
  <c r="L1327" i="2"/>
  <c r="L1284" i="2"/>
  <c r="L1182" i="2"/>
  <c r="L1157" i="2"/>
  <c r="L1151" i="2"/>
  <c r="L1121" i="2"/>
  <c r="N1121" i="2"/>
  <c r="L1095" i="2"/>
  <c r="N1095" i="2"/>
  <c r="L1046" i="2"/>
  <c r="N1046" i="2"/>
  <c r="L1028" i="2"/>
  <c r="N1028" i="2"/>
  <c r="L875" i="2"/>
  <c r="N875" i="2"/>
  <c r="L819" i="2"/>
  <c r="N819" i="2"/>
  <c r="N691" i="2"/>
  <c r="L691" i="2"/>
  <c r="N617" i="2"/>
  <c r="L617" i="2"/>
  <c r="L555" i="2"/>
  <c r="N555" i="2"/>
  <c r="N1850" i="2"/>
  <c r="N1737" i="2"/>
  <c r="N1530" i="2"/>
  <c r="N1446" i="2"/>
  <c r="L1172" i="2"/>
  <c r="N1172" i="2"/>
  <c r="L1084" i="2"/>
  <c r="N1084" i="2"/>
  <c r="L1068" i="2"/>
  <c r="N1068" i="2"/>
  <c r="N1006" i="2"/>
  <c r="L1006" i="2"/>
  <c r="N917" i="2"/>
  <c r="L917" i="2"/>
  <c r="L739" i="2"/>
  <c r="N739" i="2"/>
  <c r="L731" i="2"/>
  <c r="N731" i="2"/>
  <c r="N649" i="2"/>
  <c r="L649" i="2"/>
  <c r="N567" i="2"/>
  <c r="L567" i="2"/>
  <c r="N505" i="2"/>
  <c r="L505" i="2"/>
  <c r="N1959" i="2"/>
  <c r="N1924" i="2"/>
  <c r="N1911" i="2"/>
  <c r="N1698" i="2"/>
  <c r="N1685" i="2"/>
  <c r="N1419" i="2"/>
  <c r="N1400" i="2"/>
  <c r="L1971" i="2"/>
  <c r="L1955" i="2"/>
  <c r="N1950" i="2"/>
  <c r="L1943" i="2"/>
  <c r="N1934" i="2"/>
  <c r="L1846" i="2"/>
  <c r="L1834" i="2"/>
  <c r="L1759" i="2"/>
  <c r="L1733" i="2"/>
  <c r="L1717" i="2"/>
  <c r="N1708" i="2"/>
  <c r="L1643" i="2"/>
  <c r="N1634" i="2"/>
  <c r="L1319" i="2"/>
  <c r="N1310" i="2"/>
  <c r="L1303" i="2"/>
  <c r="N1294" i="2"/>
  <c r="L1282" i="2"/>
  <c r="N1260" i="2"/>
  <c r="N1247" i="2"/>
  <c r="N1228" i="2"/>
  <c r="L1221" i="2"/>
  <c r="N1212" i="2"/>
  <c r="L1205" i="2"/>
  <c r="N1196" i="2"/>
  <c r="L1189" i="2"/>
  <c r="N1153" i="2"/>
  <c r="L1149" i="2"/>
  <c r="N1147" i="2"/>
  <c r="L1127" i="2"/>
  <c r="N1127" i="2"/>
  <c r="N1105" i="2"/>
  <c r="N1099" i="2"/>
  <c r="L1009" i="2"/>
  <c r="N1007" i="2"/>
  <c r="L989" i="2"/>
  <c r="N989" i="2"/>
  <c r="N926" i="2"/>
  <c r="L926" i="2"/>
  <c r="L920" i="2"/>
  <c r="N920" i="2"/>
  <c r="L898" i="2"/>
  <c r="N898" i="2"/>
  <c r="L831" i="2"/>
  <c r="N831" i="2"/>
  <c r="N786" i="2"/>
  <c r="L786" i="2"/>
  <c r="N756" i="2"/>
  <c r="L756" i="2"/>
  <c r="L754" i="2"/>
  <c r="N754" i="2"/>
  <c r="N663" i="2"/>
  <c r="L663" i="2"/>
  <c r="L661" i="2"/>
  <c r="N661" i="2"/>
  <c r="N625" i="2"/>
  <c r="L625" i="2"/>
  <c r="L570" i="2"/>
  <c r="N570" i="2"/>
  <c r="N860" i="2"/>
  <c r="L860" i="2"/>
  <c r="L814" i="2"/>
  <c r="N782" i="2"/>
  <c r="L782" i="2"/>
  <c r="N776" i="2"/>
  <c r="L776" i="2"/>
  <c r="N732" i="2"/>
  <c r="L732" i="2"/>
  <c r="L711" i="2"/>
  <c r="L645" i="2"/>
  <c r="N598" i="2"/>
  <c r="L598" i="2"/>
  <c r="N532" i="2"/>
  <c r="L532" i="2"/>
  <c r="N524" i="2"/>
  <c r="L490" i="2"/>
  <c r="N490" i="2"/>
  <c r="N476" i="2"/>
  <c r="N475" i="2"/>
  <c r="L475" i="2"/>
  <c r="L446" i="2"/>
  <c r="N446" i="2"/>
  <c r="N444" i="2"/>
  <c r="N432" i="2"/>
  <c r="N327" i="2"/>
  <c r="N283" i="2"/>
  <c r="N272" i="2"/>
  <c r="L272" i="2"/>
  <c r="N257" i="2"/>
  <c r="N248" i="2"/>
  <c r="L248" i="2"/>
  <c r="L232" i="2"/>
  <c r="N232" i="2"/>
  <c r="L192" i="2"/>
  <c r="N192" i="2"/>
  <c r="L146" i="2"/>
  <c r="N146" i="2"/>
  <c r="L669" i="2"/>
  <c r="N669" i="2"/>
  <c r="N654" i="2"/>
  <c r="L654" i="2"/>
  <c r="L601" i="2"/>
  <c r="N601" i="2"/>
  <c r="L535" i="2"/>
  <c r="N535" i="2"/>
  <c r="L521" i="2"/>
  <c r="L512" i="2"/>
  <c r="N512" i="2"/>
  <c r="N453" i="2"/>
  <c r="L428" i="2"/>
  <c r="N428" i="2"/>
  <c r="L420" i="2"/>
  <c r="L410" i="2"/>
  <c r="N410" i="2"/>
  <c r="L402" i="2"/>
  <c r="L396" i="2"/>
  <c r="N396" i="2"/>
  <c r="L390" i="2"/>
  <c r="L376" i="2"/>
  <c r="N371" i="2"/>
  <c r="L349" i="2"/>
  <c r="N349" i="2"/>
  <c r="L291" i="2"/>
  <c r="N291" i="2"/>
  <c r="N289" i="2"/>
  <c r="N249" i="2"/>
  <c r="N222" i="2"/>
  <c r="L91" i="2"/>
  <c r="N91" i="2"/>
  <c r="N1467" i="2"/>
  <c r="N1440" i="2"/>
  <c r="L1358" i="2"/>
  <c r="L1290" i="2"/>
  <c r="N1268" i="2"/>
  <c r="N1235" i="2"/>
  <c r="L1184" i="2"/>
  <c r="N1117" i="2"/>
  <c r="L1082" i="2"/>
  <c r="N1024" i="2"/>
  <c r="L912" i="2"/>
  <c r="L867" i="2"/>
  <c r="N867" i="2"/>
  <c r="L825" i="2"/>
  <c r="N825" i="2"/>
  <c r="L797" i="2"/>
  <c r="N797" i="2"/>
  <c r="N768" i="2"/>
  <c r="L768" i="2"/>
  <c r="N632" i="2"/>
  <c r="N607" i="2"/>
  <c r="L607" i="2"/>
  <c r="N594" i="2"/>
  <c r="L594" i="2"/>
  <c r="L583" i="2"/>
  <c r="N581" i="2"/>
  <c r="N560" i="2"/>
  <c r="L560" i="2"/>
  <c r="N548" i="2"/>
  <c r="L548" i="2"/>
  <c r="N540" i="2"/>
  <c r="L540" i="2"/>
  <c r="L482" i="2"/>
  <c r="N482" i="2"/>
  <c r="L461" i="2"/>
  <c r="N461" i="2"/>
  <c r="L438" i="2"/>
  <c r="N438" i="2"/>
  <c r="N415" i="2"/>
  <c r="L415" i="2"/>
  <c r="L275" i="2"/>
  <c r="N275" i="2"/>
  <c r="N195" i="2"/>
  <c r="L195" i="2"/>
  <c r="N167" i="2"/>
  <c r="L167" i="2"/>
  <c r="L136" i="2"/>
  <c r="N136" i="2"/>
  <c r="N572" i="2"/>
  <c r="L572" i="2"/>
  <c r="N405" i="2"/>
  <c r="L405" i="2"/>
  <c r="L388" i="2"/>
  <c r="N388" i="2"/>
  <c r="L365" i="2"/>
  <c r="N365" i="2"/>
  <c r="L306" i="2"/>
  <c r="N306" i="2"/>
  <c r="N268" i="2"/>
  <c r="L268" i="2"/>
  <c r="N227" i="2"/>
  <c r="L227" i="2"/>
  <c r="N219" i="2"/>
  <c r="L219" i="2"/>
  <c r="N156" i="2"/>
  <c r="L156" i="2"/>
  <c r="N102" i="2"/>
  <c r="L102" i="2"/>
  <c r="L474" i="2"/>
  <c r="N474" i="2"/>
  <c r="N447" i="2"/>
  <c r="L447" i="2"/>
  <c r="N317" i="2"/>
  <c r="L317" i="2"/>
  <c r="L271" i="2"/>
  <c r="N271" i="2"/>
  <c r="N233" i="2"/>
  <c r="L233" i="2"/>
  <c r="N145" i="2"/>
  <c r="L145" i="2"/>
  <c r="L105" i="2"/>
  <c r="N105" i="2"/>
  <c r="N103" i="2"/>
  <c r="L1241" i="2"/>
  <c r="L1086" i="2"/>
  <c r="L1080" i="2"/>
  <c r="L1060" i="2"/>
  <c r="N1060" i="2"/>
  <c r="L1030" i="2"/>
  <c r="L991" i="2"/>
  <c r="L964" i="2"/>
  <c r="N964" i="2"/>
  <c r="L943" i="2"/>
  <c r="N943" i="2"/>
  <c r="N863" i="2"/>
  <c r="L844" i="2"/>
  <c r="N842" i="2"/>
  <c r="N821" i="2"/>
  <c r="N814" i="2"/>
  <c r="N711" i="2"/>
  <c r="N678" i="2"/>
  <c r="L647" i="2"/>
  <c r="N647" i="2"/>
  <c r="N645" i="2"/>
  <c r="L618" i="2"/>
  <c r="N536" i="2"/>
  <c r="L536" i="2"/>
  <c r="N513" i="2"/>
  <c r="L513" i="2"/>
  <c r="N498" i="2"/>
  <c r="N478" i="2"/>
  <c r="N434" i="2"/>
  <c r="N427" i="2"/>
  <c r="L427" i="2"/>
  <c r="N411" i="2"/>
  <c r="L411" i="2"/>
  <c r="N398" i="2"/>
  <c r="N397" i="2"/>
  <c r="L397" i="2"/>
  <c r="L372" i="2"/>
  <c r="N261" i="2"/>
  <c r="L261" i="2"/>
  <c r="L236" i="2"/>
  <c r="N236" i="2"/>
  <c r="L205" i="2"/>
  <c r="N205" i="2"/>
  <c r="L1015" i="2"/>
  <c r="L976" i="2"/>
  <c r="N868" i="2"/>
  <c r="L868" i="2"/>
  <c r="L845" i="2"/>
  <c r="N826" i="2"/>
  <c r="L826" i="2"/>
  <c r="N798" i="2"/>
  <c r="L798" i="2"/>
  <c r="L790" i="2"/>
  <c r="N785" i="2"/>
  <c r="L767" i="2"/>
  <c r="N767" i="2"/>
  <c r="N744" i="2"/>
  <c r="L722" i="2"/>
  <c r="L708" i="2"/>
  <c r="N697" i="2"/>
  <c r="L686" i="2"/>
  <c r="N684" i="2"/>
  <c r="N657" i="2"/>
  <c r="L606" i="2"/>
  <c r="N606" i="2"/>
  <c r="L593" i="2"/>
  <c r="N593" i="2"/>
  <c r="L571" i="2"/>
  <c r="L559" i="2"/>
  <c r="N559" i="2"/>
  <c r="L539" i="2"/>
  <c r="N539" i="2"/>
  <c r="N537" i="2"/>
  <c r="L517" i="2"/>
  <c r="L501" i="2"/>
  <c r="N496" i="2"/>
  <c r="N483" i="2"/>
  <c r="L483" i="2"/>
  <c r="N439" i="2"/>
  <c r="L439" i="2"/>
  <c r="L414" i="2"/>
  <c r="N414" i="2"/>
  <c r="N412" i="2"/>
  <c r="N384" i="2"/>
  <c r="L323" i="2"/>
  <c r="N323" i="2"/>
  <c r="N321" i="2"/>
  <c r="N276" i="2"/>
  <c r="L276" i="2"/>
  <c r="N264" i="2"/>
  <c r="L264" i="2"/>
  <c r="N251" i="2"/>
  <c r="L168" i="2"/>
  <c r="N168" i="2"/>
  <c r="N137" i="2"/>
  <c r="L137" i="2"/>
  <c r="L124" i="2"/>
  <c r="N124" i="2"/>
  <c r="L699" i="2"/>
  <c r="N699" i="2"/>
  <c r="N662" i="2"/>
  <c r="L662" i="2"/>
  <c r="L648" i="2"/>
  <c r="L636" i="2"/>
  <c r="N636" i="2"/>
  <c r="L588" i="2"/>
  <c r="N419" i="2"/>
  <c r="L419" i="2"/>
  <c r="L404" i="2"/>
  <c r="N404" i="2"/>
  <c r="N389" i="2"/>
  <c r="L389" i="2"/>
  <c r="N366" i="2"/>
  <c r="L366" i="2"/>
  <c r="N307" i="2"/>
  <c r="L307" i="2"/>
  <c r="L267" i="2"/>
  <c r="N267" i="2"/>
  <c r="N265" i="2"/>
  <c r="N256" i="2"/>
  <c r="L256" i="2"/>
  <c r="L155" i="2"/>
  <c r="N155" i="2"/>
  <c r="L178" i="2"/>
  <c r="N178" i="2"/>
  <c r="L114" i="2"/>
  <c r="N114" i="2"/>
  <c r="L106" i="2"/>
  <c r="L37" i="2"/>
  <c r="N37" i="2"/>
  <c r="N454" i="202"/>
  <c r="L454" i="202"/>
  <c r="L416" i="202"/>
  <c r="N416" i="202"/>
  <c r="N92" i="2"/>
  <c r="L92" i="2"/>
  <c r="L541" i="202"/>
  <c r="N541" i="202"/>
  <c r="L194" i="2"/>
  <c r="L184" i="2"/>
  <c r="N170" i="2"/>
  <c r="N129" i="2"/>
  <c r="L129" i="2"/>
  <c r="L68" i="2"/>
  <c r="N68" i="2"/>
  <c r="N31" i="2"/>
  <c r="N25" i="2"/>
  <c r="L25" i="2"/>
  <c r="L552" i="202"/>
  <c r="N552" i="202"/>
  <c r="L536" i="202"/>
  <c r="N536" i="202"/>
  <c r="L1013" i="2"/>
  <c r="L974" i="2"/>
  <c r="L929" i="2"/>
  <c r="L916" i="2"/>
  <c r="L848" i="2"/>
  <c r="L835" i="2"/>
  <c r="L812" i="2"/>
  <c r="L787" i="2"/>
  <c r="L715" i="2"/>
  <c r="L690" i="2"/>
  <c r="L624" i="2"/>
  <c r="L587" i="2"/>
  <c r="L547" i="2"/>
  <c r="L508" i="2"/>
  <c r="L379" i="2"/>
  <c r="N362" i="2"/>
  <c r="L362" i="2"/>
  <c r="N342" i="2"/>
  <c r="L342" i="2"/>
  <c r="L297" i="2"/>
  <c r="L226" i="2"/>
  <c r="L133" i="2"/>
  <c r="L76" i="2"/>
  <c r="N76" i="2"/>
  <c r="L15" i="2"/>
  <c r="N15" i="2"/>
  <c r="L500" i="202"/>
  <c r="N500" i="202"/>
  <c r="L478" i="202"/>
  <c r="N478" i="202"/>
  <c r="N404" i="202"/>
  <c r="L404" i="202"/>
  <c r="N328" i="2"/>
  <c r="L328" i="2"/>
  <c r="N277" i="2"/>
  <c r="L277" i="2"/>
  <c r="N96" i="2"/>
  <c r="L96" i="2"/>
  <c r="L545" i="202"/>
  <c r="N545" i="202"/>
  <c r="L491" i="202"/>
  <c r="N491" i="202"/>
  <c r="N424" i="202"/>
  <c r="L424" i="202"/>
  <c r="N79" i="2"/>
  <c r="L79" i="2"/>
  <c r="N522" i="202"/>
  <c r="L522" i="202"/>
  <c r="N399" i="202"/>
  <c r="L399" i="202"/>
  <c r="N562" i="202"/>
  <c r="L562" i="202"/>
  <c r="N514" i="202"/>
  <c r="N510" i="202"/>
  <c r="L510" i="202"/>
  <c r="L995" i="2"/>
  <c r="N736" i="2"/>
  <c r="L736" i="2"/>
  <c r="L701" i="2"/>
  <c r="N701" i="2"/>
  <c r="N679" i="2"/>
  <c r="L679" i="2"/>
  <c r="L451" i="2"/>
  <c r="L426" i="2"/>
  <c r="L363" i="2"/>
  <c r="N358" i="2"/>
  <c r="L358" i="2"/>
  <c r="N296" i="2"/>
  <c r="L296" i="2"/>
  <c r="N194" i="2"/>
  <c r="N184" i="2"/>
  <c r="L161" i="2"/>
  <c r="N132" i="2"/>
  <c r="L504" i="2"/>
  <c r="L457" i="2"/>
  <c r="L418" i="2"/>
  <c r="L375" i="2"/>
  <c r="L335" i="2"/>
  <c r="L238" i="2"/>
  <c r="N119" i="2"/>
  <c r="L119" i="2"/>
  <c r="L110" i="2"/>
  <c r="N110" i="2"/>
  <c r="L101" i="2"/>
  <c r="N36" i="2"/>
  <c r="L36" i="2"/>
  <c r="N23" i="2"/>
  <c r="N540" i="202"/>
  <c r="L540" i="202"/>
  <c r="L389" i="202"/>
  <c r="N389" i="202"/>
  <c r="N344" i="202"/>
  <c r="L321" i="202"/>
  <c r="N321" i="202"/>
  <c r="N259" i="202"/>
  <c r="L259" i="202"/>
  <c r="L215" i="202"/>
  <c r="L150" i="202"/>
  <c r="N150" i="202"/>
  <c r="N144" i="202"/>
  <c r="L144" i="202"/>
  <c r="L70" i="202"/>
  <c r="L51" i="202"/>
  <c r="L27" i="202"/>
  <c r="N53" i="2"/>
  <c r="L53" i="2"/>
  <c r="L48" i="2"/>
  <c r="N48" i="2"/>
  <c r="L28" i="2"/>
  <c r="L593" i="202"/>
  <c r="L546" i="202"/>
  <c r="L441" i="202"/>
  <c r="N441" i="202"/>
  <c r="L428" i="202"/>
  <c r="N428" i="202"/>
  <c r="L378" i="202"/>
  <c r="N309" i="202"/>
  <c r="L309" i="202"/>
  <c r="L272" i="202"/>
  <c r="L251" i="202"/>
  <c r="N251" i="202"/>
  <c r="L236" i="202"/>
  <c r="N236" i="202"/>
  <c r="N221" i="202"/>
  <c r="L221" i="202"/>
  <c r="N145" i="202"/>
  <c r="N121" i="202"/>
  <c r="L648" i="197"/>
  <c r="L630" i="197"/>
  <c r="N630" i="197"/>
  <c r="L559" i="197"/>
  <c r="N559" i="197"/>
  <c r="N297" i="202"/>
  <c r="L297" i="202"/>
  <c r="N254" i="202"/>
  <c r="L254" i="202"/>
  <c r="L240" i="202"/>
  <c r="L636" i="197"/>
  <c r="N636" i="197"/>
  <c r="L621" i="197"/>
  <c r="N621" i="197"/>
  <c r="L17" i="2"/>
  <c r="N573" i="202"/>
  <c r="L573" i="202"/>
  <c r="L567" i="202"/>
  <c r="L561" i="202"/>
  <c r="N561" i="202"/>
  <c r="L381" i="202"/>
  <c r="N83" i="202"/>
  <c r="L83" i="202"/>
  <c r="L61" i="202"/>
  <c r="N61" i="202"/>
  <c r="N642" i="197"/>
  <c r="L642" i="197"/>
  <c r="L260" i="202"/>
  <c r="N260" i="202"/>
  <c r="N93" i="202"/>
  <c r="L93" i="202"/>
  <c r="L475" i="197"/>
  <c r="N475" i="197"/>
  <c r="L793" i="2"/>
  <c r="L758" i="2"/>
  <c r="L574" i="2"/>
  <c r="L543" i="2"/>
  <c r="N504" i="2"/>
  <c r="N457" i="2"/>
  <c r="N418" i="2"/>
  <c r="N375" i="2"/>
  <c r="N335" i="2"/>
  <c r="N319" i="2"/>
  <c r="L240" i="2"/>
  <c r="L203" i="2"/>
  <c r="L118" i="2"/>
  <c r="L97" i="2"/>
  <c r="N63" i="2"/>
  <c r="L63" i="2"/>
  <c r="N49" i="2"/>
  <c r="L49" i="2"/>
  <c r="L597" i="202"/>
  <c r="N597" i="202"/>
  <c r="N585" i="202"/>
  <c r="N572" i="202"/>
  <c r="L532" i="202"/>
  <c r="N373" i="202"/>
  <c r="L373" i="202"/>
  <c r="N358" i="202"/>
  <c r="L358" i="202"/>
  <c r="L317" i="202"/>
  <c r="N317" i="202"/>
  <c r="L305" i="202"/>
  <c r="N211" i="202"/>
  <c r="N189" i="202"/>
  <c r="L182" i="202"/>
  <c r="N182" i="202"/>
  <c r="L158" i="202"/>
  <c r="L134" i="202"/>
  <c r="L112" i="202"/>
  <c r="N112" i="202"/>
  <c r="L608" i="197"/>
  <c r="N608" i="197"/>
  <c r="N576" i="197"/>
  <c r="L576" i="197"/>
  <c r="L506" i="197"/>
  <c r="N506" i="197"/>
  <c r="N50" i="2"/>
  <c r="N24" i="2"/>
  <c r="L24" i="2"/>
  <c r="N18" i="2"/>
  <c r="L18" i="2"/>
  <c r="L556" i="202"/>
  <c r="N556" i="202"/>
  <c r="N509" i="202"/>
  <c r="N374" i="202"/>
  <c r="N353" i="202"/>
  <c r="N244" i="202"/>
  <c r="L244" i="202"/>
  <c r="L198" i="202"/>
  <c r="N198" i="202"/>
  <c r="L103" i="202"/>
  <c r="N103" i="202"/>
  <c r="L56" i="202"/>
  <c r="N56" i="202"/>
  <c r="L50" i="202"/>
  <c r="N50" i="202"/>
  <c r="N649" i="197"/>
  <c r="L649" i="197"/>
  <c r="N330" i="202"/>
  <c r="L330" i="202"/>
  <c r="L264" i="202"/>
  <c r="N264" i="202"/>
  <c r="N226" i="202"/>
  <c r="L226" i="202"/>
  <c r="N187" i="202"/>
  <c r="L174" i="202"/>
  <c r="N174" i="202"/>
  <c r="N122" i="202"/>
  <c r="L122" i="202"/>
  <c r="L13" i="202"/>
  <c r="N13" i="202"/>
  <c r="L641" i="197"/>
  <c r="L592" i="197"/>
  <c r="N592" i="197"/>
  <c r="N404" i="197"/>
  <c r="L404" i="197"/>
  <c r="L396" i="197"/>
  <c r="N396" i="197"/>
  <c r="N391" i="197"/>
  <c r="N379" i="197"/>
  <c r="N370" i="197"/>
  <c r="L257" i="197"/>
  <c r="N257" i="197"/>
  <c r="L206" i="197"/>
  <c r="N206" i="197"/>
  <c r="L160" i="197"/>
  <c r="N160" i="197"/>
  <c r="L90" i="197"/>
  <c r="N90" i="197"/>
  <c r="N452" i="197"/>
  <c r="L452" i="197"/>
  <c r="N320" i="197"/>
  <c r="L320" i="197"/>
  <c r="L248" i="197"/>
  <c r="N248" i="197"/>
  <c r="L106" i="197"/>
  <c r="N106" i="197"/>
  <c r="L279" i="2"/>
  <c r="L209" i="2"/>
  <c r="L159" i="2"/>
  <c r="L84" i="2"/>
  <c r="L70" i="2"/>
  <c r="N70" i="2"/>
  <c r="L35" i="2"/>
  <c r="L391" i="202"/>
  <c r="N391" i="202"/>
  <c r="L363" i="202"/>
  <c r="L284" i="202"/>
  <c r="L253" i="202"/>
  <c r="L231" i="202"/>
  <c r="N231" i="202"/>
  <c r="L127" i="202"/>
  <c r="L123" i="202"/>
  <c r="N35" i="202"/>
  <c r="L614" i="197"/>
  <c r="N614" i="197"/>
  <c r="L543" i="197"/>
  <c r="N543" i="197"/>
  <c r="N535" i="197"/>
  <c r="N522" i="197"/>
  <c r="N298" i="197"/>
  <c r="L282" i="197"/>
  <c r="N282" i="197"/>
  <c r="L167" i="197"/>
  <c r="N167" i="197"/>
  <c r="L801" i="200"/>
  <c r="N801" i="200"/>
  <c r="L792" i="200"/>
  <c r="N792" i="200"/>
  <c r="N309" i="197"/>
  <c r="L309" i="197"/>
  <c r="L222" i="197"/>
  <c r="N222" i="197"/>
  <c r="N217" i="197"/>
  <c r="N112" i="197"/>
  <c r="L112" i="197"/>
  <c r="L326" i="202"/>
  <c r="L79" i="202"/>
  <c r="L28" i="202"/>
  <c r="N594" i="197"/>
  <c r="N481" i="197"/>
  <c r="L481" i="197"/>
  <c r="N365" i="197"/>
  <c r="N356" i="197"/>
  <c r="N334" i="197"/>
  <c r="L334" i="197"/>
  <c r="N310" i="197"/>
  <c r="N207" i="197"/>
  <c r="L207" i="197"/>
  <c r="L631" i="197"/>
  <c r="N609" i="197"/>
  <c r="L609" i="197"/>
  <c r="L563" i="197"/>
  <c r="N563" i="197"/>
  <c r="N517" i="197"/>
  <c r="L426" i="197"/>
  <c r="N426" i="197"/>
  <c r="L337" i="197"/>
  <c r="N337" i="197"/>
  <c r="L319" i="197"/>
  <c r="N319" i="197"/>
  <c r="L271" i="197"/>
  <c r="N271" i="197"/>
  <c r="L457" i="197"/>
  <c r="N457" i="197"/>
  <c r="N283" i="197"/>
  <c r="L283" i="197"/>
  <c r="N154" i="197"/>
  <c r="L154" i="197"/>
  <c r="L238" i="197"/>
  <c r="N238" i="197"/>
  <c r="L74" i="2"/>
  <c r="N27" i="2"/>
  <c r="N550" i="202"/>
  <c r="N527" i="202"/>
  <c r="L496" i="202"/>
  <c r="N276" i="202"/>
  <c r="N207" i="202"/>
  <c r="L178" i="202"/>
  <c r="L108" i="202"/>
  <c r="L41" i="202"/>
  <c r="N581" i="197"/>
  <c r="L541" i="197"/>
  <c r="L528" i="197"/>
  <c r="L466" i="197"/>
  <c r="N451" i="197"/>
  <c r="N403" i="197"/>
  <c r="N386" i="197"/>
  <c r="L386" i="197"/>
  <c r="N308" i="197"/>
  <c r="L288" i="197"/>
  <c r="N261" i="197"/>
  <c r="L261" i="197"/>
  <c r="N232" i="197"/>
  <c r="L232" i="197"/>
  <c r="N179" i="197"/>
  <c r="L118" i="197"/>
  <c r="N118" i="197"/>
  <c r="N116" i="197"/>
  <c r="N55" i="197"/>
  <c r="L55" i="197"/>
  <c r="N43" i="197"/>
  <c r="L43" i="197"/>
  <c r="L842" i="200"/>
  <c r="N820" i="200"/>
  <c r="L820" i="200"/>
  <c r="L683" i="200"/>
  <c r="N583" i="200"/>
  <c r="L583" i="200"/>
  <c r="L757" i="200"/>
  <c r="N757" i="200"/>
  <c r="L755" i="200"/>
  <c r="N755" i="200"/>
  <c r="N677" i="200"/>
  <c r="L677" i="200"/>
  <c r="L81" i="197"/>
  <c r="N81" i="197"/>
  <c r="L784" i="200"/>
  <c r="N784" i="200"/>
  <c r="N722" i="200"/>
  <c r="L722" i="200"/>
  <c r="L661" i="200"/>
  <c r="N661" i="200"/>
  <c r="L56" i="2"/>
  <c r="L163" i="202"/>
  <c r="L477" i="197"/>
  <c r="N360" i="197"/>
  <c r="L360" i="197"/>
  <c r="L202" i="197"/>
  <c r="N202" i="197"/>
  <c r="N147" i="197"/>
  <c r="L125" i="197"/>
  <c r="N125" i="197"/>
  <c r="N33" i="197"/>
  <c r="L863" i="200"/>
  <c r="N803" i="200"/>
  <c r="N788" i="200"/>
  <c r="N750" i="200"/>
  <c r="L750" i="200"/>
  <c r="L725" i="200"/>
  <c r="N725" i="200"/>
  <c r="N723" i="200"/>
  <c r="N411" i="197"/>
  <c r="L348" i="197"/>
  <c r="N348" i="197"/>
  <c r="N233" i="197"/>
  <c r="L233" i="197"/>
  <c r="L224" i="197"/>
  <c r="N224" i="197"/>
  <c r="N174" i="197"/>
  <c r="L174" i="197"/>
  <c r="N101" i="197"/>
  <c r="L101" i="197"/>
  <c r="N18" i="197"/>
  <c r="N751" i="200"/>
  <c r="L731" i="200"/>
  <c r="N731" i="200"/>
  <c r="N673" i="200"/>
  <c r="L673" i="200"/>
  <c r="N564" i="200"/>
  <c r="L564" i="200"/>
  <c r="N144" i="197"/>
  <c r="L144" i="197"/>
  <c r="N828" i="200"/>
  <c r="L828" i="200"/>
  <c r="L742" i="200"/>
  <c r="N742" i="200"/>
  <c r="L740" i="200"/>
  <c r="N740" i="200"/>
  <c r="L676" i="200"/>
  <c r="N676" i="200"/>
  <c r="N111" i="197"/>
  <c r="L111" i="197"/>
  <c r="N27" i="197"/>
  <c r="L27" i="197"/>
  <c r="N785" i="200"/>
  <c r="L785" i="200"/>
  <c r="N763" i="200"/>
  <c r="L691" i="200"/>
  <c r="N691" i="200"/>
  <c r="L665" i="200"/>
  <c r="N665" i="200"/>
  <c r="L398" i="197"/>
  <c r="N178" i="197"/>
  <c r="L178" i="197"/>
  <c r="N126" i="197"/>
  <c r="L126" i="197"/>
  <c r="N77" i="197"/>
  <c r="L77" i="197"/>
  <c r="L67" i="197"/>
  <c r="N28" i="197"/>
  <c r="N868" i="200"/>
  <c r="N838" i="200"/>
  <c r="L838" i="200"/>
  <c r="N808" i="200"/>
  <c r="N771" i="200"/>
  <c r="L771" i="200"/>
  <c r="L749" i="200"/>
  <c r="N749" i="200"/>
  <c r="N726" i="200"/>
  <c r="L726" i="200"/>
  <c r="N711" i="200"/>
  <c r="L711" i="200"/>
  <c r="L705" i="200"/>
  <c r="N628" i="200"/>
  <c r="L628" i="200"/>
  <c r="L647" i="200"/>
  <c r="N645" i="200"/>
  <c r="N545" i="200"/>
  <c r="N538" i="200"/>
  <c r="L474" i="200"/>
  <c r="N474" i="200"/>
  <c r="N471" i="200"/>
  <c r="L471" i="200"/>
  <c r="L415" i="200"/>
  <c r="N415" i="200"/>
  <c r="N371" i="200"/>
  <c r="L236" i="200"/>
  <c r="N236" i="200"/>
  <c r="N183" i="200"/>
  <c r="L183" i="200"/>
  <c r="L385" i="197"/>
  <c r="L304" i="197"/>
  <c r="L153" i="197"/>
  <c r="L797" i="200"/>
  <c r="N797" i="200"/>
  <c r="N756" i="200"/>
  <c r="L756" i="200"/>
  <c r="L693" i="200"/>
  <c r="N615" i="200"/>
  <c r="N557" i="200"/>
  <c r="L557" i="200"/>
  <c r="L551" i="200"/>
  <c r="N551" i="200"/>
  <c r="L516" i="200"/>
  <c r="L497" i="200"/>
  <c r="L487" i="200"/>
  <c r="L481" i="200"/>
  <c r="L380" i="200"/>
  <c r="N243" i="197"/>
  <c r="L243" i="197"/>
  <c r="L855" i="200"/>
  <c r="N855" i="200"/>
  <c r="L700" i="200"/>
  <c r="N635" i="200"/>
  <c r="L635" i="200"/>
  <c r="L608" i="200"/>
  <c r="N608" i="200"/>
  <c r="L602" i="200"/>
  <c r="L526" i="200"/>
  <c r="N501" i="200"/>
  <c r="L491" i="200"/>
  <c r="N485" i="200"/>
  <c r="N428" i="200"/>
  <c r="N368" i="200"/>
  <c r="L368" i="200"/>
  <c r="N433" i="200"/>
  <c r="L433" i="200"/>
  <c r="L422" i="200"/>
  <c r="N422" i="200"/>
  <c r="L704" i="200"/>
  <c r="N702" i="200"/>
  <c r="L682" i="200"/>
  <c r="N520" i="200"/>
  <c r="L520" i="200"/>
  <c r="L514" i="200"/>
  <c r="N514" i="200"/>
  <c r="N392" i="200"/>
  <c r="L392" i="200"/>
  <c r="L378" i="200"/>
  <c r="N378" i="200"/>
  <c r="N376" i="200"/>
  <c r="L281" i="200"/>
  <c r="N281" i="200"/>
  <c r="N578" i="200"/>
  <c r="L578" i="200"/>
  <c r="L479" i="200"/>
  <c r="N446" i="200"/>
  <c r="L446" i="200"/>
  <c r="L405" i="200"/>
  <c r="N405" i="200"/>
  <c r="L390" i="200"/>
  <c r="N390" i="200"/>
  <c r="N388" i="200"/>
  <c r="L349" i="200"/>
  <c r="N349" i="200"/>
  <c r="L328" i="200"/>
  <c r="N328" i="200"/>
  <c r="N249" i="200"/>
  <c r="N385" i="197"/>
  <c r="N304" i="197"/>
  <c r="N153" i="197"/>
  <c r="N764" i="200"/>
  <c r="L764" i="200"/>
  <c r="N735" i="200"/>
  <c r="L718" i="200"/>
  <c r="L695" i="200"/>
  <c r="N693" i="200"/>
  <c r="L674" i="200"/>
  <c r="L653" i="200"/>
  <c r="N584" i="200"/>
  <c r="L584" i="200"/>
  <c r="L556" i="200"/>
  <c r="L456" i="200"/>
  <c r="L453" i="200"/>
  <c r="N356" i="200"/>
  <c r="L409" i="200"/>
  <c r="N364" i="200"/>
  <c r="L364" i="200"/>
  <c r="L350" i="200"/>
  <c r="L432" i="200"/>
  <c r="N432" i="200"/>
  <c r="L426" i="200"/>
  <c r="L417" i="200"/>
  <c r="L407" i="200"/>
  <c r="L334" i="200"/>
  <c r="N312" i="200"/>
  <c r="L312" i="200"/>
  <c r="L304" i="200"/>
  <c r="L276" i="200"/>
  <c r="L155" i="200"/>
  <c r="N155" i="200"/>
  <c r="N66" i="200"/>
  <c r="L66" i="200"/>
  <c r="N144" i="198"/>
  <c r="L144" i="198"/>
  <c r="N192" i="200"/>
  <c r="L192" i="200"/>
  <c r="L173" i="200"/>
  <c r="L83" i="198"/>
  <c r="N83" i="198"/>
  <c r="L26" i="197"/>
  <c r="L813" i="200"/>
  <c r="L744" i="200"/>
  <c r="L686" i="200"/>
  <c r="N654" i="200"/>
  <c r="L654" i="200"/>
  <c r="L571" i="200"/>
  <c r="L534" i="200"/>
  <c r="N461" i="200"/>
  <c r="L461" i="200"/>
  <c r="L455" i="200"/>
  <c r="N383" i="200"/>
  <c r="L383" i="200"/>
  <c r="L319" i="200"/>
  <c r="N261" i="200"/>
  <c r="L261" i="200"/>
  <c r="L214" i="200"/>
  <c r="L196" i="200"/>
  <c r="L182" i="200"/>
  <c r="N182" i="200"/>
  <c r="L72" i="200"/>
  <c r="N72" i="200"/>
  <c r="L274" i="200"/>
  <c r="N274" i="200"/>
  <c r="N135" i="200"/>
  <c r="L135" i="200"/>
  <c r="L34" i="200"/>
  <c r="N34" i="200"/>
  <c r="L99" i="198"/>
  <c r="N99" i="198"/>
  <c r="L208" i="200"/>
  <c r="N208" i="200"/>
  <c r="L202" i="200"/>
  <c r="N202" i="200"/>
  <c r="L93" i="200"/>
  <c r="N93" i="200"/>
  <c r="N305" i="200"/>
  <c r="L305" i="200"/>
  <c r="L265" i="200"/>
  <c r="L191" i="200"/>
  <c r="N191" i="200"/>
  <c r="L108" i="200"/>
  <c r="N108" i="200"/>
  <c r="L13" i="200"/>
  <c r="N13" i="200"/>
  <c r="N342" i="200"/>
  <c r="L342" i="200"/>
  <c r="N327" i="200"/>
  <c r="L327" i="200"/>
  <c r="N257" i="200"/>
  <c r="L257" i="200"/>
  <c r="L222" i="200"/>
  <c r="N222" i="200"/>
  <c r="N150" i="200"/>
  <c r="L150" i="200"/>
  <c r="L197" i="198"/>
  <c r="N197" i="198"/>
  <c r="L837" i="200"/>
  <c r="L597" i="200"/>
  <c r="L529" i="200"/>
  <c r="L470" i="200"/>
  <c r="L441" i="200"/>
  <c r="L197" i="200"/>
  <c r="L179" i="200"/>
  <c r="L166" i="200"/>
  <c r="L154" i="200"/>
  <c r="N143" i="200"/>
  <c r="L128" i="200"/>
  <c r="L124" i="200"/>
  <c r="L100" i="200"/>
  <c r="L36" i="200"/>
  <c r="N134" i="198"/>
  <c r="L47" i="198"/>
  <c r="N47" i="198"/>
  <c r="N38" i="198"/>
  <c r="L303" i="3"/>
  <c r="N303" i="3"/>
  <c r="N301" i="3"/>
  <c r="L80" i="200"/>
  <c r="L65" i="200"/>
  <c r="N65" i="200"/>
  <c r="L21" i="200"/>
  <c r="N21" i="200"/>
  <c r="L170" i="198"/>
  <c r="N364" i="3"/>
  <c r="N86" i="200"/>
  <c r="L86" i="200"/>
  <c r="L140" i="198"/>
  <c r="N122" i="198"/>
  <c r="N384" i="3"/>
  <c r="N101" i="200"/>
  <c r="L101" i="200"/>
  <c r="L292" i="3"/>
  <c r="N292" i="3"/>
  <c r="N18" i="3"/>
  <c r="L18" i="3"/>
  <c r="N13" i="198"/>
  <c r="L13" i="198"/>
  <c r="L390" i="3"/>
  <c r="N390" i="3"/>
  <c r="L95" i="3"/>
  <c r="N95" i="3"/>
  <c r="N170" i="201"/>
  <c r="L170" i="201"/>
  <c r="L116" i="198"/>
  <c r="N116" i="198"/>
  <c r="L274" i="3"/>
  <c r="N274" i="3"/>
  <c r="N90" i="3"/>
  <c r="L90" i="3"/>
  <c r="L24" i="3"/>
  <c r="N24" i="3"/>
  <c r="L138" i="200"/>
  <c r="N138" i="200"/>
  <c r="N136" i="200"/>
  <c r="L130" i="200"/>
  <c r="L109" i="200"/>
  <c r="L87" i="200"/>
  <c r="L55" i="200"/>
  <c r="N55" i="200"/>
  <c r="L26" i="200"/>
  <c r="L20" i="200"/>
  <c r="N192" i="198"/>
  <c r="L30" i="198"/>
  <c r="N30" i="198"/>
  <c r="L398" i="3"/>
  <c r="N173" i="3"/>
  <c r="L173" i="3"/>
  <c r="N149" i="200"/>
  <c r="L121" i="200"/>
  <c r="N121" i="200"/>
  <c r="L79" i="200"/>
  <c r="N79" i="200"/>
  <c r="L71" i="200"/>
  <c r="L33" i="200"/>
  <c r="L18" i="200"/>
  <c r="L117" i="198"/>
  <c r="N75" i="198"/>
  <c r="L75" i="198"/>
  <c r="L404" i="3"/>
  <c r="N404" i="3"/>
  <c r="N293" i="3"/>
  <c r="L293" i="3"/>
  <c r="L178" i="3"/>
  <c r="N178" i="3"/>
  <c r="L394" i="200"/>
  <c r="L28" i="200"/>
  <c r="L61" i="198"/>
  <c r="N61" i="198"/>
  <c r="L320" i="3"/>
  <c r="L307" i="3"/>
  <c r="N307" i="3"/>
  <c r="L75" i="3"/>
  <c r="N75" i="3"/>
  <c r="L209" i="201"/>
  <c r="N209" i="201"/>
  <c r="N134" i="201"/>
  <c r="L134" i="201"/>
  <c r="L132" i="201"/>
  <c r="N132" i="201"/>
  <c r="L232" i="200"/>
  <c r="L131" i="200"/>
  <c r="L74" i="200"/>
  <c r="L27" i="200"/>
  <c r="L95" i="198"/>
  <c r="N95" i="198"/>
  <c r="L52" i="198"/>
  <c r="L372" i="3"/>
  <c r="L348" i="3"/>
  <c r="N348" i="3"/>
  <c r="L279" i="3"/>
  <c r="N137" i="3"/>
  <c r="L137" i="3"/>
  <c r="L125" i="3"/>
  <c r="L115" i="3"/>
  <c r="N115" i="3"/>
  <c r="N530" i="199"/>
  <c r="L530" i="199"/>
  <c r="L436" i="199"/>
  <c r="N436" i="199"/>
  <c r="N223" i="201"/>
  <c r="L223" i="201"/>
  <c r="N189" i="201"/>
  <c r="L189" i="201"/>
  <c r="L41" i="200"/>
  <c r="L424" i="3"/>
  <c r="N424" i="3"/>
  <c r="N271" i="3"/>
  <c r="L271" i="3"/>
  <c r="L265" i="3"/>
  <c r="N265" i="3"/>
  <c r="L576" i="199"/>
  <c r="N576" i="199"/>
  <c r="L470" i="199"/>
  <c r="N470" i="199"/>
  <c r="L392" i="199"/>
  <c r="N392" i="199"/>
  <c r="L215" i="3"/>
  <c r="N215" i="3"/>
  <c r="L89" i="3"/>
  <c r="N89" i="3"/>
  <c r="N74" i="3"/>
  <c r="L74" i="3"/>
  <c r="N23" i="3"/>
  <c r="L23" i="3"/>
  <c r="L44" i="201"/>
  <c r="N44" i="201"/>
  <c r="L561" i="199"/>
  <c r="N561" i="199"/>
  <c r="N536" i="199"/>
  <c r="L536" i="199"/>
  <c r="N286" i="203"/>
  <c r="L286" i="203"/>
  <c r="N249" i="203"/>
  <c r="L249" i="203"/>
  <c r="L190" i="3"/>
  <c r="N190" i="3"/>
  <c r="N148" i="3"/>
  <c r="L148" i="3"/>
  <c r="N180" i="201"/>
  <c r="N616" i="199"/>
  <c r="N586" i="199"/>
  <c r="L586" i="199"/>
  <c r="L548" i="199"/>
  <c r="L518" i="199"/>
  <c r="N518" i="199"/>
  <c r="N516" i="199"/>
  <c r="L496" i="199"/>
  <c r="N481" i="199"/>
  <c r="L440" i="199"/>
  <c r="N440" i="199"/>
  <c r="L422" i="199"/>
  <c r="N422" i="199"/>
  <c r="N262" i="199"/>
  <c r="L262" i="199"/>
  <c r="L248" i="199"/>
  <c r="N248" i="199"/>
  <c r="L26" i="201"/>
  <c r="N26" i="201"/>
  <c r="L537" i="199"/>
  <c r="L465" i="199"/>
  <c r="N465" i="199"/>
  <c r="L428" i="199"/>
  <c r="L274" i="199"/>
  <c r="N274" i="199"/>
  <c r="L165" i="3"/>
  <c r="N165" i="3"/>
  <c r="L84" i="3"/>
  <c r="N84" i="3"/>
  <c r="N69" i="201"/>
  <c r="N510" i="199"/>
  <c r="L510" i="199"/>
  <c r="N471" i="199"/>
  <c r="L471" i="199"/>
  <c r="N232" i="199"/>
  <c r="L232" i="199"/>
  <c r="N138" i="201"/>
  <c r="L138" i="201"/>
  <c r="N120" i="201"/>
  <c r="L120" i="201"/>
  <c r="N52" i="201"/>
  <c r="L52" i="201"/>
  <c r="N562" i="199"/>
  <c r="L562" i="199"/>
  <c r="L535" i="199"/>
  <c r="N535" i="199"/>
  <c r="N460" i="199"/>
  <c r="L460" i="199"/>
  <c r="L412" i="199"/>
  <c r="N412" i="199"/>
  <c r="L386" i="199"/>
  <c r="N386" i="199"/>
  <c r="N372" i="199"/>
  <c r="L372" i="199"/>
  <c r="L176" i="198"/>
  <c r="L316" i="3"/>
  <c r="L267" i="3"/>
  <c r="N228" i="3"/>
  <c r="L147" i="3"/>
  <c r="N147" i="3"/>
  <c r="N142" i="3"/>
  <c r="N57" i="3"/>
  <c r="L57" i="3"/>
  <c r="N228" i="201"/>
  <c r="L228" i="201"/>
  <c r="N175" i="201"/>
  <c r="N128" i="201"/>
  <c r="L14" i="201"/>
  <c r="L585" i="199"/>
  <c r="N585" i="199"/>
  <c r="N547" i="199"/>
  <c r="L547" i="199"/>
  <c r="N476" i="199"/>
  <c r="N461" i="199"/>
  <c r="N448" i="199"/>
  <c r="L448" i="199"/>
  <c r="N416" i="199"/>
  <c r="L234" i="3"/>
  <c r="N198" i="3"/>
  <c r="L198" i="3"/>
  <c r="L129" i="3"/>
  <c r="N129" i="3"/>
  <c r="L91" i="3"/>
  <c r="N80" i="3"/>
  <c r="L52" i="3"/>
  <c r="L191" i="201"/>
  <c r="N191" i="201"/>
  <c r="L162" i="201"/>
  <c r="N162" i="201"/>
  <c r="N133" i="201"/>
  <c r="L133" i="201"/>
  <c r="N115" i="201"/>
  <c r="L115" i="201"/>
  <c r="L60" i="201"/>
  <c r="N27" i="201"/>
  <c r="L27" i="201"/>
  <c r="N496" i="199"/>
  <c r="L407" i="199"/>
  <c r="N398" i="199"/>
  <c r="L398" i="199"/>
  <c r="N238" i="203"/>
  <c r="L238" i="203"/>
  <c r="L111" i="3"/>
  <c r="L427" i="199"/>
  <c r="L424" i="199"/>
  <c r="N424" i="199"/>
  <c r="N294" i="199"/>
  <c r="L246" i="199"/>
  <c r="N246" i="199"/>
  <c r="N32" i="199"/>
  <c r="L32" i="199"/>
  <c r="N70" i="199"/>
  <c r="L70" i="199"/>
  <c r="N58" i="199"/>
  <c r="L58" i="199"/>
  <c r="N47" i="199"/>
  <c r="L47" i="199"/>
  <c r="N306" i="199"/>
  <c r="L306" i="199"/>
  <c r="L267" i="199"/>
  <c r="L261" i="199"/>
  <c r="N261" i="199"/>
  <c r="N173" i="199"/>
  <c r="L173" i="199"/>
  <c r="N150" i="199"/>
  <c r="L150" i="199"/>
  <c r="N139" i="199"/>
  <c r="L139" i="199"/>
  <c r="L248" i="3"/>
  <c r="L570" i="199"/>
  <c r="L529" i="199"/>
  <c r="L509" i="199"/>
  <c r="L405" i="199"/>
  <c r="N405" i="199"/>
  <c r="L361" i="199"/>
  <c r="N329" i="199"/>
  <c r="L300" i="199"/>
  <c r="L222" i="199"/>
  <c r="N417" i="199"/>
  <c r="L417" i="199"/>
  <c r="L338" i="199"/>
  <c r="N338" i="199"/>
  <c r="L397" i="199"/>
  <c r="N397" i="199"/>
  <c r="L371" i="199"/>
  <c r="N371" i="199"/>
  <c r="L237" i="199"/>
  <c r="L231" i="199"/>
  <c r="N231" i="199"/>
  <c r="N183" i="199"/>
  <c r="L183" i="199"/>
  <c r="N91" i="199"/>
  <c r="L91" i="199"/>
  <c r="L340" i="203"/>
  <c r="L297" i="203"/>
  <c r="N148" i="203"/>
  <c r="L148" i="203"/>
  <c r="N267" i="203"/>
  <c r="L267" i="203"/>
  <c r="N126" i="203"/>
  <c r="L126" i="203"/>
  <c r="N86" i="203"/>
  <c r="L86" i="203"/>
  <c r="N68" i="203"/>
  <c r="L68" i="203"/>
  <c r="N57" i="203"/>
  <c r="L57" i="203"/>
  <c r="L312" i="203"/>
  <c r="N206" i="203"/>
  <c r="L206" i="203"/>
  <c r="N188" i="203"/>
  <c r="L188" i="203"/>
  <c r="L32" i="203"/>
  <c r="L390" i="199"/>
  <c r="L192" i="199"/>
  <c r="L166" i="199"/>
  <c r="L140" i="199"/>
  <c r="L74" i="199"/>
  <c r="L41" i="199"/>
  <c r="L214" i="203"/>
  <c r="L196" i="203"/>
  <c r="N177" i="203"/>
  <c r="L177" i="203"/>
  <c r="N332" i="203"/>
  <c r="L332" i="203"/>
  <c r="N307" i="203"/>
  <c r="L307" i="203"/>
  <c r="L43" i="203"/>
  <c r="N198" i="199"/>
  <c r="L198" i="199"/>
  <c r="L88" i="199"/>
  <c r="N69" i="199"/>
  <c r="L69" i="199"/>
  <c r="N296" i="203"/>
  <c r="L296" i="203"/>
  <c r="L178" i="203"/>
  <c r="L116" i="203"/>
  <c r="N97" i="203"/>
  <c r="L97" i="203"/>
  <c r="L357" i="199"/>
  <c r="L207" i="199"/>
  <c r="N187" i="199"/>
  <c r="L187" i="199"/>
  <c r="N161" i="199"/>
  <c r="L161" i="199"/>
  <c r="L63" i="199"/>
  <c r="N285" i="203"/>
  <c r="L285" i="203"/>
  <c r="L160" i="203"/>
  <c r="L73" i="203"/>
  <c r="L62" i="203"/>
  <c r="N142" i="203"/>
  <c r="N131" i="203"/>
  <c r="N91" i="203"/>
  <c r="N73" i="203"/>
  <c r="N62" i="203"/>
  <c r="N22" i="203"/>
  <c r="N378" i="199"/>
  <c r="N356" i="199"/>
  <c r="N345" i="199"/>
  <c r="N312" i="199"/>
  <c r="N290" i="199"/>
  <c r="N279" i="199"/>
  <c r="N268" i="199"/>
  <c r="N253" i="199"/>
  <c r="N238" i="199"/>
  <c r="N223" i="199"/>
  <c r="N208" i="199"/>
  <c r="N193" i="199"/>
  <c r="N178" i="199"/>
  <c r="N167" i="199"/>
  <c r="N156" i="199"/>
  <c r="N145" i="199"/>
  <c r="N134" i="199"/>
  <c r="N97" i="199"/>
  <c r="N82" i="199"/>
  <c r="N53" i="199"/>
  <c r="N38" i="199"/>
  <c r="N320" i="203"/>
  <c r="N302" i="203"/>
  <c r="N291" i="203"/>
  <c r="N244" i="203"/>
  <c r="N226" i="203"/>
  <c r="N201" i="203"/>
  <c r="N183" i="203"/>
  <c r="N165" i="203"/>
  <c r="N154" i="203"/>
  <c r="N143" i="203"/>
  <c r="N132" i="203"/>
  <c r="N110" i="203"/>
  <c r="N81" i="203"/>
  <c r="N63" i="203"/>
  <c r="N52" i="203"/>
  <c r="N23" i="203"/>
  <c r="N27" i="203"/>
  <c r="N379" i="199"/>
  <c r="N357" i="199"/>
  <c r="D32" i="203"/>
  <c r="D43" i="203"/>
  <c r="D106" i="203"/>
  <c r="D239" i="203"/>
  <c r="D23" i="203"/>
  <c r="D132" i="203"/>
  <c r="D133" i="203" s="1"/>
  <c r="D134" i="203" s="1"/>
  <c r="D63" i="203"/>
  <c r="D82" i="203"/>
  <c r="D259" i="203"/>
  <c r="D178" i="203"/>
  <c r="D179" i="203" s="1"/>
  <c r="D12" i="203"/>
  <c r="D13" i="203" s="1"/>
  <c r="D41" i="202"/>
  <c r="D42" i="202" s="1"/>
  <c r="D43" i="202" s="1"/>
  <c r="D89" i="202"/>
  <c r="D373" i="202"/>
  <c r="D374" i="202" s="1"/>
  <c r="D491" i="202"/>
  <c r="D75" i="202"/>
  <c r="D128" i="202"/>
  <c r="D129" i="202" s="1"/>
  <c r="D163" i="202"/>
  <c r="D164" i="202" s="1"/>
  <c r="D165" i="202" s="1"/>
  <c r="D166" i="202" s="1"/>
  <c r="D175" i="202"/>
  <c r="D176" i="202" s="1"/>
  <c r="D177" i="202" s="1"/>
  <c r="D178" i="202" s="1"/>
  <c r="D188" i="202"/>
  <c r="D189" i="202" s="1"/>
  <c r="D199" i="202"/>
  <c r="D245" i="202"/>
  <c r="D246" i="202" s="1"/>
  <c r="D247" i="202" s="1"/>
  <c r="D354" i="202"/>
  <c r="D368" i="202"/>
  <c r="D231" i="202"/>
  <c r="D496" i="202"/>
  <c r="D505" i="202"/>
  <c r="D226" i="202"/>
  <c r="D23" i="202"/>
  <c r="D139" i="202"/>
  <c r="D157" i="202"/>
  <c r="D158" i="202" s="1"/>
  <c r="D388" i="202"/>
  <c r="D389" i="202" s="1"/>
  <c r="D390" i="202" s="1"/>
  <c r="D391" i="202" s="1"/>
  <c r="D122" i="202"/>
  <c r="D123" i="202" s="1"/>
  <c r="D28" i="202"/>
  <c r="D29" i="202" s="1"/>
  <c r="D56" i="202"/>
  <c r="D34" i="202"/>
  <c r="D35" i="202" s="1"/>
  <c r="D36" i="202" s="1"/>
  <c r="D84" i="202"/>
  <c r="D144" i="202"/>
  <c r="D145" i="202" s="1"/>
  <c r="D146" i="202" s="1"/>
  <c r="D48" i="202"/>
  <c r="D49" i="202" s="1"/>
  <c r="D50" i="202" s="1"/>
  <c r="D51" i="202" s="1"/>
  <c r="D61" i="202"/>
  <c r="D70" i="202"/>
  <c r="D326" i="202"/>
  <c r="D94" i="202"/>
  <c r="D95" i="202" s="1"/>
  <c r="D183" i="202"/>
  <c r="D194" i="202"/>
  <c r="D235" i="201"/>
  <c r="D236" i="201" s="1"/>
  <c r="D199" i="201"/>
  <c r="D200" i="201" s="1"/>
  <c r="D783" i="200"/>
  <c r="D784" i="200" s="1"/>
  <c r="D785" i="200" s="1"/>
  <c r="D786" i="200" s="1"/>
  <c r="D787" i="200" s="1"/>
  <c r="D788" i="200" s="1"/>
  <c r="D789" i="200" s="1"/>
  <c r="D790" i="200" s="1"/>
  <c r="D791" i="200" s="1"/>
  <c r="D792" i="200" s="1"/>
  <c r="D34" i="200"/>
  <c r="D35" i="200" s="1"/>
  <c r="D36" i="200" s="1"/>
  <c r="D72" i="200"/>
  <c r="D73" i="200" s="1"/>
  <c r="D74" i="200" s="1"/>
  <c r="D423" i="200"/>
  <c r="D424" i="200" s="1"/>
  <c r="D425" i="200" s="1"/>
  <c r="D426" i="200" s="1"/>
  <c r="D427" i="200" s="1"/>
  <c r="D428" i="200" s="1"/>
  <c r="D544" i="200"/>
  <c r="D545" i="200" s="1"/>
  <c r="D565" i="200"/>
  <c r="D589" i="200"/>
  <c r="D590" i="200" s="1"/>
  <c r="D591" i="200" s="1"/>
  <c r="D691" i="200"/>
  <c r="D692" i="200" s="1"/>
  <c r="D693" i="200" s="1"/>
  <c r="D694" i="200" s="1"/>
  <c r="D695" i="200" s="1"/>
  <c r="D717" i="200"/>
  <c r="D718" i="200" s="1"/>
  <c r="D864" i="200"/>
  <c r="D160" i="200"/>
  <c r="D161" i="200" s="1"/>
  <c r="D162" i="200" s="1"/>
  <c r="D163" i="200" s="1"/>
  <c r="D164" i="200" s="1"/>
  <c r="D165" i="200" s="1"/>
  <c r="D166" i="200" s="1"/>
  <c r="D167" i="200" s="1"/>
  <c r="D168" i="200" s="1"/>
  <c r="D237" i="200"/>
  <c r="D270" i="200"/>
  <c r="D362" i="200"/>
  <c r="D363" i="200" s="1"/>
  <c r="D364" i="200" s="1"/>
  <c r="D377" i="200"/>
  <c r="D378" i="200" s="1"/>
  <c r="D379" i="200" s="1"/>
  <c r="D380" i="200" s="1"/>
  <c r="D381" i="200" s="1"/>
  <c r="D382" i="200" s="1"/>
  <c r="D383" i="200" s="1"/>
  <c r="D384" i="200" s="1"/>
  <c r="D486" i="200"/>
  <c r="D487" i="200" s="1"/>
  <c r="D534" i="200"/>
  <c r="D570" i="200"/>
  <c r="D571" i="200" s="1"/>
  <c r="D572" i="200" s="1"/>
  <c r="D573" i="200" s="1"/>
  <c r="D65" i="200"/>
  <c r="D66" i="200" s="1"/>
  <c r="D67" i="200" s="1"/>
  <c r="D114" i="200"/>
  <c r="D115" i="200" s="1"/>
  <c r="D143" i="200"/>
  <c r="D144" i="200" s="1"/>
  <c r="D145" i="200" s="1"/>
  <c r="D180" i="200"/>
  <c r="D181" i="200" s="1"/>
  <c r="D182" i="200" s="1"/>
  <c r="D183" i="200" s="1"/>
  <c r="D227" i="200"/>
  <c r="D228" i="200" s="1"/>
  <c r="D319" i="200"/>
  <c r="D320" i="200" s="1"/>
  <c r="D389" i="200"/>
  <c r="D390" i="200" s="1"/>
  <c r="D391" i="200" s="1"/>
  <c r="D392" i="200" s="1"/>
  <c r="D393" i="200" s="1"/>
  <c r="D394" i="200" s="1"/>
  <c r="D395" i="200" s="1"/>
  <c r="D470" i="200"/>
  <c r="D471" i="200" s="1"/>
  <c r="D472" i="200" s="1"/>
  <c r="D473" i="200" s="1"/>
  <c r="D474" i="200" s="1"/>
  <c r="D497" i="200"/>
  <c r="D506" i="200"/>
  <c r="D556" i="200"/>
  <c r="D557" i="200" s="1"/>
  <c r="D558" i="200" s="1"/>
  <c r="D559" i="200" s="1"/>
  <c r="D560" i="200" s="1"/>
  <c r="D578" i="200"/>
  <c r="D615" i="200"/>
  <c r="D616" i="200" s="1"/>
  <c r="D636" i="200"/>
  <c r="D637" i="200" s="1"/>
  <c r="D638" i="200" s="1"/>
  <c r="D639" i="200" s="1"/>
  <c r="D640" i="200" s="1"/>
  <c r="D837" i="200"/>
  <c r="D838" i="200" s="1"/>
  <c r="D19" i="200"/>
  <c r="D20" i="200" s="1"/>
  <c r="D21" i="200" s="1"/>
  <c r="D92" i="200"/>
  <c r="D93" i="200" s="1"/>
  <c r="D207" i="200"/>
  <c r="D208" i="200" s="1"/>
  <c r="D209" i="200" s="1"/>
  <c r="D210" i="200" s="1"/>
  <c r="D275" i="200"/>
  <c r="D276" i="200" s="1"/>
  <c r="D277" i="200" s="1"/>
  <c r="D291" i="200"/>
  <c r="D292" i="200" s="1"/>
  <c r="D293" i="200" s="1"/>
  <c r="D325" i="200"/>
  <c r="D326" i="200" s="1"/>
  <c r="D327" i="200" s="1"/>
  <c r="D328" i="200" s="1"/>
  <c r="D355" i="200"/>
  <c r="D356" i="200" s="1"/>
  <c r="D357" i="200" s="1"/>
  <c r="D369" i="200"/>
  <c r="D370" i="200" s="1"/>
  <c r="D371" i="200" s="1"/>
  <c r="D372" i="200" s="1"/>
  <c r="D415" i="200"/>
  <c r="D416" i="200" s="1"/>
  <c r="D417" i="200" s="1"/>
  <c r="D418" i="200" s="1"/>
  <c r="D41" i="200"/>
  <c r="D60" i="200"/>
  <c r="D79" i="200"/>
  <c r="D80" i="200" s="1"/>
  <c r="D81" i="200" s="1"/>
  <c r="D107" i="200"/>
  <c r="D108" i="200" s="1"/>
  <c r="D109" i="200" s="1"/>
  <c r="D120" i="200"/>
  <c r="D121" i="200" s="1"/>
  <c r="D122" i="200" s="1"/>
  <c r="D123" i="200" s="1"/>
  <c r="D124" i="200" s="1"/>
  <c r="D188" i="200"/>
  <c r="D189" i="200" s="1"/>
  <c r="D190" i="200" s="1"/>
  <c r="D191" i="200" s="1"/>
  <c r="D192" i="200" s="1"/>
  <c r="D302" i="200"/>
  <c r="D303" i="200" s="1"/>
  <c r="D304" i="200" s="1"/>
  <c r="D305" i="200" s="1"/>
  <c r="D306" i="200" s="1"/>
  <c r="D307" i="200" s="1"/>
  <c r="D308" i="200" s="1"/>
  <c r="D339" i="200"/>
  <c r="D340" i="200" s="1"/>
  <c r="D341" i="200" s="1"/>
  <c r="D342" i="200" s="1"/>
  <c r="D453" i="200"/>
  <c r="D454" i="200" s="1"/>
  <c r="D455" i="200" s="1"/>
  <c r="D456" i="200" s="1"/>
  <c r="D661" i="200"/>
  <c r="D662" i="200" s="1"/>
  <c r="D663" i="200" s="1"/>
  <c r="D664" i="200" s="1"/>
  <c r="D665" i="200" s="1"/>
  <c r="D666" i="200" s="1"/>
  <c r="D596" i="200"/>
  <c r="D597" i="200" s="1"/>
  <c r="D50" i="200"/>
  <c r="D51" i="200" s="1"/>
  <c r="D86" i="200"/>
  <c r="D87" i="200" s="1"/>
  <c r="D173" i="200"/>
  <c r="D174" i="200" s="1"/>
  <c r="D175" i="200" s="1"/>
  <c r="D286" i="200"/>
  <c r="D406" i="200"/>
  <c r="D407" i="200" s="1"/>
  <c r="D408" i="200" s="1"/>
  <c r="D409" i="200" s="1"/>
  <c r="D410" i="200" s="1"/>
  <c r="D492" i="200"/>
  <c r="D129" i="200"/>
  <c r="D130" i="200" s="1"/>
  <c r="D131" i="200" s="1"/>
  <c r="D132" i="200" s="1"/>
  <c r="D133" i="200" s="1"/>
  <c r="D134" i="200" s="1"/>
  <c r="D135" i="200" s="1"/>
  <c r="D136" i="200" s="1"/>
  <c r="D137" i="200" s="1"/>
  <c r="D138" i="200" s="1"/>
  <c r="D197" i="200"/>
  <c r="D198" i="200" s="1"/>
  <c r="D313" i="200"/>
  <c r="D314" i="200" s="1"/>
  <c r="D347" i="200"/>
  <c r="D348" i="200" s="1"/>
  <c r="D349" i="200" s="1"/>
  <c r="D350" i="200" s="1"/>
  <c r="D433" i="200"/>
  <c r="D434" i="200" s="1"/>
  <c r="D435" i="200" s="1"/>
  <c r="D461" i="200"/>
  <c r="D462" i="200" s="1"/>
  <c r="D463" i="200" s="1"/>
  <c r="D464" i="200" s="1"/>
  <c r="D465" i="200" s="1"/>
  <c r="D515" i="200"/>
  <c r="D516" i="200" s="1"/>
  <c r="D700" i="200"/>
  <c r="D701" i="200" s="1"/>
  <c r="D702" i="200" s="1"/>
  <c r="D703" i="200" s="1"/>
  <c r="D704" i="200" s="1"/>
  <c r="D705" i="200" s="1"/>
  <c r="D706" i="200" s="1"/>
  <c r="D707" i="200" s="1"/>
  <c r="D583" i="200"/>
  <c r="D584" i="200" s="1"/>
  <c r="D521" i="200"/>
  <c r="D526" i="200"/>
  <c r="D527" i="200" s="1"/>
  <c r="D528" i="200" s="1"/>
  <c r="D529" i="200" s="1"/>
  <c r="D26" i="200"/>
  <c r="D27" i="200" s="1"/>
  <c r="D28" i="200" s="1"/>
  <c r="D29" i="200" s="1"/>
  <c r="D98" i="200"/>
  <c r="D99" i="200" s="1"/>
  <c r="D100" i="200" s="1"/>
  <c r="D101" i="200" s="1"/>
  <c r="D102" i="200" s="1"/>
  <c r="D150" i="200"/>
  <c r="D151" i="200" s="1"/>
  <c r="D152" i="200" s="1"/>
  <c r="D153" i="200" s="1"/>
  <c r="D154" i="200" s="1"/>
  <c r="D155" i="200" s="1"/>
  <c r="D132" i="199"/>
  <c r="D133" i="199" s="1"/>
  <c r="D134" i="199" s="1"/>
  <c r="D166" i="199"/>
  <c r="D167" i="199" s="1"/>
  <c r="D168" i="199" s="1"/>
  <c r="D169" i="199" s="1"/>
  <c r="D261" i="199"/>
  <c r="D262" i="199" s="1"/>
  <c r="D397" i="199"/>
  <c r="D398" i="199" s="1"/>
  <c r="D399" i="199" s="1"/>
  <c r="D400" i="199" s="1"/>
  <c r="D528" i="199"/>
  <c r="D529" i="199" s="1"/>
  <c r="D530" i="199" s="1"/>
  <c r="D104" i="199"/>
  <c r="D105" i="199" s="1"/>
  <c r="D116" i="199"/>
  <c r="D126" i="199"/>
  <c r="D127" i="199" s="1"/>
  <c r="D245" i="199"/>
  <c r="D246" i="199" s="1"/>
  <c r="D247" i="199" s="1"/>
  <c r="D248" i="199" s="1"/>
  <c r="D249" i="199" s="1"/>
  <c r="D273" i="199"/>
  <c r="D274" i="199" s="1"/>
  <c r="D275" i="199" s="1"/>
  <c r="D299" i="199"/>
  <c r="D300" i="199" s="1"/>
  <c r="D385" i="199"/>
  <c r="D386" i="199" s="1"/>
  <c r="D387" i="199" s="1"/>
  <c r="D388" i="199" s="1"/>
  <c r="D389" i="199" s="1"/>
  <c r="D390" i="199" s="1"/>
  <c r="D391" i="199" s="1"/>
  <c r="D392" i="199" s="1"/>
  <c r="D487" i="199"/>
  <c r="D523" i="199"/>
  <c r="D25" i="199"/>
  <c r="D26" i="199" s="1"/>
  <c r="D199" i="199"/>
  <c r="D200" i="199" s="1"/>
  <c r="D201" i="199" s="1"/>
  <c r="D215" i="199"/>
  <c r="D216" i="199" s="1"/>
  <c r="D229" i="199"/>
  <c r="D230" i="199" s="1"/>
  <c r="D231" i="199" s="1"/>
  <c r="D232" i="199" s="1"/>
  <c r="D254" i="199"/>
  <c r="D255" i="199" s="1"/>
  <c r="D256" i="199" s="1"/>
  <c r="D290" i="199"/>
  <c r="D350" i="199"/>
  <c r="D351" i="199" s="1"/>
  <c r="D502" i="199"/>
  <c r="D503" i="199" s="1"/>
  <c r="D19" i="199"/>
  <c r="D20" i="199" s="1"/>
  <c r="D151" i="199"/>
  <c r="D152" i="199" s="1"/>
  <c r="D161" i="199"/>
  <c r="D174" i="199"/>
  <c r="D192" i="199"/>
  <c r="D193" i="199" s="1"/>
  <c r="D194" i="199" s="1"/>
  <c r="D343" i="199"/>
  <c r="D344" i="199" s="1"/>
  <c r="D345" i="199" s="1"/>
  <c r="D481" i="199"/>
  <c r="D482" i="199" s="1"/>
  <c r="D46" i="199"/>
  <c r="D47" i="199" s="1"/>
  <c r="D48" i="199" s="1"/>
  <c r="D58" i="199"/>
  <c r="D305" i="199"/>
  <c r="D306" i="199" s="1"/>
  <c r="D307" i="199" s="1"/>
  <c r="D366" i="199"/>
  <c r="D470" i="199"/>
  <c r="D471" i="199" s="1"/>
  <c r="D508" i="199"/>
  <c r="D509" i="199" s="1"/>
  <c r="D510" i="199" s="1"/>
  <c r="D63" i="199"/>
  <c r="D89" i="199"/>
  <c r="D90" i="199" s="1"/>
  <c r="D91" i="199" s="1"/>
  <c r="D92" i="199" s="1"/>
  <c r="D237" i="199"/>
  <c r="D238" i="199" s="1"/>
  <c r="D239" i="199" s="1"/>
  <c r="D240" i="199" s="1"/>
  <c r="D312" i="199"/>
  <c r="D313" i="199" s="1"/>
  <c r="D314" i="199" s="1"/>
  <c r="D39" i="199"/>
  <c r="D40" i="199" s="1"/>
  <c r="D41" i="199" s="1"/>
  <c r="D53" i="199"/>
  <c r="D68" i="199"/>
  <c r="D69" i="199" s="1"/>
  <c r="D70" i="199" s="1"/>
  <c r="D97" i="199"/>
  <c r="D98" i="199" s="1"/>
  <c r="D99" i="199" s="1"/>
  <c r="D183" i="199"/>
  <c r="D184" i="199" s="1"/>
  <c r="D185" i="199" s="1"/>
  <c r="D186" i="199" s="1"/>
  <c r="D187" i="199" s="1"/>
  <c r="D31" i="199"/>
  <c r="D32" i="199" s="1"/>
  <c r="D33" i="199" s="1"/>
  <c r="D34" i="199" s="1"/>
  <c r="D83" i="199"/>
  <c r="D84" i="199" s="1"/>
  <c r="D110" i="199"/>
  <c r="D111" i="199" s="1"/>
  <c r="D121" i="199"/>
  <c r="D139" i="199"/>
  <c r="D140" i="199" s="1"/>
  <c r="D141" i="199" s="1"/>
  <c r="D356" i="199"/>
  <c r="D357" i="199" s="1"/>
  <c r="D22" i="198"/>
  <c r="D19" i="197"/>
  <c r="D20" i="197" s="1"/>
  <c r="D21" i="197" s="1"/>
  <c r="D51" i="197"/>
  <c r="D107" i="197"/>
  <c r="D371" i="197"/>
  <c r="D372" i="197" s="1"/>
  <c r="D294" i="197"/>
  <c r="D166" i="197"/>
  <c r="D167" i="197" s="1"/>
  <c r="D168" i="197" s="1"/>
  <c r="D169" i="197" s="1"/>
  <c r="D541" i="197"/>
  <c r="D542" i="197" s="1"/>
  <c r="D543" i="197" s="1"/>
  <c r="D482" i="197"/>
  <c r="D483" i="197" s="1"/>
  <c r="D26" i="197"/>
  <c r="D27" i="197" s="1"/>
  <c r="D28" i="197" s="1"/>
  <c r="D56" i="197"/>
  <c r="D57" i="197" s="1"/>
  <c r="D125" i="197"/>
  <c r="D126" i="197" s="1"/>
  <c r="D192" i="197"/>
  <c r="D239" i="197"/>
  <c r="D283" i="197"/>
  <c r="D582" i="197"/>
  <c r="D96" i="197"/>
  <c r="D117" i="197"/>
  <c r="D118" i="197" s="1"/>
  <c r="D119" i="197" s="1"/>
  <c r="D120" i="197" s="1"/>
  <c r="D135" i="197"/>
  <c r="D202" i="197"/>
  <c r="D77" i="197"/>
  <c r="D101" i="197"/>
  <c r="D102" i="197" s="1"/>
  <c r="D39" i="197"/>
  <c r="D152" i="197"/>
  <c r="D153" i="197" s="1"/>
  <c r="D154" i="197" s="1"/>
  <c r="D197" i="197"/>
  <c r="D329" i="197"/>
  <c r="D330" i="197" s="1"/>
  <c r="D517" i="197"/>
  <c r="D442" i="197"/>
  <c r="D443" i="197" s="1"/>
  <c r="D431" i="197"/>
  <c r="D432" i="197" s="1"/>
  <c r="D433" i="197" s="1"/>
  <c r="D403" i="197"/>
  <c r="D404" i="197" s="1"/>
  <c r="D405" i="197" s="1"/>
  <c r="D406" i="197" s="1"/>
  <c r="D407" i="197" s="1"/>
  <c r="D354" i="197"/>
  <c r="D355" i="197" s="1"/>
  <c r="D356" i="197" s="1"/>
  <c r="D642" i="197"/>
  <c r="D643" i="197" s="1"/>
  <c r="D44" i="197"/>
  <c r="D45" i="197" s="1"/>
  <c r="D46" i="197" s="1"/>
  <c r="D159" i="197"/>
  <c r="D160" i="197" s="1"/>
  <c r="D161" i="197" s="1"/>
  <c r="D33" i="197"/>
  <c r="D34" i="197" s="1"/>
  <c r="D62" i="197"/>
  <c r="D90" i="197"/>
  <c r="D91" i="197" s="1"/>
  <c r="D145" i="197"/>
  <c r="D146" i="197" s="1"/>
  <c r="D147" i="197" s="1"/>
  <c r="D272" i="197"/>
  <c r="D273" i="197" s="1"/>
  <c r="D174" i="197"/>
  <c r="D303" i="197"/>
  <c r="D304" i="197" s="1"/>
  <c r="D67" i="197"/>
  <c r="D68" i="197" s="1"/>
  <c r="D619" i="197"/>
  <c r="D620" i="197" s="1"/>
  <c r="D58" i="3"/>
  <c r="D59" i="3" s="1"/>
  <c r="D240" i="3"/>
  <c r="D261" i="3"/>
  <c r="D293" i="3"/>
  <c r="D404" i="3"/>
  <c r="D23" i="3"/>
  <c r="D24" i="3" s="1"/>
  <c r="D25" i="3" s="1"/>
  <c r="D80" i="3"/>
  <c r="D89" i="3"/>
  <c r="D90" i="3" s="1"/>
  <c r="D91" i="3" s="1"/>
  <c r="D30" i="3"/>
  <c r="D31" i="3" s="1"/>
  <c r="D32" i="3" s="1"/>
  <c r="D308" i="3"/>
  <c r="D18" i="3"/>
  <c r="D138" i="3"/>
  <c r="D143" i="3"/>
  <c r="D161" i="3"/>
  <c r="D203" i="3"/>
  <c r="D234" i="3"/>
  <c r="D235" i="3" s="1"/>
  <c r="D302" i="3"/>
  <c r="D303" i="3" s="1"/>
  <c r="D349" i="3"/>
  <c r="D434" i="3"/>
  <c r="D109" i="3"/>
  <c r="D110" i="3" s="1"/>
  <c r="D111" i="3" s="1"/>
  <c r="D428" i="3"/>
  <c r="D429" i="3" s="1"/>
  <c r="D42" i="2"/>
  <c r="D43" i="2" s="1"/>
  <c r="D44" i="2" s="1"/>
  <c r="D45" i="2" s="1"/>
  <c r="D46" i="2" s="1"/>
  <c r="D47" i="2" s="1"/>
  <c r="D48" i="2" s="1"/>
  <c r="D49" i="2" s="1"/>
  <c r="D50" i="2" s="1"/>
  <c r="D51" i="2" s="1"/>
  <c r="D52" i="2" s="1"/>
  <c r="D53" i="2" s="1"/>
  <c r="D54" i="2" s="1"/>
  <c r="D55" i="2" s="1"/>
  <c r="D56" i="2" s="1"/>
  <c r="D57" i="2" s="1"/>
  <c r="D58" i="2" s="1"/>
  <c r="D89" i="2"/>
  <c r="D90" i="2" s="1"/>
  <c r="D91" i="2" s="1"/>
  <c r="D92" i="2" s="1"/>
  <c r="D93" i="2" s="1"/>
  <c r="D94" i="2" s="1"/>
  <c r="D95" i="2" s="1"/>
  <c r="D96" i="2" s="1"/>
  <c r="D97" i="2" s="1"/>
  <c r="D98" i="2" s="1"/>
  <c r="D99" i="2" s="1"/>
  <c r="D100" i="2" s="1"/>
  <c r="D101" i="2" s="1"/>
  <c r="D102" i="2" s="1"/>
  <c r="D103" i="2" s="1"/>
  <c r="D104" i="2" s="1"/>
  <c r="D105" i="2" s="1"/>
  <c r="D106" i="2" s="1"/>
  <c r="D247" i="2"/>
  <c r="D248" i="2" s="1"/>
  <c r="D249" i="2" s="1"/>
  <c r="D250" i="2" s="1"/>
  <c r="D251" i="2" s="1"/>
  <c r="D252" i="2" s="1"/>
  <c r="D253" i="2" s="1"/>
  <c r="D254" i="2" s="1"/>
  <c r="D255" i="2" s="1"/>
  <c r="D256" i="2" s="1"/>
  <c r="D257" i="2" s="1"/>
  <c r="D303" i="2"/>
  <c r="D304" i="2" s="1"/>
  <c r="D305" i="2" s="1"/>
  <c r="D306" i="2" s="1"/>
  <c r="D307" i="2" s="1"/>
  <c r="D308" i="2" s="1"/>
  <c r="D309" i="2" s="1"/>
  <c r="D310" i="2" s="1"/>
  <c r="D311" i="2" s="1"/>
  <c r="D312" i="2" s="1"/>
  <c r="D496" i="2"/>
  <c r="D497" i="2" s="1"/>
  <c r="D498" i="2" s="1"/>
  <c r="D499" i="2" s="1"/>
  <c r="D500" i="2" s="1"/>
  <c r="D501" i="2" s="1"/>
  <c r="D502" i="2" s="1"/>
  <c r="D503" i="2" s="1"/>
  <c r="D504" i="2" s="1"/>
  <c r="D505" i="2" s="1"/>
  <c r="D506" i="2" s="1"/>
  <c r="D507" i="2" s="1"/>
  <c r="D508" i="2" s="1"/>
  <c r="D509" i="2" s="1"/>
  <c r="D510" i="2" s="1"/>
  <c r="D511" i="2" s="1"/>
  <c r="D512" i="2" s="1"/>
  <c r="D513" i="2" s="1"/>
  <c r="D737" i="2"/>
  <c r="D738" i="2" s="1"/>
  <c r="D739" i="2" s="1"/>
  <c r="D740" i="2" s="1"/>
  <c r="D782" i="2"/>
  <c r="D783" i="2" s="1"/>
  <c r="D784" i="2" s="1"/>
  <c r="D785" i="2" s="1"/>
  <c r="D786" i="2" s="1"/>
  <c r="D787" i="2" s="1"/>
  <c r="D788" i="2" s="1"/>
  <c r="D789" i="2" s="1"/>
  <c r="D790" i="2" s="1"/>
  <c r="D791" i="2" s="1"/>
  <c r="D792" i="2" s="1"/>
  <c r="D793" i="2" s="1"/>
  <c r="D808" i="2"/>
  <c r="D809" i="2" s="1"/>
  <c r="D810" i="2" s="1"/>
  <c r="D811" i="2" s="1"/>
  <c r="D812" i="2" s="1"/>
  <c r="D813" i="2" s="1"/>
  <c r="D814" i="2" s="1"/>
  <c r="D815" i="2" s="1"/>
  <c r="D831" i="2"/>
  <c r="D832" i="2" s="1"/>
  <c r="D833" i="2" s="1"/>
  <c r="D834" i="2" s="1"/>
  <c r="D835" i="2" s="1"/>
  <c r="D985" i="2"/>
  <c r="D986" i="2" s="1"/>
  <c r="D987" i="2" s="1"/>
  <c r="D988" i="2" s="1"/>
  <c r="D989" i="2" s="1"/>
  <c r="D990" i="2" s="1"/>
  <c r="D991" i="2" s="1"/>
  <c r="D992" i="2" s="1"/>
  <c r="D993" i="2" s="1"/>
  <c r="D994" i="2" s="1"/>
  <c r="D995" i="2" s="1"/>
  <c r="D996" i="2" s="1"/>
  <c r="D997" i="2" s="1"/>
  <c r="D998" i="2" s="1"/>
  <c r="D999" i="2" s="1"/>
  <c r="D1051" i="2"/>
  <c r="D1052" i="2" s="1"/>
  <c r="D1053" i="2" s="1"/>
  <c r="D1054" i="2" s="1"/>
  <c r="D1055" i="2" s="1"/>
  <c r="D1056" i="2" s="1"/>
  <c r="D1057" i="2" s="1"/>
  <c r="D1058" i="2" s="1"/>
  <c r="D1059" i="2" s="1"/>
  <c r="D1060" i="2" s="1"/>
  <c r="D1061" i="2" s="1"/>
  <c r="D1062" i="2" s="1"/>
  <c r="D1063" i="2" s="1"/>
  <c r="D1064" i="2" s="1"/>
  <c r="D1065" i="2" s="1"/>
  <c r="D1066" i="2" s="1"/>
  <c r="D1067" i="2" s="1"/>
  <c r="D1068" i="2" s="1"/>
  <c r="D1069" i="2" s="1"/>
  <c r="D1070" i="2" s="1"/>
  <c r="D1363" i="2"/>
  <c r="D1364" i="2" s="1"/>
  <c r="D1365" i="2" s="1"/>
  <c r="D1366" i="2" s="1"/>
  <c r="D1367" i="2" s="1"/>
  <c r="D1368" i="2" s="1"/>
  <c r="D1369" i="2" s="1"/>
  <c r="D1370" i="2" s="1"/>
  <c r="D1371" i="2" s="1"/>
  <c r="D1372" i="2" s="1"/>
  <c r="D1424" i="2"/>
  <c r="D1425" i="2" s="1"/>
  <c r="D1426" i="2" s="1"/>
  <c r="D1427" i="2" s="1"/>
  <c r="D1428" i="2" s="1"/>
  <c r="D1429" i="2" s="1"/>
  <c r="D1430" i="2" s="1"/>
  <c r="D1431" i="2" s="1"/>
  <c r="D1432" i="2" s="1"/>
  <c r="D1433" i="2" s="1"/>
  <c r="D1434" i="2" s="1"/>
  <c r="D1728" i="2"/>
  <c r="D1729" i="2" s="1"/>
  <c r="D1730" i="2" s="1"/>
  <c r="D1731" i="2" s="1"/>
  <c r="D1732" i="2" s="1"/>
  <c r="D1733" i="2" s="1"/>
  <c r="D1734" i="2" s="1"/>
  <c r="D1735" i="2" s="1"/>
  <c r="D1736" i="2" s="1"/>
  <c r="D1737" i="2" s="1"/>
  <c r="D1738" i="2" s="1"/>
  <c r="D1739" i="2" s="1"/>
  <c r="D1740" i="2" s="1"/>
  <c r="D1741" i="2" s="1"/>
  <c r="D1742" i="2" s="1"/>
  <c r="D1743" i="2" s="1"/>
  <c r="D1744" i="2" s="1"/>
  <c r="D1745" i="2" s="1"/>
  <c r="D111" i="2"/>
  <c r="D112" i="2" s="1"/>
  <c r="D113" i="2" s="1"/>
  <c r="D114" i="2" s="1"/>
  <c r="D115" i="2" s="1"/>
  <c r="D116" i="2" s="1"/>
  <c r="D117" i="2" s="1"/>
  <c r="D118" i="2" s="1"/>
  <c r="D119" i="2" s="1"/>
  <c r="D120" i="2" s="1"/>
  <c r="D121" i="2" s="1"/>
  <c r="D122" i="2" s="1"/>
  <c r="D123" i="2" s="1"/>
  <c r="D124" i="2" s="1"/>
  <c r="D166" i="2"/>
  <c r="D167" i="2" s="1"/>
  <c r="D168" i="2" s="1"/>
  <c r="D169" i="2" s="1"/>
  <c r="D170" i="2" s="1"/>
  <c r="D171" i="2" s="1"/>
  <c r="D172" i="2" s="1"/>
  <c r="D173" i="2" s="1"/>
  <c r="D189" i="2"/>
  <c r="D190" i="2" s="1"/>
  <c r="D191" i="2" s="1"/>
  <c r="D192" i="2" s="1"/>
  <c r="D193" i="2" s="1"/>
  <c r="D194" i="2" s="1"/>
  <c r="D195" i="2" s="1"/>
  <c r="D196" i="2" s="1"/>
  <c r="D197" i="2" s="1"/>
  <c r="D198" i="2" s="1"/>
  <c r="D199" i="2" s="1"/>
  <c r="D262" i="2"/>
  <c r="D263" i="2" s="1"/>
  <c r="D264" i="2" s="1"/>
  <c r="D265" i="2" s="1"/>
  <c r="D266" i="2" s="1"/>
  <c r="D267" i="2" s="1"/>
  <c r="D268" i="2" s="1"/>
  <c r="D269" i="2" s="1"/>
  <c r="D270" i="2" s="1"/>
  <c r="D271" i="2" s="1"/>
  <c r="D272" i="2" s="1"/>
  <c r="D273" i="2" s="1"/>
  <c r="D274" i="2" s="1"/>
  <c r="D275" i="2" s="1"/>
  <c r="D276" i="2" s="1"/>
  <c r="D277" i="2" s="1"/>
  <c r="D278" i="2" s="1"/>
  <c r="D279" i="2" s="1"/>
  <c r="D371" i="2"/>
  <c r="D372" i="2" s="1"/>
  <c r="D373" i="2" s="1"/>
  <c r="D374" i="2" s="1"/>
  <c r="D375" i="2" s="1"/>
  <c r="D376" i="2" s="1"/>
  <c r="D377" i="2" s="1"/>
  <c r="D378" i="2" s="1"/>
  <c r="D379" i="2" s="1"/>
  <c r="D380" i="2" s="1"/>
  <c r="D518" i="2"/>
  <c r="D519" i="2" s="1"/>
  <c r="D520" i="2" s="1"/>
  <c r="D521" i="2" s="1"/>
  <c r="D522" i="2" s="1"/>
  <c r="D523" i="2" s="1"/>
  <c r="D524" i="2" s="1"/>
  <c r="D580" i="2"/>
  <c r="D581" i="2" s="1"/>
  <c r="D582" i="2" s="1"/>
  <c r="D583" i="2" s="1"/>
  <c r="D584" i="2" s="1"/>
  <c r="D585" i="2" s="1"/>
  <c r="D586" i="2" s="1"/>
  <c r="D587" i="2" s="1"/>
  <c r="D588" i="2" s="1"/>
  <c r="D589" i="2" s="1"/>
  <c r="D606" i="2"/>
  <c r="D607" i="2" s="1"/>
  <c r="D608" i="2" s="1"/>
  <c r="D609" i="2" s="1"/>
  <c r="D610" i="2" s="1"/>
  <c r="D611" i="2" s="1"/>
  <c r="D612" i="2" s="1"/>
  <c r="D613" i="2" s="1"/>
  <c r="D644" i="2"/>
  <c r="D645" i="2" s="1"/>
  <c r="D646" i="2" s="1"/>
  <c r="D647" i="2" s="1"/>
  <c r="D648" i="2" s="1"/>
  <c r="D649" i="2" s="1"/>
  <c r="D650" i="2" s="1"/>
  <c r="D840" i="2"/>
  <c r="D841" i="2" s="1"/>
  <c r="D842" i="2" s="1"/>
  <c r="D843" i="2" s="1"/>
  <c r="D844" i="2" s="1"/>
  <c r="D845" i="2" s="1"/>
  <c r="D846" i="2" s="1"/>
  <c r="D847" i="2" s="1"/>
  <c r="D848" i="2" s="1"/>
  <c r="D897" i="2"/>
  <c r="D898" i="2" s="1"/>
  <c r="D899" i="2" s="1"/>
  <c r="D900" i="2" s="1"/>
  <c r="D901" i="2" s="1"/>
  <c r="D902" i="2" s="1"/>
  <c r="D903" i="2" s="1"/>
  <c r="D925" i="2"/>
  <c r="D926" i="2" s="1"/>
  <c r="D927" i="2" s="1"/>
  <c r="D928" i="2" s="1"/>
  <c r="D929" i="2" s="1"/>
  <c r="D930" i="2" s="1"/>
  <c r="D931" i="2" s="1"/>
  <c r="D1004" i="2"/>
  <c r="D1005" i="2" s="1"/>
  <c r="D1006" i="2" s="1"/>
  <c r="D1007" i="2" s="1"/>
  <c r="D1008" i="2" s="1"/>
  <c r="D1009" i="2" s="1"/>
  <c r="D1010" i="2" s="1"/>
  <c r="D1011" i="2" s="1"/>
  <c r="D1012" i="2" s="1"/>
  <c r="D1013" i="2" s="1"/>
  <c r="D1014" i="2" s="1"/>
  <c r="D1015" i="2" s="1"/>
  <c r="D1016" i="2" s="1"/>
  <c r="D1017" i="2" s="1"/>
  <c r="D1117" i="2"/>
  <c r="D1118" i="2" s="1"/>
  <c r="D1119" i="2" s="1"/>
  <c r="D1120" i="2" s="1"/>
  <c r="D1121" i="2" s="1"/>
  <c r="D1122" i="2" s="1"/>
  <c r="D1123" i="2" s="1"/>
  <c r="D1124" i="2" s="1"/>
  <c r="D1125" i="2" s="1"/>
  <c r="D1126" i="2" s="1"/>
  <c r="D1127" i="2" s="1"/>
  <c r="D1128" i="2" s="1"/>
  <c r="D1129" i="2" s="1"/>
  <c r="D1130" i="2" s="1"/>
  <c r="D1131" i="2" s="1"/>
  <c r="D1132" i="2" s="1"/>
  <c r="D1133" i="2" s="1"/>
  <c r="D1134" i="2" s="1"/>
  <c r="D1234" i="2"/>
  <c r="D1235" i="2" s="1"/>
  <c r="D1236" i="2" s="1"/>
  <c r="D1237" i="2" s="1"/>
  <c r="D1238" i="2" s="1"/>
  <c r="D1239" i="2" s="1"/>
  <c r="D1240" i="2" s="1"/>
  <c r="D1241" i="2" s="1"/>
  <c r="D1242" i="2" s="1"/>
  <c r="D1243" i="2" s="1"/>
  <c r="D1244" i="2" s="1"/>
  <c r="D1245" i="2" s="1"/>
  <c r="D1246" i="2" s="1"/>
  <c r="D1247" i="2" s="1"/>
  <c r="D1248" i="2" s="1"/>
  <c r="D1249" i="2" s="1"/>
  <c r="D1250" i="2" s="1"/>
  <c r="D1268" i="2"/>
  <c r="D1269" i="2" s="1"/>
  <c r="D1270" i="2" s="1"/>
  <c r="D1271" i="2" s="1"/>
  <c r="D1272" i="2" s="1"/>
  <c r="D1273" i="2" s="1"/>
  <c r="D1274" i="2" s="1"/>
  <c r="D1275" i="2" s="1"/>
  <c r="D1276" i="2" s="1"/>
  <c r="D1277" i="2" s="1"/>
  <c r="D1278" i="2" s="1"/>
  <c r="D1279" i="2" s="1"/>
  <c r="D1280" i="2" s="1"/>
  <c r="D1281" i="2" s="1"/>
  <c r="D1282" i="2" s="1"/>
  <c r="D1283" i="2" s="1"/>
  <c r="D1284" i="2" s="1"/>
  <c r="D1285" i="2" s="1"/>
  <c r="D1286" i="2" s="1"/>
  <c r="D1287" i="2" s="1"/>
  <c r="D1288" i="2" s="1"/>
  <c r="D1289" i="2" s="1"/>
  <c r="D1290" i="2" s="1"/>
  <c r="D1621" i="2"/>
  <c r="D1622" i="2" s="1"/>
  <c r="D1623" i="2" s="1"/>
  <c r="D1624" i="2" s="1"/>
  <c r="D1625" i="2" s="1"/>
  <c r="D1626" i="2" s="1"/>
  <c r="D1750" i="2"/>
  <c r="D1751" i="2" s="1"/>
  <c r="D1752" i="2" s="1"/>
  <c r="D1753" i="2" s="1"/>
  <c r="D1754" i="2" s="1"/>
  <c r="D1755" i="2" s="1"/>
  <c r="D1756" i="2" s="1"/>
  <c r="D1757" i="2" s="1"/>
  <c r="D1758" i="2" s="1"/>
  <c r="D1759" i="2" s="1"/>
  <c r="D1760" i="2" s="1"/>
  <c r="D1761" i="2" s="1"/>
  <c r="D1762" i="2" s="1"/>
  <c r="D1763" i="2" s="1"/>
  <c r="D1829" i="2"/>
  <c r="D1830" i="2" s="1"/>
  <c r="D1831" i="2" s="1"/>
  <c r="D1832" i="2" s="1"/>
  <c r="D1833" i="2" s="1"/>
  <c r="D1834" i="2" s="1"/>
  <c r="D1835" i="2" s="1"/>
  <c r="D1836" i="2" s="1"/>
  <c r="D1837" i="2" s="1"/>
  <c r="D1838" i="2" s="1"/>
  <c r="D216" i="2"/>
  <c r="D217" i="2" s="1"/>
  <c r="D218" i="2" s="1"/>
  <c r="D219" i="2" s="1"/>
  <c r="D220" i="2" s="1"/>
  <c r="D221" i="2" s="1"/>
  <c r="D222" i="2" s="1"/>
  <c r="D223" i="2" s="1"/>
  <c r="D224" i="2" s="1"/>
  <c r="D225" i="2" s="1"/>
  <c r="D226" i="2" s="1"/>
  <c r="D227" i="2" s="1"/>
  <c r="D342" i="2"/>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433" i="2"/>
  <c r="D434" i="2" s="1"/>
  <c r="D435" i="2" s="1"/>
  <c r="D436" i="2" s="1"/>
  <c r="D437" i="2" s="1"/>
  <c r="D438" i="2" s="1"/>
  <c r="D439" i="2" s="1"/>
  <c r="D440" i="2" s="1"/>
  <c r="D441" i="2" s="1"/>
  <c r="D442" i="2" s="1"/>
  <c r="D443" i="2" s="1"/>
  <c r="D444" i="2" s="1"/>
  <c r="D445" i="2" s="1"/>
  <c r="D446" i="2" s="1"/>
  <c r="D447" i="2" s="1"/>
  <c r="D632" i="2"/>
  <c r="D633" i="2" s="1"/>
  <c r="D634" i="2" s="1"/>
  <c r="D635" i="2" s="1"/>
  <c r="D636" i="2" s="1"/>
  <c r="D637" i="2" s="1"/>
  <c r="D638" i="2" s="1"/>
  <c r="D639" i="2" s="1"/>
  <c r="D745" i="2"/>
  <c r="D746" i="2" s="1"/>
  <c r="D747" i="2" s="1"/>
  <c r="D748" i="2" s="1"/>
  <c r="D954" i="2"/>
  <c r="D955" i="2" s="1"/>
  <c r="D956" i="2" s="1"/>
  <c r="D957" i="2" s="1"/>
  <c r="D958" i="2" s="1"/>
  <c r="D959" i="2" s="1"/>
  <c r="D960" i="2" s="1"/>
  <c r="D961" i="2" s="1"/>
  <c r="D962" i="2" s="1"/>
  <c r="D963" i="2" s="1"/>
  <c r="D964" i="2" s="1"/>
  <c r="D965" i="2" s="1"/>
  <c r="D1092" i="2"/>
  <c r="D1093" i="2" s="1"/>
  <c r="D1094" i="2" s="1"/>
  <c r="D1095" i="2" s="1"/>
  <c r="D1096" i="2" s="1"/>
  <c r="D1097" i="2" s="1"/>
  <c r="D1098" i="2" s="1"/>
  <c r="D1099" i="2" s="1"/>
  <c r="D1100" i="2" s="1"/>
  <c r="D1101" i="2" s="1"/>
  <c r="D1102" i="2" s="1"/>
  <c r="D1103" i="2" s="1"/>
  <c r="D1104" i="2" s="1"/>
  <c r="D1105" i="2" s="1"/>
  <c r="D1106" i="2" s="1"/>
  <c r="D1107" i="2" s="1"/>
  <c r="D1108" i="2" s="1"/>
  <c r="D1109" i="2" s="1"/>
  <c r="D1110" i="2" s="1"/>
  <c r="D1111" i="2" s="1"/>
  <c r="D1112" i="2" s="1"/>
  <c r="D1377" i="2"/>
  <c r="D1378" i="2" s="1"/>
  <c r="D1379" i="2" s="1"/>
  <c r="D1380" i="2" s="1"/>
  <c r="D1381" i="2" s="1"/>
  <c r="D1382" i="2" s="1"/>
  <c r="D1383" i="2" s="1"/>
  <c r="D1384" i="2" s="1"/>
  <c r="D1385" i="2" s="1"/>
  <c r="D1399" i="2"/>
  <c r="D1400" i="2" s="1"/>
  <c r="D1401" i="2" s="1"/>
  <c r="D1402" i="2" s="1"/>
  <c r="D1605" i="2"/>
  <c r="D1606" i="2" s="1"/>
  <c r="D1607" i="2" s="1"/>
  <c r="D1608" i="2" s="1"/>
  <c r="D1609" i="2" s="1"/>
  <c r="D1610" i="2" s="1"/>
  <c r="D1611" i="2" s="1"/>
  <c r="D1612" i="2" s="1"/>
  <c r="D1613" i="2" s="1"/>
  <c r="D1614" i="2" s="1"/>
  <c r="D1615" i="2" s="1"/>
  <c r="D1616" i="2" s="1"/>
  <c r="D1677" i="2"/>
  <c r="D1678" i="2" s="1"/>
  <c r="D1679" i="2" s="1"/>
  <c r="D1680" i="2" s="1"/>
  <c r="D1681" i="2" s="1"/>
  <c r="D1682" i="2" s="1"/>
  <c r="D1683" i="2" s="1"/>
  <c r="D1684" i="2" s="1"/>
  <c r="D1685" i="2" s="1"/>
  <c r="D1686" i="2" s="1"/>
  <c r="D1687" i="2" s="1"/>
  <c r="D1688" i="2" s="1"/>
  <c r="D1689" i="2" s="1"/>
  <c r="D2038" i="2"/>
  <c r="D2039" i="2" s="1"/>
  <c r="D2040" i="2" s="1"/>
  <c r="D2041" i="2" s="1"/>
  <c r="D2042" i="2" s="1"/>
  <c r="D2043" i="2" s="1"/>
  <c r="D2015" i="2"/>
  <c r="D2016" i="2" s="1"/>
  <c r="D2017" i="2" s="1"/>
  <c r="D2018" i="2" s="1"/>
  <c r="D2019" i="2" s="1"/>
  <c r="D2020" i="2" s="1"/>
  <c r="D142" i="2"/>
  <c r="D143" i="2" s="1"/>
  <c r="D144" i="2" s="1"/>
  <c r="D145" i="2" s="1"/>
  <c r="D146" i="2" s="1"/>
  <c r="D147" i="2" s="1"/>
  <c r="D148" i="2" s="1"/>
  <c r="D149" i="2" s="1"/>
  <c r="D150" i="2" s="1"/>
  <c r="D410" i="2"/>
  <c r="D411" i="2" s="1"/>
  <c r="D412" i="2" s="1"/>
  <c r="D413" i="2" s="1"/>
  <c r="D414" i="2" s="1"/>
  <c r="D415" i="2" s="1"/>
  <c r="D416" i="2" s="1"/>
  <c r="D417" i="2" s="1"/>
  <c r="D418" i="2" s="1"/>
  <c r="D419" i="2" s="1"/>
  <c r="D420" i="2" s="1"/>
  <c r="D421" i="2" s="1"/>
  <c r="D422" i="2" s="1"/>
  <c r="D423" i="2" s="1"/>
  <c r="D424" i="2" s="1"/>
  <c r="D425" i="2" s="1"/>
  <c r="D426" i="2" s="1"/>
  <c r="D427" i="2" s="1"/>
  <c r="D428" i="2" s="1"/>
  <c r="D469" i="2"/>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766" i="2"/>
  <c r="D767" i="2" s="1"/>
  <c r="D768" i="2" s="1"/>
  <c r="D769" i="2" s="1"/>
  <c r="D770" i="2" s="1"/>
  <c r="D771" i="2" s="1"/>
  <c r="D772" i="2" s="1"/>
  <c r="D773" i="2" s="1"/>
  <c r="D774" i="2" s="1"/>
  <c r="D775" i="2" s="1"/>
  <c r="D776" i="2" s="1"/>
  <c r="D777" i="2" s="1"/>
  <c r="D1165" i="2"/>
  <c r="D1166" i="2" s="1"/>
  <c r="D1167" i="2" s="1"/>
  <c r="D1168" i="2" s="1"/>
  <c r="D1169" i="2" s="1"/>
  <c r="D1170" i="2" s="1"/>
  <c r="D1171" i="2" s="1"/>
  <c r="D1172" i="2" s="1"/>
  <c r="D1173" i="2" s="1"/>
  <c r="D1174" i="2" s="1"/>
  <c r="D1175" i="2" s="1"/>
  <c r="D1176" i="2" s="1"/>
  <c r="D1177" i="2" s="1"/>
  <c r="D1178" i="2" s="1"/>
  <c r="D1179" i="2" s="1"/>
  <c r="D1180" i="2" s="1"/>
  <c r="D1181" i="2" s="1"/>
  <c r="D1182" i="2" s="1"/>
  <c r="D1183" i="2" s="1"/>
  <c r="D1184" i="2" s="1"/>
  <c r="D1295" i="2"/>
  <c r="D1296" i="2" s="1"/>
  <c r="D1297" i="2" s="1"/>
  <c r="D1298" i="2" s="1"/>
  <c r="D1299" i="2" s="1"/>
  <c r="D1300" i="2" s="1"/>
  <c r="D1301" i="2" s="1"/>
  <c r="D1302" i="2" s="1"/>
  <c r="D1303" i="2" s="1"/>
  <c r="D1304" i="2" s="1"/>
  <c r="D1305" i="2" s="1"/>
  <c r="D1306" i="2" s="1"/>
  <c r="D1307" i="2" s="1"/>
  <c r="D1308" i="2" s="1"/>
  <c r="D1309" i="2" s="1"/>
  <c r="D1310" i="2" s="1"/>
  <c r="D1311" i="2" s="1"/>
  <c r="D1312" i="2" s="1"/>
  <c r="D1313" i="2" s="1"/>
  <c r="D1314" i="2" s="1"/>
  <c r="D1315" i="2" s="1"/>
  <c r="D1316" i="2" s="1"/>
  <c r="D1317" i="2" s="1"/>
  <c r="D1318" i="2" s="1"/>
  <c r="D1319" i="2" s="1"/>
  <c r="D1320" i="2" s="1"/>
  <c r="D1390" i="2"/>
  <c r="D1391" i="2" s="1"/>
  <c r="D1392" i="2" s="1"/>
  <c r="D1393" i="2" s="1"/>
  <c r="D1394" i="2" s="1"/>
  <c r="D1418" i="2"/>
  <c r="D1419" i="2" s="1"/>
  <c r="D1526" i="2"/>
  <c r="D1527" i="2" s="1"/>
  <c r="D1528" i="2" s="1"/>
  <c r="D1529" i="2" s="1"/>
  <c r="D1530" i="2" s="1"/>
  <c r="D1531" i="2" s="1"/>
  <c r="D1532" i="2" s="1"/>
  <c r="D1533" i="2" s="1"/>
  <c r="D1659" i="2"/>
  <c r="D1660" i="2" s="1"/>
  <c r="D1661" i="2" s="1"/>
  <c r="D1662" i="2" s="1"/>
  <c r="D1663" i="2" s="1"/>
  <c r="D1664" i="2" s="1"/>
  <c r="D1665" i="2" s="1"/>
  <c r="D1666" i="2" s="1"/>
  <c r="D1667" i="2" s="1"/>
  <c r="D1668" i="2" s="1"/>
  <c r="D1669" i="2" s="1"/>
  <c r="D1670" i="2" s="1"/>
  <c r="D1671" i="2" s="1"/>
  <c r="D1672" i="2" s="1"/>
  <c r="D1709" i="2"/>
  <c r="D1710" i="2" s="1"/>
  <c r="D1711" i="2" s="1"/>
  <c r="D1712" i="2" s="1"/>
  <c r="D1713" i="2" s="1"/>
  <c r="D1714" i="2" s="1"/>
  <c r="D1715" i="2" s="1"/>
  <c r="D1716" i="2" s="1"/>
  <c r="D1717" i="2" s="1"/>
  <c r="D1718" i="2" s="1"/>
  <c r="D1719" i="2" s="1"/>
  <c r="D1720" i="2" s="1"/>
  <c r="D1721" i="2" s="1"/>
  <c r="D1722" i="2" s="1"/>
  <c r="D1723" i="2" s="1"/>
  <c r="D1843" i="2"/>
  <c r="D1844" i="2" s="1"/>
  <c r="D1845" i="2" s="1"/>
  <c r="D1846" i="2" s="1"/>
  <c r="D1847" i="2" s="1"/>
  <c r="D1848" i="2" s="1"/>
  <c r="D1849" i="2" s="1"/>
  <c r="D1850" i="2" s="1"/>
  <c r="D1851" i="2" s="1"/>
  <c r="D1852" i="2" s="1"/>
  <c r="D1853" i="2" s="1"/>
  <c r="D155" i="2"/>
  <c r="D156" i="2" s="1"/>
  <c r="D157" i="2" s="1"/>
  <c r="D158" i="2" s="1"/>
  <c r="D159" i="2" s="1"/>
  <c r="D160" i="2" s="1"/>
  <c r="D161" i="2" s="1"/>
  <c r="D317" i="2"/>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674" i="2"/>
  <c r="D675" i="2" s="1"/>
  <c r="D676" i="2" s="1"/>
  <c r="D677" i="2" s="1"/>
  <c r="D678" i="2" s="1"/>
  <c r="D679" i="2" s="1"/>
  <c r="D696" i="2"/>
  <c r="D697" i="2" s="1"/>
  <c r="D698" i="2" s="1"/>
  <c r="D699" i="2" s="1"/>
  <c r="D700" i="2" s="1"/>
  <c r="D701" i="2" s="1"/>
  <c r="D702" i="2" s="1"/>
  <c r="D720" i="2"/>
  <c r="D721" i="2" s="1"/>
  <c r="D722" i="2" s="1"/>
  <c r="D723" i="2" s="1"/>
  <c r="D724" i="2" s="1"/>
  <c r="D1075" i="2"/>
  <c r="D1076" i="2" s="1"/>
  <c r="D1077" i="2" s="1"/>
  <c r="D1078" i="2" s="1"/>
  <c r="D1079" i="2" s="1"/>
  <c r="D1080" i="2" s="1"/>
  <c r="D1081" i="2" s="1"/>
  <c r="D1082" i="2" s="1"/>
  <c r="D1083" i="2" s="1"/>
  <c r="D1084" i="2" s="1"/>
  <c r="D1085" i="2" s="1"/>
  <c r="D1086" i="2" s="1"/>
  <c r="D1087" i="2" s="1"/>
  <c r="D1189" i="2"/>
  <c r="D1190" i="2" s="1"/>
  <c r="D1191" i="2" s="1"/>
  <c r="D1192" i="2" s="1"/>
  <c r="D1193" i="2" s="1"/>
  <c r="D1194" i="2" s="1"/>
  <c r="D1195" i="2" s="1"/>
  <c r="D1196" i="2" s="1"/>
  <c r="D1197" i="2" s="1"/>
  <c r="D1198" i="2" s="1"/>
  <c r="D1199" i="2" s="1"/>
  <c r="D1200" i="2" s="1"/>
  <c r="D1201" i="2" s="1"/>
  <c r="D1202" i="2" s="1"/>
  <c r="D1203" i="2" s="1"/>
  <c r="D1204" i="2" s="1"/>
  <c r="D1205" i="2" s="1"/>
  <c r="D1206" i="2" s="1"/>
  <c r="D1207" i="2" s="1"/>
  <c r="D1208" i="2" s="1"/>
  <c r="D1209" i="2" s="1"/>
  <c r="D1210" i="2" s="1"/>
  <c r="D1211" i="2" s="1"/>
  <c r="D1212" i="2" s="1"/>
  <c r="D1213" i="2" s="1"/>
  <c r="D1214" i="2" s="1"/>
  <c r="D1215" i="2" s="1"/>
  <c r="D1216" i="2" s="1"/>
  <c r="D1217" i="2" s="1"/>
  <c r="D1218" i="2" s="1"/>
  <c r="D1219" i="2" s="1"/>
  <c r="D1220" i="2" s="1"/>
  <c r="D1221" i="2" s="1"/>
  <c r="D1222" i="2" s="1"/>
  <c r="D1223" i="2" s="1"/>
  <c r="D1224" i="2" s="1"/>
  <c r="D1225" i="2" s="1"/>
  <c r="D1226" i="2" s="1"/>
  <c r="D1227" i="2" s="1"/>
  <c r="D1228" i="2" s="1"/>
  <c r="D1229" i="2" s="1"/>
  <c r="D1336" i="2"/>
  <c r="D1337" i="2" s="1"/>
  <c r="D1338" i="2" s="1"/>
  <c r="D1339" i="2" s="1"/>
  <c r="D1340" i="2" s="1"/>
  <c r="D1341" i="2" s="1"/>
  <c r="D1342" i="2" s="1"/>
  <c r="D1343" i="2" s="1"/>
  <c r="D1344" i="2" s="1"/>
  <c r="D1345" i="2" s="1"/>
  <c r="D1346" i="2" s="1"/>
  <c r="D1347" i="2" s="1"/>
  <c r="D1467" i="2"/>
  <c r="D1468" i="2" s="1"/>
  <c r="D1469" i="2" s="1"/>
  <c r="D1470" i="2" s="1"/>
  <c r="D1471" i="2" s="1"/>
  <c r="D1472" i="2" s="1"/>
  <c r="D1473" i="2" s="1"/>
  <c r="D1488" i="2"/>
  <c r="D1489" i="2" s="1"/>
  <c r="D1490" i="2" s="1"/>
  <c r="D1491" i="2" s="1"/>
  <c r="D1492" i="2" s="1"/>
  <c r="D1493" i="2" s="1"/>
  <c r="D1494" i="2" s="1"/>
  <c r="D1495" i="2" s="1"/>
  <c r="D1552" i="2"/>
  <c r="D1553" i="2" s="1"/>
  <c r="D1554" i="2" s="1"/>
  <c r="D1555" i="2" s="1"/>
  <c r="D1556" i="2" s="1"/>
  <c r="D1557" i="2" s="1"/>
  <c r="D1558" i="2" s="1"/>
  <c r="D1559" i="2" s="1"/>
  <c r="D1560" i="2" s="1"/>
  <c r="D1561" i="2" s="1"/>
  <c r="D1562" i="2" s="1"/>
  <c r="D1956" i="2"/>
  <c r="D1957" i="2" s="1"/>
  <c r="D1958" i="2" s="1"/>
  <c r="D1959" i="2" s="1"/>
  <c r="D1960" i="2" s="1"/>
  <c r="D1961" i="2" s="1"/>
  <c r="D1962" i="2" s="1"/>
  <c r="D1963" i="2" s="1"/>
  <c r="D1964" i="2" s="1"/>
  <c r="D1965" i="2" s="1"/>
  <c r="D1966" i="2" s="1"/>
  <c r="D1967" i="2" s="1"/>
  <c r="D1968" i="2" s="1"/>
  <c r="D1969" i="2" s="1"/>
  <c r="D1970" i="2" s="1"/>
  <c r="D1971" i="2" s="1"/>
  <c r="D1972" i="2" s="1"/>
  <c r="D1973" i="2" s="1"/>
  <c r="D1974" i="2" s="1"/>
  <c r="D1975" i="2" s="1"/>
  <c r="D1976" i="2" s="1"/>
  <c r="D1977" i="2" s="1"/>
  <c r="D1978" i="2" s="1"/>
  <c r="D1979" i="2" s="1"/>
  <c r="D1980" i="2" s="1"/>
  <c r="D24" i="2"/>
  <c r="D25" i="2" s="1"/>
  <c r="D26" i="2" s="1"/>
  <c r="D27" i="2" s="1"/>
  <c r="D28" i="2" s="1"/>
  <c r="D29" i="2" s="1"/>
  <c r="D30" i="2" s="1"/>
  <c r="D31" i="2" s="1"/>
  <c r="D32" i="2" s="1"/>
  <c r="D33" i="2" s="1"/>
  <c r="D34" i="2" s="1"/>
  <c r="D35" i="2" s="1"/>
  <c r="D36" i="2" s="1"/>
  <c r="D37" i="2" s="1"/>
  <c r="D63" i="2"/>
  <c r="D64" i="2" s="1"/>
  <c r="D65" i="2" s="1"/>
  <c r="D66" i="2" s="1"/>
  <c r="D67" i="2" s="1"/>
  <c r="D68" i="2" s="1"/>
  <c r="D69" i="2" s="1"/>
  <c r="D70" i="2" s="1"/>
  <c r="D71" i="2" s="1"/>
  <c r="D72" i="2" s="1"/>
  <c r="D73" i="2" s="1"/>
  <c r="D74" i="2" s="1"/>
  <c r="D75" i="2" s="1"/>
  <c r="D76" i="2" s="1"/>
  <c r="D77" i="2" s="1"/>
  <c r="D78" i="2" s="1"/>
  <c r="D79" i="2" s="1"/>
  <c r="D80" i="2" s="1"/>
  <c r="D81" i="2" s="1"/>
  <c r="D82" i="2" s="1"/>
  <c r="D83" i="2" s="1"/>
  <c r="D84" i="2" s="1"/>
  <c r="D129" i="2"/>
  <c r="D130" i="2" s="1"/>
  <c r="D131" i="2" s="1"/>
  <c r="D132" i="2" s="1"/>
  <c r="D133" i="2" s="1"/>
  <c r="D134" i="2" s="1"/>
  <c r="D135" i="2" s="1"/>
  <c r="D136" i="2" s="1"/>
  <c r="D137" i="2" s="1"/>
  <c r="D232" i="2"/>
  <c r="D233" i="2" s="1"/>
  <c r="D234" i="2" s="1"/>
  <c r="D235" i="2" s="1"/>
  <c r="D236" i="2" s="1"/>
  <c r="D237" i="2" s="1"/>
  <c r="D238" i="2" s="1"/>
  <c r="D239" i="2" s="1"/>
  <c r="D240" i="2" s="1"/>
  <c r="D241" i="2" s="1"/>
  <c r="D242" i="2" s="1"/>
  <c r="D385" i="2"/>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529" i="2"/>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798" i="2"/>
  <c r="D799" i="2" s="1"/>
  <c r="D800" i="2" s="1"/>
  <c r="D801" i="2" s="1"/>
  <c r="D802" i="2" s="1"/>
  <c r="D803" i="2" s="1"/>
  <c r="D820" i="2"/>
  <c r="D821" i="2" s="1"/>
  <c r="D822" i="2" s="1"/>
  <c r="D823" i="2" s="1"/>
  <c r="D824" i="2" s="1"/>
  <c r="D825" i="2" s="1"/>
  <c r="D826" i="2" s="1"/>
  <c r="D853" i="2"/>
  <c r="D854" i="2" s="1"/>
  <c r="D855" i="2" s="1"/>
  <c r="D970" i="2"/>
  <c r="D971" i="2" s="1"/>
  <c r="D972" i="2" s="1"/>
  <c r="D973" i="2" s="1"/>
  <c r="D974" i="2" s="1"/>
  <c r="D975" i="2" s="1"/>
  <c r="D976" i="2" s="1"/>
  <c r="D977" i="2" s="1"/>
  <c r="D978" i="2" s="1"/>
  <c r="D979" i="2" s="1"/>
  <c r="D980" i="2" s="1"/>
  <c r="D1139" i="2"/>
  <c r="D1140" i="2" s="1"/>
  <c r="D1141" i="2" s="1"/>
  <c r="D1142" i="2" s="1"/>
  <c r="D1143" i="2" s="1"/>
  <c r="D1144" i="2" s="1"/>
  <c r="D1145" i="2" s="1"/>
  <c r="D1146" i="2" s="1"/>
  <c r="D1147" i="2" s="1"/>
  <c r="D1148" i="2" s="1"/>
  <c r="D1149" i="2" s="1"/>
  <c r="D1150" i="2" s="1"/>
  <c r="D1151" i="2" s="1"/>
  <c r="D1152" i="2" s="1"/>
  <c r="D1153" i="2" s="1"/>
  <c r="D1154" i="2" s="1"/>
  <c r="D1155" i="2" s="1"/>
  <c r="D1156" i="2" s="1"/>
  <c r="D1157" i="2" s="1"/>
  <c r="D1158" i="2" s="1"/>
  <c r="D1159" i="2" s="1"/>
  <c r="D1160" i="2" s="1"/>
  <c r="D1500" i="2"/>
  <c r="D1501" i="2" s="1"/>
  <c r="D1502" i="2" s="1"/>
  <c r="D1503" i="2" s="1"/>
  <c r="D1504" i="2" s="1"/>
  <c r="D1505" i="2" s="1"/>
  <c r="D1506" i="2" s="1"/>
  <c r="D1507" i="2" s="1"/>
  <c r="D178" i="2"/>
  <c r="D179" i="2" s="1"/>
  <c r="D180" i="2" s="1"/>
  <c r="D181" i="2" s="1"/>
  <c r="D182" i="2" s="1"/>
  <c r="D183" i="2" s="1"/>
  <c r="D184" i="2" s="1"/>
  <c r="D204" i="2"/>
  <c r="D205" i="2" s="1"/>
  <c r="D206" i="2" s="1"/>
  <c r="D207" i="2" s="1"/>
  <c r="D208" i="2" s="1"/>
  <c r="D209" i="2" s="1"/>
  <c r="D210" i="2" s="1"/>
  <c r="D211" i="2" s="1"/>
  <c r="D566" i="2"/>
  <c r="D567" i="2" s="1"/>
  <c r="D568" i="2" s="1"/>
  <c r="D569" i="2" s="1"/>
  <c r="D570" i="2" s="1"/>
  <c r="D571" i="2" s="1"/>
  <c r="D572" i="2" s="1"/>
  <c r="D573" i="2" s="1"/>
  <c r="D574" i="2" s="1"/>
  <c r="D575" i="2" s="1"/>
  <c r="D594" i="2"/>
  <c r="D595" i="2" s="1"/>
  <c r="D596" i="2" s="1"/>
  <c r="D597" i="2" s="1"/>
  <c r="D598" i="2" s="1"/>
  <c r="D599" i="2" s="1"/>
  <c r="D600" i="2" s="1"/>
  <c r="D601" i="2" s="1"/>
  <c r="D618" i="2"/>
  <c r="D619" i="2" s="1"/>
  <c r="D620" i="2" s="1"/>
  <c r="D621" i="2" s="1"/>
  <c r="D622" i="2" s="1"/>
  <c r="D623" i="2" s="1"/>
  <c r="D624" i="2" s="1"/>
  <c r="D625" i="2" s="1"/>
  <c r="D626" i="2" s="1"/>
  <c r="D627" i="2" s="1"/>
  <c r="D885" i="2"/>
  <c r="D886" i="2" s="1"/>
  <c r="D887" i="2" s="1"/>
  <c r="D888" i="2" s="1"/>
  <c r="D889" i="2" s="1"/>
  <c r="D890" i="2" s="1"/>
  <c r="D891" i="2" s="1"/>
  <c r="D892" i="2" s="1"/>
  <c r="D908" i="2"/>
  <c r="D909" i="2" s="1"/>
  <c r="D910" i="2" s="1"/>
  <c r="D911" i="2" s="1"/>
  <c r="D912" i="2" s="1"/>
  <c r="D913" i="2" s="1"/>
  <c r="D914" i="2" s="1"/>
  <c r="D915" i="2" s="1"/>
  <c r="D916" i="2" s="1"/>
  <c r="D917" i="2" s="1"/>
  <c r="D918" i="2" s="1"/>
  <c r="D919" i="2" s="1"/>
  <c r="D920" i="2" s="1"/>
  <c r="D936" i="2"/>
  <c r="D937" i="2" s="1"/>
  <c r="D938" i="2" s="1"/>
  <c r="D939" i="2" s="1"/>
  <c r="D940" i="2" s="1"/>
  <c r="D941" i="2" s="1"/>
  <c r="D942" i="2" s="1"/>
  <c r="D943" i="2" s="1"/>
  <c r="D944" i="2" s="1"/>
  <c r="D945" i="2" s="1"/>
  <c r="D946" i="2" s="1"/>
  <c r="D947" i="2" s="1"/>
  <c r="D948" i="2" s="1"/>
  <c r="D949" i="2" s="1"/>
  <c r="D1255" i="2"/>
  <c r="D1256" i="2" s="1"/>
  <c r="D1257" i="2" s="1"/>
  <c r="D1258" i="2" s="1"/>
  <c r="D1259" i="2" s="1"/>
  <c r="D1260" i="2" s="1"/>
  <c r="D1261" i="2" s="1"/>
  <c r="D1262" i="2" s="1"/>
  <c r="D1263" i="2" s="1"/>
  <c r="D1325" i="2"/>
  <c r="D1326" i="2" s="1"/>
  <c r="D1327" i="2" s="1"/>
  <c r="D1328" i="2" s="1"/>
  <c r="D1329" i="2" s="1"/>
  <c r="D1330" i="2" s="1"/>
  <c r="D1331" i="2" s="1"/>
  <c r="D1454" i="2"/>
  <c r="D1455" i="2" s="1"/>
  <c r="D1456" i="2" s="1"/>
  <c r="D1457" i="2" s="1"/>
  <c r="D1458" i="2" s="1"/>
  <c r="D1459" i="2" s="1"/>
  <c r="D1460" i="2" s="1"/>
  <c r="D1461" i="2" s="1"/>
  <c r="D1462" i="2" s="1"/>
  <c r="D1589" i="2"/>
  <c r="D1590" i="2" s="1"/>
  <c r="D1591" i="2" s="1"/>
  <c r="D1592" i="2" s="1"/>
  <c r="D1593" i="2" s="1"/>
  <c r="D1594" i="2" s="1"/>
  <c r="D1595" i="2" s="1"/>
  <c r="D1596" i="2" s="1"/>
  <c r="D1597" i="2" s="1"/>
  <c r="D1598" i="2" s="1"/>
  <c r="D1599" i="2" s="1"/>
  <c r="D1600" i="2" s="1"/>
  <c r="D1985" i="2"/>
  <c r="D1986" i="2" s="1"/>
  <c r="D1987" i="2" s="1"/>
  <c r="D1988" i="2" s="1"/>
  <c r="D1989" i="2" s="1"/>
  <c r="D1990" i="2" s="1"/>
  <c r="D1991" i="2" s="1"/>
  <c r="D1992" i="2" s="1"/>
  <c r="D1993" i="2" s="1"/>
  <c r="D1994" i="2" s="1"/>
  <c r="D1995" i="2" s="1"/>
  <c r="D1996" i="2" s="1"/>
  <c r="D1997" i="2" s="1"/>
  <c r="D1998" i="2" s="1"/>
  <c r="D1999" i="2" s="1"/>
  <c r="D2000" i="2" s="1"/>
  <c r="D2001" i="2" s="1"/>
  <c r="D2002" i="2" s="1"/>
  <c r="D2003" i="2" s="1"/>
  <c r="D2004" i="2" s="1"/>
  <c r="D2005" i="2" s="1"/>
  <c r="D2006" i="2" s="1"/>
  <c r="D2007" i="2" s="1"/>
  <c r="D2008" i="2" s="1"/>
  <c r="D2009" i="2" s="1"/>
  <c r="D2010" i="2" s="1"/>
  <c r="D1900" i="2"/>
  <c r="D1901" i="2" s="1"/>
  <c r="D1902" i="2" s="1"/>
  <c r="D1903" i="2" s="1"/>
  <c r="D1904" i="2" s="1"/>
  <c r="D1905" i="2" s="1"/>
  <c r="D1906" i="2" s="1"/>
  <c r="D1907" i="2" s="1"/>
  <c r="D1908" i="2" s="1"/>
  <c r="D1909" i="2" s="1"/>
  <c r="D1910" i="2" s="1"/>
  <c r="D1911" i="2" s="1"/>
  <c r="D1912" i="2" s="1"/>
  <c r="D1913" i="2" s="1"/>
  <c r="D1914" i="2" s="1"/>
  <c r="D1915" i="2" s="1"/>
  <c r="D1567" i="2"/>
  <c r="D1568" i="2" s="1"/>
  <c r="D1569" i="2" s="1"/>
  <c r="D1570" i="2" s="1"/>
  <c r="D1571" i="2" s="1"/>
  <c r="D1572" i="2" s="1"/>
  <c r="D1439" i="2"/>
  <c r="D1440" i="2" s="1"/>
  <c r="D1441" i="2" s="1"/>
  <c r="D1442" i="2" s="1"/>
  <c r="D1443" i="2" s="1"/>
  <c r="D1444" i="2" s="1"/>
  <c r="D1445" i="2" s="1"/>
  <c r="D1446" i="2" s="1"/>
  <c r="D1447" i="2" s="1"/>
  <c r="D1448" i="2" s="1"/>
  <c r="D1449" i="2" s="1"/>
  <c r="D284" i="2"/>
  <c r="D285" i="2" s="1"/>
  <c r="D286" i="2" s="1"/>
  <c r="D287" i="2" s="1"/>
  <c r="D288" i="2" s="1"/>
  <c r="D289" i="2" s="1"/>
  <c r="D290" i="2" s="1"/>
  <c r="D291" i="2" s="1"/>
  <c r="D292" i="2" s="1"/>
  <c r="D293" i="2" s="1"/>
  <c r="D294" i="2" s="1"/>
  <c r="D295" i="2" s="1"/>
  <c r="D296" i="2" s="1"/>
  <c r="D297" i="2" s="1"/>
  <c r="D298" i="2" s="1"/>
  <c r="D452" i="2"/>
  <c r="D453" i="2" s="1"/>
  <c r="D454" i="2" s="1"/>
  <c r="D455" i="2" s="1"/>
  <c r="D456" i="2" s="1"/>
  <c r="D457" i="2" s="1"/>
  <c r="D458" i="2" s="1"/>
  <c r="D459" i="2" s="1"/>
  <c r="D460" i="2" s="1"/>
  <c r="D461" i="2" s="1"/>
  <c r="D462" i="2" s="1"/>
  <c r="D463" i="2" s="1"/>
  <c r="D464" i="2" s="1"/>
  <c r="D555" i="2"/>
  <c r="D556" i="2" s="1"/>
  <c r="D557" i="2" s="1"/>
  <c r="D558" i="2" s="1"/>
  <c r="D559" i="2" s="1"/>
  <c r="D560" i="2" s="1"/>
  <c r="D561" i="2" s="1"/>
  <c r="D655" i="2"/>
  <c r="D656" i="2" s="1"/>
  <c r="D657" i="2" s="1"/>
  <c r="D658" i="2" s="1"/>
  <c r="D659" i="2" s="1"/>
  <c r="D660" i="2" s="1"/>
  <c r="D661" i="2" s="1"/>
  <c r="D662" i="2" s="1"/>
  <c r="D663" i="2" s="1"/>
  <c r="D664" i="2" s="1"/>
  <c r="D665" i="2" s="1"/>
  <c r="D666" i="2" s="1"/>
  <c r="D667" i="2" s="1"/>
  <c r="D668" i="2" s="1"/>
  <c r="D669" i="2" s="1"/>
  <c r="D684" i="2"/>
  <c r="D685" i="2" s="1"/>
  <c r="D686" i="2" s="1"/>
  <c r="D687" i="2" s="1"/>
  <c r="D688" i="2" s="1"/>
  <c r="D689" i="2" s="1"/>
  <c r="D690" i="2" s="1"/>
  <c r="D691" i="2" s="1"/>
  <c r="D707" i="2"/>
  <c r="D708" i="2" s="1"/>
  <c r="D709" i="2" s="1"/>
  <c r="D710" i="2" s="1"/>
  <c r="D711" i="2" s="1"/>
  <c r="D712" i="2" s="1"/>
  <c r="D713" i="2" s="1"/>
  <c r="D714" i="2" s="1"/>
  <c r="D715" i="2" s="1"/>
  <c r="D729" i="2"/>
  <c r="D730" i="2" s="1"/>
  <c r="D731" i="2" s="1"/>
  <c r="D732" i="2" s="1"/>
  <c r="D753" i="2"/>
  <c r="D754" i="2" s="1"/>
  <c r="D755" i="2" s="1"/>
  <c r="D756" i="2" s="1"/>
  <c r="D757" i="2" s="1"/>
  <c r="D758" i="2" s="1"/>
  <c r="D759" i="2" s="1"/>
  <c r="D760" i="2" s="1"/>
  <c r="D761" i="2" s="1"/>
  <c r="D860" i="2"/>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1022" i="2"/>
  <c r="D1023" i="2" s="1"/>
  <c r="D1024" i="2" s="1"/>
  <c r="D1025" i="2" s="1"/>
  <c r="D1026" i="2" s="1"/>
  <c r="D1027" i="2" s="1"/>
  <c r="D1028" i="2" s="1"/>
  <c r="D1029" i="2" s="1"/>
  <c r="D1030" i="2" s="1"/>
  <c r="D1031" i="2" s="1"/>
  <c r="D1032" i="2" s="1"/>
  <c r="D1033" i="2" s="1"/>
  <c r="D1034" i="2" s="1"/>
  <c r="D1035" i="2" s="1"/>
  <c r="D1036" i="2" s="1"/>
  <c r="D1037" i="2" s="1"/>
  <c r="D1038" i="2" s="1"/>
  <c r="D1039" i="2" s="1"/>
  <c r="D1040" i="2" s="1"/>
  <c r="D1041" i="2" s="1"/>
  <c r="D1042" i="2" s="1"/>
  <c r="D1043" i="2" s="1"/>
  <c r="D1044" i="2" s="1"/>
  <c r="D1045" i="2" s="1"/>
  <c r="D1046" i="2" s="1"/>
  <c r="D1352" i="2"/>
  <c r="D1353" i="2" s="1"/>
  <c r="D1354" i="2" s="1"/>
  <c r="D1355" i="2" s="1"/>
  <c r="D1356" i="2" s="1"/>
  <c r="D1357" i="2" s="1"/>
  <c r="D1358" i="2" s="1"/>
  <c r="D1407" i="2"/>
  <c r="D1408" i="2" s="1"/>
  <c r="D1409" i="2" s="1"/>
  <c r="D1410" i="2" s="1"/>
  <c r="D1411" i="2" s="1"/>
  <c r="D1412" i="2" s="1"/>
  <c r="D1413" i="2" s="1"/>
  <c r="D1478" i="2"/>
  <c r="D1479" i="2" s="1"/>
  <c r="D1480" i="2" s="1"/>
  <c r="D1481" i="2" s="1"/>
  <c r="D1482" i="2" s="1"/>
  <c r="D1483" i="2" s="1"/>
  <c r="D1512" i="2"/>
  <c r="D1513" i="2" s="1"/>
  <c r="D1514" i="2" s="1"/>
  <c r="D1515" i="2" s="1"/>
  <c r="D1516" i="2" s="1"/>
  <c r="D1517" i="2" s="1"/>
  <c r="D1518" i="2" s="1"/>
  <c r="D1519" i="2" s="1"/>
  <c r="D1520" i="2" s="1"/>
  <c r="D1521" i="2" s="1"/>
  <c r="D1694" i="2"/>
  <c r="D1695" i="2" s="1"/>
  <c r="D1696" i="2" s="1"/>
  <c r="D1697" i="2" s="1"/>
  <c r="D1698" i="2" s="1"/>
  <c r="D1699" i="2" s="1"/>
  <c r="D1700" i="2" s="1"/>
  <c r="D1701" i="2" s="1"/>
  <c r="D1702" i="2" s="1"/>
  <c r="D1703" i="2" s="1"/>
  <c r="D1704" i="2" s="1"/>
  <c r="D1631" i="2"/>
  <c r="D1632" i="2" s="1"/>
  <c r="D1633" i="2" s="1"/>
  <c r="D1634" i="2" s="1"/>
  <c r="D1635" i="2" s="1"/>
  <c r="D1636" i="2" s="1"/>
  <c r="D1637" i="2" s="1"/>
  <c r="D1638" i="2" s="1"/>
  <c r="D1639" i="2" s="1"/>
  <c r="D1640" i="2" s="1"/>
  <c r="D1641" i="2" s="1"/>
  <c r="D1642" i="2" s="1"/>
  <c r="D1643" i="2" s="1"/>
  <c r="D1644" i="2" s="1"/>
  <c r="D1645" i="2" s="1"/>
  <c r="D1646" i="2" s="1"/>
  <c r="D1647" i="2" s="1"/>
  <c r="D1648" i="2" s="1"/>
  <c r="D1649" i="2" s="1"/>
  <c r="D1650" i="2" s="1"/>
  <c r="D1651" i="2" s="1"/>
  <c r="D1652" i="2" s="1"/>
  <c r="D1653" i="2" s="1"/>
  <c r="D1654" i="2" s="1"/>
  <c r="D1577" i="2"/>
  <c r="D1578" i="2" s="1"/>
  <c r="D1579" i="2" s="1"/>
  <c r="D1580" i="2" s="1"/>
  <c r="D1581" i="2" s="1"/>
  <c r="D1582" i="2" s="1"/>
  <c r="D1583" i="2" s="1"/>
  <c r="D1584" i="2" s="1"/>
  <c r="D1858" i="2"/>
  <c r="D1859" i="2" s="1"/>
  <c r="D1860" i="2" s="1"/>
  <c r="D1861" i="2" s="1"/>
  <c r="D1862" i="2" s="1"/>
  <c r="D1863" i="2" s="1"/>
  <c r="D1864" i="2" s="1"/>
  <c r="D1865" i="2" s="1"/>
  <c r="D1866" i="2" s="1"/>
  <c r="D1867" i="2" s="1"/>
  <c r="D1868" i="2" s="1"/>
  <c r="D1869" i="2" s="1"/>
  <c r="D1538" i="2"/>
  <c r="D1539" i="2" s="1"/>
  <c r="D1540" i="2" s="1"/>
  <c r="D1541" i="2" s="1"/>
  <c r="D1542" i="2" s="1"/>
  <c r="D1543" i="2" s="1"/>
  <c r="D1544" i="2" s="1"/>
  <c r="D1545" i="2" s="1"/>
  <c r="D1546" i="2" s="1"/>
  <c r="D1547" i="2" s="1"/>
  <c r="D621" i="197" l="1"/>
  <c r="D622" i="197" s="1"/>
  <c r="U76" i="203" l="1"/>
  <c r="U35" i="203"/>
  <c r="U141" i="203"/>
  <c r="U100" i="203"/>
  <c r="U115" i="203"/>
  <c r="U66" i="203"/>
  <c r="U89" i="203"/>
  <c r="U26" i="203"/>
  <c r="U125" i="203"/>
  <c r="U85" i="203"/>
  <c r="U21" i="203"/>
  <c r="U51" i="203"/>
  <c r="U80" i="203"/>
  <c r="U46" i="203"/>
  <c r="D12" i="202"/>
  <c r="D13" i="202" s="1"/>
  <c r="U12" i="203"/>
  <c r="U130" i="203" l="1"/>
  <c r="U295" i="203"/>
  <c r="U323" i="203"/>
  <c r="U61" i="203"/>
  <c r="U225" i="203"/>
  <c r="U109" i="203"/>
  <c r="U331" i="203"/>
  <c r="U121" i="203"/>
  <c r="U300" i="203"/>
  <c r="U339" i="203"/>
  <c r="U221" i="203"/>
  <c r="U266" i="203"/>
  <c r="U72" i="203"/>
  <c r="U94" i="203"/>
  <c r="U248" i="203"/>
  <c r="U257" i="203"/>
  <c r="U182" i="203"/>
  <c r="U270" i="203"/>
  <c r="U229" i="203"/>
  <c r="U199" i="203"/>
  <c r="U310" i="203"/>
  <c r="U195" i="203"/>
  <c r="U104" i="203"/>
  <c r="U315" i="203"/>
  <c r="U159" i="203"/>
  <c r="U233" i="203"/>
  <c r="U191" i="203"/>
  <c r="U237" i="203"/>
  <c r="U253" i="203"/>
  <c r="U217" i="203"/>
  <c r="U290" i="203"/>
  <c r="U275" i="203"/>
  <c r="U284" i="203"/>
  <c r="U205" i="203"/>
  <c r="U137" i="203"/>
  <c r="U168" i="203"/>
  <c r="U164" i="203"/>
  <c r="U213" i="203"/>
  <c r="U209" i="203"/>
  <c r="U41" i="203"/>
  <c r="U186" i="203"/>
  <c r="U319" i="203"/>
  <c r="U335" i="203"/>
  <c r="U172" i="203"/>
  <c r="U146" i="203"/>
  <c r="U327" i="203"/>
  <c r="U30" i="203"/>
  <c r="U262" i="203"/>
  <c r="U55" i="203"/>
  <c r="U16" i="203"/>
  <c r="U280" i="203"/>
  <c r="U242" i="203"/>
  <c r="U153" i="203"/>
  <c r="U176" i="203"/>
  <c r="U305" i="203"/>
  <c r="D14" i="202"/>
  <c r="U32" i="202"/>
  <c r="D12" i="201"/>
  <c r="D13" i="201" s="1"/>
  <c r="T344" i="203"/>
  <c r="P344" i="203"/>
  <c r="O344" i="203"/>
  <c r="S344" i="203"/>
  <c r="R344" i="203"/>
  <c r="Q344" i="203"/>
  <c r="U344" i="203" l="1"/>
  <c r="U64" i="202"/>
  <c r="U17" i="202"/>
  <c r="U347" i="202"/>
  <c r="U508" i="202"/>
  <c r="U115" i="202"/>
  <c r="U202" i="202"/>
  <c r="U82" i="202"/>
  <c r="U197" i="202"/>
  <c r="U481" i="202"/>
  <c r="U250" i="202"/>
  <c r="U612" i="202"/>
  <c r="U576" i="202"/>
  <c r="U453" i="202"/>
  <c r="U257" i="202"/>
  <c r="U26" i="202"/>
  <c r="U73" i="202"/>
  <c r="U436" i="202"/>
  <c r="U427" i="202"/>
  <c r="U329" i="202"/>
  <c r="U142" i="202"/>
  <c r="U39" i="202"/>
  <c r="U503" i="202"/>
  <c r="U477" i="202"/>
  <c r="U411" i="202"/>
  <c r="U419" i="202"/>
  <c r="U407" i="202"/>
  <c r="U445" i="202"/>
  <c r="U465" i="202"/>
  <c r="U46" i="202"/>
  <c r="U588" i="202"/>
  <c r="U549" i="202"/>
  <c r="U181" i="202"/>
  <c r="U559" i="202"/>
  <c r="U521" i="202"/>
  <c r="U371" i="202"/>
  <c r="U539" i="202"/>
  <c r="U580" i="202"/>
  <c r="U102" i="202"/>
  <c r="U98" i="202"/>
  <c r="U394" i="202"/>
  <c r="U403" i="202"/>
  <c r="U499" i="202"/>
  <c r="U263" i="202"/>
  <c r="U440" i="202"/>
  <c r="U526" i="202"/>
  <c r="U469" i="202"/>
  <c r="U513" i="202"/>
  <c r="U415" i="202"/>
  <c r="U555" i="202"/>
  <c r="U398" i="202"/>
  <c r="U224" i="202"/>
  <c r="U161" i="202"/>
  <c r="U92" i="202"/>
  <c r="U308" i="202"/>
  <c r="U283" i="202"/>
  <c r="U267" i="202"/>
  <c r="U214" i="202"/>
  <c r="U206" i="202"/>
  <c r="U300" i="202"/>
  <c r="U155" i="202"/>
  <c r="U186" i="202"/>
  <c r="U449" i="202"/>
  <c r="U352" i="202"/>
  <c r="U600" i="202"/>
  <c r="U287" i="202"/>
  <c r="U338" i="202"/>
  <c r="U423" i="202"/>
  <c r="U279" i="202"/>
  <c r="U316" i="202"/>
  <c r="U87" i="202"/>
  <c r="U275" i="202"/>
  <c r="U431" i="202"/>
  <c r="U473" i="202"/>
  <c r="U386" i="202"/>
  <c r="U604" i="202"/>
  <c r="U132" i="202"/>
  <c r="U21" i="202"/>
  <c r="U334" i="202"/>
  <c r="U530" i="202"/>
  <c r="U106" i="202"/>
  <c r="U173" i="202"/>
  <c r="U219" i="202"/>
  <c r="U366" i="202"/>
  <c r="U59" i="202"/>
  <c r="U320" i="202"/>
  <c r="U292" i="202"/>
  <c r="U343" i="202"/>
  <c r="U565" i="202"/>
  <c r="U210" i="202"/>
  <c r="U304" i="202"/>
  <c r="U357" i="202"/>
  <c r="U243" i="202"/>
  <c r="U149" i="202"/>
  <c r="U271" i="202"/>
  <c r="U78" i="202"/>
  <c r="U517" i="202"/>
  <c r="U192" i="202"/>
  <c r="U126" i="202"/>
  <c r="U169" i="202"/>
  <c r="U111" i="202"/>
  <c r="U120" i="202"/>
  <c r="O617" i="202"/>
  <c r="U68" i="202"/>
  <c r="U608" i="202"/>
  <c r="U584" i="202"/>
  <c r="U461" i="202"/>
  <c r="U229" i="202"/>
  <c r="U494" i="202"/>
  <c r="U377" i="202"/>
  <c r="U592" i="202"/>
  <c r="U457" i="202"/>
  <c r="U324" i="202"/>
  <c r="U535" i="202"/>
  <c r="U137" i="202"/>
  <c r="U571" i="202"/>
  <c r="U296" i="202"/>
  <c r="U596" i="202"/>
  <c r="U312" i="202"/>
  <c r="U234" i="202"/>
  <c r="U54" i="202"/>
  <c r="U544" i="202"/>
  <c r="U239" i="202"/>
  <c r="U485" i="202"/>
  <c r="U489" i="202"/>
  <c r="D14" i="201"/>
  <c r="D12" i="200"/>
  <c r="D13" i="200" s="1"/>
  <c r="S617" i="202" l="1"/>
  <c r="P617" i="202"/>
  <c r="T617" i="202"/>
  <c r="Q617" i="202"/>
  <c r="R617" i="202"/>
  <c r="U12" i="202"/>
  <c r="U617" i="202" s="1"/>
  <c r="U59" i="201"/>
  <c r="U145" i="201"/>
  <c r="U174" i="201"/>
  <c r="U208" i="201"/>
  <c r="U118" i="201"/>
  <c r="U203" i="201"/>
  <c r="U39" i="201"/>
  <c r="U169" i="201"/>
  <c r="U212" i="201"/>
  <c r="U25" i="201"/>
  <c r="U178" i="201"/>
  <c r="U104" i="201"/>
  <c r="U21" i="201"/>
  <c r="U137" i="201"/>
  <c r="U153" i="201"/>
  <c r="U47" i="201"/>
  <c r="U157" i="201"/>
  <c r="U217" i="201"/>
  <c r="U17" i="201"/>
  <c r="U165" i="201"/>
  <c r="U149" i="201"/>
  <c r="U183" i="201"/>
  <c r="U51" i="201"/>
  <c r="U141" i="201"/>
  <c r="U92" i="201"/>
  <c r="U80" i="201"/>
  <c r="U43" i="201"/>
  <c r="U222" i="201"/>
  <c r="U100" i="201"/>
  <c r="U84" i="201"/>
  <c r="U235" i="201"/>
  <c r="U30" i="201"/>
  <c r="U109" i="201"/>
  <c r="U226" i="201"/>
  <c r="U188" i="201"/>
  <c r="U55" i="201"/>
  <c r="U64" i="201"/>
  <c r="U194" i="201"/>
  <c r="U131" i="201"/>
  <c r="U127" i="201"/>
  <c r="U231" i="201"/>
  <c r="U123" i="201"/>
  <c r="U35" i="201"/>
  <c r="U76" i="201"/>
  <c r="U72" i="201"/>
  <c r="U161" i="201"/>
  <c r="U68" i="201"/>
  <c r="U96" i="201"/>
  <c r="U114" i="201"/>
  <c r="U199" i="201"/>
  <c r="U88" i="201"/>
  <c r="D14" i="200"/>
  <c r="D12" i="199"/>
  <c r="D13" i="199" s="1"/>
  <c r="S240" i="201" l="1"/>
  <c r="O240" i="201"/>
  <c r="T240" i="201"/>
  <c r="R240" i="201"/>
  <c r="P240" i="201"/>
  <c r="Q240" i="201"/>
  <c r="U12" i="201"/>
  <c r="U240" i="201" s="1"/>
  <c r="U323" i="200"/>
  <c r="U606" i="200"/>
  <c r="U754" i="200"/>
  <c r="U811" i="200"/>
  <c r="U44" i="200"/>
  <c r="U127" i="200"/>
  <c r="U806" i="200"/>
  <c r="U300" i="200"/>
  <c r="U268" i="200"/>
  <c r="U484" i="200"/>
  <c r="U730" i="200"/>
  <c r="U398" i="200"/>
  <c r="U317" i="200"/>
  <c r="U509" i="200"/>
  <c r="U96" i="200"/>
  <c r="U118" i="200"/>
  <c r="U186" i="200"/>
  <c r="U54" i="200"/>
  <c r="U871" i="200"/>
  <c r="U421" i="200"/>
  <c r="U112" i="200"/>
  <c r="U141" i="200"/>
  <c r="U619" i="200"/>
  <c r="U669" i="200"/>
  <c r="U495" i="200"/>
  <c r="U563" i="200"/>
  <c r="U252" i="200"/>
  <c r="U624" i="200"/>
  <c r="U867" i="200"/>
  <c r="U519" i="200"/>
  <c r="U375" i="200"/>
  <c r="U171" i="200"/>
  <c r="U280" i="200"/>
  <c r="U158" i="200"/>
  <c r="U849" i="200"/>
  <c r="U643" i="200"/>
  <c r="U438" i="200"/>
  <c r="U205" i="200"/>
  <c r="U451" i="200"/>
  <c r="U524" i="200"/>
  <c r="U240" i="200"/>
  <c r="U360" i="200"/>
  <c r="U148" i="200"/>
  <c r="U587" i="200"/>
  <c r="U715" i="200"/>
  <c r="U795" i="200"/>
  <c r="U835" i="200"/>
  <c r="U296" i="200"/>
  <c r="U827" i="200"/>
  <c r="U221" i="200"/>
  <c r="U225" i="200"/>
  <c r="U576" i="200"/>
  <c r="U84" i="200"/>
  <c r="U256" i="200"/>
  <c r="U311" i="200"/>
  <c r="U858" i="200"/>
  <c r="U504" i="200"/>
  <c r="U413" i="200"/>
  <c r="U490" i="200"/>
  <c r="U70" i="200"/>
  <c r="U581" i="200"/>
  <c r="U613" i="200"/>
  <c r="U17" i="200"/>
  <c r="U244" i="200"/>
  <c r="U554" i="200"/>
  <c r="U659" i="200"/>
  <c r="U331" i="200"/>
  <c r="U747" i="200"/>
  <c r="U260" i="200"/>
  <c r="U738" i="200"/>
  <c r="U345" i="200"/>
  <c r="U213" i="200"/>
  <c r="U761" i="200"/>
  <c r="U650" i="200"/>
  <c r="U548" i="200"/>
  <c r="U32" i="200"/>
  <c r="U500" i="200"/>
  <c r="U845" i="200"/>
  <c r="U284" i="200"/>
  <c r="U875" i="200"/>
  <c r="U781" i="200"/>
  <c r="U477" i="200"/>
  <c r="U48" i="200"/>
  <c r="U24" i="200"/>
  <c r="U459" i="200"/>
  <c r="U841" i="200"/>
  <c r="U770" i="200"/>
  <c r="U231" i="200"/>
  <c r="U823" i="200"/>
  <c r="U201" i="200"/>
  <c r="U217" i="200"/>
  <c r="U680" i="200"/>
  <c r="U537" i="200"/>
  <c r="U710" i="200"/>
  <c r="U248" i="200"/>
  <c r="U264" i="200"/>
  <c r="U273" i="200"/>
  <c r="U594" i="200"/>
  <c r="U353" i="200"/>
  <c r="U862" i="200"/>
  <c r="U831" i="200"/>
  <c r="U568" i="200"/>
  <c r="U387" i="200"/>
  <c r="U178" i="200"/>
  <c r="U721" i="200"/>
  <c r="U468" i="200"/>
  <c r="U404" i="200"/>
  <c r="U58" i="200"/>
  <c r="U77" i="200"/>
  <c r="U431" i="200"/>
  <c r="U337" i="200"/>
  <c r="U819" i="200"/>
  <c r="U63" i="200"/>
  <c r="U634" i="200"/>
  <c r="U542" i="200"/>
  <c r="U235" i="200"/>
  <c r="U853" i="200"/>
  <c r="U513" i="200"/>
  <c r="U698" i="200"/>
  <c r="U600" i="200"/>
  <c r="U289" i="200"/>
  <c r="U367" i="200"/>
  <c r="U195" i="200"/>
  <c r="U39" i="200"/>
  <c r="U105" i="200"/>
  <c r="U90" i="200"/>
  <c r="U689" i="200"/>
  <c r="U532" i="200"/>
  <c r="U800" i="200"/>
  <c r="D14" i="199"/>
  <c r="D12" i="198"/>
  <c r="D13" i="198" s="1"/>
  <c r="U12" i="200" l="1"/>
  <c r="U880" i="200" s="1"/>
  <c r="U177" i="199"/>
  <c r="U526" i="199"/>
  <c r="U494" i="199"/>
  <c r="U197" i="199"/>
  <c r="U321" i="199"/>
  <c r="U204" i="199"/>
  <c r="U190" i="199"/>
  <c r="U354" i="199"/>
  <c r="U303" i="199"/>
  <c r="U615" i="199"/>
  <c r="U124" i="199"/>
  <c r="U164" i="199"/>
  <c r="U56" i="199"/>
  <c r="U607" i="199"/>
  <c r="U81" i="199"/>
  <c r="U51" i="199"/>
  <c r="U271" i="199"/>
  <c r="U403" i="199"/>
  <c r="U159" i="199"/>
  <c r="U513" i="199"/>
  <c r="U490" i="199"/>
  <c r="U595" i="199"/>
  <c r="U364" i="199"/>
  <c r="U17" i="199"/>
  <c r="U284" i="199"/>
  <c r="U102" i="199"/>
  <c r="U591" i="199"/>
  <c r="U541" i="199"/>
  <c r="U29" i="199"/>
  <c r="U420" i="199"/>
  <c r="U297" i="199"/>
  <c r="U447" i="199"/>
  <c r="U500" i="199"/>
  <c r="U265" i="199"/>
  <c r="U95" i="199"/>
  <c r="U558" i="199"/>
  <c r="U546" i="199"/>
  <c r="U395" i="199"/>
  <c r="U443" i="199"/>
  <c r="U37" i="199"/>
  <c r="U599" i="199"/>
  <c r="U108" i="199"/>
  <c r="U293" i="199"/>
  <c r="U336" i="199"/>
  <c r="U479" i="199"/>
  <c r="U23" i="199"/>
  <c r="U155" i="199"/>
  <c r="U348" i="199"/>
  <c r="U149" i="199"/>
  <c r="U73" i="199"/>
  <c r="U506" i="199"/>
  <c r="U66" i="199"/>
  <c r="U317" i="199"/>
  <c r="U243" i="199"/>
  <c r="U288" i="199"/>
  <c r="U137" i="199"/>
  <c r="U383" i="199"/>
  <c r="U235" i="199"/>
  <c r="U310" i="199"/>
  <c r="U611" i="199"/>
  <c r="U369" i="199"/>
  <c r="U619" i="199"/>
  <c r="U474" i="199"/>
  <c r="U259" i="199"/>
  <c r="U451" i="199"/>
  <c r="U521" i="199"/>
  <c r="U44" i="199"/>
  <c r="U533" i="199"/>
  <c r="U567" i="199"/>
  <c r="U439" i="199"/>
  <c r="U144" i="199"/>
  <c r="U376" i="199"/>
  <c r="U252" i="199"/>
  <c r="U468" i="199"/>
  <c r="U130" i="199"/>
  <c r="U552" i="199"/>
  <c r="U435" i="199"/>
  <c r="U485" i="199"/>
  <c r="U213" i="199"/>
  <c r="U464" i="199"/>
  <c r="U455" i="199"/>
  <c r="U87" i="199"/>
  <c r="U172" i="199"/>
  <c r="U360" i="199"/>
  <c r="U325" i="199"/>
  <c r="U77" i="199"/>
  <c r="U459" i="199"/>
  <c r="U114" i="199"/>
  <c r="U410" i="199"/>
  <c r="U582" i="199"/>
  <c r="U227" i="199"/>
  <c r="U431" i="199"/>
  <c r="U341" i="199"/>
  <c r="U181" i="199"/>
  <c r="U603" i="199"/>
  <c r="U332" i="199"/>
  <c r="U573" i="199"/>
  <c r="U278" i="199"/>
  <c r="U61" i="199"/>
  <c r="U219" i="199"/>
  <c r="U119" i="199"/>
  <c r="D12" i="197"/>
  <c r="D13" i="197" s="1"/>
  <c r="S880" i="200"/>
  <c r="R880" i="200"/>
  <c r="T880" i="200"/>
  <c r="O880" i="200"/>
  <c r="Q880" i="200"/>
  <c r="P880" i="200"/>
  <c r="R624" i="199" l="1"/>
  <c r="P624" i="199"/>
  <c r="T624" i="199"/>
  <c r="Q624" i="199"/>
  <c r="U12" i="199"/>
  <c r="U624" i="199" s="1"/>
  <c r="S624" i="199"/>
  <c r="O624" i="199"/>
  <c r="U111" i="198"/>
  <c r="U98" i="198"/>
  <c r="U183" i="198"/>
  <c r="U103" i="198"/>
  <c r="U195" i="198"/>
  <c r="U138" i="198"/>
  <c r="U25" i="198"/>
  <c r="U50" i="198"/>
  <c r="U169" i="198"/>
  <c r="U78" i="198"/>
  <c r="U129" i="198"/>
  <c r="U86" i="198"/>
  <c r="U59" i="198"/>
  <c r="U69" i="198"/>
  <c r="U161" i="198"/>
  <c r="U120" i="198"/>
  <c r="U133" i="198"/>
  <c r="U41" i="198"/>
  <c r="U74" i="198"/>
  <c r="U45" i="198"/>
  <c r="U191" i="198"/>
  <c r="U90" i="198"/>
  <c r="U148" i="198"/>
  <c r="U143" i="198"/>
  <c r="U33" i="198"/>
  <c r="U20" i="198"/>
  <c r="U115" i="198"/>
  <c r="U16" i="198"/>
  <c r="U55" i="198"/>
  <c r="U157" i="198"/>
  <c r="U165" i="198"/>
  <c r="U107" i="198"/>
  <c r="U174" i="198"/>
  <c r="U125" i="198"/>
  <c r="U187" i="198"/>
  <c r="U179" i="198"/>
  <c r="U37" i="198"/>
  <c r="U64" i="198"/>
  <c r="U153" i="198"/>
  <c r="U94" i="198"/>
  <c r="U29" i="198"/>
  <c r="U82" i="198"/>
  <c r="D14" i="197"/>
  <c r="C6" i="1"/>
  <c r="C4" i="1"/>
  <c r="Q201" i="198" l="1"/>
  <c r="U12" i="198"/>
  <c r="U201" i="198" s="1"/>
  <c r="S201" i="198"/>
  <c r="O201" i="198"/>
  <c r="P201" i="198"/>
  <c r="T201" i="198"/>
  <c r="R201" i="198"/>
  <c r="U455" i="197"/>
  <c r="U323" i="197"/>
  <c r="U602" i="197"/>
  <c r="U255" i="197"/>
  <c r="U242" i="197"/>
  <c r="U54" i="197"/>
  <c r="U590" i="197"/>
  <c r="U634" i="197"/>
  <c r="U200" i="197"/>
  <c r="U359" i="197"/>
  <c r="U37" i="197"/>
  <c r="U375" i="197"/>
  <c r="U382" i="197"/>
  <c r="U499" i="197"/>
  <c r="U551" i="197"/>
  <c r="U24" i="197"/>
  <c r="U327" i="197"/>
  <c r="U115" i="197"/>
  <c r="U186" i="197"/>
  <c r="U612" i="197"/>
  <c r="U172" i="197"/>
  <c r="U150" i="197"/>
  <c r="U292" i="197"/>
  <c r="U65" i="197"/>
  <c r="U607" i="197"/>
  <c r="U129" i="197"/>
  <c r="U352" i="197"/>
  <c r="U164" i="197"/>
  <c r="U75" i="197"/>
  <c r="U211" i="197"/>
  <c r="U231" i="197"/>
  <c r="U270" i="197"/>
  <c r="U364" i="197"/>
  <c r="U84" i="197"/>
  <c r="U281" i="197"/>
  <c r="U470" i="197"/>
  <c r="U251" i="197"/>
  <c r="U340" i="197"/>
  <c r="U143" i="197"/>
  <c r="U464" i="197"/>
  <c r="U80" i="197"/>
  <c r="U31" i="197"/>
  <c r="U346" i="197"/>
  <c r="U646" i="197"/>
  <c r="U598" i="197"/>
  <c r="U42" i="197"/>
  <c r="U401" i="197"/>
  <c r="U566" i="197"/>
  <c r="U509" i="197"/>
  <c r="U297" i="197"/>
  <c r="U585" i="197"/>
  <c r="U495" i="197"/>
  <c r="U317" i="197"/>
  <c r="U450" i="197"/>
  <c r="U389" i="197"/>
  <c r="U237" i="197"/>
  <c r="U264" i="197"/>
  <c r="U260" i="197"/>
  <c r="U490" i="197"/>
  <c r="U629" i="197"/>
  <c r="U123" i="197"/>
  <c r="U247" i="197"/>
  <c r="U486" i="197"/>
  <c r="U436" i="197"/>
  <c r="U94" i="197"/>
  <c r="U417" i="197"/>
  <c r="U227" i="197"/>
  <c r="U205" i="197"/>
  <c r="U460" i="197"/>
  <c r="U177" i="197"/>
  <c r="U60" i="197"/>
  <c r="U105" i="197"/>
  <c r="U619" i="197"/>
  <c r="U369" i="197"/>
  <c r="U571" i="197"/>
  <c r="U395" i="197"/>
  <c r="U220" i="197"/>
  <c r="U480" i="197"/>
  <c r="U276" i="197"/>
  <c r="U286" i="197"/>
  <c r="U410" i="197"/>
  <c r="U133" i="197"/>
  <c r="U313" i="197"/>
  <c r="U526" i="197"/>
  <c r="U440" i="197"/>
  <c r="U555" i="197"/>
  <c r="U195" i="197"/>
  <c r="U520" i="197"/>
  <c r="U575" i="197"/>
  <c r="U190" i="197"/>
  <c r="U446" i="197"/>
  <c r="U71" i="197"/>
  <c r="U182" i="197"/>
  <c r="U423" i="197"/>
  <c r="U533" i="197"/>
  <c r="U503" i="197"/>
  <c r="U88" i="197"/>
  <c r="U301" i="197"/>
  <c r="U333" i="197"/>
  <c r="U157" i="197"/>
  <c r="U546" i="197"/>
  <c r="U515" i="197"/>
  <c r="U625" i="197"/>
  <c r="U539" i="197"/>
  <c r="U17" i="197"/>
  <c r="U110" i="197"/>
  <c r="U99" i="197"/>
  <c r="U474" i="197"/>
  <c r="U216" i="197"/>
  <c r="U138" i="197"/>
  <c r="U429" i="197"/>
  <c r="U640" i="197"/>
  <c r="U562" i="197"/>
  <c r="U580" i="197"/>
  <c r="U307" i="197"/>
  <c r="U49" i="197"/>
  <c r="U12" i="197" l="1"/>
  <c r="U654" i="197" s="1"/>
  <c r="R654" i="197"/>
  <c r="S654" i="197"/>
  <c r="T654" i="197"/>
  <c r="Q654" i="197"/>
  <c r="P654" i="197"/>
  <c r="O654" i="197"/>
  <c r="D12" i="3" l="1"/>
  <c r="D13" i="3" s="1"/>
  <c r="D12" i="2"/>
  <c r="D13" i="2" s="1"/>
  <c r="D14" i="2" l="1"/>
  <c r="D15" i="2" s="1"/>
  <c r="D16" i="2" s="1"/>
  <c r="D17" i="2" s="1"/>
  <c r="D18" i="2" s="1"/>
  <c r="D19" i="2" s="1"/>
  <c r="U335" i="3" l="1"/>
  <c r="U413" i="3"/>
  <c r="U315" i="3"/>
  <c r="U181" i="3"/>
  <c r="U94" i="3"/>
  <c r="U371" i="3"/>
  <c r="U270" i="3"/>
  <c r="U68" i="3"/>
  <c r="U120" i="3"/>
  <c r="U277" i="3"/>
  <c r="U124" i="3"/>
  <c r="U176" i="3"/>
  <c r="U232" i="3"/>
  <c r="U28" i="3"/>
  <c r="U21" i="3"/>
  <c r="U114" i="3"/>
  <c r="U291" i="3"/>
  <c r="U159" i="3"/>
  <c r="U16" i="3"/>
  <c r="U223" i="3"/>
  <c r="U107" i="3"/>
  <c r="U155" i="3"/>
  <c r="U264" i="3"/>
  <c r="U259" i="3"/>
  <c r="U210" i="3"/>
  <c r="U206" i="3"/>
  <c r="U78" i="3"/>
  <c r="U103" i="3"/>
  <c r="U39" i="3"/>
  <c r="U185" i="3"/>
  <c r="U132" i="3"/>
  <c r="U282" i="3"/>
  <c r="U331" i="3"/>
  <c r="U343" i="3"/>
  <c r="U383" i="3"/>
  <c r="U300" i="3"/>
  <c r="U251" i="3"/>
  <c r="U347" i="3"/>
  <c r="U214" i="3"/>
  <c r="U227" i="3"/>
  <c r="U172" i="3"/>
  <c r="U218" i="3"/>
  <c r="U428" i="3"/>
  <c r="U402" i="3"/>
  <c r="U327" i="3"/>
  <c r="U189" i="3"/>
  <c r="U98" i="3"/>
  <c r="U35" i="3"/>
  <c r="U375" i="3"/>
  <c r="U379" i="3"/>
  <c r="U296" i="3"/>
  <c r="U43" i="3"/>
  <c r="U201" i="3"/>
  <c r="U83" i="3"/>
  <c r="U311" i="3"/>
  <c r="U323" i="3"/>
  <c r="U62" i="3"/>
  <c r="U441" i="3"/>
  <c r="U243" i="3"/>
  <c r="U417" i="3"/>
  <c r="U151" i="3"/>
  <c r="U56" i="3"/>
  <c r="U319" i="3"/>
  <c r="U437" i="3"/>
  <c r="U356" i="3"/>
  <c r="U128" i="3"/>
  <c r="U197" i="3"/>
  <c r="U432" i="3"/>
  <c r="U238" i="3"/>
  <c r="U397" i="3"/>
  <c r="U141" i="3"/>
  <c r="U306" i="3"/>
  <c r="U352" i="3"/>
  <c r="U422" i="3"/>
  <c r="U168" i="3"/>
  <c r="U72" i="3"/>
  <c r="U164" i="3"/>
  <c r="U339" i="3"/>
  <c r="U407" i="3"/>
  <c r="U393" i="3"/>
  <c r="U367" i="3"/>
  <c r="U47" i="3"/>
  <c r="U387" i="3"/>
  <c r="U193" i="3"/>
  <c r="U286" i="3"/>
  <c r="U87" i="3"/>
  <c r="U146" i="3"/>
  <c r="U360" i="3"/>
  <c r="U136" i="3"/>
  <c r="U51" i="3"/>
  <c r="U806" i="2"/>
  <c r="U1049" i="2"/>
  <c r="U230" i="2"/>
  <c r="U1020" i="2"/>
  <c r="U604" i="2"/>
  <c r="U1115" i="2"/>
  <c r="U408" i="2"/>
  <c r="U127" i="2"/>
  <c r="U2013" i="2"/>
  <c r="U494" i="2"/>
  <c r="U1293" i="2"/>
  <c r="U450" i="2"/>
  <c r="U1361" i="2"/>
  <c r="U743" i="2"/>
  <c r="U1437" i="2"/>
  <c r="U1498" i="2"/>
  <c r="U1163" i="2"/>
  <c r="U1575" i="2"/>
  <c r="U2023" i="2"/>
  <c r="U694" i="2"/>
  <c r="U796" i="2"/>
  <c r="U1550" i="2"/>
  <c r="U838" i="2"/>
  <c r="U2122" i="2"/>
  <c r="U682" i="2"/>
  <c r="U934" i="2"/>
  <c r="U61" i="2"/>
  <c r="U1465" i="2"/>
  <c r="U2113" i="2"/>
  <c r="U2118" i="2"/>
  <c r="U340" i="2"/>
  <c r="U1872" i="2"/>
  <c r="U202" i="2"/>
  <c r="U1510" i="2"/>
  <c r="U642" i="2"/>
  <c r="U187" i="2"/>
  <c r="U553" i="2"/>
  <c r="U1397" i="2"/>
  <c r="U2078" i="2"/>
  <c r="U1416" i="2"/>
  <c r="U578" i="2"/>
  <c r="U630" i="2"/>
  <c r="U1375" i="2"/>
  <c r="U2086" i="2"/>
  <c r="U2139" i="2"/>
  <c r="U467" i="2"/>
  <c r="U383" i="2"/>
  <c r="U829" i="2"/>
  <c r="U40" i="2"/>
  <c r="U1619" i="2"/>
  <c r="U1983" i="2"/>
  <c r="U2065" i="2"/>
  <c r="U2144" i="2"/>
  <c r="U2099" i="2"/>
  <c r="U1232" i="2"/>
  <c r="U718" i="2"/>
  <c r="U214" i="2"/>
  <c r="U727" i="2"/>
  <c r="U1932" i="2"/>
  <c r="U431" i="2"/>
  <c r="U1323" i="2"/>
  <c r="U672" i="2"/>
  <c r="U2073" i="2"/>
  <c r="U1452" i="2"/>
  <c r="U176" i="2"/>
  <c r="U895" i="2"/>
  <c r="U245" i="2"/>
  <c r="U1841" i="2"/>
  <c r="U1816" i="2"/>
  <c r="U1954" i="2"/>
  <c r="U1350" i="2"/>
  <c r="U2069" i="2"/>
  <c r="U260" i="2"/>
  <c r="U2149" i="2"/>
  <c r="U1587" i="2"/>
  <c r="U751" i="2"/>
  <c r="U1565" i="2"/>
  <c r="U818" i="2"/>
  <c r="U282" i="2"/>
  <c r="U153" i="2"/>
  <c r="U858" i="2"/>
  <c r="U1748" i="2"/>
  <c r="U2104" i="2"/>
  <c r="U1334" i="2"/>
  <c r="U22" i="2"/>
  <c r="U592" i="2"/>
  <c r="U140" i="2"/>
  <c r="U1524" i="2"/>
  <c r="U906" i="2"/>
  <c r="U2157" i="2"/>
  <c r="U1002" i="2"/>
  <c r="U1536" i="2"/>
  <c r="U1266" i="2"/>
  <c r="U315" i="2"/>
  <c r="U1766" i="2"/>
  <c r="U983" i="2"/>
  <c r="U2153" i="2"/>
  <c r="U87" i="2"/>
  <c r="U1476" i="2"/>
  <c r="U2129" i="2"/>
  <c r="U164" i="2"/>
  <c r="U968" i="2"/>
  <c r="U1898" i="2"/>
  <c r="U1788" i="2"/>
  <c r="U780" i="2"/>
  <c r="U1405" i="2"/>
  <c r="U883" i="2"/>
  <c r="U764" i="2"/>
  <c r="U923" i="2"/>
  <c r="U1726" i="2"/>
  <c r="U109" i="2"/>
  <c r="U2082" i="2"/>
  <c r="U516" i="2"/>
  <c r="U1692" i="2"/>
  <c r="U2135" i="2"/>
  <c r="U616" i="2"/>
  <c r="U1856" i="2"/>
  <c r="U1675" i="2"/>
  <c r="U2108" i="2"/>
  <c r="U1090" i="2"/>
  <c r="U1253" i="2"/>
  <c r="U1187" i="2"/>
  <c r="U2036" i="2"/>
  <c r="U1657" i="2"/>
  <c r="U1707" i="2"/>
  <c r="U735" i="2"/>
  <c r="U1629" i="2"/>
  <c r="U1388" i="2"/>
  <c r="U1827" i="2"/>
  <c r="U527" i="2"/>
  <c r="U851" i="2"/>
  <c r="U1137" i="2"/>
  <c r="U705" i="2"/>
  <c r="U1918" i="2"/>
  <c r="U1486" i="2"/>
  <c r="U952" i="2"/>
  <c r="U1422" i="2"/>
  <c r="U2091" i="2"/>
  <c r="U653" i="2"/>
  <c r="U2161" i="2"/>
  <c r="U369" i="2"/>
  <c r="U2046" i="2"/>
  <c r="U1073" i="2"/>
  <c r="U1603" i="2"/>
  <c r="U564" i="2"/>
  <c r="U301" i="2"/>
  <c r="T446" i="3" l="1"/>
  <c r="U12" i="3"/>
  <c r="U446" i="3" s="1"/>
  <c r="O446" i="3"/>
  <c r="R446" i="3"/>
  <c r="P446" i="3"/>
  <c r="Q446" i="3"/>
  <c r="S446" i="3"/>
  <c r="P2166" i="2"/>
  <c r="Q2166" i="2"/>
  <c r="S2166" i="2"/>
  <c r="R2166" i="2"/>
  <c r="U12" i="2"/>
  <c r="U2166" i="2" s="1"/>
  <c r="O2166" i="2"/>
  <c r="T2166" i="2"/>
</calcChain>
</file>

<file path=xl/sharedStrings.xml><?xml version="1.0" encoding="utf-8"?>
<sst xmlns="http://schemas.openxmlformats.org/spreadsheetml/2006/main" count="86650" uniqueCount="39285">
  <si>
    <t>Title</t>
  </si>
  <si>
    <t>Value</t>
  </si>
  <si>
    <t>Lookup</t>
  </si>
  <si>
    <t>Report Options</t>
  </si>
  <si>
    <t>Option</t>
  </si>
  <si>
    <t>Date Range</t>
  </si>
  <si>
    <t>Item No.</t>
  </si>
  <si>
    <t>*</t>
  </si>
  <si>
    <t>Warehouse</t>
  </si>
  <si>
    <t>fit</t>
  </si>
  <si>
    <t>hide</t>
  </si>
  <si>
    <t>Inventory Movement by Location</t>
  </si>
  <si>
    <t>Warehouse Filter</t>
  </si>
  <si>
    <t>All Locations</t>
  </si>
  <si>
    <t>Item</t>
  </si>
  <si>
    <t>Item Description</t>
  </si>
  <si>
    <t>U of M</t>
  </si>
  <si>
    <t>Posting Date</t>
  </si>
  <si>
    <t>Entry No.</t>
  </si>
  <si>
    <t>Source Type</t>
  </si>
  <si>
    <t>Source No</t>
  </si>
  <si>
    <t>Customer</t>
  </si>
  <si>
    <t xml:space="preserve">Vendor </t>
  </si>
  <si>
    <t>Purchase Qty</t>
  </si>
  <si>
    <t>Sales Qty</t>
  </si>
  <si>
    <t>Pos./Neg. Adjustment</t>
  </si>
  <si>
    <t>Transfer Qty</t>
  </si>
  <si>
    <t>Consumption Qty</t>
  </si>
  <si>
    <t>Output</t>
  </si>
  <si>
    <t>Net Change in Quantity</t>
  </si>
  <si>
    <t>Auto</t>
  </si>
  <si>
    <t xml:space="preserve"> </t>
  </si>
  <si>
    <t>Warehouse (Location) Subtotal:</t>
  </si>
  <si>
    <t xml:space="preserve">Report Readme </t>
  </si>
  <si>
    <t>About the report</t>
  </si>
  <si>
    <t>Version of Jet</t>
  </si>
  <si>
    <t>Services</t>
  </si>
  <si>
    <t>Training</t>
  </si>
  <si>
    <t>Sales</t>
  </si>
  <si>
    <t>Copyrights</t>
  </si>
  <si>
    <t>=NL("Lookup","Item","No.")</t>
  </si>
  <si>
    <t>="*"</t>
  </si>
  <si>
    <t>=NL("Lookup","Item","Location Filter")</t>
  </si>
  <si>
    <t>=NP("Eval","=NOW()")</t>
  </si>
  <si>
    <t>=Options!C4</t>
  </si>
  <si>
    <t>=Options!C5</t>
  </si>
  <si>
    <t>=Options!C6</t>
  </si>
  <si>
    <t>=D13</t>
  </si>
  <si>
    <t>=NF($G14,"Posting Date")</t>
  </si>
  <si>
    <t>=NF($G14,"Entry No.")</t>
  </si>
  <si>
    <t>=NF(G14,"Source Type")</t>
  </si>
  <si>
    <t>=NF($G14,"Source No.")</t>
  </si>
  <si>
    <t>=IF($J14="Customer",NL("first",$J14,"Name","No.","@@"&amp;$K14),"")</t>
  </si>
  <si>
    <t>=IF(J14="vendor",NL("first",J14,"Name","No.","@@"&amp;K14),"")</t>
  </si>
  <si>
    <t>=IF($J14="Item",NL("first",$J14,"Description","No.","@@"&amp;$K14),"")</t>
  </si>
  <si>
    <t>=D14</t>
  </si>
  <si>
    <t>=NF($G15,"Posting Date")</t>
  </si>
  <si>
    <t>=NF($G15,"Entry No.")</t>
  </si>
  <si>
    <t>=NF(G15,"Source Type")</t>
  </si>
  <si>
    <t>=NF($G15,"Source No.")</t>
  </si>
  <si>
    <t>=IF($J15="Customer",NL("first",$J15,"Name","No.","@@"&amp;$K15),"")</t>
  </si>
  <si>
    <t>=IF(J15="vendor",NL("first",J15,"Name","No.","@@"&amp;K15),"")</t>
  </si>
  <si>
    <t>=IF($J15="Item",NL("first",$J15,"Description","No.","@@"&amp;$K15),"")</t>
  </si>
  <si>
    <t>=D18</t>
  </si>
  <si>
    <t>=NF($G19,"Posting Date")</t>
  </si>
  <si>
    <t>=NF($G19,"Entry No.")</t>
  </si>
  <si>
    <t>=NF(G19,"Source Type")</t>
  </si>
  <si>
    <t>=NF($G19,"Source No.")</t>
  </si>
  <si>
    <t>=IF($J19="Customer",NL("first",$J19,"Name","No.","@@"&amp;$K19),"")</t>
  </si>
  <si>
    <t>=IF(J19="vendor",NL("first",J19,"Name","No.","@@"&amp;K19),"")</t>
  </si>
  <si>
    <t>=IF($J19="Item",NL("first",$J19,"Description","No.","@@"&amp;$K19),"")</t>
  </si>
  <si>
    <t>=D19</t>
  </si>
  <si>
    <t>=NF($G20,"Posting Date")</t>
  </si>
  <si>
    <t>=NF($G20,"Entry No.")</t>
  </si>
  <si>
    <t>=NF(G20,"Source Type")</t>
  </si>
  <si>
    <t>=NF($G20,"Source No.")</t>
  </si>
  <si>
    <t>=IF($J20="Customer",NL("first",$J20,"Name","No.","@@"&amp;$K20),"")</t>
  </si>
  <si>
    <t>=IF(J20="vendor",NL("first",J20,"Name","No.","@@"&amp;K20),"")</t>
  </si>
  <si>
    <t>=IF($J20="Item",NL("first",$J20,"Description","No.","@@"&amp;$K20),"")</t>
  </si>
  <si>
    <t>=D20</t>
  </si>
  <si>
    <t>=NF($G21,"Posting Date")</t>
  </si>
  <si>
    <t>=NF($G21,"Entry No.")</t>
  </si>
  <si>
    <t>=NF(G21,"Source Type")</t>
  </si>
  <si>
    <t>=NF($G21,"Source No.")</t>
  </si>
  <si>
    <t>=IF($J21="Customer",NL("first",$J21,"Name","No.","@@"&amp;$K21),"")</t>
  </si>
  <si>
    <t>=IF(J21="vendor",NL("first",J21,"Name","No.","@@"&amp;K21),"")</t>
  </si>
  <si>
    <t>=IF($J21="Item",NL("first",$J21,"Description","No.","@@"&amp;$K21),"")</t>
  </si>
  <si>
    <t>=E24</t>
  </si>
  <si>
    <t>=NL("First","Item","Description","No.",$E24)</t>
  </si>
  <si>
    <t>=NL("First","Item","Base Unit of Measure","No.",$E24)</t>
  </si>
  <si>
    <t>=D24</t>
  </si>
  <si>
    <t>=NF($G25,"Posting Date")</t>
  </si>
  <si>
    <t>=NF($G25,"Entry No.")</t>
  </si>
  <si>
    <t>=NF(G25,"Source Type")</t>
  </si>
  <si>
    <t>=NF($G25,"Source No.")</t>
  </si>
  <si>
    <t>=IF($J25="Customer",NL("first",$J25,"Name","No.","@@"&amp;$K25),"")</t>
  </si>
  <si>
    <t>=IF(J25="vendor",NL("first",J25,"Name","No.","@@"&amp;K25),"")</t>
  </si>
  <si>
    <t>=IF($J25="Item",NL("first",$J25,"Description","No.","@@"&amp;$K25),"")</t>
  </si>
  <si>
    <t>=D25</t>
  </si>
  <si>
    <t>=NF($G26,"Posting Date")</t>
  </si>
  <si>
    <t>=NF($G26,"Entry No.")</t>
  </si>
  <si>
    <t>=NF(G26,"Source Type")</t>
  </si>
  <si>
    <t>=NF($G26,"Source No.")</t>
  </si>
  <si>
    <t>=IF($J26="Customer",NL("first",$J26,"Name","No.","@@"&amp;$K26),"")</t>
  </si>
  <si>
    <t>=IF(J26="vendor",NL("first",J26,"Name","No.","@@"&amp;K26),"")</t>
  </si>
  <si>
    <t>=IF($J26="Item",NL("first",$J26,"Description","No.","@@"&amp;$K26),"")</t>
  </si>
  <si>
    <t>=D26</t>
  </si>
  <si>
    <t>=NF($G27,"Posting Date")</t>
  </si>
  <si>
    <t>=NF($G27,"Entry No.")</t>
  </si>
  <si>
    <t>=NF(G27,"Source Type")</t>
  </si>
  <si>
    <t>=NF($G27,"Source No.")</t>
  </si>
  <si>
    <t>=IF($J27="Customer",NL("first",$J27,"Name","No.","@@"&amp;$K27),"")</t>
  </si>
  <si>
    <t>=IF(J27="vendor",NL("first",J27,"Name","No.","@@"&amp;K27),"")</t>
  </si>
  <si>
    <t>=IF($J27="Item",NL("first",$J27,"Description","No.","@@"&amp;$K27),"")</t>
  </si>
  <si>
    <t>=D27</t>
  </si>
  <si>
    <t>=NF($G28,"Posting Date")</t>
  </si>
  <si>
    <t>=NF($G28,"Entry No.")</t>
  </si>
  <si>
    <t>=NF(G28,"Source Type")</t>
  </si>
  <si>
    <t>=NF($G28,"Source No.")</t>
  </si>
  <si>
    <t>=IF($J28="Customer",NL("first",$J28,"Name","No.","@@"&amp;$K28),"")</t>
  </si>
  <si>
    <t>=IF(J28="vendor",NL("first",J28,"Name","No.","@@"&amp;K28),"")</t>
  </si>
  <si>
    <t>=IF($J28="Item",NL("first",$J28,"Description","No.","@@"&amp;$K28),"")</t>
  </si>
  <si>
    <t>=D28</t>
  </si>
  <si>
    <t>=NF($G29,"Posting Date")</t>
  </si>
  <si>
    <t>=NF($G29,"Entry No.")</t>
  </si>
  <si>
    <t>=NF(G29,"Source Type")</t>
  </si>
  <si>
    <t>=NF($G29,"Source No.")</t>
  </si>
  <si>
    <t>=IF($J29="Customer",NL("first",$J29,"Name","No.","@@"&amp;$K29),"")</t>
  </si>
  <si>
    <t>=IF(J29="vendor",NL("first",J29,"Name","No.","@@"&amp;K29),"")</t>
  </si>
  <si>
    <t>=IF($J29="Item",NL("first",$J29,"Description","No.","@@"&amp;$K29),"")</t>
  </si>
  <si>
    <t>=D29</t>
  </si>
  <si>
    <t>=NF($G30,"Posting Date")</t>
  </si>
  <si>
    <t>=NF($G30,"Entry No.")</t>
  </si>
  <si>
    <t>=NF(G30,"Source Type")</t>
  </si>
  <si>
    <t>=NF($G30,"Source No.")</t>
  </si>
  <si>
    <t>=IF($J30="Customer",NL("first",$J30,"Name","No.","@@"&amp;$K30),"")</t>
  </si>
  <si>
    <t>=IF(J30="vendor",NL("first",J30,"Name","No.","@@"&amp;K30),"")</t>
  </si>
  <si>
    <t>=IF($J30="Item",NL("first",$J30,"Description","No.","@@"&amp;$K30),"")</t>
  </si>
  <si>
    <t>=E33</t>
  </si>
  <si>
    <t>=NL("First","Item","Description","No.",$E33)</t>
  </si>
  <si>
    <t>=NL("First","Item","Base Unit of Measure","No.",$E33)</t>
  </si>
  <si>
    <t>=D33</t>
  </si>
  <si>
    <t>=NF($G34,"Posting Date")</t>
  </si>
  <si>
    <t>=NF($G34,"Entry No.")</t>
  </si>
  <si>
    <t>=NF(G34,"Source Type")</t>
  </si>
  <si>
    <t>=NF($G34,"Source No.")</t>
  </si>
  <si>
    <t>=IF($J34="Customer",NL("first",$J34,"Name","No.","@@"&amp;$K34),"")</t>
  </si>
  <si>
    <t>=IF(J34="vendor",NL("first",J34,"Name","No.","@@"&amp;K34),"")</t>
  </si>
  <si>
    <t>=IF($J34="Item",NL("first",$J34,"Description","No.","@@"&amp;$K34),"")</t>
  </si>
  <si>
    <t>=D34</t>
  </si>
  <si>
    <t>=NF($G35,"Posting Date")</t>
  </si>
  <si>
    <t>=NF($G35,"Entry No.")</t>
  </si>
  <si>
    <t>=NF(G35,"Source Type")</t>
  </si>
  <si>
    <t>=NF($G35,"Source No.")</t>
  </si>
  <si>
    <t>=IF($J35="Customer",NL("first",$J35,"Name","No.","@@"&amp;$K35),"")</t>
  </si>
  <si>
    <t>=IF(J35="vendor",NL("first",J35,"Name","No.","@@"&amp;K35),"")</t>
  </si>
  <si>
    <t>=IF($J35="Item",NL("first",$J35,"Description","No.","@@"&amp;$K35),"")</t>
  </si>
  <si>
    <t>=D35</t>
  </si>
  <si>
    <t>=NF($G36,"Posting Date")</t>
  </si>
  <si>
    <t>=NF($G36,"Entry No.")</t>
  </si>
  <si>
    <t>=NF(G36,"Source Type")</t>
  </si>
  <si>
    <t>=NF($G36,"Source No.")</t>
  </si>
  <si>
    <t>=IF($J36="Customer",NL("first",$J36,"Name","No.","@@"&amp;$K36),"")</t>
  </si>
  <si>
    <t>=IF(J36="vendor",NL("first",J36,"Name","No.","@@"&amp;K36),"")</t>
  </si>
  <si>
    <t>=IF($J36="Item",NL("first",$J36,"Description","No.","@@"&amp;$K36),"")</t>
  </si>
  <si>
    <t>=D36</t>
  </si>
  <si>
    <t>=NF($G37,"Posting Date")</t>
  </si>
  <si>
    <t>=NF($G37,"Entry No.")</t>
  </si>
  <si>
    <t>=NF(G37,"Source Type")</t>
  </si>
  <si>
    <t>=NF($G37,"Source No.")</t>
  </si>
  <si>
    <t>=IF($J37="Customer",NL("first",$J37,"Name","No.","@@"&amp;$K37),"")</t>
  </si>
  <si>
    <t>=IF(J37="vendor",NL("first",J37,"Name","No.","@@"&amp;K37),"")</t>
  </si>
  <si>
    <t>=IF($J37="Item",NL("first",$J37,"Description","No.","@@"&amp;$K37),"")</t>
  </si>
  <si>
    <t>=D37</t>
  </si>
  <si>
    <t>=NF($G38,"Posting Date")</t>
  </si>
  <si>
    <t>=NF($G38,"Entry No.")</t>
  </si>
  <si>
    <t>=NF(G38,"Source Type")</t>
  </si>
  <si>
    <t>=NF($G38,"Source No.")</t>
  </si>
  <si>
    <t>=IF($J38="Customer",NL("first",$J38,"Name","No.","@@"&amp;$K38),"")</t>
  </si>
  <si>
    <t>=IF(J38="vendor",NL("first",J38,"Name","No.","@@"&amp;K38),"")</t>
  </si>
  <si>
    <t>=IF($J38="Item",NL("first",$J38,"Description","No.","@@"&amp;$K38),"")</t>
  </si>
  <si>
    <t>=E41</t>
  </si>
  <si>
    <t>=NL("First","Item","Description","No.",$E41)</t>
  </si>
  <si>
    <t>=NL("First","Item","Base Unit of Measure","No.",$E41)</t>
  </si>
  <si>
    <t>=D41</t>
  </si>
  <si>
    <t>=NF($G42,"Posting Date")</t>
  </si>
  <si>
    <t>=NF($G42,"Entry No.")</t>
  </si>
  <si>
    <t>=NF(G42,"Source Type")</t>
  </si>
  <si>
    <t>=NF($G42,"Source No.")</t>
  </si>
  <si>
    <t>=IF($J42="Customer",NL("first",$J42,"Name","No.","@@"&amp;$K42),"")</t>
  </si>
  <si>
    <t>=IF(J42="vendor",NL("first",J42,"Name","No.","@@"&amp;K42),"")</t>
  </si>
  <si>
    <t>=IF($J42="Item",NL("first",$J42,"Description","No.","@@"&amp;$K42),"")</t>
  </si>
  <si>
    <t>=D42</t>
  </si>
  <si>
    <t>=NF($G43,"Posting Date")</t>
  </si>
  <si>
    <t>=NF($G43,"Entry No.")</t>
  </si>
  <si>
    <t>=NF(G43,"Source Type")</t>
  </si>
  <si>
    <t>=NF($G43,"Source No.")</t>
  </si>
  <si>
    <t>=IF($J43="Customer",NL("first",$J43,"Name","No.","@@"&amp;$K43),"")</t>
  </si>
  <si>
    <t>=IF(J43="vendor",NL("first",J43,"Name","No.","@@"&amp;K43),"")</t>
  </si>
  <si>
    <t>=IF($J43="Item",NL("first",$J43,"Description","No.","@@"&amp;$K43),"")</t>
  </si>
  <si>
    <t>=D46</t>
  </si>
  <si>
    <t>=NF($G47,"Posting Date")</t>
  </si>
  <si>
    <t>=NF($G47,"Entry No.")</t>
  </si>
  <si>
    <t>=NF(G47,"Source Type")</t>
  </si>
  <si>
    <t>=NF($G47,"Source No.")</t>
  </si>
  <si>
    <t>=IF($J47="Customer",NL("first",$J47,"Name","No.","@@"&amp;$K47),"")</t>
  </si>
  <si>
    <t>=IF(J47="vendor",NL("first",J47,"Name","No.","@@"&amp;K47),"")</t>
  </si>
  <si>
    <t>=IF($J47="Item",NL("first",$J47,"Description","No.","@@"&amp;$K47),"")</t>
  </si>
  <si>
    <t>=D47</t>
  </si>
  <si>
    <t>=NF($G48,"Posting Date")</t>
  </si>
  <si>
    <t>=NF($G48,"Entry No.")</t>
  </si>
  <si>
    <t>=NF(G48,"Source Type")</t>
  </si>
  <si>
    <t>=NF($G48,"Source No.")</t>
  </si>
  <si>
    <t>=IF($J48="Customer",NL("first",$J48,"Name","No.","@@"&amp;$K48),"")</t>
  </si>
  <si>
    <t>=IF(J48="vendor",NL("first",J48,"Name","No.","@@"&amp;K48),"")</t>
  </si>
  <si>
    <t>=IF($J48="Item",NL("first",$J48,"Description","No.","@@"&amp;$K48),"")</t>
  </si>
  <si>
    <t>=D48</t>
  </si>
  <si>
    <t>=NF($G49,"Posting Date")</t>
  </si>
  <si>
    <t>=NF($G49,"Entry No.")</t>
  </si>
  <si>
    <t>=NF(G49,"Source Type")</t>
  </si>
  <si>
    <t>=NF($G49,"Source No.")</t>
  </si>
  <si>
    <t>=IF($J49="Customer",NL("first",$J49,"Name","No.","@@"&amp;$K49),"")</t>
  </si>
  <si>
    <t>=IF(J49="vendor",NL("first",J49,"Name","No.","@@"&amp;K49),"")</t>
  </si>
  <si>
    <t>=IF($J49="Item",NL("first",$J49,"Description","No.","@@"&amp;$K49),"")</t>
  </si>
  <si>
    <t>=D49</t>
  </si>
  <si>
    <t>=NF($G50,"Posting Date")</t>
  </si>
  <si>
    <t>=NF($G50,"Entry No.")</t>
  </si>
  <si>
    <t>=NF(G50,"Source Type")</t>
  </si>
  <si>
    <t>=NF($G50,"Source No.")</t>
  </si>
  <si>
    <t>=IF($J50="Customer",NL("first",$J50,"Name","No.","@@"&amp;$K50),"")</t>
  </si>
  <si>
    <t>=IF(J50="vendor",NL("first",J50,"Name","No.","@@"&amp;K50),"")</t>
  </si>
  <si>
    <t>=IF($J50="Item",NL("first",$J50,"Description","No.","@@"&amp;$K50),"")</t>
  </si>
  <si>
    <t>=D50</t>
  </si>
  <si>
    <t>=NF($G51,"Posting Date")</t>
  </si>
  <si>
    <t>=NF($G51,"Entry No.")</t>
  </si>
  <si>
    <t>=NF(G51,"Source Type")</t>
  </si>
  <si>
    <t>=NF($G51,"Source No.")</t>
  </si>
  <si>
    <t>=IF($J51="Customer",NL("first",$J51,"Name","No.","@@"&amp;$K51),"")</t>
  </si>
  <si>
    <t>=IF(J51="vendor",NL("first",J51,"Name","No.","@@"&amp;K51),"")</t>
  </si>
  <si>
    <t>=IF($J51="Item",NL("first",$J51,"Description","No.","@@"&amp;$K51),"")</t>
  </si>
  <si>
    <t>=E54</t>
  </si>
  <si>
    <t>=NL("First","Item","Description","No.",$E54)</t>
  </si>
  <si>
    <t>=NL("First","Item","Base Unit of Measure","No.",$E54)</t>
  </si>
  <si>
    <t>=D54</t>
  </si>
  <si>
    <t>=NF($G55,"Posting Date")</t>
  </si>
  <si>
    <t>=NF($G55,"Entry No.")</t>
  </si>
  <si>
    <t>=NF(G55,"Source Type")</t>
  </si>
  <si>
    <t>=NF($G55,"Source No.")</t>
  </si>
  <si>
    <t>=IF($J55="Customer",NL("first",$J55,"Name","No.","@@"&amp;$K55),"")</t>
  </si>
  <si>
    <t>=IF(J55="vendor",NL("first",J55,"Name","No.","@@"&amp;K55),"")</t>
  </si>
  <si>
    <t>=IF($J55="Item",NL("first",$J55,"Description","No.","@@"&amp;$K55),"")</t>
  </si>
  <si>
    <t>=D55</t>
  </si>
  <si>
    <t>=NF($G56,"Posting Date")</t>
  </si>
  <si>
    <t>=NF($G56,"Entry No.")</t>
  </si>
  <si>
    <t>=NF(G56,"Source Type")</t>
  </si>
  <si>
    <t>=NF($G56,"Source No.")</t>
  </si>
  <si>
    <t>=IF($J56="Customer",NL("first",$J56,"Name","No.","@@"&amp;$K56),"")</t>
  </si>
  <si>
    <t>=IF(J56="vendor",NL("first",J56,"Name","No.","@@"&amp;K56),"")</t>
  </si>
  <si>
    <t>=IF($J56="Item",NL("first",$J56,"Description","No.","@@"&amp;$K56),"")</t>
  </si>
  <si>
    <t>=D56</t>
  </si>
  <si>
    <t>=NF($G57,"Posting Date")</t>
  </si>
  <si>
    <t>=NF($G57,"Entry No.")</t>
  </si>
  <si>
    <t>=NF(G57,"Source Type")</t>
  </si>
  <si>
    <t>=NF($G57,"Source No.")</t>
  </si>
  <si>
    <t>=IF($J57="Customer",NL("first",$J57,"Name","No.","@@"&amp;$K57),"")</t>
  </si>
  <si>
    <t>=IF(J57="vendor",NL("first",J57,"Name","No.","@@"&amp;K57),"")</t>
  </si>
  <si>
    <t>=IF($J57="Item",NL("first",$J57,"Description","No.","@@"&amp;$K57),"")</t>
  </si>
  <si>
    <t>=D57</t>
  </si>
  <si>
    <t>=NF($G58,"Posting Date")</t>
  </si>
  <si>
    <t>=NF($G58,"Entry No.")</t>
  </si>
  <si>
    <t>=NF(G58,"Source Type")</t>
  </si>
  <si>
    <t>=NF($G58,"Source No.")</t>
  </si>
  <si>
    <t>=IF($J58="Customer",NL("first",$J58,"Name","No.","@@"&amp;$K58),"")</t>
  </si>
  <si>
    <t>=IF(J58="vendor",NL("first",J58,"Name","No.","@@"&amp;K58),"")</t>
  </si>
  <si>
    <t>=IF($J58="Item",NL("first",$J58,"Description","No.","@@"&amp;$K58),"")</t>
  </si>
  <si>
    <t>=E61</t>
  </si>
  <si>
    <t>=NL("First","Item","Description","No.",$E61)</t>
  </si>
  <si>
    <t>=NL("First","Item","Base Unit of Measure","No.",$E61)</t>
  </si>
  <si>
    <t>=D61</t>
  </si>
  <si>
    <t>=NF($G62,"Posting Date")</t>
  </si>
  <si>
    <t>=NF($G62,"Entry No.")</t>
  </si>
  <si>
    <t>=NF(G62,"Source Type")</t>
  </si>
  <si>
    <t>=NF($G62,"Source No.")</t>
  </si>
  <si>
    <t>=IF($J62="Customer",NL("first",$J62,"Name","No.","@@"&amp;$K62),"")</t>
  </si>
  <si>
    <t>=IF(J62="vendor",NL("first",J62,"Name","No.","@@"&amp;K62),"")</t>
  </si>
  <si>
    <t>=IF($J62="Item",NL("first",$J62,"Description","No.","@@"&amp;$K62),"")</t>
  </si>
  <si>
    <t>=D62</t>
  </si>
  <si>
    <t>=NF($G63,"Posting Date")</t>
  </si>
  <si>
    <t>=NF($G63,"Entry No.")</t>
  </si>
  <si>
    <t>=NF(G63,"Source Type")</t>
  </si>
  <si>
    <t>=NF($G63,"Source No.")</t>
  </si>
  <si>
    <t>=IF($J63="Customer",NL("first",$J63,"Name","No.","@@"&amp;$K63),"")</t>
  </si>
  <si>
    <t>=IF(J63="vendor",NL("first",J63,"Name","No.","@@"&amp;K63),"")</t>
  </si>
  <si>
    <t>=IF($J63="Item",NL("first",$J63,"Description","No.","@@"&amp;$K63),"")</t>
  </si>
  <si>
    <t>=D63</t>
  </si>
  <si>
    <t>=NF($G64,"Posting Date")</t>
  </si>
  <si>
    <t>=NF($G64,"Entry No.")</t>
  </si>
  <si>
    <t>=NF(G64,"Source Type")</t>
  </si>
  <si>
    <t>=NF($G64,"Source No.")</t>
  </si>
  <si>
    <t>=IF($J64="Customer",NL("first",$J64,"Name","No.","@@"&amp;$K64),"")</t>
  </si>
  <si>
    <t>=IF(J64="vendor",NL("first",J64,"Name","No.","@@"&amp;K64),"")</t>
  </si>
  <si>
    <t>=IF($J64="Item",NL("first",$J64,"Description","No.","@@"&amp;$K64),"")</t>
  </si>
  <si>
    <t>=D67</t>
  </si>
  <si>
    <t>=NF($G68,"Posting Date")</t>
  </si>
  <si>
    <t>=NF($G68,"Entry No.")</t>
  </si>
  <si>
    <t>=NF(G68,"Source Type")</t>
  </si>
  <si>
    <t>=NF($G68,"Source No.")</t>
  </si>
  <si>
    <t>=IF($J68="Customer",NL("first",$J68,"Name","No.","@@"&amp;$K68),"")</t>
  </si>
  <si>
    <t>=IF(J68="vendor",NL("first",J68,"Name","No.","@@"&amp;K68),"")</t>
  </si>
  <si>
    <t>=IF($J68="Item",NL("first",$J68,"Description","No.","@@"&amp;$K68),"")</t>
  </si>
  <si>
    <t>=D71</t>
  </si>
  <si>
    <t>=NF($G72,"Posting Date")</t>
  </si>
  <si>
    <t>=NF($G72,"Entry No.")</t>
  </si>
  <si>
    <t>=NF(G72,"Source Type")</t>
  </si>
  <si>
    <t>=NF($G72,"Source No.")</t>
  </si>
  <si>
    <t>=IF($J72="Customer",NL("first",$J72,"Name","No.","@@"&amp;$K72),"")</t>
  </si>
  <si>
    <t>=IF(J72="vendor",NL("first",J72,"Name","No.","@@"&amp;K72),"")</t>
  </si>
  <si>
    <t>=IF($J72="Item",NL("first",$J72,"Description","No.","@@"&amp;$K72),"")</t>
  </si>
  <si>
    <t>=D75</t>
  </si>
  <si>
    <t>=NF($G76,"Posting Date")</t>
  </si>
  <si>
    <t>=NF($G76,"Entry No.")</t>
  </si>
  <si>
    <t>=NF(G76,"Source Type")</t>
  </si>
  <si>
    <t>=NF($G76,"Source No.")</t>
  </si>
  <si>
    <t>=IF($J76="Customer",NL("first",$J76,"Name","No.","@@"&amp;$K76),"")</t>
  </si>
  <si>
    <t>=IF(J76="vendor",NL("first",J76,"Name","No.","@@"&amp;K76),"")</t>
  </si>
  <si>
    <t>=IF($J76="Item",NL("first",$J76,"Description","No.","@@"&amp;$K76),"")</t>
  </si>
  <si>
    <t>=D77</t>
  </si>
  <si>
    <t>=NF($G78,"Posting Date")</t>
  </si>
  <si>
    <t>=NF($G78,"Entry No.")</t>
  </si>
  <si>
    <t>=NF(G78,"Source Type")</t>
  </si>
  <si>
    <t>=NF($G78,"Source No.")</t>
  </si>
  <si>
    <t>=IF($J78="Customer",NL("first",$J78,"Name","No.","@@"&amp;$K78),"")</t>
  </si>
  <si>
    <t>=IF(J78="vendor",NL("first",J78,"Name","No.","@@"&amp;K78),"")</t>
  </si>
  <si>
    <t>=IF($J78="Item",NL("first",$J78,"Description","No.","@@"&amp;$K78),"")</t>
  </si>
  <si>
    <t>=E81</t>
  </si>
  <si>
    <t>=NL("First","Item","Description","No.",$E81)</t>
  </si>
  <si>
    <t>=NL("First","Item","Base Unit of Measure","No.",$E81)</t>
  </si>
  <si>
    <t>=D81</t>
  </si>
  <si>
    <t>=NF($G82,"Posting Date")</t>
  </si>
  <si>
    <t>=NF($G82,"Entry No.")</t>
  </si>
  <si>
    <t>=NF(G82,"Source Type")</t>
  </si>
  <si>
    <t>=NF($G82,"Source No.")</t>
  </si>
  <si>
    <t>=IF($J82="Customer",NL("first",$J82,"Name","No.","@@"&amp;$K82),"")</t>
  </si>
  <si>
    <t>=IF(J82="vendor",NL("first",J82,"Name","No.","@@"&amp;K82),"")</t>
  </si>
  <si>
    <t>=IF($J82="Item",NL("first",$J82,"Description","No.","@@"&amp;$K82),"")</t>
  </si>
  <si>
    <t>=D82</t>
  </si>
  <si>
    <t>=NF($G83,"Posting Date")</t>
  </si>
  <si>
    <t>=NF($G83,"Entry No.")</t>
  </si>
  <si>
    <t>=NF(G83,"Source Type")</t>
  </si>
  <si>
    <t>=NF($G83,"Source No.")</t>
  </si>
  <si>
    <t>=IF($J83="Customer",NL("first",$J83,"Name","No.","@@"&amp;$K83),"")</t>
  </si>
  <si>
    <t>=IF(J83="vendor",NL("first",J83,"Name","No.","@@"&amp;K83),"")</t>
  </si>
  <si>
    <t>=IF($J83="Item",NL("first",$J83,"Description","No.","@@"&amp;$K83),"")</t>
  </si>
  <si>
    <t>=D83</t>
  </si>
  <si>
    <t>=NF($G84,"Posting Date")</t>
  </si>
  <si>
    <t>=NF($G84,"Entry No.")</t>
  </si>
  <si>
    <t>=NF(G84,"Source Type")</t>
  </si>
  <si>
    <t>=NF($G84,"Source No.")</t>
  </si>
  <si>
    <t>=IF($J84="Customer",NL("first",$J84,"Name","No.","@@"&amp;$K84),"")</t>
  </si>
  <si>
    <t>=IF(J84="vendor",NL("first",J84,"Name","No.","@@"&amp;K84),"")</t>
  </si>
  <si>
    <t>=IF($J84="Item",NL("first",$J84,"Description","No.","@@"&amp;$K84),"")</t>
  </si>
  <si>
    <t>=E87</t>
  </si>
  <si>
    <t>=NL("First","Item","Description","No.",$E87)</t>
  </si>
  <si>
    <t>=NL("First","Item","Base Unit of Measure","No.",$E87)</t>
  </si>
  <si>
    <t>=D87</t>
  </si>
  <si>
    <t>=NF($G88,"Posting Date")</t>
  </si>
  <si>
    <t>=NF($G88,"Entry No.")</t>
  </si>
  <si>
    <t>=NF(G88,"Source Type")</t>
  </si>
  <si>
    <t>=NF($G88,"Source No.")</t>
  </si>
  <si>
    <t>=IF($J88="Customer",NL("first",$J88,"Name","No.","@@"&amp;$K88),"")</t>
  </si>
  <si>
    <t>=IF(J88="vendor",NL("first",J88,"Name","No.","@@"&amp;K88),"")</t>
  </si>
  <si>
    <t>=IF($J88="Item",NL("first",$J88,"Description","No.","@@"&amp;$K88),"")</t>
  </si>
  <si>
    <t>=D89</t>
  </si>
  <si>
    <t>=NF($G90,"Posting Date")</t>
  </si>
  <si>
    <t>=NF($G90,"Entry No.")</t>
  </si>
  <si>
    <t>=NF(G90,"Source Type")</t>
  </si>
  <si>
    <t>=NF($G90,"Source No.")</t>
  </si>
  <si>
    <t>=IF($J90="Customer",NL("first",$J90,"Name","No.","@@"&amp;$K90),"")</t>
  </si>
  <si>
    <t>=IF(J90="vendor",NL("first",J90,"Name","No.","@@"&amp;K90),"")</t>
  </si>
  <si>
    <t>=IF($J90="Item",NL("first",$J90,"Description","No.","@@"&amp;$K90),"")</t>
  </si>
  <si>
    <t>=D90</t>
  </si>
  <si>
    <t>=NF($G91,"Posting Date")</t>
  </si>
  <si>
    <t>=NF($G91,"Entry No.")</t>
  </si>
  <si>
    <t>=NF(G91,"Source Type")</t>
  </si>
  <si>
    <t>=NF($G91,"Source No.")</t>
  </si>
  <si>
    <t>=IF($J91="Customer",NL("first",$J91,"Name","No.","@@"&amp;$K91),"")</t>
  </si>
  <si>
    <t>=IF(J91="vendor",NL("first",J91,"Name","No.","@@"&amp;K91),"")</t>
  </si>
  <si>
    <t>=IF($J91="Item",NL("first",$J91,"Description","No.","@@"&amp;$K91),"")</t>
  </si>
  <si>
    <t>=D95</t>
  </si>
  <si>
    <t>=NF($G96,"Posting Date")</t>
  </si>
  <si>
    <t>=NF($G96,"Entry No.")</t>
  </si>
  <si>
    <t>=NF(G96,"Source Type")</t>
  </si>
  <si>
    <t>=NF($G96,"Source No.")</t>
  </si>
  <si>
    <t>=IF($J96="Customer",NL("first",$J96,"Name","No.","@@"&amp;$K96),"")</t>
  </si>
  <si>
    <t>=IF(J96="vendor",NL("first",J96,"Name","No.","@@"&amp;K96),"")</t>
  </si>
  <si>
    <t>=IF($J96="Item",NL("first",$J96,"Description","No.","@@"&amp;$K96),"")</t>
  </si>
  <si>
    <t>=D96</t>
  </si>
  <si>
    <t>=NF($G97,"Posting Date")</t>
  </si>
  <si>
    <t>=NF($G97,"Entry No.")</t>
  </si>
  <si>
    <t>=NF(G97,"Source Type")</t>
  </si>
  <si>
    <t>=NF($G97,"Source No.")</t>
  </si>
  <si>
    <t>=IF($J97="Customer",NL("first",$J97,"Name","No.","@@"&amp;$K97),"")</t>
  </si>
  <si>
    <t>=IF(J97="vendor",NL("first",J97,"Name","No.","@@"&amp;K97),"")</t>
  </si>
  <si>
    <t>=IF($J97="Item",NL("first",$J97,"Description","No.","@@"&amp;$K97),"")</t>
  </si>
  <si>
    <t>=D97</t>
  </si>
  <si>
    <t>=NF($G98,"Posting Date")</t>
  </si>
  <si>
    <t>=NF($G98,"Entry No.")</t>
  </si>
  <si>
    <t>=NF(G98,"Source Type")</t>
  </si>
  <si>
    <t>=NF($G98,"Source No.")</t>
  </si>
  <si>
    <t>=IF($J98="Customer",NL("first",$J98,"Name","No.","@@"&amp;$K98),"")</t>
  </si>
  <si>
    <t>=IF(J98="vendor",NL("first",J98,"Name","No.","@@"&amp;K98),"")</t>
  </si>
  <si>
    <t>=IF($J98="Item",NL("first",$J98,"Description","No.","@@"&amp;$K98),"")</t>
  </si>
  <si>
    <t>=D101</t>
  </si>
  <si>
    <t>=NF($G102,"Posting Date")</t>
  </si>
  <si>
    <t>=NF($G102,"Entry No.")</t>
  </si>
  <si>
    <t>=NF(G102,"Source Type")</t>
  </si>
  <si>
    <t>=NF($G102,"Source No.")</t>
  </si>
  <si>
    <t>=IF($J102="Customer",NL("first",$J102,"Name","No.","@@"&amp;$K102),"")</t>
  </si>
  <si>
    <t>=IF(J102="vendor",NL("first",J102,"Name","No.","@@"&amp;K102),"")</t>
  </si>
  <si>
    <t>=IF($J102="Item",NL("first",$J102,"Description","No.","@@"&amp;$K102),"")</t>
  </si>
  <si>
    <t>=D102</t>
  </si>
  <si>
    <t>=NF($G103,"Posting Date")</t>
  </si>
  <si>
    <t>=NF($G103,"Entry No.")</t>
  </si>
  <si>
    <t>=NF(G103,"Source Type")</t>
  </si>
  <si>
    <t>=NF($G103,"Source No.")</t>
  </si>
  <si>
    <t>=IF($J103="Customer",NL("first",$J103,"Name","No.","@@"&amp;$K103),"")</t>
  </si>
  <si>
    <t>=IF(J103="vendor",NL("first",J103,"Name","No.","@@"&amp;K103),"")</t>
  </si>
  <si>
    <t>=IF($J103="Item",NL("first",$J103,"Description","No.","@@"&amp;$K103),"")</t>
  </si>
  <si>
    <t>=E106</t>
  </si>
  <si>
    <t>=NL("First","Item","Description","No.",$E106)</t>
  </si>
  <si>
    <t>=NL("First","Item","Base Unit of Measure","No.",$E106)</t>
  </si>
  <si>
    <t>=D106</t>
  </si>
  <si>
    <t>=NF($G107,"Posting Date")</t>
  </si>
  <si>
    <t>=NF($G107,"Entry No.")</t>
  </si>
  <si>
    <t>=NF(G107,"Source Type")</t>
  </si>
  <si>
    <t>=NF($G107,"Source No.")</t>
  </si>
  <si>
    <t>=IF($J107="Customer",NL("first",$J107,"Name","No.","@@"&amp;$K107),"")</t>
  </si>
  <si>
    <t>=IF(J107="vendor",NL("first",J107,"Name","No.","@@"&amp;K107),"")</t>
  </si>
  <si>
    <t>=IF($J107="Item",NL("first",$J107,"Description","No.","@@"&amp;$K107),"")</t>
  </si>
  <si>
    <t>=D107</t>
  </si>
  <si>
    <t>=NF($G108,"Posting Date")</t>
  </si>
  <si>
    <t>=NF($G108,"Entry No.")</t>
  </si>
  <si>
    <t>=NF(G108,"Source Type")</t>
  </si>
  <si>
    <t>=NF($G108,"Source No.")</t>
  </si>
  <si>
    <t>=IF($J108="Customer",NL("first",$J108,"Name","No.","@@"&amp;$K108),"")</t>
  </si>
  <si>
    <t>=IF(J108="vendor",NL("first",J108,"Name","No.","@@"&amp;K108),"")</t>
  </si>
  <si>
    <t>=IF($J108="Item",NL("first",$J108,"Description","No.","@@"&amp;$K108),"")</t>
  </si>
  <si>
    <t>=D111</t>
  </si>
  <si>
    <t>=NF($G112,"Posting Date")</t>
  </si>
  <si>
    <t>=NF($G112,"Entry No.")</t>
  </si>
  <si>
    <t>=NF(G112,"Source Type")</t>
  </si>
  <si>
    <t>=NF($G112,"Source No.")</t>
  </si>
  <si>
    <t>=IF($J112="Customer",NL("first",$J112,"Name","No.","@@"&amp;$K112),"")</t>
  </si>
  <si>
    <t>=IF(J112="vendor",NL("first",J112,"Name","No.","@@"&amp;K112),"")</t>
  </si>
  <si>
    <t>=IF($J112="Item",NL("first",$J112,"Description","No.","@@"&amp;$K112),"")</t>
  </si>
  <si>
    <t>=D113</t>
  </si>
  <si>
    <t>=NF($G114,"Posting Date")</t>
  </si>
  <si>
    <t>=NF($G114,"Entry No.")</t>
  </si>
  <si>
    <t>=NF(G114,"Source Type")</t>
  </si>
  <si>
    <t>=NF($G114,"Source No.")</t>
  </si>
  <si>
    <t>=IF($J114="Customer",NL("first",$J114,"Name","No.","@@"&amp;$K114),"")</t>
  </si>
  <si>
    <t>=IF(J114="vendor",NL("first",J114,"Name","No.","@@"&amp;K114),"")</t>
  </si>
  <si>
    <t>=IF($J114="Item",NL("first",$J114,"Description","No.","@@"&amp;$K114),"")</t>
  </si>
  <si>
    <t>=D114</t>
  </si>
  <si>
    <t>=NF($G115,"Posting Date")</t>
  </si>
  <si>
    <t>=NF($G115,"Entry No.")</t>
  </si>
  <si>
    <t>=NF(G115,"Source Type")</t>
  </si>
  <si>
    <t>=NF($G115,"Source No.")</t>
  </si>
  <si>
    <t>=IF($J115="Customer",NL("first",$J115,"Name","No.","@@"&amp;$K115),"")</t>
  </si>
  <si>
    <t>=IF(J115="vendor",NL("first",J115,"Name","No.","@@"&amp;K115),"")</t>
  </si>
  <si>
    <t>=IF($J115="Item",NL("first",$J115,"Description","No.","@@"&amp;$K115),"")</t>
  </si>
  <si>
    <t>=D118</t>
  </si>
  <si>
    <t>=NF($G119,"Posting Date")</t>
  </si>
  <si>
    <t>=NF($G119,"Entry No.")</t>
  </si>
  <si>
    <t>=NF(G119,"Source Type")</t>
  </si>
  <si>
    <t>=NF($G119,"Source No.")</t>
  </si>
  <si>
    <t>=IF($J119="Customer",NL("first",$J119,"Name","No.","@@"&amp;$K119),"")</t>
  </si>
  <si>
    <t>=IF(J119="vendor",NL("first",J119,"Name","No.","@@"&amp;K119),"")</t>
  </si>
  <si>
    <t>=IF($J119="Item",NL("first",$J119,"Description","No.","@@"&amp;$K119),"")</t>
  </si>
  <si>
    <t>=D119</t>
  </si>
  <si>
    <t>=NF($G120,"Posting Date")</t>
  </si>
  <si>
    <t>=NF($G120,"Entry No.")</t>
  </si>
  <si>
    <t>=NF(G120,"Source Type")</t>
  </si>
  <si>
    <t>=NF($G120,"Source No.")</t>
  </si>
  <si>
    <t>=IF($J120="Customer",NL("first",$J120,"Name","No.","@@"&amp;$K120),"")</t>
  </si>
  <si>
    <t>=IF(J120="vendor",NL("first",J120,"Name","No.","@@"&amp;K120),"")</t>
  </si>
  <si>
    <t>=IF($J120="Item",NL("first",$J120,"Description","No.","@@"&amp;$K120),"")</t>
  </si>
  <si>
    <t>=D120</t>
  </si>
  <si>
    <t>=NF($G121,"Posting Date")</t>
  </si>
  <si>
    <t>=NF($G121,"Entry No.")</t>
  </si>
  <si>
    <t>=NF(G121,"Source Type")</t>
  </si>
  <si>
    <t>=NF($G121,"Source No.")</t>
  </si>
  <si>
    <t>=IF($J121="Customer",NL("first",$J121,"Name","No.","@@"&amp;$K121),"")</t>
  </si>
  <si>
    <t>=IF(J121="vendor",NL("first",J121,"Name","No.","@@"&amp;K121),"")</t>
  </si>
  <si>
    <t>=IF($J121="Item",NL("first",$J121,"Description","No.","@@"&amp;$K121),"")</t>
  </si>
  <si>
    <t>=D121</t>
  </si>
  <si>
    <t>=NF($G122,"Posting Date")</t>
  </si>
  <si>
    <t>=NF($G122,"Entry No.")</t>
  </si>
  <si>
    <t>=NF(G122,"Source Type")</t>
  </si>
  <si>
    <t>=NF($G122,"Source No.")</t>
  </si>
  <si>
    <t>=IF($J122="Customer",NL("first",$J122,"Name","No.","@@"&amp;$K122),"")</t>
  </si>
  <si>
    <t>=IF(J122="vendor",NL("first",J122,"Name","No.","@@"&amp;K122),"")</t>
  </si>
  <si>
    <t>=IF($J122="Item",NL("first",$J122,"Description","No.","@@"&amp;$K122),"")</t>
  </si>
  <si>
    <t>=D122</t>
  </si>
  <si>
    <t>=NF($G123,"Posting Date")</t>
  </si>
  <si>
    <t>=NF($G123,"Entry No.")</t>
  </si>
  <si>
    <t>=NF(G123,"Source Type")</t>
  </si>
  <si>
    <t>=NF($G123,"Source No.")</t>
  </si>
  <si>
    <t>=IF($J123="Customer",NL("first",$J123,"Name","No.","@@"&amp;$K123),"")</t>
  </si>
  <si>
    <t>=IF(J123="vendor",NL("first",J123,"Name","No.","@@"&amp;K123),"")</t>
  </si>
  <si>
    <t>=IF($J123="Item",NL("first",$J123,"Description","No.","@@"&amp;$K123),"")</t>
  </si>
  <si>
    <t>=D123</t>
  </si>
  <si>
    <t>=NF($G124,"Posting Date")</t>
  </si>
  <si>
    <t>=NF($G124,"Entry No.")</t>
  </si>
  <si>
    <t>=NF(G124,"Source Type")</t>
  </si>
  <si>
    <t>=NF($G124,"Source No.")</t>
  </si>
  <si>
    <t>=IF($J124="Customer",NL("first",$J124,"Name","No.","@@"&amp;$K124),"")</t>
  </si>
  <si>
    <t>=IF(J124="vendor",NL("first",J124,"Name","No.","@@"&amp;K124),"")</t>
  </si>
  <si>
    <t>=IF($J124="Item",NL("first",$J124,"Description","No.","@@"&amp;$K124),"")</t>
  </si>
  <si>
    <t>=D124</t>
  </si>
  <si>
    <t>=NF($G125,"Posting Date")</t>
  </si>
  <si>
    <t>=NF($G125,"Entry No.")</t>
  </si>
  <si>
    <t>=NF(G125,"Source Type")</t>
  </si>
  <si>
    <t>=NF($G125,"Source No.")</t>
  </si>
  <si>
    <t>=IF($J125="Customer",NL("first",$J125,"Name","No.","@@"&amp;$K125),"")</t>
  </si>
  <si>
    <t>=IF(J125="vendor",NL("first",J125,"Name","No.","@@"&amp;K125),"")</t>
  </si>
  <si>
    <t>=IF($J125="Item",NL("first",$J125,"Description","No.","@@"&amp;$K125),"")</t>
  </si>
  <si>
    <t>=D128</t>
  </si>
  <si>
    <t>=NF($G129,"Posting Date")</t>
  </si>
  <si>
    <t>=NF($G129,"Entry No.")</t>
  </si>
  <si>
    <t>=NF(G129,"Source Type")</t>
  </si>
  <si>
    <t>=NF($G129,"Source No.")</t>
  </si>
  <si>
    <t>=IF($J129="Customer",NL("first",$J129,"Name","No.","@@"&amp;$K129),"")</t>
  </si>
  <si>
    <t>=IF(J129="vendor",NL("first",J129,"Name","No.","@@"&amp;K129),"")</t>
  </si>
  <si>
    <t>=IF($J129="Item",NL("first",$J129,"Description","No.","@@"&amp;$K129),"")</t>
  </si>
  <si>
    <t>=D129</t>
  </si>
  <si>
    <t>=NF($G130,"Posting Date")</t>
  </si>
  <si>
    <t>=NF($G130,"Entry No.")</t>
  </si>
  <si>
    <t>=NF(G130,"Source Type")</t>
  </si>
  <si>
    <t>=NF($G130,"Source No.")</t>
  </si>
  <si>
    <t>=IF($J130="Customer",NL("first",$J130,"Name","No.","@@"&amp;$K130),"")</t>
  </si>
  <si>
    <t>=IF(J130="vendor",NL("first",J130,"Name","No.","@@"&amp;K130),"")</t>
  </si>
  <si>
    <t>=IF($J130="Item",NL("first",$J130,"Description","No.","@@"&amp;$K130),"")</t>
  </si>
  <si>
    <t>=D130</t>
  </si>
  <si>
    <t>=NF($G131,"Posting Date")</t>
  </si>
  <si>
    <t>=NF($G131,"Entry No.")</t>
  </si>
  <si>
    <t>=NF(G131,"Source Type")</t>
  </si>
  <si>
    <t>=NF($G131,"Source No.")</t>
  </si>
  <si>
    <t>=IF($J131="Customer",NL("first",$J131,"Name","No.","@@"&amp;$K131),"")</t>
  </si>
  <si>
    <t>=IF(J131="vendor",NL("first",J131,"Name","No.","@@"&amp;K131),"")</t>
  </si>
  <si>
    <t>=IF($J131="Item",NL("first",$J131,"Description","No.","@@"&amp;$K131),"")</t>
  </si>
  <si>
    <t>=D131</t>
  </si>
  <si>
    <t>=NF($G132,"Posting Date")</t>
  </si>
  <si>
    <t>=NF($G132,"Entry No.")</t>
  </si>
  <si>
    <t>=NF(G132,"Source Type")</t>
  </si>
  <si>
    <t>=NF($G132,"Source No.")</t>
  </si>
  <si>
    <t>=IF($J132="Customer",NL("first",$J132,"Name","No.","@@"&amp;$K132),"")</t>
  </si>
  <si>
    <t>=IF(J132="vendor",NL("first",J132,"Name","No.","@@"&amp;K132),"")</t>
  </si>
  <si>
    <t>=IF($J132="Item",NL("first",$J132,"Description","No.","@@"&amp;$K132),"")</t>
  </si>
  <si>
    <t>=D135</t>
  </si>
  <si>
    <t>=NF($G136,"Posting Date")</t>
  </si>
  <si>
    <t>=NF($G136,"Entry No.")</t>
  </si>
  <si>
    <t>=NF(G136,"Source Type")</t>
  </si>
  <si>
    <t>=NF($G136,"Source No.")</t>
  </si>
  <si>
    <t>=IF($J136="Customer",NL("first",$J136,"Name","No.","@@"&amp;$K136),"")</t>
  </si>
  <si>
    <t>=IF(J136="vendor",NL("first",J136,"Name","No.","@@"&amp;K136),"")</t>
  </si>
  <si>
    <t>=IF($J136="Item",NL("first",$J136,"Description","No.","@@"&amp;$K136),"")</t>
  </si>
  <si>
    <t>=D136</t>
  </si>
  <si>
    <t>=NF($G137,"Posting Date")</t>
  </si>
  <si>
    <t>=NF($G137,"Entry No.")</t>
  </si>
  <si>
    <t>=NF(G137,"Source Type")</t>
  </si>
  <si>
    <t>=NF($G137,"Source No.")</t>
  </si>
  <si>
    <t>=IF($J137="Customer",NL("first",$J137,"Name","No.","@@"&amp;$K137),"")</t>
  </si>
  <si>
    <t>=IF(J137="vendor",NL("first",J137,"Name","No.","@@"&amp;K137),"")</t>
  </si>
  <si>
    <t>=IF($J137="Item",NL("first",$J137,"Description","No.","@@"&amp;$K137),"")</t>
  </si>
  <si>
    <t>=D137</t>
  </si>
  <si>
    <t>=NF($G138,"Posting Date")</t>
  </si>
  <si>
    <t>=NF($G138,"Entry No.")</t>
  </si>
  <si>
    <t>=NF(G138,"Source Type")</t>
  </si>
  <si>
    <t>=NF($G138,"Source No.")</t>
  </si>
  <si>
    <t>=IF($J138="Customer",NL("first",$J138,"Name","No.","@@"&amp;$K138),"")</t>
  </si>
  <si>
    <t>=IF(J138="vendor",NL("first",J138,"Name","No.","@@"&amp;K138),"")</t>
  </si>
  <si>
    <t>=IF($J138="Item",NL("first",$J138,"Description","No.","@@"&amp;$K138),"")</t>
  </si>
  <si>
    <t>=D138</t>
  </si>
  <si>
    <t>=NF($G139,"Posting Date")</t>
  </si>
  <si>
    <t>=NF($G139,"Entry No.")</t>
  </si>
  <si>
    <t>=NF(G139,"Source Type")</t>
  </si>
  <si>
    <t>=NF($G139,"Source No.")</t>
  </si>
  <si>
    <t>=IF($J139="Customer",NL("first",$J139,"Name","No.","@@"&amp;$K139),"")</t>
  </si>
  <si>
    <t>=IF(J139="vendor",NL("first",J139,"Name","No.","@@"&amp;K139),"")</t>
  </si>
  <si>
    <t>=IF($J139="Item",NL("first",$J139,"Description","No.","@@"&amp;$K139),"")</t>
  </si>
  <si>
    <t>=D139</t>
  </si>
  <si>
    <t>=NF($G140,"Posting Date")</t>
  </si>
  <si>
    <t>=NF($G140,"Entry No.")</t>
  </si>
  <si>
    <t>=NF(G140,"Source Type")</t>
  </si>
  <si>
    <t>=NF($G140,"Source No.")</t>
  </si>
  <si>
    <t>=IF($J140="Customer",NL("first",$J140,"Name","No.","@@"&amp;$K140),"")</t>
  </si>
  <si>
    <t>=IF(J140="vendor",NL("first",J140,"Name","No.","@@"&amp;K140),"")</t>
  </si>
  <si>
    <t>=IF($J140="Item",NL("first",$J140,"Description","No.","@@"&amp;$K140),"")</t>
  </si>
  <si>
    <t>=D143</t>
  </si>
  <si>
    <t>=NF($G144,"Posting Date")</t>
  </si>
  <si>
    <t>=NF($G144,"Entry No.")</t>
  </si>
  <si>
    <t>=NF(G144,"Source Type")</t>
  </si>
  <si>
    <t>=NF($G144,"Source No.")</t>
  </si>
  <si>
    <t>=IF($J144="Customer",NL("first",$J144,"Name","No.","@@"&amp;$K144),"")</t>
  </si>
  <si>
    <t>=IF(J144="vendor",NL("first",J144,"Name","No.","@@"&amp;K144),"")</t>
  </si>
  <si>
    <t>=IF($J144="Item",NL("first",$J144,"Description","No.","@@"&amp;$K144),"")</t>
  </si>
  <si>
    <t>=D144</t>
  </si>
  <si>
    <t>=NF($G145,"Posting Date")</t>
  </si>
  <si>
    <t>=NF($G145,"Entry No.")</t>
  </si>
  <si>
    <t>=NF(G145,"Source Type")</t>
  </si>
  <si>
    <t>=NF($G145,"Source No.")</t>
  </si>
  <si>
    <t>=IF($J145="Customer",NL("first",$J145,"Name","No.","@@"&amp;$K145),"")</t>
  </si>
  <si>
    <t>=IF(J145="vendor",NL("first",J145,"Name","No.","@@"&amp;K145),"")</t>
  </si>
  <si>
    <t>=IF($J145="Item",NL("first",$J145,"Description","No.","@@"&amp;$K145),"")</t>
  </si>
  <si>
    <t>=D145</t>
  </si>
  <si>
    <t>=NF($G146,"Posting Date")</t>
  </si>
  <si>
    <t>=NF($G146,"Entry No.")</t>
  </si>
  <si>
    <t>=NF(G146,"Source Type")</t>
  </si>
  <si>
    <t>=NF($G146,"Source No.")</t>
  </si>
  <si>
    <t>=IF($J146="Customer",NL("first",$J146,"Name","No.","@@"&amp;$K146),"")</t>
  </si>
  <si>
    <t>=IF(J146="vendor",NL("first",J146,"Name","No.","@@"&amp;K146),"")</t>
  </si>
  <si>
    <t>=IF($J146="Item",NL("first",$J146,"Description","No.","@@"&amp;$K146),"")</t>
  </si>
  <si>
    <t>=D147</t>
  </si>
  <si>
    <t>=NF($G148,"Posting Date")</t>
  </si>
  <si>
    <t>=NF($G148,"Entry No.")</t>
  </si>
  <si>
    <t>=NF(G148,"Source Type")</t>
  </si>
  <si>
    <t>=NF($G148,"Source No.")</t>
  </si>
  <si>
    <t>=IF($J148="Customer",NL("first",$J148,"Name","No.","@@"&amp;$K148),"")</t>
  </si>
  <si>
    <t>=IF(J148="vendor",NL("first",J148,"Name","No.","@@"&amp;K148),"")</t>
  </si>
  <si>
    <t>=IF($J148="Item",NL("first",$J148,"Description","No.","@@"&amp;$K148),"")</t>
  </si>
  <si>
    <t>=D148</t>
  </si>
  <si>
    <t>=NF($G149,"Posting Date")</t>
  </si>
  <si>
    <t>=NF($G149,"Entry No.")</t>
  </si>
  <si>
    <t>=NF(G149,"Source Type")</t>
  </si>
  <si>
    <t>=NF($G149,"Source No.")</t>
  </si>
  <si>
    <t>=IF($J149="Customer",NL("first",$J149,"Name","No.","@@"&amp;$K149),"")</t>
  </si>
  <si>
    <t>=IF(J149="vendor",NL("first",J149,"Name","No.","@@"&amp;K149),"")</t>
  </si>
  <si>
    <t>=IF($J149="Item",NL("first",$J149,"Description","No.","@@"&amp;$K149),"")</t>
  </si>
  <si>
    <t>=D149</t>
  </si>
  <si>
    <t>=NF($G150,"Posting Date")</t>
  </si>
  <si>
    <t>=NF($G150,"Entry No.")</t>
  </si>
  <si>
    <t>=NF(G150,"Source Type")</t>
  </si>
  <si>
    <t>=NF($G150,"Source No.")</t>
  </si>
  <si>
    <t>=IF($J150="Customer",NL("first",$J150,"Name","No.","@@"&amp;$K150),"")</t>
  </si>
  <si>
    <t>=IF(J150="vendor",NL("first",J150,"Name","No.","@@"&amp;K150),"")</t>
  </si>
  <si>
    <t>=IF($J150="Item",NL("first",$J150,"Description","No.","@@"&amp;$K150),"")</t>
  </si>
  <si>
    <t>=D150</t>
  </si>
  <si>
    <t>=NF($G151,"Posting Date")</t>
  </si>
  <si>
    <t>=NF($G151,"Entry No.")</t>
  </si>
  <si>
    <t>=NF(G151,"Source Type")</t>
  </si>
  <si>
    <t>=NF($G151,"Source No.")</t>
  </si>
  <si>
    <t>=IF($J151="Customer",NL("first",$J151,"Name","No.","@@"&amp;$K151),"")</t>
  </si>
  <si>
    <t>=IF(J151="vendor",NL("first",J151,"Name","No.","@@"&amp;K151),"")</t>
  </si>
  <si>
    <t>=IF($J151="Item",NL("first",$J151,"Description","No.","@@"&amp;$K151),"")</t>
  </si>
  <si>
    <t>=D151</t>
  </si>
  <si>
    <t>=NF($G152,"Posting Date")</t>
  </si>
  <si>
    <t>=NF($G152,"Entry No.")</t>
  </si>
  <si>
    <t>=NF(G152,"Source Type")</t>
  </si>
  <si>
    <t>=NF($G152,"Source No.")</t>
  </si>
  <si>
    <t>=IF($J152="Customer",NL("first",$J152,"Name","No.","@@"&amp;$K152),"")</t>
  </si>
  <si>
    <t>=IF(J152="vendor",NL("first",J152,"Name","No.","@@"&amp;K152),"")</t>
  </si>
  <si>
    <t>=IF($J152="Item",NL("first",$J152,"Description","No.","@@"&amp;$K152),"")</t>
  </si>
  <si>
    <t>=D152</t>
  </si>
  <si>
    <t>=NF($G153,"Posting Date")</t>
  </si>
  <si>
    <t>=NF($G153,"Entry No.")</t>
  </si>
  <si>
    <t>=NF(G153,"Source Type")</t>
  </si>
  <si>
    <t>=NF($G153,"Source No.")</t>
  </si>
  <si>
    <t>=IF($J153="Customer",NL("first",$J153,"Name","No.","@@"&amp;$K153),"")</t>
  </si>
  <si>
    <t>=IF(J153="vendor",NL("first",J153,"Name","No.","@@"&amp;K153),"")</t>
  </si>
  <si>
    <t>=IF($J153="Item",NL("first",$J153,"Description","No.","@@"&amp;$K153),"")</t>
  </si>
  <si>
    <t>=D153</t>
  </si>
  <si>
    <t>=NF($G154,"Posting Date")</t>
  </si>
  <si>
    <t>=NF($G154,"Entry No.")</t>
  </si>
  <si>
    <t>=NF(G154,"Source Type")</t>
  </si>
  <si>
    <t>=NF($G154,"Source No.")</t>
  </si>
  <si>
    <t>=IF($J154="Customer",NL("first",$J154,"Name","No.","@@"&amp;$K154),"")</t>
  </si>
  <si>
    <t>=IF(J154="vendor",NL("first",J154,"Name","No.","@@"&amp;K154),"")</t>
  </si>
  <si>
    <t>=IF($J154="Item",NL("first",$J154,"Description","No.","@@"&amp;$K154),"")</t>
  </si>
  <si>
    <t>=D154</t>
  </si>
  <si>
    <t>=NF($G155,"Posting Date")</t>
  </si>
  <si>
    <t>=NF($G155,"Entry No.")</t>
  </si>
  <si>
    <t>=NF(G155,"Source Type")</t>
  </si>
  <si>
    <t>=NF($G155,"Source No.")</t>
  </si>
  <si>
    <t>=IF($J155="Customer",NL("first",$J155,"Name","No.","@@"&amp;$K155),"")</t>
  </si>
  <si>
    <t>=IF(J155="vendor",NL("first",J155,"Name","No.","@@"&amp;K155),"")</t>
  </si>
  <si>
    <t>=IF($J155="Item",NL("first",$J155,"Description","No.","@@"&amp;$K155),"")</t>
  </si>
  <si>
    <t>=E158</t>
  </si>
  <si>
    <t>=NL("First","Item","Description","No.",$E158)</t>
  </si>
  <si>
    <t>=NL("First","Item","Base Unit of Measure","No.",$E158)</t>
  </si>
  <si>
    <t>=D158</t>
  </si>
  <si>
    <t>=NF($G159,"Posting Date")</t>
  </si>
  <si>
    <t>=NF($G159,"Entry No.")</t>
  </si>
  <si>
    <t>=NF(G159,"Source Type")</t>
  </si>
  <si>
    <t>=NF($G159,"Source No.")</t>
  </si>
  <si>
    <t>=IF($J159="Customer",NL("first",$J159,"Name","No.","@@"&amp;$K159),"")</t>
  </si>
  <si>
    <t>=IF(J159="vendor",NL("first",J159,"Name","No.","@@"&amp;K159),"")</t>
  </si>
  <si>
    <t>=IF($J159="Item",NL("first",$J159,"Description","No.","@@"&amp;$K159),"")</t>
  </si>
  <si>
    <t>=D159</t>
  </si>
  <si>
    <t>=NF($G160,"Posting Date")</t>
  </si>
  <si>
    <t>=NF($G160,"Entry No.")</t>
  </si>
  <si>
    <t>=NF(G160,"Source Type")</t>
  </si>
  <si>
    <t>=NF($G160,"Source No.")</t>
  </si>
  <si>
    <t>=IF($J160="Customer",NL("first",$J160,"Name","No.","@@"&amp;$K160),"")</t>
  </si>
  <si>
    <t>=IF(J160="vendor",NL("first",J160,"Name","No.","@@"&amp;K160),"")</t>
  </si>
  <si>
    <t>=IF($J160="Item",NL("first",$J160,"Description","No.","@@"&amp;$K160),"")</t>
  </si>
  <si>
    <t>=D160</t>
  </si>
  <si>
    <t>=NF($G161,"Posting Date")</t>
  </si>
  <si>
    <t>=NF($G161,"Entry No.")</t>
  </si>
  <si>
    <t>=NF(G161,"Source Type")</t>
  </si>
  <si>
    <t>=NF($G161,"Source No.")</t>
  </si>
  <si>
    <t>=IF($J161="Customer",NL("first",$J161,"Name","No.","@@"&amp;$K161),"")</t>
  </si>
  <si>
    <t>=IF(J161="vendor",NL("first",J161,"Name","No.","@@"&amp;K161),"")</t>
  </si>
  <si>
    <t>=IF($J161="Item",NL("first",$J161,"Description","No.","@@"&amp;$K161),"")</t>
  </si>
  <si>
    <t>=D161</t>
  </si>
  <si>
    <t>=NF($G162,"Posting Date")</t>
  </si>
  <si>
    <t>=NF($G162,"Entry No.")</t>
  </si>
  <si>
    <t>=NF(G162,"Source Type")</t>
  </si>
  <si>
    <t>=NF($G162,"Source No.")</t>
  </si>
  <si>
    <t>=IF($J162="Customer",NL("first",$J162,"Name","No.","@@"&amp;$K162),"")</t>
  </si>
  <si>
    <t>=IF(J162="vendor",NL("first",J162,"Name","No.","@@"&amp;K162),"")</t>
  </si>
  <si>
    <t>=IF($J162="Item",NL("first",$J162,"Description","No.","@@"&amp;$K162),"")</t>
  </si>
  <si>
    <t>=D162</t>
  </si>
  <si>
    <t>=NF($G163,"Posting Date")</t>
  </si>
  <si>
    <t>=NF($G163,"Entry No.")</t>
  </si>
  <si>
    <t>=NF(G163,"Source Type")</t>
  </si>
  <si>
    <t>=NF($G163,"Source No.")</t>
  </si>
  <si>
    <t>=IF($J163="Customer",NL("first",$J163,"Name","No.","@@"&amp;$K163),"")</t>
  </si>
  <si>
    <t>=IF(J163="vendor",NL("first",J163,"Name","No.","@@"&amp;K163),"")</t>
  </si>
  <si>
    <t>=IF($J163="Item",NL("first",$J163,"Description","No.","@@"&amp;$K163),"")</t>
  </si>
  <si>
    <t>=D166</t>
  </si>
  <si>
    <t>=NF($G167,"Posting Date")</t>
  </si>
  <si>
    <t>=NF($G167,"Entry No.")</t>
  </si>
  <si>
    <t>=NF(G167,"Source Type")</t>
  </si>
  <si>
    <t>=NF($G167,"Source No.")</t>
  </si>
  <si>
    <t>=IF($J167="Customer",NL("first",$J167,"Name","No.","@@"&amp;$K167),"")</t>
  </si>
  <si>
    <t>=IF(J167="vendor",NL("first",J167,"Name","No.","@@"&amp;K167),"")</t>
  </si>
  <si>
    <t>=IF($J167="Item",NL("first",$J167,"Description","No.","@@"&amp;$K167),"")</t>
  </si>
  <si>
    <t>=D168</t>
  </si>
  <si>
    <t>=NF($G169,"Posting Date")</t>
  </si>
  <si>
    <t>=NF($G169,"Entry No.")</t>
  </si>
  <si>
    <t>=NF(G169,"Source Type")</t>
  </si>
  <si>
    <t>=NF($G169,"Source No.")</t>
  </si>
  <si>
    <t>=IF($J169="Customer",NL("first",$J169,"Name","No.","@@"&amp;$K169),"")</t>
  </si>
  <si>
    <t>=IF(J169="vendor",NL("first",J169,"Name","No.","@@"&amp;K169),"")</t>
  </si>
  <si>
    <t>=IF($J169="Item",NL("first",$J169,"Description","No.","@@"&amp;$K169),"")</t>
  </si>
  <si>
    <t>=D169</t>
  </si>
  <si>
    <t>=NF($G170,"Posting Date")</t>
  </si>
  <si>
    <t>=NF($G170,"Entry No.")</t>
  </si>
  <si>
    <t>=NF(G170,"Source Type")</t>
  </si>
  <si>
    <t>=NF($G170,"Source No.")</t>
  </si>
  <si>
    <t>=IF($J170="Customer",NL("first",$J170,"Name","No.","@@"&amp;$K170),"")</t>
  </si>
  <si>
    <t>=IF(J170="vendor",NL("first",J170,"Name","No.","@@"&amp;K170),"")</t>
  </si>
  <si>
    <t>=IF($J170="Item",NL("first",$J170,"Description","No.","@@"&amp;$K170),"")</t>
  </si>
  <si>
    <t>=D175</t>
  </si>
  <si>
    <t>=NF($G176,"Posting Date")</t>
  </si>
  <si>
    <t>=NF($G176,"Entry No.")</t>
  </si>
  <si>
    <t>=NF(G176,"Source Type")</t>
  </si>
  <si>
    <t>=NF($G176,"Source No.")</t>
  </si>
  <si>
    <t>=IF($J176="Customer",NL("first",$J176,"Name","No.","@@"&amp;$K176),"")</t>
  </si>
  <si>
    <t>=IF(J176="vendor",NL("first",J176,"Name","No.","@@"&amp;K176),"")</t>
  </si>
  <si>
    <t>=IF($J176="Item",NL("first",$J176,"Description","No.","@@"&amp;$K176),"")</t>
  </si>
  <si>
    <t>=D176</t>
  </si>
  <si>
    <t>=NF($G177,"Posting Date")</t>
  </si>
  <si>
    <t>=NF($G177,"Entry No.")</t>
  </si>
  <si>
    <t>=NF(G177,"Source Type")</t>
  </si>
  <si>
    <t>=NF($G177,"Source No.")</t>
  </si>
  <si>
    <t>=IF($J177="Customer",NL("first",$J177,"Name","No.","@@"&amp;$K177),"")</t>
  </si>
  <si>
    <t>=IF(J177="vendor",NL("first",J177,"Name","No.","@@"&amp;K177),"")</t>
  </si>
  <si>
    <t>=IF($J177="Item",NL("first",$J177,"Description","No.","@@"&amp;$K177),"")</t>
  </si>
  <si>
    <t>=D177</t>
  </si>
  <si>
    <t>=NF($G178,"Posting Date")</t>
  </si>
  <si>
    <t>=NF($G178,"Entry No.")</t>
  </si>
  <si>
    <t>=NF(G178,"Source Type")</t>
  </si>
  <si>
    <t>=NF($G178,"Source No.")</t>
  </si>
  <si>
    <t>=IF($J178="Customer",NL("first",$J178,"Name","No.","@@"&amp;$K178),"")</t>
  </si>
  <si>
    <t>=IF(J178="vendor",NL("first",J178,"Name","No.","@@"&amp;K178),"")</t>
  </si>
  <si>
    <t>=IF($J178="Item",NL("first",$J178,"Description","No.","@@"&amp;$K178),"")</t>
  </si>
  <si>
    <t>=D178</t>
  </si>
  <si>
    <t>=NF($G179,"Posting Date")</t>
  </si>
  <si>
    <t>=NF($G179,"Entry No.")</t>
  </si>
  <si>
    <t>=NF(G179,"Source Type")</t>
  </si>
  <si>
    <t>=NF($G179,"Source No.")</t>
  </si>
  <si>
    <t>=IF($J179="Customer",NL("first",$J179,"Name","No.","@@"&amp;$K179),"")</t>
  </si>
  <si>
    <t>=IF(J179="vendor",NL("first",J179,"Name","No.","@@"&amp;K179),"")</t>
  </si>
  <si>
    <t>=IF($J179="Item",NL("first",$J179,"Description","No.","@@"&amp;$K179),"")</t>
  </si>
  <si>
    <t>=D179</t>
  </si>
  <si>
    <t>=NF($G180,"Posting Date")</t>
  </si>
  <si>
    <t>=NF($G180,"Entry No.")</t>
  </si>
  <si>
    <t>=NF(G180,"Source Type")</t>
  </si>
  <si>
    <t>=NF($G180,"Source No.")</t>
  </si>
  <si>
    <t>=IF($J180="Customer",NL("first",$J180,"Name","No.","@@"&amp;$K180),"")</t>
  </si>
  <si>
    <t>=IF(J180="vendor",NL("first",J180,"Name","No.","@@"&amp;K180),"")</t>
  </si>
  <si>
    <t>=IF($J180="Item",NL("first",$J180,"Description","No.","@@"&amp;$K180),"")</t>
  </si>
  <si>
    <t>=D180</t>
  </si>
  <si>
    <t>=NF($G181,"Posting Date")</t>
  </si>
  <si>
    <t>=NF($G181,"Entry No.")</t>
  </si>
  <si>
    <t>=NF(G181,"Source Type")</t>
  </si>
  <si>
    <t>=NF($G181,"Source No.")</t>
  </si>
  <si>
    <t>=IF($J181="Customer",NL("first",$J181,"Name","No.","@@"&amp;$K181),"")</t>
  </si>
  <si>
    <t>=IF(J181="vendor",NL("first",J181,"Name","No.","@@"&amp;K181),"")</t>
  </si>
  <si>
    <t>=IF($J181="Item",NL("first",$J181,"Description","No.","@@"&amp;$K181),"")</t>
  </si>
  <si>
    <t>=D181</t>
  </si>
  <si>
    <t>=NF($G182,"Posting Date")</t>
  </si>
  <si>
    <t>=NF($G182,"Entry No.")</t>
  </si>
  <si>
    <t>=NF(G182,"Source Type")</t>
  </si>
  <si>
    <t>=NF($G182,"Source No.")</t>
  </si>
  <si>
    <t>=IF($J182="Customer",NL("first",$J182,"Name","No.","@@"&amp;$K182),"")</t>
  </si>
  <si>
    <t>=IF(J182="vendor",NL("first",J182,"Name","No.","@@"&amp;K182),"")</t>
  </si>
  <si>
    <t>=IF($J182="Item",NL("first",$J182,"Description","No.","@@"&amp;$K182),"")</t>
  </si>
  <si>
    <t>=D182</t>
  </si>
  <si>
    <t>=NF($G183,"Posting Date")</t>
  </si>
  <si>
    <t>=NF($G183,"Entry No.")</t>
  </si>
  <si>
    <t>=NF(G183,"Source Type")</t>
  </si>
  <si>
    <t>=NF($G183,"Source No.")</t>
  </si>
  <si>
    <t>=IF($J183="Customer",NL("first",$J183,"Name","No.","@@"&amp;$K183),"")</t>
  </si>
  <si>
    <t>=IF(J183="vendor",NL("first",J183,"Name","No.","@@"&amp;K183),"")</t>
  </si>
  <si>
    <t>=IF($J183="Item",NL("first",$J183,"Description","No.","@@"&amp;$K183),"")</t>
  </si>
  <si>
    <t>=D187</t>
  </si>
  <si>
    <t>=NF($G188,"Posting Date")</t>
  </si>
  <si>
    <t>=NF($G188,"Entry No.")</t>
  </si>
  <si>
    <t>=NF(G188,"Source Type")</t>
  </si>
  <si>
    <t>=NF($G188,"Source No.")</t>
  </si>
  <si>
    <t>=IF($J188="Customer",NL("first",$J188,"Name","No.","@@"&amp;$K188),"")</t>
  </si>
  <si>
    <t>=IF(J188="vendor",NL("first",J188,"Name","No.","@@"&amp;K188),"")</t>
  </si>
  <si>
    <t>=IF($J188="Item",NL("first",$J188,"Description","No.","@@"&amp;$K188),"")</t>
  </si>
  <si>
    <t>=D188</t>
  </si>
  <si>
    <t>=NF($G189,"Posting Date")</t>
  </si>
  <si>
    <t>=NF($G189,"Entry No.")</t>
  </si>
  <si>
    <t>=NF(G189,"Source Type")</t>
  </si>
  <si>
    <t>=NF($G189,"Source No.")</t>
  </si>
  <si>
    <t>=IF($J189="Customer",NL("first",$J189,"Name","No.","@@"&amp;$K189),"")</t>
  </si>
  <si>
    <t>=IF(J189="vendor",NL("first",J189,"Name","No.","@@"&amp;K189),"")</t>
  </si>
  <si>
    <t>=IF($J189="Item",NL("first",$J189,"Description","No.","@@"&amp;$K189),"")</t>
  </si>
  <si>
    <t>=D189</t>
  </si>
  <si>
    <t>=NF($G190,"Posting Date")</t>
  </si>
  <si>
    <t>=NF($G190,"Entry No.")</t>
  </si>
  <si>
    <t>=NF(G190,"Source Type")</t>
  </si>
  <si>
    <t>=NF($G190,"Source No.")</t>
  </si>
  <si>
    <t>=IF($J190="Customer",NL("first",$J190,"Name","No.","@@"&amp;$K190),"")</t>
  </si>
  <si>
    <t>=IF(J190="vendor",NL("first",J190,"Name","No.","@@"&amp;K190),"")</t>
  </si>
  <si>
    <t>=IF($J190="Item",NL("first",$J190,"Description","No.","@@"&amp;$K190),"")</t>
  </si>
  <si>
    <t>=D190</t>
  </si>
  <si>
    <t>=NF($G191,"Posting Date")</t>
  </si>
  <si>
    <t>=NF($G191,"Entry No.")</t>
  </si>
  <si>
    <t>=NF(G191,"Source Type")</t>
  </si>
  <si>
    <t>=NF($G191,"Source No.")</t>
  </si>
  <si>
    <t>=IF($J191="Customer",NL("first",$J191,"Name","No.","@@"&amp;$K191),"")</t>
  </si>
  <si>
    <t>=IF(J191="vendor",NL("first",J191,"Name","No.","@@"&amp;K191),"")</t>
  </si>
  <si>
    <t>=IF($J191="Item",NL("first",$J191,"Description","No.","@@"&amp;$K191),"")</t>
  </si>
  <si>
    <t>=D191</t>
  </si>
  <si>
    <t>=NF($G192,"Posting Date")</t>
  </si>
  <si>
    <t>=NF($G192,"Entry No.")</t>
  </si>
  <si>
    <t>=NF(G192,"Source Type")</t>
  </si>
  <si>
    <t>=NF($G192,"Source No.")</t>
  </si>
  <si>
    <t>=IF($J192="Customer",NL("first",$J192,"Name","No.","@@"&amp;$K192),"")</t>
  </si>
  <si>
    <t>=IF(J192="vendor",NL("first",J192,"Name","No.","@@"&amp;K192),"")</t>
  </si>
  <si>
    <t>=IF($J192="Item",NL("first",$J192,"Description","No.","@@"&amp;$K192),"")</t>
  </si>
  <si>
    <t>=D195</t>
  </si>
  <si>
    <t>=NF($G196,"Posting Date")</t>
  </si>
  <si>
    <t>=NF($G196,"Entry No.")</t>
  </si>
  <si>
    <t>=NF(G196,"Source Type")</t>
  </si>
  <si>
    <t>=NF($G196,"Source No.")</t>
  </si>
  <si>
    <t>=IF($J196="Customer",NL("first",$J196,"Name","No.","@@"&amp;$K196),"")</t>
  </si>
  <si>
    <t>=IF(J196="vendor",NL("first",J196,"Name","No.","@@"&amp;K196),"")</t>
  </si>
  <si>
    <t>=IF($J196="Item",NL("first",$J196,"Description","No.","@@"&amp;$K196),"")</t>
  </si>
  <si>
    <t>=D196</t>
  </si>
  <si>
    <t>=NF($G197,"Posting Date")</t>
  </si>
  <si>
    <t>=NF($G197,"Entry No.")</t>
  </si>
  <si>
    <t>=NF(G197,"Source Type")</t>
  </si>
  <si>
    <t>=NF($G197,"Source No.")</t>
  </si>
  <si>
    <t>=IF($J197="Customer",NL("first",$J197,"Name","No.","@@"&amp;$K197),"")</t>
  </si>
  <si>
    <t>=IF(J197="vendor",NL("first",J197,"Name","No.","@@"&amp;K197),"")</t>
  </si>
  <si>
    <t>=IF($J197="Item",NL("first",$J197,"Description","No.","@@"&amp;$K197),"")</t>
  </si>
  <si>
    <t>=D197</t>
  </si>
  <si>
    <t>=NF($G198,"Posting Date")</t>
  </si>
  <si>
    <t>=NF($G198,"Entry No.")</t>
  </si>
  <si>
    <t>=NF(G198,"Source Type")</t>
  </si>
  <si>
    <t>=NF($G198,"Source No.")</t>
  </si>
  <si>
    <t>=IF($J198="Customer",NL("first",$J198,"Name","No.","@@"&amp;$K198),"")</t>
  </si>
  <si>
    <t>=IF(J198="vendor",NL("first",J198,"Name","No.","@@"&amp;K198),"")</t>
  </si>
  <si>
    <t>=IF($J198="Item",NL("first",$J198,"Description","No.","@@"&amp;$K198),"")</t>
  </si>
  <si>
    <t>=D201</t>
  </si>
  <si>
    <t>=NF($G202,"Posting Date")</t>
  </si>
  <si>
    <t>=NF($G202,"Entry No.")</t>
  </si>
  <si>
    <t>=NF(G202,"Source Type")</t>
  </si>
  <si>
    <t>=NF($G202,"Source No.")</t>
  </si>
  <si>
    <t>=IF($J202="Customer",NL("first",$J202,"Name","No.","@@"&amp;$K202),"")</t>
  </si>
  <si>
    <t>=IF(J202="vendor",NL("first",J202,"Name","No.","@@"&amp;K202),"")</t>
  </si>
  <si>
    <t>=IF($J202="Item",NL("first",$J202,"Description","No.","@@"&amp;$K202),"")</t>
  </si>
  <si>
    <t>=D202</t>
  </si>
  <si>
    <t>=NF($G203,"Posting Date")</t>
  </si>
  <si>
    <t>=NF($G203,"Entry No.")</t>
  </si>
  <si>
    <t>=NF(G203,"Source Type")</t>
  </si>
  <si>
    <t>=NF($G203,"Source No.")</t>
  </si>
  <si>
    <t>=IF($J203="Customer",NL("first",$J203,"Name","No.","@@"&amp;$K203),"")</t>
  </si>
  <si>
    <t>=IF(J203="vendor",NL("first",J203,"Name","No.","@@"&amp;K203),"")</t>
  </si>
  <si>
    <t>=IF($J203="Item",NL("first",$J203,"Description","No.","@@"&amp;$K203),"")</t>
  </si>
  <si>
    <t>=D203</t>
  </si>
  <si>
    <t>=NF($G204,"Posting Date")</t>
  </si>
  <si>
    <t>=NF($G204,"Entry No.")</t>
  </si>
  <si>
    <t>=NF(G204,"Source Type")</t>
  </si>
  <si>
    <t>=NF($G204,"Source No.")</t>
  </si>
  <si>
    <t>=IF($J204="Customer",NL("first",$J204,"Name","No.","@@"&amp;$K204),"")</t>
  </si>
  <si>
    <t>=IF(J204="vendor",NL("first",J204,"Name","No.","@@"&amp;K204),"")</t>
  </si>
  <si>
    <t>=IF($J204="Item",NL("first",$J204,"Description","No.","@@"&amp;$K204),"")</t>
  </si>
  <si>
    <t>=D204</t>
  </si>
  <si>
    <t>=NF($G205,"Posting Date")</t>
  </si>
  <si>
    <t>=NF($G205,"Entry No.")</t>
  </si>
  <si>
    <t>=NF(G205,"Source Type")</t>
  </si>
  <si>
    <t>=NF($G205,"Source No.")</t>
  </si>
  <si>
    <t>=IF($J205="Customer",NL("first",$J205,"Name","No.","@@"&amp;$K205),"")</t>
  </si>
  <si>
    <t>=IF(J205="vendor",NL("first",J205,"Name","No.","@@"&amp;K205),"")</t>
  </si>
  <si>
    <t>=IF($J205="Item",NL("first",$J205,"Description","No.","@@"&amp;$K205),"")</t>
  </si>
  <si>
    <t>=D205</t>
  </si>
  <si>
    <t>=NF($G206,"Posting Date")</t>
  </si>
  <si>
    <t>=NF($G206,"Entry No.")</t>
  </si>
  <si>
    <t>=NF(G206,"Source Type")</t>
  </si>
  <si>
    <t>=NF($G206,"Source No.")</t>
  </si>
  <si>
    <t>=IF($J206="Customer",NL("first",$J206,"Name","No.","@@"&amp;$K206),"")</t>
  </si>
  <si>
    <t>=IF(J206="vendor",NL("first",J206,"Name","No.","@@"&amp;K206),"")</t>
  </si>
  <si>
    <t>=IF($J206="Item",NL("first",$J206,"Description","No.","@@"&amp;$K206),"")</t>
  </si>
  <si>
    <t>=D206</t>
  </si>
  <si>
    <t>=NF($G207,"Posting Date")</t>
  </si>
  <si>
    <t>=NF($G207,"Entry No.")</t>
  </si>
  <si>
    <t>=NF(G207,"Source Type")</t>
  </si>
  <si>
    <t>=NF($G207,"Source No.")</t>
  </si>
  <si>
    <t>=IF($J207="Customer",NL("first",$J207,"Name","No.","@@"&amp;$K207),"")</t>
  </si>
  <si>
    <t>=IF(J207="vendor",NL("first",J207,"Name","No.","@@"&amp;K207),"")</t>
  </si>
  <si>
    <t>=IF($J207="Item",NL("first",$J207,"Description","No.","@@"&amp;$K207),"")</t>
  </si>
  <si>
    <t>=D207</t>
  </si>
  <si>
    <t>=NF($G208,"Posting Date")</t>
  </si>
  <si>
    <t>=NF($G208,"Entry No.")</t>
  </si>
  <si>
    <t>=NF(G208,"Source Type")</t>
  </si>
  <si>
    <t>=NF($G208,"Source No.")</t>
  </si>
  <si>
    <t>=IF($J208="Customer",NL("first",$J208,"Name","No.","@@"&amp;$K208),"")</t>
  </si>
  <si>
    <t>=IF(J208="vendor",NL("first",J208,"Name","No.","@@"&amp;K208),"")</t>
  </si>
  <si>
    <t>=IF($J208="Item",NL("first",$J208,"Description","No.","@@"&amp;$K208),"")</t>
  </si>
  <si>
    <t>=D208</t>
  </si>
  <si>
    <t>=NF($G209,"Posting Date")</t>
  </si>
  <si>
    <t>=NF($G209,"Entry No.")</t>
  </si>
  <si>
    <t>=NF(G209,"Source Type")</t>
  </si>
  <si>
    <t>=NF($G209,"Source No.")</t>
  </si>
  <si>
    <t>=IF($J209="Customer",NL("first",$J209,"Name","No.","@@"&amp;$K209),"")</t>
  </si>
  <si>
    <t>=IF(J209="vendor",NL("first",J209,"Name","No.","@@"&amp;K209),"")</t>
  </si>
  <si>
    <t>=IF($J209="Item",NL("first",$J209,"Description","No.","@@"&amp;$K209),"")</t>
  </si>
  <si>
    <t>=D212</t>
  </si>
  <si>
    <t>=NF($G213,"Posting Date")</t>
  </si>
  <si>
    <t>=NF($G213,"Entry No.")</t>
  </si>
  <si>
    <t>=NF(G213,"Source Type")</t>
  </si>
  <si>
    <t>=NF($G213,"Source No.")</t>
  </si>
  <si>
    <t>=IF($J213="Customer",NL("first",$J213,"Name","No.","@@"&amp;$K213),"")</t>
  </si>
  <si>
    <t>=IF(J213="vendor",NL("first",J213,"Name","No.","@@"&amp;K213),"")</t>
  </si>
  <si>
    <t>=IF($J213="Item",NL("first",$J213,"Description","No.","@@"&amp;$K213),"")</t>
  </si>
  <si>
    <t>=D213</t>
  </si>
  <si>
    <t>=NF($G214,"Posting Date")</t>
  </si>
  <si>
    <t>=NF($G214,"Entry No.")</t>
  </si>
  <si>
    <t>=NF(G214,"Source Type")</t>
  </si>
  <si>
    <t>=NF($G214,"Source No.")</t>
  </si>
  <si>
    <t>=IF($J214="Customer",NL("first",$J214,"Name","No.","@@"&amp;$K214),"")</t>
  </si>
  <si>
    <t>=IF(J214="vendor",NL("first",J214,"Name","No.","@@"&amp;K214),"")</t>
  </si>
  <si>
    <t>=IF($J214="Item",NL("first",$J214,"Description","No.","@@"&amp;$K214),"")</t>
  </si>
  <si>
    <t>=D214</t>
  </si>
  <si>
    <t>=NF($G215,"Posting Date")</t>
  </si>
  <si>
    <t>=NF($G215,"Entry No.")</t>
  </si>
  <si>
    <t>=NF(G215,"Source Type")</t>
  </si>
  <si>
    <t>=NF($G215,"Source No.")</t>
  </si>
  <si>
    <t>=IF($J215="Customer",NL("first",$J215,"Name","No.","@@"&amp;$K215),"")</t>
  </si>
  <si>
    <t>=IF(J215="vendor",NL("first",J215,"Name","No.","@@"&amp;K215),"")</t>
  </si>
  <si>
    <t>=IF($J215="Item",NL("first",$J215,"Description","No.","@@"&amp;$K215),"")</t>
  </si>
  <si>
    <t>=D215</t>
  </si>
  <si>
    <t>=NF($G216,"Posting Date")</t>
  </si>
  <si>
    <t>=NF($G216,"Entry No.")</t>
  </si>
  <si>
    <t>=NF(G216,"Source Type")</t>
  </si>
  <si>
    <t>=NF($G216,"Source No.")</t>
  </si>
  <si>
    <t>=IF($J216="Customer",NL("first",$J216,"Name","No.","@@"&amp;$K216),"")</t>
  </si>
  <si>
    <t>=IF(J216="vendor",NL("first",J216,"Name","No.","@@"&amp;K216),"")</t>
  </si>
  <si>
    <t>=IF($J216="Item",NL("first",$J216,"Description","No.","@@"&amp;$K216),"")</t>
  </si>
  <si>
    <t>=D216</t>
  </si>
  <si>
    <t>=NF($G217,"Posting Date")</t>
  </si>
  <si>
    <t>=NF($G217,"Entry No.")</t>
  </si>
  <si>
    <t>=NF(G217,"Source Type")</t>
  </si>
  <si>
    <t>=NF($G217,"Source No.")</t>
  </si>
  <si>
    <t>=IF($J217="Customer",NL("first",$J217,"Name","No.","@@"&amp;$K217),"")</t>
  </si>
  <si>
    <t>=IF(J217="vendor",NL("first",J217,"Name","No.","@@"&amp;K217),"")</t>
  </si>
  <si>
    <t>=IF($J217="Item",NL("first",$J217,"Description","No.","@@"&amp;$K217),"")</t>
  </si>
  <si>
    <t>=D217</t>
  </si>
  <si>
    <t>=NF($G218,"Posting Date")</t>
  </si>
  <si>
    <t>=NF($G218,"Entry No.")</t>
  </si>
  <si>
    <t>=NF(G218,"Source Type")</t>
  </si>
  <si>
    <t>=NF($G218,"Source No.")</t>
  </si>
  <si>
    <t>=IF($J218="Customer",NL("first",$J218,"Name","No.","@@"&amp;$K218),"")</t>
  </si>
  <si>
    <t>=IF(J218="vendor",NL("first",J218,"Name","No.","@@"&amp;K218),"")</t>
  </si>
  <si>
    <t>=IF($J218="Item",NL("first",$J218,"Description","No.","@@"&amp;$K218),"")</t>
  </si>
  <si>
    <t>=D218</t>
  </si>
  <si>
    <t>=NF($G219,"Posting Date")</t>
  </si>
  <si>
    <t>=NF($G219,"Entry No.")</t>
  </si>
  <si>
    <t>=NF(G219,"Source Type")</t>
  </si>
  <si>
    <t>=NF($G219,"Source No.")</t>
  </si>
  <si>
    <t>=IF($J219="Customer",NL("first",$J219,"Name","No.","@@"&amp;$K219),"")</t>
  </si>
  <si>
    <t>=IF(J219="vendor",NL("first",J219,"Name","No.","@@"&amp;K219),"")</t>
  </si>
  <si>
    <t>=IF($J219="Item",NL("first",$J219,"Description","No.","@@"&amp;$K219),"")</t>
  </si>
  <si>
    <t>=D222</t>
  </si>
  <si>
    <t>=NF($G223,"Posting Date")</t>
  </si>
  <si>
    <t>=NF($G223,"Entry No.")</t>
  </si>
  <si>
    <t>=NF(G223,"Source Type")</t>
  </si>
  <si>
    <t>=NF($G223,"Source No.")</t>
  </si>
  <si>
    <t>=IF($J223="Customer",NL("first",$J223,"Name","No.","@@"&amp;$K223),"")</t>
  </si>
  <si>
    <t>=IF(J223="vendor",NL("first",J223,"Name","No.","@@"&amp;K223),"")</t>
  </si>
  <si>
    <t>=IF($J223="Item",NL("first",$J223,"Description","No.","@@"&amp;$K223),"")</t>
  </si>
  <si>
    <t>=D228</t>
  </si>
  <si>
    <t>=NF($G229,"Posting Date")</t>
  </si>
  <si>
    <t>=NF($G229,"Entry No.")</t>
  </si>
  <si>
    <t>=NF(G229,"Source Type")</t>
  </si>
  <si>
    <t>=NF($G229,"Source No.")</t>
  </si>
  <si>
    <t>=IF($J229="Customer",NL("first",$J229,"Name","No.","@@"&amp;$K229),"")</t>
  </si>
  <si>
    <t>=IF(J229="vendor",NL("first",J229,"Name","No.","@@"&amp;K229),"")</t>
  </si>
  <si>
    <t>=IF($J229="Item",NL("first",$J229,"Description","No.","@@"&amp;$K229),"")</t>
  </si>
  <si>
    <t>=D229</t>
  </si>
  <si>
    <t>=NF($G230,"Posting Date")</t>
  </si>
  <si>
    <t>=NF($G230,"Entry No.")</t>
  </si>
  <si>
    <t>=NF(G230,"Source Type")</t>
  </si>
  <si>
    <t>=NF($G230,"Source No.")</t>
  </si>
  <si>
    <t>=IF($J230="Customer",NL("first",$J230,"Name","No.","@@"&amp;$K230),"")</t>
  </si>
  <si>
    <t>=IF(J230="vendor",NL("first",J230,"Name","No.","@@"&amp;K230),"")</t>
  </si>
  <si>
    <t>=IF($J230="Item",NL("first",$J230,"Description","No.","@@"&amp;$K230),"")</t>
  </si>
  <si>
    <t>=D233</t>
  </si>
  <si>
    <t>=NF($G234,"Posting Date")</t>
  </si>
  <si>
    <t>=NF($G234,"Entry No.")</t>
  </si>
  <si>
    <t>=NF(G234,"Source Type")</t>
  </si>
  <si>
    <t>=NF($G234,"Source No.")</t>
  </si>
  <si>
    <t>=IF($J234="Customer",NL("first",$J234,"Name","No.","@@"&amp;$K234),"")</t>
  </si>
  <si>
    <t>=IF(J234="vendor",NL("first",J234,"Name","No.","@@"&amp;K234),"")</t>
  </si>
  <si>
    <t>=IF($J234="Item",NL("first",$J234,"Description","No.","@@"&amp;$K234),"")</t>
  </si>
  <si>
    <t>=D234</t>
  </si>
  <si>
    <t>=NF($G235,"Posting Date")</t>
  </si>
  <si>
    <t>=NF($G235,"Entry No.")</t>
  </si>
  <si>
    <t>=NF(G235,"Source Type")</t>
  </si>
  <si>
    <t>=NF($G235,"Source No.")</t>
  </si>
  <si>
    <t>=IF($J235="Customer",NL("first",$J235,"Name","No.","@@"&amp;$K235),"")</t>
  </si>
  <si>
    <t>=IF(J235="vendor",NL("first",J235,"Name","No.","@@"&amp;K235),"")</t>
  </si>
  <si>
    <t>=IF($J235="Item",NL("first",$J235,"Description","No.","@@"&amp;$K235),"")</t>
  </si>
  <si>
    <t>=D238</t>
  </si>
  <si>
    <t>=NF($G239,"Posting Date")</t>
  </si>
  <si>
    <t>=NF($G239,"Entry No.")</t>
  </si>
  <si>
    <t>=NF(G239,"Source Type")</t>
  </si>
  <si>
    <t>=NF($G239,"Source No.")</t>
  </si>
  <si>
    <t>=IF($J239="Customer",NL("first",$J239,"Name","No.","@@"&amp;$K239),"")</t>
  </si>
  <si>
    <t>=IF(J239="vendor",NL("first",J239,"Name","No.","@@"&amp;K239),"")</t>
  </si>
  <si>
    <t>=IF($J239="Item",NL("first",$J239,"Description","No.","@@"&amp;$K239),"")</t>
  </si>
  <si>
    <t>=D242</t>
  </si>
  <si>
    <t>=NF($G243,"Posting Date")</t>
  </si>
  <si>
    <t>=NF($G243,"Entry No.")</t>
  </si>
  <si>
    <t>=NF(G243,"Source Type")</t>
  </si>
  <si>
    <t>=NF($G243,"Source No.")</t>
  </si>
  <si>
    <t>=IF($J243="Customer",NL("first",$J243,"Name","No.","@@"&amp;$K243),"")</t>
  </si>
  <si>
    <t>=IF(J243="vendor",NL("first",J243,"Name","No.","@@"&amp;K243),"")</t>
  </si>
  <si>
    <t>=IF($J243="Item",NL("first",$J243,"Description","No.","@@"&amp;$K243),"")</t>
  </si>
  <si>
    <t>=D246</t>
  </si>
  <si>
    <t>=NF($G247,"Posting Date")</t>
  </si>
  <si>
    <t>=NF($G247,"Entry No.")</t>
  </si>
  <si>
    <t>=NF(G247,"Source Type")</t>
  </si>
  <si>
    <t>=NF($G247,"Source No.")</t>
  </si>
  <si>
    <t>=IF($J247="Customer",NL("first",$J247,"Name","No.","@@"&amp;$K247),"")</t>
  </si>
  <si>
    <t>=IF(J247="vendor",NL("first",J247,"Name","No.","@@"&amp;K247),"")</t>
  </si>
  <si>
    <t>=IF($J247="Item",NL("first",$J247,"Description","No.","@@"&amp;$K247),"")</t>
  </si>
  <si>
    <t>=D250</t>
  </si>
  <si>
    <t>=NF($G251,"Posting Date")</t>
  </si>
  <si>
    <t>=NF($G251,"Entry No.")</t>
  </si>
  <si>
    <t>=NF(G251,"Source Type")</t>
  </si>
  <si>
    <t>=NF($G251,"Source No.")</t>
  </si>
  <si>
    <t>=IF($J251="Customer",NL("first",$J251,"Name","No.","@@"&amp;$K251),"")</t>
  </si>
  <si>
    <t>=IF(J251="vendor",NL("first",J251,"Name","No.","@@"&amp;K251),"")</t>
  </si>
  <si>
    <t>=IF($J251="Item",NL("first",$J251,"Description","No.","@@"&amp;$K251),"")</t>
  </si>
  <si>
    <t>=D251</t>
  </si>
  <si>
    <t>=NF($G252,"Posting Date")</t>
  </si>
  <si>
    <t>=NF($G252,"Entry No.")</t>
  </si>
  <si>
    <t>=NF(G252,"Source Type")</t>
  </si>
  <si>
    <t>=NF($G252,"Source No.")</t>
  </si>
  <si>
    <t>=IF($J252="Customer",NL("first",$J252,"Name","No.","@@"&amp;$K252),"")</t>
  </si>
  <si>
    <t>=IF(J252="vendor",NL("first",J252,"Name","No.","@@"&amp;K252),"")</t>
  </si>
  <si>
    <t>=IF($J252="Item",NL("first",$J252,"Description","No.","@@"&amp;$K252),"")</t>
  </si>
  <si>
    <t>=D252</t>
  </si>
  <si>
    <t>=NF($G253,"Posting Date")</t>
  </si>
  <si>
    <t>=NF($G253,"Entry No.")</t>
  </si>
  <si>
    <t>=NF(G253,"Source Type")</t>
  </si>
  <si>
    <t>=NF($G253,"Source No.")</t>
  </si>
  <si>
    <t>=IF($J253="Customer",NL("first",$J253,"Name","No.","@@"&amp;$K253),"")</t>
  </si>
  <si>
    <t>=IF(J253="vendor",NL("first",J253,"Name","No.","@@"&amp;K253),"")</t>
  </si>
  <si>
    <t>=IF($J253="Item",NL("first",$J253,"Description","No.","@@"&amp;$K253),"")</t>
  </si>
  <si>
    <t>=D256</t>
  </si>
  <si>
    <t>=NF($G257,"Posting Date")</t>
  </si>
  <si>
    <t>=NF($G257,"Entry No.")</t>
  </si>
  <si>
    <t>=NF(G257,"Source Type")</t>
  </si>
  <si>
    <t>=NF($G257,"Source No.")</t>
  </si>
  <si>
    <t>=IF($J257="Customer",NL("first",$J257,"Name","No.","@@"&amp;$K257),"")</t>
  </si>
  <si>
    <t>=IF(J257="vendor",NL("first",J257,"Name","No.","@@"&amp;K257),"")</t>
  </si>
  <si>
    <t>=IF($J257="Item",NL("first",$J257,"Description","No.","@@"&amp;$K257),"")</t>
  </si>
  <si>
    <t>=D257</t>
  </si>
  <si>
    <t>=NF($G258,"Posting Date")</t>
  </si>
  <si>
    <t>=NF($G258,"Entry No.")</t>
  </si>
  <si>
    <t>=NF(G258,"Source Type")</t>
  </si>
  <si>
    <t>=NF($G258,"Source No.")</t>
  </si>
  <si>
    <t>=IF($J258="Customer",NL("first",$J258,"Name","No.","@@"&amp;$K258),"")</t>
  </si>
  <si>
    <t>=IF(J258="vendor",NL("first",J258,"Name","No.","@@"&amp;K258),"")</t>
  </si>
  <si>
    <t>=IF($J258="Item",NL("first",$J258,"Description","No.","@@"&amp;$K258),"")</t>
  </si>
  <si>
    <t>=D258</t>
  </si>
  <si>
    <t>=NF($G259,"Posting Date")</t>
  </si>
  <si>
    <t>=NF($G259,"Entry No.")</t>
  </si>
  <si>
    <t>=NF(G259,"Source Type")</t>
  </si>
  <si>
    <t>=NF($G259,"Source No.")</t>
  </si>
  <si>
    <t>=IF($J259="Customer",NL("first",$J259,"Name","No.","@@"&amp;$K259),"")</t>
  </si>
  <si>
    <t>=IF(J259="vendor",NL("first",J259,"Name","No.","@@"&amp;K259),"")</t>
  </si>
  <si>
    <t>=IF($J259="Item",NL("first",$J259,"Description","No.","@@"&amp;$K259),"")</t>
  </si>
  <si>
    <t>=D262</t>
  </si>
  <si>
    <t>=NF($G263,"Posting Date")</t>
  </si>
  <si>
    <t>=NF($G263,"Entry No.")</t>
  </si>
  <si>
    <t>=NF(G263,"Source Type")</t>
  </si>
  <si>
    <t>=NF($G263,"Source No.")</t>
  </si>
  <si>
    <t>=IF($J263="Customer",NL("first",$J263,"Name","No.","@@"&amp;$K263),"")</t>
  </si>
  <si>
    <t>=IF(J263="vendor",NL("first",J263,"Name","No.","@@"&amp;K263),"")</t>
  </si>
  <si>
    <t>=IF($J263="Item",NL("first",$J263,"Description","No.","@@"&amp;$K263),"")</t>
  </si>
  <si>
    <t>=D263</t>
  </si>
  <si>
    <t>=NF($G264,"Posting Date")</t>
  </si>
  <si>
    <t>=NF($G264,"Entry No.")</t>
  </si>
  <si>
    <t>=NF(G264,"Source Type")</t>
  </si>
  <si>
    <t>=NF($G264,"Source No.")</t>
  </si>
  <si>
    <t>=IF($J264="Customer",NL("first",$J264,"Name","No.","@@"&amp;$K264),"")</t>
  </si>
  <si>
    <t>=IF(J264="vendor",NL("first",J264,"Name","No.","@@"&amp;K264),"")</t>
  </si>
  <si>
    <t>=IF($J264="Item",NL("first",$J264,"Description","No.","@@"&amp;$K264),"")</t>
  </si>
  <si>
    <t>=D264</t>
  </si>
  <si>
    <t>=NF($G265,"Posting Date")</t>
  </si>
  <si>
    <t>=NF($G265,"Entry No.")</t>
  </si>
  <si>
    <t>=NF(G265,"Source Type")</t>
  </si>
  <si>
    <t>=NF($G265,"Source No.")</t>
  </si>
  <si>
    <t>=IF($J265="Customer",NL("first",$J265,"Name","No.","@@"&amp;$K265),"")</t>
  </si>
  <si>
    <t>=IF(J265="vendor",NL("first",J265,"Name","No.","@@"&amp;K265),"")</t>
  </si>
  <si>
    <t>=IF($J265="Item",NL("first",$J265,"Description","No.","@@"&amp;$K265),"")</t>
  </si>
  <si>
    <t>=D271</t>
  </si>
  <si>
    <t>=NF($G272,"Posting Date")</t>
  </si>
  <si>
    <t>=NF($G272,"Entry No.")</t>
  </si>
  <si>
    <t>=NF(G272,"Source Type")</t>
  </si>
  <si>
    <t>=NF($G272,"Source No.")</t>
  </si>
  <si>
    <t>=IF($J272="Customer",NL("first",$J272,"Name","No.","@@"&amp;$K272),"")</t>
  </si>
  <si>
    <t>=IF(J272="vendor",NL("first",J272,"Name","No.","@@"&amp;K272),"")</t>
  </si>
  <si>
    <t>=IF($J272="Item",NL("first",$J272,"Description","No.","@@"&amp;$K272),"")</t>
  </si>
  <si>
    <t>=D272</t>
  </si>
  <si>
    <t>=NF($G273,"Posting Date")</t>
  </si>
  <si>
    <t>=NF($G273,"Entry No.")</t>
  </si>
  <si>
    <t>=NF(G273,"Source Type")</t>
  </si>
  <si>
    <t>=NF($G273,"Source No.")</t>
  </si>
  <si>
    <t>=IF($J273="Customer",NL("first",$J273,"Name","No.","@@"&amp;$K273),"")</t>
  </si>
  <si>
    <t>=IF(J273="vendor",NL("first",J273,"Name","No.","@@"&amp;K273),"")</t>
  </si>
  <si>
    <t>=IF($J273="Item",NL("first",$J273,"Description","No.","@@"&amp;$K273),"")</t>
  </si>
  <si>
    <t>=D274</t>
  </si>
  <si>
    <t>=NF($G275,"Posting Date")</t>
  </si>
  <si>
    <t>=NF($G275,"Entry No.")</t>
  </si>
  <si>
    <t>=NF(G275,"Source Type")</t>
  </si>
  <si>
    <t>=NF($G275,"Source No.")</t>
  </si>
  <si>
    <t>=IF($J275="Customer",NL("first",$J275,"Name","No.","@@"&amp;$K275),"")</t>
  </si>
  <si>
    <t>=IF(J275="vendor",NL("first",J275,"Name","No.","@@"&amp;K275),"")</t>
  </si>
  <si>
    <t>=IF($J275="Item",NL("first",$J275,"Description","No.","@@"&amp;$K275),"")</t>
  </si>
  <si>
    <t>=D275</t>
  </si>
  <si>
    <t>=NF($G276,"Posting Date")</t>
  </si>
  <si>
    <t>=NF($G276,"Entry No.")</t>
  </si>
  <si>
    <t>=NF(G276,"Source Type")</t>
  </si>
  <si>
    <t>=NF($G276,"Source No.")</t>
  </si>
  <si>
    <t>=IF($J276="Customer",NL("first",$J276,"Name","No.","@@"&amp;$K276),"")</t>
  </si>
  <si>
    <t>=IF(J276="vendor",NL("first",J276,"Name","No.","@@"&amp;K276),"")</t>
  </si>
  <si>
    <t>=IF($J276="Item",NL("first",$J276,"Description","No.","@@"&amp;$K276),"")</t>
  </si>
  <si>
    <t>=D276</t>
  </si>
  <si>
    <t>=NF($G277,"Posting Date")</t>
  </si>
  <si>
    <t>=NF($G277,"Entry No.")</t>
  </si>
  <si>
    <t>=NF(G277,"Source Type")</t>
  </si>
  <si>
    <t>=NF($G277,"Source No.")</t>
  </si>
  <si>
    <t>=IF($J277="Customer",NL("first",$J277,"Name","No.","@@"&amp;$K277),"")</t>
  </si>
  <si>
    <t>=IF(J277="vendor",NL("first",J277,"Name","No.","@@"&amp;K277),"")</t>
  </si>
  <si>
    <t>=IF($J277="Item",NL("first",$J277,"Description","No.","@@"&amp;$K277),"")</t>
  </si>
  <si>
    <t>=D286</t>
  </si>
  <si>
    <t>=NF($G287,"Posting Date")</t>
  </si>
  <si>
    <t>=NF($G287,"Entry No.")</t>
  </si>
  <si>
    <t>=NF(G287,"Source Type")</t>
  </si>
  <si>
    <t>=NF($G287,"Source No.")</t>
  </si>
  <si>
    <t>=IF($J287="Customer",NL("first",$J287,"Name","No.","@@"&amp;$K287),"")</t>
  </si>
  <si>
    <t>=IF(J287="vendor",NL("first",J287,"Name","No.","@@"&amp;K287),"")</t>
  </si>
  <si>
    <t>=IF($J287="Item",NL("first",$J287,"Description","No.","@@"&amp;$K287),"")</t>
  </si>
  <si>
    <t>=D287</t>
  </si>
  <si>
    <t>=NF($G288,"Posting Date")</t>
  </si>
  <si>
    <t>=NF($G288,"Entry No.")</t>
  </si>
  <si>
    <t>=NF(G288,"Source Type")</t>
  </si>
  <si>
    <t>=NF($G288,"Source No.")</t>
  </si>
  <si>
    <t>=IF($J288="Customer",NL("first",$J288,"Name","No.","@@"&amp;$K288),"")</t>
  </si>
  <si>
    <t>=IF(J288="vendor",NL("first",J288,"Name","No.","@@"&amp;K288),"")</t>
  </si>
  <si>
    <t>=IF($J288="Item",NL("first",$J288,"Description","No.","@@"&amp;$K288),"")</t>
  </si>
  <si>
    <t>=D288</t>
  </si>
  <si>
    <t>=NF($G289,"Posting Date")</t>
  </si>
  <si>
    <t>=NF($G289,"Entry No.")</t>
  </si>
  <si>
    <t>=NF(G289,"Source Type")</t>
  </si>
  <si>
    <t>=NF($G289,"Source No.")</t>
  </si>
  <si>
    <t>=IF($J289="Customer",NL("first",$J289,"Name","No.","@@"&amp;$K289),"")</t>
  </si>
  <si>
    <t>=IF(J289="vendor",NL("first",J289,"Name","No.","@@"&amp;K289),"")</t>
  </si>
  <si>
    <t>=IF($J289="Item",NL("first",$J289,"Description","No.","@@"&amp;$K289),"")</t>
  </si>
  <si>
    <t>=D292</t>
  </si>
  <si>
    <t>=NF($G293,"Posting Date")</t>
  </si>
  <si>
    <t>=NF($G293,"Entry No.")</t>
  </si>
  <si>
    <t>=NF(G293,"Source Type")</t>
  </si>
  <si>
    <t>=NF($G293,"Source No.")</t>
  </si>
  <si>
    <t>=IF($J293="Customer",NL("first",$J293,"Name","No.","@@"&amp;$K293),"")</t>
  </si>
  <si>
    <t>=IF(J293="vendor",NL("first",J293,"Name","No.","@@"&amp;K293),"")</t>
  </si>
  <si>
    <t>=IF($J293="Item",NL("first",$J293,"Description","No.","@@"&amp;$K293),"")</t>
  </si>
  <si>
    <t>=D293</t>
  </si>
  <si>
    <t>=NF($G294,"Posting Date")</t>
  </si>
  <si>
    <t>=NF($G294,"Entry No.")</t>
  </si>
  <si>
    <t>=NF(G294,"Source Type")</t>
  </si>
  <si>
    <t>=NF($G294,"Source No.")</t>
  </si>
  <si>
    <t>=IF($J294="Customer",NL("first",$J294,"Name","No.","@@"&amp;$K294),"")</t>
  </si>
  <si>
    <t>=IF(J294="vendor",NL("first",J294,"Name","No.","@@"&amp;K294),"")</t>
  </si>
  <si>
    <t>=IF($J294="Item",NL("first",$J294,"Description","No.","@@"&amp;$K294),"")</t>
  </si>
  <si>
    <t>=D297</t>
  </si>
  <si>
    <t>=NF($G298,"Posting Date")</t>
  </si>
  <si>
    <t>=NF($G298,"Entry No.")</t>
  </si>
  <si>
    <t>=NF(G298,"Source Type")</t>
  </si>
  <si>
    <t>=NF($G298,"Source No.")</t>
  </si>
  <si>
    <t>=IF($J298="Customer",NL("first",$J298,"Name","No.","@@"&amp;$K298),"")</t>
  </si>
  <si>
    <t>=IF(J298="vendor",NL("first",J298,"Name","No.","@@"&amp;K298),"")</t>
  </si>
  <si>
    <t>=IF($J298="Item",NL("first",$J298,"Description","No.","@@"&amp;$K298),"")</t>
  </si>
  <si>
    <t>=D302</t>
  </si>
  <si>
    <t>=NF($G303,"Posting Date")</t>
  </si>
  <si>
    <t>=NF($G303,"Entry No.")</t>
  </si>
  <si>
    <t>=NF(G303,"Source Type")</t>
  </si>
  <si>
    <t>=NF($G303,"Source No.")</t>
  </si>
  <si>
    <t>=IF($J303="Customer",NL("first",$J303,"Name","No.","@@"&amp;$K303),"")</t>
  </si>
  <si>
    <t>=IF(J303="vendor",NL("first",J303,"Name","No.","@@"&amp;K303),"")</t>
  </si>
  <si>
    <t>=IF($J303="Item",NL("first",$J303,"Description","No.","@@"&amp;$K303),"")</t>
  </si>
  <si>
    <t>=D303</t>
  </si>
  <si>
    <t>=NF($G304,"Posting Date")</t>
  </si>
  <si>
    <t>=NF($G304,"Entry No.")</t>
  </si>
  <si>
    <t>=NF(G304,"Source Type")</t>
  </si>
  <si>
    <t>=NF($G304,"Source No.")</t>
  </si>
  <si>
    <t>=IF($J304="Customer",NL("first",$J304,"Name","No.","@@"&amp;$K304),"")</t>
  </si>
  <si>
    <t>=IF(J304="vendor",NL("first",J304,"Name","No.","@@"&amp;K304),"")</t>
  </si>
  <si>
    <t>=IF($J304="Item",NL("first",$J304,"Description","No.","@@"&amp;$K304),"")</t>
  </si>
  <si>
    <t>=D304</t>
  </si>
  <si>
    <t>=NF($G305,"Posting Date")</t>
  </si>
  <si>
    <t>=NF($G305,"Entry No.")</t>
  </si>
  <si>
    <t>=NF(G305,"Source Type")</t>
  </si>
  <si>
    <t>=NF($G305,"Source No.")</t>
  </si>
  <si>
    <t>=IF($J305="Customer",NL("first",$J305,"Name","No.","@@"&amp;$K305),"")</t>
  </si>
  <si>
    <t>=IF(J305="vendor",NL("first",J305,"Name","No.","@@"&amp;K305),"")</t>
  </si>
  <si>
    <t>=IF($J305="Item",NL("first",$J305,"Description","No.","@@"&amp;$K305),"")</t>
  </si>
  <si>
    <t>=D308</t>
  </si>
  <si>
    <t>=NF($G309,"Posting Date")</t>
  </si>
  <si>
    <t>=NF($G309,"Entry No.")</t>
  </si>
  <si>
    <t>=NF(G309,"Source Type")</t>
  </si>
  <si>
    <t>=NF($G309,"Source No.")</t>
  </si>
  <si>
    <t>=IF($J309="Customer",NL("first",$J309,"Name","No.","@@"&amp;$K309),"")</t>
  </si>
  <si>
    <t>=IF(J309="vendor",NL("first",J309,"Name","No.","@@"&amp;K309),"")</t>
  </si>
  <si>
    <t>=IF($J309="Item",NL("first",$J309,"Description","No.","@@"&amp;$K309),"")</t>
  </si>
  <si>
    <t>=D309</t>
  </si>
  <si>
    <t>=NF($G310,"Posting Date")</t>
  </si>
  <si>
    <t>=NF($G310,"Entry No.")</t>
  </si>
  <si>
    <t>=NF(G310,"Source Type")</t>
  </si>
  <si>
    <t>=NF($G310,"Source No.")</t>
  </si>
  <si>
    <t>=IF($J310="Customer",NL("first",$J310,"Name","No.","@@"&amp;$K310),"")</t>
  </si>
  <si>
    <t>=IF(J310="vendor",NL("first",J310,"Name","No.","@@"&amp;K310),"")</t>
  </si>
  <si>
    <t>=IF($J310="Item",NL("first",$J310,"Description","No.","@@"&amp;$K310),"")</t>
  </si>
  <si>
    <t>=D315</t>
  </si>
  <si>
    <t>=NF($G316,"Posting Date")</t>
  </si>
  <si>
    <t>=NF($G316,"Entry No.")</t>
  </si>
  <si>
    <t>=NF(G316,"Source Type")</t>
  </si>
  <si>
    <t>=NF($G316,"Source No.")</t>
  </si>
  <si>
    <t>=IF($J316="Customer",NL("first",$J316,"Name","No.","@@"&amp;$K316),"")</t>
  </si>
  <si>
    <t>=IF(J316="vendor",NL("first",J316,"Name","No.","@@"&amp;K316),"")</t>
  </si>
  <si>
    <t>=IF($J316="Item",NL("first",$J316,"Description","No.","@@"&amp;$K316),"")</t>
  </si>
  <si>
    <t>=D316</t>
  </si>
  <si>
    <t>=NF($G317,"Posting Date")</t>
  </si>
  <si>
    <t>=NF($G317,"Entry No.")</t>
  </si>
  <si>
    <t>=NF(G317,"Source Type")</t>
  </si>
  <si>
    <t>=NF($G317,"Source No.")</t>
  </si>
  <si>
    <t>=IF($J317="Customer",NL("first",$J317,"Name","No.","@@"&amp;$K317),"")</t>
  </si>
  <si>
    <t>=IF(J317="vendor",NL("first",J317,"Name","No.","@@"&amp;K317),"")</t>
  </si>
  <si>
    <t>=IF($J317="Item",NL("first",$J317,"Description","No.","@@"&amp;$K317),"")</t>
  </si>
  <si>
    <t>=D320</t>
  </si>
  <si>
    <t>=NF($G321,"Posting Date")</t>
  </si>
  <si>
    <t>=NF($G321,"Entry No.")</t>
  </si>
  <si>
    <t>=NF(G321,"Source Type")</t>
  </si>
  <si>
    <t>=NF($G321,"Source No.")</t>
  </si>
  <si>
    <t>=IF($J321="Customer",NL("first",$J321,"Name","No.","@@"&amp;$K321),"")</t>
  </si>
  <si>
    <t>=IF(J321="vendor",NL("first",J321,"Name","No.","@@"&amp;K321),"")</t>
  </si>
  <si>
    <t>=IF($J321="Item",NL("first",$J321,"Description","No.","@@"&amp;$K321),"")</t>
  </si>
  <si>
    <t>=D321</t>
  </si>
  <si>
    <t>=NF($G322,"Posting Date")</t>
  </si>
  <si>
    <t>=NF($G322,"Entry No.")</t>
  </si>
  <si>
    <t>=NF(G322,"Source Type")</t>
  </si>
  <si>
    <t>=NF($G322,"Source No.")</t>
  </si>
  <si>
    <t>=IF($J322="Customer",NL("first",$J322,"Name","No.","@@"&amp;$K322),"")</t>
  </si>
  <si>
    <t>=IF(J322="vendor",NL("first",J322,"Name","No.","@@"&amp;K322),"")</t>
  </si>
  <si>
    <t>=IF($J322="Item",NL("first",$J322,"Description","No.","@@"&amp;$K322),"")</t>
  </si>
  <si>
    <t>=D325</t>
  </si>
  <si>
    <t>=NF($G326,"Posting Date")</t>
  </si>
  <si>
    <t>=NF($G326,"Entry No.")</t>
  </si>
  <si>
    <t>=NF(G326,"Source Type")</t>
  </si>
  <si>
    <t>=NF($G326,"Source No.")</t>
  </si>
  <si>
    <t>=IF($J326="Customer",NL("first",$J326,"Name","No.","@@"&amp;$K326),"")</t>
  </si>
  <si>
    <t>=IF(J326="vendor",NL("first",J326,"Name","No.","@@"&amp;K326),"")</t>
  </si>
  <si>
    <t>=IF($J326="Item",NL("first",$J326,"Description","No.","@@"&amp;$K326),"")</t>
  </si>
  <si>
    <t>=D329</t>
  </si>
  <si>
    <t>=NF($G330,"Posting Date")</t>
  </si>
  <si>
    <t>=NF($G330,"Entry No.")</t>
  </si>
  <si>
    <t>=NF(G330,"Source Type")</t>
  </si>
  <si>
    <t>=NF($G330,"Source No.")</t>
  </si>
  <si>
    <t>=IF($J330="Customer",NL("first",$J330,"Name","No.","@@"&amp;$K330),"")</t>
  </si>
  <si>
    <t>=IF(J330="vendor",NL("first",J330,"Name","No.","@@"&amp;K330),"")</t>
  </si>
  <si>
    <t>=IF($J330="Item",NL("first",$J330,"Description","No.","@@"&amp;$K330),"")</t>
  </si>
  <si>
    <t>=D330</t>
  </si>
  <si>
    <t>=NF($G331,"Posting Date")</t>
  </si>
  <si>
    <t>=NF($G331,"Entry No.")</t>
  </si>
  <si>
    <t>=NF(G331,"Source Type")</t>
  </si>
  <si>
    <t>=NF($G331,"Source No.")</t>
  </si>
  <si>
    <t>=IF($J331="Customer",NL("first",$J331,"Name","No.","@@"&amp;$K331),"")</t>
  </si>
  <si>
    <t>=IF(J331="vendor",NL("first",J331,"Name","No.","@@"&amp;K331),"")</t>
  </si>
  <si>
    <t>=IF($J331="Item",NL("first",$J331,"Description","No.","@@"&amp;$K331),"")</t>
  </si>
  <si>
    <t>=D331</t>
  </si>
  <si>
    <t>=NF($G332,"Posting Date")</t>
  </si>
  <si>
    <t>=NF($G332,"Entry No.")</t>
  </si>
  <si>
    <t>=NF(G332,"Source Type")</t>
  </si>
  <si>
    <t>=NF($G332,"Source No.")</t>
  </si>
  <si>
    <t>=IF($J332="Customer",NL("first",$J332,"Name","No.","@@"&amp;$K332),"")</t>
  </si>
  <si>
    <t>=IF(J332="vendor",NL("first",J332,"Name","No.","@@"&amp;K332),"")</t>
  </si>
  <si>
    <t>=IF($J332="Item",NL("first",$J332,"Description","No.","@@"&amp;$K332),"")</t>
  </si>
  <si>
    <t>=D332</t>
  </si>
  <si>
    <t>=NF($G333,"Posting Date")</t>
  </si>
  <si>
    <t>=NF($G333,"Entry No.")</t>
  </si>
  <si>
    <t>=NF(G333,"Source Type")</t>
  </si>
  <si>
    <t>=NF($G333,"Source No.")</t>
  </si>
  <si>
    <t>=IF($J333="Customer",NL("first",$J333,"Name","No.","@@"&amp;$K333),"")</t>
  </si>
  <si>
    <t>=IF(J333="vendor",NL("first",J333,"Name","No.","@@"&amp;K333),"")</t>
  </si>
  <si>
    <t>=IF($J333="Item",NL("first",$J333,"Description","No.","@@"&amp;$K333),"")</t>
  </si>
  <si>
    <t>=D333</t>
  </si>
  <si>
    <t>=NF($G334,"Posting Date")</t>
  </si>
  <si>
    <t>=NF($G334,"Entry No.")</t>
  </si>
  <si>
    <t>=NF(G334,"Source Type")</t>
  </si>
  <si>
    <t>=NF($G334,"Source No.")</t>
  </si>
  <si>
    <t>=IF($J334="Customer",NL("first",$J334,"Name","No.","@@"&amp;$K334),"")</t>
  </si>
  <si>
    <t>=IF(J334="vendor",NL("first",J334,"Name","No.","@@"&amp;K334),"")</t>
  </si>
  <si>
    <t>=IF($J334="Item",NL("first",$J334,"Description","No.","@@"&amp;$K334),"")</t>
  </si>
  <si>
    <t>=D339</t>
  </si>
  <si>
    <t>=NF($G340,"Posting Date")</t>
  </si>
  <si>
    <t>=NF($G340,"Entry No.")</t>
  </si>
  <si>
    <t>=NF(G340,"Source Type")</t>
  </si>
  <si>
    <t>=NF($G340,"Source No.")</t>
  </si>
  <si>
    <t>=IF($J340="Customer",NL("first",$J340,"Name","No.","@@"&amp;$K340),"")</t>
  </si>
  <si>
    <t>=IF(J340="vendor",NL("first",J340,"Name","No.","@@"&amp;K340),"")</t>
  </si>
  <si>
    <t>=IF($J340="Item",NL("first",$J340,"Description","No.","@@"&amp;$K340),"")</t>
  </si>
  <si>
    <t>=D340</t>
  </si>
  <si>
    <t>=NF($G341,"Posting Date")</t>
  </si>
  <si>
    <t>=NF($G341,"Entry No.")</t>
  </si>
  <si>
    <t>=NF(G341,"Source Type")</t>
  </si>
  <si>
    <t>=NF($G341,"Source No.")</t>
  </si>
  <si>
    <t>=IF($J341="Customer",NL("first",$J341,"Name","No.","@@"&amp;$K341),"")</t>
  </si>
  <si>
    <t>=IF(J341="vendor",NL("first",J341,"Name","No.","@@"&amp;K341),"")</t>
  </si>
  <si>
    <t>=IF($J341="Item",NL("first",$J341,"Description","No.","@@"&amp;$K341),"")</t>
  </si>
  <si>
    <t>=D341</t>
  </si>
  <si>
    <t>=NF($G342,"Posting Date")</t>
  </si>
  <si>
    <t>=NF($G342,"Entry No.")</t>
  </si>
  <si>
    <t>=NF(G342,"Source Type")</t>
  </si>
  <si>
    <t>=NF($G342,"Source No.")</t>
  </si>
  <si>
    <t>=IF($J342="Customer",NL("first",$J342,"Name","No.","@@"&amp;$K342),"")</t>
  </si>
  <si>
    <t>=IF(J342="vendor",NL("first",J342,"Name","No.","@@"&amp;K342),"")</t>
  </si>
  <si>
    <t>=IF($J342="Item",NL("first",$J342,"Description","No.","@@"&amp;$K342),"")</t>
  </si>
  <si>
    <t>=D342</t>
  </si>
  <si>
    <t>=NF($G343,"Posting Date")</t>
  </si>
  <si>
    <t>=NF($G343,"Entry No.")</t>
  </si>
  <si>
    <t>=NF(G343,"Source Type")</t>
  </si>
  <si>
    <t>=NF($G343,"Source No.")</t>
  </si>
  <si>
    <t>=IF($J343="Customer",NL("first",$J343,"Name","No.","@@"&amp;$K343),"")</t>
  </si>
  <si>
    <t>=IF(J343="vendor",NL("first",J343,"Name","No.","@@"&amp;K343),"")</t>
  </si>
  <si>
    <t>=IF($J343="Item",NL("first",$J343,"Description","No.","@@"&amp;$K343),"")</t>
  </si>
  <si>
    <t>=D343</t>
  </si>
  <si>
    <t>=NF($G344,"Posting Date")</t>
  </si>
  <si>
    <t>=NF($G344,"Entry No.")</t>
  </si>
  <si>
    <t>=NF(G344,"Source Type")</t>
  </si>
  <si>
    <t>=NF($G344,"Source No.")</t>
  </si>
  <si>
    <t>=IF($J344="Customer",NL("first",$J344,"Name","No.","@@"&amp;$K344),"")</t>
  </si>
  <si>
    <t>=IF(J344="vendor",NL("first",J344,"Name","No.","@@"&amp;K344),"")</t>
  </si>
  <si>
    <t>=IF($J344="Item",NL("first",$J344,"Description","No.","@@"&amp;$K344),"")</t>
  </si>
  <si>
    <t>=D349</t>
  </si>
  <si>
    <t>=NF($G350,"Posting Date")</t>
  </si>
  <si>
    <t>=NF($G350,"Entry No.")</t>
  </si>
  <si>
    <t>=NF(G350,"Source Type")</t>
  </si>
  <si>
    <t>=NF($G350,"Source No.")</t>
  </si>
  <si>
    <t>=IF($J350="Customer",NL("first",$J350,"Name","No.","@@"&amp;$K350),"")</t>
  </si>
  <si>
    <t>=IF(J350="vendor",NL("first",J350,"Name","No.","@@"&amp;K350),"")</t>
  </si>
  <si>
    <t>=IF($J350="Item",NL("first",$J350,"Description","No.","@@"&amp;$K350),"")</t>
  </si>
  <si>
    <t>=D350</t>
  </si>
  <si>
    <t>=NF($G351,"Posting Date")</t>
  </si>
  <si>
    <t>=NF($G351,"Entry No.")</t>
  </si>
  <si>
    <t>=NF(G351,"Source Type")</t>
  </si>
  <si>
    <t>=NF($G351,"Source No.")</t>
  </si>
  <si>
    <t>=IF($J351="Customer",NL("first",$J351,"Name","No.","@@"&amp;$K351),"")</t>
  </si>
  <si>
    <t>=IF(J351="vendor",NL("first",J351,"Name","No.","@@"&amp;K351),"")</t>
  </si>
  <si>
    <t>=IF($J351="Item",NL("first",$J351,"Description","No.","@@"&amp;$K351),"")</t>
  </si>
  <si>
    <t>=D354</t>
  </si>
  <si>
    <t>=NF($G355,"Posting Date")</t>
  </si>
  <si>
    <t>=NF($G355,"Entry No.")</t>
  </si>
  <si>
    <t>=NF(G355,"Source Type")</t>
  </si>
  <si>
    <t>=NF($G355,"Source No.")</t>
  </si>
  <si>
    <t>=IF($J355="Customer",NL("first",$J355,"Name","No.","@@"&amp;$K355),"")</t>
  </si>
  <si>
    <t>=IF(J355="vendor",NL("first",J355,"Name","No.","@@"&amp;K355),"")</t>
  </si>
  <si>
    <t>=IF($J355="Item",NL("first",$J355,"Description","No.","@@"&amp;$K355),"")</t>
  </si>
  <si>
    <t>=D355</t>
  </si>
  <si>
    <t>=NF($G356,"Posting Date")</t>
  </si>
  <si>
    <t>=NF($G356,"Entry No.")</t>
  </si>
  <si>
    <t>=NF(G356,"Source Type")</t>
  </si>
  <si>
    <t>=NF($G356,"Source No.")</t>
  </si>
  <si>
    <t>=IF($J356="Customer",NL("first",$J356,"Name","No.","@@"&amp;$K356),"")</t>
  </si>
  <si>
    <t>=IF(J356="vendor",NL("first",J356,"Name","No.","@@"&amp;K356),"")</t>
  </si>
  <si>
    <t>=IF($J356="Item",NL("first",$J356,"Description","No.","@@"&amp;$K356),"")</t>
  </si>
  <si>
    <t>=D356</t>
  </si>
  <si>
    <t>=NF($G357,"Posting Date")</t>
  </si>
  <si>
    <t>=NF($G357,"Entry No.")</t>
  </si>
  <si>
    <t>=NF(G357,"Source Type")</t>
  </si>
  <si>
    <t>=NF($G357,"Source No.")</t>
  </si>
  <si>
    <t>=IF($J357="Customer",NL("first",$J357,"Name","No.","@@"&amp;$K357),"")</t>
  </si>
  <si>
    <t>=IF(J357="vendor",NL("first",J357,"Name","No.","@@"&amp;K357),"")</t>
  </si>
  <si>
    <t>=IF($J357="Item",NL("first",$J357,"Description","No.","@@"&amp;$K357),"")</t>
  </si>
  <si>
    <t>=D357</t>
  </si>
  <si>
    <t>=NF($G358,"Posting Date")</t>
  </si>
  <si>
    <t>=NF($G358,"Entry No.")</t>
  </si>
  <si>
    <t>=NF(G358,"Source Type")</t>
  </si>
  <si>
    <t>=NF($G358,"Source No.")</t>
  </si>
  <si>
    <t>=IF($J358="Customer",NL("first",$J358,"Name","No.","@@"&amp;$K358),"")</t>
  </si>
  <si>
    <t>=IF(J358="vendor",NL("first",J358,"Name","No.","@@"&amp;K358),"")</t>
  </si>
  <si>
    <t>=IF($J358="Item",NL("first",$J358,"Description","No.","@@"&amp;$K358),"")</t>
  </si>
  <si>
    <t>=D362</t>
  </si>
  <si>
    <t>=NF($G363,"Posting Date")</t>
  </si>
  <si>
    <t>=NF($G363,"Entry No.")</t>
  </si>
  <si>
    <t>=NF(G363,"Source Type")</t>
  </si>
  <si>
    <t>=NF($G363,"Source No.")</t>
  </si>
  <si>
    <t>=IF($J363="Customer",NL("first",$J363,"Name","No.","@@"&amp;$K363),"")</t>
  </si>
  <si>
    <t>=IF(J363="vendor",NL("first",J363,"Name","No.","@@"&amp;K363),"")</t>
  </si>
  <si>
    <t>=IF($J363="Item",NL("first",$J363,"Description","No.","@@"&amp;$K363),"")</t>
  </si>
  <si>
    <t>=D363</t>
  </si>
  <si>
    <t>=NF($G364,"Posting Date")</t>
  </si>
  <si>
    <t>=NF($G364,"Entry No.")</t>
  </si>
  <si>
    <t>=NF(G364,"Source Type")</t>
  </si>
  <si>
    <t>=NF($G364,"Source No.")</t>
  </si>
  <si>
    <t>=IF($J364="Customer",NL("first",$J364,"Name","No.","@@"&amp;$K364),"")</t>
  </si>
  <si>
    <t>=IF(J364="vendor",NL("first",J364,"Name","No.","@@"&amp;K364),"")</t>
  </si>
  <si>
    <t>=IF($J364="Item",NL("first",$J364,"Description","No.","@@"&amp;$K364),"")</t>
  </si>
  <si>
    <t>=D364</t>
  </si>
  <si>
    <t>=NF($G365,"Posting Date")</t>
  </si>
  <si>
    <t>=NF($G365,"Entry No.")</t>
  </si>
  <si>
    <t>=NF(G365,"Source Type")</t>
  </si>
  <si>
    <t>=NF($G365,"Source No.")</t>
  </si>
  <si>
    <t>=IF($J365="Customer",NL("first",$J365,"Name","No.","@@"&amp;$K365),"")</t>
  </si>
  <si>
    <t>=IF(J365="vendor",NL("first",J365,"Name","No.","@@"&amp;K365),"")</t>
  </si>
  <si>
    <t>=IF($J365="Item",NL("first",$J365,"Description","No.","@@"&amp;$K365),"")</t>
  </si>
  <si>
    <t>=D365</t>
  </si>
  <si>
    <t>=NF($G366,"Posting Date")</t>
  </si>
  <si>
    <t>=NF($G366,"Entry No.")</t>
  </si>
  <si>
    <t>=NF(G366,"Source Type")</t>
  </si>
  <si>
    <t>=NF($G366,"Source No.")</t>
  </si>
  <si>
    <t>=IF($J366="Customer",NL("first",$J366,"Name","No.","@@"&amp;$K366),"")</t>
  </si>
  <si>
    <t>=IF(J366="vendor",NL("first",J366,"Name","No.","@@"&amp;K366),"")</t>
  </si>
  <si>
    <t>=IF($J366="Item",NL("first",$J366,"Description","No.","@@"&amp;$K366),"")</t>
  </si>
  <si>
    <t>=D366</t>
  </si>
  <si>
    <t>=NF($G367,"Posting Date")</t>
  </si>
  <si>
    <t>=NF($G367,"Entry No.")</t>
  </si>
  <si>
    <t>=NF(G367,"Source Type")</t>
  </si>
  <si>
    <t>=NF($G367,"Source No.")</t>
  </si>
  <si>
    <t>=IF($J367="Customer",NL("first",$J367,"Name","No.","@@"&amp;$K367),"")</t>
  </si>
  <si>
    <t>=IF(J367="vendor",NL("first",J367,"Name","No.","@@"&amp;K367),"")</t>
  </si>
  <si>
    <t>=IF($J367="Item",NL("first",$J367,"Description","No.","@@"&amp;$K367),"")</t>
  </si>
  <si>
    <t>=D370</t>
  </si>
  <si>
    <t>=NF($G371,"Posting Date")</t>
  </si>
  <si>
    <t>=NF($G371,"Entry No.")</t>
  </si>
  <si>
    <t>=NF(G371,"Source Type")</t>
  </si>
  <si>
    <t>=NF($G371,"Source No.")</t>
  </si>
  <si>
    <t>=IF($J371="Customer",NL("first",$J371,"Name","No.","@@"&amp;$K371),"")</t>
  </si>
  <si>
    <t>=IF(J371="vendor",NL("first",J371,"Name","No.","@@"&amp;K371),"")</t>
  </si>
  <si>
    <t>=IF($J371="Item",NL("first",$J371,"Description","No.","@@"&amp;$K371),"")</t>
  </si>
  <si>
    <t>=D377</t>
  </si>
  <si>
    <t>=NF($G378,"Posting Date")</t>
  </si>
  <si>
    <t>=NF($G378,"Entry No.")</t>
  </si>
  <si>
    <t>=NF(G378,"Source Type")</t>
  </si>
  <si>
    <t>=NF($G378,"Source No.")</t>
  </si>
  <si>
    <t>=IF($J378="Customer",NL("first",$J378,"Name","No.","@@"&amp;$K378),"")</t>
  </si>
  <si>
    <t>=IF(J378="vendor",NL("first",J378,"Name","No.","@@"&amp;K378),"")</t>
  </si>
  <si>
    <t>=IF($J378="Item",NL("first",$J378,"Description","No.","@@"&amp;$K378),"")</t>
  </si>
  <si>
    <t>=D378</t>
  </si>
  <si>
    <t>=NF($G379,"Posting Date")</t>
  </si>
  <si>
    <t>=NF($G379,"Entry No.")</t>
  </si>
  <si>
    <t>=NF(G379,"Source Type")</t>
  </si>
  <si>
    <t>=NF($G379,"Source No.")</t>
  </si>
  <si>
    <t>=IF($J379="Customer",NL("first",$J379,"Name","No.","@@"&amp;$K379),"")</t>
  </si>
  <si>
    <t>=IF(J379="vendor",NL("first",J379,"Name","No.","@@"&amp;K379),"")</t>
  </si>
  <si>
    <t>=IF($J379="Item",NL("first",$J379,"Description","No.","@@"&amp;$K379),"")</t>
  </si>
  <si>
    <t>=D379</t>
  </si>
  <si>
    <t>=NF($G380,"Posting Date")</t>
  </si>
  <si>
    <t>=NF($G380,"Entry No.")</t>
  </si>
  <si>
    <t>=NF(G380,"Source Type")</t>
  </si>
  <si>
    <t>=NF($G380,"Source No.")</t>
  </si>
  <si>
    <t>=IF($J380="Customer",NL("first",$J380,"Name","No.","@@"&amp;$K380),"")</t>
  </si>
  <si>
    <t>=IF(J380="vendor",NL("first",J380,"Name","No.","@@"&amp;K380),"")</t>
  </si>
  <si>
    <t>=IF($J380="Item",NL("first",$J380,"Description","No.","@@"&amp;$K380),"")</t>
  </si>
  <si>
    <t>=D380</t>
  </si>
  <si>
    <t>=NF($G381,"Posting Date")</t>
  </si>
  <si>
    <t>=NF($G381,"Entry No.")</t>
  </si>
  <si>
    <t>=NF(G381,"Source Type")</t>
  </si>
  <si>
    <t>=NF($G381,"Source No.")</t>
  </si>
  <si>
    <t>=IF($J381="Customer",NL("first",$J381,"Name","No.","@@"&amp;$K381),"")</t>
  </si>
  <si>
    <t>=IF(J381="vendor",NL("first",J381,"Name","No.","@@"&amp;K381),"")</t>
  </si>
  <si>
    <t>=IF($J381="Item",NL("first",$J381,"Description","No.","@@"&amp;$K381),"")</t>
  </si>
  <si>
    <t>=D381</t>
  </si>
  <si>
    <t>=NF($G382,"Posting Date")</t>
  </si>
  <si>
    <t>=NF($G382,"Entry No.")</t>
  </si>
  <si>
    <t>=NF(G382,"Source Type")</t>
  </si>
  <si>
    <t>=NF($G382,"Source No.")</t>
  </si>
  <si>
    <t>=IF($J382="Customer",NL("first",$J382,"Name","No.","@@"&amp;$K382),"")</t>
  </si>
  <si>
    <t>=IF(J382="vendor",NL("first",J382,"Name","No.","@@"&amp;K382),"")</t>
  </si>
  <si>
    <t>=IF($J382="Item",NL("first",$J382,"Description","No.","@@"&amp;$K382),"")</t>
  </si>
  <si>
    <t>=D382</t>
  </si>
  <si>
    <t>=NF($G383,"Posting Date")</t>
  </si>
  <si>
    <t>=NF($G383,"Entry No.")</t>
  </si>
  <si>
    <t>=NF(G383,"Source Type")</t>
  </si>
  <si>
    <t>=NF($G383,"Source No.")</t>
  </si>
  <si>
    <t>=IF($J383="Customer",NL("first",$J383,"Name","No.","@@"&amp;$K383),"")</t>
  </si>
  <si>
    <t>=IF(J383="vendor",NL("first",J383,"Name","No.","@@"&amp;K383),"")</t>
  </si>
  <si>
    <t>=IF($J383="Item",NL("first",$J383,"Description","No.","@@"&amp;$K383),"")</t>
  </si>
  <si>
    <t>=D383</t>
  </si>
  <si>
    <t>=NF($G384,"Posting Date")</t>
  </si>
  <si>
    <t>=NF($G384,"Entry No.")</t>
  </si>
  <si>
    <t>=NF(G384,"Source Type")</t>
  </si>
  <si>
    <t>=NF($G384,"Source No.")</t>
  </si>
  <si>
    <t>=IF($J384="Customer",NL("first",$J384,"Name","No.","@@"&amp;$K384),"")</t>
  </si>
  <si>
    <t>=IF(J384="vendor",NL("first",J384,"Name","No.","@@"&amp;K384),"")</t>
  </si>
  <si>
    <t>=IF($J384="Item",NL("first",$J384,"Description","No.","@@"&amp;$K384),"")</t>
  </si>
  <si>
    <t>=D384</t>
  </si>
  <si>
    <t>=NF($G385,"Posting Date")</t>
  </si>
  <si>
    <t>=NF($G385,"Entry No.")</t>
  </si>
  <si>
    <t>=NF(G385,"Source Type")</t>
  </si>
  <si>
    <t>=NF($G385,"Source No.")</t>
  </si>
  <si>
    <t>=IF($J385="Customer",NL("first",$J385,"Name","No.","@@"&amp;$K385),"")</t>
  </si>
  <si>
    <t>=IF(J385="vendor",NL("first",J385,"Name","No.","@@"&amp;K385),"")</t>
  </si>
  <si>
    <t>=IF($J385="Item",NL("first",$J385,"Description","No.","@@"&amp;$K385),"")</t>
  </si>
  <si>
    <t>=D385</t>
  </si>
  <si>
    <t>=NF($G386,"Posting Date")</t>
  </si>
  <si>
    <t>=NF($G386,"Entry No.")</t>
  </si>
  <si>
    <t>=NF(G386,"Source Type")</t>
  </si>
  <si>
    <t>=NF($G386,"Source No.")</t>
  </si>
  <si>
    <t>=IF($J386="Customer",NL("first",$J386,"Name","No.","@@"&amp;$K386),"")</t>
  </si>
  <si>
    <t>=IF(J386="vendor",NL("first",J386,"Name","No.","@@"&amp;K386),"")</t>
  </si>
  <si>
    <t>=IF($J386="Item",NL("first",$J386,"Description","No.","@@"&amp;$K386),"")</t>
  </si>
  <si>
    <t>=D390</t>
  </si>
  <si>
    <t>=NF($G391,"Posting Date")</t>
  </si>
  <si>
    <t>=NF($G391,"Entry No.")</t>
  </si>
  <si>
    <t>=NF(G391,"Source Type")</t>
  </si>
  <si>
    <t>=NF($G391,"Source No.")</t>
  </si>
  <si>
    <t>=IF($J391="Customer",NL("first",$J391,"Name","No.","@@"&amp;$K391),"")</t>
  </si>
  <si>
    <t>=IF(J391="vendor",NL("first",J391,"Name","No.","@@"&amp;K391),"")</t>
  </si>
  <si>
    <t>=IF($J391="Item",NL("first",$J391,"Description","No.","@@"&amp;$K391),"")</t>
  </si>
  <si>
    <t>=E394</t>
  </si>
  <si>
    <t>=NL("First","Item","Description","No.",$E394)</t>
  </si>
  <si>
    <t>=NL("First","Item","Base Unit of Measure","No.",$E394)</t>
  </si>
  <si>
    <t>=D394</t>
  </si>
  <si>
    <t>=NF($G395,"Posting Date")</t>
  </si>
  <si>
    <t>=NF($G395,"Entry No.")</t>
  </si>
  <si>
    <t>=NF(G395,"Source Type")</t>
  </si>
  <si>
    <t>=NF($G395,"Source No.")</t>
  </si>
  <si>
    <t>=IF($J395="Customer",NL("first",$J395,"Name","No.","@@"&amp;$K395),"")</t>
  </si>
  <si>
    <t>=IF(J395="vendor",NL("first",J395,"Name","No.","@@"&amp;K395),"")</t>
  </si>
  <si>
    <t>=IF($J395="Item",NL("first",$J395,"Description","No.","@@"&amp;$K395),"")</t>
  </si>
  <si>
    <t>=D395</t>
  </si>
  <si>
    <t>=NF($G396,"Posting Date")</t>
  </si>
  <si>
    <t>=NF($G396,"Entry No.")</t>
  </si>
  <si>
    <t>=NF(G396,"Source Type")</t>
  </si>
  <si>
    <t>=NF($G396,"Source No.")</t>
  </si>
  <si>
    <t>=IF($J396="Customer",NL("first",$J396,"Name","No.","@@"&amp;$K396),"")</t>
  </si>
  <si>
    <t>=IF(J396="vendor",NL("first",J396,"Name","No.","@@"&amp;K396),"")</t>
  </si>
  <si>
    <t>=IF($J396="Item",NL("first",$J396,"Description","No.","@@"&amp;$K396),"")</t>
  </si>
  <si>
    <t>=D402</t>
  </si>
  <si>
    <t>=NF($G403,"Posting Date")</t>
  </si>
  <si>
    <t>=NF($G403,"Entry No.")</t>
  </si>
  <si>
    <t>=NF(G403,"Source Type")</t>
  </si>
  <si>
    <t>=NF($G403,"Source No.")</t>
  </si>
  <si>
    <t>=IF($J403="Customer",NL("first",$J403,"Name","No.","@@"&amp;$K403),"")</t>
  </si>
  <si>
    <t>=IF(J403="vendor",NL("first",J403,"Name","No.","@@"&amp;K403),"")</t>
  </si>
  <si>
    <t>=IF($J403="Item",NL("first",$J403,"Description","No.","@@"&amp;$K403),"")</t>
  </si>
  <si>
    <t>=D414</t>
  </si>
  <si>
    <t>=NF($G415,"Posting Date")</t>
  </si>
  <si>
    <t>=NF($G415,"Entry No.")</t>
  </si>
  <si>
    <t>=NF(G415,"Source Type")</t>
  </si>
  <si>
    <t>=NF($G415,"Source No.")</t>
  </si>
  <si>
    <t>=IF($J415="Customer",NL("first",$J415,"Name","No.","@@"&amp;$K415),"")</t>
  </si>
  <si>
    <t>=IF(J415="vendor",NL("first",J415,"Name","No.","@@"&amp;K415),"")</t>
  </si>
  <si>
    <t>=IF($J415="Item",NL("first",$J415,"Description","No.","@@"&amp;$K415),"")</t>
  </si>
  <si>
    <t>=D424</t>
  </si>
  <si>
    <t>=NF($G425,"Posting Date")</t>
  </si>
  <si>
    <t>=NF($G425,"Entry No.")</t>
  </si>
  <si>
    <t>=NF(G425,"Source Type")</t>
  </si>
  <si>
    <t>=NF($G425,"Source No.")</t>
  </si>
  <si>
    <t>=IF($J425="Customer",NL("first",$J425,"Name","No.","@@"&amp;$K425),"")</t>
  </si>
  <si>
    <t>=IF(J425="vendor",NL("first",J425,"Name","No.","@@"&amp;K425),"")</t>
  </si>
  <si>
    <t>=IF($J425="Item",NL("first",$J425,"Description","No.","@@"&amp;$K425),"")</t>
  </si>
  <si>
    <t>=D425</t>
  </si>
  <si>
    <t>=NF($G426,"Posting Date")</t>
  </si>
  <si>
    <t>=NF($G426,"Entry No.")</t>
  </si>
  <si>
    <t>=NF(G426,"Source Type")</t>
  </si>
  <si>
    <t>=NF($G426,"Source No.")</t>
  </si>
  <si>
    <t>=IF($J426="Customer",NL("first",$J426,"Name","No.","@@"&amp;$K426),"")</t>
  </si>
  <si>
    <t>=IF(J426="vendor",NL("first",J426,"Name","No.","@@"&amp;K426),"")</t>
  </si>
  <si>
    <t>=IF($J426="Item",NL("first",$J426,"Description","No.","@@"&amp;$K426),"")</t>
  </si>
  <si>
    <t>=D426</t>
  </si>
  <si>
    <t>=NF($G427,"Posting Date")</t>
  </si>
  <si>
    <t>=NF($G427,"Entry No.")</t>
  </si>
  <si>
    <t>=NF(G427,"Source Type")</t>
  </si>
  <si>
    <t>=NF($G427,"Source No.")</t>
  </si>
  <si>
    <t>=IF($J427="Customer",NL("first",$J427,"Name","No.","@@"&amp;$K427),"")</t>
  </si>
  <si>
    <t>=IF(J427="vendor",NL("first",J427,"Name","No.","@@"&amp;K427),"")</t>
  </si>
  <si>
    <t>=IF($J427="Item",NL("first",$J427,"Description","No.","@@"&amp;$K427),"")</t>
  </si>
  <si>
    <t>=D435</t>
  </si>
  <si>
    <t>=NF($G436,"Posting Date")</t>
  </si>
  <si>
    <t>=NF($G436,"Entry No.")</t>
  </si>
  <si>
    <t>=NF(G436,"Source Type")</t>
  </si>
  <si>
    <t>=NF($G436,"Source No.")</t>
  </si>
  <si>
    <t>=IF($J436="Customer",NL("first",$J436,"Name","No.","@@"&amp;$K436),"")</t>
  </si>
  <si>
    <t>=IF(J436="vendor",NL("first",J436,"Name","No.","@@"&amp;K436),"")</t>
  </si>
  <si>
    <t>=IF($J436="Item",NL("first",$J436,"Description","No.","@@"&amp;$K436),"")</t>
  </si>
  <si>
    <t>=D438</t>
  </si>
  <si>
    <t>=NF($G439,"Posting Date")</t>
  </si>
  <si>
    <t>=NF($G439,"Entry No.")</t>
  </si>
  <si>
    <t>=NF(G439,"Source Type")</t>
  </si>
  <si>
    <t>=NF($G439,"Source No.")</t>
  </si>
  <si>
    <t>=IF($J439="Customer",NL("first",$J439,"Name","No.","@@"&amp;$K439),"")</t>
  </si>
  <si>
    <t>=IF(J439="vendor",NL("first",J439,"Name","No.","@@"&amp;K439),"")</t>
  </si>
  <si>
    <t>=IF($J439="Item",NL("first",$J439,"Description","No.","@@"&amp;$K439),"")</t>
  </si>
  <si>
    <t>=D451</t>
  </si>
  <si>
    <t>=NF($G452,"Posting Date")</t>
  </si>
  <si>
    <t>=NF($G452,"Entry No.")</t>
  </si>
  <si>
    <t>=NF(G452,"Source Type")</t>
  </si>
  <si>
    <t>=NF($G452,"Source No.")</t>
  </si>
  <si>
    <t>=IF($J452="Customer",NL("first",$J452,"Name","No.","@@"&amp;$K452),"")</t>
  </si>
  <si>
    <t>=IF(J452="vendor",NL("first",J452,"Name","No.","@@"&amp;K452),"")</t>
  </si>
  <si>
    <t>=IF($J452="Item",NL("first",$J452,"Description","No.","@@"&amp;$K452),"")</t>
  </si>
  <si>
    <t>=E22</t>
  </si>
  <si>
    <t>=NL("First","Item","Description","No.",$E22)</t>
  </si>
  <si>
    <t>=NL("First","Item","Base Unit of Measure","No.",$E22)</t>
  </si>
  <si>
    <t>=D22</t>
  </si>
  <si>
    <t>=NF($G23,"Posting Date")</t>
  </si>
  <si>
    <t>=NF($G23,"Entry No.")</t>
  </si>
  <si>
    <t>=NF(G23,"Source Type")</t>
  </si>
  <si>
    <t>=NF($G23,"Source No.")</t>
  </si>
  <si>
    <t>=IF($J23="Customer",NL("first",$J23,"Name","No.","@@"&amp;$K23),"")</t>
  </si>
  <si>
    <t>=IF(J23="vendor",NL("first",J23,"Name","No.","@@"&amp;K23),"")</t>
  </si>
  <si>
    <t>=IF($J23="Item",NL("first",$J23,"Description","No.","@@"&amp;$K23),"")</t>
  </si>
  <si>
    <t>=E26</t>
  </si>
  <si>
    <t>=NL("First","Item","Description","No.",$E26)</t>
  </si>
  <si>
    <t>=NL("First","Item","Base Unit of Measure","No.",$E26)</t>
  </si>
  <si>
    <t>=D30</t>
  </si>
  <si>
    <t>=NF($G31,"Posting Date")</t>
  </si>
  <si>
    <t>=NF($G31,"Entry No.")</t>
  </si>
  <si>
    <t>=NF(G31,"Source Type")</t>
  </si>
  <si>
    <t>=NF($G31,"Source No.")</t>
  </si>
  <si>
    <t>=IF($J31="Customer",NL("first",$J31,"Name","No.","@@"&amp;$K31),"")</t>
  </si>
  <si>
    <t>=IF(J31="vendor",NL("first",J31,"Name","No.","@@"&amp;K31),"")</t>
  </si>
  <si>
    <t>=IF($J31="Item",NL("first",$J31,"Description","No.","@@"&amp;$K31),"")</t>
  </si>
  <si>
    <t>=D38</t>
  </si>
  <si>
    <t>=NF($G39,"Posting Date")</t>
  </si>
  <si>
    <t>=NF($G39,"Entry No.")</t>
  </si>
  <si>
    <t>=NF(G39,"Source Type")</t>
  </si>
  <si>
    <t>=NF($G39,"Source No.")</t>
  </si>
  <si>
    <t>=IF($J39="Customer",NL("first",$J39,"Name","No.","@@"&amp;$K39),"")</t>
  </si>
  <si>
    <t>=IF(J39="vendor",NL("first",J39,"Name","No.","@@"&amp;K39),"")</t>
  </si>
  <si>
    <t>=IF($J39="Item",NL("first",$J39,"Description","No.","@@"&amp;$K39),"")</t>
  </si>
  <si>
    <t>=E42</t>
  </si>
  <si>
    <t>=NL("First","Item","Description","No.",$E42)</t>
  </si>
  <si>
    <t>=NL("First","Item","Base Unit of Measure","No.",$E42)</t>
  </si>
  <si>
    <t>=E58</t>
  </si>
  <si>
    <t>=NL("First","Item","Description","No.",$E58)</t>
  </si>
  <si>
    <t>=NL("First","Item","Base Unit of Measure","No.",$E58)</t>
  </si>
  <si>
    <t>=D58</t>
  </si>
  <si>
    <t>=NF($G59,"Posting Date")</t>
  </si>
  <si>
    <t>=NF($G59,"Entry No.")</t>
  </si>
  <si>
    <t>=NF(G59,"Source Type")</t>
  </si>
  <si>
    <t>=NF($G59,"Source No.")</t>
  </si>
  <si>
    <t>=IF($J59="Customer",NL("first",$J59,"Name","No.","@@"&amp;$K59),"")</t>
  </si>
  <si>
    <t>=IF(J59="vendor",NL("first",J59,"Name","No.","@@"&amp;K59),"")</t>
  </si>
  <si>
    <t>=IF($J59="Item",NL("first",$J59,"Description","No.","@@"&amp;$K59),"")</t>
  </si>
  <si>
    <t>=D66</t>
  </si>
  <si>
    <t>=NF($G67,"Posting Date")</t>
  </si>
  <si>
    <t>=NF($G67,"Entry No.")</t>
  </si>
  <si>
    <t>=NF(G67,"Source Type")</t>
  </si>
  <si>
    <t>=NF($G67,"Source No.")</t>
  </si>
  <si>
    <t>=IF($J67="Customer",NL("first",$J67,"Name","No.","@@"&amp;$K67),"")</t>
  </si>
  <si>
    <t>=IF(J67="vendor",NL("first",J67,"Name","No.","@@"&amp;K67),"")</t>
  </si>
  <si>
    <t>=IF($J67="Item",NL("first",$J67,"Description","No.","@@"&amp;$K67),"")</t>
  </si>
  <si>
    <t>=D79</t>
  </si>
  <si>
    <t>=NF($G80,"Posting Date")</t>
  </si>
  <si>
    <t>=NF($G80,"Entry No.")</t>
  </si>
  <si>
    <t>=NF(G80,"Source Type")</t>
  </si>
  <si>
    <t>=NF($G80,"Source No.")</t>
  </si>
  <si>
    <t>=IF($J80="Customer",NL("first",$J80,"Name","No.","@@"&amp;$K80),"")</t>
  </si>
  <si>
    <t>=IF(J80="vendor",NL("first",J80,"Name","No.","@@"&amp;K80),"")</t>
  </si>
  <si>
    <t>=IF($J80="Item",NL("first",$J80,"Description","No.","@@"&amp;$K80),"")</t>
  </si>
  <si>
    <t>=E83</t>
  </si>
  <si>
    <t>=NL("First","Item","Description","No.",$E83)</t>
  </si>
  <si>
    <t>=NL("First","Item","Base Unit of Measure","No.",$E83)</t>
  </si>
  <si>
    <t>=(SUBTOTAL(9,O84:O85))</t>
  </si>
  <si>
    <t>=(SUBTOTAL(9,P84:P85))</t>
  </si>
  <si>
    <t>=(SUBTOTAL(9,Q84:Q85))</t>
  </si>
  <si>
    <t>=(SUBTOTAL(9,R84:R85))</t>
  </si>
  <si>
    <t>=(SUBTOTAL(9,S84:S85))</t>
  </si>
  <si>
    <t>=(SUBTOTAL(9,T84:T85))</t>
  </si>
  <si>
    <t>=SUBTOTAL(9,O84:T85)</t>
  </si>
  <si>
    <t>=D91</t>
  </si>
  <si>
    <t>=NF($G92,"Posting Date")</t>
  </si>
  <si>
    <t>=NF($G92,"Entry No.")</t>
  </si>
  <si>
    <t>=NF(G92,"Source Type")</t>
  </si>
  <si>
    <t>=NF($G92,"Source No.")</t>
  </si>
  <si>
    <t>=IF($J92="Customer",NL("first",$J92,"Name","No.","@@"&amp;$K92),"")</t>
  </si>
  <si>
    <t>=IF(J92="vendor",NL("first",J92,"Name","No.","@@"&amp;K92),"")</t>
  </si>
  <si>
    <t>=IF($J92="Item",NL("first",$J92,"Description","No.","@@"&amp;$K92),"")</t>
  </si>
  <si>
    <t>=E95</t>
  </si>
  <si>
    <t>=NL("First","Item","Description","No.",$E95)</t>
  </si>
  <si>
    <t>=NL("First","Item","Base Unit of Measure","No.",$E95)</t>
  </si>
  <si>
    <t>=E100</t>
  </si>
  <si>
    <t>=NL("First","Item","Description","No.",$E100)</t>
  </si>
  <si>
    <t>=NL("First","Item","Base Unit of Measure","No.",$E100)</t>
  </si>
  <si>
    <t>=D100</t>
  </si>
  <si>
    <t>=NF($G101,"Posting Date")</t>
  </si>
  <si>
    <t>=NF($G101,"Entry No.")</t>
  </si>
  <si>
    <t>=NF(G101,"Source Type")</t>
  </si>
  <si>
    <t>=NF($G101,"Source No.")</t>
  </si>
  <si>
    <t>=IF($J101="Customer",NL("first",$J101,"Name","No.","@@"&amp;$K101),"")</t>
  </si>
  <si>
    <t>=IF(J101="vendor",NL("first",J101,"Name","No.","@@"&amp;K101),"")</t>
  </si>
  <si>
    <t>=IF($J101="Item",NL("first",$J101,"Description","No.","@@"&amp;$K101),"")</t>
  </si>
  <si>
    <t>=D116</t>
  </si>
  <si>
    <t>=NF($G117,"Posting Date")</t>
  </si>
  <si>
    <t>=NF($G117,"Entry No.")</t>
  </si>
  <si>
    <t>=NF(G117,"Source Type")</t>
  </si>
  <si>
    <t>=NF($G117,"Source No.")</t>
  </si>
  <si>
    <t>=IF($J117="Customer",NL("first",$J117,"Name","No.","@@"&amp;$K117),"")</t>
  </si>
  <si>
    <t>=IF(J117="vendor",NL("first",J117,"Name","No.","@@"&amp;K117),"")</t>
  </si>
  <si>
    <t>=IF($J117="Item",NL("first",$J117,"Description","No.","@@"&amp;$K117),"")</t>
  </si>
  <si>
    <t>=E132</t>
  </si>
  <si>
    <t>=NL("First","Item","Description","No.",$E132)</t>
  </si>
  <si>
    <t>=NL("First","Item","Base Unit of Measure","No.",$E132)</t>
  </si>
  <si>
    <t>=D132</t>
  </si>
  <si>
    <t>=NF($G133,"Posting Date")</t>
  </si>
  <si>
    <t>=NF($G133,"Entry No.")</t>
  </si>
  <si>
    <t>=NF(G133,"Source Type")</t>
  </si>
  <si>
    <t>=NF($G133,"Source No.")</t>
  </si>
  <si>
    <t>=IF($J133="Customer",NL("first",$J133,"Name","No.","@@"&amp;$K133),"")</t>
  </si>
  <si>
    <t>=IF(J133="vendor",NL("first",J133,"Name","No.","@@"&amp;K133),"")</t>
  </si>
  <si>
    <t>=IF($J133="Item",NL("first",$J133,"Description","No.","@@"&amp;$K133),"")</t>
  </si>
  <si>
    <t>=D141</t>
  </si>
  <si>
    <t>=NF($G142,"Posting Date")</t>
  </si>
  <si>
    <t>=NF($G142,"Entry No.")</t>
  </si>
  <si>
    <t>=NF(G142,"Source Type")</t>
  </si>
  <si>
    <t>=NF($G142,"Source No.")</t>
  </si>
  <si>
    <t>=IF($J142="Customer",NL("first",$J142,"Name","No.","@@"&amp;$K142),"")</t>
  </si>
  <si>
    <t>=IF(J142="vendor",NL("first",J142,"Name","No.","@@"&amp;K142),"")</t>
  </si>
  <si>
    <t>=IF($J142="Item",NL("first",$J142,"Description","No.","@@"&amp;$K142),"")</t>
  </si>
  <si>
    <t>=D174</t>
  </si>
  <si>
    <t>=NF($G175,"Posting Date")</t>
  </si>
  <si>
    <t>=NF($G175,"Entry No.")</t>
  </si>
  <si>
    <t>=NF(G175,"Source Type")</t>
  </si>
  <si>
    <t>=NF($G175,"Source No.")</t>
  </si>
  <si>
    <t>=IF($J175="Customer",NL("first",$J175,"Name","No.","@@"&amp;$K175),"")</t>
  </si>
  <si>
    <t>=IF(J175="vendor",NL("first",J175,"Name","No.","@@"&amp;K175),"")</t>
  </si>
  <si>
    <t>=IF($J175="Item",NL("first",$J175,"Description","No.","@@"&amp;$K175),"")</t>
  </si>
  <si>
    <t>=E178</t>
  </si>
  <si>
    <t>=NL("First","Item","Description","No.",$E178)</t>
  </si>
  <si>
    <t>=NL("First","Item","Base Unit of Measure","No.",$E178)</t>
  </si>
  <si>
    <t>=E182</t>
  </si>
  <si>
    <t>=NL("First","Item","Description","No.",$E182)</t>
  </si>
  <si>
    <t>=NL("First","Item","Base Unit of Measure","No.",$E182)</t>
  </si>
  <si>
    <t>=D186</t>
  </si>
  <si>
    <t>=NF($G187,"Posting Date")</t>
  </si>
  <si>
    <t>=NF($G187,"Entry No.")</t>
  </si>
  <si>
    <t>=NF(G187,"Source Type")</t>
  </si>
  <si>
    <t>=NF($G187,"Source No.")</t>
  </si>
  <si>
    <t>=IF($J187="Customer",NL("first",$J187,"Name","No.","@@"&amp;$K187),"")</t>
  </si>
  <si>
    <t>=IF(J187="vendor",NL("first",J187,"Name","No.","@@"&amp;K187),"")</t>
  </si>
  <si>
    <t>=IF($J187="Item",NL("first",$J187,"Description","No.","@@"&amp;$K187),"")</t>
  </si>
  <si>
    <t>=E190</t>
  </si>
  <si>
    <t>=NL("First","Item","Description","No.",$E190)</t>
  </si>
  <si>
    <t>=NL("First","Item","Base Unit of Measure","No.",$E190)</t>
  </si>
  <si>
    <t>=D194</t>
  </si>
  <si>
    <t>=NF($G195,"Posting Date")</t>
  </si>
  <si>
    <t>=NF($G195,"Entry No.")</t>
  </si>
  <si>
    <t>=NF(G195,"Source Type")</t>
  </si>
  <si>
    <t>=NF($G195,"Source No.")</t>
  </si>
  <si>
    <t>=IF($J195="Customer",NL("first",$J195,"Name","No.","@@"&amp;$K195),"")</t>
  </si>
  <si>
    <t>=IF(J195="vendor",NL("first",J195,"Name","No.","@@"&amp;K195),"")</t>
  </si>
  <si>
    <t>=IF($J195="Item",NL("first",$J195,"Description","No.","@@"&amp;$K195),"")</t>
  </si>
  <si>
    <t>=D31</t>
  </si>
  <si>
    <t>=NF($G32,"Posting Date")</t>
  </si>
  <si>
    <t>=NF($G32,"Entry No.")</t>
  </si>
  <si>
    <t>=NF(G32,"Source Type")</t>
  </si>
  <si>
    <t>=NF($G32,"Source No.")</t>
  </si>
  <si>
    <t>=IF($J32="Customer",NL("first",$J32,"Name","No.","@@"&amp;$K32),"")</t>
  </si>
  <si>
    <t>=IF(J32="vendor",NL("first",J32,"Name","No.","@@"&amp;K32),"")</t>
  </si>
  <si>
    <t>=IF($J32="Item",NL("first",$J32,"Description","No.","@@"&amp;$K32),"")</t>
  </si>
  <si>
    <t>=E35</t>
  </si>
  <si>
    <t>=NL("First","Item","Description","No.",$E35)</t>
  </si>
  <si>
    <t>=NL("First","Item","Base Unit of Measure","No.",$E35)</t>
  </si>
  <si>
    <t>=D39</t>
  </si>
  <si>
    <t>=NF($G40,"Posting Date")</t>
  </si>
  <si>
    <t>=NF($G40,"Entry No.")</t>
  </si>
  <si>
    <t>=NF(G40,"Source Type")</t>
  </si>
  <si>
    <t>=NF($G40,"Source No.")</t>
  </si>
  <si>
    <t>=IF($J40="Customer",NL("first",$J40,"Name","No.","@@"&amp;$K40),"")</t>
  </si>
  <si>
    <t>=IF(J40="vendor",NL("first",J40,"Name","No.","@@"&amp;K40),"")</t>
  </si>
  <si>
    <t>=IF($J40="Item",NL("first",$J40,"Description","No.","@@"&amp;$K40),"")</t>
  </si>
  <si>
    <t>=D43</t>
  </si>
  <si>
    <t>=NF($G44,"Posting Date")</t>
  </si>
  <si>
    <t>=NF($G44,"Entry No.")</t>
  </si>
  <si>
    <t>=NF(G44,"Source Type")</t>
  </si>
  <si>
    <t>=NF($G44,"Source No.")</t>
  </si>
  <si>
    <t>=IF($J44="Customer",NL("first",$J44,"Name","No.","@@"&amp;$K44),"")</t>
  </si>
  <si>
    <t>=IF(J44="vendor",NL("first",J44,"Name","No.","@@"&amp;K44),"")</t>
  </si>
  <si>
    <t>=IF($J44="Item",NL("first",$J44,"Description","No.","@@"&amp;$K44),"")</t>
  </si>
  <si>
    <t>=D44</t>
  </si>
  <si>
    <t>=NF($G45,"Posting Date")</t>
  </si>
  <si>
    <t>=NF($G45,"Entry No.")</t>
  </si>
  <si>
    <t>=NF(G45,"Source Type")</t>
  </si>
  <si>
    <t>=NF($G45,"Source No.")</t>
  </si>
  <si>
    <t>=IF($J45="Customer",NL("first",$J45,"Name","No.","@@"&amp;$K45),"")</t>
  </si>
  <si>
    <t>=IF(J45="vendor",NL("first",J45,"Name","No.","@@"&amp;K45),"")</t>
  </si>
  <si>
    <t>=IF($J45="Item",NL("first",$J45,"Description","No.","@@"&amp;$K45),"")</t>
  </si>
  <si>
    <t>=E48</t>
  </si>
  <si>
    <t>=NL("First","Item","Description","No.",$E48)</t>
  </si>
  <si>
    <t>=NL("First","Item","Base Unit of Measure","No.",$E48)</t>
  </si>
  <si>
    <t>=D53</t>
  </si>
  <si>
    <t>=NF($G54,"Posting Date")</t>
  </si>
  <si>
    <t>=NF($G54,"Entry No.")</t>
  </si>
  <si>
    <t>=NF(G54,"Source Type")</t>
  </si>
  <si>
    <t>=NF($G54,"Source No.")</t>
  </si>
  <si>
    <t>=IF($J54="Customer",NL("first",$J54,"Name","No.","@@"&amp;$K54),"")</t>
  </si>
  <si>
    <t>=IF(J54="vendor",NL("first",J54,"Name","No.","@@"&amp;K54),"")</t>
  </si>
  <si>
    <t>=IF($J54="Item",NL("first",$J54,"Description","No.","@@"&amp;$K54),"")</t>
  </si>
  <si>
    <t>=D68</t>
  </si>
  <si>
    <t>=NF($G69,"Posting Date")</t>
  </si>
  <si>
    <t>=NF($G69,"Entry No.")</t>
  </si>
  <si>
    <t>=NF(G69,"Source Type")</t>
  </si>
  <si>
    <t>=NF($G69,"Source No.")</t>
  </si>
  <si>
    <t>=IF($J69="Customer",NL("first",$J69,"Name","No.","@@"&amp;$K69),"")</t>
  </si>
  <si>
    <t>=IF(J69="vendor",NL("first",J69,"Name","No.","@@"&amp;K69),"")</t>
  </si>
  <si>
    <t>=IF($J69="Item",NL("first",$J69,"Description","No.","@@"&amp;$K69),"")</t>
  </si>
  <si>
    <t>=D72</t>
  </si>
  <si>
    <t>=NF($G73,"Posting Date")</t>
  </si>
  <si>
    <t>=NF($G73,"Entry No.")</t>
  </si>
  <si>
    <t>=NF(G73,"Source Type")</t>
  </si>
  <si>
    <t>=NF($G73,"Source No.")</t>
  </si>
  <si>
    <t>=IF($J73="Customer",NL("first",$J73,"Name","No.","@@"&amp;$K73),"")</t>
  </si>
  <si>
    <t>=IF(J73="vendor",NL("first",J73,"Name","No.","@@"&amp;K73),"")</t>
  </si>
  <si>
    <t>=IF($J73="Item",NL("first",$J73,"Description","No.","@@"&amp;$K73),"")</t>
  </si>
  <si>
    <t>=D73</t>
  </si>
  <si>
    <t>=NF($G74,"Posting Date")</t>
  </si>
  <si>
    <t>=NF($G74,"Entry No.")</t>
  </si>
  <si>
    <t>=NF(G74,"Source Type")</t>
  </si>
  <si>
    <t>=NF($G74,"Source No.")</t>
  </si>
  <si>
    <t>=IF($J74="Customer",NL("first",$J74,"Name","No.","@@"&amp;$K74),"")</t>
  </si>
  <si>
    <t>=IF(J74="vendor",NL("first",J74,"Name","No.","@@"&amp;K74),"")</t>
  </si>
  <si>
    <t>=IF($J74="Item",NL("first",$J74,"Description","No.","@@"&amp;$K74),"")</t>
  </si>
  <si>
    <t>=D74</t>
  </si>
  <si>
    <t>=NF($G75,"Posting Date")</t>
  </si>
  <si>
    <t>=NF($G75,"Entry No.")</t>
  </si>
  <si>
    <t>=NF(G75,"Source Type")</t>
  </si>
  <si>
    <t>=NF($G75,"Source No.")</t>
  </si>
  <si>
    <t>=IF($J75="Customer",NL("first",$J75,"Name","No.","@@"&amp;$K75),"")</t>
  </si>
  <si>
    <t>=IF(J75="vendor",NL("first",J75,"Name","No.","@@"&amp;K75),"")</t>
  </si>
  <si>
    <t>=IF($J75="Item",NL("first",$J75,"Description","No.","@@"&amp;$K75),"")</t>
  </si>
  <si>
    <t>=D78</t>
  </si>
  <si>
    <t>=NF($G79,"Posting Date")</t>
  </si>
  <si>
    <t>=NF($G79,"Entry No.")</t>
  </si>
  <si>
    <t>=NF(G79,"Source Type")</t>
  </si>
  <si>
    <t>=NF($G79,"Source No.")</t>
  </si>
  <si>
    <t>=IF($J79="Customer",NL("first",$J79,"Name","No.","@@"&amp;$K79),"")</t>
  </si>
  <si>
    <t>=IF(J79="vendor",NL("first",J79,"Name","No.","@@"&amp;K79),"")</t>
  </si>
  <si>
    <t>=IF($J79="Item",NL("first",$J79,"Description","No.","@@"&amp;$K79),"")</t>
  </si>
  <si>
    <t>=D80</t>
  </si>
  <si>
    <t>=NF($G81,"Posting Date")</t>
  </si>
  <si>
    <t>=NF($G81,"Entry No.")</t>
  </si>
  <si>
    <t>=NF(G81,"Source Type")</t>
  </si>
  <si>
    <t>=NF($G81,"Source No.")</t>
  </si>
  <si>
    <t>=IF($J81="Customer",NL("first",$J81,"Name","No.","@@"&amp;$K81),"")</t>
  </si>
  <si>
    <t>=IF(J81="vendor",NL("first",J81,"Name","No.","@@"&amp;K81),"")</t>
  </si>
  <si>
    <t>=IF($J81="Item",NL("first",$J81,"Description","No.","@@"&amp;$K81),"")</t>
  </si>
  <si>
    <t>=D84</t>
  </si>
  <si>
    <t>=NF($G85,"Posting Date")</t>
  </si>
  <si>
    <t>=NF($G85,"Entry No.")</t>
  </si>
  <si>
    <t>=NF(G85,"Source Type")</t>
  </si>
  <si>
    <t>=NF($G85,"Source No.")</t>
  </si>
  <si>
    <t>=IF($J85="Customer",NL("first",$J85,"Name","No.","@@"&amp;$K85),"")</t>
  </si>
  <si>
    <t>=IF(J85="vendor",NL("first",J85,"Name","No.","@@"&amp;K85),"")</t>
  </si>
  <si>
    <t>=IF($J85="Item",NL("first",$J85,"Description","No.","@@"&amp;$K85),"")</t>
  </si>
  <si>
    <t>=D93</t>
  </si>
  <si>
    <t>=NF($G94,"Posting Date")</t>
  </si>
  <si>
    <t>=NF($G94,"Entry No.")</t>
  </si>
  <si>
    <t>=NF(G94,"Source Type")</t>
  </si>
  <si>
    <t>=NF($G94,"Source No.")</t>
  </si>
  <si>
    <t>=IF($J94="Customer",NL("first",$J94,"Name","No.","@@"&amp;$K94),"")</t>
  </si>
  <si>
    <t>=IF(J94="vendor",NL("first",J94,"Name","No.","@@"&amp;K94),"")</t>
  </si>
  <si>
    <t>=IF($J94="Item",NL("first",$J94,"Description","No.","@@"&amp;$K94),"")</t>
  </si>
  <si>
    <t>=E104</t>
  </si>
  <si>
    <t>=NL("First","Item","Description","No.",$E104)</t>
  </si>
  <si>
    <t>=NL("First","Item","Base Unit of Measure","No.",$E104)</t>
  </si>
  <si>
    <t>=D104</t>
  </si>
  <si>
    <t>=NF($G105,"Posting Date")</t>
  </si>
  <si>
    <t>=NF($G105,"Entry No.")</t>
  </si>
  <si>
    <t>=NF(G105,"Source Type")</t>
  </si>
  <si>
    <t>=NF($G105,"Source No.")</t>
  </si>
  <si>
    <t>=IF($J105="Customer",NL("first",$J105,"Name","No.","@@"&amp;$K105),"")</t>
  </si>
  <si>
    <t>=IF(J105="vendor",NL("first",J105,"Name","No.","@@"&amp;K105),"")</t>
  </si>
  <si>
    <t>=IF($J105="Item",NL("first",$J105,"Description","No.","@@"&amp;$K105),"")</t>
  </si>
  <si>
    <t>=D105</t>
  </si>
  <si>
    <t>=NF($G106,"Posting Date")</t>
  </si>
  <si>
    <t>=NF($G106,"Entry No.")</t>
  </si>
  <si>
    <t>=NF(G106,"Source Type")</t>
  </si>
  <si>
    <t>=NF($G106,"Source No.")</t>
  </si>
  <si>
    <t>=IF($J106="Customer",NL("first",$J106,"Name","No.","@@"&amp;$K106),"")</t>
  </si>
  <si>
    <t>=IF(J106="vendor",NL("first",J106,"Name","No.","@@"&amp;K106),"")</t>
  </si>
  <si>
    <t>=IF($J106="Item",NL("first",$J106,"Description","No.","@@"&amp;$K106),"")</t>
  </si>
  <si>
    <t>=D109</t>
  </si>
  <si>
    <t>=NF($G110,"Posting Date")</t>
  </si>
  <si>
    <t>=NF($G110,"Entry No.")</t>
  </si>
  <si>
    <t>=NF(G110,"Source Type")</t>
  </si>
  <si>
    <t>=NF($G110,"Source No.")</t>
  </si>
  <si>
    <t>=IF($J110="Customer",NL("first",$J110,"Name","No.","@@"&amp;$K110),"")</t>
  </si>
  <si>
    <t>=IF(J110="vendor",NL("first",J110,"Name","No.","@@"&amp;K110),"")</t>
  </si>
  <si>
    <t>=IF($J110="Item",NL("first",$J110,"Description","No.","@@"&amp;$K110),"")</t>
  </si>
  <si>
    <t>=D117</t>
  </si>
  <si>
    <t>=NF($G118,"Posting Date")</t>
  </si>
  <si>
    <t>=NF($G118,"Entry No.")</t>
  </si>
  <si>
    <t>=NF(G118,"Source Type")</t>
  </si>
  <si>
    <t>=NF($G118,"Source No.")</t>
  </si>
  <si>
    <t>=IF($J118="Customer",NL("first",$J118,"Name","No.","@@"&amp;$K118),"")</t>
  </si>
  <si>
    <t>=IF(J118="vendor",NL("first",J118,"Name","No.","@@"&amp;K118),"")</t>
  </si>
  <si>
    <t>=IF($J118="Item",NL("first",$J118,"Description","No.","@@"&amp;$K118),"")</t>
  </si>
  <si>
    <t>=E121</t>
  </si>
  <si>
    <t>=NL("First","Item","Description","No.",$E121)</t>
  </si>
  <si>
    <t>=NL("First","Item","Base Unit of Measure","No.",$E121)</t>
  </si>
  <si>
    <t>=D125</t>
  </si>
  <si>
    <t>=NF($G126,"Posting Date")</t>
  </si>
  <si>
    <t>=NF($G126,"Entry No.")</t>
  </si>
  <si>
    <t>=NF(G126,"Source Type")</t>
  </si>
  <si>
    <t>=NF($G126,"Source No.")</t>
  </si>
  <si>
    <t>=IF($J126="Customer",NL("first",$J126,"Name","No.","@@"&amp;$K126),"")</t>
  </si>
  <si>
    <t>=IF(J126="vendor",NL("first",J126,"Name","No.","@@"&amp;K126),"")</t>
  </si>
  <si>
    <t>=IF($J126="Item",NL("first",$J126,"Description","No.","@@"&amp;$K126),"")</t>
  </si>
  <si>
    <t>=D126</t>
  </si>
  <si>
    <t>=NF($G127,"Posting Date")</t>
  </si>
  <si>
    <t>=NF($G127,"Entry No.")</t>
  </si>
  <si>
    <t>=NF(G127,"Source Type")</t>
  </si>
  <si>
    <t>=NF($G127,"Source No.")</t>
  </si>
  <si>
    <t>=IF($J127="Customer",NL("first",$J127,"Name","No.","@@"&amp;$K127),"")</t>
  </si>
  <si>
    <t>=IF(J127="vendor",NL("first",J127,"Name","No.","@@"&amp;K127),"")</t>
  </si>
  <si>
    <t>=IF($J127="Item",NL("first",$J127,"Description","No.","@@"&amp;$K127),"")</t>
  </si>
  <si>
    <t>=D127</t>
  </si>
  <si>
    <t>=NF($G128,"Posting Date")</t>
  </si>
  <si>
    <t>=NF($G128,"Entry No.")</t>
  </si>
  <si>
    <t>=NF(G128,"Source Type")</t>
  </si>
  <si>
    <t>=NF($G128,"Source No.")</t>
  </si>
  <si>
    <t>=IF($J128="Customer",NL("first",$J128,"Name","No.","@@"&amp;$K128),"")</t>
  </si>
  <si>
    <t>=IF(J128="vendor",NL("first",J128,"Name","No.","@@"&amp;K128),"")</t>
  </si>
  <si>
    <t>=IF($J128="Item",NL("first",$J128,"Description","No.","@@"&amp;$K128),"")</t>
  </si>
  <si>
    <t>=D140</t>
  </si>
  <si>
    <t>=NF($G141,"Posting Date")</t>
  </si>
  <si>
    <t>=NF($G141,"Entry No.")</t>
  </si>
  <si>
    <t>=NF(G141,"Source Type")</t>
  </si>
  <si>
    <t>=NF($G141,"Source No.")</t>
  </si>
  <si>
    <t>=IF($J141="Customer",NL("first",$J141,"Name","No.","@@"&amp;$K141),"")</t>
  </si>
  <si>
    <t>=IF(J141="vendor",NL("first",J141,"Name","No.","@@"&amp;K141),"")</t>
  </si>
  <si>
    <t>=IF($J141="Item",NL("first",$J141,"Description","No.","@@"&amp;$K141),"")</t>
  </si>
  <si>
    <t>=D156</t>
  </si>
  <si>
    <t>=NF($G157,"Posting Date")</t>
  </si>
  <si>
    <t>=NF($G157,"Entry No.")</t>
  </si>
  <si>
    <t>=NF(G157,"Source Type")</t>
  </si>
  <si>
    <t>=NF($G157,"Source No.")</t>
  </si>
  <si>
    <t>=IF($J157="Customer",NL("first",$J157,"Name","No.","@@"&amp;$K157),"")</t>
  </si>
  <si>
    <t>=IF(J157="vendor",NL("first",J157,"Name","No.","@@"&amp;K157),"")</t>
  </si>
  <si>
    <t>=IF($J157="Item",NL("first",$J157,"Description","No.","@@"&amp;$K157),"")</t>
  </si>
  <si>
    <t>=D157</t>
  </si>
  <si>
    <t>=NF($G158,"Posting Date")</t>
  </si>
  <si>
    <t>=NF($G158,"Entry No.")</t>
  </si>
  <si>
    <t>=NF(G158,"Source Type")</t>
  </si>
  <si>
    <t>=NF($G158,"Source No.")</t>
  </si>
  <si>
    <t>=IF($J158="Customer",NL("first",$J158,"Name","No.","@@"&amp;$K158),"")</t>
  </si>
  <si>
    <t>=IF(J158="vendor",NL("first",J158,"Name","No.","@@"&amp;K158),"")</t>
  </si>
  <si>
    <t>=IF($J158="Item",NL("first",$J158,"Description","No.","@@"&amp;$K158),"")</t>
  </si>
  <si>
    <t>=D163</t>
  </si>
  <si>
    <t>=NF($G164,"Posting Date")</t>
  </si>
  <si>
    <t>=NF($G164,"Entry No.")</t>
  </si>
  <si>
    <t>=NF(G164,"Source Type")</t>
  </si>
  <si>
    <t>=NF($G164,"Source No.")</t>
  </si>
  <si>
    <t>=IF($J164="Customer",NL("first",$J164,"Name","No.","@@"&amp;$K164),"")</t>
  </si>
  <si>
    <t>=IF(J164="vendor",NL("first",J164,"Name","No.","@@"&amp;K164),"")</t>
  </si>
  <si>
    <t>=IF($J164="Item",NL("first",$J164,"Description","No.","@@"&amp;$K164),"")</t>
  </si>
  <si>
    <t>=D193</t>
  </si>
  <si>
    <t>=NF($G194,"Posting Date")</t>
  </si>
  <si>
    <t>=NF($G194,"Entry No.")</t>
  </si>
  <si>
    <t>=NF(G194,"Source Type")</t>
  </si>
  <si>
    <t>=NF($G194,"Source No.")</t>
  </si>
  <si>
    <t>=IF($J194="Customer",NL("first",$J194,"Name","No.","@@"&amp;$K194),"")</t>
  </si>
  <si>
    <t>=IF(J194="vendor",NL("first",J194,"Name","No.","@@"&amp;K194),"")</t>
  </si>
  <si>
    <t>=IF($J194="Item",NL("first",$J194,"Description","No.","@@"&amp;$K194),"")</t>
  </si>
  <si>
    <t>=D198</t>
  </si>
  <si>
    <t>=NF($G199,"Posting Date")</t>
  </si>
  <si>
    <t>=NF($G199,"Entry No.")</t>
  </si>
  <si>
    <t>=NF(G199,"Source Type")</t>
  </si>
  <si>
    <t>=NF($G199,"Source No.")</t>
  </si>
  <si>
    <t>=IF($J199="Customer",NL("first",$J199,"Name","No.","@@"&amp;$K199),"")</t>
  </si>
  <si>
    <t>=IF(J199="vendor",NL("first",J199,"Name","No.","@@"&amp;K199),"")</t>
  </si>
  <si>
    <t>=IF($J199="Item",NL("first",$J199,"Description","No.","@@"&amp;$K199),"")</t>
  </si>
  <si>
    <t>=D199</t>
  </si>
  <si>
    <t>=NF($G200,"Posting Date")</t>
  </si>
  <si>
    <t>=NF($G200,"Entry No.")</t>
  </si>
  <si>
    <t>=NF(G200,"Source Type")</t>
  </si>
  <si>
    <t>=NF($G200,"Source No.")</t>
  </si>
  <si>
    <t>=IF($J200="Customer",NL("first",$J200,"Name","No.","@@"&amp;$K200),"")</t>
  </si>
  <si>
    <t>=IF(J200="vendor",NL("first",J200,"Name","No.","@@"&amp;K200),"")</t>
  </si>
  <si>
    <t>=IF($J200="Item",NL("first",$J200,"Description","No.","@@"&amp;$K200),"")</t>
  </si>
  <si>
    <t>=D200</t>
  </si>
  <si>
    <t>=NF($G201,"Posting Date")</t>
  </si>
  <si>
    <t>=NF($G201,"Entry No.")</t>
  </si>
  <si>
    <t>=NF(G201,"Source Type")</t>
  </si>
  <si>
    <t>=NF($G201,"Source No.")</t>
  </si>
  <si>
    <t>=IF($J201="Customer",NL("first",$J201,"Name","No.","@@"&amp;$K201),"")</t>
  </si>
  <si>
    <t>=IF(J201="vendor",NL("first",J201,"Name","No.","@@"&amp;K201),"")</t>
  </si>
  <si>
    <t>=IF($J201="Item",NL("first",$J201,"Description","No.","@@"&amp;$K201),"")</t>
  </si>
  <si>
    <t>=D209</t>
  </si>
  <si>
    <t>=NF($G210,"Posting Date")</t>
  </si>
  <si>
    <t>=NF($G210,"Entry No.")</t>
  </si>
  <si>
    <t>=NF(G210,"Source Type")</t>
  </si>
  <si>
    <t>=NF($G210,"Source No.")</t>
  </si>
  <si>
    <t>=IF($J210="Customer",NL("first",$J210,"Name","No.","@@"&amp;$K210),"")</t>
  </si>
  <si>
    <t>=IF(J210="vendor",NL("first",J210,"Name","No.","@@"&amp;K210),"")</t>
  </si>
  <si>
    <t>=IF($J210="Item",NL("first",$J210,"Description","No.","@@"&amp;$K210),"")</t>
  </si>
  <si>
    <t>=D210</t>
  </si>
  <si>
    <t>=NF($G211,"Posting Date")</t>
  </si>
  <si>
    <t>=NF($G211,"Entry No.")</t>
  </si>
  <si>
    <t>=NF(G211,"Source Type")</t>
  </si>
  <si>
    <t>=NF($G211,"Source No.")</t>
  </si>
  <si>
    <t>=IF($J211="Customer",NL("first",$J211,"Name","No.","@@"&amp;$K211),"")</t>
  </si>
  <si>
    <t>=IF(J211="vendor",NL("first",J211,"Name","No.","@@"&amp;K211),"")</t>
  </si>
  <si>
    <t>=IF($J211="Item",NL("first",$J211,"Description","No.","@@"&amp;$K211),"")</t>
  </si>
  <si>
    <t>=D211</t>
  </si>
  <si>
    <t>=NF($G212,"Posting Date")</t>
  </si>
  <si>
    <t>=NF($G212,"Entry No.")</t>
  </si>
  <si>
    <t>=NF(G212,"Source Type")</t>
  </si>
  <si>
    <t>=NF($G212,"Source No.")</t>
  </si>
  <si>
    <t>=IF($J212="Customer",NL("first",$J212,"Name","No.","@@"&amp;$K212),"")</t>
  </si>
  <si>
    <t>=IF(J212="vendor",NL("first",J212,"Name","No.","@@"&amp;K212),"")</t>
  </si>
  <si>
    <t>=IF($J212="Item",NL("first",$J212,"Description","No.","@@"&amp;$K212),"")</t>
  </si>
  <si>
    <t>=D224</t>
  </si>
  <si>
    <t>=NF($G225,"Posting Date")</t>
  </si>
  <si>
    <t>=NF($G225,"Entry No.")</t>
  </si>
  <si>
    <t>=NF(G225,"Source Type")</t>
  </si>
  <si>
    <t>=NF($G225,"Source No.")</t>
  </si>
  <si>
    <t>=IF($J225="Customer",NL("first",$J225,"Name","No.","@@"&amp;$K225),"")</t>
  </si>
  <si>
    <t>=IF(J225="vendor",NL("first",J225,"Name","No.","@@"&amp;K225),"")</t>
  </si>
  <si>
    <t>=IF($J225="Item",NL("first",$J225,"Description","No.","@@"&amp;$K225),"")</t>
  </si>
  <si>
    <t>=D239</t>
  </si>
  <si>
    <t>=NF($G240,"Posting Date")</t>
  </si>
  <si>
    <t>=NF($G240,"Entry No.")</t>
  </si>
  <si>
    <t>=NF(G240,"Source Type")</t>
  </si>
  <si>
    <t>=NF($G240,"Source No.")</t>
  </si>
  <si>
    <t>=IF($J240="Customer",NL("first",$J240,"Name","No.","@@"&amp;$K240),"")</t>
  </si>
  <si>
    <t>=IF(J240="vendor",NL("first",J240,"Name","No.","@@"&amp;K240),"")</t>
  </si>
  <si>
    <t>=IF($J240="Item",NL("first",$J240,"Description","No.","@@"&amp;$K240),"")</t>
  </si>
  <si>
    <t>=D240</t>
  </si>
  <si>
    <t>=NF($G241,"Posting Date")</t>
  </si>
  <si>
    <t>=NF($G241,"Entry No.")</t>
  </si>
  <si>
    <t>=NF(G241,"Source Type")</t>
  </si>
  <si>
    <t>=NF($G241,"Source No.")</t>
  </si>
  <si>
    <t>=IF($J241="Customer",NL("first",$J241,"Name","No.","@@"&amp;$K241),"")</t>
  </si>
  <si>
    <t>=IF(J241="vendor",NL("first",J241,"Name","No.","@@"&amp;K241),"")</t>
  </si>
  <si>
    <t>=IF($J241="Item",NL("first",$J241,"Description","No.","@@"&amp;$K241),"")</t>
  </si>
  <si>
    <t>=D244</t>
  </si>
  <si>
    <t>=NF($G245,"Posting Date")</t>
  </si>
  <si>
    <t>=NF($G245,"Entry No.")</t>
  </si>
  <si>
    <t>=NF(G245,"Source Type")</t>
  </si>
  <si>
    <t>=NF($G245,"Source No.")</t>
  </si>
  <si>
    <t>=IF($J245="Customer",NL("first",$J245,"Name","No.","@@"&amp;$K245),"")</t>
  </si>
  <si>
    <t>=IF(J245="vendor",NL("first",J245,"Name","No.","@@"&amp;K245),"")</t>
  </si>
  <si>
    <t>=IF($J245="Item",NL("first",$J245,"Description","No.","@@"&amp;$K245),"")</t>
  </si>
  <si>
    <t>=D248</t>
  </si>
  <si>
    <t>=NF($G249,"Posting Date")</t>
  </si>
  <si>
    <t>=NF($G249,"Entry No.")</t>
  </si>
  <si>
    <t>=NF(G249,"Source Type")</t>
  </si>
  <si>
    <t>=NF($G249,"Source No.")</t>
  </si>
  <si>
    <t>=IF($J249="Customer",NL("first",$J249,"Name","No.","@@"&amp;$K249),"")</t>
  </si>
  <si>
    <t>=IF(J249="vendor",NL("first",J249,"Name","No.","@@"&amp;K249),"")</t>
  </si>
  <si>
    <t>=IF($J249="Item",NL("first",$J249,"Description","No.","@@"&amp;$K249),"")</t>
  </si>
  <si>
    <t>=D249</t>
  </si>
  <si>
    <t>=NF($G250,"Posting Date")</t>
  </si>
  <si>
    <t>=NF($G250,"Entry No.")</t>
  </si>
  <si>
    <t>=NF(G250,"Source Type")</t>
  </si>
  <si>
    <t>=NF($G250,"Source No.")</t>
  </si>
  <si>
    <t>=IF($J250="Customer",NL("first",$J250,"Name","No.","@@"&amp;$K250),"")</t>
  </si>
  <si>
    <t>=IF(J250="vendor",NL("first",J250,"Name","No.","@@"&amp;K250),"")</t>
  </si>
  <si>
    <t>=IF($J250="Item",NL("first",$J250,"Description","No.","@@"&amp;$K250),"")</t>
  </si>
  <si>
    <t>=D254</t>
  </si>
  <si>
    <t>=NF($G255,"Posting Date")</t>
  </si>
  <si>
    <t>=NF($G255,"Entry No.")</t>
  </si>
  <si>
    <t>=NF(G255,"Source Type")</t>
  </si>
  <si>
    <t>=NF($G255,"Source No.")</t>
  </si>
  <si>
    <t>=IF($J255="Customer",NL("first",$J255,"Name","No.","@@"&amp;$K255),"")</t>
  </si>
  <si>
    <t>=IF(J255="vendor",NL("first",J255,"Name","No.","@@"&amp;K255),"")</t>
  </si>
  <si>
    <t>=IF($J255="Item",NL("first",$J255,"Description","No.","@@"&amp;$K255),"")</t>
  </si>
  <si>
    <t>=D259</t>
  </si>
  <si>
    <t>=NF($G260,"Posting Date")</t>
  </si>
  <si>
    <t>=NF($G260,"Entry No.")</t>
  </si>
  <si>
    <t>=NF(G260,"Source Type")</t>
  </si>
  <si>
    <t>=NF($G260,"Source No.")</t>
  </si>
  <si>
    <t>=IF($J260="Customer",NL("first",$J260,"Name","No.","@@"&amp;$K260),"")</t>
  </si>
  <si>
    <t>=IF(J260="vendor",NL("first",J260,"Name","No.","@@"&amp;K260),"")</t>
  </si>
  <si>
    <t>=IF($J260="Item",NL("first",$J260,"Description","No.","@@"&amp;$K260),"")</t>
  </si>
  <si>
    <t>=D260</t>
  </si>
  <si>
    <t>=NF($G261,"Posting Date")</t>
  </si>
  <si>
    <t>=NF($G261,"Entry No.")</t>
  </si>
  <si>
    <t>=NF(G261,"Source Type")</t>
  </si>
  <si>
    <t>=NF($G261,"Source No.")</t>
  </si>
  <si>
    <t>=IF($J261="Customer",NL("first",$J261,"Name","No.","@@"&amp;$K261),"")</t>
  </si>
  <si>
    <t>=IF(J261="vendor",NL("first",J261,"Name","No.","@@"&amp;K261),"")</t>
  </si>
  <si>
    <t>=IF($J261="Item",NL("first",$J261,"Description","No.","@@"&amp;$K261),"")</t>
  </si>
  <si>
    <t>=D289</t>
  </si>
  <si>
    <t>=NF($G290,"Posting Date")</t>
  </si>
  <si>
    <t>=NF($G290,"Entry No.")</t>
  </si>
  <si>
    <t>=NF(G290,"Source Type")</t>
  </si>
  <si>
    <t>=NF($G290,"Source No.")</t>
  </si>
  <si>
    <t>=IF($J290="Customer",NL("first",$J290,"Name","No.","@@"&amp;$K290),"")</t>
  </si>
  <si>
    <t>=IF(J290="vendor",NL("first",J290,"Name","No.","@@"&amp;K290),"")</t>
  </si>
  <si>
    <t>=IF($J290="Item",NL("first",$J290,"Description","No.","@@"&amp;$K290),"")</t>
  </si>
  <si>
    <t>=D301</t>
  </si>
  <si>
    <t>=NF($G302,"Posting Date")</t>
  </si>
  <si>
    <t>=NF($G302,"Entry No.")</t>
  </si>
  <si>
    <t>=NF(G302,"Source Type")</t>
  </si>
  <si>
    <t>=NF($G302,"Source No.")</t>
  </si>
  <si>
    <t>=IF($J302="Customer",NL("first",$J302,"Name","No.","@@"&amp;$K302),"")</t>
  </si>
  <si>
    <t>=IF(J302="vendor",NL("first",J302,"Name","No.","@@"&amp;K302),"")</t>
  </si>
  <si>
    <t>=IF($J302="Item",NL("first",$J302,"Description","No.","@@"&amp;$K302),"")</t>
  </si>
  <si>
    <t>=D305</t>
  </si>
  <si>
    <t>=NF($G306,"Posting Date")</t>
  </si>
  <si>
    <t>=NF($G306,"Entry No.")</t>
  </si>
  <si>
    <t>=NF(G306,"Source Type")</t>
  </si>
  <si>
    <t>=NF($G306,"Source No.")</t>
  </si>
  <si>
    <t>=IF($J306="Customer",NL("first",$J306,"Name","No.","@@"&amp;$K306),"")</t>
  </si>
  <si>
    <t>=IF(J306="vendor",NL("first",J306,"Name","No.","@@"&amp;K306),"")</t>
  </si>
  <si>
    <t>=IF($J306="Item",NL("first",$J306,"Description","No.","@@"&amp;$K306),"")</t>
  </si>
  <si>
    <t>=D310</t>
  </si>
  <si>
    <t>=NF($G311,"Posting Date")</t>
  </si>
  <si>
    <t>=NF($G311,"Entry No.")</t>
  </si>
  <si>
    <t>=NF(G311,"Source Type")</t>
  </si>
  <si>
    <t>=NF($G311,"Source No.")</t>
  </si>
  <si>
    <t>=IF($J311="Customer",NL("first",$J311,"Name","No.","@@"&amp;$K311),"")</t>
  </si>
  <si>
    <t>=IF(J311="vendor",NL("first",J311,"Name","No.","@@"&amp;K311),"")</t>
  </si>
  <si>
    <t>=IF($J311="Item",NL("first",$J311,"Description","No.","@@"&amp;$K311),"")</t>
  </si>
  <si>
    <t>=D324</t>
  </si>
  <si>
    <t>=NF($G325,"Posting Date")</t>
  </si>
  <si>
    <t>=NF($G325,"Entry No.")</t>
  </si>
  <si>
    <t>=NF(G325,"Source Type")</t>
  </si>
  <si>
    <t>=NF($G325,"Source No.")</t>
  </si>
  <si>
    <t>=IF($J325="Customer",NL("first",$J325,"Name","No.","@@"&amp;$K325),"")</t>
  </si>
  <si>
    <t>=IF(J325="vendor",NL("first",J325,"Name","No.","@@"&amp;K325),"")</t>
  </si>
  <si>
    <t>=IF($J325="Item",NL("first",$J325,"Description","No.","@@"&amp;$K325),"")</t>
  </si>
  <si>
    <t>=D328</t>
  </si>
  <si>
    <t>=NF($G329,"Posting Date")</t>
  </si>
  <si>
    <t>=NF($G329,"Entry No.")</t>
  </si>
  <si>
    <t>=NF(G329,"Source Type")</t>
  </si>
  <si>
    <t>=NF($G329,"Source No.")</t>
  </si>
  <si>
    <t>=IF($J329="Customer",NL("first",$J329,"Name","No.","@@"&amp;$K329),"")</t>
  </si>
  <si>
    <t>=IF(J329="vendor",NL("first",J329,"Name","No.","@@"&amp;K329),"")</t>
  </si>
  <si>
    <t>=IF($J329="Item",NL("first",$J329,"Description","No.","@@"&amp;$K329),"")</t>
  </si>
  <si>
    <t>=D337</t>
  </si>
  <si>
    <t>=NF($G338,"Posting Date")</t>
  </si>
  <si>
    <t>=NF($G338,"Entry No.")</t>
  </si>
  <si>
    <t>=NF(G338,"Source Type")</t>
  </si>
  <si>
    <t>=NF($G338,"Source No.")</t>
  </si>
  <si>
    <t>=IF($J338="Customer",NL("first",$J338,"Name","No.","@@"&amp;$K338),"")</t>
  </si>
  <si>
    <t>=IF(J338="vendor",NL("first",J338,"Name","No.","@@"&amp;K338),"")</t>
  </si>
  <si>
    <t>=IF($J338="Item",NL("first",$J338,"Description","No.","@@"&amp;$K338),"")</t>
  </si>
  <si>
    <t>=D368</t>
  </si>
  <si>
    <t>=NF($G369,"Posting Date")</t>
  </si>
  <si>
    <t>=NF($G369,"Entry No.")</t>
  </si>
  <si>
    <t>=NF(G369,"Source Type")</t>
  </si>
  <si>
    <t>=NF($G369,"Source No.")</t>
  </si>
  <si>
    <t>=IF($J369="Customer",NL("first",$J369,"Name","No.","@@"&amp;$K369),"")</t>
  </si>
  <si>
    <t>=IF(J369="vendor",NL("first",J369,"Name","No.","@@"&amp;K369),"")</t>
  </si>
  <si>
    <t>=IF($J369="Item",NL("first",$J369,"Description","No.","@@"&amp;$K369),"")</t>
  </si>
  <si>
    <t>=D369</t>
  </si>
  <si>
    <t>=NF($G370,"Posting Date")</t>
  </si>
  <si>
    <t>=NF($G370,"Entry No.")</t>
  </si>
  <si>
    <t>=NF(G370,"Source Type")</t>
  </si>
  <si>
    <t>=NF($G370,"Source No.")</t>
  </si>
  <si>
    <t>=IF($J370="Customer",NL("first",$J370,"Name","No.","@@"&amp;$K370),"")</t>
  </si>
  <si>
    <t>=IF(J370="vendor",NL("first",J370,"Name","No.","@@"&amp;K370),"")</t>
  </si>
  <si>
    <t>=IF($J370="Item",NL("first",$J370,"Description","No.","@@"&amp;$K370),"")</t>
  </si>
  <si>
    <t>=D388</t>
  </si>
  <si>
    <t>=NF($G389,"Posting Date")</t>
  </si>
  <si>
    <t>=NF($G389,"Entry No.")</t>
  </si>
  <si>
    <t>=NF(G389,"Source Type")</t>
  </si>
  <si>
    <t>=NF($G389,"Source No.")</t>
  </si>
  <si>
    <t>=IF($J389="Customer",NL("first",$J389,"Name","No.","@@"&amp;$K389),"")</t>
  </si>
  <si>
    <t>=IF(J389="vendor",NL("first",J389,"Name","No.","@@"&amp;K389),"")</t>
  </si>
  <si>
    <t>=IF($J389="Item",NL("first",$J389,"Description","No.","@@"&amp;$K389),"")</t>
  </si>
  <si>
    <t>=D389</t>
  </si>
  <si>
    <t>=NF($G390,"Posting Date")</t>
  </si>
  <si>
    <t>=NF($G390,"Entry No.")</t>
  </si>
  <si>
    <t>=NF(G390,"Source Type")</t>
  </si>
  <si>
    <t>=NF($G390,"Source No.")</t>
  </si>
  <si>
    <t>=IF($J390="Customer",NL("first",$J390,"Name","No.","@@"&amp;$K390),"")</t>
  </si>
  <si>
    <t>=IF(J390="vendor",NL("first",J390,"Name","No.","@@"&amp;K390),"")</t>
  </si>
  <si>
    <t>=IF($J390="Item",NL("first",$J390,"Description","No.","@@"&amp;$K390),"")</t>
  </si>
  <si>
    <t>=D23</t>
  </si>
  <si>
    <t>=NF($G24,"Posting Date")</t>
  </si>
  <si>
    <t>=NF($G24,"Entry No.")</t>
  </si>
  <si>
    <t>=NF(G24,"Source Type")</t>
  </si>
  <si>
    <t>=NF($G24,"Source No.")</t>
  </si>
  <si>
    <t>=IF($J24="Customer",NL("first",$J24,"Name","No.","@@"&amp;$K24),"")</t>
  </si>
  <si>
    <t>=IF(J24="vendor",NL("first",J24,"Name","No.","@@"&amp;K24),"")</t>
  </si>
  <si>
    <t>=IF($J24="Item",NL("first",$J24,"Description","No.","@@"&amp;$K24),"")</t>
  </si>
  <si>
    <t>=E51</t>
  </si>
  <si>
    <t>=NL("First","Item","Description","No.",$E51)</t>
  </si>
  <si>
    <t>=NL("First","Item","Base Unit of Measure","No.",$E51)</t>
  </si>
  <si>
    <t>=D51</t>
  </si>
  <si>
    <t>=NF($G52,"Posting Date")</t>
  </si>
  <si>
    <t>=NF($G52,"Entry No.")</t>
  </si>
  <si>
    <t>=NF(G52,"Source Type")</t>
  </si>
  <si>
    <t>=NF($G52,"Source No.")</t>
  </si>
  <si>
    <t>=IF($J52="Customer",NL("first",$J52,"Name","No.","@@"&amp;$K52),"")</t>
  </si>
  <si>
    <t>=IF(J52="vendor",NL("first",J52,"Name","No.","@@"&amp;K52),"")</t>
  </si>
  <si>
    <t>=IF($J52="Item",NL("first",$J52,"Description","No.","@@"&amp;$K52),"")</t>
  </si>
  <si>
    <t>=D52</t>
  </si>
  <si>
    <t>=NF($G53,"Posting Date")</t>
  </si>
  <si>
    <t>=NF($G53,"Entry No.")</t>
  </si>
  <si>
    <t>=NF(G53,"Source Type")</t>
  </si>
  <si>
    <t>=NF($G53,"Source No.")</t>
  </si>
  <si>
    <t>=IF($J53="Customer",NL("first",$J53,"Name","No.","@@"&amp;$K53),"")</t>
  </si>
  <si>
    <t>=IF(J53="vendor",NL("first",J53,"Name","No.","@@"&amp;K53),"")</t>
  </si>
  <si>
    <t>=IF($J53="Item",NL("first",$J53,"Description","No.","@@"&amp;$K53),"")</t>
  </si>
  <si>
    <t>=E56</t>
  </si>
  <si>
    <t>=NL("First","Item","Description","No.",$E56)</t>
  </si>
  <si>
    <t>=NL("First","Item","Base Unit of Measure","No.",$E56)</t>
  </si>
  <si>
    <t>=E60</t>
  </si>
  <si>
    <t>=NL("First","Item","Description","No.",$E60)</t>
  </si>
  <si>
    <t>=NL("First","Item","Base Unit of Measure","No.",$E60)</t>
  </si>
  <si>
    <t>=D60</t>
  </si>
  <si>
    <t>=NF($G61,"Posting Date")</t>
  </si>
  <si>
    <t>=NF($G61,"Entry No.")</t>
  </si>
  <si>
    <t>=NF(G61,"Source Type")</t>
  </si>
  <si>
    <t>=NF($G61,"Source No.")</t>
  </si>
  <si>
    <t>=IF($J61="Customer",NL("first",$J61,"Name","No.","@@"&amp;$K61),"")</t>
  </si>
  <si>
    <t>=IF(J61="vendor",NL("first",J61,"Name","No.","@@"&amp;K61),"")</t>
  </si>
  <si>
    <t>=IF($J61="Item",NL("first",$J61,"Description","No.","@@"&amp;$K61),"")</t>
  </si>
  <si>
    <t>=D64</t>
  </si>
  <si>
    <t>=NF($G65,"Posting Date")</t>
  </si>
  <si>
    <t>=NF($G65,"Entry No.")</t>
  </si>
  <si>
    <t>=NF(G65,"Source Type")</t>
  </si>
  <si>
    <t>=NF($G65,"Source No.")</t>
  </si>
  <si>
    <t>=IF($J65="Customer",NL("first",$J65,"Name","No.","@@"&amp;$K65),"")</t>
  </si>
  <si>
    <t>=IF(J65="vendor",NL("first",J65,"Name","No.","@@"&amp;K65),"")</t>
  </si>
  <si>
    <t>=IF($J65="Item",NL("first",$J65,"Description","No.","@@"&amp;$K65),"")</t>
  </si>
  <si>
    <t>=D16</t>
  </si>
  <si>
    <t>=NF($G17,"Posting Date")</t>
  </si>
  <si>
    <t>=NF($G17,"Entry No.")</t>
  </si>
  <si>
    <t>=NF(G17,"Source Type")</t>
  </si>
  <si>
    <t>=NF($G17,"Source No.")</t>
  </si>
  <si>
    <t>=IF($J17="Customer",NL("first",$J17,"Name","No.","@@"&amp;$K17),"")</t>
  </si>
  <si>
    <t>=IF(J17="vendor",NL("first",J17,"Name","No.","@@"&amp;K17),"")</t>
  </si>
  <si>
    <t>=IF($J17="Item",NL("first",$J17,"Description","No.","@@"&amp;$K17),"")</t>
  </si>
  <si>
    <t>=E20</t>
  </si>
  <si>
    <t>=NL("First","Item","Description","No.",$E20)</t>
  </si>
  <si>
    <t>=NL("First","Item","Base Unit of Measure","No.",$E20)</t>
  </si>
  <si>
    <t>=E28</t>
  </si>
  <si>
    <t>=NL("First","Item","Description","No.",$E28)</t>
  </si>
  <si>
    <t>=NL("First","Item","Base Unit of Measure","No.",$E28)</t>
  </si>
  <si>
    <t>=E32</t>
  </si>
  <si>
    <t>=NL("First","Item","Description","No.",$E32)</t>
  </si>
  <si>
    <t>=NL("First","Item","Base Unit of Measure","No.",$E32)</t>
  </si>
  <si>
    <t>=D32</t>
  </si>
  <si>
    <t>=NF($G33,"Posting Date")</t>
  </si>
  <si>
    <t>=NF($G33,"Entry No.")</t>
  </si>
  <si>
    <t>=NF(G33,"Source Type")</t>
  </si>
  <si>
    <t>=NF($G33,"Source No.")</t>
  </si>
  <si>
    <t>=IF($J33="Customer",NL("first",$J33,"Name","No.","@@"&amp;$K33),"")</t>
  </si>
  <si>
    <t>=IF(J33="vendor",NL("first",J33,"Name","No.","@@"&amp;K33),"")</t>
  </si>
  <si>
    <t>=IF($J33="Item",NL("first",$J33,"Description","No.","@@"&amp;$K33),"")</t>
  </si>
  <si>
    <t>=E37</t>
  </si>
  <si>
    <t>=NL("First","Item","Description","No.",$E37)</t>
  </si>
  <si>
    <t>=NL("First","Item","Base Unit of Measure","No.",$E37)</t>
  </si>
  <si>
    <t>=(SUBTOTAL(9,O38:O39))</t>
  </si>
  <si>
    <t>=(SUBTOTAL(9,P38:P39))</t>
  </si>
  <si>
    <t>=(SUBTOTAL(9,Q38:Q39))</t>
  </si>
  <si>
    <t>=(SUBTOTAL(9,R38:R39))</t>
  </si>
  <si>
    <t>=(SUBTOTAL(9,S38:S39))</t>
  </si>
  <si>
    <t>=(SUBTOTAL(9,T38:T39))</t>
  </si>
  <si>
    <t>=SUBTOTAL(9,O38:T39)</t>
  </si>
  <si>
    <t>=D59</t>
  </si>
  <si>
    <t>=NF($G60,"Posting Date")</t>
  </si>
  <si>
    <t>=NF($G60,"Entry No.")</t>
  </si>
  <si>
    <t>=NF(G60,"Source Type")</t>
  </si>
  <si>
    <t>=NF($G60,"Source No.")</t>
  </si>
  <si>
    <t>=IF($J60="Customer",NL("first",$J60,"Name","No.","@@"&amp;$K60),"")</t>
  </si>
  <si>
    <t>=IF(J60="vendor",NL("first",J60,"Name","No.","@@"&amp;K60),"")</t>
  </si>
  <si>
    <t>=IF($J60="Item",NL("first",$J60,"Description","No.","@@"&amp;$K60),"")</t>
  </si>
  <si>
    <t>=D69</t>
  </si>
  <si>
    <t>=NF($G70,"Posting Date")</t>
  </si>
  <si>
    <t>=NF($G70,"Entry No.")</t>
  </si>
  <si>
    <t>=NF(G70,"Source Type")</t>
  </si>
  <si>
    <t>=NF($G70,"Source No.")</t>
  </si>
  <si>
    <t>=IF($J70="Customer",NL("first",$J70,"Name","No.","@@"&amp;$K70),"")</t>
  </si>
  <si>
    <t>=IF(J70="vendor",NL("first",J70,"Name","No.","@@"&amp;K70),"")</t>
  </si>
  <si>
    <t>=IF($J70="Item",NL("first",$J70,"Description","No.","@@"&amp;$K70),"")</t>
  </si>
  <si>
    <t>=D70</t>
  </si>
  <si>
    <t>=NF($G71,"Posting Date")</t>
  </si>
  <si>
    <t>=NF($G71,"Entry No.")</t>
  </si>
  <si>
    <t>=NF(G71,"Source Type")</t>
  </si>
  <si>
    <t>=NF($G71,"Source No.")</t>
  </si>
  <si>
    <t>=IF($J71="Customer",NL("first",$J71,"Name","No.","@@"&amp;$K71),"")</t>
  </si>
  <si>
    <t>=IF(J71="vendor",NL("first",J71,"Name","No.","@@"&amp;K71),"")</t>
  </si>
  <si>
    <t>=IF($J71="Item",NL("first",$J71,"Description","No.","@@"&amp;$K71),"")</t>
  </si>
  <si>
    <t>=D85</t>
  </si>
  <si>
    <t>=NF($G86,"Posting Date")</t>
  </si>
  <si>
    <t>=NF($G86,"Entry No.")</t>
  </si>
  <si>
    <t>=NF(G86,"Source Type")</t>
  </si>
  <si>
    <t>=NF($G86,"Source No.")</t>
  </si>
  <si>
    <t>=IF($J86="Customer",NL("first",$J86,"Name","No.","@@"&amp;$K86),"")</t>
  </si>
  <si>
    <t>=IF(J86="vendor",NL("first",J86,"Name","No.","@@"&amp;K86),"")</t>
  </si>
  <si>
    <t>=IF($J86="Item",NL("first",$J86,"Description","No.","@@"&amp;$K86),"")</t>
  </si>
  <si>
    <t>=D98</t>
  </si>
  <si>
    <t>=NF($G99,"Posting Date")</t>
  </si>
  <si>
    <t>=NF($G99,"Entry No.")</t>
  </si>
  <si>
    <t>=NF(G99,"Source Type")</t>
  </si>
  <si>
    <t>=NF($G99,"Source No.")</t>
  </si>
  <si>
    <t>=IF($J99="Customer",NL("first",$J99,"Name","No.","@@"&amp;$K99),"")</t>
  </si>
  <si>
    <t>=IF(J99="vendor",NL("first",J99,"Name","No.","@@"&amp;K99),"")</t>
  </si>
  <si>
    <t>=IF($J99="Item",NL("first",$J99,"Description","No.","@@"&amp;$K99),"")</t>
  </si>
  <si>
    <t>=D103</t>
  </si>
  <si>
    <t>=NF($G104,"Posting Date")</t>
  </si>
  <si>
    <t>=NF($G104,"Entry No.")</t>
  </si>
  <si>
    <t>=NF(G104,"Source Type")</t>
  </si>
  <si>
    <t>=NF($G104,"Source No.")</t>
  </si>
  <si>
    <t>=IF($J104="Customer",NL("first",$J104,"Name","No.","@@"&amp;$K104),"")</t>
  </si>
  <si>
    <t>=IF(J104="vendor",NL("first",J104,"Name","No.","@@"&amp;K104),"")</t>
  </si>
  <si>
    <t>=IF($J104="Item",NL("first",$J104,"Description","No.","@@"&amp;$K104),"")</t>
  </si>
  <si>
    <t>=E123</t>
  </si>
  <si>
    <t>=NL("First","Item","Description","No.",$E123)</t>
  </si>
  <si>
    <t>=NL("First","Item","Base Unit of Measure","No.",$E123)</t>
  </si>
  <si>
    <t>=E142</t>
  </si>
  <si>
    <t>=NL("First","Item","Description","No.",$E142)</t>
  </si>
  <si>
    <t>=NL("First","Item","Base Unit of Measure","No.",$E142)</t>
  </si>
  <si>
    <t>=D142</t>
  </si>
  <si>
    <t>=NF($G143,"Posting Date")</t>
  </si>
  <si>
    <t>=NF($G143,"Entry No.")</t>
  </si>
  <si>
    <t>=NF(G143,"Source Type")</t>
  </si>
  <si>
    <t>=NF($G143,"Source No.")</t>
  </si>
  <si>
    <t>=IF($J143="Customer",NL("first",$J143,"Name","No.","@@"&amp;$K143),"")</t>
  </si>
  <si>
    <t>=IF(J143="vendor",NL("first",J143,"Name","No.","@@"&amp;K143),"")</t>
  </si>
  <si>
    <t>=IF($J143="Item",NL("first",$J143,"Description","No.","@@"&amp;$K143),"")</t>
  </si>
  <si>
    <t>=D192</t>
  </si>
  <si>
    <t>=NF($G193,"Posting Date")</t>
  </si>
  <si>
    <t>=NF($G193,"Entry No.")</t>
  </si>
  <si>
    <t>=NF(G193,"Source Type")</t>
  </si>
  <si>
    <t>=NF($G193,"Source No.")</t>
  </si>
  <si>
    <t>=IF($J193="Customer",NL("first",$J193,"Name","No.","@@"&amp;$K193),"")</t>
  </si>
  <si>
    <t>=IF(J193="vendor",NL("first",J193,"Name","No.","@@"&amp;K193),"")</t>
  </si>
  <si>
    <t>=IF($J193="Item",NL("first",$J193,"Description","No.","@@"&amp;$K193),"")</t>
  </si>
  <si>
    <t>=D236</t>
  </si>
  <si>
    <t>=NF($G237,"Posting Date")</t>
  </si>
  <si>
    <t>=NF($G237,"Entry No.")</t>
  </si>
  <si>
    <t>=NF(G237,"Source Type")</t>
  </si>
  <si>
    <t>=NF($G237,"Source No.")</t>
  </si>
  <si>
    <t>=IF($J237="Customer",NL("first",$J237,"Name","No.","@@"&amp;$K237),"")</t>
  </si>
  <si>
    <t>=IF(J237="vendor",NL("first",J237,"Name","No.","@@"&amp;K237),"")</t>
  </si>
  <si>
    <t>=IF($J237="Item",NL("first",$J237,"Description","No.","@@"&amp;$K237),"")</t>
  </si>
  <si>
    <t>=D237</t>
  </si>
  <si>
    <t>=NF($G238,"Posting Date")</t>
  </si>
  <si>
    <t>=NF($G238,"Entry No.")</t>
  </si>
  <si>
    <t>=NF(G238,"Source Type")</t>
  </si>
  <si>
    <t>=NF($G238,"Source No.")</t>
  </si>
  <si>
    <t>=IF($J238="Customer",NL("first",$J238,"Name","No.","@@"&amp;$K238),"")</t>
  </si>
  <si>
    <t>=IF(J238="vendor",NL("first",J238,"Name","No.","@@"&amp;K238),"")</t>
  </si>
  <si>
    <t>=IF($J238="Item",NL("first",$J238,"Description","No.","@@"&amp;$K238),"")</t>
  </si>
  <si>
    <t>=D243</t>
  </si>
  <si>
    <t>=NF($G244,"Posting Date")</t>
  </si>
  <si>
    <t>=NF($G244,"Entry No.")</t>
  </si>
  <si>
    <t>=NF(G244,"Source Type")</t>
  </si>
  <si>
    <t>=NF($G244,"Source No.")</t>
  </si>
  <si>
    <t>=IF($J244="Customer",NL("first",$J244,"Name","No.","@@"&amp;$K244),"")</t>
  </si>
  <si>
    <t>=IF(J244="vendor",NL("first",J244,"Name","No.","@@"&amp;K244),"")</t>
  </si>
  <si>
    <t>=IF($J244="Item",NL("first",$J244,"Description","No.","@@"&amp;$K244),"")</t>
  </si>
  <si>
    <t>=D265</t>
  </si>
  <si>
    <t>=NF($G266,"Posting Date")</t>
  </si>
  <si>
    <t>=NF($G266,"Entry No.")</t>
  </si>
  <si>
    <t>=NF(G266,"Source Type")</t>
  </si>
  <si>
    <t>=NF($G266,"Source No.")</t>
  </si>
  <si>
    <t>=IF($J266="Customer",NL("first",$J266,"Name","No.","@@"&amp;$K266),"")</t>
  </si>
  <si>
    <t>=IF(J266="vendor",NL("first",J266,"Name","No.","@@"&amp;K266),"")</t>
  </si>
  <si>
    <t>=IF($J266="Item",NL("first",$J266,"Description","No.","@@"&amp;$K266),"")</t>
  </si>
  <si>
    <t>=D267</t>
  </si>
  <si>
    <t>=NF($G268,"Posting Date")</t>
  </si>
  <si>
    <t>=NF($G268,"Entry No.")</t>
  </si>
  <si>
    <t>=NF(G268,"Source Type")</t>
  </si>
  <si>
    <t>=NF($G268,"Source No.")</t>
  </si>
  <si>
    <t>=IF($J268="Customer",NL("first",$J268,"Name","No.","@@"&amp;$K268),"")</t>
  </si>
  <si>
    <t>=IF(J268="vendor",NL("first",J268,"Name","No.","@@"&amp;K268),"")</t>
  </si>
  <si>
    <t>=IF($J268="Item",NL("first",$J268,"Description","No.","@@"&amp;$K268),"")</t>
  </si>
  <si>
    <t>=E271</t>
  </si>
  <si>
    <t>=NL("First","Item","Description","No.",$E271)</t>
  </si>
  <si>
    <t>=NL("First","Item","Base Unit of Measure","No.",$E271)</t>
  </si>
  <si>
    <t>=D277</t>
  </si>
  <si>
    <t>=NF($G278,"Posting Date")</t>
  </si>
  <si>
    <t>=NF($G278,"Entry No.")</t>
  </si>
  <si>
    <t>=NF(G278,"Source Type")</t>
  </si>
  <si>
    <t>=NF($G278,"Source No.")</t>
  </si>
  <si>
    <t>=IF($J278="Customer",NL("first",$J278,"Name","No.","@@"&amp;$K278),"")</t>
  </si>
  <si>
    <t>=IF(J278="vendor",NL("first",J278,"Name","No.","@@"&amp;K278),"")</t>
  </si>
  <si>
    <t>=IF($J278="Item",NL("first",$J278,"Description","No.","@@"&amp;$K278),"")</t>
  </si>
  <si>
    <t>=D278</t>
  </si>
  <si>
    <t>=NF($G279,"Posting Date")</t>
  </si>
  <si>
    <t>=NF($G279,"Entry No.")</t>
  </si>
  <si>
    <t>=NF(G279,"Source Type")</t>
  </si>
  <si>
    <t>=NF($G279,"Source No.")</t>
  </si>
  <si>
    <t>=IF($J279="Customer",NL("first",$J279,"Name","No.","@@"&amp;$K279),"")</t>
  </si>
  <si>
    <t>=IF(J279="vendor",NL("first",J279,"Name","No.","@@"&amp;K279),"")</t>
  </si>
  <si>
    <t>=IF($J279="Item",NL("first",$J279,"Description","No.","@@"&amp;$K279),"")</t>
  </si>
  <si>
    <t>=D296</t>
  </si>
  <si>
    <t>=NF($G297,"Posting Date")</t>
  </si>
  <si>
    <t>=NF($G297,"Entry No.")</t>
  </si>
  <si>
    <t>=NF(G297,"Source Type")</t>
  </si>
  <si>
    <t>=NF($G297,"Source No.")</t>
  </si>
  <si>
    <t>=IF($J297="Customer",NL("first",$J297,"Name","No.","@@"&amp;$K297),"")</t>
  </si>
  <si>
    <t>=IF(J297="vendor",NL("first",J297,"Name","No.","@@"&amp;K297),"")</t>
  </si>
  <si>
    <t>=IF($J297="Item",NL("first",$J297,"Description","No.","@@"&amp;$K297),"")</t>
  </si>
  <si>
    <t>=D300</t>
  </si>
  <si>
    <t>=NF($G301,"Posting Date")</t>
  </si>
  <si>
    <t>=NF($G301,"Entry No.")</t>
  </si>
  <si>
    <t>=NF(G301,"Source Type")</t>
  </si>
  <si>
    <t>=NF($G301,"Source No.")</t>
  </si>
  <si>
    <t>=IF($J301="Customer",NL("first",$J301,"Name","No.","@@"&amp;$K301),"")</t>
  </si>
  <si>
    <t>=IF(J301="vendor",NL("first",J301,"Name","No.","@@"&amp;K301),"")</t>
  </si>
  <si>
    <t>=IF($J301="Item",NL("first",$J301,"Description","No.","@@"&amp;$K301),"")</t>
  </si>
  <si>
    <t>=D319</t>
  </si>
  <si>
    <t>=NF($G320,"Posting Date")</t>
  </si>
  <si>
    <t>=NF($G320,"Entry No.")</t>
  </si>
  <si>
    <t>=NF(G320,"Source Type")</t>
  </si>
  <si>
    <t>=NF($G320,"Source No.")</t>
  </si>
  <si>
    <t>=IF($J320="Customer",NL("first",$J320,"Name","No.","@@"&amp;$K320),"")</t>
  </si>
  <si>
    <t>=IF(J320="vendor",NL("first",J320,"Name","No.","@@"&amp;K320),"")</t>
  </si>
  <si>
    <t>=IF($J320="Item",NL("first",$J320,"Description","No.","@@"&amp;$K320),"")</t>
  </si>
  <si>
    <t>=D323</t>
  </si>
  <si>
    <t>=NF($G324,"Posting Date")</t>
  </si>
  <si>
    <t>=NF($G324,"Entry No.")</t>
  </si>
  <si>
    <t>=NF(G324,"Source Type")</t>
  </si>
  <si>
    <t>=NF($G324,"Source No.")</t>
  </si>
  <si>
    <t>=IF($J324="Customer",NL("first",$J324,"Name","No.","@@"&amp;$K324),"")</t>
  </si>
  <si>
    <t>=IF(J324="vendor",NL("first",J324,"Name","No.","@@"&amp;K324),"")</t>
  </si>
  <si>
    <t>=IF($J324="Item",NL("first",$J324,"Description","No.","@@"&amp;$K324),"")</t>
  </si>
  <si>
    <t>=D338</t>
  </si>
  <si>
    <t>=NF($G339,"Posting Date")</t>
  </si>
  <si>
    <t>=NF($G339,"Entry No.")</t>
  </si>
  <si>
    <t>=NF(G339,"Source Type")</t>
  </si>
  <si>
    <t>=NF($G339,"Source No.")</t>
  </si>
  <si>
    <t>=IF($J339="Customer",NL("first",$J339,"Name","No.","@@"&amp;$K339),"")</t>
  </si>
  <si>
    <t>=IF(J339="vendor",NL("first",J339,"Name","No.","@@"&amp;K339),"")</t>
  </si>
  <si>
    <t>=IF($J339="Item",NL("first",$J339,"Description","No.","@@"&amp;$K339),"")</t>
  </si>
  <si>
    <t>=D352</t>
  </si>
  <si>
    <t>=NF($G353,"Posting Date")</t>
  </si>
  <si>
    <t>=NF($G353,"Entry No.")</t>
  </si>
  <si>
    <t>=NF(G353,"Source Type")</t>
  </si>
  <si>
    <t>=NF($G353,"Source No.")</t>
  </si>
  <si>
    <t>=IF($J353="Customer",NL("first",$J353,"Name","No.","@@"&amp;$K353),"")</t>
  </si>
  <si>
    <t>=IF(J353="vendor",NL("first",J353,"Name","No.","@@"&amp;K353),"")</t>
  </si>
  <si>
    <t>=IF($J353="Item",NL("first",$J353,"Description","No.","@@"&amp;$K353),"")</t>
  </si>
  <si>
    <t>=D361</t>
  </si>
  <si>
    <t>=NF($G362,"Posting Date")</t>
  </si>
  <si>
    <t>=NF($G362,"Entry No.")</t>
  </si>
  <si>
    <t>=NF(G362,"Source Type")</t>
  </si>
  <si>
    <t>=NF($G362,"Source No.")</t>
  </si>
  <si>
    <t>=IF($J362="Customer",NL("first",$J362,"Name","No.","@@"&amp;$K362),"")</t>
  </si>
  <si>
    <t>=IF(J362="vendor",NL("first",J362,"Name","No.","@@"&amp;K362),"")</t>
  </si>
  <si>
    <t>=IF($J362="Item",NL("first",$J362,"Description","No.","@@"&amp;$K362),"")</t>
  </si>
  <si>
    <t>=D374</t>
  </si>
  <si>
    <t>=NF($G375,"Posting Date")</t>
  </si>
  <si>
    <t>=NF($G375,"Entry No.")</t>
  </si>
  <si>
    <t>=NF(G375,"Source Type")</t>
  </si>
  <si>
    <t>=NF($G375,"Source No.")</t>
  </si>
  <si>
    <t>=IF($J375="Customer",NL("first",$J375,"Name","No.","@@"&amp;$K375),"")</t>
  </si>
  <si>
    <t>=IF(J375="vendor",NL("first",J375,"Name","No.","@@"&amp;K375),"")</t>
  </si>
  <si>
    <t>=IF($J375="Item",NL("first",$J375,"Description","No.","@@"&amp;$K375),"")</t>
  </si>
  <si>
    <t>=D375</t>
  </si>
  <si>
    <t>=NF($G376,"Posting Date")</t>
  </si>
  <si>
    <t>=NF($G376,"Entry No.")</t>
  </si>
  <si>
    <t>=NF(G376,"Source Type")</t>
  </si>
  <si>
    <t>=NF($G376,"Source No.")</t>
  </si>
  <si>
    <t>=IF($J376="Customer",NL("first",$J376,"Name","No.","@@"&amp;$K376),"")</t>
  </si>
  <si>
    <t>=IF(J376="vendor",NL("first",J376,"Name","No.","@@"&amp;K376),"")</t>
  </si>
  <si>
    <t>=IF($J376="Item",NL("first",$J376,"Description","No.","@@"&amp;$K376),"")</t>
  </si>
  <si>
    <t>=D410</t>
  </si>
  <si>
    <t>=NF($G411,"Posting Date")</t>
  </si>
  <si>
    <t>=NF($G411,"Entry No.")</t>
  </si>
  <si>
    <t>=NF(G411,"Source Type")</t>
  </si>
  <si>
    <t>=NF($G411,"Source No.")</t>
  </si>
  <si>
    <t>=IF($J411="Customer",NL("first",$J411,"Name","No.","@@"&amp;$K411),"")</t>
  </si>
  <si>
    <t>=IF(J411="vendor",NL("first",J411,"Name","No.","@@"&amp;K411),"")</t>
  </si>
  <si>
    <t>=IF($J411="Item",NL("first",$J411,"Description","No.","@@"&amp;$K411),"")</t>
  </si>
  <si>
    <t>=D443</t>
  </si>
  <si>
    <t>=NF($G444,"Posting Date")</t>
  </si>
  <si>
    <t>=NF($G444,"Entry No.")</t>
  </si>
  <si>
    <t>=NF(G444,"Source Type")</t>
  </si>
  <si>
    <t>=NF($G444,"Source No.")</t>
  </si>
  <si>
    <t>=IF($J444="Customer",NL("first",$J444,"Name","No.","@@"&amp;$K444),"")</t>
  </si>
  <si>
    <t>=IF(J444="vendor",NL("first",J444,"Name","No.","@@"&amp;K444),"")</t>
  </si>
  <si>
    <t>=IF($J444="Item",NL("first",$J444,"Description","No.","@@"&amp;$K444),"")</t>
  </si>
  <si>
    <t>=E74</t>
  </si>
  <si>
    <t>=NL("First","Item","Description","No.",$E74)</t>
  </si>
  <si>
    <t>=NL("First","Item","Base Unit of Measure","No.",$E74)</t>
  </si>
  <si>
    <t>=(SUBTOTAL(9,O42:O43))</t>
  </si>
  <si>
    <t>=(SUBTOTAL(9,P42:P43))</t>
  </si>
  <si>
    <t>=(SUBTOTAL(9,Q42:Q43))</t>
  </si>
  <si>
    <t>=(SUBTOTAL(9,R42:R43))</t>
  </si>
  <si>
    <t>=(SUBTOTAL(9,S42:S43))</t>
  </si>
  <si>
    <t>=(SUBTOTAL(9,T42:T43))</t>
  </si>
  <si>
    <t>=SUBTOTAL(9,O42:T43)</t>
  </si>
  <si>
    <t>=E45</t>
  </si>
  <si>
    <t>=NL("First","Item","Description","No.",$E45)</t>
  </si>
  <si>
    <t>=NL("First","Item","Base Unit of Measure","No.",$E45)</t>
  </si>
  <si>
    <t>=D45</t>
  </si>
  <si>
    <t>=NF($G46,"Posting Date")</t>
  </si>
  <si>
    <t>=NF($G46,"Entry No.")</t>
  </si>
  <si>
    <t>=NF(G46,"Source Type")</t>
  </si>
  <si>
    <t>=NF($G46,"Source No.")</t>
  </si>
  <si>
    <t>=IF($J46="Customer",NL("first",$J46,"Name","No.","@@"&amp;$K46),"")</t>
  </si>
  <si>
    <t>=IF(J46="vendor",NL("first",J46,"Name","No.","@@"&amp;K46),"")</t>
  </si>
  <si>
    <t>=IF($J46="Item",NL("first",$J46,"Description","No.","@@"&amp;$K46),"")</t>
  </si>
  <si>
    <t>=E49</t>
  </si>
  <si>
    <t>=NL("First","Item","Description","No.",$E49)</t>
  </si>
  <si>
    <t>=NL("First","Item","Base Unit of Measure","No.",$E49)</t>
  </si>
  <si>
    <t>=D65</t>
  </si>
  <si>
    <t>=NF($G66,"Posting Date")</t>
  </si>
  <si>
    <t>=NF($G66,"Entry No.")</t>
  </si>
  <si>
    <t>=NF(G66,"Source Type")</t>
  </si>
  <si>
    <t>=NF($G66,"Source No.")</t>
  </si>
  <si>
    <t>=IF($J66="Customer",NL("first",$J66,"Name","No.","@@"&amp;$K66),"")</t>
  </si>
  <si>
    <t>=IF(J66="vendor",NL("first",J66,"Name","No.","@@"&amp;K66),"")</t>
  </si>
  <si>
    <t>=IF($J66="Item",NL("first",$J66,"Description","No.","@@"&amp;$K66),"")</t>
  </si>
  <si>
    <t>=E69</t>
  </si>
  <si>
    <t>=NL("First","Item","Description","No.",$E69)</t>
  </si>
  <si>
    <t>=NL("First","Item","Base Unit of Measure","No.",$E69)</t>
  </si>
  <si>
    <t>=E73</t>
  </si>
  <si>
    <t>=NL("First","Item","Description","No.",$E73)</t>
  </si>
  <si>
    <t>=NL("First","Item","Base Unit of Measure","No.",$E73)</t>
  </si>
  <si>
    <t>=E85</t>
  </si>
  <si>
    <t>=NL("First","Item","Description","No.",$E85)</t>
  </si>
  <si>
    <t>=NL("First","Item","Base Unit of Measure","No.",$E85)</t>
  </si>
  <si>
    <t>=D86</t>
  </si>
  <si>
    <t>=NF($G87,"Posting Date")</t>
  </si>
  <si>
    <t>=NF($G87,"Entry No.")</t>
  </si>
  <si>
    <t>=NF(G87,"Source Type")</t>
  </si>
  <si>
    <t>=NF($G87,"Source No.")</t>
  </si>
  <si>
    <t>=IF($J87="Customer",NL("first",$J87,"Name","No.","@@"&amp;$K87),"")</t>
  </si>
  <si>
    <t>=IF(J87="vendor",NL("first",J87,"Name","No.","@@"&amp;K87),"")</t>
  </si>
  <si>
    <t>=IF($J87="Item",NL("first",$J87,"Description","No.","@@"&amp;$K87),"")</t>
  </si>
  <si>
    <t>=E110</t>
  </si>
  <si>
    <t>=NL("First","Item","Description","No.",$E110)</t>
  </si>
  <si>
    <t>=NL("First","Item","Base Unit of Measure","No.",$E110)</t>
  </si>
  <si>
    <t>=D110</t>
  </si>
  <si>
    <t>=NF($G111,"Posting Date")</t>
  </si>
  <si>
    <t>=NF($G111,"Entry No.")</t>
  </si>
  <si>
    <t>=NF(G111,"Source Type")</t>
  </si>
  <si>
    <t>=NF($G111,"Source No.")</t>
  </si>
  <si>
    <t>=IF($J111="Customer",NL("first",$J111,"Name","No.","@@"&amp;$K111),"")</t>
  </si>
  <si>
    <t>=IF(J111="vendor",NL("first",J111,"Name","No.","@@"&amp;K111),"")</t>
  </si>
  <si>
    <t>=IF($J111="Item",NL("first",$J111,"Description","No.","@@"&amp;$K111),"")</t>
  </si>
  <si>
    <t>=E130</t>
  </si>
  <si>
    <t>=NL("First","Item","Description","No.",$E130)</t>
  </si>
  <si>
    <t>=NL("First","Item","Base Unit of Measure","No.",$E130)</t>
  </si>
  <si>
    <t>=D165</t>
  </si>
  <si>
    <t>=NF($G166,"Posting Date")</t>
  </si>
  <si>
    <t>=NF($G166,"Entry No.")</t>
  </si>
  <si>
    <t>=NF(G166,"Source Type")</t>
  </si>
  <si>
    <t>=NF($G166,"Source No.")</t>
  </si>
  <si>
    <t>=IF($J166="Customer",NL("first",$J166,"Name","No.","@@"&amp;$K166),"")</t>
  </si>
  <si>
    <t>=IF(J166="vendor",NL("first",J166,"Name","No.","@@"&amp;K166),"")</t>
  </si>
  <si>
    <t>=IF($J166="Item",NL("first",$J166,"Description","No.","@@"&amp;$K166),"")</t>
  </si>
  <si>
    <t>=D245</t>
  </si>
  <si>
    <t>=NF($G246,"Posting Date")</t>
  </si>
  <si>
    <t>=NF($G246,"Entry No.")</t>
  </si>
  <si>
    <t>=NF(G246,"Source Type")</t>
  </si>
  <si>
    <t>=NF($G246,"Source No.")</t>
  </si>
  <si>
    <t>=IF($J246="Customer",NL("first",$J246,"Name","No.","@@"&amp;$K246),"")</t>
  </si>
  <si>
    <t>=IF(J246="vendor",NL("first",J246,"Name","No.","@@"&amp;K246),"")</t>
  </si>
  <si>
    <t>=IF($J246="Item",NL("first",$J246,"Description","No.","@@"&amp;$K246),"")</t>
  </si>
  <si>
    <t>=D253</t>
  </si>
  <si>
    <t>=NF($G254,"Posting Date")</t>
  </si>
  <si>
    <t>=NF($G254,"Entry No.")</t>
  </si>
  <si>
    <t>=NF(G254,"Source Type")</t>
  </si>
  <si>
    <t>=NF($G254,"Source No.")</t>
  </si>
  <si>
    <t>=IF($J254="Customer",NL("first",$J254,"Name","No.","@@"&amp;$K254),"")</t>
  </si>
  <si>
    <t>=IF(J254="vendor",NL("first",J254,"Name","No.","@@"&amp;K254),"")</t>
  </si>
  <si>
    <t>=IF($J254="Item",NL("first",$J254,"Description","No.","@@"&amp;$K254),"")</t>
  </si>
  <si>
    <t>=D299</t>
  </si>
  <si>
    <t>=NF($G300,"Posting Date")</t>
  </si>
  <si>
    <t>=NF($G300,"Entry No.")</t>
  </si>
  <si>
    <t>=NF(G300,"Source Type")</t>
  </si>
  <si>
    <t>=NF($G300,"Source No.")</t>
  </si>
  <si>
    <t>=IF($J300="Customer",NL("first",$J300,"Name","No.","@@"&amp;$K300),"")</t>
  </si>
  <si>
    <t>=IF(J300="vendor",NL("first",J300,"Name","No.","@@"&amp;K300),"")</t>
  </si>
  <si>
    <t>=IF($J300="Item",NL("first",$J300,"Description","No.","@@"&amp;$K300),"")</t>
  </si>
  <si>
    <t>=D318</t>
  </si>
  <si>
    <t>=NF($G319,"Posting Date")</t>
  </si>
  <si>
    <t>=NF($G319,"Entry No.")</t>
  </si>
  <si>
    <t>=NF(G319,"Source Type")</t>
  </si>
  <si>
    <t>=NF($G319,"Source No.")</t>
  </si>
  <si>
    <t>=IF($J319="Customer",NL("first",$J319,"Name","No.","@@"&amp;$K319),"")</t>
  </si>
  <si>
    <t>=IF(J319="vendor",NL("first",J319,"Name","No.","@@"&amp;K319),"")</t>
  </si>
  <si>
    <t>=IF($J319="Item",NL("first",$J319,"Description","No.","@@"&amp;$K319),"")</t>
  </si>
  <si>
    <t>=D322</t>
  </si>
  <si>
    <t>=NF($G323,"Posting Date")</t>
  </si>
  <si>
    <t>=NF($G323,"Entry No.")</t>
  </si>
  <si>
    <t>=NF(G323,"Source Type")</t>
  </si>
  <si>
    <t>=NF($G323,"Source No.")</t>
  </si>
  <si>
    <t>=IF($J323="Customer",NL("first",$J323,"Name","No.","@@"&amp;$K323),"")</t>
  </si>
  <si>
    <t>=IF(J323="vendor",NL("first",J323,"Name","No.","@@"&amp;K323),"")</t>
  </si>
  <si>
    <t>=IF($J323="Item",NL("first",$J323,"Description","No.","@@"&amp;$K323),"")</t>
  </si>
  <si>
    <t>=D327</t>
  </si>
  <si>
    <t>=NF($G328,"Posting Date")</t>
  </si>
  <si>
    <t>=NF($G328,"Entry No.")</t>
  </si>
  <si>
    <t>=NF(G328,"Source Type")</t>
  </si>
  <si>
    <t>=NF($G328,"Source No.")</t>
  </si>
  <si>
    <t>=IF($J328="Customer",NL("first",$J328,"Name","No.","@@"&amp;$K328),"")</t>
  </si>
  <si>
    <t>=IF(J328="vendor",NL("first",J328,"Name","No.","@@"&amp;K328),"")</t>
  </si>
  <si>
    <t>=IF($J328="Item",NL("first",$J328,"Description","No.","@@"&amp;$K328),"")</t>
  </si>
  <si>
    <t>=D344</t>
  </si>
  <si>
    <t>=NF($G345,"Posting Date")</t>
  </si>
  <si>
    <t>=NF($G345,"Entry No.")</t>
  </si>
  <si>
    <t>=NF(G345,"Source Type")</t>
  </si>
  <si>
    <t>=NF($G345,"Source No.")</t>
  </si>
  <si>
    <t>=IF($J345="Customer",NL("first",$J345,"Name","No.","@@"&amp;$K345),"")</t>
  </si>
  <si>
    <t>=IF(J345="vendor",NL("first",J345,"Name","No.","@@"&amp;K345),"")</t>
  </si>
  <si>
    <t>=IF($J345="Item",NL("first",$J345,"Description","No.","@@"&amp;$K345),"")</t>
  </si>
  <si>
    <t>=D21</t>
  </si>
  <si>
    <t>=NF($G22,"Posting Date")</t>
  </si>
  <si>
    <t>=NF($G22,"Entry No.")</t>
  </si>
  <si>
    <t>=NF(G22,"Source Type")</t>
  </si>
  <si>
    <t>=NF($G22,"Source No.")</t>
  </si>
  <si>
    <t>=IF($J22="Customer",NL("first",$J22,"Name","No.","@@"&amp;$K22),"")</t>
  </si>
  <si>
    <t>=IF(J22="vendor",NL("first",J22,"Name","No.","@@"&amp;K22),"")</t>
  </si>
  <si>
    <t>=IF($J22="Item",NL("first",$J22,"Description","No.","@@"&amp;$K22),"")</t>
  </si>
  <si>
    <t>=E129</t>
  </si>
  <si>
    <t>=NL("First","Item","Description","No.",$E129)</t>
  </si>
  <si>
    <t>=NL("First","Item","Base Unit of Measure","No.",$E129)</t>
  </si>
  <si>
    <t>=D133</t>
  </si>
  <si>
    <t>=NF($G134,"Posting Date")</t>
  </si>
  <si>
    <t>=NF($G134,"Entry No.")</t>
  </si>
  <si>
    <t>=NF(G134,"Source Type")</t>
  </si>
  <si>
    <t>=NF($G134,"Source No.")</t>
  </si>
  <si>
    <t>=IF($J134="Customer",NL("first",$J134,"Name","No.","@@"&amp;$K134),"")</t>
  </si>
  <si>
    <t>=IF(J134="vendor",NL("first",J134,"Name","No.","@@"&amp;K134),"")</t>
  </si>
  <si>
    <t>=IF($J134="Item",NL("first",$J134,"Description","No.","@@"&amp;$K134),"")</t>
  </si>
  <si>
    <t>=D134</t>
  </si>
  <si>
    <t>=NF($G135,"Posting Date")</t>
  </si>
  <si>
    <t>=NF($G135,"Entry No.")</t>
  </si>
  <si>
    <t>=NF(G135,"Source Type")</t>
  </si>
  <si>
    <t>=NF($G135,"Source No.")</t>
  </si>
  <si>
    <t>=IF($J135="Customer",NL("first",$J135,"Name","No.","@@"&amp;$K135),"")</t>
  </si>
  <si>
    <t>=IF(J135="vendor",NL("first",J135,"Name","No.","@@"&amp;K135),"")</t>
  </si>
  <si>
    <t>=IF($J135="Item",NL("first",$J135,"Description","No.","@@"&amp;$K135),"")</t>
  </si>
  <si>
    <t>=D172</t>
  </si>
  <si>
    <t>=NF($G173,"Posting Date")</t>
  </si>
  <si>
    <t>=NF($G173,"Entry No.")</t>
  </si>
  <si>
    <t>=NF(G173,"Source Type")</t>
  </si>
  <si>
    <t>=NF($G173,"Source No.")</t>
  </si>
  <si>
    <t>=IF($J173="Customer",NL("first",$J173,"Name","No.","@@"&amp;$K173),"")</t>
  </si>
  <si>
    <t>=IF(J173="vendor",NL("first",J173,"Name","No.","@@"&amp;K173),"")</t>
  </si>
  <si>
    <t>=IF($J173="Item",NL("first",$J173,"Description","No.","@@"&amp;$K173),"")</t>
  </si>
  <si>
    <t>=E185</t>
  </si>
  <si>
    <t>=NL("First","Item","Description","No.",$E185)</t>
  </si>
  <si>
    <t>=NL("First","Item","Base Unit of Measure","No.",$E185)</t>
  </si>
  <si>
    <t>=D185</t>
  </si>
  <si>
    <t>=NF($G186,"Posting Date")</t>
  </si>
  <si>
    <t>=NF($G186,"Entry No.")</t>
  </si>
  <si>
    <t>=NF(G186,"Source Type")</t>
  </si>
  <si>
    <t>=NF($G186,"Source No.")</t>
  </si>
  <si>
    <t>=IF($J186="Customer",NL("first",$J186,"Name","No.","@@"&amp;$K186),"")</t>
  </si>
  <si>
    <t>=IF(J186="vendor",NL("first",J186,"Name","No.","@@"&amp;K186),"")</t>
  </si>
  <si>
    <t>=IF($J186="Item",NL("first",$J186,"Description","No.","@@"&amp;$K186),"")</t>
  </si>
  <si>
    <t>=D241</t>
  </si>
  <si>
    <t>=NF($G242,"Posting Date")</t>
  </si>
  <si>
    <t>=NF($G242,"Entry No.")</t>
  </si>
  <si>
    <t>=NF(G242,"Source Type")</t>
  </si>
  <si>
    <t>=NF($G242,"Source No.")</t>
  </si>
  <si>
    <t>=IF($J242="Customer",NL("first",$J242,"Name","No.","@@"&amp;$K242),"")</t>
  </si>
  <si>
    <t>=IF(J242="vendor",NL("first",J242,"Name","No.","@@"&amp;K242),"")</t>
  </si>
  <si>
    <t>=IF($J242="Item",NL("first",$J242,"Description","No.","@@"&amp;$K242),"")</t>
  </si>
  <si>
    <t>=D247</t>
  </si>
  <si>
    <t>=NF($G248,"Posting Date")</t>
  </si>
  <si>
    <t>=NF($G248,"Entry No.")</t>
  </si>
  <si>
    <t>=NF(G248,"Source Type")</t>
  </si>
  <si>
    <t>=NF($G248,"Source No.")</t>
  </si>
  <si>
    <t>=IF($J248="Customer",NL("first",$J248,"Name","No.","@@"&amp;$K248),"")</t>
  </si>
  <si>
    <t>=IF(J248="vendor",NL("first",J248,"Name","No.","@@"&amp;K248),"")</t>
  </si>
  <si>
    <t>=IF($J248="Item",NL("first",$J248,"Description","No.","@@"&amp;$K248),"")</t>
  </si>
  <si>
    <t>=D255</t>
  </si>
  <si>
    <t>=NF($G256,"Posting Date")</t>
  </si>
  <si>
    <t>=NF($G256,"Entry No.")</t>
  </si>
  <si>
    <t>=NF(G256,"Source Type")</t>
  </si>
  <si>
    <t>=NF($G256,"Source No.")</t>
  </si>
  <si>
    <t>=IF($J256="Customer",NL("first",$J256,"Name","No.","@@"&amp;$K256),"")</t>
  </si>
  <si>
    <t>=IF(J256="vendor",NL("first",J256,"Name","No.","@@"&amp;K256),"")</t>
  </si>
  <si>
    <t>=IF($J256="Item",NL("first",$J256,"Description","No.","@@"&amp;$K256),"")</t>
  </si>
  <si>
    <t>=D261</t>
  </si>
  <si>
    <t>=NF($G262,"Posting Date")</t>
  </si>
  <si>
    <t>=NF($G262,"Entry No.")</t>
  </si>
  <si>
    <t>=NF(G262,"Source Type")</t>
  </si>
  <si>
    <t>=NF($G262,"Source No.")</t>
  </si>
  <si>
    <t>=IF($J262="Customer",NL("first",$J262,"Name","No.","@@"&amp;$K262),"")</t>
  </si>
  <si>
    <t>=IF(J262="vendor",NL("first",J262,"Name","No.","@@"&amp;K262),"")</t>
  </si>
  <si>
    <t>=IF($J262="Item",NL("first",$J262,"Description","No.","@@"&amp;$K262),"")</t>
  </si>
  <si>
    <t>=D283</t>
  </si>
  <si>
    <t>=NF($G284,"Posting Date")</t>
  </si>
  <si>
    <t>=NF($G284,"Entry No.")</t>
  </si>
  <si>
    <t>=NF(G284,"Source Type")</t>
  </si>
  <si>
    <t>=NF($G284,"Source No.")</t>
  </si>
  <si>
    <t>=IF($J284="Customer",NL("first",$J284,"Name","No.","@@"&amp;$K284),"")</t>
  </si>
  <si>
    <t>=IF(J284="vendor",NL("first",J284,"Name","No.","@@"&amp;K284),"")</t>
  </si>
  <si>
    <t>=IF($J284="Item",NL("first",$J284,"Description","No.","@@"&amp;$K284),"")</t>
  </si>
  <si>
    <t>=D284</t>
  </si>
  <si>
    <t>=NF($G285,"Posting Date")</t>
  </si>
  <si>
    <t>=NF($G285,"Entry No.")</t>
  </si>
  <si>
    <t>=NF(G285,"Source Type")</t>
  </si>
  <si>
    <t>=NF($G285,"Source No.")</t>
  </si>
  <si>
    <t>=IF($J285="Customer",NL("first",$J285,"Name","No.","@@"&amp;$K285),"")</t>
  </si>
  <si>
    <t>=IF(J285="vendor",NL("first",J285,"Name","No.","@@"&amp;K285),"")</t>
  </si>
  <si>
    <t>=IF($J285="Item",NL("first",$J285,"Description","No.","@@"&amp;$K285),"")</t>
  </si>
  <si>
    <t>=D290</t>
  </si>
  <si>
    <t>=NF($G291,"Posting Date")</t>
  </si>
  <si>
    <t>=NF($G291,"Entry No.")</t>
  </si>
  <si>
    <t>=NF(G291,"Source Type")</t>
  </si>
  <si>
    <t>=NF($G291,"Source No.")</t>
  </si>
  <si>
    <t>=IF($J291="Customer",NL("first",$J291,"Name","No.","@@"&amp;$K291),"")</t>
  </si>
  <si>
    <t>=IF(J291="vendor",NL("first",J291,"Name","No.","@@"&amp;K291),"")</t>
  </si>
  <si>
    <t>=IF($J291="Item",NL("first",$J291,"Description","No.","@@"&amp;$K291),"")</t>
  </si>
  <si>
    <t>=D295</t>
  </si>
  <si>
    <t>=NF($G296,"Posting Date")</t>
  </si>
  <si>
    <t>=NF($G296,"Entry No.")</t>
  </si>
  <si>
    <t>=NF(G296,"Source Type")</t>
  </si>
  <si>
    <t>=NF($G296,"Source No.")</t>
  </si>
  <si>
    <t>=IF($J296="Customer",NL("first",$J296,"Name","No.","@@"&amp;$K296),"")</t>
  </si>
  <si>
    <t>=IF(J296="vendor",NL("first",J296,"Name","No.","@@"&amp;K296),"")</t>
  </si>
  <si>
    <t>=IF($J296="Item",NL("first",$J296,"Description","No.","@@"&amp;$K296),"")</t>
  </si>
  <si>
    <t>=D306</t>
  </si>
  <si>
    <t>=NF($G307,"Posting Date")</t>
  </si>
  <si>
    <t>=NF($G307,"Entry No.")</t>
  </si>
  <si>
    <t>=NF(G307,"Source Type")</t>
  </si>
  <si>
    <t>=NF($G307,"Source No.")</t>
  </si>
  <si>
    <t>=IF($J307="Customer",NL("first",$J307,"Name","No.","@@"&amp;$K307),"")</t>
  </si>
  <si>
    <t>=IF(J307="vendor",NL("first",J307,"Name","No.","@@"&amp;K307),"")</t>
  </si>
  <si>
    <t>=IF($J307="Item",NL("first",$J307,"Description","No.","@@"&amp;$K307),"")</t>
  </si>
  <si>
    <t>=D353</t>
  </si>
  <si>
    <t>=NF($G354,"Posting Date")</t>
  </si>
  <si>
    <t>=NF($G354,"Entry No.")</t>
  </si>
  <si>
    <t>=NF(G354,"Source Type")</t>
  </si>
  <si>
    <t>=NF($G354,"Source No.")</t>
  </si>
  <si>
    <t>=IF($J354="Customer",NL("first",$J354,"Name","No.","@@"&amp;$K354),"")</t>
  </si>
  <si>
    <t>=IF(J354="vendor",NL("first",J354,"Name","No.","@@"&amp;K354),"")</t>
  </si>
  <si>
    <t>=IF($J354="Item",NL("first",$J354,"Description","No.","@@"&amp;$K354),"")</t>
  </si>
  <si>
    <t>=E82</t>
  </si>
  <si>
    <t>=NL("First","Item","Description","No.",$E82)</t>
  </si>
  <si>
    <t>=NL("First","Item","Base Unit of Measure","No.",$E82)</t>
  </si>
  <si>
    <t>=E86</t>
  </si>
  <si>
    <t>=NL("First","Item","Description","No.",$E86)</t>
  </si>
  <si>
    <t>=NL("First","Item","Base Unit of Measure","No.",$E86)</t>
  </si>
  <si>
    <t>=D115</t>
  </si>
  <si>
    <t>=NF($G116,"Posting Date")</t>
  </si>
  <si>
    <t>=NF($G116,"Entry No.")</t>
  </si>
  <si>
    <t>=NF(G116,"Source Type")</t>
  </si>
  <si>
    <t>=NF($G116,"Source No.")</t>
  </si>
  <si>
    <t>=IF($J116="Customer",NL("first",$J116,"Name","No.","@@"&amp;$K116),"")</t>
  </si>
  <si>
    <t>=IF(J116="vendor",NL("first",J116,"Name","No.","@@"&amp;K116),"")</t>
  </si>
  <si>
    <t>=IF($J116="Item",NL("first",$J116,"Description","No.","@@"&amp;$K116),"")</t>
  </si>
  <si>
    <t>=E119</t>
  </si>
  <si>
    <t>=NL("First","Item","Description","No.",$E119)</t>
  </si>
  <si>
    <t>=NL("First","Item","Base Unit of Measure","No.",$E119)</t>
  </si>
  <si>
    <t>=E127</t>
  </si>
  <si>
    <t>=NL("First","Item","Description","No.",$E127)</t>
  </si>
  <si>
    <t>=NL("First","Item","Base Unit of Measure","No.",$E127)</t>
  </si>
  <si>
    <t>=E137</t>
  </si>
  <si>
    <t>=NL("First","Item","Description","No.",$E137)</t>
  </si>
  <si>
    <t>=NL("First","Item","Base Unit of Measure","No.",$E137)</t>
  </si>
  <si>
    <t>=D173</t>
  </si>
  <si>
    <t>=NF($G174,"Posting Date")</t>
  </si>
  <si>
    <t>=NF($G174,"Entry No.")</t>
  </si>
  <si>
    <t>=NF(G174,"Source Type")</t>
  </si>
  <si>
    <t>=NF($G174,"Source No.")</t>
  </si>
  <si>
    <t>=IF($J174="Customer",NL("first",$J174,"Name","No.","@@"&amp;$K174),"")</t>
  </si>
  <si>
    <t>=IF(J174="vendor",NL("first",J174,"Name","No.","@@"&amp;K174),"")</t>
  </si>
  <si>
    <t>=IF($J174="Item",NL("first",$J174,"Description","No.","@@"&amp;$K174),"")</t>
  </si>
  <si>
    <t>=D99</t>
  </si>
  <si>
    <t>=NF($G100,"Posting Date")</t>
  </si>
  <si>
    <t>=NF($G100,"Entry No.")</t>
  </si>
  <si>
    <t>=NF(G100,"Source Type")</t>
  </si>
  <si>
    <t>=NF($G100,"Source No.")</t>
  </si>
  <si>
    <t>=IF($J100="Customer",NL("first",$J100,"Name","No.","@@"&amp;$K100),"")</t>
  </si>
  <si>
    <t>=IF(J100="vendor",NL("first",J100,"Name","No.","@@"&amp;K100),"")</t>
  </si>
  <si>
    <t>=IF($J100="Item",NL("first",$J100,"Description","No.","@@"&amp;$K100),"")</t>
  </si>
  <si>
    <t>=E115</t>
  </si>
  <si>
    <t>=NL("First","Item","Description","No.",$E115)</t>
  </si>
  <si>
    <t>=NL("First","Item","Base Unit of Measure","No.",$E115)</t>
  </si>
  <si>
    <t>=D279</t>
  </si>
  <si>
    <t>=NF($G280,"Posting Date")</t>
  </si>
  <si>
    <t>=NF($G280,"Entry No.")</t>
  </si>
  <si>
    <t>=NF(G280,"Source Type")</t>
  </si>
  <si>
    <t>=NF($G280,"Source No.")</t>
  </si>
  <si>
    <t>=IF($J280="Customer",NL("first",$J280,"Name","No.","@@"&amp;$K280),"")</t>
  </si>
  <si>
    <t>=IF(J280="vendor",NL("first",J280,"Name","No.","@@"&amp;K280),"")</t>
  </si>
  <si>
    <t>=IF($J280="Item",NL("first",$J280,"Description","No.","@@"&amp;$K280),"")</t>
  </si>
  <si>
    <t>=E40</t>
  </si>
  <si>
    <t>=NL("First","Item","Description","No.",$E40)</t>
  </si>
  <si>
    <t>=NL("First","Item","Base Unit of Measure","No.",$E40)</t>
  </si>
  <si>
    <t>=D40</t>
  </si>
  <si>
    <t>=NF($G41,"Posting Date")</t>
  </si>
  <si>
    <t>=NF($G41,"Entry No.")</t>
  </si>
  <si>
    <t>=NF(G41,"Source Type")</t>
  </si>
  <si>
    <t>=NF($G41,"Source No.")</t>
  </si>
  <si>
    <t>=IF($J41="Customer",NL("first",$J41,"Name","No.","@@"&amp;$K41),"")</t>
  </si>
  <si>
    <t>=IF(J41="vendor",NL("first",J41,"Name","No.","@@"&amp;K41),"")</t>
  </si>
  <si>
    <t>=IF($J41="Item",NL("first",$J41,"Description","No.","@@"&amp;$K41),"")</t>
  </si>
  <si>
    <t>=D164</t>
  </si>
  <si>
    <t>=NF($G165,"Posting Date")</t>
  </si>
  <si>
    <t>=NF($G165,"Entry No.")</t>
  </si>
  <si>
    <t>=NF(G165,"Source Type")</t>
  </si>
  <si>
    <t>=NF($G165,"Source No.")</t>
  </si>
  <si>
    <t>=IF($J165="Customer",NL("first",$J165,"Name","No.","@@"&amp;$K165),"")</t>
  </si>
  <si>
    <t>=IF(J165="vendor",NL("first",J165,"Name","No.","@@"&amp;K165),"")</t>
  </si>
  <si>
    <t>=IF($J165="Item",NL("first",$J165,"Description","No.","@@"&amp;$K165),"")</t>
  </si>
  <si>
    <t>=E168</t>
  </si>
  <si>
    <t>=NL("First","Item","Description","No.",$E168)</t>
  </si>
  <si>
    <t>=NL("First","Item","Base Unit of Measure","No.",$E168)</t>
  </si>
  <si>
    <t>=(SUBTOTAL(9,O169:O170))</t>
  </si>
  <si>
    <t>=(SUBTOTAL(9,P169:P170))</t>
  </si>
  <si>
    <t>=(SUBTOTAL(9,Q169:Q170))</t>
  </si>
  <si>
    <t>=(SUBTOTAL(9,R169:R170))</t>
  </si>
  <si>
    <t>=(SUBTOTAL(9,S169:S170))</t>
  </si>
  <si>
    <t>=(SUBTOTAL(9,T169:T170))</t>
  </si>
  <si>
    <t>=SUBTOTAL(9,O169:T170)</t>
  </si>
  <si>
    <t>=E172</t>
  </si>
  <si>
    <t>=NL("First","Item","Description","No.",$E172)</t>
  </si>
  <si>
    <t>=NL("First","Item","Base Unit of Measure","No.",$E172)</t>
  </si>
  <si>
    <t>=E77</t>
  </si>
  <si>
    <t>=NL("First","Item","Description","No.",$E77)</t>
  </si>
  <si>
    <t>=NL("First","Item","Base Unit of Measure","No.",$E77)</t>
  </si>
  <si>
    <t>Report Created</t>
  </si>
  <si>
    <t>=E12</t>
  </si>
  <si>
    <t>=NL("Rows=4","Item Ledger Entry","Item No.","Posting Date",$L$5,"Location Code",$L$7,"Item No.",$L$6)</t>
  </si>
  <si>
    <t>=NL("First","Item","Description","No.",$E12)</t>
  </si>
  <si>
    <t>=NL("First","Item","Base Unit of Measure","No.",$E12)</t>
  </si>
  <si>
    <t>=(SUBTOTAL(9,O13:O14))</t>
  </si>
  <si>
    <t>=(SUBTOTAL(9,P13:P14))</t>
  </si>
  <si>
    <t>=(SUBTOTAL(9,Q13:Q14))</t>
  </si>
  <si>
    <t>=(SUBTOTAL(9,R13:R14))</t>
  </si>
  <si>
    <t>=(SUBTOTAL(9,S13:S14))</t>
  </si>
  <si>
    <t>=(SUBTOTAL(9,T13:T14))</t>
  </si>
  <si>
    <t>=SUBTOTAL(9,O13:T14)</t>
  </si>
  <si>
    <t>=D12</t>
  </si>
  <si>
    <t>=NL("Rows","Item Ledger Entry",,"+Posting Date",$L$5,"Item No.","@@"&amp;$D13,"Location Code",$L$7)</t>
  </si>
  <si>
    <t>=NF($G13,"Posting Date")</t>
  </si>
  <si>
    <t>=NF($G13,"Entry No.")</t>
  </si>
  <si>
    <t>=NF(G13,"Source Type")</t>
  </si>
  <si>
    <t>=NF($G13,"Source No.")</t>
  </si>
  <si>
    <t>=IF($J13="Customer",NL("first",$J13,"Name","No.","@@"&amp;$K13),"")</t>
  </si>
  <si>
    <t>=IF(J13="vendor",NL("first",J13,"Name","No.","@@"&amp;K13),"")</t>
  </si>
  <si>
    <t>=IF($J13="Item",NL("first",$J13,"Description","No.","@@"&amp;$K13),"")</t>
  </si>
  <si>
    <t>=NL("Sum","Item Ledger Entry","Quantity","Entry Type","Purchase","Entry No.",I13,"Location Code",$L$7)</t>
  </si>
  <si>
    <t>=NL("Sum","Item Ledger Entry","Quantity","Entry Type","Sale","Entry No.",I13,"Location Code",$L$7)</t>
  </si>
  <si>
    <t>=NL("Sum","Item Ledger Entry","Quantity","Entry Type","Positive Adjmt.|Negative Adjmt.","Entry No.",I13,"Location Code",$L$7)</t>
  </si>
  <si>
    <t>=NL("Sum","Item Ledger Entry","Quantity","Entry Type","Transfer","Entry No.",I13,"Location Code",$L$7)</t>
  </si>
  <si>
    <t>=NL("Sum","Item Ledger Entry","Quantity","Entry Type","Consumption","Entry No.",I13,"Location Code",$L$7)</t>
  </si>
  <si>
    <t>=NL("Sum","Item Ledger Entry","Quantity","Entry Type","Output","Entry No.",I13,"Location Code",$L$7)</t>
  </si>
  <si>
    <t>=SUBTOTAL(9,O13:O16)</t>
  </si>
  <si>
    <t>=SUBTOTAL(9,P13:P16)</t>
  </si>
  <si>
    <t>=SUBTOTAL(9,Q13:Q16)</t>
  </si>
  <si>
    <t>=SUBTOTAL(9,R13:R16)</t>
  </si>
  <si>
    <t>=SUBTOTAL(9,S13:S16)</t>
  </si>
  <si>
    <t>=SUBTOTAL(9,T13:T16)</t>
  </si>
  <si>
    <t>=SUM(U12:U16)</t>
  </si>
  <si>
    <t>=NL("Sheets","Item Ledger Entry","Location Code","Item No.",$L$6,"Location Code",$L$7,"Posting Date",$L$5)</t>
  </si>
  <si>
    <t>=NL("Rows=4","Item Ledger Entry","Item No.","Posting Date",$L$5,"Location Code","@@"&amp;$E$6,"Item No.",$L$6)</t>
  </si>
  <si>
    <t>=NL("Rows","Item Ledger Entry",,"+Posting Date",$L$5,"Item No.","@@"&amp;$D13,"Location Code","@@"&amp;$E$6)</t>
  </si>
  <si>
    <t>=NL("Sum","Item Ledger Entry","Quantity","Entry Type","Purchase","Entry No.",I13,"Location Code","@@"&amp;$E$6)</t>
  </si>
  <si>
    <t>=NL("Sum","Item Ledger Entry","Quantity","Entry Type","Sale","Entry No.",I13,"Location Code","@@"&amp;$E$6)</t>
  </si>
  <si>
    <t>=NL("Sum","Item Ledger Entry","Quantity","Entry Type","Positive Adjmt.|Negative Adjmt.","Entry No.",I13,"Location Code","@@"&amp;$E$6)</t>
  </si>
  <si>
    <t>=NL("Sum","Item Ledger Entry","Quantity","Entry Type","Transfer","Entry No.",I13,"Location Code","@@"&amp;$E$6)</t>
  </si>
  <si>
    <t>=NL("Sum","Item Ledger Entry","Quantity","Entry Type","Consumption","Entry No.",I13,"Location Code","@@"&amp;$E$6)</t>
  </si>
  <si>
    <t>=NL("Sum","Item Ledger Entry","Quantity","Entry Type","Output","Entry No.",I13,"Location Code","@@"&amp;$E$6)</t>
  </si>
  <si>
    <t>=NL("Sum","Item Ledger Entry","Quantity","Entry Type","Purchase","Entry No.",I14,"Location Code",$L$7)</t>
  </si>
  <si>
    <t>=NL("Sum","Item Ledger Entry","Quantity","Entry Type","Sale","Entry No.",I14,"Location Code",$L$7)</t>
  </si>
  <si>
    <t>=NL("Sum","Item Ledger Entry","Quantity","Entry Type","Positive Adjmt.|Negative Adjmt.","Entry No.",I14,"Location Code",$L$7)</t>
  </si>
  <si>
    <t>=NL("Sum","Item Ledger Entry","Quantity","Entry Type","Transfer","Entry No.",I14,"Location Code",$L$7)</t>
  </si>
  <si>
    <t>=NL("Sum","Item Ledger Entry","Quantity","Entry Type","Consumption","Entry No.",I14,"Location Code",$L$7)</t>
  </si>
  <si>
    <t>=NL("Sum","Item Ledger Entry","Quantity","Entry Type","Output","Entry No.",I14,"Location Code",$L$7)</t>
  </si>
  <si>
    <t>=NL("Sum","Item Ledger Entry","Quantity","Entry Type","Purchase","Entry No.",I15,"Location Code",$L$7)</t>
  </si>
  <si>
    <t>=NL("Sum","Item Ledger Entry","Quantity","Entry Type","Sale","Entry No.",I15,"Location Code",$L$7)</t>
  </si>
  <si>
    <t>=NL("Sum","Item Ledger Entry","Quantity","Entry Type","Positive Adjmt.|Negative Adjmt.","Entry No.",I15,"Location Code",$L$7)</t>
  </si>
  <si>
    <t>=NL("Sum","Item Ledger Entry","Quantity","Entry Type","Transfer","Entry No.",I15,"Location Code",$L$7)</t>
  </si>
  <si>
    <t>=NL("Sum","Item Ledger Entry","Quantity","Entry Type","Consumption","Entry No.",I15,"Location Code",$L$7)</t>
  </si>
  <si>
    <t>=NL("Sum","Item Ledger Entry","Quantity","Entry Type","Output","Entry No.",I15,"Location Code",$L$7)</t>
  </si>
  <si>
    <t>=NL("Sum","Item Ledger Entry","Quantity","Entry Type","Purchase","Entry No.",I29,"Location Code",$L$7)</t>
  </si>
  <si>
    <t>=NL("Sum","Item Ledger Entry","Quantity","Entry Type","Sale","Entry No.",I29,"Location Code",$L$7)</t>
  </si>
  <si>
    <t>=NL("Sum","Item Ledger Entry","Quantity","Entry Type","Positive Adjmt.|Negative Adjmt.","Entry No.",I29,"Location Code",$L$7)</t>
  </si>
  <si>
    <t>=NL("Sum","Item Ledger Entry","Quantity","Entry Type","Transfer","Entry No.",I29,"Location Code",$L$7)</t>
  </si>
  <si>
    <t>=NL("Sum","Item Ledger Entry","Quantity","Entry Type","Consumption","Entry No.",I29,"Location Code",$L$7)</t>
  </si>
  <si>
    <t>=NL("Sum","Item Ledger Entry","Quantity","Entry Type","Output","Entry No.",I29,"Location Code",$L$7)</t>
  </si>
  <si>
    <t>=NL("Sum","Item Ledger Entry","Quantity","Entry Type","Purchase","Entry No.",I30,"Location Code",$L$7)</t>
  </si>
  <si>
    <t>=NL("Sum","Item Ledger Entry","Quantity","Entry Type","Sale","Entry No.",I30,"Location Code",$L$7)</t>
  </si>
  <si>
    <t>=NL("Sum","Item Ledger Entry","Quantity","Entry Type","Positive Adjmt.|Negative Adjmt.","Entry No.",I30,"Location Code",$L$7)</t>
  </si>
  <si>
    <t>=NL("Sum","Item Ledger Entry","Quantity","Entry Type","Transfer","Entry No.",I30,"Location Code",$L$7)</t>
  </si>
  <si>
    <t>=NL("Sum","Item Ledger Entry","Quantity","Entry Type","Consumption","Entry No.",I30,"Location Code",$L$7)</t>
  </si>
  <si>
    <t>=NL("Sum","Item Ledger Entry","Quantity","Entry Type","Output","Entry No.",I30,"Location Code",$L$7)</t>
  </si>
  <si>
    <t>=NL("Sum","Item Ledger Entry","Quantity","Entry Type","Purchase","Entry No.",I34,"Location Code",$L$7)</t>
  </si>
  <si>
    <t>=NL("Sum","Item Ledger Entry","Quantity","Entry Type","Sale","Entry No.",I34,"Location Code",$L$7)</t>
  </si>
  <si>
    <t>=NL("Sum","Item Ledger Entry","Quantity","Entry Type","Positive Adjmt.|Negative Adjmt.","Entry No.",I34,"Location Code",$L$7)</t>
  </si>
  <si>
    <t>=NL("Sum","Item Ledger Entry","Quantity","Entry Type","Transfer","Entry No.",I34,"Location Code",$L$7)</t>
  </si>
  <si>
    <t>=NL("Sum","Item Ledger Entry","Quantity","Entry Type","Consumption","Entry No.",I34,"Location Code",$L$7)</t>
  </si>
  <si>
    <t>=NL("Sum","Item Ledger Entry","Quantity","Entry Type","Output","Entry No.",I34,"Location Code",$L$7)</t>
  </si>
  <si>
    <t>=NL("Sum","Item Ledger Entry","Quantity","Entry Type","Purchase","Entry No.",I53,"Location Code",$L$7)</t>
  </si>
  <si>
    <t>=NL("Sum","Item Ledger Entry","Quantity","Entry Type","Sale","Entry No.",I53,"Location Code",$L$7)</t>
  </si>
  <si>
    <t>=NL("Sum","Item Ledger Entry","Quantity","Entry Type","Positive Adjmt.|Negative Adjmt.","Entry No.",I53,"Location Code",$L$7)</t>
  </si>
  <si>
    <t>=NL("Sum","Item Ledger Entry","Quantity","Entry Type","Transfer","Entry No.",I53,"Location Code",$L$7)</t>
  </si>
  <si>
    <t>=NL("Sum","Item Ledger Entry","Quantity","Entry Type","Consumption","Entry No.",I53,"Location Code",$L$7)</t>
  </si>
  <si>
    <t>=NL("Sum","Item Ledger Entry","Quantity","Entry Type","Output","Entry No.",I53,"Location Code",$L$7)</t>
  </si>
  <si>
    <t>=NL("Sum","Item Ledger Entry","Quantity","Entry Type","Purchase","Entry No.",I54,"Location Code",$L$7)</t>
  </si>
  <si>
    <t>=NL("Sum","Item Ledger Entry","Quantity","Entry Type","Sale","Entry No.",I54,"Location Code",$L$7)</t>
  </si>
  <si>
    <t>=NL("Sum","Item Ledger Entry","Quantity","Entry Type","Positive Adjmt.|Negative Adjmt.","Entry No.",I54,"Location Code",$L$7)</t>
  </si>
  <si>
    <t>=NL("Sum","Item Ledger Entry","Quantity","Entry Type","Transfer","Entry No.",I54,"Location Code",$L$7)</t>
  </si>
  <si>
    <t>=NL("Sum","Item Ledger Entry","Quantity","Entry Type","Consumption","Entry No.",I54,"Location Code",$L$7)</t>
  </si>
  <si>
    <t>=NL("Sum","Item Ledger Entry","Quantity","Entry Type","Output","Entry No.",I54,"Location Code",$L$7)</t>
  </si>
  <si>
    <t>=NL("Sum","Item Ledger Entry","Quantity","Entry Type","Purchase","Entry No.",I73,"Location Code",$L$7)</t>
  </si>
  <si>
    <t>=NL("Sum","Item Ledger Entry","Quantity","Entry Type","Sale","Entry No.",I73,"Location Code",$L$7)</t>
  </si>
  <si>
    <t>=NL("Sum","Item Ledger Entry","Quantity","Entry Type","Positive Adjmt.|Negative Adjmt.","Entry No.",I73,"Location Code",$L$7)</t>
  </si>
  <si>
    <t>=NL("Sum","Item Ledger Entry","Quantity","Entry Type","Transfer","Entry No.",I73,"Location Code",$L$7)</t>
  </si>
  <si>
    <t>=NL("Sum","Item Ledger Entry","Quantity","Entry Type","Consumption","Entry No.",I73,"Location Code",$L$7)</t>
  </si>
  <si>
    <t>=NL("Sum","Item Ledger Entry","Quantity","Entry Type","Output","Entry No.",I73,"Location Code",$L$7)</t>
  </si>
  <si>
    <t>=NL("Sum","Item Ledger Entry","Quantity","Entry Type","Purchase","Entry No.",I74,"Location Code",$L$7)</t>
  </si>
  <si>
    <t>=NL("Sum","Item Ledger Entry","Quantity","Entry Type","Sale","Entry No.",I74,"Location Code",$L$7)</t>
  </si>
  <si>
    <t>=NL("Sum","Item Ledger Entry","Quantity","Entry Type","Positive Adjmt.|Negative Adjmt.","Entry No.",I74,"Location Code",$L$7)</t>
  </si>
  <si>
    <t>=NL("Sum","Item Ledger Entry","Quantity","Entry Type","Transfer","Entry No.",I74,"Location Code",$L$7)</t>
  </si>
  <si>
    <t>=NL("Sum","Item Ledger Entry","Quantity","Entry Type","Consumption","Entry No.",I74,"Location Code",$L$7)</t>
  </si>
  <si>
    <t>=NL("Sum","Item Ledger Entry","Quantity","Entry Type","Output","Entry No.",I74,"Location Code",$L$7)</t>
  </si>
  <si>
    <t>=NL("Sum","Item Ledger Entry","Quantity","Entry Type","Purchase","Entry No.",I75,"Location Code",$L$7)</t>
  </si>
  <si>
    <t>=NL("Sum","Item Ledger Entry","Quantity","Entry Type","Sale","Entry No.",I75,"Location Code",$L$7)</t>
  </si>
  <si>
    <t>=NL("Sum","Item Ledger Entry","Quantity","Entry Type","Positive Adjmt.|Negative Adjmt.","Entry No.",I75,"Location Code",$L$7)</t>
  </si>
  <si>
    <t>=NL("Sum","Item Ledger Entry","Quantity","Entry Type","Transfer","Entry No.",I75,"Location Code",$L$7)</t>
  </si>
  <si>
    <t>=NL("Sum","Item Ledger Entry","Quantity","Entry Type","Consumption","Entry No.",I75,"Location Code",$L$7)</t>
  </si>
  <si>
    <t>=NL("Sum","Item Ledger Entry","Quantity","Entry Type","Output","Entry No.",I75,"Location Code",$L$7)</t>
  </si>
  <si>
    <t>=NL("Sum","Item Ledger Entry","Quantity","Entry Type","Purchase","Entry No.",I80,"Location Code",$L$7)</t>
  </si>
  <si>
    <t>=NL("Sum","Item Ledger Entry","Quantity","Entry Type","Sale","Entry No.",I80,"Location Code",$L$7)</t>
  </si>
  <si>
    <t>=NL("Sum","Item Ledger Entry","Quantity","Entry Type","Positive Adjmt.|Negative Adjmt.","Entry No.",I80,"Location Code",$L$7)</t>
  </si>
  <si>
    <t>=NL("Sum","Item Ledger Entry","Quantity","Entry Type","Transfer","Entry No.",I80,"Location Code",$L$7)</t>
  </si>
  <si>
    <t>=NL("Sum","Item Ledger Entry","Quantity","Entry Type","Consumption","Entry No.",I80,"Location Code",$L$7)</t>
  </si>
  <si>
    <t>=NL("Sum","Item Ledger Entry","Quantity","Entry Type","Output","Entry No.",I80,"Location Code",$L$7)</t>
  </si>
  <si>
    <t>=NL("Sum","Item Ledger Entry","Quantity","Entry Type","Purchase","Entry No.",I84,"Location Code",$L$7)</t>
  </si>
  <si>
    <t>=NL("Sum","Item Ledger Entry","Quantity","Entry Type","Sale","Entry No.",I84,"Location Code",$L$7)</t>
  </si>
  <si>
    <t>=NL("Sum","Item Ledger Entry","Quantity","Entry Type","Positive Adjmt.|Negative Adjmt.","Entry No.",I84,"Location Code",$L$7)</t>
  </si>
  <si>
    <t>=NL("Sum","Item Ledger Entry","Quantity","Entry Type","Transfer","Entry No.",I84,"Location Code",$L$7)</t>
  </si>
  <si>
    <t>=NL("Sum","Item Ledger Entry","Quantity","Entry Type","Consumption","Entry No.",I84,"Location Code",$L$7)</t>
  </si>
  <si>
    <t>=NL("Sum","Item Ledger Entry","Quantity","Entry Type","Output","Entry No.",I84,"Location Code",$L$7)</t>
  </si>
  <si>
    <t>=NL("Sum","Item Ledger Entry","Quantity","Entry Type","Purchase","Entry No.",I102,"Location Code",$L$7)</t>
  </si>
  <si>
    <t>=NL("Sum","Item Ledger Entry","Quantity","Entry Type","Sale","Entry No.",I102,"Location Code",$L$7)</t>
  </si>
  <si>
    <t>=NL("Sum","Item Ledger Entry","Quantity","Entry Type","Positive Adjmt.|Negative Adjmt.","Entry No.",I102,"Location Code",$L$7)</t>
  </si>
  <si>
    <t>=NL("Sum","Item Ledger Entry","Quantity","Entry Type","Transfer","Entry No.",I102,"Location Code",$L$7)</t>
  </si>
  <si>
    <t>=NL("Sum","Item Ledger Entry","Quantity","Entry Type","Consumption","Entry No.",I102,"Location Code",$L$7)</t>
  </si>
  <si>
    <t>=NL("Sum","Item Ledger Entry","Quantity","Entry Type","Output","Entry No.",I102,"Location Code",$L$7)</t>
  </si>
  <si>
    <t>=E105</t>
  </si>
  <si>
    <t>=NL("First","Item","Description","No.",$E105)</t>
  </si>
  <si>
    <t>=NL("First","Item","Base Unit of Measure","No.",$E105)</t>
  </si>
  <si>
    <t>=NL("Sum","Item Ledger Entry","Quantity","Entry Type","Purchase","Entry No.",I106,"Location Code",$L$7)</t>
  </si>
  <si>
    <t>=NL("Sum","Item Ledger Entry","Quantity","Entry Type","Sale","Entry No.",I106,"Location Code",$L$7)</t>
  </si>
  <si>
    <t>=NL("Sum","Item Ledger Entry","Quantity","Entry Type","Positive Adjmt.|Negative Adjmt.","Entry No.",I106,"Location Code",$L$7)</t>
  </si>
  <si>
    <t>=NL("Sum","Item Ledger Entry","Quantity","Entry Type","Transfer","Entry No.",I106,"Location Code",$L$7)</t>
  </si>
  <si>
    <t>=NL("Sum","Item Ledger Entry","Quantity","Entry Type","Consumption","Entry No.",I106,"Location Code",$L$7)</t>
  </si>
  <si>
    <t>=NL("Sum","Item Ledger Entry","Quantity","Entry Type","Output","Entry No.",I106,"Location Code",$L$7)</t>
  </si>
  <si>
    <t>=NL("Sum","Item Ledger Entry","Quantity","Entry Type","Purchase","Entry No.",I116,"Location Code",$L$7)</t>
  </si>
  <si>
    <t>=NL("Sum","Item Ledger Entry","Quantity","Entry Type","Sale","Entry No.",I116,"Location Code",$L$7)</t>
  </si>
  <si>
    <t>=NL("Sum","Item Ledger Entry","Quantity","Entry Type","Positive Adjmt.|Negative Adjmt.","Entry No.",I116,"Location Code",$L$7)</t>
  </si>
  <si>
    <t>=NL("Sum","Item Ledger Entry","Quantity","Entry Type","Transfer","Entry No.",I116,"Location Code",$L$7)</t>
  </si>
  <si>
    <t>=NL("Sum","Item Ledger Entry","Quantity","Entry Type","Consumption","Entry No.",I116,"Location Code",$L$7)</t>
  </si>
  <si>
    <t>=NL("Sum","Item Ledger Entry","Quantity","Entry Type","Output","Entry No.",I116,"Location Code",$L$7)</t>
  </si>
  <si>
    <t>=NL("Sum","Item Ledger Entry","Quantity","Entry Type","Purchase","Entry No.",I117,"Location Code",$L$7)</t>
  </si>
  <si>
    <t>=NL("Sum","Item Ledger Entry","Quantity","Entry Type","Sale","Entry No.",I117,"Location Code",$L$7)</t>
  </si>
  <si>
    <t>=NL("Sum","Item Ledger Entry","Quantity","Entry Type","Positive Adjmt.|Negative Adjmt.","Entry No.",I117,"Location Code",$L$7)</t>
  </si>
  <si>
    <t>=NL("Sum","Item Ledger Entry","Quantity","Entry Type","Transfer","Entry No.",I117,"Location Code",$L$7)</t>
  </si>
  <si>
    <t>=NL("Sum","Item Ledger Entry","Quantity","Entry Type","Consumption","Entry No.",I117,"Location Code",$L$7)</t>
  </si>
  <si>
    <t>=NL("Sum","Item Ledger Entry","Quantity","Entry Type","Output","Entry No.",I117,"Location Code",$L$7)</t>
  </si>
  <si>
    <t>=NL("Sum","Item Ledger Entry","Quantity","Entry Type","Purchase","Entry No.",I124,"Location Code",$L$7)</t>
  </si>
  <si>
    <t>=NL("Sum","Item Ledger Entry","Quantity","Entry Type","Sale","Entry No.",I124,"Location Code",$L$7)</t>
  </si>
  <si>
    <t>=NL("Sum","Item Ledger Entry","Quantity","Entry Type","Positive Adjmt.|Negative Adjmt.","Entry No.",I124,"Location Code",$L$7)</t>
  </si>
  <si>
    <t>=NL("Sum","Item Ledger Entry","Quantity","Entry Type","Transfer","Entry No.",I124,"Location Code",$L$7)</t>
  </si>
  <si>
    <t>=NL("Sum","Item Ledger Entry","Quantity","Entry Type","Consumption","Entry No.",I124,"Location Code",$L$7)</t>
  </si>
  <si>
    <t>=NL("Sum","Item Ledger Entry","Quantity","Entry Type","Output","Entry No.",I124,"Location Code",$L$7)</t>
  </si>
  <si>
    <t>=NL("Sum","Item Ledger Entry","Quantity","Entry Type","Purchase","Entry No.",I130,"Location Code",$L$7)</t>
  </si>
  <si>
    <t>=NL("Sum","Item Ledger Entry","Quantity","Entry Type","Sale","Entry No.",I130,"Location Code",$L$7)</t>
  </si>
  <si>
    <t>=NL("Sum","Item Ledger Entry","Quantity","Entry Type","Positive Adjmt.|Negative Adjmt.","Entry No.",I130,"Location Code",$L$7)</t>
  </si>
  <si>
    <t>=NL("Sum","Item Ledger Entry","Quantity","Entry Type","Transfer","Entry No.",I130,"Location Code",$L$7)</t>
  </si>
  <si>
    <t>=NL("Sum","Item Ledger Entry","Quantity","Entry Type","Consumption","Entry No.",I130,"Location Code",$L$7)</t>
  </si>
  <si>
    <t>=NL("Sum","Item Ledger Entry","Quantity","Entry Type","Output","Entry No.",I130,"Location Code",$L$7)</t>
  </si>
  <si>
    <t>=NL("Sum","Item Ledger Entry","Quantity","Entry Type","Purchase","Entry No.",I131,"Location Code",$L$7)</t>
  </si>
  <si>
    <t>=NL("Sum","Item Ledger Entry","Quantity","Entry Type","Sale","Entry No.",I131,"Location Code",$L$7)</t>
  </si>
  <si>
    <t>=NL("Sum","Item Ledger Entry","Quantity","Entry Type","Positive Adjmt.|Negative Adjmt.","Entry No.",I131,"Location Code",$L$7)</t>
  </si>
  <si>
    <t>=NL("Sum","Item Ledger Entry","Quantity","Entry Type","Transfer","Entry No.",I131,"Location Code",$L$7)</t>
  </si>
  <si>
    <t>=NL("Sum","Item Ledger Entry","Quantity","Entry Type","Consumption","Entry No.",I131,"Location Code",$L$7)</t>
  </si>
  <si>
    <t>=NL("Sum","Item Ledger Entry","Quantity","Entry Type","Output","Entry No.",I131,"Location Code",$L$7)</t>
  </si>
  <si>
    <t>=NL("Sum","Item Ledger Entry","Quantity","Entry Type","Purchase","Entry No.",I150,"Location Code",$L$7)</t>
  </si>
  <si>
    <t>=NL("Sum","Item Ledger Entry","Quantity","Entry Type","Sale","Entry No.",I150,"Location Code",$L$7)</t>
  </si>
  <si>
    <t>=NL("Sum","Item Ledger Entry","Quantity","Entry Type","Positive Adjmt.|Negative Adjmt.","Entry No.",I150,"Location Code",$L$7)</t>
  </si>
  <si>
    <t>=NL("Sum","Item Ledger Entry","Quantity","Entry Type","Transfer","Entry No.",I150,"Location Code",$L$7)</t>
  </si>
  <si>
    <t>=NL("Sum","Item Ledger Entry","Quantity","Entry Type","Consumption","Entry No.",I150,"Location Code",$L$7)</t>
  </si>
  <si>
    <t>=NL("Sum","Item Ledger Entry","Quantity","Entry Type","Output","Entry No.",I150,"Location Code",$L$7)</t>
  </si>
  <si>
    <t>=NL("Sum","Item Ledger Entry","Quantity","Entry Type","Purchase","Entry No.",I159,"Location Code",$L$7)</t>
  </si>
  <si>
    <t>=NL("Sum","Item Ledger Entry","Quantity","Entry Type","Sale","Entry No.",I159,"Location Code",$L$7)</t>
  </si>
  <si>
    <t>=NL("Sum","Item Ledger Entry","Quantity","Entry Type","Positive Adjmt.|Negative Adjmt.","Entry No.",I159,"Location Code",$L$7)</t>
  </si>
  <si>
    <t>=NL("Sum","Item Ledger Entry","Quantity","Entry Type","Transfer","Entry No.",I159,"Location Code",$L$7)</t>
  </si>
  <si>
    <t>=NL("Sum","Item Ledger Entry","Quantity","Entry Type","Consumption","Entry No.",I159,"Location Code",$L$7)</t>
  </si>
  <si>
    <t>=NL("Sum","Item Ledger Entry","Quantity","Entry Type","Output","Entry No.",I159,"Location Code",$L$7)</t>
  </si>
  <si>
    <t>=NL("Sum","Item Ledger Entry","Quantity","Entry Type","Purchase","Entry No.",I160,"Location Code",$L$7)</t>
  </si>
  <si>
    <t>=NL("Sum","Item Ledger Entry","Quantity","Entry Type","Sale","Entry No.",I160,"Location Code",$L$7)</t>
  </si>
  <si>
    <t>=NL("Sum","Item Ledger Entry","Quantity","Entry Type","Positive Adjmt.|Negative Adjmt.","Entry No.",I160,"Location Code",$L$7)</t>
  </si>
  <si>
    <t>=NL("Sum","Item Ledger Entry","Quantity","Entry Type","Transfer","Entry No.",I160,"Location Code",$L$7)</t>
  </si>
  <si>
    <t>=NL("Sum","Item Ledger Entry","Quantity","Entry Type","Consumption","Entry No.",I160,"Location Code",$L$7)</t>
  </si>
  <si>
    <t>=NL("Sum","Item Ledger Entry","Quantity","Entry Type","Output","Entry No.",I160,"Location Code",$L$7)</t>
  </si>
  <si>
    <t>=NL("Sum","Item Ledger Entry","Quantity","Entry Type","Purchase","Entry No.",I161,"Location Code",$L$7)</t>
  </si>
  <si>
    <t>=NL("Sum","Item Ledger Entry","Quantity","Entry Type","Sale","Entry No.",I161,"Location Code",$L$7)</t>
  </si>
  <si>
    <t>=NL("Sum","Item Ledger Entry","Quantity","Entry Type","Positive Adjmt.|Negative Adjmt.","Entry No.",I161,"Location Code",$L$7)</t>
  </si>
  <si>
    <t>=NL("Sum","Item Ledger Entry","Quantity","Entry Type","Transfer","Entry No.",I161,"Location Code",$L$7)</t>
  </si>
  <si>
    <t>=NL("Sum","Item Ledger Entry","Quantity","Entry Type","Consumption","Entry No.",I161,"Location Code",$L$7)</t>
  </si>
  <si>
    <t>=NL("Sum","Item Ledger Entry","Quantity","Entry Type","Output","Entry No.",I161,"Location Code",$L$7)</t>
  </si>
  <si>
    <t>=NL("Sum","Item Ledger Entry","Quantity","Entry Type","Purchase","Entry No.",I167,"Location Code",$L$7)</t>
  </si>
  <si>
    <t>=NL("Sum","Item Ledger Entry","Quantity","Entry Type","Sale","Entry No.",I167,"Location Code",$L$7)</t>
  </si>
  <si>
    <t>=NL("Sum","Item Ledger Entry","Quantity","Entry Type","Positive Adjmt.|Negative Adjmt.","Entry No.",I167,"Location Code",$L$7)</t>
  </si>
  <si>
    <t>=NL("Sum","Item Ledger Entry","Quantity","Entry Type","Transfer","Entry No.",I167,"Location Code",$L$7)</t>
  </si>
  <si>
    <t>=NL("Sum","Item Ledger Entry","Quantity","Entry Type","Consumption","Entry No.",I167,"Location Code",$L$7)</t>
  </si>
  <si>
    <t>=NL("Sum","Item Ledger Entry","Quantity","Entry Type","Output","Entry No.",I167,"Location Code",$L$7)</t>
  </si>
  <si>
    <t>=NL("Sum","Item Ledger Entry","Quantity","Entry Type","Purchase","Entry No.",I178,"Location Code",$L$7)</t>
  </si>
  <si>
    <t>=NL("Sum","Item Ledger Entry","Quantity","Entry Type","Sale","Entry No.",I178,"Location Code",$L$7)</t>
  </si>
  <si>
    <t>=NL("Sum","Item Ledger Entry","Quantity","Entry Type","Positive Adjmt.|Negative Adjmt.","Entry No.",I178,"Location Code",$L$7)</t>
  </si>
  <si>
    <t>=NL("Sum","Item Ledger Entry","Quantity","Entry Type","Transfer","Entry No.",I178,"Location Code",$L$7)</t>
  </si>
  <si>
    <t>=NL("Sum","Item Ledger Entry","Quantity","Entry Type","Consumption","Entry No.",I178,"Location Code",$L$7)</t>
  </si>
  <si>
    <t>=NL("Sum","Item Ledger Entry","Quantity","Entry Type","Output","Entry No.",I178,"Location Code",$L$7)</t>
  </si>
  <si>
    <t>=NL("Sum","Item Ledger Entry","Quantity","Entry Type","Purchase","Entry No.",I179,"Location Code",$L$7)</t>
  </si>
  <si>
    <t>=NL("Sum","Item Ledger Entry","Quantity","Entry Type","Sale","Entry No.",I179,"Location Code",$L$7)</t>
  </si>
  <si>
    <t>=NL("Sum","Item Ledger Entry","Quantity","Entry Type","Positive Adjmt.|Negative Adjmt.","Entry No.",I179,"Location Code",$L$7)</t>
  </si>
  <si>
    <t>=NL("Sum","Item Ledger Entry","Quantity","Entry Type","Transfer","Entry No.",I179,"Location Code",$L$7)</t>
  </si>
  <si>
    <t>=NL("Sum","Item Ledger Entry","Quantity","Entry Type","Consumption","Entry No.",I179,"Location Code",$L$7)</t>
  </si>
  <si>
    <t>=NL("Sum","Item Ledger Entry","Quantity","Entry Type","Output","Entry No.",I179,"Location Code",$L$7)</t>
  </si>
  <si>
    <t>=NL("Sum","Item Ledger Entry","Quantity","Entry Type","Purchase","Entry No.",I180,"Location Code",$L$7)</t>
  </si>
  <si>
    <t>=NL("Sum","Item Ledger Entry","Quantity","Entry Type","Sale","Entry No.",I180,"Location Code",$L$7)</t>
  </si>
  <si>
    <t>=NL("Sum","Item Ledger Entry","Quantity","Entry Type","Positive Adjmt.|Negative Adjmt.","Entry No.",I180,"Location Code",$L$7)</t>
  </si>
  <si>
    <t>=NL("Sum","Item Ledger Entry","Quantity","Entry Type","Transfer","Entry No.",I180,"Location Code",$L$7)</t>
  </si>
  <si>
    <t>=NL("Sum","Item Ledger Entry","Quantity","Entry Type","Consumption","Entry No.",I180,"Location Code",$L$7)</t>
  </si>
  <si>
    <t>=NL("Sum","Item Ledger Entry","Quantity","Entry Type","Output","Entry No.",I180,"Location Code",$L$7)</t>
  </si>
  <si>
    <t>=NL("Sum","Item Ledger Entry","Quantity","Entry Type","Purchase","Entry No.",I181,"Location Code",$L$7)</t>
  </si>
  <si>
    <t>=NL("Sum","Item Ledger Entry","Quantity","Entry Type","Sale","Entry No.",I181,"Location Code",$L$7)</t>
  </si>
  <si>
    <t>=NL("Sum","Item Ledger Entry","Quantity","Entry Type","Positive Adjmt.|Negative Adjmt.","Entry No.",I181,"Location Code",$L$7)</t>
  </si>
  <si>
    <t>=NL("Sum","Item Ledger Entry","Quantity","Entry Type","Transfer","Entry No.",I181,"Location Code",$L$7)</t>
  </si>
  <si>
    <t>=NL("Sum","Item Ledger Entry","Quantity","Entry Type","Consumption","Entry No.",I181,"Location Code",$L$7)</t>
  </si>
  <si>
    <t>=NL("Sum","Item Ledger Entry","Quantity","Entry Type","Output","Entry No.",I181,"Location Code",$L$7)</t>
  </si>
  <si>
    <t>=NL("Sum","Item Ledger Entry","Quantity","Entry Type","Purchase","Entry No.",I193,"Location Code",$L$7)</t>
  </si>
  <si>
    <t>=NL("Sum","Item Ledger Entry","Quantity","Entry Type","Sale","Entry No.",I193,"Location Code",$L$7)</t>
  </si>
  <si>
    <t>=NL("Sum","Item Ledger Entry","Quantity","Entry Type","Positive Adjmt.|Negative Adjmt.","Entry No.",I193,"Location Code",$L$7)</t>
  </si>
  <si>
    <t>=NL("Sum","Item Ledger Entry","Quantity","Entry Type","Transfer","Entry No.",I193,"Location Code",$L$7)</t>
  </si>
  <si>
    <t>=NL("Sum","Item Ledger Entry","Quantity","Entry Type","Consumption","Entry No.",I193,"Location Code",$L$7)</t>
  </si>
  <si>
    <t>=NL("Sum","Item Ledger Entry","Quantity","Entry Type","Output","Entry No.",I193,"Location Code",$L$7)</t>
  </si>
  <si>
    <t>=NL("Sum","Item Ledger Entry","Quantity","Entry Type","Purchase","Entry No.",I194,"Location Code",$L$7)</t>
  </si>
  <si>
    <t>=NL("Sum","Item Ledger Entry","Quantity","Entry Type","Sale","Entry No.",I194,"Location Code",$L$7)</t>
  </si>
  <si>
    <t>=NL("Sum","Item Ledger Entry","Quantity","Entry Type","Positive Adjmt.|Negative Adjmt.","Entry No.",I194,"Location Code",$L$7)</t>
  </si>
  <si>
    <t>=NL("Sum","Item Ledger Entry","Quantity","Entry Type","Transfer","Entry No.",I194,"Location Code",$L$7)</t>
  </si>
  <si>
    <t>=NL("Sum","Item Ledger Entry","Quantity","Entry Type","Consumption","Entry No.",I194,"Location Code",$L$7)</t>
  </si>
  <si>
    <t>=NL("Sum","Item Ledger Entry","Quantity","Entry Type","Output","Entry No.",I194,"Location Code",$L$7)</t>
  </si>
  <si>
    <t>=NL("Sum","Item Ledger Entry","Quantity","Entry Type","Purchase","Entry No.",I195,"Location Code",$L$7)</t>
  </si>
  <si>
    <t>=NL("Sum","Item Ledger Entry","Quantity","Entry Type","Sale","Entry No.",I195,"Location Code",$L$7)</t>
  </si>
  <si>
    <t>=NL("Sum","Item Ledger Entry","Quantity","Entry Type","Positive Adjmt.|Negative Adjmt.","Entry No.",I195,"Location Code",$L$7)</t>
  </si>
  <si>
    <t>=NL("Sum","Item Ledger Entry","Quantity","Entry Type","Transfer","Entry No.",I195,"Location Code",$L$7)</t>
  </si>
  <si>
    <t>=NL("Sum","Item Ledger Entry","Quantity","Entry Type","Consumption","Entry No.",I195,"Location Code",$L$7)</t>
  </si>
  <si>
    <t>=NL("Sum","Item Ledger Entry","Quantity","Entry Type","Output","Entry No.",I195,"Location Code",$L$7)</t>
  </si>
  <si>
    <t>=NL("Sum","Item Ledger Entry","Quantity","Entry Type","Purchase","Entry No.",I196,"Location Code",$L$7)</t>
  </si>
  <si>
    <t>=NL("Sum","Item Ledger Entry","Quantity","Entry Type","Sale","Entry No.",I196,"Location Code",$L$7)</t>
  </si>
  <si>
    <t>=NL("Sum","Item Ledger Entry","Quantity","Entry Type","Positive Adjmt.|Negative Adjmt.","Entry No.",I196,"Location Code",$L$7)</t>
  </si>
  <si>
    <t>=NL("Sum","Item Ledger Entry","Quantity","Entry Type","Transfer","Entry No.",I196,"Location Code",$L$7)</t>
  </si>
  <si>
    <t>=NL("Sum","Item Ledger Entry","Quantity","Entry Type","Consumption","Entry No.",I196,"Location Code",$L$7)</t>
  </si>
  <si>
    <t>=NL("Sum","Item Ledger Entry","Quantity","Entry Type","Output","Entry No.",I196,"Location Code",$L$7)</t>
  </si>
  <si>
    <t>=NL("Sum","Item Ledger Entry","Quantity","Entry Type","Purchase","Entry No.",I197,"Location Code",$L$7)</t>
  </si>
  <si>
    <t>=NL("Sum","Item Ledger Entry","Quantity","Entry Type","Sale","Entry No.",I197,"Location Code",$L$7)</t>
  </si>
  <si>
    <t>=NL("Sum","Item Ledger Entry","Quantity","Entry Type","Positive Adjmt.|Negative Adjmt.","Entry No.",I197,"Location Code",$L$7)</t>
  </si>
  <si>
    <t>=NL("Sum","Item Ledger Entry","Quantity","Entry Type","Transfer","Entry No.",I197,"Location Code",$L$7)</t>
  </si>
  <si>
    <t>=NL("Sum","Item Ledger Entry","Quantity","Entry Type","Consumption","Entry No.",I197,"Location Code",$L$7)</t>
  </si>
  <si>
    <t>=NL("Sum","Item Ledger Entry","Quantity","Entry Type","Output","Entry No.",I197,"Location Code",$L$7)</t>
  </si>
  <si>
    <t>=NL("Sum","Item Ledger Entry","Quantity","Entry Type","Purchase","Entry No.",I205,"Location Code",$L$7)</t>
  </si>
  <si>
    <t>=NL("Sum","Item Ledger Entry","Quantity","Entry Type","Sale","Entry No.",I205,"Location Code",$L$7)</t>
  </si>
  <si>
    <t>=NL("Sum","Item Ledger Entry","Quantity","Entry Type","Positive Adjmt.|Negative Adjmt.","Entry No.",I205,"Location Code",$L$7)</t>
  </si>
  <si>
    <t>=NL("Sum","Item Ledger Entry","Quantity","Entry Type","Transfer","Entry No.",I205,"Location Code",$L$7)</t>
  </si>
  <si>
    <t>=NL("Sum","Item Ledger Entry","Quantity","Entry Type","Consumption","Entry No.",I205,"Location Code",$L$7)</t>
  </si>
  <si>
    <t>=NL("Sum","Item Ledger Entry","Quantity","Entry Type","Output","Entry No.",I205,"Location Code",$L$7)</t>
  </si>
  <si>
    <t>=NL("Sum","Item Ledger Entry","Quantity","Entry Type","Purchase","Entry No.",I206,"Location Code",$L$7)</t>
  </si>
  <si>
    <t>=NL("Sum","Item Ledger Entry","Quantity","Entry Type","Sale","Entry No.",I206,"Location Code",$L$7)</t>
  </si>
  <si>
    <t>=NL("Sum","Item Ledger Entry","Quantity","Entry Type","Positive Adjmt.|Negative Adjmt.","Entry No.",I206,"Location Code",$L$7)</t>
  </si>
  <si>
    <t>=NL("Sum","Item Ledger Entry","Quantity","Entry Type","Transfer","Entry No.",I206,"Location Code",$L$7)</t>
  </si>
  <si>
    <t>=NL("Sum","Item Ledger Entry","Quantity","Entry Type","Consumption","Entry No.",I206,"Location Code",$L$7)</t>
  </si>
  <si>
    <t>=NL("Sum","Item Ledger Entry","Quantity","Entry Type","Output","Entry No.",I206,"Location Code",$L$7)</t>
  </si>
  <si>
    <t>=NL("Sum","Item Ledger Entry","Quantity","Entry Type","Purchase","Entry No.",I215,"Location Code",$L$7)</t>
  </si>
  <si>
    <t>=NL("Sum","Item Ledger Entry","Quantity","Entry Type","Sale","Entry No.",I215,"Location Code",$L$7)</t>
  </si>
  <si>
    <t>=NL("Sum","Item Ledger Entry","Quantity","Entry Type","Positive Adjmt.|Negative Adjmt.","Entry No.",I215,"Location Code",$L$7)</t>
  </si>
  <si>
    <t>=NL("Sum","Item Ledger Entry","Quantity","Entry Type","Transfer","Entry No.",I215,"Location Code",$L$7)</t>
  </si>
  <si>
    <t>=NL("Sum","Item Ledger Entry","Quantity","Entry Type","Consumption","Entry No.",I215,"Location Code",$L$7)</t>
  </si>
  <si>
    <t>=NL("Sum","Item Ledger Entry","Quantity","Entry Type","Output","Entry No.",I215,"Location Code",$L$7)</t>
  </si>
  <si>
    <t>=NL("Sum","Item Ledger Entry","Quantity","Entry Type","Purchase","Entry No.",I219,"Location Code",$L$7)</t>
  </si>
  <si>
    <t>=NL("Sum","Item Ledger Entry","Quantity","Entry Type","Sale","Entry No.",I219,"Location Code",$L$7)</t>
  </si>
  <si>
    <t>=NL("Sum","Item Ledger Entry","Quantity","Entry Type","Positive Adjmt.|Negative Adjmt.","Entry No.",I219,"Location Code",$L$7)</t>
  </si>
  <si>
    <t>=NL("Sum","Item Ledger Entry","Quantity","Entry Type","Transfer","Entry No.",I219,"Location Code",$L$7)</t>
  </si>
  <si>
    <t>=NL("Sum","Item Ledger Entry","Quantity","Entry Type","Consumption","Entry No.",I219,"Location Code",$L$7)</t>
  </si>
  <si>
    <t>=NL("Sum","Item Ledger Entry","Quantity","Entry Type","Output","Entry No.",I219,"Location Code",$L$7)</t>
  </si>
  <si>
    <t>=D235</t>
  </si>
  <si>
    <t>=NF($G236,"Posting Date")</t>
  </si>
  <si>
    <t>=NF($G236,"Entry No.")</t>
  </si>
  <si>
    <t>=NF(G236,"Source Type")</t>
  </si>
  <si>
    <t>=NF($G236,"Source No.")</t>
  </si>
  <si>
    <t>=IF($J236="Customer",NL("first",$J236,"Name","No.","@@"&amp;$K236),"")</t>
  </si>
  <si>
    <t>=IF(J236="vendor",NL("first",J236,"Name","No.","@@"&amp;K236),"")</t>
  </si>
  <si>
    <t>=IF($J236="Item",NL("first",$J236,"Description","No.","@@"&amp;$K236),"")</t>
  </si>
  <si>
    <t>=NL("Sum","Item Ledger Entry","Quantity","Entry Type","Purchase","Entry No.",I241,"Location Code",$L$7)</t>
  </si>
  <si>
    <t>=NL("Sum","Item Ledger Entry","Quantity","Entry Type","Sale","Entry No.",I241,"Location Code",$L$7)</t>
  </si>
  <si>
    <t>=NL("Sum","Item Ledger Entry","Quantity","Entry Type","Positive Adjmt.|Negative Adjmt.","Entry No.",I241,"Location Code",$L$7)</t>
  </si>
  <si>
    <t>=NL("Sum","Item Ledger Entry","Quantity","Entry Type","Transfer","Entry No.",I241,"Location Code",$L$7)</t>
  </si>
  <si>
    <t>=NL("Sum","Item Ledger Entry","Quantity","Entry Type","Consumption","Entry No.",I241,"Location Code",$L$7)</t>
  </si>
  <si>
    <t>=NL("Sum","Item Ledger Entry","Quantity","Entry Type","Output","Entry No.",I241,"Location Code",$L$7)</t>
  </si>
  <si>
    <t>=NL("Sum","Item Ledger Entry","Quantity","Entry Type","Purchase","Entry No.",I242,"Location Code",$L$7)</t>
  </si>
  <si>
    <t>=NL("Sum","Item Ledger Entry","Quantity","Entry Type","Sale","Entry No.",I242,"Location Code",$L$7)</t>
  </si>
  <si>
    <t>=NL("Sum","Item Ledger Entry","Quantity","Entry Type","Positive Adjmt.|Negative Adjmt.","Entry No.",I242,"Location Code",$L$7)</t>
  </si>
  <si>
    <t>=NL("Sum","Item Ledger Entry","Quantity","Entry Type","Transfer","Entry No.",I242,"Location Code",$L$7)</t>
  </si>
  <si>
    <t>=NL("Sum","Item Ledger Entry","Quantity","Entry Type","Consumption","Entry No.",I242,"Location Code",$L$7)</t>
  </si>
  <si>
    <t>=NL("Sum","Item Ledger Entry","Quantity","Entry Type","Output","Entry No.",I242,"Location Code",$L$7)</t>
  </si>
  <si>
    <t>=NL("Sum","Item Ledger Entry","Quantity","Entry Type","Purchase","Entry No.",I249,"Location Code",$L$7)</t>
  </si>
  <si>
    <t>=NL("Sum","Item Ledger Entry","Quantity","Entry Type","Sale","Entry No.",I249,"Location Code",$L$7)</t>
  </si>
  <si>
    <t>=NL("Sum","Item Ledger Entry","Quantity","Entry Type","Positive Adjmt.|Negative Adjmt.","Entry No.",I249,"Location Code",$L$7)</t>
  </si>
  <si>
    <t>=NL("Sum","Item Ledger Entry","Quantity","Entry Type","Transfer","Entry No.",I249,"Location Code",$L$7)</t>
  </si>
  <si>
    <t>=NL("Sum","Item Ledger Entry","Quantity","Entry Type","Consumption","Entry No.",I249,"Location Code",$L$7)</t>
  </si>
  <si>
    <t>=NL("Sum","Item Ledger Entry","Quantity","Entry Type","Output","Entry No.",I249,"Location Code",$L$7)</t>
  </si>
  <si>
    <t>=NL("Sum","Item Ledger Entry","Quantity","Entry Type","Purchase","Entry No.",I250,"Location Code",$L$7)</t>
  </si>
  <si>
    <t>=NL("Sum","Item Ledger Entry","Quantity","Entry Type","Sale","Entry No.",I250,"Location Code",$L$7)</t>
  </si>
  <si>
    <t>=NL("Sum","Item Ledger Entry","Quantity","Entry Type","Positive Adjmt.|Negative Adjmt.","Entry No.",I250,"Location Code",$L$7)</t>
  </si>
  <si>
    <t>=NL("Sum","Item Ledger Entry","Quantity","Entry Type","Transfer","Entry No.",I250,"Location Code",$L$7)</t>
  </si>
  <si>
    <t>=NL("Sum","Item Ledger Entry","Quantity","Entry Type","Consumption","Entry No.",I250,"Location Code",$L$7)</t>
  </si>
  <si>
    <t>=NL("Sum","Item Ledger Entry","Quantity","Entry Type","Output","Entry No.",I250,"Location Code",$L$7)</t>
  </si>
  <si>
    <t>=NL("Sum","Item Ledger Entry","Quantity","Entry Type","Purchase","Entry No.",I251,"Location Code",$L$7)</t>
  </si>
  <si>
    <t>=NL("Sum","Item Ledger Entry","Quantity","Entry Type","Sale","Entry No.",I251,"Location Code",$L$7)</t>
  </si>
  <si>
    <t>=NL("Sum","Item Ledger Entry","Quantity","Entry Type","Positive Adjmt.|Negative Adjmt.","Entry No.",I251,"Location Code",$L$7)</t>
  </si>
  <si>
    <t>=NL("Sum","Item Ledger Entry","Quantity","Entry Type","Transfer","Entry No.",I251,"Location Code",$L$7)</t>
  </si>
  <si>
    <t>=NL("Sum","Item Ledger Entry","Quantity","Entry Type","Consumption","Entry No.",I251,"Location Code",$L$7)</t>
  </si>
  <si>
    <t>=NL("Sum","Item Ledger Entry","Quantity","Entry Type","Output","Entry No.",I251,"Location Code",$L$7)</t>
  </si>
  <si>
    <t>=NL("Sum","Item Ledger Entry","Quantity","Entry Type","Purchase","Entry No.",I255,"Location Code",$L$7)</t>
  </si>
  <si>
    <t>=NL("Sum","Item Ledger Entry","Quantity","Entry Type","Sale","Entry No.",I255,"Location Code",$L$7)</t>
  </si>
  <si>
    <t>=NL("Sum","Item Ledger Entry","Quantity","Entry Type","Positive Adjmt.|Negative Adjmt.","Entry No.",I255,"Location Code",$L$7)</t>
  </si>
  <si>
    <t>=NL("Sum","Item Ledger Entry","Quantity","Entry Type","Transfer","Entry No.",I255,"Location Code",$L$7)</t>
  </si>
  <si>
    <t>=NL("Sum","Item Ledger Entry","Quantity","Entry Type","Consumption","Entry No.",I255,"Location Code",$L$7)</t>
  </si>
  <si>
    <t>=NL("Sum","Item Ledger Entry","Quantity","Entry Type","Output","Entry No.",I255,"Location Code",$L$7)</t>
  </si>
  <si>
    <t>=NL("Sum","Item Ledger Entry","Quantity","Entry Type","Purchase","Entry No.",I256,"Location Code",$L$7)</t>
  </si>
  <si>
    <t>=NL("Sum","Item Ledger Entry","Quantity","Entry Type","Sale","Entry No.",I256,"Location Code",$L$7)</t>
  </si>
  <si>
    <t>=NL("Sum","Item Ledger Entry","Quantity","Entry Type","Positive Adjmt.|Negative Adjmt.","Entry No.",I256,"Location Code",$L$7)</t>
  </si>
  <si>
    <t>=NL("Sum","Item Ledger Entry","Quantity","Entry Type","Transfer","Entry No.",I256,"Location Code",$L$7)</t>
  </si>
  <si>
    <t>=NL("Sum","Item Ledger Entry","Quantity","Entry Type","Consumption","Entry No.",I256,"Location Code",$L$7)</t>
  </si>
  <si>
    <t>=NL("Sum","Item Ledger Entry","Quantity","Entry Type","Output","Entry No.",I256,"Location Code",$L$7)</t>
  </si>
  <si>
    <t>=NL("Sum","Item Ledger Entry","Quantity","Entry Type","Purchase","Entry No.",I265,"Location Code",$L$7)</t>
  </si>
  <si>
    <t>=NL("Sum","Item Ledger Entry","Quantity","Entry Type","Sale","Entry No.",I265,"Location Code",$L$7)</t>
  </si>
  <si>
    <t>=NL("Sum","Item Ledger Entry","Quantity","Entry Type","Positive Adjmt.|Negative Adjmt.","Entry No.",I265,"Location Code",$L$7)</t>
  </si>
  <si>
    <t>=NL("Sum","Item Ledger Entry","Quantity","Entry Type","Transfer","Entry No.",I265,"Location Code",$L$7)</t>
  </si>
  <si>
    <t>=NL("Sum","Item Ledger Entry","Quantity","Entry Type","Consumption","Entry No.",I265,"Location Code",$L$7)</t>
  </si>
  <si>
    <t>=NL("Sum","Item Ledger Entry","Quantity","Entry Type","Output","Entry No.",I265,"Location Code",$L$7)</t>
  </si>
  <si>
    <t>=NL("Sum","Item Ledger Entry","Quantity","Entry Type","Purchase","Entry No.",I284,"Location Code",$L$7)</t>
  </si>
  <si>
    <t>=NL("Sum","Item Ledger Entry","Quantity","Entry Type","Sale","Entry No.",I284,"Location Code",$L$7)</t>
  </si>
  <si>
    <t>=NL("Sum","Item Ledger Entry","Quantity","Entry Type","Positive Adjmt.|Negative Adjmt.","Entry No.",I284,"Location Code",$L$7)</t>
  </si>
  <si>
    <t>=NL("Sum","Item Ledger Entry","Quantity","Entry Type","Transfer","Entry No.",I284,"Location Code",$L$7)</t>
  </si>
  <si>
    <t>=NL("Sum","Item Ledger Entry","Quantity","Entry Type","Consumption","Entry No.",I284,"Location Code",$L$7)</t>
  </si>
  <si>
    <t>=NL("Sum","Item Ledger Entry","Quantity","Entry Type","Output","Entry No.",I284,"Location Code",$L$7)</t>
  </si>
  <si>
    <t>=NL("Sum","Item Ledger Entry","Quantity","Entry Type","Purchase","Entry No.",I285,"Location Code",$L$7)</t>
  </si>
  <si>
    <t>=NL("Sum","Item Ledger Entry","Quantity","Entry Type","Sale","Entry No.",I285,"Location Code",$L$7)</t>
  </si>
  <si>
    <t>=NL("Sum","Item Ledger Entry","Quantity","Entry Type","Positive Adjmt.|Negative Adjmt.","Entry No.",I285,"Location Code",$L$7)</t>
  </si>
  <si>
    <t>=NL("Sum","Item Ledger Entry","Quantity","Entry Type","Transfer","Entry No.",I285,"Location Code",$L$7)</t>
  </si>
  <si>
    <t>=NL("Sum","Item Ledger Entry","Quantity","Entry Type","Consumption","Entry No.",I285,"Location Code",$L$7)</t>
  </si>
  <si>
    <t>=NL("Sum","Item Ledger Entry","Quantity","Entry Type","Output","Entry No.",I285,"Location Code",$L$7)</t>
  </si>
  <si>
    <t>=NL("Sum","Item Ledger Entry","Quantity","Entry Type","Purchase","Entry No.",I289,"Location Code",$L$7)</t>
  </si>
  <si>
    <t>=NL("Sum","Item Ledger Entry","Quantity","Entry Type","Sale","Entry No.",I289,"Location Code",$L$7)</t>
  </si>
  <si>
    <t>=NL("Sum","Item Ledger Entry","Quantity","Entry Type","Positive Adjmt.|Negative Adjmt.","Entry No.",I289,"Location Code",$L$7)</t>
  </si>
  <si>
    <t>=NL("Sum","Item Ledger Entry","Quantity","Entry Type","Transfer","Entry No.",I289,"Location Code",$L$7)</t>
  </si>
  <si>
    <t>=NL("Sum","Item Ledger Entry","Quantity","Entry Type","Consumption","Entry No.",I289,"Location Code",$L$7)</t>
  </si>
  <si>
    <t>=NL("Sum","Item Ledger Entry","Quantity","Entry Type","Output","Entry No.",I289,"Location Code",$L$7)</t>
  </si>
  <si>
    <t>=NL("Sum","Item Ledger Entry","Quantity","Entry Type","Purchase","Entry No.",I290,"Location Code",$L$7)</t>
  </si>
  <si>
    <t>=NL("Sum","Item Ledger Entry","Quantity","Entry Type","Sale","Entry No.",I290,"Location Code",$L$7)</t>
  </si>
  <si>
    <t>=NL("Sum","Item Ledger Entry","Quantity","Entry Type","Positive Adjmt.|Negative Adjmt.","Entry No.",I290,"Location Code",$L$7)</t>
  </si>
  <si>
    <t>=NL("Sum","Item Ledger Entry","Quantity","Entry Type","Transfer","Entry No.",I290,"Location Code",$L$7)</t>
  </si>
  <si>
    <t>=NL("Sum","Item Ledger Entry","Quantity","Entry Type","Consumption","Entry No.",I290,"Location Code",$L$7)</t>
  </si>
  <si>
    <t>=NL("Sum","Item Ledger Entry","Quantity","Entry Type","Output","Entry No.",I290,"Location Code",$L$7)</t>
  </si>
  <si>
    <t>=NL("Sum","Item Ledger Entry","Quantity","Entry Type","Purchase","Entry No.",I305,"Location Code",$L$7)</t>
  </si>
  <si>
    <t>=NL("Sum","Item Ledger Entry","Quantity","Entry Type","Sale","Entry No.",I305,"Location Code",$L$7)</t>
  </si>
  <si>
    <t>=NL("Sum","Item Ledger Entry","Quantity","Entry Type","Positive Adjmt.|Negative Adjmt.","Entry No.",I305,"Location Code",$L$7)</t>
  </si>
  <si>
    <t>=NL("Sum","Item Ledger Entry","Quantity","Entry Type","Transfer","Entry No.",I305,"Location Code",$L$7)</t>
  </si>
  <si>
    <t>=NL("Sum","Item Ledger Entry","Quantity","Entry Type","Consumption","Entry No.",I305,"Location Code",$L$7)</t>
  </si>
  <si>
    <t>=NL("Sum","Item Ledger Entry","Quantity","Entry Type","Output","Entry No.",I305,"Location Code",$L$7)</t>
  </si>
  <si>
    <t>=NL("Sum","Item Ledger Entry","Quantity","Entry Type","Purchase","Entry No.",I306,"Location Code",$L$7)</t>
  </si>
  <si>
    <t>=NL("Sum","Item Ledger Entry","Quantity","Entry Type","Sale","Entry No.",I306,"Location Code",$L$7)</t>
  </si>
  <si>
    <t>=NL("Sum","Item Ledger Entry","Quantity","Entry Type","Positive Adjmt.|Negative Adjmt.","Entry No.",I306,"Location Code",$L$7)</t>
  </si>
  <si>
    <t>=NL("Sum","Item Ledger Entry","Quantity","Entry Type","Transfer","Entry No.",I306,"Location Code",$L$7)</t>
  </si>
  <si>
    <t>=NL("Sum","Item Ledger Entry","Quantity","Entry Type","Consumption","Entry No.",I306,"Location Code",$L$7)</t>
  </si>
  <si>
    <t>=NL("Sum","Item Ledger Entry","Quantity","Entry Type","Output","Entry No.",I306,"Location Code",$L$7)</t>
  </si>
  <si>
    <t>=NL("Sum","Item Ledger Entry","Quantity","Entry Type","Purchase","Entry No.",I320,"Location Code",$L$7)</t>
  </si>
  <si>
    <t>=NL("Sum","Item Ledger Entry","Quantity","Entry Type","Sale","Entry No.",I320,"Location Code",$L$7)</t>
  </si>
  <si>
    <t>=NL("Sum","Item Ledger Entry","Quantity","Entry Type","Positive Adjmt.|Negative Adjmt.","Entry No.",I320,"Location Code",$L$7)</t>
  </si>
  <si>
    <t>=NL("Sum","Item Ledger Entry","Quantity","Entry Type","Transfer","Entry No.",I320,"Location Code",$L$7)</t>
  </si>
  <si>
    <t>=NL("Sum","Item Ledger Entry","Quantity","Entry Type","Consumption","Entry No.",I320,"Location Code",$L$7)</t>
  </si>
  <si>
    <t>=NL("Sum","Item Ledger Entry","Quantity","Entry Type","Output","Entry No.",I320,"Location Code",$L$7)</t>
  </si>
  <si>
    <t>=NL("Sum","Item Ledger Entry","Quantity","Entry Type","Purchase","Entry No.",I321,"Location Code",$L$7)</t>
  </si>
  <si>
    <t>=NL("Sum","Item Ledger Entry","Quantity","Entry Type","Sale","Entry No.",I321,"Location Code",$L$7)</t>
  </si>
  <si>
    <t>=NL("Sum","Item Ledger Entry","Quantity","Entry Type","Positive Adjmt.|Negative Adjmt.","Entry No.",I321,"Location Code",$L$7)</t>
  </si>
  <si>
    <t>=NL("Sum","Item Ledger Entry","Quantity","Entry Type","Transfer","Entry No.",I321,"Location Code",$L$7)</t>
  </si>
  <si>
    <t>=NL("Sum","Item Ledger Entry","Quantity","Entry Type","Consumption","Entry No.",I321,"Location Code",$L$7)</t>
  </si>
  <si>
    <t>=NL("Sum","Item Ledger Entry","Quantity","Entry Type","Output","Entry No.",I321,"Location Code",$L$7)</t>
  </si>
  <si>
    <t>=NL("Sum","Item Ledger Entry","Quantity","Entry Type","Purchase","Entry No.",I322,"Location Code",$L$7)</t>
  </si>
  <si>
    <t>=NL("Sum","Item Ledger Entry","Quantity","Entry Type","Sale","Entry No.",I322,"Location Code",$L$7)</t>
  </si>
  <si>
    <t>=NL("Sum","Item Ledger Entry","Quantity","Entry Type","Positive Adjmt.|Negative Adjmt.","Entry No.",I322,"Location Code",$L$7)</t>
  </si>
  <si>
    <t>=NL("Sum","Item Ledger Entry","Quantity","Entry Type","Transfer","Entry No.",I322,"Location Code",$L$7)</t>
  </si>
  <si>
    <t>=NL("Sum","Item Ledger Entry","Quantity","Entry Type","Consumption","Entry No.",I322,"Location Code",$L$7)</t>
  </si>
  <si>
    <t>=NL("Sum","Item Ledger Entry","Quantity","Entry Type","Output","Entry No.",I322,"Location Code",$L$7)</t>
  </si>
  <si>
    <t>=NL("Sum","Item Ledger Entry","Quantity","Entry Type","Purchase","Entry No.",I343,"Location Code",$L$7)</t>
  </si>
  <si>
    <t>=NL("Sum","Item Ledger Entry","Quantity","Entry Type","Sale","Entry No.",I343,"Location Code",$L$7)</t>
  </si>
  <si>
    <t>=NL("Sum","Item Ledger Entry","Quantity","Entry Type","Positive Adjmt.|Negative Adjmt.","Entry No.",I343,"Location Code",$L$7)</t>
  </si>
  <si>
    <t>=NL("Sum","Item Ledger Entry","Quantity","Entry Type","Transfer","Entry No.",I343,"Location Code",$L$7)</t>
  </si>
  <si>
    <t>=NL("Sum","Item Ledger Entry","Quantity","Entry Type","Consumption","Entry No.",I343,"Location Code",$L$7)</t>
  </si>
  <si>
    <t>=NL("Sum","Item Ledger Entry","Quantity","Entry Type","Output","Entry No.",I343,"Location Code",$L$7)</t>
  </si>
  <si>
    <t>=NL("Sum","Item Ledger Entry","Quantity","Entry Type","Purchase","Entry No.",I354,"Location Code",$L$7)</t>
  </si>
  <si>
    <t>=NL("Sum","Item Ledger Entry","Quantity","Entry Type","Sale","Entry No.",I354,"Location Code",$L$7)</t>
  </si>
  <si>
    <t>=NL("Sum","Item Ledger Entry","Quantity","Entry Type","Positive Adjmt.|Negative Adjmt.","Entry No.",I354,"Location Code",$L$7)</t>
  </si>
  <si>
    <t>=NL("Sum","Item Ledger Entry","Quantity","Entry Type","Transfer","Entry No.",I354,"Location Code",$L$7)</t>
  </si>
  <si>
    <t>=NL("Sum","Item Ledger Entry","Quantity","Entry Type","Consumption","Entry No.",I354,"Location Code",$L$7)</t>
  </si>
  <si>
    <t>=NL("Sum","Item Ledger Entry","Quantity","Entry Type","Output","Entry No.",I354,"Location Code",$L$7)</t>
  </si>
  <si>
    <t>=NL("Sum","Item Ledger Entry","Quantity","Entry Type","Purchase","Entry No.",I355,"Location Code",$L$7)</t>
  </si>
  <si>
    <t>=NL("Sum","Item Ledger Entry","Quantity","Entry Type","Sale","Entry No.",I355,"Location Code",$L$7)</t>
  </si>
  <si>
    <t>=NL("Sum","Item Ledger Entry","Quantity","Entry Type","Positive Adjmt.|Negative Adjmt.","Entry No.",I355,"Location Code",$L$7)</t>
  </si>
  <si>
    <t>=NL("Sum","Item Ledger Entry","Quantity","Entry Type","Transfer","Entry No.",I355,"Location Code",$L$7)</t>
  </si>
  <si>
    <t>=NL("Sum","Item Ledger Entry","Quantity","Entry Type","Consumption","Entry No.",I355,"Location Code",$L$7)</t>
  </si>
  <si>
    <t>=NL("Sum","Item Ledger Entry","Quantity","Entry Type","Output","Entry No.",I355,"Location Code",$L$7)</t>
  </si>
  <si>
    <t>=NL("Sum","Item Ledger Entry","Quantity","Entry Type","Purchase","Entry No.",I356,"Location Code",$L$7)</t>
  </si>
  <si>
    <t>=NL("Sum","Item Ledger Entry","Quantity","Entry Type","Sale","Entry No.",I356,"Location Code",$L$7)</t>
  </si>
  <si>
    <t>=NL("Sum","Item Ledger Entry","Quantity","Entry Type","Positive Adjmt.|Negative Adjmt.","Entry No.",I356,"Location Code",$L$7)</t>
  </si>
  <si>
    <t>=NL("Sum","Item Ledger Entry","Quantity","Entry Type","Transfer","Entry No.",I356,"Location Code",$L$7)</t>
  </si>
  <si>
    <t>=NL("Sum","Item Ledger Entry","Quantity","Entry Type","Consumption","Entry No.",I356,"Location Code",$L$7)</t>
  </si>
  <si>
    <t>=NL("Sum","Item Ledger Entry","Quantity","Entry Type","Output","Entry No.",I356,"Location Code",$L$7)</t>
  </si>
  <si>
    <t>=NL("Sum","Item Ledger Entry","Quantity","Entry Type","Purchase","Entry No.",I357,"Location Code",$L$7)</t>
  </si>
  <si>
    <t>=NL("Sum","Item Ledger Entry","Quantity","Entry Type","Sale","Entry No.",I357,"Location Code",$L$7)</t>
  </si>
  <si>
    <t>=NL("Sum","Item Ledger Entry","Quantity","Entry Type","Positive Adjmt.|Negative Adjmt.","Entry No.",I357,"Location Code",$L$7)</t>
  </si>
  <si>
    <t>=NL("Sum","Item Ledger Entry","Quantity","Entry Type","Transfer","Entry No.",I357,"Location Code",$L$7)</t>
  </si>
  <si>
    <t>=NL("Sum","Item Ledger Entry","Quantity","Entry Type","Consumption","Entry No.",I357,"Location Code",$L$7)</t>
  </si>
  <si>
    <t>=NL("Sum","Item Ledger Entry","Quantity","Entry Type","Output","Entry No.",I357,"Location Code",$L$7)</t>
  </si>
  <si>
    <t>=NL("Sum","Item Ledger Entry","Quantity","Entry Type","Purchase","Entry No.",I362,"Location Code",$L$7)</t>
  </si>
  <si>
    <t>=NL("Sum","Item Ledger Entry","Quantity","Entry Type","Sale","Entry No.",I362,"Location Code",$L$7)</t>
  </si>
  <si>
    <t>=NL("Sum","Item Ledger Entry","Quantity","Entry Type","Positive Adjmt.|Negative Adjmt.","Entry No.",I362,"Location Code",$L$7)</t>
  </si>
  <si>
    <t>=NL("Sum","Item Ledger Entry","Quantity","Entry Type","Transfer","Entry No.",I362,"Location Code",$L$7)</t>
  </si>
  <si>
    <t>=NL("Sum","Item Ledger Entry","Quantity","Entry Type","Consumption","Entry No.",I362,"Location Code",$L$7)</t>
  </si>
  <si>
    <t>=NL("Sum","Item Ledger Entry","Quantity","Entry Type","Output","Entry No.",I362,"Location Code",$L$7)</t>
  </si>
  <si>
    <t>=NL("Sum","Item Ledger Entry","Quantity","Entry Type","Purchase","Entry No.",I370,"Location Code",$L$7)</t>
  </si>
  <si>
    <t>=NL("Sum","Item Ledger Entry","Quantity","Entry Type","Sale","Entry No.",I370,"Location Code",$L$7)</t>
  </si>
  <si>
    <t>=NL("Sum","Item Ledger Entry","Quantity","Entry Type","Positive Adjmt.|Negative Adjmt.","Entry No.",I370,"Location Code",$L$7)</t>
  </si>
  <si>
    <t>=NL("Sum","Item Ledger Entry","Quantity","Entry Type","Transfer","Entry No.",I370,"Location Code",$L$7)</t>
  </si>
  <si>
    <t>=NL("Sum","Item Ledger Entry","Quantity","Entry Type","Consumption","Entry No.",I370,"Location Code",$L$7)</t>
  </si>
  <si>
    <t>=NL("Sum","Item Ledger Entry","Quantity","Entry Type","Output","Entry No.",I370,"Location Code",$L$7)</t>
  </si>
  <si>
    <t>=NL("Sum","Item Ledger Entry","Quantity","Entry Type","Purchase","Entry No.",I371,"Location Code",$L$7)</t>
  </si>
  <si>
    <t>=NL("Sum","Item Ledger Entry","Quantity","Entry Type","Sale","Entry No.",I371,"Location Code",$L$7)</t>
  </si>
  <si>
    <t>=NL("Sum","Item Ledger Entry","Quantity","Entry Type","Positive Adjmt.|Negative Adjmt.","Entry No.",I371,"Location Code",$L$7)</t>
  </si>
  <si>
    <t>=NL("Sum","Item Ledger Entry","Quantity","Entry Type","Transfer","Entry No.",I371,"Location Code",$L$7)</t>
  </si>
  <si>
    <t>=NL("Sum","Item Ledger Entry","Quantity","Entry Type","Consumption","Entry No.",I371,"Location Code",$L$7)</t>
  </si>
  <si>
    <t>=NL("Sum","Item Ledger Entry","Quantity","Entry Type","Output","Entry No.",I371,"Location Code",$L$7)</t>
  </si>
  <si>
    <t>=NL("Sum","Item Ledger Entry","Quantity","Entry Type","Purchase","Entry No.",I384,"Location Code",$L$7)</t>
  </si>
  <si>
    <t>=NL("Sum","Item Ledger Entry","Quantity","Entry Type","Sale","Entry No.",I384,"Location Code",$L$7)</t>
  </si>
  <si>
    <t>=NL("Sum","Item Ledger Entry","Quantity","Entry Type","Positive Adjmt.|Negative Adjmt.","Entry No.",I384,"Location Code",$L$7)</t>
  </si>
  <si>
    <t>=NL("Sum","Item Ledger Entry","Quantity","Entry Type","Transfer","Entry No.",I384,"Location Code",$L$7)</t>
  </si>
  <si>
    <t>=NL("Sum","Item Ledger Entry","Quantity","Entry Type","Consumption","Entry No.",I384,"Location Code",$L$7)</t>
  </si>
  <si>
    <t>=NL("Sum","Item Ledger Entry","Quantity","Entry Type","Output","Entry No.",I384,"Location Code",$L$7)</t>
  </si>
  <si>
    <t>=NL("Sum","Item Ledger Entry","Quantity","Entry Type","Purchase","Entry No.",I385,"Location Code",$L$7)</t>
  </si>
  <si>
    <t>=NL("Sum","Item Ledger Entry","Quantity","Entry Type","Sale","Entry No.",I385,"Location Code",$L$7)</t>
  </si>
  <si>
    <t>=NL("Sum","Item Ledger Entry","Quantity","Entry Type","Positive Adjmt.|Negative Adjmt.","Entry No.",I385,"Location Code",$L$7)</t>
  </si>
  <si>
    <t>=NL("Sum","Item Ledger Entry","Quantity","Entry Type","Transfer","Entry No.",I385,"Location Code",$L$7)</t>
  </si>
  <si>
    <t>=NL("Sum","Item Ledger Entry","Quantity","Entry Type","Consumption","Entry No.",I385,"Location Code",$L$7)</t>
  </si>
  <si>
    <t>=NL("Sum","Item Ledger Entry","Quantity","Entry Type","Output","Entry No.",I385,"Location Code",$L$7)</t>
  </si>
  <si>
    <t>=NL("Sum","Item Ledger Entry","Quantity","Entry Type","Purchase","Entry No.",I386,"Location Code",$L$7)</t>
  </si>
  <si>
    <t>=NL("Sum","Item Ledger Entry","Quantity","Entry Type","Sale","Entry No.",I386,"Location Code",$L$7)</t>
  </si>
  <si>
    <t>=NL("Sum","Item Ledger Entry","Quantity","Entry Type","Positive Adjmt.|Negative Adjmt.","Entry No.",I386,"Location Code",$L$7)</t>
  </si>
  <si>
    <t>=NL("Sum","Item Ledger Entry","Quantity","Entry Type","Transfer","Entry No.",I386,"Location Code",$L$7)</t>
  </si>
  <si>
    <t>=NL("Sum","Item Ledger Entry","Quantity","Entry Type","Consumption","Entry No.",I386,"Location Code",$L$7)</t>
  </si>
  <si>
    <t>=NL("Sum","Item Ledger Entry","Quantity","Entry Type","Output","Entry No.",I386,"Location Code",$L$7)</t>
  </si>
  <si>
    <t>=D397</t>
  </si>
  <si>
    <t>=NF($G398,"Posting Date")</t>
  </si>
  <si>
    <t>=NF($G398,"Entry No.")</t>
  </si>
  <si>
    <t>=NF(G398,"Source Type")</t>
  </si>
  <si>
    <t>=NF($G398,"Source No.")</t>
  </si>
  <si>
    <t>=IF($J398="Customer",NL("first",$J398,"Name","No.","@@"&amp;$K398),"")</t>
  </si>
  <si>
    <t>=IF(J398="vendor",NL("first",J398,"Name","No.","@@"&amp;K398),"")</t>
  </si>
  <si>
    <t>=IF($J398="Item",NL("first",$J398,"Description","No.","@@"&amp;$K398),"")</t>
  </si>
  <si>
    <t>=NL("Sum","Item Ledger Entry","Quantity","Entry Type","Purchase","Entry No.",I425,"Location Code",$L$7)</t>
  </si>
  <si>
    <t>=NL("Sum","Item Ledger Entry","Quantity","Entry Type","Sale","Entry No.",I425,"Location Code",$L$7)</t>
  </si>
  <si>
    <t>=NL("Sum","Item Ledger Entry","Quantity","Entry Type","Positive Adjmt.|Negative Adjmt.","Entry No.",I425,"Location Code",$L$7)</t>
  </si>
  <si>
    <t>=NL("Sum","Item Ledger Entry","Quantity","Entry Type","Transfer","Entry No.",I425,"Location Code",$L$7)</t>
  </si>
  <si>
    <t>=NL("Sum","Item Ledger Entry","Quantity","Entry Type","Consumption","Entry No.",I425,"Location Code",$L$7)</t>
  </si>
  <si>
    <t>=NL("Sum","Item Ledger Entry","Quantity","Entry Type","Output","Entry No.",I425,"Location Code",$L$7)</t>
  </si>
  <si>
    <t>=NL("Sum","Item Ledger Entry","Quantity","Entry Type","Purchase","Entry No.",I426,"Location Code",$L$7)</t>
  </si>
  <si>
    <t>=NL("Sum","Item Ledger Entry","Quantity","Entry Type","Sale","Entry No.",I426,"Location Code",$L$7)</t>
  </si>
  <si>
    <t>=NL("Sum","Item Ledger Entry","Quantity","Entry Type","Positive Adjmt.|Negative Adjmt.","Entry No.",I426,"Location Code",$L$7)</t>
  </si>
  <si>
    <t>=NL("Sum","Item Ledger Entry","Quantity","Entry Type","Transfer","Entry No.",I426,"Location Code",$L$7)</t>
  </si>
  <si>
    <t>=NL("Sum","Item Ledger Entry","Quantity","Entry Type","Consumption","Entry No.",I426,"Location Code",$L$7)</t>
  </si>
  <si>
    <t>=NL("Sum","Item Ledger Entry","Quantity","Entry Type","Output","Entry No.",I426,"Location Code",$L$7)</t>
  </si>
  <si>
    <t>=NL("Sum","Item Ledger Entry","Quantity","Entry Type","Purchase","Entry No.",I439,"Location Code",$L$7)</t>
  </si>
  <si>
    <t>=NL("Sum","Item Ledger Entry","Quantity","Entry Type","Sale","Entry No.",I439,"Location Code",$L$7)</t>
  </si>
  <si>
    <t>=NL("Sum","Item Ledger Entry","Quantity","Entry Type","Positive Adjmt.|Negative Adjmt.","Entry No.",I439,"Location Code",$L$7)</t>
  </si>
  <si>
    <t>=NL("Sum","Item Ledger Entry","Quantity","Entry Type","Transfer","Entry No.",I439,"Location Code",$L$7)</t>
  </si>
  <si>
    <t>=NL("Sum","Item Ledger Entry","Quantity","Entry Type","Consumption","Entry No.",I439,"Location Code",$L$7)</t>
  </si>
  <si>
    <t>=NL("Sum","Item Ledger Entry","Quantity","Entry Type","Output","Entry No.",I439,"Location Code",$L$7)</t>
  </si>
  <si>
    <t>=NL("Sum","Item Ledger Entry","Quantity","Entry Type","Purchase","Entry No.",I452,"Location Code",$L$7)</t>
  </si>
  <si>
    <t>=NL("Sum","Item Ledger Entry","Quantity","Entry Type","Sale","Entry No.",I452,"Location Code",$L$7)</t>
  </si>
  <si>
    <t>=NL("Sum","Item Ledger Entry","Quantity","Entry Type","Positive Adjmt.|Negative Adjmt.","Entry No.",I452,"Location Code",$L$7)</t>
  </si>
  <si>
    <t>=NL("Sum","Item Ledger Entry","Quantity","Entry Type","Transfer","Entry No.",I452,"Location Code",$L$7)</t>
  </si>
  <si>
    <t>=NL("Sum","Item Ledger Entry","Quantity","Entry Type","Consumption","Entry No.",I452,"Location Code",$L$7)</t>
  </si>
  <si>
    <t>=NL("Sum","Item Ledger Entry","Quantity","Entry Type","Output","Entry No.",I452,"Location Code",$L$7)</t>
  </si>
  <si>
    <t>=E16</t>
  </si>
  <si>
    <t>=NL("First","Item","Description","No.",$E16)</t>
  </si>
  <si>
    <t>=NL("First","Item","Base Unit of Measure","No.",$E16)</t>
  </si>
  <si>
    <t>=(SUBTOTAL(9,O17:O18))</t>
  </si>
  <si>
    <t>=(SUBTOTAL(9,P17:P18))</t>
  </si>
  <si>
    <t>=(SUBTOTAL(9,Q17:Q18))</t>
  </si>
  <si>
    <t>=(SUBTOTAL(9,R17:R18))</t>
  </si>
  <si>
    <t>=(SUBTOTAL(9,S17:S18))</t>
  </si>
  <si>
    <t>=(SUBTOTAL(9,T17:T18))</t>
  </si>
  <si>
    <t>=SUBTOTAL(9,O17:T18)</t>
  </si>
  <si>
    <t>=NL("Rows","Item Ledger Entry",,"+Posting Date",$L$5,"Item No.","@@"&amp;$D17,"Location Code","@@"&amp;$E$6)</t>
  </si>
  <si>
    <t>=NL("Sum","Item Ledger Entry","Quantity","Entry Type","Purchase","Entry No.",I17,"Location Code","@@"&amp;$E$6)</t>
  </si>
  <si>
    <t>=NL("Sum","Item Ledger Entry","Quantity","Entry Type","Sale","Entry No.",I17,"Location Code","@@"&amp;$E$6)</t>
  </si>
  <si>
    <t>=NL("Sum","Item Ledger Entry","Quantity","Entry Type","Positive Adjmt.|Negative Adjmt.","Entry No.",I17,"Location Code","@@"&amp;$E$6)</t>
  </si>
  <si>
    <t>=NL("Sum","Item Ledger Entry","Quantity","Entry Type","Transfer","Entry No.",I17,"Location Code","@@"&amp;$E$6)</t>
  </si>
  <si>
    <t>=NL("Sum","Item Ledger Entry","Quantity","Entry Type","Consumption","Entry No.",I17,"Location Code","@@"&amp;$E$6)</t>
  </si>
  <si>
    <t>=NL("Sum","Item Ledger Entry","Quantity","Entry Type","Output","Entry No.",I17,"Location Code","@@"&amp;$E$6)</t>
  </si>
  <si>
    <t>=NL("Rows","Item Ledger Entry",,"+Posting Date",$L$5,"Item No.","@@"&amp;$D21,"Location Code","@@"&amp;$E$6)</t>
  </si>
  <si>
    <t>=NL("Sum","Item Ledger Entry","Quantity","Entry Type","Purchase","Entry No.",I21,"Location Code","@@"&amp;$E$6)</t>
  </si>
  <si>
    <t>=NL("Sum","Item Ledger Entry","Quantity","Entry Type","Sale","Entry No.",I21,"Location Code","@@"&amp;$E$6)</t>
  </si>
  <si>
    <t>=NL("Sum","Item Ledger Entry","Quantity","Entry Type","Positive Adjmt.|Negative Adjmt.","Entry No.",I21,"Location Code","@@"&amp;$E$6)</t>
  </si>
  <si>
    <t>=NL("Sum","Item Ledger Entry","Quantity","Entry Type","Transfer","Entry No.",I21,"Location Code","@@"&amp;$E$6)</t>
  </si>
  <si>
    <t>=NL("Sum","Item Ledger Entry","Quantity","Entry Type","Consumption","Entry No.",I21,"Location Code","@@"&amp;$E$6)</t>
  </si>
  <si>
    <t>=NL("Sum","Item Ledger Entry","Quantity","Entry Type","Output","Entry No.",I21,"Location Code","@@"&amp;$E$6)</t>
  </si>
  <si>
    <t>=NL("Rows","Item Ledger Entry",,"+Posting Date",$L$5,"Item No.","@@"&amp;$D25,"Location Code","@@"&amp;$E$6)</t>
  </si>
  <si>
    <t>=NL("Sum","Item Ledger Entry","Quantity","Entry Type","Purchase","Entry No.",I25,"Location Code","@@"&amp;$E$6)</t>
  </si>
  <si>
    <t>=NL("Sum","Item Ledger Entry","Quantity","Entry Type","Sale","Entry No.",I25,"Location Code","@@"&amp;$E$6)</t>
  </si>
  <si>
    <t>=NL("Sum","Item Ledger Entry","Quantity","Entry Type","Positive Adjmt.|Negative Adjmt.","Entry No.",I25,"Location Code","@@"&amp;$E$6)</t>
  </si>
  <si>
    <t>=NL("Sum","Item Ledger Entry","Quantity","Entry Type","Transfer","Entry No.",I25,"Location Code","@@"&amp;$E$6)</t>
  </si>
  <si>
    <t>=NL("Sum","Item Ledger Entry","Quantity","Entry Type","Consumption","Entry No.",I25,"Location Code","@@"&amp;$E$6)</t>
  </si>
  <si>
    <t>=NL("Sum","Item Ledger Entry","Quantity","Entry Type","Output","Entry No.",I25,"Location Code","@@"&amp;$E$6)</t>
  </si>
  <si>
    <t>=NL("Sum","Item Ledger Entry","Quantity","Entry Type","Purchase","Entry No.",I26,"Location Code","@@"&amp;$E$6)</t>
  </si>
  <si>
    <t>=NL("Sum","Item Ledger Entry","Quantity","Entry Type","Sale","Entry No.",I26,"Location Code","@@"&amp;$E$6)</t>
  </si>
  <si>
    <t>=NL("Sum","Item Ledger Entry","Quantity","Entry Type","Positive Adjmt.|Negative Adjmt.","Entry No.",I26,"Location Code","@@"&amp;$E$6)</t>
  </si>
  <si>
    <t>=NL("Sum","Item Ledger Entry","Quantity","Entry Type","Transfer","Entry No.",I26,"Location Code","@@"&amp;$E$6)</t>
  </si>
  <si>
    <t>=NL("Sum","Item Ledger Entry","Quantity","Entry Type","Consumption","Entry No.",I26,"Location Code","@@"&amp;$E$6)</t>
  </si>
  <si>
    <t>=NL("Sum","Item Ledger Entry","Quantity","Entry Type","Output","Entry No.",I26,"Location Code","@@"&amp;$E$6)</t>
  </si>
  <si>
    <t>=E29</t>
  </si>
  <si>
    <t>=NL("First","Item","Description","No.",$E29)</t>
  </si>
  <si>
    <t>=NL("First","Item","Base Unit of Measure","No.",$E29)</t>
  </si>
  <si>
    <t>=NL("Rows","Item Ledger Entry",,"+Posting Date",$L$5,"Item No.","@@"&amp;$D30,"Location Code","@@"&amp;$E$6)</t>
  </si>
  <si>
    <t>=NL("Sum","Item Ledger Entry","Quantity","Entry Type","Purchase","Entry No.",I30,"Location Code","@@"&amp;$E$6)</t>
  </si>
  <si>
    <t>=NL("Sum","Item Ledger Entry","Quantity","Entry Type","Sale","Entry No.",I30,"Location Code","@@"&amp;$E$6)</t>
  </si>
  <si>
    <t>=NL("Sum","Item Ledger Entry","Quantity","Entry Type","Positive Adjmt.|Negative Adjmt.","Entry No.",I30,"Location Code","@@"&amp;$E$6)</t>
  </si>
  <si>
    <t>=NL("Sum","Item Ledger Entry","Quantity","Entry Type","Transfer","Entry No.",I30,"Location Code","@@"&amp;$E$6)</t>
  </si>
  <si>
    <t>=NL("Sum","Item Ledger Entry","Quantity","Entry Type","Consumption","Entry No.",I30,"Location Code","@@"&amp;$E$6)</t>
  </si>
  <si>
    <t>=NL("Sum","Item Ledger Entry","Quantity","Entry Type","Output","Entry No.",I30,"Location Code","@@"&amp;$E$6)</t>
  </si>
  <si>
    <t>=NL("Sum","Item Ledger Entry","Quantity","Entry Type","Purchase","Entry No.",I31,"Location Code","@@"&amp;$E$6)</t>
  </si>
  <si>
    <t>=NL("Sum","Item Ledger Entry","Quantity","Entry Type","Sale","Entry No.",I31,"Location Code","@@"&amp;$E$6)</t>
  </si>
  <si>
    <t>=NL("Sum","Item Ledger Entry","Quantity","Entry Type","Positive Adjmt.|Negative Adjmt.","Entry No.",I31,"Location Code","@@"&amp;$E$6)</t>
  </si>
  <si>
    <t>=NL("Sum","Item Ledger Entry","Quantity","Entry Type","Transfer","Entry No.",I31,"Location Code","@@"&amp;$E$6)</t>
  </si>
  <si>
    <t>=NL("Sum","Item Ledger Entry","Quantity","Entry Type","Consumption","Entry No.",I31,"Location Code","@@"&amp;$E$6)</t>
  </si>
  <si>
    <t>=NL("Sum","Item Ledger Entry","Quantity","Entry Type","Output","Entry No.",I31,"Location Code","@@"&amp;$E$6)</t>
  </si>
  <si>
    <t>=NL("Sum","Item Ledger Entry","Quantity","Entry Type","Purchase","Entry No.",I35,"Location Code","@@"&amp;$E$6)</t>
  </si>
  <si>
    <t>=NL("Sum","Item Ledger Entry","Quantity","Entry Type","Sale","Entry No.",I35,"Location Code","@@"&amp;$E$6)</t>
  </si>
  <si>
    <t>=NL("Sum","Item Ledger Entry","Quantity","Entry Type","Positive Adjmt.|Negative Adjmt.","Entry No.",I35,"Location Code","@@"&amp;$E$6)</t>
  </si>
  <si>
    <t>=NL("Sum","Item Ledger Entry","Quantity","Entry Type","Transfer","Entry No.",I35,"Location Code","@@"&amp;$E$6)</t>
  </si>
  <si>
    <t>=NL("Sum","Item Ledger Entry","Quantity","Entry Type","Consumption","Entry No.",I35,"Location Code","@@"&amp;$E$6)</t>
  </si>
  <si>
    <t>=NL("Sum","Item Ledger Entry","Quantity","Entry Type","Output","Entry No.",I35,"Location Code","@@"&amp;$E$6)</t>
  </si>
  <si>
    <t>=NL("Sum","Item Ledger Entry","Quantity","Entry Type","Purchase","Entry No.",I36,"Location Code","@@"&amp;$E$6)</t>
  </si>
  <si>
    <t>=NL("Sum","Item Ledger Entry","Quantity","Entry Type","Sale","Entry No.",I36,"Location Code","@@"&amp;$E$6)</t>
  </si>
  <si>
    <t>=NL("Sum","Item Ledger Entry","Quantity","Entry Type","Positive Adjmt.|Negative Adjmt.","Entry No.",I36,"Location Code","@@"&amp;$E$6)</t>
  </si>
  <si>
    <t>=NL("Sum","Item Ledger Entry","Quantity","Entry Type","Transfer","Entry No.",I36,"Location Code","@@"&amp;$E$6)</t>
  </si>
  <si>
    <t>=NL("Sum","Item Ledger Entry","Quantity","Entry Type","Consumption","Entry No.",I36,"Location Code","@@"&amp;$E$6)</t>
  </si>
  <si>
    <t>=NL("Sum","Item Ledger Entry","Quantity","Entry Type","Output","Entry No.",I36,"Location Code","@@"&amp;$E$6)</t>
  </si>
  <si>
    <t>=NL("Sum","Item Ledger Entry","Quantity","Entry Type","Purchase","Entry No.",I37,"Location Code","@@"&amp;$E$6)</t>
  </si>
  <si>
    <t>=NL("Sum","Item Ledger Entry","Quantity","Entry Type","Sale","Entry No.",I37,"Location Code","@@"&amp;$E$6)</t>
  </si>
  <si>
    <t>=NL("Sum","Item Ledger Entry","Quantity","Entry Type","Positive Adjmt.|Negative Adjmt.","Entry No.",I37,"Location Code","@@"&amp;$E$6)</t>
  </si>
  <si>
    <t>=NL("Sum","Item Ledger Entry","Quantity","Entry Type","Transfer","Entry No.",I37,"Location Code","@@"&amp;$E$6)</t>
  </si>
  <si>
    <t>=NL("Sum","Item Ledger Entry","Quantity","Entry Type","Consumption","Entry No.",I37,"Location Code","@@"&amp;$E$6)</t>
  </si>
  <si>
    <t>=NL("Sum","Item Ledger Entry","Quantity","Entry Type","Output","Entry No.",I37,"Location Code","@@"&amp;$E$6)</t>
  </si>
  <si>
    <t>=NL("Sum","Item Ledger Entry","Quantity","Entry Type","Purchase","Entry No.",I41,"Location Code","@@"&amp;$E$6)</t>
  </si>
  <si>
    <t>=NL("Sum","Item Ledger Entry","Quantity","Entry Type","Sale","Entry No.",I41,"Location Code","@@"&amp;$E$6)</t>
  </si>
  <si>
    <t>=NL("Sum","Item Ledger Entry","Quantity","Entry Type","Positive Adjmt.|Negative Adjmt.","Entry No.",I41,"Location Code","@@"&amp;$E$6)</t>
  </si>
  <si>
    <t>=NL("Sum","Item Ledger Entry","Quantity","Entry Type","Transfer","Entry No.",I41,"Location Code","@@"&amp;$E$6)</t>
  </si>
  <si>
    <t>=NL("Sum","Item Ledger Entry","Quantity","Entry Type","Consumption","Entry No.",I41,"Location Code","@@"&amp;$E$6)</t>
  </si>
  <si>
    <t>=NL("Sum","Item Ledger Entry","Quantity","Entry Type","Output","Entry No.",I41,"Location Code","@@"&amp;$E$6)</t>
  </si>
  <si>
    <t>=NL("Sum","Item Ledger Entry","Quantity","Entry Type","Purchase","Entry No.",I45,"Location Code","@@"&amp;$E$6)</t>
  </si>
  <si>
    <t>=NL("Sum","Item Ledger Entry","Quantity","Entry Type","Sale","Entry No.",I45,"Location Code","@@"&amp;$E$6)</t>
  </si>
  <si>
    <t>=NL("Sum","Item Ledger Entry","Quantity","Entry Type","Positive Adjmt.|Negative Adjmt.","Entry No.",I45,"Location Code","@@"&amp;$E$6)</t>
  </si>
  <si>
    <t>=NL("Sum","Item Ledger Entry","Quantity","Entry Type","Transfer","Entry No.",I45,"Location Code","@@"&amp;$E$6)</t>
  </si>
  <si>
    <t>=NL("Sum","Item Ledger Entry","Quantity","Entry Type","Consumption","Entry No.",I45,"Location Code","@@"&amp;$E$6)</t>
  </si>
  <si>
    <t>=NL("Sum","Item Ledger Entry","Quantity","Entry Type","Output","Entry No.",I45,"Location Code","@@"&amp;$E$6)</t>
  </si>
  <si>
    <t>=NL("Rows","Item Ledger Entry",,"+Posting Date",$L$5,"Item No.","@@"&amp;$D49,"Location Code","@@"&amp;$E$6)</t>
  </si>
  <si>
    <t>=NL("Sum","Item Ledger Entry","Quantity","Entry Type","Purchase","Entry No.",I49,"Location Code","@@"&amp;$E$6)</t>
  </si>
  <si>
    <t>=NL("Sum","Item Ledger Entry","Quantity","Entry Type","Sale","Entry No.",I49,"Location Code","@@"&amp;$E$6)</t>
  </si>
  <si>
    <t>=NL("Sum","Item Ledger Entry","Quantity","Entry Type","Positive Adjmt.|Negative Adjmt.","Entry No.",I49,"Location Code","@@"&amp;$E$6)</t>
  </si>
  <si>
    <t>=NL("Sum","Item Ledger Entry","Quantity","Entry Type","Transfer","Entry No.",I49,"Location Code","@@"&amp;$E$6)</t>
  </si>
  <si>
    <t>=NL("Sum","Item Ledger Entry","Quantity","Entry Type","Consumption","Entry No.",I49,"Location Code","@@"&amp;$E$6)</t>
  </si>
  <si>
    <t>=NL("Sum","Item Ledger Entry","Quantity","Entry Type","Output","Entry No.",I49,"Location Code","@@"&amp;$E$6)</t>
  </si>
  <si>
    <t>=NL("Sum","Item Ledger Entry","Quantity","Entry Type","Purchase","Entry No.",I53,"Location Code","@@"&amp;$E$6)</t>
  </si>
  <si>
    <t>=NL("Sum","Item Ledger Entry","Quantity","Entry Type","Sale","Entry No.",I53,"Location Code","@@"&amp;$E$6)</t>
  </si>
  <si>
    <t>=NL("Sum","Item Ledger Entry","Quantity","Entry Type","Positive Adjmt.|Negative Adjmt.","Entry No.",I53,"Location Code","@@"&amp;$E$6)</t>
  </si>
  <si>
    <t>=NL("Sum","Item Ledger Entry","Quantity","Entry Type","Transfer","Entry No.",I53,"Location Code","@@"&amp;$E$6)</t>
  </si>
  <si>
    <t>=NL("Sum","Item Ledger Entry","Quantity","Entry Type","Consumption","Entry No.",I53,"Location Code","@@"&amp;$E$6)</t>
  </si>
  <si>
    <t>=NL("Sum","Item Ledger Entry","Quantity","Entry Type","Output","Entry No.",I53,"Location Code","@@"&amp;$E$6)</t>
  </si>
  <si>
    <t>=NL("Rows","Item Ledger Entry",,"+Posting Date",$L$5,"Item No.","@@"&amp;$D57,"Location Code","@@"&amp;$E$6)</t>
  </si>
  <si>
    <t>=NL("Sum","Item Ledger Entry","Quantity","Entry Type","Purchase","Entry No.",I57,"Location Code","@@"&amp;$E$6)</t>
  </si>
  <si>
    <t>=NL("Sum","Item Ledger Entry","Quantity","Entry Type","Sale","Entry No.",I57,"Location Code","@@"&amp;$E$6)</t>
  </si>
  <si>
    <t>=NL("Sum","Item Ledger Entry","Quantity","Entry Type","Positive Adjmt.|Negative Adjmt.","Entry No.",I57,"Location Code","@@"&amp;$E$6)</t>
  </si>
  <si>
    <t>=NL("Sum","Item Ledger Entry","Quantity","Entry Type","Transfer","Entry No.",I57,"Location Code","@@"&amp;$E$6)</t>
  </si>
  <si>
    <t>=NL("Sum","Item Ledger Entry","Quantity","Entry Type","Consumption","Entry No.",I57,"Location Code","@@"&amp;$E$6)</t>
  </si>
  <si>
    <t>=NL("Sum","Item Ledger Entry","Quantity","Entry Type","Output","Entry No.",I57,"Location Code","@@"&amp;$E$6)</t>
  </si>
  <si>
    <t>=NL("Rows","Item Ledger Entry",,"+Posting Date",$L$5,"Item No.","@@"&amp;$D61,"Location Code","@@"&amp;$E$6)</t>
  </si>
  <si>
    <t>=NL("Sum","Item Ledger Entry","Quantity","Entry Type","Purchase","Entry No.",I61,"Location Code","@@"&amp;$E$6)</t>
  </si>
  <si>
    <t>=NL("Sum","Item Ledger Entry","Quantity","Entry Type","Sale","Entry No.",I61,"Location Code","@@"&amp;$E$6)</t>
  </si>
  <si>
    <t>=NL("Sum","Item Ledger Entry","Quantity","Entry Type","Positive Adjmt.|Negative Adjmt.","Entry No.",I61,"Location Code","@@"&amp;$E$6)</t>
  </si>
  <si>
    <t>=NL("Sum","Item Ledger Entry","Quantity","Entry Type","Transfer","Entry No.",I61,"Location Code","@@"&amp;$E$6)</t>
  </si>
  <si>
    <t>=NL("Sum","Item Ledger Entry","Quantity","Entry Type","Consumption","Entry No.",I61,"Location Code","@@"&amp;$E$6)</t>
  </si>
  <si>
    <t>=NL("Sum","Item Ledger Entry","Quantity","Entry Type","Output","Entry No.",I61,"Location Code","@@"&amp;$E$6)</t>
  </si>
  <si>
    <t>=NL("Sum","Item Ledger Entry","Quantity","Entry Type","Purchase","Entry No.",I65,"Location Code","@@"&amp;$E$6)</t>
  </si>
  <si>
    <t>=NL("Sum","Item Ledger Entry","Quantity","Entry Type","Sale","Entry No.",I65,"Location Code","@@"&amp;$E$6)</t>
  </si>
  <si>
    <t>=NL("Sum","Item Ledger Entry","Quantity","Entry Type","Positive Adjmt.|Negative Adjmt.","Entry No.",I65,"Location Code","@@"&amp;$E$6)</t>
  </si>
  <si>
    <t>=NL("Sum","Item Ledger Entry","Quantity","Entry Type","Transfer","Entry No.",I65,"Location Code","@@"&amp;$E$6)</t>
  </si>
  <si>
    <t>=NL("Sum","Item Ledger Entry","Quantity","Entry Type","Consumption","Entry No.",I65,"Location Code","@@"&amp;$E$6)</t>
  </si>
  <si>
    <t>=NL("Sum","Item Ledger Entry","Quantity","Entry Type","Output","Entry No.",I65,"Location Code","@@"&amp;$E$6)</t>
  </si>
  <si>
    <t>=NL("Sum","Item Ledger Entry","Quantity","Entry Type","Purchase","Entry No.",I73,"Location Code","@@"&amp;$E$6)</t>
  </si>
  <si>
    <t>=NL("Sum","Item Ledger Entry","Quantity","Entry Type","Sale","Entry No.",I73,"Location Code","@@"&amp;$E$6)</t>
  </si>
  <si>
    <t>=NL("Sum","Item Ledger Entry","Quantity","Entry Type","Positive Adjmt.|Negative Adjmt.","Entry No.",I73,"Location Code","@@"&amp;$E$6)</t>
  </si>
  <si>
    <t>=NL("Sum","Item Ledger Entry","Quantity","Entry Type","Transfer","Entry No.",I73,"Location Code","@@"&amp;$E$6)</t>
  </si>
  <si>
    <t>=NL("Sum","Item Ledger Entry","Quantity","Entry Type","Consumption","Entry No.",I73,"Location Code","@@"&amp;$E$6)</t>
  </si>
  <si>
    <t>=NL("Sum","Item Ledger Entry","Quantity","Entry Type","Output","Entry No.",I73,"Location Code","@@"&amp;$E$6)</t>
  </si>
  <si>
    <t>=NL("Sum","Item Ledger Entry","Quantity","Entry Type","Purchase","Entry No.",I81,"Location Code","@@"&amp;$E$6)</t>
  </si>
  <si>
    <t>=NL("Sum","Item Ledger Entry","Quantity","Entry Type","Sale","Entry No.",I81,"Location Code","@@"&amp;$E$6)</t>
  </si>
  <si>
    <t>=NL("Sum","Item Ledger Entry","Quantity","Entry Type","Positive Adjmt.|Negative Adjmt.","Entry No.",I81,"Location Code","@@"&amp;$E$6)</t>
  </si>
  <si>
    <t>=NL("Sum","Item Ledger Entry","Quantity","Entry Type","Transfer","Entry No.",I81,"Location Code","@@"&amp;$E$6)</t>
  </si>
  <si>
    <t>=NL("Sum","Item Ledger Entry","Quantity","Entry Type","Consumption","Entry No.",I81,"Location Code","@@"&amp;$E$6)</t>
  </si>
  <si>
    <t>=NL("Sum","Item Ledger Entry","Quantity","Entry Type","Output","Entry No.",I81,"Location Code","@@"&amp;$E$6)</t>
  </si>
  <si>
    <t>=NL("Sum","Item Ledger Entry","Quantity","Entry Type","Purchase","Entry No.",I85,"Location Code","@@"&amp;$E$6)</t>
  </si>
  <si>
    <t>=NL("Sum","Item Ledger Entry","Quantity","Entry Type","Sale","Entry No.",I85,"Location Code","@@"&amp;$E$6)</t>
  </si>
  <si>
    <t>=NL("Sum","Item Ledger Entry","Quantity","Entry Type","Positive Adjmt.|Negative Adjmt.","Entry No.",I85,"Location Code","@@"&amp;$E$6)</t>
  </si>
  <si>
    <t>=NL("Sum","Item Ledger Entry","Quantity","Entry Type","Transfer","Entry No.",I85,"Location Code","@@"&amp;$E$6)</t>
  </si>
  <si>
    <t>=NL("Sum","Item Ledger Entry","Quantity","Entry Type","Consumption","Entry No.",I85,"Location Code","@@"&amp;$E$6)</t>
  </si>
  <si>
    <t>=NL("Sum","Item Ledger Entry","Quantity","Entry Type","Output","Entry No.",I85,"Location Code","@@"&amp;$E$6)</t>
  </si>
  <si>
    <t>=NL("Sum","Item Ledger Entry","Quantity","Entry Type","Purchase","Entry No.",I97,"Location Code","@@"&amp;$E$6)</t>
  </si>
  <si>
    <t>=NL("Sum","Item Ledger Entry","Quantity","Entry Type","Sale","Entry No.",I97,"Location Code","@@"&amp;$E$6)</t>
  </si>
  <si>
    <t>=NL("Sum","Item Ledger Entry","Quantity","Entry Type","Positive Adjmt.|Negative Adjmt.","Entry No.",I97,"Location Code","@@"&amp;$E$6)</t>
  </si>
  <si>
    <t>=NL("Sum","Item Ledger Entry","Quantity","Entry Type","Transfer","Entry No.",I97,"Location Code","@@"&amp;$E$6)</t>
  </si>
  <si>
    <t>=NL("Sum","Item Ledger Entry","Quantity","Entry Type","Consumption","Entry No.",I97,"Location Code","@@"&amp;$E$6)</t>
  </si>
  <si>
    <t>=NL("Sum","Item Ledger Entry","Quantity","Entry Type","Output","Entry No.",I97,"Location Code","@@"&amp;$E$6)</t>
  </si>
  <si>
    <t>=NL("Rows","Item Ledger Entry",,"+Posting Date",$L$5,"Item No.","@@"&amp;$D101,"Location Code","@@"&amp;$E$6)</t>
  </si>
  <si>
    <t>=NL("Sum","Item Ledger Entry","Quantity","Entry Type","Purchase","Entry No.",I101,"Location Code","@@"&amp;$E$6)</t>
  </si>
  <si>
    <t>=NL("Sum","Item Ledger Entry","Quantity","Entry Type","Sale","Entry No.",I101,"Location Code","@@"&amp;$E$6)</t>
  </si>
  <si>
    <t>=NL("Sum","Item Ledger Entry","Quantity","Entry Type","Positive Adjmt.|Negative Adjmt.","Entry No.",I101,"Location Code","@@"&amp;$E$6)</t>
  </si>
  <si>
    <t>=NL("Sum","Item Ledger Entry","Quantity","Entry Type","Transfer","Entry No.",I101,"Location Code","@@"&amp;$E$6)</t>
  </si>
  <si>
    <t>=NL("Sum","Item Ledger Entry","Quantity","Entry Type","Consumption","Entry No.",I101,"Location Code","@@"&amp;$E$6)</t>
  </si>
  <si>
    <t>=NL("Sum","Item Ledger Entry","Quantity","Entry Type","Output","Entry No.",I101,"Location Code","@@"&amp;$E$6)</t>
  </si>
  <si>
    <t>=NL("Rows","Item Ledger Entry",,"+Posting Date",$L$5,"Item No.","@@"&amp;$D105,"Location Code","@@"&amp;$E$6)</t>
  </si>
  <si>
    <t>=NL("Sum","Item Ledger Entry","Quantity","Entry Type","Purchase","Entry No.",I105,"Location Code","@@"&amp;$E$6)</t>
  </si>
  <si>
    <t>=NL("Sum","Item Ledger Entry","Quantity","Entry Type","Sale","Entry No.",I105,"Location Code","@@"&amp;$E$6)</t>
  </si>
  <si>
    <t>=NL("Sum","Item Ledger Entry","Quantity","Entry Type","Positive Adjmt.|Negative Adjmt.","Entry No.",I105,"Location Code","@@"&amp;$E$6)</t>
  </si>
  <si>
    <t>=NL("Sum","Item Ledger Entry","Quantity","Entry Type","Transfer","Entry No.",I105,"Location Code","@@"&amp;$E$6)</t>
  </si>
  <si>
    <t>=NL("Sum","Item Ledger Entry","Quantity","Entry Type","Consumption","Entry No.",I105,"Location Code","@@"&amp;$E$6)</t>
  </si>
  <si>
    <t>=NL("Sum","Item Ledger Entry","Quantity","Entry Type","Output","Entry No.",I105,"Location Code","@@"&amp;$E$6)</t>
  </si>
  <si>
    <t>=NL("Sum","Item Ledger Entry","Quantity","Entry Type","Purchase","Entry No.",I114,"Location Code","@@"&amp;$E$6)</t>
  </si>
  <si>
    <t>=NL("Sum","Item Ledger Entry","Quantity","Entry Type","Sale","Entry No.",I114,"Location Code","@@"&amp;$E$6)</t>
  </si>
  <si>
    <t>=NL("Sum","Item Ledger Entry","Quantity","Entry Type","Positive Adjmt.|Negative Adjmt.","Entry No.",I114,"Location Code","@@"&amp;$E$6)</t>
  </si>
  <si>
    <t>=NL("Sum","Item Ledger Entry","Quantity","Entry Type","Transfer","Entry No.",I114,"Location Code","@@"&amp;$E$6)</t>
  </si>
  <si>
    <t>=NL("Sum","Item Ledger Entry","Quantity","Entry Type","Consumption","Entry No.",I114,"Location Code","@@"&amp;$E$6)</t>
  </si>
  <si>
    <t>=NL("Sum","Item Ledger Entry","Quantity","Entry Type","Output","Entry No.",I114,"Location Code","@@"&amp;$E$6)</t>
  </si>
  <si>
    <t>=NL("Sum","Item Ledger Entry","Quantity","Entry Type","Purchase","Entry No.",I122,"Location Code","@@"&amp;$E$6)</t>
  </si>
  <si>
    <t>=NL("Sum","Item Ledger Entry","Quantity","Entry Type","Sale","Entry No.",I122,"Location Code","@@"&amp;$E$6)</t>
  </si>
  <si>
    <t>=NL("Sum","Item Ledger Entry","Quantity","Entry Type","Positive Adjmt.|Negative Adjmt.","Entry No.",I122,"Location Code","@@"&amp;$E$6)</t>
  </si>
  <si>
    <t>=NL("Sum","Item Ledger Entry","Quantity","Entry Type","Transfer","Entry No.",I122,"Location Code","@@"&amp;$E$6)</t>
  </si>
  <si>
    <t>=NL("Sum","Item Ledger Entry","Quantity","Entry Type","Consumption","Entry No.",I122,"Location Code","@@"&amp;$E$6)</t>
  </si>
  <si>
    <t>=NL("Sum","Item Ledger Entry","Quantity","Entry Type","Output","Entry No.",I122,"Location Code","@@"&amp;$E$6)</t>
  </si>
  <si>
    <t>=NL("Sum","Item Ledger Entry","Quantity","Entry Type","Purchase","Entry No.",I127,"Location Code","@@"&amp;$E$6)</t>
  </si>
  <si>
    <t>=NL("Sum","Item Ledger Entry","Quantity","Entry Type","Sale","Entry No.",I127,"Location Code","@@"&amp;$E$6)</t>
  </si>
  <si>
    <t>=NL("Sum","Item Ledger Entry","Quantity","Entry Type","Positive Adjmt.|Negative Adjmt.","Entry No.",I127,"Location Code","@@"&amp;$E$6)</t>
  </si>
  <si>
    <t>=NL("Sum","Item Ledger Entry","Quantity","Entry Type","Transfer","Entry No.",I127,"Location Code","@@"&amp;$E$6)</t>
  </si>
  <si>
    <t>=NL("Sum","Item Ledger Entry","Quantity","Entry Type","Consumption","Entry No.",I127,"Location Code","@@"&amp;$E$6)</t>
  </si>
  <si>
    <t>=NL("Sum","Item Ledger Entry","Quantity","Entry Type","Output","Entry No.",I127,"Location Code","@@"&amp;$E$6)</t>
  </si>
  <si>
    <t>=NL("Rows","Item Ledger Entry",,"+Posting Date",$L$5,"Item No.","@@"&amp;$D131,"Location Code","@@"&amp;$E$6)</t>
  </si>
  <si>
    <t>=NL("Sum","Item Ledger Entry","Quantity","Entry Type","Purchase","Entry No.",I131,"Location Code","@@"&amp;$E$6)</t>
  </si>
  <si>
    <t>=NL("Sum","Item Ledger Entry","Quantity","Entry Type","Sale","Entry No.",I131,"Location Code","@@"&amp;$E$6)</t>
  </si>
  <si>
    <t>=NL("Sum","Item Ledger Entry","Quantity","Entry Type","Positive Adjmt.|Negative Adjmt.","Entry No.",I131,"Location Code","@@"&amp;$E$6)</t>
  </si>
  <si>
    <t>=NL("Sum","Item Ledger Entry","Quantity","Entry Type","Transfer","Entry No.",I131,"Location Code","@@"&amp;$E$6)</t>
  </si>
  <si>
    <t>=NL("Sum","Item Ledger Entry","Quantity","Entry Type","Consumption","Entry No.",I131,"Location Code","@@"&amp;$E$6)</t>
  </si>
  <si>
    <t>=NL("Sum","Item Ledger Entry","Quantity","Entry Type","Output","Entry No.",I131,"Location Code","@@"&amp;$E$6)</t>
  </si>
  <si>
    <t>=NL("Sum","Item Ledger Entry","Quantity","Entry Type","Purchase","Entry No.",I132,"Location Code","@@"&amp;$E$6)</t>
  </si>
  <si>
    <t>=NL("Sum","Item Ledger Entry","Quantity","Entry Type","Sale","Entry No.",I132,"Location Code","@@"&amp;$E$6)</t>
  </si>
  <si>
    <t>=NL("Sum","Item Ledger Entry","Quantity","Entry Type","Positive Adjmt.|Negative Adjmt.","Entry No.",I132,"Location Code","@@"&amp;$E$6)</t>
  </si>
  <si>
    <t>=NL("Sum","Item Ledger Entry","Quantity","Entry Type","Transfer","Entry No.",I132,"Location Code","@@"&amp;$E$6)</t>
  </si>
  <si>
    <t>=NL("Sum","Item Ledger Entry","Quantity","Entry Type","Consumption","Entry No.",I132,"Location Code","@@"&amp;$E$6)</t>
  </si>
  <si>
    <t>=NL("Sum","Item Ledger Entry","Quantity","Entry Type","Output","Entry No.",I132,"Location Code","@@"&amp;$E$6)</t>
  </si>
  <si>
    <t>=NL("Sum","Item Ledger Entry","Quantity","Entry Type","Purchase","Entry No.",I136,"Location Code","@@"&amp;$E$6)</t>
  </si>
  <si>
    <t>=NL("Sum","Item Ledger Entry","Quantity","Entry Type","Sale","Entry No.",I136,"Location Code","@@"&amp;$E$6)</t>
  </si>
  <si>
    <t>=NL("Sum","Item Ledger Entry","Quantity","Entry Type","Positive Adjmt.|Negative Adjmt.","Entry No.",I136,"Location Code","@@"&amp;$E$6)</t>
  </si>
  <si>
    <t>=NL("Sum","Item Ledger Entry","Quantity","Entry Type","Transfer","Entry No.",I136,"Location Code","@@"&amp;$E$6)</t>
  </si>
  <si>
    <t>=NL("Sum","Item Ledger Entry","Quantity","Entry Type","Consumption","Entry No.",I136,"Location Code","@@"&amp;$E$6)</t>
  </si>
  <si>
    <t>=NL("Sum","Item Ledger Entry","Quantity","Entry Type","Output","Entry No.",I136,"Location Code","@@"&amp;$E$6)</t>
  </si>
  <si>
    <t>=NL("Sum","Item Ledger Entry","Quantity","Entry Type","Purchase","Entry No.",I140,"Location Code","@@"&amp;$E$6)</t>
  </si>
  <si>
    <t>=NL("Sum","Item Ledger Entry","Quantity","Entry Type","Sale","Entry No.",I140,"Location Code","@@"&amp;$E$6)</t>
  </si>
  <si>
    <t>=NL("Sum","Item Ledger Entry","Quantity","Entry Type","Positive Adjmt.|Negative Adjmt.","Entry No.",I140,"Location Code","@@"&amp;$E$6)</t>
  </si>
  <si>
    <t>=NL("Sum","Item Ledger Entry","Quantity","Entry Type","Transfer","Entry No.",I140,"Location Code","@@"&amp;$E$6)</t>
  </si>
  <si>
    <t>=NL("Sum","Item Ledger Entry","Quantity","Entry Type","Consumption","Entry No.",I140,"Location Code","@@"&amp;$E$6)</t>
  </si>
  <si>
    <t>=NL("Sum","Item Ledger Entry","Quantity","Entry Type","Output","Entry No.",I140,"Location Code","@@"&amp;$E$6)</t>
  </si>
  <si>
    <t>=NL("Sum","Item Ledger Entry","Quantity","Entry Type","Purchase","Entry No.",I144,"Location Code","@@"&amp;$E$6)</t>
  </si>
  <si>
    <t>=NL("Sum","Item Ledger Entry","Quantity","Entry Type","Sale","Entry No.",I144,"Location Code","@@"&amp;$E$6)</t>
  </si>
  <si>
    <t>=NL("Sum","Item Ledger Entry","Quantity","Entry Type","Positive Adjmt.|Negative Adjmt.","Entry No.",I144,"Location Code","@@"&amp;$E$6)</t>
  </si>
  <si>
    <t>=NL("Sum","Item Ledger Entry","Quantity","Entry Type","Transfer","Entry No.",I144,"Location Code","@@"&amp;$E$6)</t>
  </si>
  <si>
    <t>=NL("Sum","Item Ledger Entry","Quantity","Entry Type","Consumption","Entry No.",I144,"Location Code","@@"&amp;$E$6)</t>
  </si>
  <si>
    <t>=NL("Sum","Item Ledger Entry","Quantity","Entry Type","Output","Entry No.",I144,"Location Code","@@"&amp;$E$6)</t>
  </si>
  <si>
    <t>=(SUBTOTAL(9,O13:O15))</t>
  </si>
  <si>
    <t>=(SUBTOTAL(9,P13:P15))</t>
  </si>
  <si>
    <t>=(SUBTOTAL(9,Q13:Q15))</t>
  </si>
  <si>
    <t>=(SUBTOTAL(9,R13:R15))</t>
  </si>
  <si>
    <t>=(SUBTOTAL(9,S13:S15))</t>
  </si>
  <si>
    <t>=(SUBTOTAL(9,T13:T15))</t>
  </si>
  <si>
    <t>=SUBTOTAL(9,O13:T15)</t>
  </si>
  <si>
    <t>=NL("Sum","Item Ledger Entry","Quantity","Entry Type","Purchase","Entry No.",I14,"Location Code","@@"&amp;$E$6)</t>
  </si>
  <si>
    <t>=NL("Sum","Item Ledger Entry","Quantity","Entry Type","Sale","Entry No.",I14,"Location Code","@@"&amp;$E$6)</t>
  </si>
  <si>
    <t>=NL("Sum","Item Ledger Entry","Quantity","Entry Type","Positive Adjmt.|Negative Adjmt.","Entry No.",I14,"Location Code","@@"&amp;$E$6)</t>
  </si>
  <si>
    <t>=NL("Sum","Item Ledger Entry","Quantity","Entry Type","Transfer","Entry No.",I14,"Location Code","@@"&amp;$E$6)</t>
  </si>
  <si>
    <t>=NL("Sum","Item Ledger Entry","Quantity","Entry Type","Consumption","Entry No.",I14,"Location Code","@@"&amp;$E$6)</t>
  </si>
  <si>
    <t>=NL("Sum","Item Ledger Entry","Quantity","Entry Type","Output","Entry No.",I14,"Location Code","@@"&amp;$E$6)</t>
  </si>
  <si>
    <t>=E17</t>
  </si>
  <si>
    <t>=NL("First","Item","Description","No.",$E17)</t>
  </si>
  <si>
    <t>=NL("First","Item","Base Unit of Measure","No.",$E17)</t>
  </si>
  <si>
    <t>=D17</t>
  </si>
  <si>
    <t>=NL("Rows","Item Ledger Entry",,"+Posting Date",$L$5,"Item No.","@@"&amp;$D18,"Location Code","@@"&amp;$E$6)</t>
  </si>
  <si>
    <t>=NF($G18,"Posting Date")</t>
  </si>
  <si>
    <t>=NF($G18,"Entry No.")</t>
  </si>
  <si>
    <t>=NF(G18,"Source Type")</t>
  </si>
  <si>
    <t>=NF($G18,"Source No.")</t>
  </si>
  <si>
    <t>=IF($J18="Customer",NL("first",$J18,"Name","No.","@@"&amp;$K18),"")</t>
  </si>
  <si>
    <t>=IF(J18="vendor",NL("first",J18,"Name","No.","@@"&amp;K18),"")</t>
  </si>
  <si>
    <t>=IF($J18="Item",NL("first",$J18,"Description","No.","@@"&amp;$K18),"")</t>
  </si>
  <si>
    <t>=NL("Sum","Item Ledger Entry","Quantity","Entry Type","Purchase","Entry No.",I18,"Location Code","@@"&amp;$E$6)</t>
  </si>
  <si>
    <t>=NL("Sum","Item Ledger Entry","Quantity","Entry Type","Sale","Entry No.",I18,"Location Code","@@"&amp;$E$6)</t>
  </si>
  <si>
    <t>=NL("Sum","Item Ledger Entry","Quantity","Entry Type","Positive Adjmt.|Negative Adjmt.","Entry No.",I18,"Location Code","@@"&amp;$E$6)</t>
  </si>
  <si>
    <t>=NL("Sum","Item Ledger Entry","Quantity","Entry Type","Transfer","Entry No.",I18,"Location Code","@@"&amp;$E$6)</t>
  </si>
  <si>
    <t>=NL("Sum","Item Ledger Entry","Quantity","Entry Type","Consumption","Entry No.",I18,"Location Code","@@"&amp;$E$6)</t>
  </si>
  <si>
    <t>=NL("Sum","Item Ledger Entry","Quantity","Entry Type","Output","Entry No.",I18,"Location Code","@@"&amp;$E$6)</t>
  </si>
  <si>
    <t>=NL("Sum","Item Ledger Entry","Quantity","Entry Type","Purchase","Entry No.",I22,"Location Code","@@"&amp;$E$6)</t>
  </si>
  <si>
    <t>=NL("Sum","Item Ledger Entry","Quantity","Entry Type","Sale","Entry No.",I22,"Location Code","@@"&amp;$E$6)</t>
  </si>
  <si>
    <t>=NL("Sum","Item Ledger Entry","Quantity","Entry Type","Positive Adjmt.|Negative Adjmt.","Entry No.",I22,"Location Code","@@"&amp;$E$6)</t>
  </si>
  <si>
    <t>=NL("Sum","Item Ledger Entry","Quantity","Entry Type","Transfer","Entry No.",I22,"Location Code","@@"&amp;$E$6)</t>
  </si>
  <si>
    <t>=NL("Sum","Item Ledger Entry","Quantity","Entry Type","Consumption","Entry No.",I22,"Location Code","@@"&amp;$E$6)</t>
  </si>
  <si>
    <t>=NL("Sum","Item Ledger Entry","Quantity","Entry Type","Output","Entry No.",I22,"Location Code","@@"&amp;$E$6)</t>
  </si>
  <si>
    <t>=NL("Sum","Item Ledger Entry","Quantity","Entry Type","Purchase","Entry No.",I23,"Location Code","@@"&amp;$E$6)</t>
  </si>
  <si>
    <t>=NL("Sum","Item Ledger Entry","Quantity","Entry Type","Sale","Entry No.",I23,"Location Code","@@"&amp;$E$6)</t>
  </si>
  <si>
    <t>=NL("Sum","Item Ledger Entry","Quantity","Entry Type","Positive Adjmt.|Negative Adjmt.","Entry No.",I23,"Location Code","@@"&amp;$E$6)</t>
  </si>
  <si>
    <t>=NL("Sum","Item Ledger Entry","Quantity","Entry Type","Transfer","Entry No.",I23,"Location Code","@@"&amp;$E$6)</t>
  </si>
  <si>
    <t>=NL("Sum","Item Ledger Entry","Quantity","Entry Type","Consumption","Entry No.",I23,"Location Code","@@"&amp;$E$6)</t>
  </si>
  <si>
    <t>=NL("Sum","Item Ledger Entry","Quantity","Entry Type","Output","Entry No.",I23,"Location Code","@@"&amp;$E$6)</t>
  </si>
  <si>
    <t>=NL("Sum","Item Ledger Entry","Quantity","Entry Type","Purchase","Entry No.",I24,"Location Code","@@"&amp;$E$6)</t>
  </si>
  <si>
    <t>=NL("Sum","Item Ledger Entry","Quantity","Entry Type","Sale","Entry No.",I24,"Location Code","@@"&amp;$E$6)</t>
  </si>
  <si>
    <t>=NL("Sum","Item Ledger Entry","Quantity","Entry Type","Positive Adjmt.|Negative Adjmt.","Entry No.",I24,"Location Code","@@"&amp;$E$6)</t>
  </si>
  <si>
    <t>=NL("Sum","Item Ledger Entry","Quantity","Entry Type","Transfer","Entry No.",I24,"Location Code","@@"&amp;$E$6)</t>
  </si>
  <si>
    <t>=NL("Sum","Item Ledger Entry","Quantity","Entry Type","Consumption","Entry No.",I24,"Location Code","@@"&amp;$E$6)</t>
  </si>
  <si>
    <t>=NL("Sum","Item Ledger Entry","Quantity","Entry Type","Output","Entry No.",I24,"Location Code","@@"&amp;$E$6)</t>
  </si>
  <si>
    <t>=NL("Rows","Item Ledger Entry",,"+Posting Date",$L$5,"Item No.","@@"&amp;$D29,"Location Code","@@"&amp;$E$6)</t>
  </si>
  <si>
    <t>=NL("Sum","Item Ledger Entry","Quantity","Entry Type","Purchase","Entry No.",I29,"Location Code","@@"&amp;$E$6)</t>
  </si>
  <si>
    <t>=NL("Sum","Item Ledger Entry","Quantity","Entry Type","Sale","Entry No.",I29,"Location Code","@@"&amp;$E$6)</t>
  </si>
  <si>
    <t>=NL("Sum","Item Ledger Entry","Quantity","Entry Type","Positive Adjmt.|Negative Adjmt.","Entry No.",I29,"Location Code","@@"&amp;$E$6)</t>
  </si>
  <si>
    <t>=NL("Sum","Item Ledger Entry","Quantity","Entry Type","Transfer","Entry No.",I29,"Location Code","@@"&amp;$E$6)</t>
  </si>
  <si>
    <t>=NL("Sum","Item Ledger Entry","Quantity","Entry Type","Consumption","Entry No.",I29,"Location Code","@@"&amp;$E$6)</t>
  </si>
  <si>
    <t>=NL("Sum","Item Ledger Entry","Quantity","Entry Type","Output","Entry No.",I29,"Location Code","@@"&amp;$E$6)</t>
  </si>
  <si>
    <t>=NL("Sum","Item Ledger Entry","Quantity","Entry Type","Purchase","Entry No.",I42,"Location Code","@@"&amp;$E$6)</t>
  </si>
  <si>
    <t>=NL("Sum","Item Ledger Entry","Quantity","Entry Type","Sale","Entry No.",I42,"Location Code","@@"&amp;$E$6)</t>
  </si>
  <si>
    <t>=NL("Sum","Item Ledger Entry","Quantity","Entry Type","Positive Adjmt.|Negative Adjmt.","Entry No.",I42,"Location Code","@@"&amp;$E$6)</t>
  </si>
  <si>
    <t>=NL("Sum","Item Ledger Entry","Quantity","Entry Type","Transfer","Entry No.",I42,"Location Code","@@"&amp;$E$6)</t>
  </si>
  <si>
    <t>=NL("Sum","Item Ledger Entry","Quantity","Entry Type","Consumption","Entry No.",I42,"Location Code","@@"&amp;$E$6)</t>
  </si>
  <si>
    <t>=NL("Sum","Item Ledger Entry","Quantity","Entry Type","Output","Entry No.",I42,"Location Code","@@"&amp;$E$6)</t>
  </si>
  <si>
    <t>=NL("Sum","Item Ledger Entry","Quantity","Entry Type","Purchase","Entry No.",I43,"Location Code","@@"&amp;$E$6)</t>
  </si>
  <si>
    <t>=NL("Sum","Item Ledger Entry","Quantity","Entry Type","Sale","Entry No.",I43,"Location Code","@@"&amp;$E$6)</t>
  </si>
  <si>
    <t>=NL("Sum","Item Ledger Entry","Quantity","Entry Type","Positive Adjmt.|Negative Adjmt.","Entry No.",I43,"Location Code","@@"&amp;$E$6)</t>
  </si>
  <si>
    <t>=NL("Sum","Item Ledger Entry","Quantity","Entry Type","Transfer","Entry No.",I43,"Location Code","@@"&amp;$E$6)</t>
  </si>
  <si>
    <t>=NL("Sum","Item Ledger Entry","Quantity","Entry Type","Consumption","Entry No.",I43,"Location Code","@@"&amp;$E$6)</t>
  </si>
  <si>
    <t>=NL("Sum","Item Ledger Entry","Quantity","Entry Type","Output","Entry No.",I43,"Location Code","@@"&amp;$E$6)</t>
  </si>
  <si>
    <t>=NL("Sum","Item Ledger Entry","Quantity","Entry Type","Purchase","Entry No.",I44,"Location Code","@@"&amp;$E$6)</t>
  </si>
  <si>
    <t>=NL("Sum","Item Ledger Entry","Quantity","Entry Type","Sale","Entry No.",I44,"Location Code","@@"&amp;$E$6)</t>
  </si>
  <si>
    <t>=NL("Sum","Item Ledger Entry","Quantity","Entry Type","Positive Adjmt.|Negative Adjmt.","Entry No.",I44,"Location Code","@@"&amp;$E$6)</t>
  </si>
  <si>
    <t>=NL("Sum","Item Ledger Entry","Quantity","Entry Type","Transfer","Entry No.",I44,"Location Code","@@"&amp;$E$6)</t>
  </si>
  <si>
    <t>=NL("Sum","Item Ledger Entry","Quantity","Entry Type","Consumption","Entry No.",I44,"Location Code","@@"&amp;$E$6)</t>
  </si>
  <si>
    <t>=NL("Sum","Item Ledger Entry","Quantity","Entry Type","Output","Entry No.",I44,"Location Code","@@"&amp;$E$6)</t>
  </si>
  <si>
    <t>=NL("Sum","Item Ledger Entry","Quantity","Entry Type","Purchase","Entry No.",I48,"Location Code","@@"&amp;$E$6)</t>
  </si>
  <si>
    <t>=NL("Sum","Item Ledger Entry","Quantity","Entry Type","Sale","Entry No.",I48,"Location Code","@@"&amp;$E$6)</t>
  </si>
  <si>
    <t>=NL("Sum","Item Ledger Entry","Quantity","Entry Type","Positive Adjmt.|Negative Adjmt.","Entry No.",I48,"Location Code","@@"&amp;$E$6)</t>
  </si>
  <si>
    <t>=NL("Sum","Item Ledger Entry","Quantity","Entry Type","Transfer","Entry No.",I48,"Location Code","@@"&amp;$E$6)</t>
  </si>
  <si>
    <t>=NL("Sum","Item Ledger Entry","Quantity","Entry Type","Consumption","Entry No.",I48,"Location Code","@@"&amp;$E$6)</t>
  </si>
  <si>
    <t>=NL("Sum","Item Ledger Entry","Quantity","Entry Type","Output","Entry No.",I48,"Location Code","@@"&amp;$E$6)</t>
  </si>
  <si>
    <t>=NL("Sum","Item Ledger Entry","Quantity","Entry Type","Purchase","Entry No.",I58,"Location Code","@@"&amp;$E$6)</t>
  </si>
  <si>
    <t>=NL("Sum","Item Ledger Entry","Quantity","Entry Type","Sale","Entry No.",I58,"Location Code","@@"&amp;$E$6)</t>
  </si>
  <si>
    <t>=NL("Sum","Item Ledger Entry","Quantity","Entry Type","Positive Adjmt.|Negative Adjmt.","Entry No.",I58,"Location Code","@@"&amp;$E$6)</t>
  </si>
  <si>
    <t>=NL("Sum","Item Ledger Entry","Quantity","Entry Type","Transfer","Entry No.",I58,"Location Code","@@"&amp;$E$6)</t>
  </si>
  <si>
    <t>=NL("Sum","Item Ledger Entry","Quantity","Entry Type","Consumption","Entry No.",I58,"Location Code","@@"&amp;$E$6)</t>
  </si>
  <si>
    <t>=NL("Sum","Item Ledger Entry","Quantity","Entry Type","Output","Entry No.",I58,"Location Code","@@"&amp;$E$6)</t>
  </si>
  <si>
    <t>=NL("Sum","Item Ledger Entry","Quantity","Entry Type","Purchase","Entry No.",I59,"Location Code","@@"&amp;$E$6)</t>
  </si>
  <si>
    <t>=NL("Sum","Item Ledger Entry","Quantity","Entry Type","Sale","Entry No.",I59,"Location Code","@@"&amp;$E$6)</t>
  </si>
  <si>
    <t>=NL("Sum","Item Ledger Entry","Quantity","Entry Type","Positive Adjmt.|Negative Adjmt.","Entry No.",I59,"Location Code","@@"&amp;$E$6)</t>
  </si>
  <si>
    <t>=NL("Sum","Item Ledger Entry","Quantity","Entry Type","Transfer","Entry No.",I59,"Location Code","@@"&amp;$E$6)</t>
  </si>
  <si>
    <t>=NL("Sum","Item Ledger Entry","Quantity","Entry Type","Consumption","Entry No.",I59,"Location Code","@@"&amp;$E$6)</t>
  </si>
  <si>
    <t>=NL("Sum","Item Ledger Entry","Quantity","Entry Type","Output","Entry No.",I59,"Location Code","@@"&amp;$E$6)</t>
  </si>
  <si>
    <t>=NL("Sum","Item Ledger Entry","Quantity","Entry Type","Purchase","Entry No.",I64,"Location Code","@@"&amp;$E$6)</t>
  </si>
  <si>
    <t>=NL("Sum","Item Ledger Entry","Quantity","Entry Type","Sale","Entry No.",I64,"Location Code","@@"&amp;$E$6)</t>
  </si>
  <si>
    <t>=NL("Sum","Item Ledger Entry","Quantity","Entry Type","Positive Adjmt.|Negative Adjmt.","Entry No.",I64,"Location Code","@@"&amp;$E$6)</t>
  </si>
  <si>
    <t>=NL("Sum","Item Ledger Entry","Quantity","Entry Type","Transfer","Entry No.",I64,"Location Code","@@"&amp;$E$6)</t>
  </si>
  <si>
    <t>=NL("Sum","Item Ledger Entry","Quantity","Entry Type","Consumption","Entry No.",I64,"Location Code","@@"&amp;$E$6)</t>
  </si>
  <si>
    <t>=NL("Sum","Item Ledger Entry","Quantity","Entry Type","Output","Entry No.",I64,"Location Code","@@"&amp;$E$6)</t>
  </si>
  <si>
    <t>=NL("Sum","Item Ledger Entry","Quantity","Entry Type","Purchase","Entry No.",I68,"Location Code","@@"&amp;$E$6)</t>
  </si>
  <si>
    <t>=NL("Sum","Item Ledger Entry","Quantity","Entry Type","Sale","Entry No.",I68,"Location Code","@@"&amp;$E$6)</t>
  </si>
  <si>
    <t>=NL("Sum","Item Ledger Entry","Quantity","Entry Type","Positive Adjmt.|Negative Adjmt.","Entry No.",I68,"Location Code","@@"&amp;$E$6)</t>
  </si>
  <si>
    <t>=NL("Sum","Item Ledger Entry","Quantity","Entry Type","Transfer","Entry No.",I68,"Location Code","@@"&amp;$E$6)</t>
  </si>
  <si>
    <t>=NL("Sum","Item Ledger Entry","Quantity","Entry Type","Consumption","Entry No.",I68,"Location Code","@@"&amp;$E$6)</t>
  </si>
  <si>
    <t>=NL("Sum","Item Ledger Entry","Quantity","Entry Type","Output","Entry No.",I68,"Location Code","@@"&amp;$E$6)</t>
  </si>
  <si>
    <t>=NL("Sum","Item Ledger Entry","Quantity","Entry Type","Purchase","Entry No.",I74,"Location Code","@@"&amp;$E$6)</t>
  </si>
  <si>
    <t>=NL("Sum","Item Ledger Entry","Quantity","Entry Type","Sale","Entry No.",I74,"Location Code","@@"&amp;$E$6)</t>
  </si>
  <si>
    <t>=NL("Sum","Item Ledger Entry","Quantity","Entry Type","Positive Adjmt.|Negative Adjmt.","Entry No.",I74,"Location Code","@@"&amp;$E$6)</t>
  </si>
  <si>
    <t>=NL("Sum","Item Ledger Entry","Quantity","Entry Type","Transfer","Entry No.",I74,"Location Code","@@"&amp;$E$6)</t>
  </si>
  <si>
    <t>=NL("Sum","Item Ledger Entry","Quantity","Entry Type","Consumption","Entry No.",I74,"Location Code","@@"&amp;$E$6)</t>
  </si>
  <si>
    <t>=NL("Sum","Item Ledger Entry","Quantity","Entry Type","Output","Entry No.",I74,"Location Code","@@"&amp;$E$6)</t>
  </si>
  <si>
    <t>=NL("Rows","Item Ledger Entry",,"+Posting Date",$L$5,"Item No.","@@"&amp;$D78,"Location Code","@@"&amp;$E$6)</t>
  </si>
  <si>
    <t>=NL("Sum","Item Ledger Entry","Quantity","Entry Type","Purchase","Entry No.",I78,"Location Code","@@"&amp;$E$6)</t>
  </si>
  <si>
    <t>=NL("Sum","Item Ledger Entry","Quantity","Entry Type","Sale","Entry No.",I78,"Location Code","@@"&amp;$E$6)</t>
  </si>
  <si>
    <t>=NL("Sum","Item Ledger Entry","Quantity","Entry Type","Positive Adjmt.|Negative Adjmt.","Entry No.",I78,"Location Code","@@"&amp;$E$6)</t>
  </si>
  <si>
    <t>=NL("Sum","Item Ledger Entry","Quantity","Entry Type","Transfer","Entry No.",I78,"Location Code","@@"&amp;$E$6)</t>
  </si>
  <si>
    <t>=NL("Sum","Item Ledger Entry","Quantity","Entry Type","Consumption","Entry No.",I78,"Location Code","@@"&amp;$E$6)</t>
  </si>
  <si>
    <t>=NL("Sum","Item Ledger Entry","Quantity","Entry Type","Output","Entry No.",I78,"Location Code","@@"&amp;$E$6)</t>
  </si>
  <si>
    <t>=NL("Rows","Item Ledger Entry",,"+Posting Date",$L$5,"Item No.","@@"&amp;$D82,"Location Code","@@"&amp;$E$6)</t>
  </si>
  <si>
    <t>=NL("Sum","Item Ledger Entry","Quantity","Entry Type","Purchase","Entry No.",I82,"Location Code","@@"&amp;$E$6)</t>
  </si>
  <si>
    <t>=NL("Sum","Item Ledger Entry","Quantity","Entry Type","Sale","Entry No.",I82,"Location Code","@@"&amp;$E$6)</t>
  </si>
  <si>
    <t>=NL("Sum","Item Ledger Entry","Quantity","Entry Type","Positive Adjmt.|Negative Adjmt.","Entry No.",I82,"Location Code","@@"&amp;$E$6)</t>
  </si>
  <si>
    <t>=NL("Sum","Item Ledger Entry","Quantity","Entry Type","Transfer","Entry No.",I82,"Location Code","@@"&amp;$E$6)</t>
  </si>
  <si>
    <t>=NL("Sum","Item Ledger Entry","Quantity","Entry Type","Consumption","Entry No.",I82,"Location Code","@@"&amp;$E$6)</t>
  </si>
  <si>
    <t>=NL("Sum","Item Ledger Entry","Quantity","Entry Type","Output","Entry No.",I82,"Location Code","@@"&amp;$E$6)</t>
  </si>
  <si>
    <t>=NL("Sum","Item Ledger Entry","Quantity","Entry Type","Purchase","Entry No.",I83,"Location Code","@@"&amp;$E$6)</t>
  </si>
  <si>
    <t>=NL("Sum","Item Ledger Entry","Quantity","Entry Type","Sale","Entry No.",I83,"Location Code","@@"&amp;$E$6)</t>
  </si>
  <si>
    <t>=NL("Sum","Item Ledger Entry","Quantity","Entry Type","Positive Adjmt.|Negative Adjmt.","Entry No.",I83,"Location Code","@@"&amp;$E$6)</t>
  </si>
  <si>
    <t>=NL("Sum","Item Ledger Entry","Quantity","Entry Type","Transfer","Entry No.",I83,"Location Code","@@"&amp;$E$6)</t>
  </si>
  <si>
    <t>=NL("Sum","Item Ledger Entry","Quantity","Entry Type","Consumption","Entry No.",I83,"Location Code","@@"&amp;$E$6)</t>
  </si>
  <si>
    <t>=NL("Sum","Item Ledger Entry","Quantity","Entry Type","Output","Entry No.",I83,"Location Code","@@"&amp;$E$6)</t>
  </si>
  <si>
    <t>=NL("Rows","Item Ledger Entry",,"+Posting Date",$L$5,"Item No.","@@"&amp;$D87,"Location Code","@@"&amp;$E$6)</t>
  </si>
  <si>
    <t>=NL("Sum","Item Ledger Entry","Quantity","Entry Type","Purchase","Entry No.",I87,"Location Code","@@"&amp;$E$6)</t>
  </si>
  <si>
    <t>=NL("Sum","Item Ledger Entry","Quantity","Entry Type","Sale","Entry No.",I87,"Location Code","@@"&amp;$E$6)</t>
  </si>
  <si>
    <t>=NL("Sum","Item Ledger Entry","Quantity","Entry Type","Positive Adjmt.|Negative Adjmt.","Entry No.",I87,"Location Code","@@"&amp;$E$6)</t>
  </si>
  <si>
    <t>=NL("Sum","Item Ledger Entry","Quantity","Entry Type","Transfer","Entry No.",I87,"Location Code","@@"&amp;$E$6)</t>
  </si>
  <si>
    <t>=NL("Sum","Item Ledger Entry","Quantity","Entry Type","Consumption","Entry No.",I87,"Location Code","@@"&amp;$E$6)</t>
  </si>
  <si>
    <t>=NL("Sum","Item Ledger Entry","Quantity","Entry Type","Output","Entry No.",I87,"Location Code","@@"&amp;$E$6)</t>
  </si>
  <si>
    <t>=NL("Sum","Item Ledger Entry","Quantity","Entry Type","Purchase","Entry No.",I91,"Location Code","@@"&amp;$E$6)</t>
  </si>
  <si>
    <t>=NL("Sum","Item Ledger Entry","Quantity","Entry Type","Sale","Entry No.",I91,"Location Code","@@"&amp;$E$6)</t>
  </si>
  <si>
    <t>=NL("Sum","Item Ledger Entry","Quantity","Entry Type","Positive Adjmt.|Negative Adjmt.","Entry No.",I91,"Location Code","@@"&amp;$E$6)</t>
  </si>
  <si>
    <t>=NL("Sum","Item Ledger Entry","Quantity","Entry Type","Transfer","Entry No.",I91,"Location Code","@@"&amp;$E$6)</t>
  </si>
  <si>
    <t>=NL("Sum","Item Ledger Entry","Quantity","Entry Type","Consumption","Entry No.",I91,"Location Code","@@"&amp;$E$6)</t>
  </si>
  <si>
    <t>=NL("Sum","Item Ledger Entry","Quantity","Entry Type","Output","Entry No.",I91,"Location Code","@@"&amp;$E$6)</t>
  </si>
  <si>
    <t>=NL("Sum","Item Ledger Entry","Quantity","Entry Type","Purchase","Entry No.",I92,"Location Code","@@"&amp;$E$6)</t>
  </si>
  <si>
    <t>=NL("Sum","Item Ledger Entry","Quantity","Entry Type","Sale","Entry No.",I92,"Location Code","@@"&amp;$E$6)</t>
  </si>
  <si>
    <t>=NL("Sum","Item Ledger Entry","Quantity","Entry Type","Positive Adjmt.|Negative Adjmt.","Entry No.",I92,"Location Code","@@"&amp;$E$6)</t>
  </si>
  <si>
    <t>=NL("Sum","Item Ledger Entry","Quantity","Entry Type","Transfer","Entry No.",I92,"Location Code","@@"&amp;$E$6)</t>
  </si>
  <si>
    <t>=NL("Sum","Item Ledger Entry","Quantity","Entry Type","Consumption","Entry No.",I92,"Location Code","@@"&amp;$E$6)</t>
  </si>
  <si>
    <t>=NL("Sum","Item Ledger Entry","Quantity","Entry Type","Output","Entry No.",I92,"Location Code","@@"&amp;$E$6)</t>
  </si>
  <si>
    <t>=NL("Rows","Item Ledger Entry",,"+Posting Date",$L$5,"Item No.","@@"&amp;$D96,"Location Code","@@"&amp;$E$6)</t>
  </si>
  <si>
    <t>=NL("Sum","Item Ledger Entry","Quantity","Entry Type","Purchase","Entry No.",I96,"Location Code","@@"&amp;$E$6)</t>
  </si>
  <si>
    <t>=NL("Sum","Item Ledger Entry","Quantity","Entry Type","Sale","Entry No.",I96,"Location Code","@@"&amp;$E$6)</t>
  </si>
  <si>
    <t>=NL("Sum","Item Ledger Entry","Quantity","Entry Type","Positive Adjmt.|Negative Adjmt.","Entry No.",I96,"Location Code","@@"&amp;$E$6)</t>
  </si>
  <si>
    <t>=NL("Sum","Item Ledger Entry","Quantity","Entry Type","Transfer","Entry No.",I96,"Location Code","@@"&amp;$E$6)</t>
  </si>
  <si>
    <t>=NL("Sum","Item Ledger Entry","Quantity","Entry Type","Consumption","Entry No.",I96,"Location Code","@@"&amp;$E$6)</t>
  </si>
  <si>
    <t>=NL("Sum","Item Ledger Entry","Quantity","Entry Type","Output","Entry No.",I96,"Location Code","@@"&amp;$E$6)</t>
  </si>
  <si>
    <t>=NL("Sum","Item Ledger Entry","Quantity","Entry Type","Purchase","Entry No.",I98,"Location Code","@@"&amp;$E$6)</t>
  </si>
  <si>
    <t>=NL("Sum","Item Ledger Entry","Quantity","Entry Type","Sale","Entry No.",I98,"Location Code","@@"&amp;$E$6)</t>
  </si>
  <si>
    <t>=NL("Sum","Item Ledger Entry","Quantity","Entry Type","Positive Adjmt.|Negative Adjmt.","Entry No.",I98,"Location Code","@@"&amp;$E$6)</t>
  </si>
  <si>
    <t>=NL("Sum","Item Ledger Entry","Quantity","Entry Type","Transfer","Entry No.",I98,"Location Code","@@"&amp;$E$6)</t>
  </si>
  <si>
    <t>=NL("Sum","Item Ledger Entry","Quantity","Entry Type","Consumption","Entry No.",I98,"Location Code","@@"&amp;$E$6)</t>
  </si>
  <si>
    <t>=NL("Sum","Item Ledger Entry","Quantity","Entry Type","Output","Entry No.",I98,"Location Code","@@"&amp;$E$6)</t>
  </si>
  <si>
    <t>=NL("Sum","Item Ledger Entry","Quantity","Entry Type","Purchase","Entry No.",I102,"Location Code","@@"&amp;$E$6)</t>
  </si>
  <si>
    <t>=NL("Sum","Item Ledger Entry","Quantity","Entry Type","Sale","Entry No.",I102,"Location Code","@@"&amp;$E$6)</t>
  </si>
  <si>
    <t>=NL("Sum","Item Ledger Entry","Quantity","Entry Type","Positive Adjmt.|Negative Adjmt.","Entry No.",I102,"Location Code","@@"&amp;$E$6)</t>
  </si>
  <si>
    <t>=NL("Sum","Item Ledger Entry","Quantity","Entry Type","Transfer","Entry No.",I102,"Location Code","@@"&amp;$E$6)</t>
  </si>
  <si>
    <t>=NL("Sum","Item Ledger Entry","Quantity","Entry Type","Consumption","Entry No.",I102,"Location Code","@@"&amp;$E$6)</t>
  </si>
  <si>
    <t>=NL("Sum","Item Ledger Entry","Quantity","Entry Type","Output","Entry No.",I102,"Location Code","@@"&amp;$E$6)</t>
  </si>
  <si>
    <t>=NL("Sum","Item Ledger Entry","Quantity","Entry Type","Purchase","Entry No.",I103,"Location Code","@@"&amp;$E$6)</t>
  </si>
  <si>
    <t>=NL("Sum","Item Ledger Entry","Quantity","Entry Type","Sale","Entry No.",I103,"Location Code","@@"&amp;$E$6)</t>
  </si>
  <si>
    <t>=NL("Sum","Item Ledger Entry","Quantity","Entry Type","Positive Adjmt.|Negative Adjmt.","Entry No.",I103,"Location Code","@@"&amp;$E$6)</t>
  </si>
  <si>
    <t>=NL("Sum","Item Ledger Entry","Quantity","Entry Type","Transfer","Entry No.",I103,"Location Code","@@"&amp;$E$6)</t>
  </si>
  <si>
    <t>=NL("Sum","Item Ledger Entry","Quantity","Entry Type","Consumption","Entry No.",I103,"Location Code","@@"&amp;$E$6)</t>
  </si>
  <si>
    <t>=NL("Sum","Item Ledger Entry","Quantity","Entry Type","Output","Entry No.",I103,"Location Code","@@"&amp;$E$6)</t>
  </si>
  <si>
    <t>=NL("Rows","Item Ledger Entry",,"+Posting Date",$L$5,"Item No.","@@"&amp;$D107,"Location Code","@@"&amp;$E$6)</t>
  </si>
  <si>
    <t>=NL("Sum","Item Ledger Entry","Quantity","Entry Type","Purchase","Entry No.",I107,"Location Code","@@"&amp;$E$6)</t>
  </si>
  <si>
    <t>=NL("Sum","Item Ledger Entry","Quantity","Entry Type","Sale","Entry No.",I107,"Location Code","@@"&amp;$E$6)</t>
  </si>
  <si>
    <t>=NL("Sum","Item Ledger Entry","Quantity","Entry Type","Positive Adjmt.|Negative Adjmt.","Entry No.",I107,"Location Code","@@"&amp;$E$6)</t>
  </si>
  <si>
    <t>=NL("Sum","Item Ledger Entry","Quantity","Entry Type","Transfer","Entry No.",I107,"Location Code","@@"&amp;$E$6)</t>
  </si>
  <si>
    <t>=NL("Sum","Item Ledger Entry","Quantity","Entry Type","Consumption","Entry No.",I107,"Location Code","@@"&amp;$E$6)</t>
  </si>
  <si>
    <t>=NL("Sum","Item Ledger Entry","Quantity","Entry Type","Output","Entry No.",I107,"Location Code","@@"&amp;$E$6)</t>
  </si>
  <si>
    <t>=NL("Sum","Item Ledger Entry","Quantity","Entry Type","Purchase","Entry No.",I108,"Location Code","@@"&amp;$E$6)</t>
  </si>
  <si>
    <t>=NL("Sum","Item Ledger Entry","Quantity","Entry Type","Sale","Entry No.",I108,"Location Code","@@"&amp;$E$6)</t>
  </si>
  <si>
    <t>=NL("Sum","Item Ledger Entry","Quantity","Entry Type","Positive Adjmt.|Negative Adjmt.","Entry No.",I108,"Location Code","@@"&amp;$E$6)</t>
  </si>
  <si>
    <t>=NL("Sum","Item Ledger Entry","Quantity","Entry Type","Transfer","Entry No.",I108,"Location Code","@@"&amp;$E$6)</t>
  </si>
  <si>
    <t>=NL("Sum","Item Ledger Entry","Quantity","Entry Type","Consumption","Entry No.",I108,"Location Code","@@"&amp;$E$6)</t>
  </si>
  <si>
    <t>=NL("Sum","Item Ledger Entry","Quantity","Entry Type","Output","Entry No.",I108,"Location Code","@@"&amp;$E$6)</t>
  </si>
  <si>
    <t>=NL("Sum","Item Ledger Entry","Quantity","Entry Type","Purchase","Entry No.",I110,"Location Code","@@"&amp;$E$6)</t>
  </si>
  <si>
    <t>=NL("Sum","Item Ledger Entry","Quantity","Entry Type","Sale","Entry No.",I110,"Location Code","@@"&amp;$E$6)</t>
  </si>
  <si>
    <t>=NL("Sum","Item Ledger Entry","Quantity","Entry Type","Positive Adjmt.|Negative Adjmt.","Entry No.",I110,"Location Code","@@"&amp;$E$6)</t>
  </si>
  <si>
    <t>=NL("Sum","Item Ledger Entry","Quantity","Entry Type","Transfer","Entry No.",I110,"Location Code","@@"&amp;$E$6)</t>
  </si>
  <si>
    <t>=NL("Sum","Item Ledger Entry","Quantity","Entry Type","Consumption","Entry No.",I110,"Location Code","@@"&amp;$E$6)</t>
  </si>
  <si>
    <t>=NL("Sum","Item Ledger Entry","Quantity","Entry Type","Output","Entry No.",I110,"Location Code","@@"&amp;$E$6)</t>
  </si>
  <si>
    <t>=NL("Sum","Item Ledger Entry","Quantity","Entry Type","Purchase","Entry No.",I115,"Location Code","@@"&amp;$E$6)</t>
  </si>
  <si>
    <t>=NL("Sum","Item Ledger Entry","Quantity","Entry Type","Sale","Entry No.",I115,"Location Code","@@"&amp;$E$6)</t>
  </si>
  <si>
    <t>=NL("Sum","Item Ledger Entry","Quantity","Entry Type","Positive Adjmt.|Negative Adjmt.","Entry No.",I115,"Location Code","@@"&amp;$E$6)</t>
  </si>
  <si>
    <t>=NL("Sum","Item Ledger Entry","Quantity","Entry Type","Transfer","Entry No.",I115,"Location Code","@@"&amp;$E$6)</t>
  </si>
  <si>
    <t>=NL("Sum","Item Ledger Entry","Quantity","Entry Type","Consumption","Entry No.",I115,"Location Code","@@"&amp;$E$6)</t>
  </si>
  <si>
    <t>=NL("Sum","Item Ledger Entry","Quantity","Entry Type","Output","Entry No.",I115,"Location Code","@@"&amp;$E$6)</t>
  </si>
  <si>
    <t>=NL("Sum","Item Ledger Entry","Quantity","Entry Type","Purchase","Entry No.",I116,"Location Code","@@"&amp;$E$6)</t>
  </si>
  <si>
    <t>=NL("Sum","Item Ledger Entry","Quantity","Entry Type","Sale","Entry No.",I116,"Location Code","@@"&amp;$E$6)</t>
  </si>
  <si>
    <t>=NL("Sum","Item Ledger Entry","Quantity","Entry Type","Positive Adjmt.|Negative Adjmt.","Entry No.",I116,"Location Code","@@"&amp;$E$6)</t>
  </si>
  <si>
    <t>=NL("Sum","Item Ledger Entry","Quantity","Entry Type","Transfer","Entry No.",I116,"Location Code","@@"&amp;$E$6)</t>
  </si>
  <si>
    <t>=NL("Sum","Item Ledger Entry","Quantity","Entry Type","Consumption","Entry No.",I116,"Location Code","@@"&amp;$E$6)</t>
  </si>
  <si>
    <t>=NL("Sum","Item Ledger Entry","Quantity","Entry Type","Output","Entry No.",I116,"Location Code","@@"&amp;$E$6)</t>
  </si>
  <si>
    <t>=NL("Rows","Item Ledger Entry",,"+Posting Date",$L$5,"Item No.","@@"&amp;$D120,"Location Code","@@"&amp;$E$6)</t>
  </si>
  <si>
    <t>=NL("Sum","Item Ledger Entry","Quantity","Entry Type","Purchase","Entry No.",I120,"Location Code","@@"&amp;$E$6)</t>
  </si>
  <si>
    <t>=NL("Sum","Item Ledger Entry","Quantity","Entry Type","Sale","Entry No.",I120,"Location Code","@@"&amp;$E$6)</t>
  </si>
  <si>
    <t>=NL("Sum","Item Ledger Entry","Quantity","Entry Type","Positive Adjmt.|Negative Adjmt.","Entry No.",I120,"Location Code","@@"&amp;$E$6)</t>
  </si>
  <si>
    <t>=NL("Sum","Item Ledger Entry","Quantity","Entry Type","Transfer","Entry No.",I120,"Location Code","@@"&amp;$E$6)</t>
  </si>
  <si>
    <t>=NL("Sum","Item Ledger Entry","Quantity","Entry Type","Consumption","Entry No.",I120,"Location Code","@@"&amp;$E$6)</t>
  </si>
  <si>
    <t>=NL("Sum","Item Ledger Entry","Quantity","Entry Type","Output","Entry No.",I120,"Location Code","@@"&amp;$E$6)</t>
  </si>
  <si>
    <t>=NL("Sum","Item Ledger Entry","Quantity","Entry Type","Purchase","Entry No.",I121,"Location Code","@@"&amp;$E$6)</t>
  </si>
  <si>
    <t>=NL("Sum","Item Ledger Entry","Quantity","Entry Type","Sale","Entry No.",I121,"Location Code","@@"&amp;$E$6)</t>
  </si>
  <si>
    <t>=NL("Sum","Item Ledger Entry","Quantity","Entry Type","Positive Adjmt.|Negative Adjmt.","Entry No.",I121,"Location Code","@@"&amp;$E$6)</t>
  </si>
  <si>
    <t>=NL("Sum","Item Ledger Entry","Quantity","Entry Type","Transfer","Entry No.",I121,"Location Code","@@"&amp;$E$6)</t>
  </si>
  <si>
    <t>=NL("Sum","Item Ledger Entry","Quantity","Entry Type","Consumption","Entry No.",I121,"Location Code","@@"&amp;$E$6)</t>
  </si>
  <si>
    <t>=NL("Sum","Item Ledger Entry","Quantity","Entry Type","Output","Entry No.",I121,"Location Code","@@"&amp;$E$6)</t>
  </si>
  <si>
    <t>=NL("Sum","Item Ledger Entry","Quantity","Entry Type","Purchase","Entry No.",I125,"Location Code","@@"&amp;$E$6)</t>
  </si>
  <si>
    <t>=NL("Sum","Item Ledger Entry","Quantity","Entry Type","Sale","Entry No.",I125,"Location Code","@@"&amp;$E$6)</t>
  </si>
  <si>
    <t>=NL("Sum","Item Ledger Entry","Quantity","Entry Type","Positive Adjmt.|Negative Adjmt.","Entry No.",I125,"Location Code","@@"&amp;$E$6)</t>
  </si>
  <si>
    <t>=NL("Sum","Item Ledger Entry","Quantity","Entry Type","Transfer","Entry No.",I125,"Location Code","@@"&amp;$E$6)</t>
  </si>
  <si>
    <t>=NL("Sum","Item Ledger Entry","Quantity","Entry Type","Consumption","Entry No.",I125,"Location Code","@@"&amp;$E$6)</t>
  </si>
  <si>
    <t>=NL("Sum","Item Ledger Entry","Quantity","Entry Type","Output","Entry No.",I125,"Location Code","@@"&amp;$E$6)</t>
  </si>
  <si>
    <t>=NL("Sum","Item Ledger Entry","Quantity","Entry Type","Purchase","Entry No.",I128,"Location Code","@@"&amp;$E$6)</t>
  </si>
  <si>
    <t>=NL("Sum","Item Ledger Entry","Quantity","Entry Type","Sale","Entry No.",I128,"Location Code","@@"&amp;$E$6)</t>
  </si>
  <si>
    <t>=NL("Sum","Item Ledger Entry","Quantity","Entry Type","Positive Adjmt.|Negative Adjmt.","Entry No.",I128,"Location Code","@@"&amp;$E$6)</t>
  </si>
  <si>
    <t>=NL("Sum","Item Ledger Entry","Quantity","Entry Type","Transfer","Entry No.",I128,"Location Code","@@"&amp;$E$6)</t>
  </si>
  <si>
    <t>=NL("Sum","Item Ledger Entry","Quantity","Entry Type","Consumption","Entry No.",I128,"Location Code","@@"&amp;$E$6)</t>
  </si>
  <si>
    <t>=NL("Sum","Item Ledger Entry","Quantity","Entry Type","Output","Entry No.",I128,"Location Code","@@"&amp;$E$6)</t>
  </si>
  <si>
    <t>=NL("Sum","Item Ledger Entry","Quantity","Entry Type","Purchase","Entry No.",I133,"Location Code","@@"&amp;$E$6)</t>
  </si>
  <si>
    <t>=NL("Sum","Item Ledger Entry","Quantity","Entry Type","Sale","Entry No.",I133,"Location Code","@@"&amp;$E$6)</t>
  </si>
  <si>
    <t>=NL("Sum","Item Ledger Entry","Quantity","Entry Type","Positive Adjmt.|Negative Adjmt.","Entry No.",I133,"Location Code","@@"&amp;$E$6)</t>
  </si>
  <si>
    <t>=NL("Sum","Item Ledger Entry","Quantity","Entry Type","Transfer","Entry No.",I133,"Location Code","@@"&amp;$E$6)</t>
  </si>
  <si>
    <t>=NL("Sum","Item Ledger Entry","Quantity","Entry Type","Consumption","Entry No.",I133,"Location Code","@@"&amp;$E$6)</t>
  </si>
  <si>
    <t>=NL("Sum","Item Ledger Entry","Quantity","Entry Type","Output","Entry No.",I133,"Location Code","@@"&amp;$E$6)</t>
  </si>
  <si>
    <t>=NL("Sum","Item Ledger Entry","Quantity","Entry Type","Purchase","Entry No.",I134,"Location Code","@@"&amp;$E$6)</t>
  </si>
  <si>
    <t>=NL("Sum","Item Ledger Entry","Quantity","Entry Type","Sale","Entry No.",I134,"Location Code","@@"&amp;$E$6)</t>
  </si>
  <si>
    <t>=NL("Sum","Item Ledger Entry","Quantity","Entry Type","Positive Adjmt.|Negative Adjmt.","Entry No.",I134,"Location Code","@@"&amp;$E$6)</t>
  </si>
  <si>
    <t>=NL("Sum","Item Ledger Entry","Quantity","Entry Type","Transfer","Entry No.",I134,"Location Code","@@"&amp;$E$6)</t>
  </si>
  <si>
    <t>=NL("Sum","Item Ledger Entry","Quantity","Entry Type","Consumption","Entry No.",I134,"Location Code","@@"&amp;$E$6)</t>
  </si>
  <si>
    <t>=NL("Sum","Item Ledger Entry","Quantity","Entry Type","Output","Entry No.",I134,"Location Code","@@"&amp;$E$6)</t>
  </si>
  <si>
    <t>=NL("Sum","Item Ledger Entry","Quantity","Entry Type","Purchase","Entry No.",I135,"Location Code","@@"&amp;$E$6)</t>
  </si>
  <si>
    <t>=NL("Sum","Item Ledger Entry","Quantity","Entry Type","Sale","Entry No.",I135,"Location Code","@@"&amp;$E$6)</t>
  </si>
  <si>
    <t>=NL("Sum","Item Ledger Entry","Quantity","Entry Type","Positive Adjmt.|Negative Adjmt.","Entry No.",I135,"Location Code","@@"&amp;$E$6)</t>
  </si>
  <si>
    <t>=NL("Sum","Item Ledger Entry","Quantity","Entry Type","Transfer","Entry No.",I135,"Location Code","@@"&amp;$E$6)</t>
  </si>
  <si>
    <t>=NL("Sum","Item Ledger Entry","Quantity","Entry Type","Consumption","Entry No.",I135,"Location Code","@@"&amp;$E$6)</t>
  </si>
  <si>
    <t>=NL("Sum","Item Ledger Entry","Quantity","Entry Type","Output","Entry No.",I135,"Location Code","@@"&amp;$E$6)</t>
  </si>
  <si>
    <t>=E138</t>
  </si>
  <si>
    <t>=NL("First","Item","Description","No.",$E138)</t>
  </si>
  <si>
    <t>=NL("First","Item","Base Unit of Measure","No.",$E138)</t>
  </si>
  <si>
    <t>=NL("Rows","Item Ledger Entry",,"+Posting Date",$L$5,"Item No.","@@"&amp;$D139,"Location Code","@@"&amp;$E$6)</t>
  </si>
  <si>
    <t>=NL("Sum","Item Ledger Entry","Quantity","Entry Type","Purchase","Entry No.",I139,"Location Code","@@"&amp;$E$6)</t>
  </si>
  <si>
    <t>=NL("Sum","Item Ledger Entry","Quantity","Entry Type","Sale","Entry No.",I139,"Location Code","@@"&amp;$E$6)</t>
  </si>
  <si>
    <t>=NL("Sum","Item Ledger Entry","Quantity","Entry Type","Positive Adjmt.|Negative Adjmt.","Entry No.",I139,"Location Code","@@"&amp;$E$6)</t>
  </si>
  <si>
    <t>=NL("Sum","Item Ledger Entry","Quantity","Entry Type","Transfer","Entry No.",I139,"Location Code","@@"&amp;$E$6)</t>
  </si>
  <si>
    <t>=NL("Sum","Item Ledger Entry","Quantity","Entry Type","Consumption","Entry No.",I139,"Location Code","@@"&amp;$E$6)</t>
  </si>
  <si>
    <t>=NL("Sum","Item Ledger Entry","Quantity","Entry Type","Output","Entry No.",I139,"Location Code","@@"&amp;$E$6)</t>
  </si>
  <si>
    <t>=NL("Sum","Item Ledger Entry","Quantity","Entry Type","Purchase","Entry No.",I150,"Location Code","@@"&amp;$E$6)</t>
  </si>
  <si>
    <t>=NL("Sum","Item Ledger Entry","Quantity","Entry Type","Sale","Entry No.",I150,"Location Code","@@"&amp;$E$6)</t>
  </si>
  <si>
    <t>=NL("Sum","Item Ledger Entry","Quantity","Entry Type","Positive Adjmt.|Negative Adjmt.","Entry No.",I150,"Location Code","@@"&amp;$E$6)</t>
  </si>
  <si>
    <t>=NL("Sum","Item Ledger Entry","Quantity","Entry Type","Transfer","Entry No.",I150,"Location Code","@@"&amp;$E$6)</t>
  </si>
  <si>
    <t>=NL("Sum","Item Ledger Entry","Quantity","Entry Type","Consumption","Entry No.",I150,"Location Code","@@"&amp;$E$6)</t>
  </si>
  <si>
    <t>=NL("Sum","Item Ledger Entry","Quantity","Entry Type","Output","Entry No.",I150,"Location Code","@@"&amp;$E$6)</t>
  </si>
  <si>
    <t>=NL("Sum","Item Ledger Entry","Quantity","Entry Type","Purchase","Entry No.",I154,"Location Code","@@"&amp;$E$6)</t>
  </si>
  <si>
    <t>=NL("Sum","Item Ledger Entry","Quantity","Entry Type","Sale","Entry No.",I154,"Location Code","@@"&amp;$E$6)</t>
  </si>
  <si>
    <t>=NL("Sum","Item Ledger Entry","Quantity","Entry Type","Positive Adjmt.|Negative Adjmt.","Entry No.",I154,"Location Code","@@"&amp;$E$6)</t>
  </si>
  <si>
    <t>=NL("Sum","Item Ledger Entry","Quantity","Entry Type","Transfer","Entry No.",I154,"Location Code","@@"&amp;$E$6)</t>
  </si>
  <si>
    <t>=NL("Sum","Item Ledger Entry","Quantity","Entry Type","Consumption","Entry No.",I154,"Location Code","@@"&amp;$E$6)</t>
  </si>
  <si>
    <t>=NL("Sum","Item Ledger Entry","Quantity","Entry Type","Output","Entry No.",I154,"Location Code","@@"&amp;$E$6)</t>
  </si>
  <si>
    <t>=NL("Sum","Item Ledger Entry","Quantity","Entry Type","Purchase","Entry No.",I159,"Location Code","@@"&amp;$E$6)</t>
  </si>
  <si>
    <t>=NL("Sum","Item Ledger Entry","Quantity","Entry Type","Sale","Entry No.",I159,"Location Code","@@"&amp;$E$6)</t>
  </si>
  <si>
    <t>=NL("Sum","Item Ledger Entry","Quantity","Entry Type","Positive Adjmt.|Negative Adjmt.","Entry No.",I159,"Location Code","@@"&amp;$E$6)</t>
  </si>
  <si>
    <t>=NL("Sum","Item Ledger Entry","Quantity","Entry Type","Transfer","Entry No.",I159,"Location Code","@@"&amp;$E$6)</t>
  </si>
  <si>
    <t>=NL("Sum","Item Ledger Entry","Quantity","Entry Type","Consumption","Entry No.",I159,"Location Code","@@"&amp;$E$6)</t>
  </si>
  <si>
    <t>=NL("Sum","Item Ledger Entry","Quantity","Entry Type","Output","Entry No.",I159,"Location Code","@@"&amp;$E$6)</t>
  </si>
  <si>
    <t>=NL("Sum","Item Ledger Entry","Quantity","Entry Type","Purchase","Entry No.",I161,"Location Code","@@"&amp;$E$6)</t>
  </si>
  <si>
    <t>=NL("Sum","Item Ledger Entry","Quantity","Entry Type","Sale","Entry No.",I161,"Location Code","@@"&amp;$E$6)</t>
  </si>
  <si>
    <t>=NL("Sum","Item Ledger Entry","Quantity","Entry Type","Positive Adjmt.|Negative Adjmt.","Entry No.",I161,"Location Code","@@"&amp;$E$6)</t>
  </si>
  <si>
    <t>=NL("Sum","Item Ledger Entry","Quantity","Entry Type","Transfer","Entry No.",I161,"Location Code","@@"&amp;$E$6)</t>
  </si>
  <si>
    <t>=NL("Sum","Item Ledger Entry","Quantity","Entry Type","Consumption","Entry No.",I161,"Location Code","@@"&amp;$E$6)</t>
  </si>
  <si>
    <t>=NL("Sum","Item Ledger Entry","Quantity","Entry Type","Output","Entry No.",I161,"Location Code","@@"&amp;$E$6)</t>
  </si>
  <si>
    <t>=D291</t>
  </si>
  <si>
    <t>=NF($G292,"Posting Date")</t>
  </si>
  <si>
    <t>=NF($G292,"Entry No.")</t>
  </si>
  <si>
    <t>=NF(G292,"Source Type")</t>
  </si>
  <si>
    <t>=NF($G292,"Source No.")</t>
  </si>
  <si>
    <t>=IF($J292="Customer",NL("first",$J292,"Name","No.","@@"&amp;$K292),"")</t>
  </si>
  <si>
    <t>=IF(J292="vendor",NL("first",J292,"Name","No.","@@"&amp;K292),"")</t>
  </si>
  <si>
    <t>=IF($J292="Item",NL("first",$J292,"Description","No.","@@"&amp;$K292),"")</t>
  </si>
  <si>
    <t>=D396</t>
  </si>
  <si>
    <t>=NF($G397,"Posting Date")</t>
  </si>
  <si>
    <t>=NF($G397,"Entry No.")</t>
  </si>
  <si>
    <t>=NF(G397,"Source Type")</t>
  </si>
  <si>
    <t>=NF($G397,"Source No.")</t>
  </si>
  <si>
    <t>=IF($J397="Customer",NL("first",$J397,"Name","No.","@@"&amp;$K397),"")</t>
  </si>
  <si>
    <t>=IF(J397="vendor",NL("first",J397,"Name","No.","@@"&amp;K397),"")</t>
  </si>
  <si>
    <t>=IF($J397="Item",NL("first",$J397,"Description","No.","@@"&amp;$K397),"")</t>
  </si>
  <si>
    <t>=NL("Rows","Item Ledger Entry",,"+Posting Date",$L$5,"Item No.","@@"&amp;$D34,"Location Code","@@"&amp;$E$6)</t>
  </si>
  <si>
    <t>=NL("Sum","Item Ledger Entry","Quantity","Entry Type","Purchase","Entry No.",I34,"Location Code","@@"&amp;$E$6)</t>
  </si>
  <si>
    <t>=NL("Sum","Item Ledger Entry","Quantity","Entry Type","Sale","Entry No.",I34,"Location Code","@@"&amp;$E$6)</t>
  </si>
  <si>
    <t>=NL("Sum","Item Ledger Entry","Quantity","Entry Type","Positive Adjmt.|Negative Adjmt.","Entry No.",I34,"Location Code","@@"&amp;$E$6)</t>
  </si>
  <si>
    <t>=NL("Sum","Item Ledger Entry","Quantity","Entry Type","Transfer","Entry No.",I34,"Location Code","@@"&amp;$E$6)</t>
  </si>
  <si>
    <t>=NL("Sum","Item Ledger Entry","Quantity","Entry Type","Consumption","Entry No.",I34,"Location Code","@@"&amp;$E$6)</t>
  </si>
  <si>
    <t>=NL("Sum","Item Ledger Entry","Quantity","Entry Type","Output","Entry No.",I34,"Location Code","@@"&amp;$E$6)</t>
  </si>
  <si>
    <t>=NL("Rows","Item Ledger Entry",,"+Posting Date",$L$5,"Item No.","@@"&amp;$D38,"Location Code","@@"&amp;$E$6)</t>
  </si>
  <si>
    <t>=NL("Sum","Item Ledger Entry","Quantity","Entry Type","Purchase","Entry No.",I38,"Location Code","@@"&amp;$E$6)</t>
  </si>
  <si>
    <t>=NL("Sum","Item Ledger Entry","Quantity","Entry Type","Sale","Entry No.",I38,"Location Code","@@"&amp;$E$6)</t>
  </si>
  <si>
    <t>=NL("Sum","Item Ledger Entry","Quantity","Entry Type","Positive Adjmt.|Negative Adjmt.","Entry No.",I38,"Location Code","@@"&amp;$E$6)</t>
  </si>
  <si>
    <t>=NL("Sum","Item Ledger Entry","Quantity","Entry Type","Transfer","Entry No.",I38,"Location Code","@@"&amp;$E$6)</t>
  </si>
  <si>
    <t>=NL("Sum","Item Ledger Entry","Quantity","Entry Type","Consumption","Entry No.",I38,"Location Code","@@"&amp;$E$6)</t>
  </si>
  <si>
    <t>=NL("Sum","Item Ledger Entry","Quantity","Entry Type","Output","Entry No.",I38,"Location Code","@@"&amp;$E$6)</t>
  </si>
  <si>
    <t>=NL("Rows","Item Ledger Entry",,"+Posting Date",$L$5,"Item No.","@@"&amp;$D42,"Location Code","@@"&amp;$E$6)</t>
  </si>
  <si>
    <t>=NL("Rows","Item Ledger Entry",,"+Posting Date",$L$5,"Item No.","@@"&amp;$D46,"Location Code","@@"&amp;$E$6)</t>
  </si>
  <si>
    <t>=NL("Sum","Item Ledger Entry","Quantity","Entry Type","Purchase","Entry No.",I46,"Location Code","@@"&amp;$E$6)</t>
  </si>
  <si>
    <t>=NL("Sum","Item Ledger Entry","Quantity","Entry Type","Sale","Entry No.",I46,"Location Code","@@"&amp;$E$6)</t>
  </si>
  <si>
    <t>=NL("Sum","Item Ledger Entry","Quantity","Entry Type","Positive Adjmt.|Negative Adjmt.","Entry No.",I46,"Location Code","@@"&amp;$E$6)</t>
  </si>
  <si>
    <t>=NL("Sum","Item Ledger Entry","Quantity","Entry Type","Transfer","Entry No.",I46,"Location Code","@@"&amp;$E$6)</t>
  </si>
  <si>
    <t>=NL("Sum","Item Ledger Entry","Quantity","Entry Type","Consumption","Entry No.",I46,"Location Code","@@"&amp;$E$6)</t>
  </si>
  <si>
    <t>=NL("Sum","Item Ledger Entry","Quantity","Entry Type","Output","Entry No.",I46,"Location Code","@@"&amp;$E$6)</t>
  </si>
  <si>
    <t>=NL("Rows","Item Ledger Entry",,"+Posting Date",$L$5,"Item No.","@@"&amp;$D50,"Location Code","@@"&amp;$E$6)</t>
  </si>
  <si>
    <t>=NL("Sum","Item Ledger Entry","Quantity","Entry Type","Purchase","Entry No.",I50,"Location Code","@@"&amp;$E$6)</t>
  </si>
  <si>
    <t>=NL("Sum","Item Ledger Entry","Quantity","Entry Type","Sale","Entry No.",I50,"Location Code","@@"&amp;$E$6)</t>
  </si>
  <si>
    <t>=NL("Sum","Item Ledger Entry","Quantity","Entry Type","Positive Adjmt.|Negative Adjmt.","Entry No.",I50,"Location Code","@@"&amp;$E$6)</t>
  </si>
  <si>
    <t>=NL("Sum","Item Ledger Entry","Quantity","Entry Type","Transfer","Entry No.",I50,"Location Code","@@"&amp;$E$6)</t>
  </si>
  <si>
    <t>=NL("Sum","Item Ledger Entry","Quantity","Entry Type","Consumption","Entry No.",I50,"Location Code","@@"&amp;$E$6)</t>
  </si>
  <si>
    <t>=NL("Sum","Item Ledger Entry","Quantity","Entry Type","Output","Entry No.",I50,"Location Code","@@"&amp;$E$6)</t>
  </si>
  <si>
    <t>=NL("Rows","Item Ledger Entry",,"+Posting Date",$L$5,"Item No.","@@"&amp;$D62,"Location Code","@@"&amp;$E$6)</t>
  </si>
  <si>
    <t>=NL("Sum","Item Ledger Entry","Quantity","Entry Type","Purchase","Entry No.",I62,"Location Code","@@"&amp;$E$6)</t>
  </si>
  <si>
    <t>=NL("Sum","Item Ledger Entry","Quantity","Entry Type","Sale","Entry No.",I62,"Location Code","@@"&amp;$E$6)</t>
  </si>
  <si>
    <t>=NL("Sum","Item Ledger Entry","Quantity","Entry Type","Positive Adjmt.|Negative Adjmt.","Entry No.",I62,"Location Code","@@"&amp;$E$6)</t>
  </si>
  <si>
    <t>=NL("Sum","Item Ledger Entry","Quantity","Entry Type","Transfer","Entry No.",I62,"Location Code","@@"&amp;$E$6)</t>
  </si>
  <si>
    <t>=NL("Sum","Item Ledger Entry","Quantity","Entry Type","Consumption","Entry No.",I62,"Location Code","@@"&amp;$E$6)</t>
  </si>
  <si>
    <t>=NL("Sum","Item Ledger Entry","Quantity","Entry Type","Output","Entry No.",I62,"Location Code","@@"&amp;$E$6)</t>
  </si>
  <si>
    <t>=NL("Sum","Item Ledger Entry","Quantity","Entry Type","Purchase","Entry No.",I66,"Location Code","@@"&amp;$E$6)</t>
  </si>
  <si>
    <t>=NL("Sum","Item Ledger Entry","Quantity","Entry Type","Sale","Entry No.",I66,"Location Code","@@"&amp;$E$6)</t>
  </si>
  <si>
    <t>=NL("Sum","Item Ledger Entry","Quantity","Entry Type","Positive Adjmt.|Negative Adjmt.","Entry No.",I66,"Location Code","@@"&amp;$E$6)</t>
  </si>
  <si>
    <t>=NL("Sum","Item Ledger Entry","Quantity","Entry Type","Transfer","Entry No.",I66,"Location Code","@@"&amp;$E$6)</t>
  </si>
  <si>
    <t>=NL("Sum","Item Ledger Entry","Quantity","Entry Type","Consumption","Entry No.",I66,"Location Code","@@"&amp;$E$6)</t>
  </si>
  <si>
    <t>=NL("Sum","Item Ledger Entry","Quantity","Entry Type","Output","Entry No.",I66,"Location Code","@@"&amp;$E$6)</t>
  </si>
  <si>
    <t>=NL("Rows","Item Ledger Entry",,"+Posting Date",$L$5,"Item No.","@@"&amp;$D70,"Location Code","@@"&amp;$E$6)</t>
  </si>
  <si>
    <t>=NL("Sum","Item Ledger Entry","Quantity","Entry Type","Purchase","Entry No.",I70,"Location Code","@@"&amp;$E$6)</t>
  </si>
  <si>
    <t>=NL("Sum","Item Ledger Entry","Quantity","Entry Type","Sale","Entry No.",I70,"Location Code","@@"&amp;$E$6)</t>
  </si>
  <si>
    <t>=NL("Sum","Item Ledger Entry","Quantity","Entry Type","Positive Adjmt.|Negative Adjmt.","Entry No.",I70,"Location Code","@@"&amp;$E$6)</t>
  </si>
  <si>
    <t>=NL("Sum","Item Ledger Entry","Quantity","Entry Type","Transfer","Entry No.",I70,"Location Code","@@"&amp;$E$6)</t>
  </si>
  <si>
    <t>=NL("Sum","Item Ledger Entry","Quantity","Entry Type","Consumption","Entry No.",I70,"Location Code","@@"&amp;$E$6)</t>
  </si>
  <si>
    <t>=NL("Sum","Item Ledger Entry","Quantity","Entry Type","Output","Entry No.",I70,"Location Code","@@"&amp;$E$6)</t>
  </si>
  <si>
    <t>=(SUBTOTAL(9,O74:O75))</t>
  </si>
  <si>
    <t>=(SUBTOTAL(9,P74:P75))</t>
  </si>
  <si>
    <t>=(SUBTOTAL(9,Q74:Q75))</t>
  </si>
  <si>
    <t>=(SUBTOTAL(9,R74:R75))</t>
  </si>
  <si>
    <t>=(SUBTOTAL(9,S74:S75))</t>
  </si>
  <si>
    <t>=(SUBTOTAL(9,T74:T75))</t>
  </si>
  <si>
    <t>=SUBTOTAL(9,O74:T75)</t>
  </si>
  <si>
    <t>=NL("Rows","Item Ledger Entry",,"+Posting Date",$L$5,"Item No.","@@"&amp;$D74,"Location Code","@@"&amp;$E$6)</t>
  </si>
  <si>
    <t>=NL("Sum","Item Ledger Entry","Quantity","Entry Type","Purchase","Entry No.",I27,"Location Code","@@"&amp;$E$6)</t>
  </si>
  <si>
    <t>=NL("Sum","Item Ledger Entry","Quantity","Entry Type","Sale","Entry No.",I27,"Location Code","@@"&amp;$E$6)</t>
  </si>
  <si>
    <t>=NL("Sum","Item Ledger Entry","Quantity","Entry Type","Positive Adjmt.|Negative Adjmt.","Entry No.",I27,"Location Code","@@"&amp;$E$6)</t>
  </si>
  <si>
    <t>=NL("Sum","Item Ledger Entry","Quantity","Entry Type","Transfer","Entry No.",I27,"Location Code","@@"&amp;$E$6)</t>
  </si>
  <si>
    <t>=NL("Sum","Item Ledger Entry","Quantity","Entry Type","Consumption","Entry No.",I27,"Location Code","@@"&amp;$E$6)</t>
  </si>
  <si>
    <t>=NL("Sum","Item Ledger Entry","Quantity","Entry Type","Output","Entry No.",I27,"Location Code","@@"&amp;$E$6)</t>
  </si>
  <si>
    <t>=NL("Sum","Item Ledger Entry","Quantity","Entry Type","Purchase","Entry No.",I28,"Location Code","@@"&amp;$E$6)</t>
  </si>
  <si>
    <t>=NL("Sum","Item Ledger Entry","Quantity","Entry Type","Sale","Entry No.",I28,"Location Code","@@"&amp;$E$6)</t>
  </si>
  <si>
    <t>=NL("Sum","Item Ledger Entry","Quantity","Entry Type","Positive Adjmt.|Negative Adjmt.","Entry No.",I28,"Location Code","@@"&amp;$E$6)</t>
  </si>
  <si>
    <t>=NL("Sum","Item Ledger Entry","Quantity","Entry Type","Transfer","Entry No.",I28,"Location Code","@@"&amp;$E$6)</t>
  </si>
  <si>
    <t>=NL("Sum","Item Ledger Entry","Quantity","Entry Type","Consumption","Entry No.",I28,"Location Code","@@"&amp;$E$6)</t>
  </si>
  <si>
    <t>=NL("Sum","Item Ledger Entry","Quantity","Entry Type","Output","Entry No.",I28,"Location Code","@@"&amp;$E$6)</t>
  </si>
  <si>
    <t>=NL("Sum","Item Ledger Entry","Quantity","Entry Type","Purchase","Entry No.",I32,"Location Code","@@"&amp;$E$6)</t>
  </si>
  <si>
    <t>=NL("Sum","Item Ledger Entry","Quantity","Entry Type","Sale","Entry No.",I32,"Location Code","@@"&amp;$E$6)</t>
  </si>
  <si>
    <t>=NL("Sum","Item Ledger Entry","Quantity","Entry Type","Positive Adjmt.|Negative Adjmt.","Entry No.",I32,"Location Code","@@"&amp;$E$6)</t>
  </si>
  <si>
    <t>=NL("Sum","Item Ledger Entry","Quantity","Entry Type","Transfer","Entry No.",I32,"Location Code","@@"&amp;$E$6)</t>
  </si>
  <si>
    <t>=NL("Sum","Item Ledger Entry","Quantity","Entry Type","Consumption","Entry No.",I32,"Location Code","@@"&amp;$E$6)</t>
  </si>
  <si>
    <t>=NL("Sum","Item Ledger Entry","Quantity","Entry Type","Output","Entry No.",I32,"Location Code","@@"&amp;$E$6)</t>
  </si>
  <si>
    <t>=NL("Rows","Item Ledger Entry",,"+Posting Date",$L$5,"Item No.","@@"&amp;$D36,"Location Code","@@"&amp;$E$6)</t>
  </si>
  <si>
    <t>=NL("Sum","Item Ledger Entry","Quantity","Entry Type","Purchase","Entry No.",I67,"Location Code","@@"&amp;$E$6)</t>
  </si>
  <si>
    <t>=NL("Sum","Item Ledger Entry","Quantity","Entry Type","Sale","Entry No.",I67,"Location Code","@@"&amp;$E$6)</t>
  </si>
  <si>
    <t>=NL("Sum","Item Ledger Entry","Quantity","Entry Type","Positive Adjmt.|Negative Adjmt.","Entry No.",I67,"Location Code","@@"&amp;$E$6)</t>
  </si>
  <si>
    <t>=NL("Sum","Item Ledger Entry","Quantity","Entry Type","Transfer","Entry No.",I67,"Location Code","@@"&amp;$E$6)</t>
  </si>
  <si>
    <t>=NL("Sum","Item Ledger Entry","Quantity","Entry Type","Consumption","Entry No.",I67,"Location Code","@@"&amp;$E$6)</t>
  </si>
  <si>
    <t>=NL("Sum","Item Ledger Entry","Quantity","Entry Type","Output","Entry No.",I67,"Location Code","@@"&amp;$E$6)</t>
  </si>
  <si>
    <t>=NL("Sum","Item Ledger Entry","Quantity","Entry Type","Purchase","Entry No.",I106,"Location Code","@@"&amp;$E$6)</t>
  </si>
  <si>
    <t>=NL("Sum","Item Ledger Entry","Quantity","Entry Type","Sale","Entry No.",I106,"Location Code","@@"&amp;$E$6)</t>
  </si>
  <si>
    <t>=NL("Sum","Item Ledger Entry","Quantity","Entry Type","Positive Adjmt.|Negative Adjmt.","Entry No.",I106,"Location Code","@@"&amp;$E$6)</t>
  </si>
  <si>
    <t>=NL("Sum","Item Ledger Entry","Quantity","Entry Type","Transfer","Entry No.",I106,"Location Code","@@"&amp;$E$6)</t>
  </si>
  <si>
    <t>=NL("Sum","Item Ledger Entry","Quantity","Entry Type","Consumption","Entry No.",I106,"Location Code","@@"&amp;$E$6)</t>
  </si>
  <si>
    <t>=NL("Sum","Item Ledger Entry","Quantity","Entry Type","Output","Entry No.",I106,"Location Code","@@"&amp;$E$6)</t>
  </si>
  <si>
    <t>=NL("Sum","Item Ledger Entry","Quantity","Entry Type","Purchase","Entry No.",I111,"Location Code","@@"&amp;$E$6)</t>
  </si>
  <si>
    <t>=NL("Sum","Item Ledger Entry","Quantity","Entry Type","Sale","Entry No.",I111,"Location Code","@@"&amp;$E$6)</t>
  </si>
  <si>
    <t>=NL("Sum","Item Ledger Entry","Quantity","Entry Type","Positive Adjmt.|Negative Adjmt.","Entry No.",I111,"Location Code","@@"&amp;$E$6)</t>
  </si>
  <si>
    <t>=NL("Sum","Item Ledger Entry","Quantity","Entry Type","Transfer","Entry No.",I111,"Location Code","@@"&amp;$E$6)</t>
  </si>
  <si>
    <t>=NL("Sum","Item Ledger Entry","Quantity","Entry Type","Consumption","Entry No.",I111,"Location Code","@@"&amp;$E$6)</t>
  </si>
  <si>
    <t>=NL("Sum","Item Ledger Entry","Quantity","Entry Type","Output","Entry No.",I111,"Location Code","@@"&amp;$E$6)</t>
  </si>
  <si>
    <t>=NL("Sum","Item Ledger Entry","Quantity","Entry Type","Purchase","Entry No.",I112,"Location Code","@@"&amp;$E$6)</t>
  </si>
  <si>
    <t>=NL("Sum","Item Ledger Entry","Quantity","Entry Type","Sale","Entry No.",I112,"Location Code","@@"&amp;$E$6)</t>
  </si>
  <si>
    <t>=NL("Sum","Item Ledger Entry","Quantity","Entry Type","Positive Adjmt.|Negative Adjmt.","Entry No.",I112,"Location Code","@@"&amp;$E$6)</t>
  </si>
  <si>
    <t>=NL("Sum","Item Ledger Entry","Quantity","Entry Type","Transfer","Entry No.",I112,"Location Code","@@"&amp;$E$6)</t>
  </si>
  <si>
    <t>=NL("Sum","Item Ledger Entry","Quantity","Entry Type","Consumption","Entry No.",I112,"Location Code","@@"&amp;$E$6)</t>
  </si>
  <si>
    <t>=NL("Sum","Item Ledger Entry","Quantity","Entry Type","Output","Entry No.",I112,"Location Code","@@"&amp;$E$6)</t>
  </si>
  <si>
    <t>=NL("Rows","Item Ledger Entry",,"+Posting Date",$L$5,"Item No.","@@"&amp;$D116,"Location Code","@@"&amp;$E$6)</t>
  </si>
  <si>
    <t>=NL("Sum","Item Ledger Entry","Quantity","Entry Type","Purchase","Entry No.",I117,"Location Code","@@"&amp;$E$6)</t>
  </si>
  <si>
    <t>=NL("Sum","Item Ledger Entry","Quantity","Entry Type","Sale","Entry No.",I117,"Location Code","@@"&amp;$E$6)</t>
  </si>
  <si>
    <t>=NL("Sum","Item Ledger Entry","Quantity","Entry Type","Positive Adjmt.|Negative Adjmt.","Entry No.",I117,"Location Code","@@"&amp;$E$6)</t>
  </si>
  <si>
    <t>=NL("Sum","Item Ledger Entry","Quantity","Entry Type","Transfer","Entry No.",I117,"Location Code","@@"&amp;$E$6)</t>
  </si>
  <si>
    <t>=NL("Sum","Item Ledger Entry","Quantity","Entry Type","Consumption","Entry No.",I117,"Location Code","@@"&amp;$E$6)</t>
  </si>
  <si>
    <t>=NL("Sum","Item Ledger Entry","Quantity","Entry Type","Output","Entry No.",I117,"Location Code","@@"&amp;$E$6)</t>
  </si>
  <si>
    <t>=NL("Sum","Item Ledger Entry","Quantity","Entry Type","Purchase","Entry No.",I130,"Location Code","@@"&amp;$E$6)</t>
  </si>
  <si>
    <t>=NL("Sum","Item Ledger Entry","Quantity","Entry Type","Sale","Entry No.",I130,"Location Code","@@"&amp;$E$6)</t>
  </si>
  <si>
    <t>=NL("Sum","Item Ledger Entry","Quantity","Entry Type","Positive Adjmt.|Negative Adjmt.","Entry No.",I130,"Location Code","@@"&amp;$E$6)</t>
  </si>
  <si>
    <t>=NL("Sum","Item Ledger Entry","Quantity","Entry Type","Transfer","Entry No.",I130,"Location Code","@@"&amp;$E$6)</t>
  </si>
  <si>
    <t>=NL("Sum","Item Ledger Entry","Quantity","Entry Type","Consumption","Entry No.",I130,"Location Code","@@"&amp;$E$6)</t>
  </si>
  <si>
    <t>=NL("Sum","Item Ledger Entry","Quantity","Entry Type","Output","Entry No.",I130,"Location Code","@@"&amp;$E$6)</t>
  </si>
  <si>
    <t>=NL("Rows","Item Ledger Entry",,"+Posting Date",$L$5,"Item No.","@@"&amp;$D138,"Location Code","@@"&amp;$E$6)</t>
  </si>
  <si>
    <t>=NL("Sum","Item Ledger Entry","Quantity","Entry Type","Purchase","Entry No.",I138,"Location Code","@@"&amp;$E$6)</t>
  </si>
  <si>
    <t>=NL("Sum","Item Ledger Entry","Quantity","Entry Type","Sale","Entry No.",I138,"Location Code","@@"&amp;$E$6)</t>
  </si>
  <si>
    <t>=NL("Sum","Item Ledger Entry","Quantity","Entry Type","Positive Adjmt.|Negative Adjmt.","Entry No.",I138,"Location Code","@@"&amp;$E$6)</t>
  </si>
  <si>
    <t>=NL("Sum","Item Ledger Entry","Quantity","Entry Type","Transfer","Entry No.",I138,"Location Code","@@"&amp;$E$6)</t>
  </si>
  <si>
    <t>=NL("Sum","Item Ledger Entry","Quantity","Entry Type","Consumption","Entry No.",I138,"Location Code","@@"&amp;$E$6)</t>
  </si>
  <si>
    <t>=NL("Sum","Item Ledger Entry","Quantity","Entry Type","Output","Entry No.",I138,"Location Code","@@"&amp;$E$6)</t>
  </si>
  <si>
    <t>=NL("Sum","Item Ledger Entry","Quantity","Entry Type","Purchase","Entry No.",I142,"Location Code","@@"&amp;$E$6)</t>
  </si>
  <si>
    <t>=NL("Sum","Item Ledger Entry","Quantity","Entry Type","Sale","Entry No.",I142,"Location Code","@@"&amp;$E$6)</t>
  </si>
  <si>
    <t>=NL("Sum","Item Ledger Entry","Quantity","Entry Type","Positive Adjmt.|Negative Adjmt.","Entry No.",I142,"Location Code","@@"&amp;$E$6)</t>
  </si>
  <si>
    <t>=NL("Sum","Item Ledger Entry","Quantity","Entry Type","Transfer","Entry No.",I142,"Location Code","@@"&amp;$E$6)</t>
  </si>
  <si>
    <t>=NL("Sum","Item Ledger Entry","Quantity","Entry Type","Consumption","Entry No.",I142,"Location Code","@@"&amp;$E$6)</t>
  </si>
  <si>
    <t>=NL("Sum","Item Ledger Entry","Quantity","Entry Type","Output","Entry No.",I142,"Location Code","@@"&amp;$E$6)</t>
  </si>
  <si>
    <t>=NL("Sum","Item Ledger Entry","Quantity","Entry Type","Purchase","Entry No.",I155,"Location Code","@@"&amp;$E$6)</t>
  </si>
  <si>
    <t>=NL("Sum","Item Ledger Entry","Quantity","Entry Type","Sale","Entry No.",I155,"Location Code","@@"&amp;$E$6)</t>
  </si>
  <si>
    <t>=NL("Sum","Item Ledger Entry","Quantity","Entry Type","Positive Adjmt.|Negative Adjmt.","Entry No.",I155,"Location Code","@@"&amp;$E$6)</t>
  </si>
  <si>
    <t>=NL("Sum","Item Ledger Entry","Quantity","Entry Type","Transfer","Entry No.",I155,"Location Code","@@"&amp;$E$6)</t>
  </si>
  <si>
    <t>=NL("Sum","Item Ledger Entry","Quantity","Entry Type","Consumption","Entry No.",I155,"Location Code","@@"&amp;$E$6)</t>
  </si>
  <si>
    <t>=NL("Sum","Item Ledger Entry","Quantity","Entry Type","Output","Entry No.",I155,"Location Code","@@"&amp;$E$6)</t>
  </si>
  <si>
    <t>=NL("Rows","Item Ledger Entry",,"+Posting Date",$L$5,"Item No.","@@"&amp;$D159,"Location Code","@@"&amp;$E$6)</t>
  </si>
  <si>
    <t>=NL("Sum","Item Ledger Entry","Quantity","Entry Type","Purchase","Entry No.",I165,"Location Code","@@"&amp;$E$6)</t>
  </si>
  <si>
    <t>=NL("Sum","Item Ledger Entry","Quantity","Entry Type","Sale","Entry No.",I165,"Location Code","@@"&amp;$E$6)</t>
  </si>
  <si>
    <t>=NL("Sum","Item Ledger Entry","Quantity","Entry Type","Positive Adjmt.|Negative Adjmt.","Entry No.",I165,"Location Code","@@"&amp;$E$6)</t>
  </si>
  <si>
    <t>=NL("Sum","Item Ledger Entry","Quantity","Entry Type","Transfer","Entry No.",I165,"Location Code","@@"&amp;$E$6)</t>
  </si>
  <si>
    <t>=NL("Sum","Item Ledger Entry","Quantity","Entry Type","Consumption","Entry No.",I165,"Location Code","@@"&amp;$E$6)</t>
  </si>
  <si>
    <t>=NL("Sum","Item Ledger Entry","Quantity","Entry Type","Output","Entry No.",I165,"Location Code","@@"&amp;$E$6)</t>
  </si>
  <si>
    <t>=NL("Sum","Item Ledger Entry","Quantity","Entry Type","Purchase","Entry No.",I39,"Location Code","@@"&amp;$E$6)</t>
  </si>
  <si>
    <t>=NL("Sum","Item Ledger Entry","Quantity","Entry Type","Sale","Entry No.",I39,"Location Code","@@"&amp;$E$6)</t>
  </si>
  <si>
    <t>=NL("Sum","Item Ledger Entry","Quantity","Entry Type","Positive Adjmt.|Negative Adjmt.","Entry No.",I39,"Location Code","@@"&amp;$E$6)</t>
  </si>
  <si>
    <t>=NL("Sum","Item Ledger Entry","Quantity","Entry Type","Transfer","Entry No.",I39,"Location Code","@@"&amp;$E$6)</t>
  </si>
  <si>
    <t>=NL("Sum","Item Ledger Entry","Quantity","Entry Type","Consumption","Entry No.",I39,"Location Code","@@"&amp;$E$6)</t>
  </si>
  <si>
    <t>=NL("Sum","Item Ledger Entry","Quantity","Entry Type","Output","Entry No.",I39,"Location Code","@@"&amp;$E$6)</t>
  </si>
  <si>
    <t>=NL("Rows","Item Ledger Entry",,"+Posting Date",$L$5,"Item No.","@@"&amp;$D52,"Location Code","@@"&amp;$E$6)</t>
  </si>
  <si>
    <t>=NL("Sum","Item Ledger Entry","Quantity","Entry Type","Purchase","Entry No.",I52,"Location Code","@@"&amp;$E$6)</t>
  </si>
  <si>
    <t>=NL("Sum","Item Ledger Entry","Quantity","Entry Type","Sale","Entry No.",I52,"Location Code","@@"&amp;$E$6)</t>
  </si>
  <si>
    <t>=NL("Sum","Item Ledger Entry","Quantity","Entry Type","Positive Adjmt.|Negative Adjmt.","Entry No.",I52,"Location Code","@@"&amp;$E$6)</t>
  </si>
  <si>
    <t>=NL("Sum","Item Ledger Entry","Quantity","Entry Type","Transfer","Entry No.",I52,"Location Code","@@"&amp;$E$6)</t>
  </si>
  <si>
    <t>=NL("Sum","Item Ledger Entry","Quantity","Entry Type","Consumption","Entry No.",I52,"Location Code","@@"&amp;$E$6)</t>
  </si>
  <si>
    <t>=NL("Sum","Item Ledger Entry","Quantity","Entry Type","Output","Entry No.",I52,"Location Code","@@"&amp;$E$6)</t>
  </si>
  <si>
    <t>=NL("Sum","Item Ledger Entry","Quantity","Entry Type","Purchase","Entry No.",I75,"Location Code","@@"&amp;$E$6)</t>
  </si>
  <si>
    <t>=NL("Sum","Item Ledger Entry","Quantity","Entry Type","Sale","Entry No.",I75,"Location Code","@@"&amp;$E$6)</t>
  </si>
  <si>
    <t>=NL("Sum","Item Ledger Entry","Quantity","Entry Type","Positive Adjmt.|Negative Adjmt.","Entry No.",I75,"Location Code","@@"&amp;$E$6)</t>
  </si>
  <si>
    <t>=NL("Sum","Item Ledger Entry","Quantity","Entry Type","Transfer","Entry No.",I75,"Location Code","@@"&amp;$E$6)</t>
  </si>
  <si>
    <t>=NL("Sum","Item Ledger Entry","Quantity","Entry Type","Consumption","Entry No.",I75,"Location Code","@@"&amp;$E$6)</t>
  </si>
  <si>
    <t>=NL("Sum","Item Ledger Entry","Quantity","Entry Type","Output","Entry No.",I75,"Location Code","@@"&amp;$E$6)</t>
  </si>
  <si>
    <t>=NL("Sum","Item Ledger Entry","Quantity","Entry Type","Purchase","Entry No.",I79,"Location Code","@@"&amp;$E$6)</t>
  </si>
  <si>
    <t>=NL("Sum","Item Ledger Entry","Quantity","Entry Type","Sale","Entry No.",I79,"Location Code","@@"&amp;$E$6)</t>
  </si>
  <si>
    <t>=NL("Sum","Item Ledger Entry","Quantity","Entry Type","Positive Adjmt.|Negative Adjmt.","Entry No.",I79,"Location Code","@@"&amp;$E$6)</t>
  </si>
  <si>
    <t>=NL("Sum","Item Ledger Entry","Quantity","Entry Type","Transfer","Entry No.",I79,"Location Code","@@"&amp;$E$6)</t>
  </si>
  <si>
    <t>=NL("Sum","Item Ledger Entry","Quantity","Entry Type","Consumption","Entry No.",I79,"Location Code","@@"&amp;$E$6)</t>
  </si>
  <si>
    <t>=NL("Sum","Item Ledger Entry","Quantity","Entry Type","Output","Entry No.",I79,"Location Code","@@"&amp;$E$6)</t>
  </si>
  <si>
    <t>=NL("Sum","Item Ledger Entry","Quantity","Entry Type","Purchase","Entry No.",I80,"Location Code","@@"&amp;$E$6)</t>
  </si>
  <si>
    <t>=NL("Sum","Item Ledger Entry","Quantity","Entry Type","Sale","Entry No.",I80,"Location Code","@@"&amp;$E$6)</t>
  </si>
  <si>
    <t>=NL("Sum","Item Ledger Entry","Quantity","Entry Type","Positive Adjmt.|Negative Adjmt.","Entry No.",I80,"Location Code","@@"&amp;$E$6)</t>
  </si>
  <si>
    <t>=NL("Sum","Item Ledger Entry","Quantity","Entry Type","Transfer","Entry No.",I80,"Location Code","@@"&amp;$E$6)</t>
  </si>
  <si>
    <t>=NL("Sum","Item Ledger Entry","Quantity","Entry Type","Consumption","Entry No.",I80,"Location Code","@@"&amp;$E$6)</t>
  </si>
  <si>
    <t>=NL("Sum","Item Ledger Entry","Quantity","Entry Type","Output","Entry No.",I80,"Location Code","@@"&amp;$E$6)</t>
  </si>
  <si>
    <t>=NL("Rows","Item Ledger Entry",,"+Posting Date",$L$5,"Item No.","@@"&amp;$D84,"Location Code","@@"&amp;$E$6)</t>
  </si>
  <si>
    <t>=NL("Sum","Item Ledger Entry","Quantity","Entry Type","Purchase","Entry No.",I84,"Location Code","@@"&amp;$E$6)</t>
  </si>
  <si>
    <t>=NL("Sum","Item Ledger Entry","Quantity","Entry Type","Sale","Entry No.",I84,"Location Code","@@"&amp;$E$6)</t>
  </si>
  <si>
    <t>=NL("Sum","Item Ledger Entry","Quantity","Entry Type","Positive Adjmt.|Negative Adjmt.","Entry No.",I84,"Location Code","@@"&amp;$E$6)</t>
  </si>
  <si>
    <t>=NL("Sum","Item Ledger Entry","Quantity","Entry Type","Transfer","Entry No.",I84,"Location Code","@@"&amp;$E$6)</t>
  </si>
  <si>
    <t>=NL("Sum","Item Ledger Entry","Quantity","Entry Type","Consumption","Entry No.",I84,"Location Code","@@"&amp;$E$6)</t>
  </si>
  <si>
    <t>=NL("Sum","Item Ledger Entry","Quantity","Entry Type","Output","Entry No.",I84,"Location Code","@@"&amp;$E$6)</t>
  </si>
  <si>
    <t>=NL("Rows","Item Ledger Entry",,"+Posting Date",$L$5,"Item No.","@@"&amp;$D88,"Location Code","@@"&amp;$E$6)</t>
  </si>
  <si>
    <t>=NL("Sum","Item Ledger Entry","Quantity","Entry Type","Purchase","Entry No.",I88,"Location Code","@@"&amp;$E$6)</t>
  </si>
  <si>
    <t>=NL("Sum","Item Ledger Entry","Quantity","Entry Type","Sale","Entry No.",I88,"Location Code","@@"&amp;$E$6)</t>
  </si>
  <si>
    <t>=NL("Sum","Item Ledger Entry","Quantity","Entry Type","Positive Adjmt.|Negative Adjmt.","Entry No.",I88,"Location Code","@@"&amp;$E$6)</t>
  </si>
  <si>
    <t>=NL("Sum","Item Ledger Entry","Quantity","Entry Type","Transfer","Entry No.",I88,"Location Code","@@"&amp;$E$6)</t>
  </si>
  <si>
    <t>=NL("Sum","Item Ledger Entry","Quantity","Entry Type","Consumption","Entry No.",I88,"Location Code","@@"&amp;$E$6)</t>
  </si>
  <si>
    <t>=NL("Sum","Item Ledger Entry","Quantity","Entry Type","Output","Entry No.",I88,"Location Code","@@"&amp;$E$6)</t>
  </si>
  <si>
    <t>=NL("Rows","Item Ledger Entry",,"+Posting Date",$L$5,"Item No.","@@"&amp;$D124,"Location Code","@@"&amp;$E$6)</t>
  </si>
  <si>
    <t>=NL("Sum","Item Ledger Entry","Quantity","Entry Type","Purchase","Entry No.",I124,"Location Code","@@"&amp;$E$6)</t>
  </si>
  <si>
    <t>=NL("Sum","Item Ledger Entry","Quantity","Entry Type","Sale","Entry No.",I124,"Location Code","@@"&amp;$E$6)</t>
  </si>
  <si>
    <t>=NL("Sum","Item Ledger Entry","Quantity","Entry Type","Positive Adjmt.|Negative Adjmt.","Entry No.",I124,"Location Code","@@"&amp;$E$6)</t>
  </si>
  <si>
    <t>=NL("Sum","Item Ledger Entry","Quantity","Entry Type","Transfer","Entry No.",I124,"Location Code","@@"&amp;$E$6)</t>
  </si>
  <si>
    <t>=NL("Sum","Item Ledger Entry","Quantity","Entry Type","Consumption","Entry No.",I124,"Location Code","@@"&amp;$E$6)</t>
  </si>
  <si>
    <t>=NL("Sum","Item Ledger Entry","Quantity","Entry Type","Output","Entry No.",I124,"Location Code","@@"&amp;$E$6)</t>
  </si>
  <si>
    <t>=NL("Sum","Item Ledger Entry","Quantity","Entry Type","Purchase","Entry No.",I157,"Location Code","@@"&amp;$E$6)</t>
  </si>
  <si>
    <t>=NL("Sum","Item Ledger Entry","Quantity","Entry Type","Sale","Entry No.",I157,"Location Code","@@"&amp;$E$6)</t>
  </si>
  <si>
    <t>=NL("Sum","Item Ledger Entry","Quantity","Entry Type","Positive Adjmt.|Negative Adjmt.","Entry No.",I157,"Location Code","@@"&amp;$E$6)</t>
  </si>
  <si>
    <t>=NL("Sum","Item Ledger Entry","Quantity","Entry Type","Transfer","Entry No.",I157,"Location Code","@@"&amp;$E$6)</t>
  </si>
  <si>
    <t>=NL("Sum","Item Ledger Entry","Quantity","Entry Type","Consumption","Entry No.",I157,"Location Code","@@"&amp;$E$6)</t>
  </si>
  <si>
    <t>=NL("Sum","Item Ledger Entry","Quantity","Entry Type","Output","Entry No.",I157,"Location Code","@@"&amp;$E$6)</t>
  </si>
  <si>
    <t>=NL("Sum","Item Ledger Entry","Quantity","Entry Type","Purchase","Entry No.",I163,"Location Code","@@"&amp;$E$6)</t>
  </si>
  <si>
    <t>=NL("Sum","Item Ledger Entry","Quantity","Entry Type","Sale","Entry No.",I163,"Location Code","@@"&amp;$E$6)</t>
  </si>
  <si>
    <t>=NL("Sum","Item Ledger Entry","Quantity","Entry Type","Positive Adjmt.|Negative Adjmt.","Entry No.",I163,"Location Code","@@"&amp;$E$6)</t>
  </si>
  <si>
    <t>=NL("Sum","Item Ledger Entry","Quantity","Entry Type","Transfer","Entry No.",I163,"Location Code","@@"&amp;$E$6)</t>
  </si>
  <si>
    <t>=NL("Sum","Item Ledger Entry","Quantity","Entry Type","Consumption","Entry No.",I163,"Location Code","@@"&amp;$E$6)</t>
  </si>
  <si>
    <t>=NL("Sum","Item Ledger Entry","Quantity","Entry Type","Output","Entry No.",I163,"Location Code","@@"&amp;$E$6)</t>
  </si>
  <si>
    <t>=NL("Sum","Item Ledger Entry","Quantity","Entry Type","Purchase","Entry No.",I167,"Location Code","@@"&amp;$E$6)</t>
  </si>
  <si>
    <t>=NL("Sum","Item Ledger Entry","Quantity","Entry Type","Sale","Entry No.",I167,"Location Code","@@"&amp;$E$6)</t>
  </si>
  <si>
    <t>=NL("Sum","Item Ledger Entry","Quantity","Entry Type","Positive Adjmt.|Negative Adjmt.","Entry No.",I167,"Location Code","@@"&amp;$E$6)</t>
  </si>
  <si>
    <t>=NL("Sum","Item Ledger Entry","Quantity","Entry Type","Transfer","Entry No.",I167,"Location Code","@@"&amp;$E$6)</t>
  </si>
  <si>
    <t>=NL("Sum","Item Ledger Entry","Quantity","Entry Type","Consumption","Entry No.",I167,"Location Code","@@"&amp;$E$6)</t>
  </si>
  <si>
    <t>=NL("Sum","Item Ledger Entry","Quantity","Entry Type","Output","Entry No.",I167,"Location Code","@@"&amp;$E$6)</t>
  </si>
  <si>
    <t>=NL("Sum","Item Ledger Entry","Quantity","Entry Type","Purchase","Entry No.",I175,"Location Code","@@"&amp;$E$6)</t>
  </si>
  <si>
    <t>=NL("Sum","Item Ledger Entry","Quantity","Entry Type","Sale","Entry No.",I175,"Location Code","@@"&amp;$E$6)</t>
  </si>
  <si>
    <t>=NL("Sum","Item Ledger Entry","Quantity","Entry Type","Positive Adjmt.|Negative Adjmt.","Entry No.",I175,"Location Code","@@"&amp;$E$6)</t>
  </si>
  <si>
    <t>=NL("Sum","Item Ledger Entry","Quantity","Entry Type","Transfer","Entry No.",I175,"Location Code","@@"&amp;$E$6)</t>
  </si>
  <si>
    <t>=NL("Sum","Item Ledger Entry","Quantity","Entry Type","Consumption","Entry No.",I175,"Location Code","@@"&amp;$E$6)</t>
  </si>
  <si>
    <t>=NL("Sum","Item Ledger Entry","Quantity","Entry Type","Output","Entry No.",I175,"Location Code","@@"&amp;$E$6)</t>
  </si>
  <si>
    <t>=E283</t>
  </si>
  <si>
    <t>=NL("First","Item","Description","No.",$E283)</t>
  </si>
  <si>
    <t>=NL("First","Item","Base Unit of Measure","No.",$E283)</t>
  </si>
  <si>
    <t>=NL("Rows","Item Ledger Entry",,"+Posting Date",$L$5,"Item No.","@@"&amp;$D43,"Location Code","@@"&amp;$E$6)</t>
  </si>
  <si>
    <t>=NL("Sum","Item Ledger Entry","Quantity","Entry Type","Purchase","Entry No.",I47,"Location Code","@@"&amp;$E$6)</t>
  </si>
  <si>
    <t>=NL("Sum","Item Ledger Entry","Quantity","Entry Type","Sale","Entry No.",I47,"Location Code","@@"&amp;$E$6)</t>
  </si>
  <si>
    <t>=NL("Sum","Item Ledger Entry","Quantity","Entry Type","Positive Adjmt.|Negative Adjmt.","Entry No.",I47,"Location Code","@@"&amp;$E$6)</t>
  </si>
  <si>
    <t>=NL("Sum","Item Ledger Entry","Quantity","Entry Type","Transfer","Entry No.",I47,"Location Code","@@"&amp;$E$6)</t>
  </si>
  <si>
    <t>=NL("Sum","Item Ledger Entry","Quantity","Entry Type","Consumption","Entry No.",I47,"Location Code","@@"&amp;$E$6)</t>
  </si>
  <si>
    <t>=NL("Sum","Item Ledger Entry","Quantity","Entry Type","Output","Entry No.",I47,"Location Code","@@"&amp;$E$6)</t>
  </si>
  <si>
    <t>=NL("Sum","Item Ledger Entry","Quantity","Entry Type","Purchase","Entry No.",I51,"Location Code","@@"&amp;$E$6)</t>
  </si>
  <si>
    <t>=NL("Sum","Item Ledger Entry","Quantity","Entry Type","Sale","Entry No.",I51,"Location Code","@@"&amp;$E$6)</t>
  </si>
  <si>
    <t>=NL("Sum","Item Ledger Entry","Quantity","Entry Type","Positive Adjmt.|Negative Adjmt.","Entry No.",I51,"Location Code","@@"&amp;$E$6)</t>
  </si>
  <si>
    <t>=NL("Sum","Item Ledger Entry","Quantity","Entry Type","Transfer","Entry No.",I51,"Location Code","@@"&amp;$E$6)</t>
  </si>
  <si>
    <t>=NL("Sum","Item Ledger Entry","Quantity","Entry Type","Consumption","Entry No.",I51,"Location Code","@@"&amp;$E$6)</t>
  </si>
  <si>
    <t>=NL("Sum","Item Ledger Entry","Quantity","Entry Type","Output","Entry No.",I51,"Location Code","@@"&amp;$E$6)</t>
  </si>
  <si>
    <t>=NL("Rows","Item Ledger Entry",,"+Posting Date",$L$5,"Item No.","@@"&amp;$D55,"Location Code","@@"&amp;$E$6)</t>
  </si>
  <si>
    <t>=NL("Sum","Item Ledger Entry","Quantity","Entry Type","Purchase","Entry No.",I55,"Location Code","@@"&amp;$E$6)</t>
  </si>
  <si>
    <t>=NL("Sum","Item Ledger Entry","Quantity","Entry Type","Sale","Entry No.",I55,"Location Code","@@"&amp;$E$6)</t>
  </si>
  <si>
    <t>=NL("Sum","Item Ledger Entry","Quantity","Entry Type","Positive Adjmt.|Negative Adjmt.","Entry No.",I55,"Location Code","@@"&amp;$E$6)</t>
  </si>
  <si>
    <t>=NL("Sum","Item Ledger Entry","Quantity","Entry Type","Transfer","Entry No.",I55,"Location Code","@@"&amp;$E$6)</t>
  </si>
  <si>
    <t>=NL("Sum","Item Ledger Entry","Quantity","Entry Type","Consumption","Entry No.",I55,"Location Code","@@"&amp;$E$6)</t>
  </si>
  <si>
    <t>=NL("Sum","Item Ledger Entry","Quantity","Entry Type","Output","Entry No.",I55,"Location Code","@@"&amp;$E$6)</t>
  </si>
  <si>
    <t>=NL("Rows","Item Ledger Entry",,"+Posting Date",$L$5,"Item No.","@@"&amp;$D59,"Location Code","@@"&amp;$E$6)</t>
  </si>
  <si>
    <t>=NL("Sum","Item Ledger Entry","Quantity","Entry Type","Purchase","Entry No.",I63,"Location Code","@@"&amp;$E$6)</t>
  </si>
  <si>
    <t>=NL("Sum","Item Ledger Entry","Quantity","Entry Type","Sale","Entry No.",I63,"Location Code","@@"&amp;$E$6)</t>
  </si>
  <si>
    <t>=NL("Sum","Item Ledger Entry","Quantity","Entry Type","Positive Adjmt.|Negative Adjmt.","Entry No.",I63,"Location Code","@@"&amp;$E$6)</t>
  </si>
  <si>
    <t>=NL("Sum","Item Ledger Entry","Quantity","Entry Type","Transfer","Entry No.",I63,"Location Code","@@"&amp;$E$6)</t>
  </si>
  <si>
    <t>=NL("Sum","Item Ledger Entry","Quantity","Entry Type","Consumption","Entry No.",I63,"Location Code","@@"&amp;$E$6)</t>
  </si>
  <si>
    <t>=NL("Sum","Item Ledger Entry","Quantity","Entry Type","Output","Entry No.",I63,"Location Code","@@"&amp;$E$6)</t>
  </si>
  <si>
    <t>=NL("Sum","Item Ledger Entry","Quantity","Entry Type","Purchase","Entry No.",I71,"Location Code","@@"&amp;$E$6)</t>
  </si>
  <si>
    <t>=NL("Sum","Item Ledger Entry","Quantity","Entry Type","Sale","Entry No.",I71,"Location Code","@@"&amp;$E$6)</t>
  </si>
  <si>
    <t>=NL("Sum","Item Ledger Entry","Quantity","Entry Type","Positive Adjmt.|Negative Adjmt.","Entry No.",I71,"Location Code","@@"&amp;$E$6)</t>
  </si>
  <si>
    <t>=NL("Sum","Item Ledger Entry","Quantity","Entry Type","Transfer","Entry No.",I71,"Location Code","@@"&amp;$E$6)</t>
  </si>
  <si>
    <t>=NL("Sum","Item Ledger Entry","Quantity","Entry Type","Consumption","Entry No.",I71,"Location Code","@@"&amp;$E$6)</t>
  </si>
  <si>
    <t>=NL("Sum","Item Ledger Entry","Quantity","Entry Type","Output","Entry No.",I71,"Location Code","@@"&amp;$E$6)</t>
  </si>
  <si>
    <t>=NL("Sum","Item Ledger Entry","Quantity","Entry Type","Purchase","Entry No.",I76,"Location Code","@@"&amp;$E$6)</t>
  </si>
  <si>
    <t>=NL("Sum","Item Ledger Entry","Quantity","Entry Type","Sale","Entry No.",I76,"Location Code","@@"&amp;$E$6)</t>
  </si>
  <si>
    <t>=NL("Sum","Item Ledger Entry","Quantity","Entry Type","Positive Adjmt.|Negative Adjmt.","Entry No.",I76,"Location Code","@@"&amp;$E$6)</t>
  </si>
  <si>
    <t>=NL("Sum","Item Ledger Entry","Quantity","Entry Type","Transfer","Entry No.",I76,"Location Code","@@"&amp;$E$6)</t>
  </si>
  <si>
    <t>=NL("Sum","Item Ledger Entry","Quantity","Entry Type","Consumption","Entry No.",I76,"Location Code","@@"&amp;$E$6)</t>
  </si>
  <si>
    <t>=NL("Sum","Item Ledger Entry","Quantity","Entry Type","Output","Entry No.",I76,"Location Code","@@"&amp;$E$6)</t>
  </si>
  <si>
    <t>=NL("Rows","Item Ledger Entry",,"+Posting Date",$L$5,"Item No.","@@"&amp;$D86,"Location Code","@@"&amp;$E$6)</t>
  </si>
  <si>
    <t>=NL("Sum","Item Ledger Entry","Quantity","Entry Type","Purchase","Entry No.",I86,"Location Code","@@"&amp;$E$6)</t>
  </si>
  <si>
    <t>=NL("Sum","Item Ledger Entry","Quantity","Entry Type","Sale","Entry No.",I86,"Location Code","@@"&amp;$E$6)</t>
  </si>
  <si>
    <t>=NL("Sum","Item Ledger Entry","Quantity","Entry Type","Positive Adjmt.|Negative Adjmt.","Entry No.",I86,"Location Code","@@"&amp;$E$6)</t>
  </si>
  <si>
    <t>=NL("Sum","Item Ledger Entry","Quantity","Entry Type","Transfer","Entry No.",I86,"Location Code","@@"&amp;$E$6)</t>
  </si>
  <si>
    <t>=NL("Sum","Item Ledger Entry","Quantity","Entry Type","Consumption","Entry No.",I86,"Location Code","@@"&amp;$E$6)</t>
  </si>
  <si>
    <t>=NL("Sum","Item Ledger Entry","Quantity","Entry Type","Output","Entry No.",I86,"Location Code","@@"&amp;$E$6)</t>
  </si>
  <si>
    <t>=NL("Sum","Item Ledger Entry","Quantity","Entry Type","Purchase","Entry No.",I90,"Location Code","@@"&amp;$E$6)</t>
  </si>
  <si>
    <t>=NL("Sum","Item Ledger Entry","Quantity","Entry Type","Sale","Entry No.",I90,"Location Code","@@"&amp;$E$6)</t>
  </si>
  <si>
    <t>=NL("Sum","Item Ledger Entry","Quantity","Entry Type","Positive Adjmt.|Negative Adjmt.","Entry No.",I90,"Location Code","@@"&amp;$E$6)</t>
  </si>
  <si>
    <t>=NL("Sum","Item Ledger Entry","Quantity","Entry Type","Transfer","Entry No.",I90,"Location Code","@@"&amp;$E$6)</t>
  </si>
  <si>
    <t>=NL("Sum","Item Ledger Entry","Quantity","Entry Type","Consumption","Entry No.",I90,"Location Code","@@"&amp;$E$6)</t>
  </si>
  <si>
    <t>=NL("Sum","Item Ledger Entry","Quantity","Entry Type","Output","Entry No.",I90,"Location Code","@@"&amp;$E$6)</t>
  </si>
  <si>
    <t>=NL("Sum","Item Ledger Entry","Quantity","Entry Type","Purchase","Entry No.",I99,"Location Code","@@"&amp;$E$6)</t>
  </si>
  <si>
    <t>=NL("Sum","Item Ledger Entry","Quantity","Entry Type","Sale","Entry No.",I99,"Location Code","@@"&amp;$E$6)</t>
  </si>
  <si>
    <t>=NL("Sum","Item Ledger Entry","Quantity","Entry Type","Positive Adjmt.|Negative Adjmt.","Entry No.",I99,"Location Code","@@"&amp;$E$6)</t>
  </si>
  <si>
    <t>=NL("Sum","Item Ledger Entry","Quantity","Entry Type","Transfer","Entry No.",I99,"Location Code","@@"&amp;$E$6)</t>
  </si>
  <si>
    <t>=NL("Sum","Item Ledger Entry","Quantity","Entry Type","Consumption","Entry No.",I99,"Location Code","@@"&amp;$E$6)</t>
  </si>
  <si>
    <t>=NL("Sum","Item Ledger Entry","Quantity","Entry Type","Output","Entry No.",I99,"Location Code","@@"&amp;$E$6)</t>
  </si>
  <si>
    <t>=NL("Rows","Item Ledger Entry",,"+Posting Date",$L$5,"Item No.","@@"&amp;$D111,"Location Code","@@"&amp;$E$6)</t>
  </si>
  <si>
    <t>=NL("Sum","Item Ledger Entry","Quantity","Entry Type","Purchase","Entry No.",I23,"Location Code",$L$7)</t>
  </si>
  <si>
    <t>=NL("Sum","Item Ledger Entry","Quantity","Entry Type","Sale","Entry No.",I23,"Location Code",$L$7)</t>
  </si>
  <si>
    <t>=NL("Sum","Item Ledger Entry","Quantity","Entry Type","Positive Adjmt.|Negative Adjmt.","Entry No.",I23,"Location Code",$L$7)</t>
  </si>
  <si>
    <t>=NL("Sum","Item Ledger Entry","Quantity","Entry Type","Transfer","Entry No.",I23,"Location Code",$L$7)</t>
  </si>
  <si>
    <t>=NL("Sum","Item Ledger Entry","Quantity","Entry Type","Consumption","Entry No.",I23,"Location Code",$L$7)</t>
  </si>
  <si>
    <t>=NL("Sum","Item Ledger Entry","Quantity","Entry Type","Output","Entry No.",I23,"Location Code",$L$7)</t>
  </si>
  <si>
    <t>=NL("Sum","Item Ledger Entry","Quantity","Entry Type","Purchase","Entry No.",I24,"Location Code",$L$7)</t>
  </si>
  <si>
    <t>=NL("Sum","Item Ledger Entry","Quantity","Entry Type","Sale","Entry No.",I24,"Location Code",$L$7)</t>
  </si>
  <si>
    <t>=NL("Sum","Item Ledger Entry","Quantity","Entry Type","Positive Adjmt.|Negative Adjmt.","Entry No.",I24,"Location Code",$L$7)</t>
  </si>
  <si>
    <t>=NL("Sum","Item Ledger Entry","Quantity","Entry Type","Transfer","Entry No.",I24,"Location Code",$L$7)</t>
  </si>
  <si>
    <t>=NL("Sum","Item Ledger Entry","Quantity","Entry Type","Consumption","Entry No.",I24,"Location Code",$L$7)</t>
  </si>
  <si>
    <t>=NL("Sum","Item Ledger Entry","Quantity","Entry Type","Output","Entry No.",I24,"Location Code",$L$7)</t>
  </si>
  <si>
    <t>=NL("Sum","Item Ledger Entry","Quantity","Entry Type","Purchase","Entry No.",I31,"Location Code",$L$7)</t>
  </si>
  <si>
    <t>=NL("Sum","Item Ledger Entry","Quantity","Entry Type","Sale","Entry No.",I31,"Location Code",$L$7)</t>
  </si>
  <si>
    <t>=NL("Sum","Item Ledger Entry","Quantity","Entry Type","Positive Adjmt.|Negative Adjmt.","Entry No.",I31,"Location Code",$L$7)</t>
  </si>
  <si>
    <t>=NL("Sum","Item Ledger Entry","Quantity","Entry Type","Transfer","Entry No.",I31,"Location Code",$L$7)</t>
  </si>
  <si>
    <t>=NL("Sum","Item Ledger Entry","Quantity","Entry Type","Consumption","Entry No.",I31,"Location Code",$L$7)</t>
  </si>
  <si>
    <t>=NL("Sum","Item Ledger Entry","Quantity","Entry Type","Output","Entry No.",I31,"Location Code",$L$7)</t>
  </si>
  <si>
    <t>=NL("Sum","Item Ledger Entry","Quantity","Entry Type","Purchase","Entry No.",I32,"Location Code",$L$7)</t>
  </si>
  <si>
    <t>=NL("Sum","Item Ledger Entry","Quantity","Entry Type","Sale","Entry No.",I32,"Location Code",$L$7)</t>
  </si>
  <si>
    <t>=NL("Sum","Item Ledger Entry","Quantity","Entry Type","Positive Adjmt.|Negative Adjmt.","Entry No.",I32,"Location Code",$L$7)</t>
  </si>
  <si>
    <t>=NL("Sum","Item Ledger Entry","Quantity","Entry Type","Transfer","Entry No.",I32,"Location Code",$L$7)</t>
  </si>
  <si>
    <t>=NL("Sum","Item Ledger Entry","Quantity","Entry Type","Consumption","Entry No.",I32,"Location Code",$L$7)</t>
  </si>
  <si>
    <t>=NL("Sum","Item Ledger Entry","Quantity","Entry Type","Output","Entry No.",I32,"Location Code",$L$7)</t>
  </si>
  <si>
    <t>=NL("Sum","Item Ledger Entry","Quantity","Entry Type","Purchase","Entry No.",I33,"Location Code",$L$7)</t>
  </si>
  <si>
    <t>=NL("Sum","Item Ledger Entry","Quantity","Entry Type","Sale","Entry No.",I33,"Location Code",$L$7)</t>
  </si>
  <si>
    <t>=NL("Sum","Item Ledger Entry","Quantity","Entry Type","Positive Adjmt.|Negative Adjmt.","Entry No.",I33,"Location Code",$L$7)</t>
  </si>
  <si>
    <t>=NL("Sum","Item Ledger Entry","Quantity","Entry Type","Transfer","Entry No.",I33,"Location Code",$L$7)</t>
  </si>
  <si>
    <t>=NL("Sum","Item Ledger Entry","Quantity","Entry Type","Consumption","Entry No.",I33,"Location Code",$L$7)</t>
  </si>
  <si>
    <t>=NL("Sum","Item Ledger Entry","Quantity","Entry Type","Output","Entry No.",I33,"Location Code",$L$7)</t>
  </si>
  <si>
    <t>=NL("Sum","Item Ledger Entry","Quantity","Entry Type","Purchase","Entry No.",I41,"Location Code",$L$7)</t>
  </si>
  <si>
    <t>=NL("Sum","Item Ledger Entry","Quantity","Entry Type","Sale","Entry No.",I41,"Location Code",$L$7)</t>
  </si>
  <si>
    <t>=NL("Sum","Item Ledger Entry","Quantity","Entry Type","Positive Adjmt.|Negative Adjmt.","Entry No.",I41,"Location Code",$L$7)</t>
  </si>
  <si>
    <t>=NL("Sum","Item Ledger Entry","Quantity","Entry Type","Transfer","Entry No.",I41,"Location Code",$L$7)</t>
  </si>
  <si>
    <t>=NL("Sum","Item Ledger Entry","Quantity","Entry Type","Consumption","Entry No.",I41,"Location Code",$L$7)</t>
  </si>
  <si>
    <t>=NL("Sum","Item Ledger Entry","Quantity","Entry Type","Output","Entry No.",I41,"Location Code",$L$7)</t>
  </si>
  <si>
    <t>=NL("Sum","Item Ledger Entry","Quantity","Entry Type","Purchase","Entry No.",I42,"Location Code",$L$7)</t>
  </si>
  <si>
    <t>=NL("Sum","Item Ledger Entry","Quantity","Entry Type","Sale","Entry No.",I42,"Location Code",$L$7)</t>
  </si>
  <si>
    <t>=NL("Sum","Item Ledger Entry","Quantity","Entry Type","Positive Adjmt.|Negative Adjmt.","Entry No.",I42,"Location Code",$L$7)</t>
  </si>
  <si>
    <t>=NL("Sum","Item Ledger Entry","Quantity","Entry Type","Transfer","Entry No.",I42,"Location Code",$L$7)</t>
  </si>
  <si>
    <t>=NL("Sum","Item Ledger Entry","Quantity","Entry Type","Consumption","Entry No.",I42,"Location Code",$L$7)</t>
  </si>
  <si>
    <t>=NL("Sum","Item Ledger Entry","Quantity","Entry Type","Output","Entry No.",I42,"Location Code",$L$7)</t>
  </si>
  <si>
    <t>=NL("Sum","Item Ledger Entry","Quantity","Entry Type","Purchase","Entry No.",I58,"Location Code",$L$7)</t>
  </si>
  <si>
    <t>=NL("Sum","Item Ledger Entry","Quantity","Entry Type","Sale","Entry No.",I58,"Location Code",$L$7)</t>
  </si>
  <si>
    <t>=NL("Sum","Item Ledger Entry","Quantity","Entry Type","Positive Adjmt.|Negative Adjmt.","Entry No.",I58,"Location Code",$L$7)</t>
  </si>
  <si>
    <t>=NL("Sum","Item Ledger Entry","Quantity","Entry Type","Transfer","Entry No.",I58,"Location Code",$L$7)</t>
  </si>
  <si>
    <t>=NL("Sum","Item Ledger Entry","Quantity","Entry Type","Consumption","Entry No.",I58,"Location Code",$L$7)</t>
  </si>
  <si>
    <t>=NL("Sum","Item Ledger Entry","Quantity","Entry Type","Output","Entry No.",I58,"Location Code",$L$7)</t>
  </si>
  <si>
    <t>=NL("Sum","Item Ledger Entry","Quantity","Entry Type","Purchase","Entry No.",I64,"Location Code",$L$7)</t>
  </si>
  <si>
    <t>=NL("Sum","Item Ledger Entry","Quantity","Entry Type","Sale","Entry No.",I64,"Location Code",$L$7)</t>
  </si>
  <si>
    <t>=NL("Sum","Item Ledger Entry","Quantity","Entry Type","Positive Adjmt.|Negative Adjmt.","Entry No.",I64,"Location Code",$L$7)</t>
  </si>
  <si>
    <t>=NL("Sum","Item Ledger Entry","Quantity","Entry Type","Transfer","Entry No.",I64,"Location Code",$L$7)</t>
  </si>
  <si>
    <t>=NL("Sum","Item Ledger Entry","Quantity","Entry Type","Consumption","Entry No.",I64,"Location Code",$L$7)</t>
  </si>
  <si>
    <t>=NL("Sum","Item Ledger Entry","Quantity","Entry Type","Output","Entry No.",I64,"Location Code",$L$7)</t>
  </si>
  <si>
    <t>=NL("Sum","Item Ledger Entry","Quantity","Entry Type","Purchase","Entry No.",I65,"Location Code",$L$7)</t>
  </si>
  <si>
    <t>=NL("Sum","Item Ledger Entry","Quantity","Entry Type","Sale","Entry No.",I65,"Location Code",$L$7)</t>
  </si>
  <si>
    <t>=NL("Sum","Item Ledger Entry","Quantity","Entry Type","Positive Adjmt.|Negative Adjmt.","Entry No.",I65,"Location Code",$L$7)</t>
  </si>
  <si>
    <t>=NL("Sum","Item Ledger Entry","Quantity","Entry Type","Transfer","Entry No.",I65,"Location Code",$L$7)</t>
  </si>
  <si>
    <t>=NL("Sum","Item Ledger Entry","Quantity","Entry Type","Consumption","Entry No.",I65,"Location Code",$L$7)</t>
  </si>
  <si>
    <t>=NL("Sum","Item Ledger Entry","Quantity","Entry Type","Output","Entry No.",I65,"Location Code",$L$7)</t>
  </si>
  <si>
    <t>=NL("Sum","Item Ledger Entry","Quantity","Entry Type","Purchase","Entry No.",I90,"Location Code",$L$7)</t>
  </si>
  <si>
    <t>=NL("Sum","Item Ledger Entry","Quantity","Entry Type","Sale","Entry No.",I90,"Location Code",$L$7)</t>
  </si>
  <si>
    <t>=NL("Sum","Item Ledger Entry","Quantity","Entry Type","Positive Adjmt.|Negative Adjmt.","Entry No.",I90,"Location Code",$L$7)</t>
  </si>
  <si>
    <t>=NL("Sum","Item Ledger Entry","Quantity","Entry Type","Transfer","Entry No.",I90,"Location Code",$L$7)</t>
  </si>
  <si>
    <t>=NL("Sum","Item Ledger Entry","Quantity","Entry Type","Consumption","Entry No.",I90,"Location Code",$L$7)</t>
  </si>
  <si>
    <t>=NL("Sum","Item Ledger Entry","Quantity","Entry Type","Output","Entry No.",I90,"Location Code",$L$7)</t>
  </si>
  <si>
    <t>=NL("Sum","Item Ledger Entry","Quantity","Entry Type","Purchase","Entry No.",I91,"Location Code",$L$7)</t>
  </si>
  <si>
    <t>=NL("Sum","Item Ledger Entry","Quantity","Entry Type","Sale","Entry No.",I91,"Location Code",$L$7)</t>
  </si>
  <si>
    <t>=NL("Sum","Item Ledger Entry","Quantity","Entry Type","Positive Adjmt.|Negative Adjmt.","Entry No.",I91,"Location Code",$L$7)</t>
  </si>
  <si>
    <t>=NL("Sum","Item Ledger Entry","Quantity","Entry Type","Transfer","Entry No.",I91,"Location Code",$L$7)</t>
  </si>
  <si>
    <t>=NL("Sum","Item Ledger Entry","Quantity","Entry Type","Consumption","Entry No.",I91,"Location Code",$L$7)</t>
  </si>
  <si>
    <t>=NL("Sum","Item Ledger Entry","Quantity","Entry Type","Output","Entry No.",I91,"Location Code",$L$7)</t>
  </si>
  <si>
    <t>=NL("Sum","Item Ledger Entry","Quantity","Entry Type","Purchase","Entry No.",I92,"Location Code",$L$7)</t>
  </si>
  <si>
    <t>=NL("Sum","Item Ledger Entry","Quantity","Entry Type","Sale","Entry No.",I92,"Location Code",$L$7)</t>
  </si>
  <si>
    <t>=NL("Sum","Item Ledger Entry","Quantity","Entry Type","Positive Adjmt.|Negative Adjmt.","Entry No.",I92,"Location Code",$L$7)</t>
  </si>
  <si>
    <t>=NL("Sum","Item Ledger Entry","Quantity","Entry Type","Transfer","Entry No.",I92,"Location Code",$L$7)</t>
  </si>
  <si>
    <t>=NL("Sum","Item Ledger Entry","Quantity","Entry Type","Consumption","Entry No.",I92,"Location Code",$L$7)</t>
  </si>
  <si>
    <t>=NL("Sum","Item Ledger Entry","Quantity","Entry Type","Output","Entry No.",I92,"Location Code",$L$7)</t>
  </si>
  <si>
    <t>=NL("Sum","Item Ledger Entry","Quantity","Entry Type","Purchase","Entry No.",I115,"Location Code",$L$7)</t>
  </si>
  <si>
    <t>=NL("Sum","Item Ledger Entry","Quantity","Entry Type","Sale","Entry No.",I115,"Location Code",$L$7)</t>
  </si>
  <si>
    <t>=NL("Sum","Item Ledger Entry","Quantity","Entry Type","Positive Adjmt.|Negative Adjmt.","Entry No.",I115,"Location Code",$L$7)</t>
  </si>
  <si>
    <t>=NL("Sum","Item Ledger Entry","Quantity","Entry Type","Transfer","Entry No.",I115,"Location Code",$L$7)</t>
  </si>
  <si>
    <t>=NL("Sum","Item Ledger Entry","Quantity","Entry Type","Consumption","Entry No.",I115,"Location Code",$L$7)</t>
  </si>
  <si>
    <t>=NL("Sum","Item Ledger Entry","Quantity","Entry Type","Output","Entry No.",I115,"Location Code",$L$7)</t>
  </si>
  <si>
    <t>=NL("Sum","Item Ledger Entry","Quantity","Entry Type","Purchase","Entry No.",I146,"Location Code",$L$7)</t>
  </si>
  <si>
    <t>=NL("Sum","Item Ledger Entry","Quantity","Entry Type","Sale","Entry No.",I146,"Location Code",$L$7)</t>
  </si>
  <si>
    <t>=NL("Sum","Item Ledger Entry","Quantity","Entry Type","Positive Adjmt.|Negative Adjmt.","Entry No.",I146,"Location Code",$L$7)</t>
  </si>
  <si>
    <t>=NL("Sum","Item Ledger Entry","Quantity","Entry Type","Transfer","Entry No.",I146,"Location Code",$L$7)</t>
  </si>
  <si>
    <t>=NL("Sum","Item Ledger Entry","Quantity","Entry Type","Consumption","Entry No.",I146,"Location Code",$L$7)</t>
  </si>
  <si>
    <t>=NL("Sum","Item Ledger Entry","Quantity","Entry Type","Output","Entry No.",I146,"Location Code",$L$7)</t>
  </si>
  <si>
    <t>=NL("Sum","Item Ledger Entry","Quantity","Entry Type","Purchase","Entry No.",I216,"Location Code",$L$7)</t>
  </si>
  <si>
    <t>=NL("Sum","Item Ledger Entry","Quantity","Entry Type","Sale","Entry No.",I216,"Location Code",$L$7)</t>
  </si>
  <si>
    <t>=NL("Sum","Item Ledger Entry","Quantity","Entry Type","Positive Adjmt.|Negative Adjmt.","Entry No.",I216,"Location Code",$L$7)</t>
  </si>
  <si>
    <t>=NL("Sum","Item Ledger Entry","Quantity","Entry Type","Transfer","Entry No.",I216,"Location Code",$L$7)</t>
  </si>
  <si>
    <t>=NL("Sum","Item Ledger Entry","Quantity","Entry Type","Consumption","Entry No.",I216,"Location Code",$L$7)</t>
  </si>
  <si>
    <t>=NL("Sum","Item Ledger Entry","Quantity","Entry Type","Output","Entry No.",I216,"Location Code",$L$7)</t>
  </si>
  <si>
    <t>=NL("Sum","Item Ledger Entry","Quantity","Entry Type","Purchase","Entry No.",I217,"Location Code",$L$7)</t>
  </si>
  <si>
    <t>=NL("Sum","Item Ledger Entry","Quantity","Entry Type","Sale","Entry No.",I217,"Location Code",$L$7)</t>
  </si>
  <si>
    <t>=NL("Sum","Item Ledger Entry","Quantity","Entry Type","Positive Adjmt.|Negative Adjmt.","Entry No.",I217,"Location Code",$L$7)</t>
  </si>
  <si>
    <t>=NL("Sum","Item Ledger Entry","Quantity","Entry Type","Transfer","Entry No.",I217,"Location Code",$L$7)</t>
  </si>
  <si>
    <t>=NL("Sum","Item Ledger Entry","Quantity","Entry Type","Consumption","Entry No.",I217,"Location Code",$L$7)</t>
  </si>
  <si>
    <t>=NL("Sum","Item Ledger Entry","Quantity","Entry Type","Output","Entry No.",I217,"Location Code",$L$7)</t>
  </si>
  <si>
    <t>=NL("Sum","Item Ledger Entry","Quantity","Entry Type","Purchase","Entry No.",I218,"Location Code",$L$7)</t>
  </si>
  <si>
    <t>=NL("Sum","Item Ledger Entry","Quantity","Entry Type","Sale","Entry No.",I218,"Location Code",$L$7)</t>
  </si>
  <si>
    <t>=NL("Sum","Item Ledger Entry","Quantity","Entry Type","Positive Adjmt.|Negative Adjmt.","Entry No.",I218,"Location Code",$L$7)</t>
  </si>
  <si>
    <t>=NL("Sum","Item Ledger Entry","Quantity","Entry Type","Transfer","Entry No.",I218,"Location Code",$L$7)</t>
  </si>
  <si>
    <t>=NL("Sum","Item Ledger Entry","Quantity","Entry Type","Consumption","Entry No.",I218,"Location Code",$L$7)</t>
  </si>
  <si>
    <t>=NL("Sum","Item Ledger Entry","Quantity","Entry Type","Output","Entry No.",I218,"Location Code",$L$7)</t>
  </si>
  <si>
    <t>=NL("Sum","Item Ledger Entry","Quantity","Entry Type","Purchase","Entry No.",I240,"Location Code",$L$7)</t>
  </si>
  <si>
    <t>=NL("Sum","Item Ledger Entry","Quantity","Entry Type","Sale","Entry No.",I240,"Location Code",$L$7)</t>
  </si>
  <si>
    <t>=NL("Sum","Item Ledger Entry","Quantity","Entry Type","Positive Adjmt.|Negative Adjmt.","Entry No.",I240,"Location Code",$L$7)</t>
  </si>
  <si>
    <t>=NL("Sum","Item Ledger Entry","Quantity","Entry Type","Transfer","Entry No.",I240,"Location Code",$L$7)</t>
  </si>
  <si>
    <t>=NL("Sum","Item Ledger Entry","Quantity","Entry Type","Consumption","Entry No.",I240,"Location Code",$L$7)</t>
  </si>
  <si>
    <t>=NL("Sum","Item Ledger Entry","Quantity","Entry Type","Output","Entry No.",I240,"Location Code",$L$7)</t>
  </si>
  <si>
    <t>=NL("Sum","Item Ledger Entry","Quantity","Entry Type","Purchase","Entry No.",I252,"Location Code",$L$7)</t>
  </si>
  <si>
    <t>=NL("Sum","Item Ledger Entry","Quantity","Entry Type","Sale","Entry No.",I252,"Location Code",$L$7)</t>
  </si>
  <si>
    <t>=NL("Sum","Item Ledger Entry","Quantity","Entry Type","Positive Adjmt.|Negative Adjmt.","Entry No.",I252,"Location Code",$L$7)</t>
  </si>
  <si>
    <t>=NL("Sum","Item Ledger Entry","Quantity","Entry Type","Transfer","Entry No.",I252,"Location Code",$L$7)</t>
  </si>
  <si>
    <t>=NL("Sum","Item Ledger Entry","Quantity","Entry Type","Consumption","Entry No.",I252,"Location Code",$L$7)</t>
  </si>
  <si>
    <t>=NL("Sum","Item Ledger Entry","Quantity","Entry Type","Output","Entry No.",I252,"Location Code",$L$7)</t>
  </si>
  <si>
    <t>=NL("Sum","Item Ledger Entry","Quantity","Entry Type","Purchase","Entry No.",I253,"Location Code",$L$7)</t>
  </si>
  <si>
    <t>=NL("Sum","Item Ledger Entry","Quantity","Entry Type","Sale","Entry No.",I253,"Location Code",$L$7)</t>
  </si>
  <si>
    <t>=NL("Sum","Item Ledger Entry","Quantity","Entry Type","Positive Adjmt.|Negative Adjmt.","Entry No.",I253,"Location Code",$L$7)</t>
  </si>
  <si>
    <t>=NL("Sum","Item Ledger Entry","Quantity","Entry Type","Transfer","Entry No.",I253,"Location Code",$L$7)</t>
  </si>
  <si>
    <t>=NL("Sum","Item Ledger Entry","Quantity","Entry Type","Consumption","Entry No.",I253,"Location Code",$L$7)</t>
  </si>
  <si>
    <t>=NL("Sum","Item Ledger Entry","Quantity","Entry Type","Output","Entry No.",I253,"Location Code",$L$7)</t>
  </si>
  <si>
    <t>=NL("Sum","Item Ledger Entry","Quantity","Entry Type","Purchase","Entry No.",I254,"Location Code",$L$7)</t>
  </si>
  <si>
    <t>=NL("Sum","Item Ledger Entry","Quantity","Entry Type","Sale","Entry No.",I254,"Location Code",$L$7)</t>
  </si>
  <si>
    <t>=NL("Sum","Item Ledger Entry","Quantity","Entry Type","Positive Adjmt.|Negative Adjmt.","Entry No.",I254,"Location Code",$L$7)</t>
  </si>
  <si>
    <t>=NL("Sum","Item Ledger Entry","Quantity","Entry Type","Transfer","Entry No.",I254,"Location Code",$L$7)</t>
  </si>
  <si>
    <t>=NL("Sum","Item Ledger Entry","Quantity","Entry Type","Consumption","Entry No.",I254,"Location Code",$L$7)</t>
  </si>
  <si>
    <t>=NL("Sum","Item Ledger Entry","Quantity","Entry Type","Output","Entry No.",I254,"Location Code",$L$7)</t>
  </si>
  <si>
    <t>=NL("Sum","Item Ledger Entry","Quantity","Entry Type","Purchase","Entry No.",I257,"Location Code",$L$7)</t>
  </si>
  <si>
    <t>=NL("Sum","Item Ledger Entry","Quantity","Entry Type","Sale","Entry No.",I257,"Location Code",$L$7)</t>
  </si>
  <si>
    <t>=NL("Sum","Item Ledger Entry","Quantity","Entry Type","Positive Adjmt.|Negative Adjmt.","Entry No.",I257,"Location Code",$L$7)</t>
  </si>
  <si>
    <t>=NL("Sum","Item Ledger Entry","Quantity","Entry Type","Transfer","Entry No.",I257,"Location Code",$L$7)</t>
  </si>
  <si>
    <t>=NL("Sum","Item Ledger Entry","Quantity","Entry Type","Consumption","Entry No.",I257,"Location Code",$L$7)</t>
  </si>
  <si>
    <t>=NL("Sum","Item Ledger Entry","Quantity","Entry Type","Output","Entry No.",I257,"Location Code",$L$7)</t>
  </si>
  <si>
    <t>=NL("Sum","Item Ledger Entry","Quantity","Entry Type","Purchase","Entry No.",I264,"Location Code",$L$7)</t>
  </si>
  <si>
    <t>=NL("Sum","Item Ledger Entry","Quantity","Entry Type","Sale","Entry No.",I264,"Location Code",$L$7)</t>
  </si>
  <si>
    <t>=NL("Sum","Item Ledger Entry","Quantity","Entry Type","Positive Adjmt.|Negative Adjmt.","Entry No.",I264,"Location Code",$L$7)</t>
  </si>
  <si>
    <t>=NL("Sum","Item Ledger Entry","Quantity","Entry Type","Transfer","Entry No.",I264,"Location Code",$L$7)</t>
  </si>
  <si>
    <t>=NL("Sum","Item Ledger Entry","Quantity","Entry Type","Consumption","Entry No.",I264,"Location Code",$L$7)</t>
  </si>
  <si>
    <t>=NL("Sum","Item Ledger Entry","Quantity","Entry Type","Output","Entry No.",I264,"Location Code",$L$7)</t>
  </si>
  <si>
    <t>=NL("Sum","Item Ledger Entry","Quantity","Entry Type","Purchase","Entry No.",I291,"Location Code",$L$7)</t>
  </si>
  <si>
    <t>=NL("Sum","Item Ledger Entry","Quantity","Entry Type","Sale","Entry No.",I291,"Location Code",$L$7)</t>
  </si>
  <si>
    <t>=NL("Sum","Item Ledger Entry","Quantity","Entry Type","Positive Adjmt.|Negative Adjmt.","Entry No.",I291,"Location Code",$L$7)</t>
  </si>
  <si>
    <t>=NL("Sum","Item Ledger Entry","Quantity","Entry Type","Transfer","Entry No.",I291,"Location Code",$L$7)</t>
  </si>
  <si>
    <t>=NL("Sum","Item Ledger Entry","Quantity","Entry Type","Consumption","Entry No.",I291,"Location Code",$L$7)</t>
  </si>
  <si>
    <t>=NL("Sum","Item Ledger Entry","Quantity","Entry Type","Output","Entry No.",I291,"Location Code",$L$7)</t>
  </si>
  <si>
    <t>=NL("Sum","Item Ledger Entry","Quantity","Entry Type","Purchase","Entry No.",I297,"Location Code",$L$7)</t>
  </si>
  <si>
    <t>=NL("Sum","Item Ledger Entry","Quantity","Entry Type","Sale","Entry No.",I297,"Location Code",$L$7)</t>
  </si>
  <si>
    <t>=NL("Sum","Item Ledger Entry","Quantity","Entry Type","Positive Adjmt.|Negative Adjmt.","Entry No.",I297,"Location Code",$L$7)</t>
  </si>
  <si>
    <t>=NL("Sum","Item Ledger Entry","Quantity","Entry Type","Transfer","Entry No.",I297,"Location Code",$L$7)</t>
  </si>
  <si>
    <t>=NL("Sum","Item Ledger Entry","Quantity","Entry Type","Consumption","Entry No.",I297,"Location Code",$L$7)</t>
  </si>
  <si>
    <t>=NL("Sum","Item Ledger Entry","Quantity","Entry Type","Output","Entry No.",I297,"Location Code",$L$7)</t>
  </si>
  <si>
    <t>=NL("Sum","Item Ledger Entry","Quantity","Entry Type","Purchase","Entry No.",I302,"Location Code",$L$7)</t>
  </si>
  <si>
    <t>=NL("Sum","Item Ledger Entry","Quantity","Entry Type","Sale","Entry No.",I302,"Location Code",$L$7)</t>
  </si>
  <si>
    <t>=NL("Sum","Item Ledger Entry","Quantity","Entry Type","Positive Adjmt.|Negative Adjmt.","Entry No.",I302,"Location Code",$L$7)</t>
  </si>
  <si>
    <t>=NL("Sum","Item Ledger Entry","Quantity","Entry Type","Transfer","Entry No.",I302,"Location Code",$L$7)</t>
  </si>
  <si>
    <t>=NL("Sum","Item Ledger Entry","Quantity","Entry Type","Consumption","Entry No.",I302,"Location Code",$L$7)</t>
  </si>
  <si>
    <t>=NL("Sum","Item Ledger Entry","Quantity","Entry Type","Output","Entry No.",I302,"Location Code",$L$7)</t>
  </si>
  <si>
    <t>=NL("Sum","Item Ledger Entry","Quantity","Entry Type","Purchase","Entry No.",I303,"Location Code",$L$7)</t>
  </si>
  <si>
    <t>=NL("Sum","Item Ledger Entry","Quantity","Entry Type","Sale","Entry No.",I303,"Location Code",$L$7)</t>
  </si>
  <si>
    <t>=NL("Sum","Item Ledger Entry","Quantity","Entry Type","Positive Adjmt.|Negative Adjmt.","Entry No.",I303,"Location Code",$L$7)</t>
  </si>
  <si>
    <t>=NL("Sum","Item Ledger Entry","Quantity","Entry Type","Transfer","Entry No.",I303,"Location Code",$L$7)</t>
  </si>
  <si>
    <t>=NL("Sum","Item Ledger Entry","Quantity","Entry Type","Consumption","Entry No.",I303,"Location Code",$L$7)</t>
  </si>
  <si>
    <t>=NL("Sum","Item Ledger Entry","Quantity","Entry Type","Output","Entry No.",I303,"Location Code",$L$7)</t>
  </si>
  <si>
    <t>=NL("Sum","Item Ledger Entry","Quantity","Entry Type","Purchase","Entry No.",I304,"Location Code",$L$7)</t>
  </si>
  <si>
    <t>=NL("Sum","Item Ledger Entry","Quantity","Entry Type","Sale","Entry No.",I304,"Location Code",$L$7)</t>
  </si>
  <si>
    <t>=NL("Sum","Item Ledger Entry","Quantity","Entry Type","Positive Adjmt.|Negative Adjmt.","Entry No.",I304,"Location Code",$L$7)</t>
  </si>
  <si>
    <t>=NL("Sum","Item Ledger Entry","Quantity","Entry Type","Transfer","Entry No.",I304,"Location Code",$L$7)</t>
  </si>
  <si>
    <t>=NL("Sum","Item Ledger Entry","Quantity","Entry Type","Consumption","Entry No.",I304,"Location Code",$L$7)</t>
  </si>
  <si>
    <t>=NL("Sum","Item Ledger Entry","Quantity","Entry Type","Output","Entry No.",I304,"Location Code",$L$7)</t>
  </si>
  <si>
    <t>=NL("Sum","Item Ledger Entry","Quantity","Entry Type","Purchase","Entry No.",I329,"Location Code",$L$7)</t>
  </si>
  <si>
    <t>=NL("Sum","Item Ledger Entry","Quantity","Entry Type","Sale","Entry No.",I329,"Location Code",$L$7)</t>
  </si>
  <si>
    <t>=NL("Sum","Item Ledger Entry","Quantity","Entry Type","Positive Adjmt.|Negative Adjmt.","Entry No.",I329,"Location Code",$L$7)</t>
  </si>
  <si>
    <t>=NL("Sum","Item Ledger Entry","Quantity","Entry Type","Transfer","Entry No.",I329,"Location Code",$L$7)</t>
  </si>
  <si>
    <t>=NL("Sum","Item Ledger Entry","Quantity","Entry Type","Consumption","Entry No.",I329,"Location Code",$L$7)</t>
  </si>
  <si>
    <t>=NL("Sum","Item Ledger Entry","Quantity","Entry Type","Output","Entry No.",I329,"Location Code",$L$7)</t>
  </si>
  <si>
    <t>=NL("Sum","Item Ledger Entry","Quantity","Entry Type","Purchase","Entry No.",I344,"Location Code",$L$7)</t>
  </si>
  <si>
    <t>=NL("Sum","Item Ledger Entry","Quantity","Entry Type","Sale","Entry No.",I344,"Location Code",$L$7)</t>
  </si>
  <si>
    <t>=NL("Sum","Item Ledger Entry","Quantity","Entry Type","Positive Adjmt.|Negative Adjmt.","Entry No.",I344,"Location Code",$L$7)</t>
  </si>
  <si>
    <t>=NL("Sum","Item Ledger Entry","Quantity","Entry Type","Transfer","Entry No.",I344,"Location Code",$L$7)</t>
  </si>
  <si>
    <t>=NL("Sum","Item Ledger Entry","Quantity","Entry Type","Consumption","Entry No.",I344,"Location Code",$L$7)</t>
  </si>
  <si>
    <t>=NL("Sum","Item Ledger Entry","Quantity","Entry Type","Output","Entry No.",I344,"Location Code",$L$7)</t>
  </si>
  <si>
    <t>=NL("Sum","Item Ledger Entry","Quantity","Entry Type","Purchase","Entry No.",I345,"Location Code",$L$7)</t>
  </si>
  <si>
    <t>=NL("Sum","Item Ledger Entry","Quantity","Entry Type","Sale","Entry No.",I345,"Location Code",$L$7)</t>
  </si>
  <si>
    <t>=NL("Sum","Item Ledger Entry","Quantity","Entry Type","Positive Adjmt.|Negative Adjmt.","Entry No.",I345,"Location Code",$L$7)</t>
  </si>
  <si>
    <t>=NL("Sum","Item Ledger Entry","Quantity","Entry Type","Transfer","Entry No.",I345,"Location Code",$L$7)</t>
  </si>
  <si>
    <t>=NL("Sum","Item Ledger Entry","Quantity","Entry Type","Consumption","Entry No.",I345,"Location Code",$L$7)</t>
  </si>
  <si>
    <t>=NL("Sum","Item Ledger Entry","Quantity","Entry Type","Output","Entry No.",I345,"Location Code",$L$7)</t>
  </si>
  <si>
    <t>=D345</t>
  </si>
  <si>
    <t>=NF($G346,"Posting Date")</t>
  </si>
  <si>
    <t>=NF($G346,"Entry No.")</t>
  </si>
  <si>
    <t>=NF(G346,"Source Type")</t>
  </si>
  <si>
    <t>=NF($G346,"Source No.")</t>
  </si>
  <si>
    <t>=IF($J346="Customer",NL("first",$J346,"Name","No.","@@"&amp;$K346),"")</t>
  </si>
  <si>
    <t>=IF(J346="vendor",NL("first",J346,"Name","No.","@@"&amp;K346),"")</t>
  </si>
  <si>
    <t>=IF($J346="Item",NL("first",$J346,"Description","No.","@@"&amp;$K346),"")</t>
  </si>
  <si>
    <t>=NL("Sum","Item Ledger Entry","Quantity","Entry Type","Purchase","Entry No.",I346,"Location Code",$L$7)</t>
  </si>
  <si>
    <t>=NL("Sum","Item Ledger Entry","Quantity","Entry Type","Sale","Entry No.",I346,"Location Code",$L$7)</t>
  </si>
  <si>
    <t>=NL("Sum","Item Ledger Entry","Quantity","Entry Type","Positive Adjmt.|Negative Adjmt.","Entry No.",I346,"Location Code",$L$7)</t>
  </si>
  <si>
    <t>=NL("Sum","Item Ledger Entry","Quantity","Entry Type","Transfer","Entry No.",I346,"Location Code",$L$7)</t>
  </si>
  <si>
    <t>=NL("Sum","Item Ledger Entry","Quantity","Entry Type","Consumption","Entry No.",I346,"Location Code",$L$7)</t>
  </si>
  <si>
    <t>=NL("Sum","Item Ledger Entry","Quantity","Entry Type","Output","Entry No.",I346,"Location Code",$L$7)</t>
  </si>
  <si>
    <t>=NL("Sum","Item Ledger Entry","Quantity","Entry Type","Purchase","Entry No.",I363,"Location Code",$L$7)</t>
  </si>
  <si>
    <t>=NL("Sum","Item Ledger Entry","Quantity","Entry Type","Sale","Entry No.",I363,"Location Code",$L$7)</t>
  </si>
  <si>
    <t>=NL("Sum","Item Ledger Entry","Quantity","Entry Type","Positive Adjmt.|Negative Adjmt.","Entry No.",I363,"Location Code",$L$7)</t>
  </si>
  <si>
    <t>=NL("Sum","Item Ledger Entry","Quantity","Entry Type","Transfer","Entry No.",I363,"Location Code",$L$7)</t>
  </si>
  <si>
    <t>=NL("Sum","Item Ledger Entry","Quantity","Entry Type","Consumption","Entry No.",I363,"Location Code",$L$7)</t>
  </si>
  <si>
    <t>=NL("Sum","Item Ledger Entry","Quantity","Entry Type","Output","Entry No.",I363,"Location Code",$L$7)</t>
  </si>
  <si>
    <t>=NL("Sum","Item Ledger Entry","Quantity","Entry Type","Purchase","Entry No.",I19,"Location Code","@@"&amp;$E$6)</t>
  </si>
  <si>
    <t>=NL("Sum","Item Ledger Entry","Quantity","Entry Type","Sale","Entry No.",I19,"Location Code","@@"&amp;$E$6)</t>
  </si>
  <si>
    <t>=NL("Sum","Item Ledger Entry","Quantity","Entry Type","Positive Adjmt.|Negative Adjmt.","Entry No.",I19,"Location Code","@@"&amp;$E$6)</t>
  </si>
  <si>
    <t>=NL("Sum","Item Ledger Entry","Quantity","Entry Type","Transfer","Entry No.",I19,"Location Code","@@"&amp;$E$6)</t>
  </si>
  <si>
    <t>=NL("Sum","Item Ledger Entry","Quantity","Entry Type","Consumption","Entry No.",I19,"Location Code","@@"&amp;$E$6)</t>
  </si>
  <si>
    <t>=NL("Sum","Item Ledger Entry","Quantity","Entry Type","Output","Entry No.",I19,"Location Code","@@"&amp;$E$6)</t>
  </si>
  <si>
    <t>=NL("Rows","Item Ledger Entry",,"+Posting Date",$L$5,"Item No.","@@"&amp;$D83,"Location Code","@@"&amp;$E$6)</t>
  </si>
  <si>
    <t>=NL("Sum","Item Ledger Entry","Quantity","Entry Type","Purchase","Entry No.",I94,"Location Code","@@"&amp;$E$6)</t>
  </si>
  <si>
    <t>=NL("Sum","Item Ledger Entry","Quantity","Entry Type","Sale","Entry No.",I94,"Location Code","@@"&amp;$E$6)</t>
  </si>
  <si>
    <t>=NL("Sum","Item Ledger Entry","Quantity","Entry Type","Positive Adjmt.|Negative Adjmt.","Entry No.",I94,"Location Code","@@"&amp;$E$6)</t>
  </si>
  <si>
    <t>=NL("Sum","Item Ledger Entry","Quantity","Entry Type","Transfer","Entry No.",I94,"Location Code","@@"&amp;$E$6)</t>
  </si>
  <si>
    <t>=NL("Sum","Item Ledger Entry","Quantity","Entry Type","Consumption","Entry No.",I94,"Location Code","@@"&amp;$E$6)</t>
  </si>
  <si>
    <t>=NL("Sum","Item Ledger Entry","Quantity","Entry Type","Output","Entry No.",I94,"Location Code","@@"&amp;$E$6)</t>
  </si>
  <si>
    <t>=NL("Sum","Item Ledger Entry","Quantity","Entry Type","Purchase","Entry No.",I119,"Location Code","@@"&amp;$E$6)</t>
  </si>
  <si>
    <t>=NL("Sum","Item Ledger Entry","Quantity","Entry Type","Sale","Entry No.",I119,"Location Code","@@"&amp;$E$6)</t>
  </si>
  <si>
    <t>=NL("Sum","Item Ledger Entry","Quantity","Entry Type","Positive Adjmt.|Negative Adjmt.","Entry No.",I119,"Location Code","@@"&amp;$E$6)</t>
  </si>
  <si>
    <t>=NL("Sum","Item Ledger Entry","Quantity","Entry Type","Transfer","Entry No.",I119,"Location Code","@@"&amp;$E$6)</t>
  </si>
  <si>
    <t>=NL("Sum","Item Ledger Entry","Quantity","Entry Type","Consumption","Entry No.",I119,"Location Code","@@"&amp;$E$6)</t>
  </si>
  <si>
    <t>=NL("Sum","Item Ledger Entry","Quantity","Entry Type","Output","Entry No.",I119,"Location Code","@@"&amp;$E$6)</t>
  </si>
  <si>
    <t>=NL("Rows","Item Ledger Entry",,"+Posting Date",$L$5,"Item No.","@@"&amp;$D33,"Location Code","@@"&amp;$E$6)</t>
  </si>
  <si>
    <t>=NL("Sum","Item Ledger Entry","Quantity","Entry Type","Purchase","Entry No.",I33,"Location Code","@@"&amp;$E$6)</t>
  </si>
  <si>
    <t>=NL("Sum","Item Ledger Entry","Quantity","Entry Type","Sale","Entry No.",I33,"Location Code","@@"&amp;$E$6)</t>
  </si>
  <si>
    <t>=NL("Sum","Item Ledger Entry","Quantity","Entry Type","Positive Adjmt.|Negative Adjmt.","Entry No.",I33,"Location Code","@@"&amp;$E$6)</t>
  </si>
  <si>
    <t>=NL("Sum","Item Ledger Entry","Quantity","Entry Type","Transfer","Entry No.",I33,"Location Code","@@"&amp;$E$6)</t>
  </si>
  <si>
    <t>=NL("Sum","Item Ledger Entry","Quantity","Entry Type","Consumption","Entry No.",I33,"Location Code","@@"&amp;$E$6)</t>
  </si>
  <si>
    <t>=NL("Sum","Item Ledger Entry","Quantity","Entry Type","Output","Entry No.",I33,"Location Code","@@"&amp;$E$6)</t>
  </si>
  <si>
    <t>=NL("Sum","Item Ledger Entry","Quantity","Entry Type","Purchase","Entry No.",I56,"Location Code","@@"&amp;$E$6)</t>
  </si>
  <si>
    <t>=NL("Sum","Item Ledger Entry","Quantity","Entry Type","Sale","Entry No.",I56,"Location Code","@@"&amp;$E$6)</t>
  </si>
  <si>
    <t>=NL("Sum","Item Ledger Entry","Quantity","Entry Type","Positive Adjmt.|Negative Adjmt.","Entry No.",I56,"Location Code","@@"&amp;$E$6)</t>
  </si>
  <si>
    <t>=NL("Sum","Item Ledger Entry","Quantity","Entry Type","Transfer","Entry No.",I56,"Location Code","@@"&amp;$E$6)</t>
  </si>
  <si>
    <t>=NL("Sum","Item Ledger Entry","Quantity","Entry Type","Consumption","Entry No.",I56,"Location Code","@@"&amp;$E$6)</t>
  </si>
  <si>
    <t>=NL("Sum","Item Ledger Entry","Quantity","Entry Type","Output","Entry No.",I56,"Location Code","@@"&amp;$E$6)</t>
  </si>
  <si>
    <t>=NL("Sum","Item Ledger Entry","Quantity","Entry Type","Purchase","Entry No.",I100,"Location Code","@@"&amp;$E$6)</t>
  </si>
  <si>
    <t>=NL("Sum","Item Ledger Entry","Quantity","Entry Type","Sale","Entry No.",I100,"Location Code","@@"&amp;$E$6)</t>
  </si>
  <si>
    <t>=NL("Sum","Item Ledger Entry","Quantity","Entry Type","Positive Adjmt.|Negative Adjmt.","Entry No.",I100,"Location Code","@@"&amp;$E$6)</t>
  </si>
  <si>
    <t>=NL("Sum","Item Ledger Entry","Quantity","Entry Type","Transfer","Entry No.",I100,"Location Code","@@"&amp;$E$6)</t>
  </si>
  <si>
    <t>=NL("Sum","Item Ledger Entry","Quantity","Entry Type","Consumption","Entry No.",I100,"Location Code","@@"&amp;$E$6)</t>
  </si>
  <si>
    <t>=NL("Sum","Item Ledger Entry","Quantity","Entry Type","Output","Entry No.",I100,"Location Code","@@"&amp;$E$6)</t>
  </si>
  <si>
    <t>=NL("Sum","Item Ledger Entry","Quantity","Entry Type","Purchase","Entry No.",I123,"Location Code","@@"&amp;$E$6)</t>
  </si>
  <si>
    <t>=NL("Sum","Item Ledger Entry","Quantity","Entry Type","Sale","Entry No.",I123,"Location Code","@@"&amp;$E$6)</t>
  </si>
  <si>
    <t>=NL("Sum","Item Ledger Entry","Quantity","Entry Type","Positive Adjmt.|Negative Adjmt.","Entry No.",I123,"Location Code","@@"&amp;$E$6)</t>
  </si>
  <si>
    <t>=NL("Sum","Item Ledger Entry","Quantity","Entry Type","Transfer","Entry No.",I123,"Location Code","@@"&amp;$E$6)</t>
  </si>
  <si>
    <t>=NL("Sum","Item Ledger Entry","Quantity","Entry Type","Consumption","Entry No.",I123,"Location Code","@@"&amp;$E$6)</t>
  </si>
  <si>
    <t>=NL("Sum","Item Ledger Entry","Quantity","Entry Type","Output","Entry No.",I123,"Location Code","@@"&amp;$E$6)</t>
  </si>
  <si>
    <t>=NL("Sum","Item Ledger Entry","Quantity","Entry Type","Purchase","Entry No.",I104,"Location Code","@@"&amp;$E$6)</t>
  </si>
  <si>
    <t>=NL("Sum","Item Ledger Entry","Quantity","Entry Type","Sale","Entry No.",I104,"Location Code","@@"&amp;$E$6)</t>
  </si>
  <si>
    <t>=NL("Sum","Item Ledger Entry","Quantity","Entry Type","Positive Adjmt.|Negative Adjmt.","Entry No.",I104,"Location Code","@@"&amp;$E$6)</t>
  </si>
  <si>
    <t>=NL("Sum","Item Ledger Entry","Quantity","Entry Type","Transfer","Entry No.",I104,"Location Code","@@"&amp;$E$6)</t>
  </si>
  <si>
    <t>=NL("Sum","Item Ledger Entry","Quantity","Entry Type","Consumption","Entry No.",I104,"Location Code","@@"&amp;$E$6)</t>
  </si>
  <si>
    <t>=NL("Sum","Item Ledger Entry","Quantity","Entry Type","Output","Entry No.",I104,"Location Code","@@"&amp;$E$6)</t>
  </si>
  <si>
    <t>=NL("Rows","Item Ledger Entry",,"+Posting Date",$L$5,"Item No.","@@"&amp;$D128,"Location Code","@@"&amp;$E$6)</t>
  </si>
  <si>
    <t>=NL("Sum","Item Ledger Entry","Quantity","Entry Type","Purchase","Entry No.",I129,"Location Code","@@"&amp;$E$6)</t>
  </si>
  <si>
    <t>=NL("Sum","Item Ledger Entry","Quantity","Entry Type","Sale","Entry No.",I129,"Location Code","@@"&amp;$E$6)</t>
  </si>
  <si>
    <t>=NL("Sum","Item Ledger Entry","Quantity","Entry Type","Positive Adjmt.|Negative Adjmt.","Entry No.",I129,"Location Code","@@"&amp;$E$6)</t>
  </si>
  <si>
    <t>=NL("Sum","Item Ledger Entry","Quantity","Entry Type","Transfer","Entry No.",I129,"Location Code","@@"&amp;$E$6)</t>
  </si>
  <si>
    <t>=NL("Sum","Item Ledger Entry","Quantity","Entry Type","Consumption","Entry No.",I129,"Location Code","@@"&amp;$E$6)</t>
  </si>
  <si>
    <t>=NL("Sum","Item Ledger Entry","Quantity","Entry Type","Output","Entry No.",I129,"Location Code","@@"&amp;$E$6)</t>
  </si>
  <si>
    <t>=NL("Rows","Item Ledger Entry",,"+Posting Date",$L$5,"Item No.","@@"&amp;$D133,"Location Code","@@"&amp;$E$6)</t>
  </si>
  <si>
    <t>=NL("Sum","Item Ledger Entry","Quantity","Entry Type","Purchase","Entry No.",I19,"Location Code",$L$7)</t>
  </si>
  <si>
    <t>=NL("Sum","Item Ledger Entry","Quantity","Entry Type","Sale","Entry No.",I19,"Location Code",$L$7)</t>
  </si>
  <si>
    <t>=NL("Sum","Item Ledger Entry","Quantity","Entry Type","Positive Adjmt.|Negative Adjmt.","Entry No.",I19,"Location Code",$L$7)</t>
  </si>
  <si>
    <t>=NL("Sum","Item Ledger Entry","Quantity","Entry Type","Transfer","Entry No.",I19,"Location Code",$L$7)</t>
  </si>
  <si>
    <t>=NL("Sum","Item Ledger Entry","Quantity","Entry Type","Consumption","Entry No.",I19,"Location Code",$L$7)</t>
  </si>
  <si>
    <t>=NL("Sum","Item Ledger Entry","Quantity","Entry Type","Output","Entry No.",I19,"Location Code",$L$7)</t>
  </si>
  <si>
    <t>=NL("Sum","Item Ledger Entry","Quantity","Entry Type","Purchase","Entry No.",I72,"Location Code",$L$7)</t>
  </si>
  <si>
    <t>=NL("Sum","Item Ledger Entry","Quantity","Entry Type","Sale","Entry No.",I72,"Location Code",$L$7)</t>
  </si>
  <si>
    <t>=NL("Sum","Item Ledger Entry","Quantity","Entry Type","Positive Adjmt.|Negative Adjmt.","Entry No.",I72,"Location Code",$L$7)</t>
  </si>
  <si>
    <t>=NL("Sum","Item Ledger Entry","Quantity","Entry Type","Transfer","Entry No.",I72,"Location Code",$L$7)</t>
  </si>
  <si>
    <t>=NL("Sum","Item Ledger Entry","Quantity","Entry Type","Consumption","Entry No.",I72,"Location Code",$L$7)</t>
  </si>
  <si>
    <t>=NL("Sum","Item Ledger Entry","Quantity","Entry Type","Output","Entry No.",I72,"Location Code",$L$7)</t>
  </si>
  <si>
    <t>=NL("Sum","Item Ledger Entry","Quantity","Entry Type","Purchase","Entry No.",I118,"Location Code",$L$7)</t>
  </si>
  <si>
    <t>=NL("Sum","Item Ledger Entry","Quantity","Entry Type","Sale","Entry No.",I118,"Location Code",$L$7)</t>
  </si>
  <si>
    <t>=NL("Sum","Item Ledger Entry","Quantity","Entry Type","Positive Adjmt.|Negative Adjmt.","Entry No.",I118,"Location Code",$L$7)</t>
  </si>
  <si>
    <t>=NL("Sum","Item Ledger Entry","Quantity","Entry Type","Transfer","Entry No.",I118,"Location Code",$L$7)</t>
  </si>
  <si>
    <t>=NL("Sum","Item Ledger Entry","Quantity","Entry Type","Consumption","Entry No.",I118,"Location Code",$L$7)</t>
  </si>
  <si>
    <t>=NL("Sum","Item Ledger Entry","Quantity","Entry Type","Output","Entry No.",I118,"Location Code",$L$7)</t>
  </si>
  <si>
    <t>=NL("Sum","Item Ledger Entry","Quantity","Entry Type","Purchase","Entry No.",I190,"Location Code",$L$7)</t>
  </si>
  <si>
    <t>=NL("Sum","Item Ledger Entry","Quantity","Entry Type","Sale","Entry No.",I190,"Location Code",$L$7)</t>
  </si>
  <si>
    <t>=NL("Sum","Item Ledger Entry","Quantity","Entry Type","Positive Adjmt.|Negative Adjmt.","Entry No.",I190,"Location Code",$L$7)</t>
  </si>
  <si>
    <t>=NL("Sum","Item Ledger Entry","Quantity","Entry Type","Transfer","Entry No.",I190,"Location Code",$L$7)</t>
  </si>
  <si>
    <t>=NL("Sum","Item Ledger Entry","Quantity","Entry Type","Consumption","Entry No.",I190,"Location Code",$L$7)</t>
  </si>
  <si>
    <t>=NL("Sum","Item Ledger Entry","Quantity","Entry Type","Output","Entry No.",I190,"Location Code",$L$7)</t>
  </si>
  <si>
    <t>=NL("Sum","Item Ledger Entry","Quantity","Entry Type","Purchase","Entry No.",I191,"Location Code",$L$7)</t>
  </si>
  <si>
    <t>=NL("Sum","Item Ledger Entry","Quantity","Entry Type","Sale","Entry No.",I191,"Location Code",$L$7)</t>
  </si>
  <si>
    <t>=NL("Sum","Item Ledger Entry","Quantity","Entry Type","Positive Adjmt.|Negative Adjmt.","Entry No.",I191,"Location Code",$L$7)</t>
  </si>
  <si>
    <t>=NL("Sum","Item Ledger Entry","Quantity","Entry Type","Transfer","Entry No.",I191,"Location Code",$L$7)</t>
  </si>
  <si>
    <t>=NL("Sum","Item Ledger Entry","Quantity","Entry Type","Consumption","Entry No.",I191,"Location Code",$L$7)</t>
  </si>
  <si>
    <t>=NL("Sum","Item Ledger Entry","Quantity","Entry Type","Output","Entry No.",I191,"Location Code",$L$7)</t>
  </si>
  <si>
    <t>=NL("Sum","Item Ledger Entry","Quantity","Entry Type","Purchase","Entry No.",I192,"Location Code",$L$7)</t>
  </si>
  <si>
    <t>=NL("Sum","Item Ledger Entry","Quantity","Entry Type","Sale","Entry No.",I192,"Location Code",$L$7)</t>
  </si>
  <si>
    <t>=NL("Sum","Item Ledger Entry","Quantity","Entry Type","Positive Adjmt.|Negative Adjmt.","Entry No.",I192,"Location Code",$L$7)</t>
  </si>
  <si>
    <t>=NL("Sum","Item Ledger Entry","Quantity","Entry Type","Transfer","Entry No.",I192,"Location Code",$L$7)</t>
  </si>
  <si>
    <t>=NL("Sum","Item Ledger Entry","Quantity","Entry Type","Consumption","Entry No.",I192,"Location Code",$L$7)</t>
  </si>
  <si>
    <t>=NL("Sum","Item Ledger Entry","Quantity","Entry Type","Output","Entry No.",I192,"Location Code",$L$7)</t>
  </si>
  <si>
    <t>=NL("Sum","Item Ledger Entry","Quantity","Entry Type","Purchase","Entry No.",I238,"Location Code",$L$7)</t>
  </si>
  <si>
    <t>=NL("Sum","Item Ledger Entry","Quantity","Entry Type","Sale","Entry No.",I238,"Location Code",$L$7)</t>
  </si>
  <si>
    <t>=NL("Sum","Item Ledger Entry","Quantity","Entry Type","Positive Adjmt.|Negative Adjmt.","Entry No.",I238,"Location Code",$L$7)</t>
  </si>
  <si>
    <t>=NL("Sum","Item Ledger Entry","Quantity","Entry Type","Transfer","Entry No.",I238,"Location Code",$L$7)</t>
  </si>
  <si>
    <t>=NL("Sum","Item Ledger Entry","Quantity","Entry Type","Consumption","Entry No.",I238,"Location Code",$L$7)</t>
  </si>
  <si>
    <t>=NL("Sum","Item Ledger Entry","Quantity","Entry Type","Output","Entry No.",I238,"Location Code",$L$7)</t>
  </si>
  <si>
    <t>=NL("Sum","Item Ledger Entry","Quantity","Entry Type","Purchase","Entry No.",I239,"Location Code",$L$7)</t>
  </si>
  <si>
    <t>=NL("Sum","Item Ledger Entry","Quantity","Entry Type","Sale","Entry No.",I239,"Location Code",$L$7)</t>
  </si>
  <si>
    <t>=NL("Sum","Item Ledger Entry","Quantity","Entry Type","Positive Adjmt.|Negative Adjmt.","Entry No.",I239,"Location Code",$L$7)</t>
  </si>
  <si>
    <t>=NL("Sum","Item Ledger Entry","Quantity","Entry Type","Transfer","Entry No.",I239,"Location Code",$L$7)</t>
  </si>
  <si>
    <t>=NL("Sum","Item Ledger Entry","Quantity","Entry Type","Consumption","Entry No.",I239,"Location Code",$L$7)</t>
  </si>
  <si>
    <t>=NL("Sum","Item Ledger Entry","Quantity","Entry Type","Output","Entry No.",I239,"Location Code",$L$7)</t>
  </si>
  <si>
    <t>=NL("Sum","Item Ledger Entry","Quantity","Entry Type","Purchase","Entry No.",I275,"Location Code",$L$7)</t>
  </si>
  <si>
    <t>=NL("Sum","Item Ledger Entry","Quantity","Entry Type","Sale","Entry No.",I275,"Location Code",$L$7)</t>
  </si>
  <si>
    <t>=NL("Sum","Item Ledger Entry","Quantity","Entry Type","Positive Adjmt.|Negative Adjmt.","Entry No.",I275,"Location Code",$L$7)</t>
  </si>
  <si>
    <t>=NL("Sum","Item Ledger Entry","Quantity","Entry Type","Transfer","Entry No.",I275,"Location Code",$L$7)</t>
  </si>
  <si>
    <t>=NL("Sum","Item Ledger Entry","Quantity","Entry Type","Consumption","Entry No.",I275,"Location Code",$L$7)</t>
  </si>
  <si>
    <t>=NL("Sum","Item Ledger Entry","Quantity","Entry Type","Output","Entry No.",I275,"Location Code",$L$7)</t>
  </si>
  <si>
    <t>=NL("Sum","Item Ledger Entry","Quantity","Entry Type","Purchase","Entry No.",I276,"Location Code",$L$7)</t>
  </si>
  <si>
    <t>=NL("Sum","Item Ledger Entry","Quantity","Entry Type","Sale","Entry No.",I276,"Location Code",$L$7)</t>
  </si>
  <si>
    <t>=NL("Sum","Item Ledger Entry","Quantity","Entry Type","Positive Adjmt.|Negative Adjmt.","Entry No.",I276,"Location Code",$L$7)</t>
  </si>
  <si>
    <t>=NL("Sum","Item Ledger Entry","Quantity","Entry Type","Transfer","Entry No.",I276,"Location Code",$L$7)</t>
  </si>
  <si>
    <t>=NL("Sum","Item Ledger Entry","Quantity","Entry Type","Consumption","Entry No.",I276,"Location Code",$L$7)</t>
  </si>
  <si>
    <t>=NL("Sum","Item Ledger Entry","Quantity","Entry Type","Output","Entry No.",I276,"Location Code",$L$7)</t>
  </si>
  <si>
    <t>=NL("Sum","Item Ledger Entry","Quantity","Entry Type","Purchase","Entry No.",I298,"Location Code",$L$7)</t>
  </si>
  <si>
    <t>=NL("Sum","Item Ledger Entry","Quantity","Entry Type","Sale","Entry No.",I298,"Location Code",$L$7)</t>
  </si>
  <si>
    <t>=NL("Sum","Item Ledger Entry","Quantity","Entry Type","Positive Adjmt.|Negative Adjmt.","Entry No.",I298,"Location Code",$L$7)</t>
  </si>
  <si>
    <t>=NL("Sum","Item Ledger Entry","Quantity","Entry Type","Transfer","Entry No.",I298,"Location Code",$L$7)</t>
  </si>
  <si>
    <t>=NL("Sum","Item Ledger Entry","Quantity","Entry Type","Consumption","Entry No.",I298,"Location Code",$L$7)</t>
  </si>
  <si>
    <t>=NL("Sum","Item Ledger Entry","Quantity","Entry Type","Output","Entry No.",I298,"Location Code",$L$7)</t>
  </si>
  <si>
    <t>=NL("Sum","Item Ledger Entry","Quantity","Entry Type","Purchase","Entry No.",I364,"Location Code",$L$7)</t>
  </si>
  <si>
    <t>=NL("Sum","Item Ledger Entry","Quantity","Entry Type","Sale","Entry No.",I364,"Location Code",$L$7)</t>
  </si>
  <si>
    <t>=NL("Sum","Item Ledger Entry","Quantity","Entry Type","Positive Adjmt.|Negative Adjmt.","Entry No.",I364,"Location Code",$L$7)</t>
  </si>
  <si>
    <t>=NL("Sum","Item Ledger Entry","Quantity","Entry Type","Transfer","Entry No.",I364,"Location Code",$L$7)</t>
  </si>
  <si>
    <t>=NL("Sum","Item Ledger Entry","Quantity","Entry Type","Consumption","Entry No.",I364,"Location Code",$L$7)</t>
  </si>
  <si>
    <t>=NL("Sum","Item Ledger Entry","Quantity","Entry Type","Output","Entry No.",I364,"Location Code",$L$7)</t>
  </si>
  <si>
    <t>=NL("Sum","Item Ledger Entry","Quantity","Entry Type","Purchase","Entry No.",I395,"Location Code",$L$7)</t>
  </si>
  <si>
    <t>=NL("Sum","Item Ledger Entry","Quantity","Entry Type","Sale","Entry No.",I395,"Location Code",$L$7)</t>
  </si>
  <si>
    <t>=NL("Sum","Item Ledger Entry","Quantity","Entry Type","Positive Adjmt.|Negative Adjmt.","Entry No.",I395,"Location Code",$L$7)</t>
  </si>
  <si>
    <t>=NL("Sum","Item Ledger Entry","Quantity","Entry Type","Transfer","Entry No.",I395,"Location Code",$L$7)</t>
  </si>
  <si>
    <t>=NL("Sum","Item Ledger Entry","Quantity","Entry Type","Consumption","Entry No.",I395,"Location Code",$L$7)</t>
  </si>
  <si>
    <t>=NL("Sum","Item Ledger Entry","Quantity","Entry Type","Output","Entry No.",I395,"Location Code",$L$7)</t>
  </si>
  <si>
    <t>=NL("Sum","Item Ledger Entry","Quantity","Entry Type","Purchase","Entry No.",I403,"Location Code",$L$7)</t>
  </si>
  <si>
    <t>=NL("Sum","Item Ledger Entry","Quantity","Entry Type","Sale","Entry No.",I403,"Location Code",$L$7)</t>
  </si>
  <si>
    <t>=NL("Sum","Item Ledger Entry","Quantity","Entry Type","Positive Adjmt.|Negative Adjmt.","Entry No.",I403,"Location Code",$L$7)</t>
  </si>
  <si>
    <t>=NL("Sum","Item Ledger Entry","Quantity","Entry Type","Transfer","Entry No.",I403,"Location Code",$L$7)</t>
  </si>
  <si>
    <t>=NL("Sum","Item Ledger Entry","Quantity","Entry Type","Consumption","Entry No.",I403,"Location Code",$L$7)</t>
  </si>
  <si>
    <t>=NL("Sum","Item Ledger Entry","Quantity","Entry Type","Output","Entry No.",I403,"Location Code",$L$7)</t>
  </si>
  <si>
    <t>=NL("Sum","Item Ledger Entry","Quantity","Entry Type","Purchase","Entry No.",I141,"Location Code","@@"&amp;$E$6)</t>
  </si>
  <si>
    <t>=NL("Sum","Item Ledger Entry","Quantity","Entry Type","Sale","Entry No.",I141,"Location Code","@@"&amp;$E$6)</t>
  </si>
  <si>
    <t>=NL("Sum","Item Ledger Entry","Quantity","Entry Type","Positive Adjmt.|Negative Adjmt.","Entry No.",I141,"Location Code","@@"&amp;$E$6)</t>
  </si>
  <si>
    <t>=NL("Sum","Item Ledger Entry","Quantity","Entry Type","Transfer","Entry No.",I141,"Location Code","@@"&amp;$E$6)</t>
  </si>
  <si>
    <t>=NL("Sum","Item Ledger Entry","Quantity","Entry Type","Consumption","Entry No.",I141,"Location Code","@@"&amp;$E$6)</t>
  </si>
  <si>
    <t>=NL("Sum","Item Ledger Entry","Quantity","Entry Type","Output","Entry No.",I141,"Location Code","@@"&amp;$E$6)</t>
  </si>
  <si>
    <t>=NL("Sum","Item Ledger Entry","Quantity","Entry Type","Purchase","Entry No.",I143,"Location Code","@@"&amp;$E$6)</t>
  </si>
  <si>
    <t>=NL("Sum","Item Ledger Entry","Quantity","Entry Type","Sale","Entry No.",I143,"Location Code","@@"&amp;$E$6)</t>
  </si>
  <si>
    <t>=NL("Sum","Item Ledger Entry","Quantity","Entry Type","Positive Adjmt.|Negative Adjmt.","Entry No.",I143,"Location Code","@@"&amp;$E$6)</t>
  </si>
  <si>
    <t>=NL("Sum","Item Ledger Entry","Quantity","Entry Type","Transfer","Entry No.",I143,"Location Code","@@"&amp;$E$6)</t>
  </si>
  <si>
    <t>=NL("Sum","Item Ledger Entry","Quantity","Entry Type","Consumption","Entry No.",I143,"Location Code","@@"&amp;$E$6)</t>
  </si>
  <si>
    <t>=NL("Sum","Item Ledger Entry","Quantity","Entry Type","Output","Entry No.",I143,"Location Code","@@"&amp;$E$6)</t>
  </si>
  <si>
    <t>=NL("Sum","Item Ledger Entry","Quantity","Entry Type","Purchase","Entry No.",I149,"Location Code","@@"&amp;$E$6)</t>
  </si>
  <si>
    <t>=NL("Sum","Item Ledger Entry","Quantity","Entry Type","Sale","Entry No.",I149,"Location Code","@@"&amp;$E$6)</t>
  </si>
  <si>
    <t>=NL("Sum","Item Ledger Entry","Quantity","Entry Type","Positive Adjmt.|Negative Adjmt.","Entry No.",I149,"Location Code","@@"&amp;$E$6)</t>
  </si>
  <si>
    <t>=NL("Sum","Item Ledger Entry","Quantity","Entry Type","Transfer","Entry No.",I149,"Location Code","@@"&amp;$E$6)</t>
  </si>
  <si>
    <t>=NL("Sum","Item Ledger Entry","Quantity","Entry Type","Consumption","Entry No.",I149,"Location Code","@@"&amp;$E$6)</t>
  </si>
  <si>
    <t>=NL("Sum","Item Ledger Entry","Quantity","Entry Type","Output","Entry No.",I149,"Location Code","@@"&amp;$E$6)</t>
  </si>
  <si>
    <t>=NL("Sum","Item Ledger Entry","Quantity","Entry Type","Purchase","Entry No.",I153,"Location Code","@@"&amp;$E$6)</t>
  </si>
  <si>
    <t>=NL("Sum","Item Ledger Entry","Quantity","Entry Type","Sale","Entry No.",I153,"Location Code","@@"&amp;$E$6)</t>
  </si>
  <si>
    <t>=NL("Sum","Item Ledger Entry","Quantity","Entry Type","Positive Adjmt.|Negative Adjmt.","Entry No.",I153,"Location Code","@@"&amp;$E$6)</t>
  </si>
  <si>
    <t>=NL("Sum","Item Ledger Entry","Quantity","Entry Type","Transfer","Entry No.",I153,"Location Code","@@"&amp;$E$6)</t>
  </si>
  <si>
    <t>=NL("Sum","Item Ledger Entry","Quantity","Entry Type","Consumption","Entry No.",I153,"Location Code","@@"&amp;$E$6)</t>
  </si>
  <si>
    <t>=NL("Sum","Item Ledger Entry","Quantity","Entry Type","Output","Entry No.",I153,"Location Code","@@"&amp;$E$6)</t>
  </si>
  <si>
    <t>=E164</t>
  </si>
  <si>
    <t>=NL("First","Item","Description","No.",$E164)</t>
  </si>
  <si>
    <t>=NL("First","Item","Base Unit of Measure","No.",$E164)</t>
  </si>
  <si>
    <t>=(SUBTOTAL(9,O165:O166))</t>
  </si>
  <si>
    <t>=(SUBTOTAL(9,P165:P166))</t>
  </si>
  <si>
    <t>=(SUBTOTAL(9,Q165:Q166))</t>
  </si>
  <si>
    <t>=(SUBTOTAL(9,R165:R166))</t>
  </si>
  <si>
    <t>=(SUBTOTAL(9,S165:S166))</t>
  </si>
  <si>
    <t>=(SUBTOTAL(9,T165:T166))</t>
  </si>
  <si>
    <t>=SUBTOTAL(9,O165:T166)</t>
  </si>
  <si>
    <t>=NL("Rows","Item Ledger Entry",,"+Posting Date",$L$5,"Item No.","@@"&amp;$D165,"Location Code","@@"&amp;$E$6)</t>
  </si>
  <si>
    <t>=NL("Rows","Item Ledger Entry",,"+Posting Date",$L$5,"Item No.","@@"&amp;$D169,"Location Code","@@"&amp;$E$6)</t>
  </si>
  <si>
    <t>=NL("Sum","Item Ledger Entry","Quantity","Entry Type","Purchase","Entry No.",I169,"Location Code","@@"&amp;$E$6)</t>
  </si>
  <si>
    <t>=NL("Sum","Item Ledger Entry","Quantity","Entry Type","Sale","Entry No.",I169,"Location Code","@@"&amp;$E$6)</t>
  </si>
  <si>
    <t>=NL("Sum","Item Ledger Entry","Quantity","Entry Type","Positive Adjmt.|Negative Adjmt.","Entry No.",I169,"Location Code","@@"&amp;$E$6)</t>
  </si>
  <si>
    <t>=NL("Sum","Item Ledger Entry","Quantity","Entry Type","Transfer","Entry No.",I169,"Location Code","@@"&amp;$E$6)</t>
  </si>
  <si>
    <t>=NL("Sum","Item Ledger Entry","Quantity","Entry Type","Consumption","Entry No.",I169,"Location Code","@@"&amp;$E$6)</t>
  </si>
  <si>
    <t>=NL("Sum","Item Ledger Entry","Quantity","Entry Type","Output","Entry No.",I169,"Location Code","@@"&amp;$E$6)</t>
  </si>
  <si>
    <t>=NL("Rows","Item Ledger Entry",,"+Posting Date",$L$5,"Item No.","@@"&amp;$D173,"Location Code","@@"&amp;$E$6)</t>
  </si>
  <si>
    <t>=NL("Sum","Item Ledger Entry","Quantity","Entry Type","Purchase","Entry No.",I173,"Location Code","@@"&amp;$E$6)</t>
  </si>
  <si>
    <t>=NL("Sum","Item Ledger Entry","Quantity","Entry Type","Sale","Entry No.",I173,"Location Code","@@"&amp;$E$6)</t>
  </si>
  <si>
    <t>=NL("Sum","Item Ledger Entry","Quantity","Entry Type","Positive Adjmt.|Negative Adjmt.","Entry No.",I173,"Location Code","@@"&amp;$E$6)</t>
  </si>
  <si>
    <t>=NL("Sum","Item Ledger Entry","Quantity","Entry Type","Transfer","Entry No.",I173,"Location Code","@@"&amp;$E$6)</t>
  </si>
  <si>
    <t>=NL("Sum","Item Ledger Entry","Quantity","Entry Type","Consumption","Entry No.",I173,"Location Code","@@"&amp;$E$6)</t>
  </si>
  <si>
    <t>=NL("Sum","Item Ledger Entry","Quantity","Entry Type","Output","Entry No.",I173,"Location Code","@@"&amp;$E$6)</t>
  </si>
  <si>
    <t>=NL("Sum","Item Ledger Entry","Quantity","Entry Type","Purchase","Entry No.",I174,"Location Code","@@"&amp;$E$6)</t>
  </si>
  <si>
    <t>=NL("Sum","Item Ledger Entry","Quantity","Entry Type","Sale","Entry No.",I174,"Location Code","@@"&amp;$E$6)</t>
  </si>
  <si>
    <t>=NL("Sum","Item Ledger Entry","Quantity","Entry Type","Positive Adjmt.|Negative Adjmt.","Entry No.",I174,"Location Code","@@"&amp;$E$6)</t>
  </si>
  <si>
    <t>=NL("Sum","Item Ledger Entry","Quantity","Entry Type","Transfer","Entry No.",I174,"Location Code","@@"&amp;$E$6)</t>
  </si>
  <si>
    <t>=NL("Sum","Item Ledger Entry","Quantity","Entry Type","Consumption","Entry No.",I174,"Location Code","@@"&amp;$E$6)</t>
  </si>
  <si>
    <t>=NL("Sum","Item Ledger Entry","Quantity","Entry Type","Output","Entry No.",I174,"Location Code","@@"&amp;$E$6)</t>
  </si>
  <si>
    <t>=NL("Rows","Item Ledger Entry",,"+Posting Date",$L$5,"Item No.","@@"&amp;$D179,"Location Code","@@"&amp;$E$6)</t>
  </si>
  <si>
    <t>=NL("Sum","Item Ledger Entry","Quantity","Entry Type","Purchase","Entry No.",I179,"Location Code","@@"&amp;$E$6)</t>
  </si>
  <si>
    <t>=NL("Sum","Item Ledger Entry","Quantity","Entry Type","Sale","Entry No.",I179,"Location Code","@@"&amp;$E$6)</t>
  </si>
  <si>
    <t>=NL("Sum","Item Ledger Entry","Quantity","Entry Type","Positive Adjmt.|Negative Adjmt.","Entry No.",I179,"Location Code","@@"&amp;$E$6)</t>
  </si>
  <si>
    <t>=NL("Sum","Item Ledger Entry","Quantity","Entry Type","Transfer","Entry No.",I179,"Location Code","@@"&amp;$E$6)</t>
  </si>
  <si>
    <t>=NL("Sum","Item Ledger Entry","Quantity","Entry Type","Consumption","Entry No.",I179,"Location Code","@@"&amp;$E$6)</t>
  </si>
  <si>
    <t>=NL("Sum","Item Ledger Entry","Quantity","Entry Type","Output","Entry No.",I179,"Location Code","@@"&amp;$E$6)</t>
  </si>
  <si>
    <t>=NL("Rows","Item Ledger Entry",,"+Posting Date",$L$5,"Item No.","@@"&amp;$D183,"Location Code","@@"&amp;$E$6)</t>
  </si>
  <si>
    <t>=NL("Sum","Item Ledger Entry","Quantity","Entry Type","Purchase","Entry No.",I183,"Location Code","@@"&amp;$E$6)</t>
  </si>
  <si>
    <t>=NL("Sum","Item Ledger Entry","Quantity","Entry Type","Sale","Entry No.",I183,"Location Code","@@"&amp;$E$6)</t>
  </si>
  <si>
    <t>=NL("Sum","Item Ledger Entry","Quantity","Entry Type","Positive Adjmt.|Negative Adjmt.","Entry No.",I183,"Location Code","@@"&amp;$E$6)</t>
  </si>
  <si>
    <t>=NL("Sum","Item Ledger Entry","Quantity","Entry Type","Transfer","Entry No.",I183,"Location Code","@@"&amp;$E$6)</t>
  </si>
  <si>
    <t>=NL("Sum","Item Ledger Entry","Quantity","Entry Type","Consumption","Entry No.",I183,"Location Code","@@"&amp;$E$6)</t>
  </si>
  <si>
    <t>=NL("Sum","Item Ledger Entry","Quantity","Entry Type","Output","Entry No.",I183,"Location Code","@@"&amp;$E$6)</t>
  </si>
  <si>
    <t>=NL("Sum","Item Ledger Entry","Quantity","Entry Type","Purchase","Entry No.",I187,"Location Code","@@"&amp;$E$6)</t>
  </si>
  <si>
    <t>=NL("Sum","Item Ledger Entry","Quantity","Entry Type","Sale","Entry No.",I187,"Location Code","@@"&amp;$E$6)</t>
  </si>
  <si>
    <t>=NL("Sum","Item Ledger Entry","Quantity","Entry Type","Positive Adjmt.|Negative Adjmt.","Entry No.",I187,"Location Code","@@"&amp;$E$6)</t>
  </si>
  <si>
    <t>=NL("Sum","Item Ledger Entry","Quantity","Entry Type","Transfer","Entry No.",I187,"Location Code","@@"&amp;$E$6)</t>
  </si>
  <si>
    <t>=NL("Sum","Item Ledger Entry","Quantity","Entry Type","Consumption","Entry No.",I187,"Location Code","@@"&amp;$E$6)</t>
  </si>
  <si>
    <t>=NL("Sum","Item Ledger Entry","Quantity","Entry Type","Output","Entry No.",I187,"Location Code","@@"&amp;$E$6)</t>
  </si>
  <si>
    <t>=NL("Rows","Item Ledger Entry",,"+Posting Date",$L$5,"Item No.","@@"&amp;$D191,"Location Code","@@"&amp;$E$6)</t>
  </si>
  <si>
    <t>=NL("Sum","Item Ledger Entry","Quantity","Entry Type","Purchase","Entry No.",I191,"Location Code","@@"&amp;$E$6)</t>
  </si>
  <si>
    <t>=NL("Sum","Item Ledger Entry","Quantity","Entry Type","Sale","Entry No.",I191,"Location Code","@@"&amp;$E$6)</t>
  </si>
  <si>
    <t>=NL("Sum","Item Ledger Entry","Quantity","Entry Type","Positive Adjmt.|Negative Adjmt.","Entry No.",I191,"Location Code","@@"&amp;$E$6)</t>
  </si>
  <si>
    <t>=NL("Sum","Item Ledger Entry","Quantity","Entry Type","Transfer","Entry No.",I191,"Location Code","@@"&amp;$E$6)</t>
  </si>
  <si>
    <t>=NL("Sum","Item Ledger Entry","Quantity","Entry Type","Consumption","Entry No.",I191,"Location Code","@@"&amp;$E$6)</t>
  </si>
  <si>
    <t>=NL("Sum","Item Ledger Entry","Quantity","Entry Type","Output","Entry No.",I191,"Location Code","@@"&amp;$E$6)</t>
  </si>
  <si>
    <t>=NL("Rows","Item Ledger Entry",,"+Posting Date",$L$5,"Item No.","@@"&amp;$D75,"Location Code","@@"&amp;$E$6)</t>
  </si>
  <si>
    <t>=NL("Rows","Item Ledger Entry",,"+Posting Date",$L$5,"Item No.","@@"&amp;$D27,"Location Code","@@"&amp;$E$6)</t>
  </si>
  <si>
    <t>=NL("Rows","Item Ledger Entry",,"+Posting Date",$L$5,"Item No.","@@"&amp;$D143,"Location Code","@@"&amp;$E$6)</t>
  </si>
  <si>
    <t>="C100003"</t>
  </si>
  <si>
    <t>="C100004"</t>
  </si>
  <si>
    <t>="C100005"</t>
  </si>
  <si>
    <t>="C100006"</t>
  </si>
  <si>
    <t>=NL("Sum","Item Ledger Entry","Quantity","Entry Type","Purchase","Entry No.",I49,"Location Code",$L$7)</t>
  </si>
  <si>
    <t>=NL("Sum","Item Ledger Entry","Quantity","Entry Type","Sale","Entry No.",I49,"Location Code",$L$7)</t>
  </si>
  <si>
    <t>=NL("Sum","Item Ledger Entry","Quantity","Entry Type","Positive Adjmt.|Negative Adjmt.","Entry No.",I49,"Location Code",$L$7)</t>
  </si>
  <si>
    <t>=NL("Sum","Item Ledger Entry","Quantity","Entry Type","Transfer","Entry No.",I49,"Location Code",$L$7)</t>
  </si>
  <si>
    <t>=NL("Sum","Item Ledger Entry","Quantity","Entry Type","Consumption","Entry No.",I49,"Location Code",$L$7)</t>
  </si>
  <si>
    <t>=NL("Sum","Item Ledger Entry","Quantity","Entry Type","Output","Entry No.",I49,"Location Code",$L$7)</t>
  </si>
  <si>
    <t>="C100007"</t>
  </si>
  <si>
    <t>=E68</t>
  </si>
  <si>
    <t>="C100008"</t>
  </si>
  <si>
    <t>=NL("First","Item","Description","No.",$E68)</t>
  </si>
  <si>
    <t>=NL("First","Item","Base Unit of Measure","No.",$E68)</t>
  </si>
  <si>
    <t>="C100009"</t>
  </si>
  <si>
    <t>="C100010"</t>
  </si>
  <si>
    <t>="C100011"</t>
  </si>
  <si>
    <t>="C100014"</t>
  </si>
  <si>
    <t>="C100018"</t>
  </si>
  <si>
    <t>="C100019"</t>
  </si>
  <si>
    <t>=NL("Sum","Item Ledger Entry","Quantity","Entry Type","Purchase","Entry No.",I122,"Location Code",$L$7)</t>
  </si>
  <si>
    <t>=NL("Sum","Item Ledger Entry","Quantity","Entry Type","Sale","Entry No.",I122,"Location Code",$L$7)</t>
  </si>
  <si>
    <t>=NL("Sum","Item Ledger Entry","Quantity","Entry Type","Positive Adjmt.|Negative Adjmt.","Entry No.",I122,"Location Code",$L$7)</t>
  </si>
  <si>
    <t>=NL("Sum","Item Ledger Entry","Quantity","Entry Type","Transfer","Entry No.",I122,"Location Code",$L$7)</t>
  </si>
  <si>
    <t>=NL("Sum","Item Ledger Entry","Quantity","Entry Type","Consumption","Entry No.",I122,"Location Code",$L$7)</t>
  </si>
  <si>
    <t>=NL("Sum","Item Ledger Entry","Quantity","Entry Type","Output","Entry No.",I122,"Location Code",$L$7)</t>
  </si>
  <si>
    <t>=NL("Sum","Item Ledger Entry","Quantity","Entry Type","Purchase","Entry No.",I123,"Location Code",$L$7)</t>
  </si>
  <si>
    <t>=NL("Sum","Item Ledger Entry","Quantity","Entry Type","Sale","Entry No.",I123,"Location Code",$L$7)</t>
  </si>
  <si>
    <t>=NL("Sum","Item Ledger Entry","Quantity","Entry Type","Positive Adjmt.|Negative Adjmt.","Entry No.",I123,"Location Code",$L$7)</t>
  </si>
  <si>
    <t>=NL("Sum","Item Ledger Entry","Quantity","Entry Type","Transfer","Entry No.",I123,"Location Code",$L$7)</t>
  </si>
  <si>
    <t>=NL("Sum","Item Ledger Entry","Quantity","Entry Type","Consumption","Entry No.",I123,"Location Code",$L$7)</t>
  </si>
  <si>
    <t>=NL("Sum","Item Ledger Entry","Quantity","Entry Type","Output","Entry No.",I123,"Location Code",$L$7)</t>
  </si>
  <si>
    <t>="C100020"</t>
  </si>
  <si>
    <t>=NL("Sum","Item Ledger Entry","Quantity","Entry Type","Purchase","Entry No.",I132,"Location Code",$L$7)</t>
  </si>
  <si>
    <t>=NL("Sum","Item Ledger Entry","Quantity","Entry Type","Sale","Entry No.",I132,"Location Code",$L$7)</t>
  </si>
  <si>
    <t>=NL("Sum","Item Ledger Entry","Quantity","Entry Type","Positive Adjmt.|Negative Adjmt.","Entry No.",I132,"Location Code",$L$7)</t>
  </si>
  <si>
    <t>=NL("Sum","Item Ledger Entry","Quantity","Entry Type","Transfer","Entry No.",I132,"Location Code",$L$7)</t>
  </si>
  <si>
    <t>=NL("Sum","Item Ledger Entry","Quantity","Entry Type","Consumption","Entry No.",I132,"Location Code",$L$7)</t>
  </si>
  <si>
    <t>=NL("Sum","Item Ledger Entry","Quantity","Entry Type","Output","Entry No.",I132,"Location Code",$L$7)</t>
  </si>
  <si>
    <t>=NL("Sum","Item Ledger Entry","Quantity","Entry Type","Purchase","Entry No.",I133,"Location Code",$L$7)</t>
  </si>
  <si>
    <t>=NL("Sum","Item Ledger Entry","Quantity","Entry Type","Sale","Entry No.",I133,"Location Code",$L$7)</t>
  </si>
  <si>
    <t>=NL("Sum","Item Ledger Entry","Quantity","Entry Type","Positive Adjmt.|Negative Adjmt.","Entry No.",I133,"Location Code",$L$7)</t>
  </si>
  <si>
    <t>=NL("Sum","Item Ledger Entry","Quantity","Entry Type","Transfer","Entry No.",I133,"Location Code",$L$7)</t>
  </si>
  <si>
    <t>=NL("Sum","Item Ledger Entry","Quantity","Entry Type","Consumption","Entry No.",I133,"Location Code",$L$7)</t>
  </si>
  <si>
    <t>=NL("Sum","Item Ledger Entry","Quantity","Entry Type","Output","Entry No.",I133,"Location Code",$L$7)</t>
  </si>
  <si>
    <t>=NL("Sum","Item Ledger Entry","Quantity","Entry Type","Purchase","Entry No.",I134,"Location Code",$L$7)</t>
  </si>
  <si>
    <t>=NL("Sum","Item Ledger Entry","Quantity","Entry Type","Sale","Entry No.",I134,"Location Code",$L$7)</t>
  </si>
  <si>
    <t>=NL("Sum","Item Ledger Entry","Quantity","Entry Type","Positive Adjmt.|Negative Adjmt.","Entry No.",I134,"Location Code",$L$7)</t>
  </si>
  <si>
    <t>=NL("Sum","Item Ledger Entry","Quantity","Entry Type","Transfer","Entry No.",I134,"Location Code",$L$7)</t>
  </si>
  <si>
    <t>=NL("Sum","Item Ledger Entry","Quantity","Entry Type","Consumption","Entry No.",I134,"Location Code",$L$7)</t>
  </si>
  <si>
    <t>=NL("Sum","Item Ledger Entry","Quantity","Entry Type","Output","Entry No.",I134,"Location Code",$L$7)</t>
  </si>
  <si>
    <t>="C100021"</t>
  </si>
  <si>
    <t>=NL("Sum","Item Ledger Entry","Quantity","Entry Type","Purchase","Entry No.",I141,"Location Code",$L$7)</t>
  </si>
  <si>
    <t>=NL("Sum","Item Ledger Entry","Quantity","Entry Type","Sale","Entry No.",I141,"Location Code",$L$7)</t>
  </si>
  <si>
    <t>=NL("Sum","Item Ledger Entry","Quantity","Entry Type","Positive Adjmt.|Negative Adjmt.","Entry No.",I141,"Location Code",$L$7)</t>
  </si>
  <si>
    <t>=NL("Sum","Item Ledger Entry","Quantity","Entry Type","Transfer","Entry No.",I141,"Location Code",$L$7)</t>
  </si>
  <si>
    <t>=NL("Sum","Item Ledger Entry","Quantity","Entry Type","Consumption","Entry No.",I141,"Location Code",$L$7)</t>
  </si>
  <si>
    <t>=NL("Sum","Item Ledger Entry","Quantity","Entry Type","Output","Entry No.",I141,"Location Code",$L$7)</t>
  </si>
  <si>
    <t>=NL("Sum","Item Ledger Entry","Quantity","Entry Type","Purchase","Entry No.",I142,"Location Code",$L$7)</t>
  </si>
  <si>
    <t>=NL("Sum","Item Ledger Entry","Quantity","Entry Type","Sale","Entry No.",I142,"Location Code",$L$7)</t>
  </si>
  <si>
    <t>=NL("Sum","Item Ledger Entry","Quantity","Entry Type","Positive Adjmt.|Negative Adjmt.","Entry No.",I142,"Location Code",$L$7)</t>
  </si>
  <si>
    <t>=NL("Sum","Item Ledger Entry","Quantity","Entry Type","Transfer","Entry No.",I142,"Location Code",$L$7)</t>
  </si>
  <si>
    <t>=NL("Sum","Item Ledger Entry","Quantity","Entry Type","Consumption","Entry No.",I142,"Location Code",$L$7)</t>
  </si>
  <si>
    <t>=NL("Sum","Item Ledger Entry","Quantity","Entry Type","Output","Entry No.",I142,"Location Code",$L$7)</t>
  </si>
  <si>
    <t>=E145</t>
  </si>
  <si>
    <t>="C100022"</t>
  </si>
  <si>
    <t>=NL("First","Item","Description","No.",$E145)</t>
  </si>
  <si>
    <t>=NL("First","Item","Base Unit of Measure","No.",$E145)</t>
  </si>
  <si>
    <t>="C100023"</t>
  </si>
  <si>
    <t>="C100024"</t>
  </si>
  <si>
    <t>=D170</t>
  </si>
  <si>
    <t>=NF($G171,"Posting Date")</t>
  </si>
  <si>
    <t>=NF($G171,"Entry No.")</t>
  </si>
  <si>
    <t>=NF(G171,"Source Type")</t>
  </si>
  <si>
    <t>=NF($G171,"Source No.")</t>
  </si>
  <si>
    <t>=IF($J171="Customer",NL("first",$J171,"Name","No.","@@"&amp;$K171),"")</t>
  </si>
  <si>
    <t>=IF(J171="vendor",NL("first",J171,"Name","No.","@@"&amp;K171),"")</t>
  </si>
  <si>
    <t>=IF($J171="Item",NL("first",$J171,"Description","No.","@@"&amp;$K171),"")</t>
  </si>
  <si>
    <t>=NL("Sum","Item Ledger Entry","Quantity","Entry Type","Purchase","Entry No.",I171,"Location Code",$L$7)</t>
  </si>
  <si>
    <t>=NL("Sum","Item Ledger Entry","Quantity","Entry Type","Sale","Entry No.",I171,"Location Code",$L$7)</t>
  </si>
  <si>
    <t>=NL("Sum","Item Ledger Entry","Quantity","Entry Type","Positive Adjmt.|Negative Adjmt.","Entry No.",I171,"Location Code",$L$7)</t>
  </si>
  <si>
    <t>=NL("Sum","Item Ledger Entry","Quantity","Entry Type","Transfer","Entry No.",I171,"Location Code",$L$7)</t>
  </si>
  <si>
    <t>=NL("Sum","Item Ledger Entry","Quantity","Entry Type","Consumption","Entry No.",I171,"Location Code",$L$7)</t>
  </si>
  <si>
    <t>=NL("Sum","Item Ledger Entry","Quantity","Entry Type","Output","Entry No.",I171,"Location Code",$L$7)</t>
  </si>
  <si>
    <t>=D171</t>
  </si>
  <si>
    <t>=NF($G172,"Posting Date")</t>
  </si>
  <si>
    <t>=NF($G172,"Entry No.")</t>
  </si>
  <si>
    <t>=NF(G172,"Source Type")</t>
  </si>
  <si>
    <t>=NF($G172,"Source No.")</t>
  </si>
  <si>
    <t>=IF($J172="Customer",NL("first",$J172,"Name","No.","@@"&amp;$K172),"")</t>
  </si>
  <si>
    <t>=IF(J172="vendor",NL("first",J172,"Name","No.","@@"&amp;K172),"")</t>
  </si>
  <si>
    <t>=IF($J172="Item",NL("first",$J172,"Description","No.","@@"&amp;$K172),"")</t>
  </si>
  <si>
    <t>=NL("Sum","Item Ledger Entry","Quantity","Entry Type","Purchase","Entry No.",I172,"Location Code",$L$7)</t>
  </si>
  <si>
    <t>=NL("Sum","Item Ledger Entry","Quantity","Entry Type","Sale","Entry No.",I172,"Location Code",$L$7)</t>
  </si>
  <si>
    <t>=NL("Sum","Item Ledger Entry","Quantity","Entry Type","Positive Adjmt.|Negative Adjmt.","Entry No.",I172,"Location Code",$L$7)</t>
  </si>
  <si>
    <t>=NL("Sum","Item Ledger Entry","Quantity","Entry Type","Transfer","Entry No.",I172,"Location Code",$L$7)</t>
  </si>
  <si>
    <t>=NL("Sum","Item Ledger Entry","Quantity","Entry Type","Consumption","Entry No.",I172,"Location Code",$L$7)</t>
  </si>
  <si>
    <t>=NL("Sum","Item Ledger Entry","Quantity","Entry Type","Output","Entry No.",I172,"Location Code",$L$7)</t>
  </si>
  <si>
    <t>=NL("Sum","Item Ledger Entry","Quantity","Entry Type","Purchase","Entry No.",I173,"Location Code",$L$7)</t>
  </si>
  <si>
    <t>=NL("Sum","Item Ledger Entry","Quantity","Entry Type","Sale","Entry No.",I173,"Location Code",$L$7)</t>
  </si>
  <si>
    <t>=NL("Sum","Item Ledger Entry","Quantity","Entry Type","Positive Adjmt.|Negative Adjmt.","Entry No.",I173,"Location Code",$L$7)</t>
  </si>
  <si>
    <t>=NL("Sum","Item Ledger Entry","Quantity","Entry Type","Transfer","Entry No.",I173,"Location Code",$L$7)</t>
  </si>
  <si>
    <t>=NL("Sum","Item Ledger Entry","Quantity","Entry Type","Consumption","Entry No.",I173,"Location Code",$L$7)</t>
  </si>
  <si>
    <t>=NL("Sum","Item Ledger Entry","Quantity","Entry Type","Output","Entry No.",I173,"Location Code",$L$7)</t>
  </si>
  <si>
    <t>=E177</t>
  </si>
  <si>
    <t>="C100025"</t>
  </si>
  <si>
    <t>=NL("First","Item","Description","No.",$E177)</t>
  </si>
  <si>
    <t>=NL("First","Item","Base Unit of Measure","No.",$E177)</t>
  </si>
  <si>
    <t>=D183</t>
  </si>
  <si>
    <t>=NF($G184,"Posting Date")</t>
  </si>
  <si>
    <t>=NF($G184,"Entry No.")</t>
  </si>
  <si>
    <t>=NF(G184,"Source Type")</t>
  </si>
  <si>
    <t>=NF($G184,"Source No.")</t>
  </si>
  <si>
    <t>=IF($J184="Customer",NL("first",$J184,"Name","No.","@@"&amp;$K184),"")</t>
  </si>
  <si>
    <t>=IF(J184="vendor",NL("first",J184,"Name","No.","@@"&amp;K184),"")</t>
  </si>
  <si>
    <t>=IF($J184="Item",NL("first",$J184,"Description","No.","@@"&amp;$K184),"")</t>
  </si>
  <si>
    <t>=D184</t>
  </si>
  <si>
    <t>=NF($G185,"Posting Date")</t>
  </si>
  <si>
    <t>=NF($G185,"Entry No.")</t>
  </si>
  <si>
    <t>=NF(G185,"Source Type")</t>
  </si>
  <si>
    <t>=NF($G185,"Source No.")</t>
  </si>
  <si>
    <t>=IF($J185="Customer",NL("first",$J185,"Name","No.","@@"&amp;$K185),"")</t>
  </si>
  <si>
    <t>=IF(J185="vendor",NL("first",J185,"Name","No.","@@"&amp;K185),"")</t>
  </si>
  <si>
    <t>=IF($J185="Item",NL("first",$J185,"Description","No.","@@"&amp;$K185),"")</t>
  </si>
  <si>
    <t>=E189</t>
  </si>
  <si>
    <t>="C100026"</t>
  </si>
  <si>
    <t>=NL("First","Item","Description","No.",$E189)</t>
  </si>
  <si>
    <t>=NL("First","Item","Base Unit of Measure","No.",$E189)</t>
  </si>
  <si>
    <t>=E204</t>
  </si>
  <si>
    <t>="C100027"</t>
  </si>
  <si>
    <t>=NL("First","Item","Description","No.",$E204)</t>
  </si>
  <si>
    <t>=NL("First","Item","Base Unit of Measure","No.",$E204)</t>
  </si>
  <si>
    <t>=E209</t>
  </si>
  <si>
    <t>="C100028"</t>
  </si>
  <si>
    <t>=NL("First","Item","Description","No.",$E209)</t>
  </si>
  <si>
    <t>=NL("First","Item","Base Unit of Measure","No.",$E209)</t>
  </si>
  <si>
    <t>="C100029"</t>
  </si>
  <si>
    <t>=D225</t>
  </si>
  <si>
    <t>=NF($G226,"Posting Date")</t>
  </si>
  <si>
    <t>=NF($G226,"Entry No.")</t>
  </si>
  <si>
    <t>=NF(G226,"Source Type")</t>
  </si>
  <si>
    <t>=NF($G226,"Source No.")</t>
  </si>
  <si>
    <t>=IF($J226="Customer",NL("first",$J226,"Name","No.","@@"&amp;$K226),"")</t>
  </si>
  <si>
    <t>=IF(J226="vendor",NL("first",J226,"Name","No.","@@"&amp;K226),"")</t>
  </si>
  <si>
    <t>=IF($J226="Item",NL("first",$J226,"Description","No.","@@"&amp;$K226),"")</t>
  </si>
  <si>
    <t>=NL("Sum","Item Ledger Entry","Quantity","Entry Type","Purchase","Entry No.",I226,"Location Code",$L$7)</t>
  </si>
  <si>
    <t>=NL("Sum","Item Ledger Entry","Quantity","Entry Type","Sale","Entry No.",I226,"Location Code",$L$7)</t>
  </si>
  <si>
    <t>=NL("Sum","Item Ledger Entry","Quantity","Entry Type","Positive Adjmt.|Negative Adjmt.","Entry No.",I226,"Location Code",$L$7)</t>
  </si>
  <si>
    <t>=NL("Sum","Item Ledger Entry","Quantity","Entry Type","Transfer","Entry No.",I226,"Location Code",$L$7)</t>
  </si>
  <si>
    <t>=NL("Sum","Item Ledger Entry","Quantity","Entry Type","Consumption","Entry No.",I226,"Location Code",$L$7)</t>
  </si>
  <si>
    <t>=NL("Sum","Item Ledger Entry","Quantity","Entry Type","Output","Entry No.",I226,"Location Code",$L$7)</t>
  </si>
  <si>
    <t>=D226</t>
  </si>
  <si>
    <t>=NF($G227,"Posting Date")</t>
  </si>
  <si>
    <t>=NF($G227,"Entry No.")</t>
  </si>
  <si>
    <t>=NF(G227,"Source Type")</t>
  </si>
  <si>
    <t>=NF($G227,"Source No.")</t>
  </si>
  <si>
    <t>=IF($J227="Customer",NL("first",$J227,"Name","No.","@@"&amp;$K227),"")</t>
  </si>
  <si>
    <t>=IF(J227="vendor",NL("first",J227,"Name","No.","@@"&amp;K227),"")</t>
  </si>
  <si>
    <t>=IF($J227="Item",NL("first",$J227,"Description","No.","@@"&amp;$K227),"")</t>
  </si>
  <si>
    <t>=NL("Sum","Item Ledger Entry","Quantity","Entry Type","Purchase","Entry No.",I227,"Location Code",$L$7)</t>
  </si>
  <si>
    <t>=NL("Sum","Item Ledger Entry","Quantity","Entry Type","Sale","Entry No.",I227,"Location Code",$L$7)</t>
  </si>
  <si>
    <t>=NL("Sum","Item Ledger Entry","Quantity","Entry Type","Positive Adjmt.|Negative Adjmt.","Entry No.",I227,"Location Code",$L$7)</t>
  </si>
  <si>
    <t>=NL("Sum","Item Ledger Entry","Quantity","Entry Type","Transfer","Entry No.",I227,"Location Code",$L$7)</t>
  </si>
  <si>
    <t>=NL("Sum","Item Ledger Entry","Quantity","Entry Type","Consumption","Entry No.",I227,"Location Code",$L$7)</t>
  </si>
  <si>
    <t>=NL("Sum","Item Ledger Entry","Quantity","Entry Type","Output","Entry No.",I227,"Location Code",$L$7)</t>
  </si>
  <si>
    <t>=D227</t>
  </si>
  <si>
    <t>=NF($G228,"Posting Date")</t>
  </si>
  <si>
    <t>=NF($G228,"Entry No.")</t>
  </si>
  <si>
    <t>=NF(G228,"Source Type")</t>
  </si>
  <si>
    <t>=NF($G228,"Source No.")</t>
  </si>
  <si>
    <t>=IF($J228="Customer",NL("first",$J228,"Name","No.","@@"&amp;$K228),"")</t>
  </si>
  <si>
    <t>=IF(J228="vendor",NL("first",J228,"Name","No.","@@"&amp;K228),"")</t>
  </si>
  <si>
    <t>=IF($J228="Item",NL("first",$J228,"Description","No.","@@"&amp;$K228),"")</t>
  </si>
  <si>
    <t>=D230</t>
  </si>
  <si>
    <t>=NF($G231,"Posting Date")</t>
  </si>
  <si>
    <t>=NF($G231,"Entry No.")</t>
  </si>
  <si>
    <t>=NF(G231,"Source Type")</t>
  </si>
  <si>
    <t>=NF($G231,"Source No.")</t>
  </si>
  <si>
    <t>=IF($J231="Customer",NL("first",$J231,"Name","No.","@@"&amp;$K231),"")</t>
  </si>
  <si>
    <t>=IF(J231="vendor",NL("first",J231,"Name","No.","@@"&amp;K231),"")</t>
  </si>
  <si>
    <t>=IF($J231="Item",NL("first",$J231,"Description","No.","@@"&amp;$K231),"")</t>
  </si>
  <si>
    <t>=NL("Sum","Item Ledger Entry","Quantity","Entry Type","Purchase","Entry No.",I231,"Location Code",$L$7)</t>
  </si>
  <si>
    <t>=NL("Sum","Item Ledger Entry","Quantity","Entry Type","Sale","Entry No.",I231,"Location Code",$L$7)</t>
  </si>
  <si>
    <t>=NL("Sum","Item Ledger Entry","Quantity","Entry Type","Positive Adjmt.|Negative Adjmt.","Entry No.",I231,"Location Code",$L$7)</t>
  </si>
  <si>
    <t>=NL("Sum","Item Ledger Entry","Quantity","Entry Type","Transfer","Entry No.",I231,"Location Code",$L$7)</t>
  </si>
  <si>
    <t>=NL("Sum","Item Ledger Entry","Quantity","Entry Type","Consumption","Entry No.",I231,"Location Code",$L$7)</t>
  </si>
  <si>
    <t>=NL("Sum","Item Ledger Entry","Quantity","Entry Type","Output","Entry No.",I231,"Location Code",$L$7)</t>
  </si>
  <si>
    <t>=D231</t>
  </si>
  <si>
    <t>=NF($G232,"Posting Date")</t>
  </si>
  <si>
    <t>=NF($G232,"Entry No.")</t>
  </si>
  <si>
    <t>=NF(G232,"Source Type")</t>
  </si>
  <si>
    <t>=NF($G232,"Source No.")</t>
  </si>
  <si>
    <t>=IF($J232="Customer",NL("first",$J232,"Name","No.","@@"&amp;$K232),"")</t>
  </si>
  <si>
    <t>=IF(J232="vendor",NL("first",J232,"Name","No.","@@"&amp;K232),"")</t>
  </si>
  <si>
    <t>=IF($J232="Item",NL("first",$J232,"Description","No.","@@"&amp;$K232),"")</t>
  </si>
  <si>
    <t>=NL("Sum","Item Ledger Entry","Quantity","Entry Type","Purchase","Entry No.",I232,"Location Code",$L$7)</t>
  </si>
  <si>
    <t>=NL("Sum","Item Ledger Entry","Quantity","Entry Type","Sale","Entry No.",I232,"Location Code",$L$7)</t>
  </si>
  <si>
    <t>=NL("Sum","Item Ledger Entry","Quantity","Entry Type","Positive Adjmt.|Negative Adjmt.","Entry No.",I232,"Location Code",$L$7)</t>
  </si>
  <si>
    <t>=NL("Sum","Item Ledger Entry","Quantity","Entry Type","Transfer","Entry No.",I232,"Location Code",$L$7)</t>
  </si>
  <si>
    <t>=NL("Sum","Item Ledger Entry","Quantity","Entry Type","Consumption","Entry No.",I232,"Location Code",$L$7)</t>
  </si>
  <si>
    <t>=NL("Sum","Item Ledger Entry","Quantity","Entry Type","Output","Entry No.",I232,"Location Code",$L$7)</t>
  </si>
  <si>
    <t>=E235</t>
  </si>
  <si>
    <t>="C100030"</t>
  </si>
  <si>
    <t>=NL("First","Item","Description","No.",$E235)</t>
  </si>
  <si>
    <t>=NL("First","Item","Base Unit of Measure","No.",$E235)</t>
  </si>
  <si>
    <t>=E248</t>
  </si>
  <si>
    <t>="C100031"</t>
  </si>
  <si>
    <t>=NL("First","Item","Description","No.",$E248)</t>
  </si>
  <si>
    <t>=NL("First","Item","Base Unit of Measure","No.",$E248)</t>
  </si>
  <si>
    <t>=E263</t>
  </si>
  <si>
    <t>="C100032"</t>
  </si>
  <si>
    <t>=NL("First","Item","Description","No.",$E263)</t>
  </si>
  <si>
    <t>=NL("First","Item","Base Unit of Measure","No.",$E263)</t>
  </si>
  <si>
    <t>=D268</t>
  </si>
  <si>
    <t>=NF($G269,"Posting Date")</t>
  </si>
  <si>
    <t>=NF($G269,"Entry No.")</t>
  </si>
  <si>
    <t>=NF(G269,"Source Type")</t>
  </si>
  <si>
    <t>=NF($G269,"Source No.")</t>
  </si>
  <si>
    <t>=IF($J269="Customer",NL("first",$J269,"Name","No.","@@"&amp;$K269),"")</t>
  </si>
  <si>
    <t>=IF(J269="vendor",NL("first",J269,"Name","No.","@@"&amp;K269),"")</t>
  </si>
  <si>
    <t>=IF($J269="Item",NL("first",$J269,"Description","No.","@@"&amp;$K269),"")</t>
  </si>
  <si>
    <t>=NL("Sum","Item Ledger Entry","Quantity","Entry Type","Purchase","Entry No.",I269,"Location Code",$L$7)</t>
  </si>
  <si>
    <t>=NL("Sum","Item Ledger Entry","Quantity","Entry Type","Sale","Entry No.",I269,"Location Code",$L$7)</t>
  </si>
  <si>
    <t>=NL("Sum","Item Ledger Entry","Quantity","Entry Type","Positive Adjmt.|Negative Adjmt.","Entry No.",I269,"Location Code",$L$7)</t>
  </si>
  <si>
    <t>=NL("Sum","Item Ledger Entry","Quantity","Entry Type","Transfer","Entry No.",I269,"Location Code",$L$7)</t>
  </si>
  <si>
    <t>=NL("Sum","Item Ledger Entry","Quantity","Entry Type","Consumption","Entry No.",I269,"Location Code",$L$7)</t>
  </si>
  <si>
    <t>=NL("Sum","Item Ledger Entry","Quantity","Entry Type","Output","Entry No.",I269,"Location Code",$L$7)</t>
  </si>
  <si>
    <t>=D269</t>
  </si>
  <si>
    <t>=NF($G270,"Posting Date")</t>
  </si>
  <si>
    <t>=NF($G270,"Entry No.")</t>
  </si>
  <si>
    <t>=NF(G270,"Source Type")</t>
  </si>
  <si>
    <t>=NF($G270,"Source No.")</t>
  </si>
  <si>
    <t>=IF($J270="Customer",NL("first",$J270,"Name","No.","@@"&amp;$K270),"")</t>
  </si>
  <si>
    <t>=IF(J270="vendor",NL("first",J270,"Name","No.","@@"&amp;K270),"")</t>
  </si>
  <si>
    <t>=IF($J270="Item",NL("first",$J270,"Description","No.","@@"&amp;$K270),"")</t>
  </si>
  <si>
    <t>=NL("Sum","Item Ledger Entry","Quantity","Entry Type","Purchase","Entry No.",I270,"Location Code",$L$7)</t>
  </si>
  <si>
    <t>=NL("Sum","Item Ledger Entry","Quantity","Entry Type","Sale","Entry No.",I270,"Location Code",$L$7)</t>
  </si>
  <si>
    <t>=NL("Sum","Item Ledger Entry","Quantity","Entry Type","Positive Adjmt.|Negative Adjmt.","Entry No.",I270,"Location Code",$L$7)</t>
  </si>
  <si>
    <t>=NL("Sum","Item Ledger Entry","Quantity","Entry Type","Transfer","Entry No.",I270,"Location Code",$L$7)</t>
  </si>
  <si>
    <t>=NL("Sum","Item Ledger Entry","Quantity","Entry Type","Consumption","Entry No.",I270,"Location Code",$L$7)</t>
  </si>
  <si>
    <t>=NL("Sum","Item Ledger Entry","Quantity","Entry Type","Output","Entry No.",I270,"Location Code",$L$7)</t>
  </si>
  <si>
    <t>=D270</t>
  </si>
  <si>
    <t>=NF($G271,"Posting Date")</t>
  </si>
  <si>
    <t>=NF($G271,"Entry No.")</t>
  </si>
  <si>
    <t>=NF(G271,"Source Type")</t>
  </si>
  <si>
    <t>=NF($G271,"Source No.")</t>
  </si>
  <si>
    <t>=IF($J271="Customer",NL("first",$J271,"Name","No.","@@"&amp;$K271),"")</t>
  </si>
  <si>
    <t>=IF(J271="vendor",NL("first",J271,"Name","No.","@@"&amp;K271),"")</t>
  </si>
  <si>
    <t>=IF($J271="Item",NL("first",$J271,"Description","No.","@@"&amp;$K271),"")</t>
  </si>
  <si>
    <t>=NL("Sum","Item Ledger Entry","Quantity","Entry Type","Purchase","Entry No.",I271,"Location Code",$L$7)</t>
  </si>
  <si>
    <t>=NL("Sum","Item Ledger Entry","Quantity","Entry Type","Sale","Entry No.",I271,"Location Code",$L$7)</t>
  </si>
  <si>
    <t>=NL("Sum","Item Ledger Entry","Quantity","Entry Type","Positive Adjmt.|Negative Adjmt.","Entry No.",I271,"Location Code",$L$7)</t>
  </si>
  <si>
    <t>=NL("Sum","Item Ledger Entry","Quantity","Entry Type","Transfer","Entry No.",I271,"Location Code",$L$7)</t>
  </si>
  <si>
    <t>=NL("Sum","Item Ledger Entry","Quantity","Entry Type","Consumption","Entry No.",I271,"Location Code",$L$7)</t>
  </si>
  <si>
    <t>=NL("Sum","Item Ledger Entry","Quantity","Entry Type","Output","Entry No.",I271,"Location Code",$L$7)</t>
  </si>
  <si>
    <t>="C100033"</t>
  </si>
  <si>
    <t>=D280</t>
  </si>
  <si>
    <t>=NF($G281,"Posting Date")</t>
  </si>
  <si>
    <t>=NF($G281,"Entry No.")</t>
  </si>
  <si>
    <t>=NF(G281,"Source Type")</t>
  </si>
  <si>
    <t>=NF($G281,"Source No.")</t>
  </si>
  <si>
    <t>=IF($J281="Customer",NL("first",$J281,"Name","No.","@@"&amp;$K281),"")</t>
  </si>
  <si>
    <t>=IF(J281="vendor",NL("first",J281,"Name","No.","@@"&amp;K281),"")</t>
  </si>
  <si>
    <t>=IF($J281="Item",NL("first",$J281,"Description","No.","@@"&amp;$K281),"")</t>
  </si>
  <si>
    <t>=D281</t>
  </si>
  <si>
    <t>=NF($G282,"Posting Date")</t>
  </si>
  <si>
    <t>=NF($G282,"Entry No.")</t>
  </si>
  <si>
    <t>=NF(G282,"Source Type")</t>
  </si>
  <si>
    <t>=NF($G282,"Source No.")</t>
  </si>
  <si>
    <t>=IF($J282="Customer",NL("first",$J282,"Name","No.","@@"&amp;$K282),"")</t>
  </si>
  <si>
    <t>=IF(J282="vendor",NL("first",J282,"Name","No.","@@"&amp;K282),"")</t>
  </si>
  <si>
    <t>=IF($J282="Item",NL("first",$J282,"Description","No.","@@"&amp;$K282),"")</t>
  </si>
  <si>
    <t>=D282</t>
  </si>
  <si>
    <t>=NF($G283,"Posting Date")</t>
  </si>
  <si>
    <t>=NF($G283,"Entry No.")</t>
  </si>
  <si>
    <t>=NF(G283,"Source Type")</t>
  </si>
  <si>
    <t>=NF($G283,"Source No.")</t>
  </si>
  <si>
    <t>=IF($J283="Customer",NL("first",$J283,"Name","No.","@@"&amp;$K283),"")</t>
  </si>
  <si>
    <t>=IF(J283="vendor",NL("first",J283,"Name","No.","@@"&amp;K283),"")</t>
  </si>
  <si>
    <t>=IF($J283="Item",NL("first",$J283,"Description","No.","@@"&amp;$K283),"")</t>
  </si>
  <si>
    <t>=NL("Sum","Item Ledger Entry","Quantity","Entry Type","Purchase","Entry No.",I283,"Location Code",$L$7)</t>
  </si>
  <si>
    <t>=NL("Sum","Item Ledger Entry","Quantity","Entry Type","Sale","Entry No.",I283,"Location Code",$L$7)</t>
  </si>
  <si>
    <t>=NL("Sum","Item Ledger Entry","Quantity","Entry Type","Positive Adjmt.|Negative Adjmt.","Entry No.",I283,"Location Code",$L$7)</t>
  </si>
  <si>
    <t>=NL("Sum","Item Ledger Entry","Quantity","Entry Type","Transfer","Entry No.",I283,"Location Code",$L$7)</t>
  </si>
  <si>
    <t>=NL("Sum","Item Ledger Entry","Quantity","Entry Type","Consumption","Entry No.",I283,"Location Code",$L$7)</t>
  </si>
  <si>
    <t>=NL("Sum","Item Ledger Entry","Quantity","Entry Type","Output","Entry No.",I283,"Location Code",$L$7)</t>
  </si>
  <si>
    <t>=E288</t>
  </si>
  <si>
    <t>="C100034"</t>
  </si>
  <si>
    <t>=NL("First","Item","Description","No.",$E288)</t>
  </si>
  <si>
    <t>=NL("First","Item","Base Unit of Measure","No.",$E288)</t>
  </si>
  <si>
    <t>=E296</t>
  </si>
  <si>
    <t>="C100035"</t>
  </si>
  <si>
    <t>=NL("First","Item","Description","No.",$E296)</t>
  </si>
  <si>
    <t>=NL("First","Item","Base Unit of Measure","No.",$E296)</t>
  </si>
  <si>
    <t>="C100036"</t>
  </si>
  <si>
    <t>=D311</t>
  </si>
  <si>
    <t>=NF($G312,"Posting Date")</t>
  </si>
  <si>
    <t>=NF($G312,"Entry No.")</t>
  </si>
  <si>
    <t>=NF(G312,"Source Type")</t>
  </si>
  <si>
    <t>=NF($G312,"Source No.")</t>
  </si>
  <si>
    <t>=IF($J312="Customer",NL("first",$J312,"Name","No.","@@"&amp;$K312),"")</t>
  </si>
  <si>
    <t>=IF(J312="vendor",NL("first",J312,"Name","No.","@@"&amp;K312),"")</t>
  </si>
  <si>
    <t>=IF($J312="Item",NL("first",$J312,"Description","No.","@@"&amp;$K312),"")</t>
  </si>
  <si>
    <t>=NL("Sum","Item Ledger Entry","Quantity","Entry Type","Purchase","Entry No.",I312,"Location Code",$L$7)</t>
  </si>
  <si>
    <t>=NL("Sum","Item Ledger Entry","Quantity","Entry Type","Sale","Entry No.",I312,"Location Code",$L$7)</t>
  </si>
  <si>
    <t>=NL("Sum","Item Ledger Entry","Quantity","Entry Type","Positive Adjmt.|Negative Adjmt.","Entry No.",I312,"Location Code",$L$7)</t>
  </si>
  <si>
    <t>=NL("Sum","Item Ledger Entry","Quantity","Entry Type","Transfer","Entry No.",I312,"Location Code",$L$7)</t>
  </si>
  <si>
    <t>=NL("Sum","Item Ledger Entry","Quantity","Entry Type","Consumption","Entry No.",I312,"Location Code",$L$7)</t>
  </si>
  <si>
    <t>=NL("Sum","Item Ledger Entry","Quantity","Entry Type","Output","Entry No.",I312,"Location Code",$L$7)</t>
  </si>
  <si>
    <t>=D312</t>
  </si>
  <si>
    <t>=NF($G313,"Posting Date")</t>
  </si>
  <si>
    <t>=NF($G313,"Entry No.")</t>
  </si>
  <si>
    <t>=NF(G313,"Source Type")</t>
  </si>
  <si>
    <t>=NF($G313,"Source No.")</t>
  </si>
  <si>
    <t>=IF($J313="Customer",NL("first",$J313,"Name","No.","@@"&amp;$K313),"")</t>
  </si>
  <si>
    <t>=IF(J313="vendor",NL("first",J313,"Name","No.","@@"&amp;K313),"")</t>
  </si>
  <si>
    <t>=IF($J313="Item",NL("first",$J313,"Description","No.","@@"&amp;$K313),"")</t>
  </si>
  <si>
    <t>=D313</t>
  </si>
  <si>
    <t>=NF($G314,"Posting Date")</t>
  </si>
  <si>
    <t>=NF($G314,"Entry No.")</t>
  </si>
  <si>
    <t>=NF(G314,"Source Type")</t>
  </si>
  <si>
    <t>=NF($G314,"Source No.")</t>
  </si>
  <si>
    <t>=IF($J314="Customer",NL("first",$J314,"Name","No.","@@"&amp;$K314),"")</t>
  </si>
  <si>
    <t>=IF(J314="vendor",NL("first",J314,"Name","No.","@@"&amp;K314),"")</t>
  </si>
  <si>
    <t>=IF($J314="Item",NL("first",$J314,"Description","No.","@@"&amp;$K314),"")</t>
  </si>
  <si>
    <t>="C100037"</t>
  </si>
  <si>
    <t>=E325</t>
  </si>
  <si>
    <t>="C100038"</t>
  </si>
  <si>
    <t>=NL("First","Item","Description","No.",$E325)</t>
  </si>
  <si>
    <t>=NL("First","Item","Base Unit of Measure","No.",$E325)</t>
  </si>
  <si>
    <t>=E332</t>
  </si>
  <si>
    <t>="C100039"</t>
  </si>
  <si>
    <t>=NL("First","Item","Description","No.",$E332)</t>
  </si>
  <si>
    <t>=NL("First","Item","Base Unit of Measure","No.",$E332)</t>
  </si>
  <si>
    <t>=D334</t>
  </si>
  <si>
    <t>=NF($G335,"Posting Date")</t>
  </si>
  <si>
    <t>=NF($G335,"Entry No.")</t>
  </si>
  <si>
    <t>=NF(G335,"Source Type")</t>
  </si>
  <si>
    <t>=NF($G335,"Source No.")</t>
  </si>
  <si>
    <t>=IF($J335="Customer",NL("first",$J335,"Name","No.","@@"&amp;$K335),"")</t>
  </si>
  <si>
    <t>=IF(J335="vendor",NL("first",J335,"Name","No.","@@"&amp;K335),"")</t>
  </si>
  <si>
    <t>=IF($J335="Item",NL("first",$J335,"Description","No.","@@"&amp;$K335),"")</t>
  </si>
  <si>
    <t>=D335</t>
  </si>
  <si>
    <t>=NF($G336,"Posting Date")</t>
  </si>
  <si>
    <t>=NF($G336,"Entry No.")</t>
  </si>
  <si>
    <t>=NF(G336,"Source Type")</t>
  </si>
  <si>
    <t>=NF($G336,"Source No.")</t>
  </si>
  <si>
    <t>=IF($J336="Customer",NL("first",$J336,"Name","No.","@@"&amp;$K336),"")</t>
  </si>
  <si>
    <t>=IF(J336="vendor",NL("first",J336,"Name","No.","@@"&amp;K336),"")</t>
  </si>
  <si>
    <t>=IF($J336="Item",NL("first",$J336,"Description","No.","@@"&amp;$K336),"")</t>
  </si>
  <si>
    <t>=NL("Sum","Item Ledger Entry","Quantity","Entry Type","Purchase","Entry No.",I336,"Location Code",$L$7)</t>
  </si>
  <si>
    <t>=NL("Sum","Item Ledger Entry","Quantity","Entry Type","Sale","Entry No.",I336,"Location Code",$L$7)</t>
  </si>
  <si>
    <t>=NL("Sum","Item Ledger Entry","Quantity","Entry Type","Positive Adjmt.|Negative Adjmt.","Entry No.",I336,"Location Code",$L$7)</t>
  </si>
  <si>
    <t>=NL("Sum","Item Ledger Entry","Quantity","Entry Type","Transfer","Entry No.",I336,"Location Code",$L$7)</t>
  </si>
  <si>
    <t>=NL("Sum","Item Ledger Entry","Quantity","Entry Type","Consumption","Entry No.",I336,"Location Code",$L$7)</t>
  </si>
  <si>
    <t>=NL("Sum","Item Ledger Entry","Quantity","Entry Type","Output","Entry No.",I336,"Location Code",$L$7)</t>
  </si>
  <si>
    <t>=D336</t>
  </si>
  <si>
    <t>=NF($G337,"Posting Date")</t>
  </si>
  <si>
    <t>=NF($G337,"Entry No.")</t>
  </si>
  <si>
    <t>=NF(G337,"Source Type")</t>
  </si>
  <si>
    <t>=NF($G337,"Source No.")</t>
  </si>
  <si>
    <t>=IF($J337="Customer",NL("first",$J337,"Name","No.","@@"&amp;$K337),"")</t>
  </si>
  <si>
    <t>=IF(J337="vendor",NL("first",J337,"Name","No.","@@"&amp;K337),"")</t>
  </si>
  <si>
    <t>=IF($J337="Item",NL("first",$J337,"Description","No.","@@"&amp;$K337),"")</t>
  </si>
  <si>
    <t>=NL("Sum","Item Ledger Entry","Quantity","Entry Type","Purchase","Entry No.",I337,"Location Code",$L$7)</t>
  </si>
  <si>
    <t>=NL("Sum","Item Ledger Entry","Quantity","Entry Type","Sale","Entry No.",I337,"Location Code",$L$7)</t>
  </si>
  <si>
    <t>=NL("Sum","Item Ledger Entry","Quantity","Entry Type","Positive Adjmt.|Negative Adjmt.","Entry No.",I337,"Location Code",$L$7)</t>
  </si>
  <si>
    <t>=NL("Sum","Item Ledger Entry","Quantity","Entry Type","Transfer","Entry No.",I337,"Location Code",$L$7)</t>
  </si>
  <si>
    <t>=NL("Sum","Item Ledger Entry","Quantity","Entry Type","Consumption","Entry No.",I337,"Location Code",$L$7)</t>
  </si>
  <si>
    <t>=NL("Sum","Item Ledger Entry","Quantity","Entry Type","Output","Entry No.",I337,"Location Code",$L$7)</t>
  </si>
  <si>
    <t>="C100040"</t>
  </si>
  <si>
    <t>=D346</t>
  </si>
  <si>
    <t>=NF($G347,"Posting Date")</t>
  </si>
  <si>
    <t>=NF($G347,"Entry No.")</t>
  </si>
  <si>
    <t>=NF(G347,"Source Type")</t>
  </si>
  <si>
    <t>=NF($G347,"Source No.")</t>
  </si>
  <si>
    <t>=IF($J347="Customer",NL("first",$J347,"Name","No.","@@"&amp;$K347),"")</t>
  </si>
  <si>
    <t>=IF(J347="vendor",NL("first",J347,"Name","No.","@@"&amp;K347),"")</t>
  </si>
  <si>
    <t>=IF($J347="Item",NL("first",$J347,"Description","No.","@@"&amp;$K347),"")</t>
  </si>
  <si>
    <t>=NL("Sum","Item Ledger Entry","Quantity","Entry Type","Purchase","Entry No.",I347,"Location Code",$L$7)</t>
  </si>
  <si>
    <t>=NL("Sum","Item Ledger Entry","Quantity","Entry Type","Sale","Entry No.",I347,"Location Code",$L$7)</t>
  </si>
  <si>
    <t>=NL("Sum","Item Ledger Entry","Quantity","Entry Type","Positive Adjmt.|Negative Adjmt.","Entry No.",I347,"Location Code",$L$7)</t>
  </si>
  <si>
    <t>=NL("Sum","Item Ledger Entry","Quantity","Entry Type","Transfer","Entry No.",I347,"Location Code",$L$7)</t>
  </si>
  <si>
    <t>=NL("Sum","Item Ledger Entry","Quantity","Entry Type","Consumption","Entry No.",I347,"Location Code",$L$7)</t>
  </si>
  <si>
    <t>=NL("Sum","Item Ledger Entry","Quantity","Entry Type","Output","Entry No.",I347,"Location Code",$L$7)</t>
  </si>
  <si>
    <t>=D347</t>
  </si>
  <si>
    <t>=NF($G348,"Posting Date")</t>
  </si>
  <si>
    <t>=NF($G348,"Entry No.")</t>
  </si>
  <si>
    <t>=NF(G348,"Source Type")</t>
  </si>
  <si>
    <t>=NF($G348,"Source No.")</t>
  </si>
  <si>
    <t>=IF($J348="Customer",NL("first",$J348,"Name","No.","@@"&amp;$K348),"")</t>
  </si>
  <si>
    <t>=IF(J348="vendor",NL("first",J348,"Name","No.","@@"&amp;K348),"")</t>
  </si>
  <si>
    <t>=IF($J348="Item",NL("first",$J348,"Description","No.","@@"&amp;$K348),"")</t>
  </si>
  <si>
    <t>=NL("Sum","Item Ledger Entry","Quantity","Entry Type","Purchase","Entry No.",I348,"Location Code",$L$7)</t>
  </si>
  <si>
    <t>=NL("Sum","Item Ledger Entry","Quantity","Entry Type","Sale","Entry No.",I348,"Location Code",$L$7)</t>
  </si>
  <si>
    <t>=NL("Sum","Item Ledger Entry","Quantity","Entry Type","Positive Adjmt.|Negative Adjmt.","Entry No.",I348,"Location Code",$L$7)</t>
  </si>
  <si>
    <t>=NL("Sum","Item Ledger Entry","Quantity","Entry Type","Transfer","Entry No.",I348,"Location Code",$L$7)</t>
  </si>
  <si>
    <t>=NL("Sum","Item Ledger Entry","Quantity","Entry Type","Consumption","Entry No.",I348,"Location Code",$L$7)</t>
  </si>
  <si>
    <t>=NL("Sum","Item Ledger Entry","Quantity","Entry Type","Output","Entry No.",I348,"Location Code",$L$7)</t>
  </si>
  <si>
    <t>="C100041"</t>
  </si>
  <si>
    <t>=E360</t>
  </si>
  <si>
    <t>="C100042"</t>
  </si>
  <si>
    <t>=NL("First","Item","Description","No.",$E360)</t>
  </si>
  <si>
    <t>=NL("First","Item","Base Unit of Measure","No.",$E360)</t>
  </si>
  <si>
    <t>=D360</t>
  </si>
  <si>
    <t>=NF($G361,"Posting Date")</t>
  </si>
  <si>
    <t>=NF($G361,"Entry No.")</t>
  </si>
  <si>
    <t>=NF(G361,"Source Type")</t>
  </si>
  <si>
    <t>=NF($G361,"Source No.")</t>
  </si>
  <si>
    <t>=IF($J361="Customer",NL("first",$J361,"Name","No.","@@"&amp;$K361),"")</t>
  </si>
  <si>
    <t>=IF(J361="vendor",NL("first",J361,"Name","No.","@@"&amp;K361),"")</t>
  </si>
  <si>
    <t>=IF($J361="Item",NL("first",$J361,"Description","No.","@@"&amp;$K361),"")</t>
  </si>
  <si>
    <t>=NL("Sum","Item Ledger Entry","Quantity","Entry Type","Purchase","Entry No.",I361,"Location Code",$L$7)</t>
  </si>
  <si>
    <t>=NL("Sum","Item Ledger Entry","Quantity","Entry Type","Sale","Entry No.",I361,"Location Code",$L$7)</t>
  </si>
  <si>
    <t>=NL("Sum","Item Ledger Entry","Quantity","Entry Type","Positive Adjmt.|Negative Adjmt.","Entry No.",I361,"Location Code",$L$7)</t>
  </si>
  <si>
    <t>=NL("Sum","Item Ledger Entry","Quantity","Entry Type","Transfer","Entry No.",I361,"Location Code",$L$7)</t>
  </si>
  <si>
    <t>=NL("Sum","Item Ledger Entry","Quantity","Entry Type","Consumption","Entry No.",I361,"Location Code",$L$7)</t>
  </si>
  <si>
    <t>=NL("Sum","Item Ledger Entry","Quantity","Entry Type","Output","Entry No.",I361,"Location Code",$L$7)</t>
  </si>
  <si>
    <t>="C100043"</t>
  </si>
  <si>
    <t>="C100044"</t>
  </si>
  <si>
    <t>="C100045"</t>
  </si>
  <si>
    <t>=D392</t>
  </si>
  <si>
    <t>=NF($G393,"Posting Date")</t>
  </si>
  <si>
    <t>=NF($G393,"Entry No.")</t>
  </si>
  <si>
    <t>=NF(G393,"Source Type")</t>
  </si>
  <si>
    <t>=NF($G393,"Source No.")</t>
  </si>
  <si>
    <t>=IF($J393="Customer",NL("first",$J393,"Name","No.","@@"&amp;$K393),"")</t>
  </si>
  <si>
    <t>=IF(J393="vendor",NL("first",J393,"Name","No.","@@"&amp;K393),"")</t>
  </si>
  <si>
    <t>=IF($J393="Item",NL("first",$J393,"Description","No.","@@"&amp;$K393),"")</t>
  </si>
  <si>
    <t>=D393</t>
  </si>
  <si>
    <t>=NF($G394,"Posting Date")</t>
  </si>
  <si>
    <t>=NF($G394,"Entry No.")</t>
  </si>
  <si>
    <t>=NF(G394,"Source Type")</t>
  </si>
  <si>
    <t>=NF($G394,"Source No.")</t>
  </si>
  <si>
    <t>=IF($J394="Customer",NL("first",$J394,"Name","No.","@@"&amp;$K394),"")</t>
  </si>
  <si>
    <t>=IF(J394="vendor",NL("first",J394,"Name","No.","@@"&amp;K394),"")</t>
  </si>
  <si>
    <t>=IF($J394="Item",NL("first",$J394,"Description","No.","@@"&amp;$K394),"")</t>
  </si>
  <si>
    <t>="C100046"</t>
  </si>
  <si>
    <t>=D401</t>
  </si>
  <si>
    <t>=NF($G402,"Posting Date")</t>
  </si>
  <si>
    <t>=NF($G402,"Entry No.")</t>
  </si>
  <si>
    <t>=NF(G402,"Source Type")</t>
  </si>
  <si>
    <t>=NF($G402,"Source No.")</t>
  </si>
  <si>
    <t>=IF($J402="Customer",NL("first",$J402,"Name","No.","@@"&amp;$K402),"")</t>
  </si>
  <si>
    <t>=IF(J402="vendor",NL("first",J402,"Name","No.","@@"&amp;K402),"")</t>
  </si>
  <si>
    <t>=IF($J402="Item",NL("first",$J402,"Description","No.","@@"&amp;$K402),"")</t>
  </si>
  <si>
    <t>=NL("Sum","Item Ledger Entry","Quantity","Entry Type","Purchase","Entry No.",I402,"Location Code",$L$7)</t>
  </si>
  <si>
    <t>=NL("Sum","Item Ledger Entry","Quantity","Entry Type","Sale","Entry No.",I402,"Location Code",$L$7)</t>
  </si>
  <si>
    <t>=NL("Sum","Item Ledger Entry","Quantity","Entry Type","Positive Adjmt.|Negative Adjmt.","Entry No.",I402,"Location Code",$L$7)</t>
  </si>
  <si>
    <t>=NL("Sum","Item Ledger Entry","Quantity","Entry Type","Transfer","Entry No.",I402,"Location Code",$L$7)</t>
  </si>
  <si>
    <t>=NL("Sum","Item Ledger Entry","Quantity","Entry Type","Consumption","Entry No.",I402,"Location Code",$L$7)</t>
  </si>
  <si>
    <t>=NL("Sum","Item Ledger Entry","Quantity","Entry Type","Output","Entry No.",I402,"Location Code",$L$7)</t>
  </si>
  <si>
    <t>="C100047"</t>
  </si>
  <si>
    <t>=D407</t>
  </si>
  <si>
    <t>=NF($G408,"Posting Date")</t>
  </si>
  <si>
    <t>=NF($G408,"Entry No.")</t>
  </si>
  <si>
    <t>=NF(G408,"Source Type")</t>
  </si>
  <si>
    <t>=NF($G408,"Source No.")</t>
  </si>
  <si>
    <t>=IF($J408="Customer",NL("first",$J408,"Name","No.","@@"&amp;$K408),"")</t>
  </si>
  <si>
    <t>=IF(J408="vendor",NL("first",J408,"Name","No.","@@"&amp;K408),"")</t>
  </si>
  <si>
    <t>=IF($J408="Item",NL("first",$J408,"Description","No.","@@"&amp;$K408),"")</t>
  </si>
  <si>
    <t>=D408</t>
  </si>
  <si>
    <t>=NF($G409,"Posting Date")</t>
  </si>
  <si>
    <t>=NF($G409,"Entry No.")</t>
  </si>
  <si>
    <t>=NF(G409,"Source Type")</t>
  </si>
  <si>
    <t>=NF($G409,"Source No.")</t>
  </si>
  <si>
    <t>=IF($J409="Customer",NL("first",$J409,"Name","No.","@@"&amp;$K409),"")</t>
  </si>
  <si>
    <t>=IF(J409="vendor",NL("first",J409,"Name","No.","@@"&amp;K409),"")</t>
  </si>
  <si>
    <t>=IF($J409="Item",NL("first",$J409,"Description","No.","@@"&amp;$K409),"")</t>
  </si>
  <si>
    <t>=NL("Sum","Item Ledger Entry","Quantity","Entry Type","Purchase","Entry No.",I409,"Location Code",$L$7)</t>
  </si>
  <si>
    <t>=NL("Sum","Item Ledger Entry","Quantity","Entry Type","Sale","Entry No.",I409,"Location Code",$L$7)</t>
  </si>
  <si>
    <t>=NL("Sum","Item Ledger Entry","Quantity","Entry Type","Positive Adjmt.|Negative Adjmt.","Entry No.",I409,"Location Code",$L$7)</t>
  </si>
  <si>
    <t>=NL("Sum","Item Ledger Entry","Quantity","Entry Type","Transfer","Entry No.",I409,"Location Code",$L$7)</t>
  </si>
  <si>
    <t>=NL("Sum","Item Ledger Entry","Quantity","Entry Type","Consumption","Entry No.",I409,"Location Code",$L$7)</t>
  </si>
  <si>
    <t>=NL("Sum","Item Ledger Entry","Quantity","Entry Type","Output","Entry No.",I409,"Location Code",$L$7)</t>
  </si>
  <si>
    <t>=D409</t>
  </si>
  <si>
    <t>=NF($G410,"Posting Date")</t>
  </si>
  <si>
    <t>=NF($G410,"Entry No.")</t>
  </si>
  <si>
    <t>=NF(G410,"Source Type")</t>
  </si>
  <si>
    <t>=NF($G410,"Source No.")</t>
  </si>
  <si>
    <t>=IF($J410="Customer",NL("first",$J410,"Name","No.","@@"&amp;$K410),"")</t>
  </si>
  <si>
    <t>=IF(J410="vendor",NL("first",J410,"Name","No.","@@"&amp;K410),"")</t>
  </si>
  <si>
    <t>=IF($J410="Item",NL("first",$J410,"Description","No.","@@"&amp;$K410),"")</t>
  </si>
  <si>
    <t>=NL("Sum","Item Ledger Entry","Quantity","Entry Type","Purchase","Entry No.",I410,"Location Code",$L$7)</t>
  </si>
  <si>
    <t>=NL("Sum","Item Ledger Entry","Quantity","Entry Type","Sale","Entry No.",I410,"Location Code",$L$7)</t>
  </si>
  <si>
    <t>=NL("Sum","Item Ledger Entry","Quantity","Entry Type","Positive Adjmt.|Negative Adjmt.","Entry No.",I410,"Location Code",$L$7)</t>
  </si>
  <si>
    <t>=NL("Sum","Item Ledger Entry","Quantity","Entry Type","Transfer","Entry No.",I410,"Location Code",$L$7)</t>
  </si>
  <si>
    <t>=NL("Sum","Item Ledger Entry","Quantity","Entry Type","Consumption","Entry No.",I410,"Location Code",$L$7)</t>
  </si>
  <si>
    <t>=NL("Sum","Item Ledger Entry","Quantity","Entry Type","Output","Entry No.",I410,"Location Code",$L$7)</t>
  </si>
  <si>
    <t>=E413</t>
  </si>
  <si>
    <t>="C100048"</t>
  </si>
  <si>
    <t>=NL("First","Item","Description","No.",$E413)</t>
  </si>
  <si>
    <t>=NL("First","Item","Base Unit of Measure","No.",$E413)</t>
  </si>
  <si>
    <t>=D413</t>
  </si>
  <si>
    <t>=NF($G414,"Posting Date")</t>
  </si>
  <si>
    <t>=NF($G414,"Entry No.")</t>
  </si>
  <si>
    <t>=NF(G414,"Source Type")</t>
  </si>
  <si>
    <t>=NF($G414,"Source No.")</t>
  </si>
  <si>
    <t>=IF($J414="Customer",NL("first",$J414,"Name","No.","@@"&amp;$K414),"")</t>
  </si>
  <si>
    <t>=IF(J414="vendor",NL("first",J414,"Name","No.","@@"&amp;K414),"")</t>
  </si>
  <si>
    <t>=IF($J414="Item",NL("first",$J414,"Description","No.","@@"&amp;$K414),"")</t>
  </si>
  <si>
    <t>=D416</t>
  </si>
  <si>
    <t>=NF($G417,"Posting Date")</t>
  </si>
  <si>
    <t>=NF($G417,"Entry No.")</t>
  </si>
  <si>
    <t>=NF(G417,"Source Type")</t>
  </si>
  <si>
    <t>=NF($G417,"Source No.")</t>
  </si>
  <si>
    <t>=IF($J417="Customer",NL("first",$J417,"Name","No.","@@"&amp;$K417),"")</t>
  </si>
  <si>
    <t>=IF(J417="vendor",NL("first",J417,"Name","No.","@@"&amp;K417),"")</t>
  </si>
  <si>
    <t>=IF($J417="Item",NL("first",$J417,"Description","No.","@@"&amp;$K417),"")</t>
  </si>
  <si>
    <t>=NL("Sum","Item Ledger Entry","Quantity","Entry Type","Purchase","Entry No.",I417,"Location Code",$L$7)</t>
  </si>
  <si>
    <t>=NL("Sum","Item Ledger Entry","Quantity","Entry Type","Sale","Entry No.",I417,"Location Code",$L$7)</t>
  </si>
  <si>
    <t>=NL("Sum","Item Ledger Entry","Quantity","Entry Type","Positive Adjmt.|Negative Adjmt.","Entry No.",I417,"Location Code",$L$7)</t>
  </si>
  <si>
    <t>=NL("Sum","Item Ledger Entry","Quantity","Entry Type","Transfer","Entry No.",I417,"Location Code",$L$7)</t>
  </si>
  <si>
    <t>=NL("Sum","Item Ledger Entry","Quantity","Entry Type","Consumption","Entry No.",I417,"Location Code",$L$7)</t>
  </si>
  <si>
    <t>=NL("Sum","Item Ledger Entry","Quantity","Entry Type","Output","Entry No.",I417,"Location Code",$L$7)</t>
  </si>
  <si>
    <t>=E420</t>
  </si>
  <si>
    <t>="C100049"</t>
  </si>
  <si>
    <t>=NL("First","Item","Description","No.",$E420)</t>
  </si>
  <si>
    <t>=NL("First","Item","Base Unit of Measure","No.",$E420)</t>
  </si>
  <si>
    <t>=D420</t>
  </si>
  <si>
    <t>=NF($G421,"Posting Date")</t>
  </si>
  <si>
    <t>=NF($G421,"Entry No.")</t>
  </si>
  <si>
    <t>=NF(G421,"Source Type")</t>
  </si>
  <si>
    <t>=NF($G421,"Source No.")</t>
  </si>
  <si>
    <t>=IF($J421="Customer",NL("first",$J421,"Name","No.","@@"&amp;$K421),"")</t>
  </si>
  <si>
    <t>=IF(J421="vendor",NL("first",J421,"Name","No.","@@"&amp;K421),"")</t>
  </si>
  <si>
    <t>=IF($J421="Item",NL("first",$J421,"Description","No.","@@"&amp;$K421),"")</t>
  </si>
  <si>
    <t>=NL("Sum","Item Ledger Entry","Quantity","Entry Type","Purchase","Entry No.",I421,"Location Code",$L$7)</t>
  </si>
  <si>
    <t>=NL("Sum","Item Ledger Entry","Quantity","Entry Type","Sale","Entry No.",I421,"Location Code",$L$7)</t>
  </si>
  <si>
    <t>=NL("Sum","Item Ledger Entry","Quantity","Entry Type","Positive Adjmt.|Negative Adjmt.","Entry No.",I421,"Location Code",$L$7)</t>
  </si>
  <si>
    <t>=NL("Sum","Item Ledger Entry","Quantity","Entry Type","Transfer","Entry No.",I421,"Location Code",$L$7)</t>
  </si>
  <si>
    <t>=NL("Sum","Item Ledger Entry","Quantity","Entry Type","Consumption","Entry No.",I421,"Location Code",$L$7)</t>
  </si>
  <si>
    <t>=NL("Sum","Item Ledger Entry","Quantity","Entry Type","Output","Entry No.",I421,"Location Code",$L$7)</t>
  </si>
  <si>
    <t>=D422</t>
  </si>
  <si>
    <t>=NF($G423,"Posting Date")</t>
  </si>
  <si>
    <t>=NF($G423,"Entry No.")</t>
  </si>
  <si>
    <t>=NF(G423,"Source Type")</t>
  </si>
  <si>
    <t>=NF($G423,"Source No.")</t>
  </si>
  <si>
    <t>=IF($J423="Customer",NL("first",$J423,"Name","No.","@@"&amp;$K423),"")</t>
  </si>
  <si>
    <t>=IF(J423="vendor",NL("first",J423,"Name","No.","@@"&amp;K423),"")</t>
  </si>
  <si>
    <t>=IF($J423="Item",NL("first",$J423,"Description","No.","@@"&amp;$K423),"")</t>
  </si>
  <si>
    <t>="C100050"</t>
  </si>
  <si>
    <t>=D429</t>
  </si>
  <si>
    <t>=NF($G430,"Posting Date")</t>
  </si>
  <si>
    <t>=NF($G430,"Entry No.")</t>
  </si>
  <si>
    <t>=NF(G430,"Source Type")</t>
  </si>
  <si>
    <t>=NF($G430,"Source No.")</t>
  </si>
  <si>
    <t>=IF($J430="Customer",NL("first",$J430,"Name","No.","@@"&amp;$K430),"")</t>
  </si>
  <si>
    <t>=IF(J430="vendor",NL("first",J430,"Name","No.","@@"&amp;K430),"")</t>
  </si>
  <si>
    <t>=IF($J430="Item",NL("first",$J430,"Description","No.","@@"&amp;$K430),"")</t>
  </si>
  <si>
    <t>="C100051"</t>
  </si>
  <si>
    <t>=D434</t>
  </si>
  <si>
    <t>=NF($G435,"Posting Date")</t>
  </si>
  <si>
    <t>=NF($G435,"Entry No.")</t>
  </si>
  <si>
    <t>=NF(G435,"Source Type")</t>
  </si>
  <si>
    <t>=NF($G435,"Source No.")</t>
  </si>
  <si>
    <t>=IF($J435="Customer",NL("first",$J435,"Name","No.","@@"&amp;$K435),"")</t>
  </si>
  <si>
    <t>=IF(J435="vendor",NL("first",J435,"Name","No.","@@"&amp;K435),"")</t>
  </si>
  <si>
    <t>=IF($J435="Item",NL("first",$J435,"Description","No.","@@"&amp;$K435),"")</t>
  </si>
  <si>
    <t>=NL("Sum","Item Ledger Entry","Quantity","Entry Type","Purchase","Entry No.",I435,"Location Code",$L$7)</t>
  </si>
  <si>
    <t>=NL("Sum","Item Ledger Entry","Quantity","Entry Type","Sale","Entry No.",I435,"Location Code",$L$7)</t>
  </si>
  <si>
    <t>=NL("Sum","Item Ledger Entry","Quantity","Entry Type","Positive Adjmt.|Negative Adjmt.","Entry No.",I435,"Location Code",$L$7)</t>
  </si>
  <si>
    <t>=NL("Sum","Item Ledger Entry","Quantity","Entry Type","Transfer","Entry No.",I435,"Location Code",$L$7)</t>
  </si>
  <si>
    <t>=NL("Sum","Item Ledger Entry","Quantity","Entry Type","Consumption","Entry No.",I435,"Location Code",$L$7)</t>
  </si>
  <si>
    <t>=NL("Sum","Item Ledger Entry","Quantity","Entry Type","Output","Entry No.",I435,"Location Code",$L$7)</t>
  </si>
  <si>
    <t>="C100052"</t>
  </si>
  <si>
    <t>=D444</t>
  </si>
  <si>
    <t>=NF($G445,"Posting Date")</t>
  </si>
  <si>
    <t>=NF($G445,"Entry No.")</t>
  </si>
  <si>
    <t>=NF(G445,"Source Type")</t>
  </si>
  <si>
    <t>=NF($G445,"Source No.")</t>
  </si>
  <si>
    <t>=IF($J445="Customer",NL("first",$J445,"Name","No.","@@"&amp;$K445),"")</t>
  </si>
  <si>
    <t>=IF(J445="vendor",NL("first",J445,"Name","No.","@@"&amp;K445),"")</t>
  </si>
  <si>
    <t>=IF($J445="Item",NL("first",$J445,"Description","No.","@@"&amp;$K445),"")</t>
  </si>
  <si>
    <t>=NL("Sum","Item Ledger Entry","Quantity","Entry Type","Purchase","Entry No.",I445,"Location Code",$L$7)</t>
  </si>
  <si>
    <t>=NL("Sum","Item Ledger Entry","Quantity","Entry Type","Sale","Entry No.",I445,"Location Code",$L$7)</t>
  </si>
  <si>
    <t>=NL("Sum","Item Ledger Entry","Quantity","Entry Type","Positive Adjmt.|Negative Adjmt.","Entry No.",I445,"Location Code",$L$7)</t>
  </si>
  <si>
    <t>=NL("Sum","Item Ledger Entry","Quantity","Entry Type","Transfer","Entry No.",I445,"Location Code",$L$7)</t>
  </si>
  <si>
    <t>=NL("Sum","Item Ledger Entry","Quantity","Entry Type","Consumption","Entry No.",I445,"Location Code",$L$7)</t>
  </si>
  <si>
    <t>=NL("Sum","Item Ledger Entry","Quantity","Entry Type","Output","Entry No.",I445,"Location Code",$L$7)</t>
  </si>
  <si>
    <t>="C100053"</t>
  </si>
  <si>
    <t>=D452</t>
  </si>
  <si>
    <t>=NF($G453,"Posting Date")</t>
  </si>
  <si>
    <t>=NF($G453,"Entry No.")</t>
  </si>
  <si>
    <t>=NF(G453,"Source Type")</t>
  </si>
  <si>
    <t>=NF($G453,"Source No.")</t>
  </si>
  <si>
    <t>=IF($J453="Customer",NL("first",$J453,"Name","No.","@@"&amp;$K453),"")</t>
  </si>
  <si>
    <t>=IF(J453="vendor",NL("first",J453,"Name","No.","@@"&amp;K453),"")</t>
  </si>
  <si>
    <t>=IF($J453="Item",NL("first",$J453,"Description","No.","@@"&amp;$K453),"")</t>
  </si>
  <si>
    <t>=NL("Sum","Item Ledger Entry","Quantity","Entry Type","Purchase","Entry No.",I453,"Location Code",$L$7)</t>
  </si>
  <si>
    <t>=NL("Sum","Item Ledger Entry","Quantity","Entry Type","Sale","Entry No.",I453,"Location Code",$L$7)</t>
  </si>
  <si>
    <t>=NL("Sum","Item Ledger Entry","Quantity","Entry Type","Positive Adjmt.|Negative Adjmt.","Entry No.",I453,"Location Code",$L$7)</t>
  </si>
  <si>
    <t>=NL("Sum","Item Ledger Entry","Quantity","Entry Type","Transfer","Entry No.",I453,"Location Code",$L$7)</t>
  </si>
  <si>
    <t>=NL("Sum","Item Ledger Entry","Quantity","Entry Type","Consumption","Entry No.",I453,"Location Code",$L$7)</t>
  </si>
  <si>
    <t>=NL("Sum","Item Ledger Entry","Quantity","Entry Type","Output","Entry No.",I453,"Location Code",$L$7)</t>
  </si>
  <si>
    <t>=D453</t>
  </si>
  <si>
    <t>=NF($G454,"Posting Date")</t>
  </si>
  <si>
    <t>=NF($G454,"Entry No.")</t>
  </si>
  <si>
    <t>=NF(G454,"Source Type")</t>
  </si>
  <si>
    <t>=NF($G454,"Source No.")</t>
  </si>
  <si>
    <t>=IF($J454="Customer",NL("first",$J454,"Name","No.","@@"&amp;$K454),"")</t>
  </si>
  <si>
    <t>=IF(J454="vendor",NL("first",J454,"Name","No.","@@"&amp;K454),"")</t>
  </si>
  <si>
    <t>=IF($J454="Item",NL("first",$J454,"Description","No.","@@"&amp;$K454),"")</t>
  </si>
  <si>
    <t>=NL("Sum","Item Ledger Entry","Quantity","Entry Type","Purchase","Entry No.",I454,"Location Code",$L$7)</t>
  </si>
  <si>
    <t>=NL("Sum","Item Ledger Entry","Quantity","Entry Type","Sale","Entry No.",I454,"Location Code",$L$7)</t>
  </si>
  <si>
    <t>=NL("Sum","Item Ledger Entry","Quantity","Entry Type","Positive Adjmt.|Negative Adjmt.","Entry No.",I454,"Location Code",$L$7)</t>
  </si>
  <si>
    <t>=NL("Sum","Item Ledger Entry","Quantity","Entry Type","Transfer","Entry No.",I454,"Location Code",$L$7)</t>
  </si>
  <si>
    <t>=NL("Sum","Item Ledger Entry","Quantity","Entry Type","Consumption","Entry No.",I454,"Location Code",$L$7)</t>
  </si>
  <si>
    <t>=NL("Sum","Item Ledger Entry","Quantity","Entry Type","Output","Entry No.",I454,"Location Code",$L$7)</t>
  </si>
  <si>
    <t>="C100054"</t>
  </si>
  <si>
    <t>=D458</t>
  </si>
  <si>
    <t>=NF($G459,"Posting Date")</t>
  </si>
  <si>
    <t>=NF($G459,"Entry No.")</t>
  </si>
  <si>
    <t>=NF(G459,"Source Type")</t>
  </si>
  <si>
    <t>=NF($G459,"Source No.")</t>
  </si>
  <si>
    <t>=IF($J459="Customer",NL("first",$J459,"Name","No.","@@"&amp;$K459),"")</t>
  </si>
  <si>
    <t>=IF(J459="vendor",NL("first",J459,"Name","No.","@@"&amp;K459),"")</t>
  </si>
  <si>
    <t>=IF($J459="Item",NL("first",$J459,"Description","No.","@@"&amp;$K459),"")</t>
  </si>
  <si>
    <t>=NL("Sum","Item Ledger Entry","Quantity","Entry Type","Purchase","Entry No.",I459,"Location Code",$L$7)</t>
  </si>
  <si>
    <t>=NL("Sum","Item Ledger Entry","Quantity","Entry Type","Sale","Entry No.",I459,"Location Code",$L$7)</t>
  </si>
  <si>
    <t>=NL("Sum","Item Ledger Entry","Quantity","Entry Type","Positive Adjmt.|Negative Adjmt.","Entry No.",I459,"Location Code",$L$7)</t>
  </si>
  <si>
    <t>=NL("Sum","Item Ledger Entry","Quantity","Entry Type","Transfer","Entry No.",I459,"Location Code",$L$7)</t>
  </si>
  <si>
    <t>=NL("Sum","Item Ledger Entry","Quantity","Entry Type","Consumption","Entry No.",I459,"Location Code",$L$7)</t>
  </si>
  <si>
    <t>=NL("Sum","Item Ledger Entry","Quantity","Entry Type","Output","Entry No.",I459,"Location Code",$L$7)</t>
  </si>
  <si>
    <t>="C100055"</t>
  </si>
  <si>
    <t>=D462</t>
  </si>
  <si>
    <t>=NF($G463,"Posting Date")</t>
  </si>
  <si>
    <t>=NF($G463,"Entry No.")</t>
  </si>
  <si>
    <t>=NF(G463,"Source Type")</t>
  </si>
  <si>
    <t>=NF($G463,"Source No.")</t>
  </si>
  <si>
    <t>=IF($J463="Customer",NL("first",$J463,"Name","No.","@@"&amp;$K463),"")</t>
  </si>
  <si>
    <t>=IF(J463="vendor",NL("first",J463,"Name","No.","@@"&amp;K463),"")</t>
  </si>
  <si>
    <t>=IF($J463="Item",NL("first",$J463,"Description","No.","@@"&amp;$K463),"")</t>
  </si>
  <si>
    <t>=NL("Sum","Item Ledger Entry","Quantity","Entry Type","Purchase","Entry No.",I463,"Location Code",$L$7)</t>
  </si>
  <si>
    <t>=NL("Sum","Item Ledger Entry","Quantity","Entry Type","Sale","Entry No.",I463,"Location Code",$L$7)</t>
  </si>
  <si>
    <t>=NL("Sum","Item Ledger Entry","Quantity","Entry Type","Positive Adjmt.|Negative Adjmt.","Entry No.",I463,"Location Code",$L$7)</t>
  </si>
  <si>
    <t>=NL("Sum","Item Ledger Entry","Quantity","Entry Type","Transfer","Entry No.",I463,"Location Code",$L$7)</t>
  </si>
  <si>
    <t>=NL("Sum","Item Ledger Entry","Quantity","Entry Type","Consumption","Entry No.",I463,"Location Code",$L$7)</t>
  </si>
  <si>
    <t>=NL("Sum","Item Ledger Entry","Quantity","Entry Type","Output","Entry No.",I463,"Location Code",$L$7)</t>
  </si>
  <si>
    <t>="C100056"</t>
  </si>
  <si>
    <t>=D466</t>
  </si>
  <si>
    <t>=NF($G467,"Posting Date")</t>
  </si>
  <si>
    <t>=NF($G467,"Entry No.")</t>
  </si>
  <si>
    <t>=NF(G467,"Source Type")</t>
  </si>
  <si>
    <t>=NF($G467,"Source No.")</t>
  </si>
  <si>
    <t>=IF($J467="Customer",NL("first",$J467,"Name","No.","@@"&amp;$K467),"")</t>
  </si>
  <si>
    <t>=IF(J467="vendor",NL("first",J467,"Name","No.","@@"&amp;K467),"")</t>
  </si>
  <si>
    <t>=IF($J467="Item",NL("first",$J467,"Description","No.","@@"&amp;$K467),"")</t>
  </si>
  <si>
    <t>=D467</t>
  </si>
  <si>
    <t>=NF($G468,"Posting Date")</t>
  </si>
  <si>
    <t>=NF($G468,"Entry No.")</t>
  </si>
  <si>
    <t>=NF(G468,"Source Type")</t>
  </si>
  <si>
    <t>=NF($G468,"Source No.")</t>
  </si>
  <si>
    <t>=IF($J468="Customer",NL("first",$J468,"Name","No.","@@"&amp;$K468),"")</t>
  </si>
  <si>
    <t>=IF(J468="vendor",NL("first",J468,"Name","No.","@@"&amp;K468),"")</t>
  </si>
  <si>
    <t>=IF($J468="Item",NL("first",$J468,"Description","No.","@@"&amp;$K468),"")</t>
  </si>
  <si>
    <t>=NL("Sum","Item Ledger Entry","Quantity","Entry Type","Purchase","Entry No.",I468,"Location Code",$L$7)</t>
  </si>
  <si>
    <t>=NL("Sum","Item Ledger Entry","Quantity","Entry Type","Sale","Entry No.",I468,"Location Code",$L$7)</t>
  </si>
  <si>
    <t>=NL("Sum","Item Ledger Entry","Quantity","Entry Type","Positive Adjmt.|Negative Adjmt.","Entry No.",I468,"Location Code",$L$7)</t>
  </si>
  <si>
    <t>=NL("Sum","Item Ledger Entry","Quantity","Entry Type","Transfer","Entry No.",I468,"Location Code",$L$7)</t>
  </si>
  <si>
    <t>=NL("Sum","Item Ledger Entry","Quantity","Entry Type","Consumption","Entry No.",I468,"Location Code",$L$7)</t>
  </si>
  <si>
    <t>=NL("Sum","Item Ledger Entry","Quantity","Entry Type","Output","Entry No.",I468,"Location Code",$L$7)</t>
  </si>
  <si>
    <t>=D468</t>
  </si>
  <si>
    <t>=NF($G469,"Posting Date")</t>
  </si>
  <si>
    <t>=NF($G469,"Entry No.")</t>
  </si>
  <si>
    <t>=NF(G469,"Source Type")</t>
  </si>
  <si>
    <t>=NF($G469,"Source No.")</t>
  </si>
  <si>
    <t>=IF($J469="Customer",NL("first",$J469,"Name","No.","@@"&amp;$K469),"")</t>
  </si>
  <si>
    <t>=IF(J469="vendor",NL("first",J469,"Name","No.","@@"&amp;K469),"")</t>
  </si>
  <si>
    <t>=IF($J469="Item",NL("first",$J469,"Description","No.","@@"&amp;$K469),"")</t>
  </si>
  <si>
    <t>=NL("Sum","Item Ledger Entry","Quantity","Entry Type","Purchase","Entry No.",I469,"Location Code",$L$7)</t>
  </si>
  <si>
    <t>=NL("Sum","Item Ledger Entry","Quantity","Entry Type","Sale","Entry No.",I469,"Location Code",$L$7)</t>
  </si>
  <si>
    <t>=NL("Sum","Item Ledger Entry","Quantity","Entry Type","Positive Adjmt.|Negative Adjmt.","Entry No.",I469,"Location Code",$L$7)</t>
  </si>
  <si>
    <t>=NL("Sum","Item Ledger Entry","Quantity","Entry Type","Transfer","Entry No.",I469,"Location Code",$L$7)</t>
  </si>
  <si>
    <t>=NL("Sum","Item Ledger Entry","Quantity","Entry Type","Consumption","Entry No.",I469,"Location Code",$L$7)</t>
  </si>
  <si>
    <t>=NL("Sum","Item Ledger Entry","Quantity","Entry Type","Output","Entry No.",I469,"Location Code",$L$7)</t>
  </si>
  <si>
    <t>="C100061"</t>
  </si>
  <si>
    <t>=D475</t>
  </si>
  <si>
    <t>=NF($G476,"Posting Date")</t>
  </si>
  <si>
    <t>=NF($G476,"Entry No.")</t>
  </si>
  <si>
    <t>=NF(G476,"Source Type")</t>
  </si>
  <si>
    <t>=NF($G476,"Source No.")</t>
  </si>
  <si>
    <t>=IF($J476="Customer",NL("first",$J476,"Name","No.","@@"&amp;$K476),"")</t>
  </si>
  <si>
    <t>=IF(J476="vendor",NL("first",J476,"Name","No.","@@"&amp;K476),"")</t>
  </si>
  <si>
    <t>=IF($J476="Item",NL("first",$J476,"Description","No.","@@"&amp;$K476),"")</t>
  </si>
  <si>
    <t>=NL("Sum","Item Ledger Entry","Quantity","Entry Type","Purchase","Entry No.",I476,"Location Code",$L$7)</t>
  </si>
  <si>
    <t>=NL("Sum","Item Ledger Entry","Quantity","Entry Type","Sale","Entry No.",I476,"Location Code",$L$7)</t>
  </si>
  <si>
    <t>=NL("Sum","Item Ledger Entry","Quantity","Entry Type","Positive Adjmt.|Negative Adjmt.","Entry No.",I476,"Location Code",$L$7)</t>
  </si>
  <si>
    <t>=NL("Sum","Item Ledger Entry","Quantity","Entry Type","Transfer","Entry No.",I476,"Location Code",$L$7)</t>
  </si>
  <si>
    <t>=NL("Sum","Item Ledger Entry","Quantity","Entry Type","Consumption","Entry No.",I476,"Location Code",$L$7)</t>
  </si>
  <si>
    <t>=NL("Sum","Item Ledger Entry","Quantity","Entry Type","Output","Entry No.",I476,"Location Code",$L$7)</t>
  </si>
  <si>
    <t>=D476</t>
  </si>
  <si>
    <t>=NF($G477,"Posting Date")</t>
  </si>
  <si>
    <t>=NF($G477,"Entry No.")</t>
  </si>
  <si>
    <t>=NF(G477,"Source Type")</t>
  </si>
  <si>
    <t>=NF($G477,"Source No.")</t>
  </si>
  <si>
    <t>=IF($J477="Customer",NL("first",$J477,"Name","No.","@@"&amp;$K477),"")</t>
  </si>
  <si>
    <t>=IF(J477="vendor",NL("first",J477,"Name","No.","@@"&amp;K477),"")</t>
  </si>
  <si>
    <t>=IF($J477="Item",NL("first",$J477,"Description","No.","@@"&amp;$K477),"")</t>
  </si>
  <si>
    <t>=NL("Sum","Item Ledger Entry","Quantity","Entry Type","Purchase","Entry No.",I477,"Location Code",$L$7)</t>
  </si>
  <si>
    <t>=NL("Sum","Item Ledger Entry","Quantity","Entry Type","Sale","Entry No.",I477,"Location Code",$L$7)</t>
  </si>
  <si>
    <t>=NL("Sum","Item Ledger Entry","Quantity","Entry Type","Positive Adjmt.|Negative Adjmt.","Entry No.",I477,"Location Code",$L$7)</t>
  </si>
  <si>
    <t>=NL("Sum","Item Ledger Entry","Quantity","Entry Type","Transfer","Entry No.",I477,"Location Code",$L$7)</t>
  </si>
  <si>
    <t>=NL("Sum","Item Ledger Entry","Quantity","Entry Type","Consumption","Entry No.",I477,"Location Code",$L$7)</t>
  </si>
  <si>
    <t>=NL("Sum","Item Ledger Entry","Quantity","Entry Type","Output","Entry No.",I477,"Location Code",$L$7)</t>
  </si>
  <si>
    <t>=E480</t>
  </si>
  <si>
    <t>="C100062"</t>
  </si>
  <si>
    <t>=NL("First","Item","Description","No.",$E480)</t>
  </si>
  <si>
    <t>=NL("First","Item","Base Unit of Measure","No.",$E480)</t>
  </si>
  <si>
    <t>=D480</t>
  </si>
  <si>
    <t>=NF($G481,"Posting Date")</t>
  </si>
  <si>
    <t>=NF($G481,"Entry No.")</t>
  </si>
  <si>
    <t>=NF(G481,"Source Type")</t>
  </si>
  <si>
    <t>=NF($G481,"Source No.")</t>
  </si>
  <si>
    <t>=IF($J481="Customer",NL("first",$J481,"Name","No.","@@"&amp;$K481),"")</t>
  </si>
  <si>
    <t>=IF(J481="vendor",NL("first",J481,"Name","No.","@@"&amp;K481),"")</t>
  </si>
  <si>
    <t>=IF($J481="Item",NL("first",$J481,"Description","No.","@@"&amp;$K481),"")</t>
  </si>
  <si>
    <t>=NL("Sum","Item Ledger Entry","Quantity","Entry Type","Purchase","Entry No.",I481,"Location Code",$L$7)</t>
  </si>
  <si>
    <t>=NL("Sum","Item Ledger Entry","Quantity","Entry Type","Sale","Entry No.",I481,"Location Code",$L$7)</t>
  </si>
  <si>
    <t>=NL("Sum","Item Ledger Entry","Quantity","Entry Type","Positive Adjmt.|Negative Adjmt.","Entry No.",I481,"Location Code",$L$7)</t>
  </si>
  <si>
    <t>=NL("Sum","Item Ledger Entry","Quantity","Entry Type","Transfer","Entry No.",I481,"Location Code",$L$7)</t>
  </si>
  <si>
    <t>=NL("Sum","Item Ledger Entry","Quantity","Entry Type","Consumption","Entry No.",I481,"Location Code",$L$7)</t>
  </si>
  <si>
    <t>=NL("Sum","Item Ledger Entry","Quantity","Entry Type","Output","Entry No.",I481,"Location Code",$L$7)</t>
  </si>
  <si>
    <t>=D481</t>
  </si>
  <si>
    <t>=NF($G482,"Posting Date")</t>
  </si>
  <si>
    <t>=NF($G482,"Entry No.")</t>
  </si>
  <si>
    <t>=NF(G482,"Source Type")</t>
  </si>
  <si>
    <t>=NF($G482,"Source No.")</t>
  </si>
  <si>
    <t>=IF($J482="Customer",NL("first",$J482,"Name","No.","@@"&amp;$K482),"")</t>
  </si>
  <si>
    <t>=IF(J482="vendor",NL("first",J482,"Name","No.","@@"&amp;K482),"")</t>
  </si>
  <si>
    <t>=IF($J482="Item",NL("first",$J482,"Description","No.","@@"&amp;$K482),"")</t>
  </si>
  <si>
    <t>=NL("Sum","Item Ledger Entry","Quantity","Entry Type","Purchase","Entry No.",I482,"Location Code",$L$7)</t>
  </si>
  <si>
    <t>=NL("Sum","Item Ledger Entry","Quantity","Entry Type","Sale","Entry No.",I482,"Location Code",$L$7)</t>
  </si>
  <si>
    <t>=NL("Sum","Item Ledger Entry","Quantity","Entry Type","Positive Adjmt.|Negative Adjmt.","Entry No.",I482,"Location Code",$L$7)</t>
  </si>
  <si>
    <t>=NL("Sum","Item Ledger Entry","Quantity","Entry Type","Transfer","Entry No.",I482,"Location Code",$L$7)</t>
  </si>
  <si>
    <t>=NL("Sum","Item Ledger Entry","Quantity","Entry Type","Consumption","Entry No.",I482,"Location Code",$L$7)</t>
  </si>
  <si>
    <t>=NL("Sum","Item Ledger Entry","Quantity","Entry Type","Output","Entry No.",I482,"Location Code",$L$7)</t>
  </si>
  <si>
    <t>=D482</t>
  </si>
  <si>
    <t>=NF($G483,"Posting Date")</t>
  </si>
  <si>
    <t>=NF($G483,"Entry No.")</t>
  </si>
  <si>
    <t>=NF(G483,"Source Type")</t>
  </si>
  <si>
    <t>=NF($G483,"Source No.")</t>
  </si>
  <si>
    <t>=IF($J483="Customer",NL("first",$J483,"Name","No.","@@"&amp;$K483),"")</t>
  </si>
  <si>
    <t>=IF(J483="vendor",NL("first",J483,"Name","No.","@@"&amp;K483),"")</t>
  </si>
  <si>
    <t>=IF($J483="Item",NL("first",$J483,"Description","No.","@@"&amp;$K483),"")</t>
  </si>
  <si>
    <t>=NL("Sum","Item Ledger Entry","Quantity","Entry Type","Purchase","Entry No.",I483,"Location Code",$L$7)</t>
  </si>
  <si>
    <t>=NL("Sum","Item Ledger Entry","Quantity","Entry Type","Sale","Entry No.",I483,"Location Code",$L$7)</t>
  </si>
  <si>
    <t>=NL("Sum","Item Ledger Entry","Quantity","Entry Type","Positive Adjmt.|Negative Adjmt.","Entry No.",I483,"Location Code",$L$7)</t>
  </si>
  <si>
    <t>=NL("Sum","Item Ledger Entry","Quantity","Entry Type","Transfer","Entry No.",I483,"Location Code",$L$7)</t>
  </si>
  <si>
    <t>=NL("Sum","Item Ledger Entry","Quantity","Entry Type","Consumption","Entry No.",I483,"Location Code",$L$7)</t>
  </si>
  <si>
    <t>=NL("Sum","Item Ledger Entry","Quantity","Entry Type","Output","Entry No.",I483,"Location Code",$L$7)</t>
  </si>
  <si>
    <t>="C100063"</t>
  </si>
  <si>
    <t>=D489</t>
  </si>
  <si>
    <t>=NF($G490,"Posting Date")</t>
  </si>
  <si>
    <t>=NF($G490,"Entry No.")</t>
  </si>
  <si>
    <t>=NF(G490,"Source Type")</t>
  </si>
  <si>
    <t>=NF($G490,"Source No.")</t>
  </si>
  <si>
    <t>=IF($J490="Customer",NL("first",$J490,"Name","No.","@@"&amp;$K490),"")</t>
  </si>
  <si>
    <t>=IF(J490="vendor",NL("first",J490,"Name","No.","@@"&amp;K490),"")</t>
  </si>
  <si>
    <t>=IF($J490="Item",NL("first",$J490,"Description","No.","@@"&amp;$K490),"")</t>
  </si>
  <si>
    <t>=NL("Sum","Item Ledger Entry","Quantity","Entry Type","Purchase","Entry No.",I490,"Location Code",$L$7)</t>
  </si>
  <si>
    <t>=NL("Sum","Item Ledger Entry","Quantity","Entry Type","Sale","Entry No.",I490,"Location Code",$L$7)</t>
  </si>
  <si>
    <t>=NL("Sum","Item Ledger Entry","Quantity","Entry Type","Positive Adjmt.|Negative Adjmt.","Entry No.",I490,"Location Code",$L$7)</t>
  </si>
  <si>
    <t>=NL("Sum","Item Ledger Entry","Quantity","Entry Type","Transfer","Entry No.",I490,"Location Code",$L$7)</t>
  </si>
  <si>
    <t>=NL("Sum","Item Ledger Entry","Quantity","Entry Type","Consumption","Entry No.",I490,"Location Code",$L$7)</t>
  </si>
  <si>
    <t>=NL("Sum","Item Ledger Entry","Quantity","Entry Type","Output","Entry No.",I490,"Location Code",$L$7)</t>
  </si>
  <si>
    <t>="C100066"</t>
  </si>
  <si>
    <t>=D496</t>
  </si>
  <si>
    <t>=NF($G497,"Posting Date")</t>
  </si>
  <si>
    <t>=NF($G497,"Entry No.")</t>
  </si>
  <si>
    <t>=NF(G497,"Source Type")</t>
  </si>
  <si>
    <t>=NF($G497,"Source No.")</t>
  </si>
  <si>
    <t>=IF($J497="Customer",NL("first",$J497,"Name","No.","@@"&amp;$K497),"")</t>
  </si>
  <si>
    <t>=IF(J497="vendor",NL("first",J497,"Name","No.","@@"&amp;K497),"")</t>
  </si>
  <si>
    <t>=IF($J497="Item",NL("first",$J497,"Description","No.","@@"&amp;$K497),"")</t>
  </si>
  <si>
    <t>=NL("Sum","Item Ledger Entry","Quantity","Entry Type","Purchase","Entry No.",I497,"Location Code",$L$7)</t>
  </si>
  <si>
    <t>=NL("Sum","Item Ledger Entry","Quantity","Entry Type","Sale","Entry No.",I497,"Location Code",$L$7)</t>
  </si>
  <si>
    <t>=NL("Sum","Item Ledger Entry","Quantity","Entry Type","Positive Adjmt.|Negative Adjmt.","Entry No.",I497,"Location Code",$L$7)</t>
  </si>
  <si>
    <t>=NL("Sum","Item Ledger Entry","Quantity","Entry Type","Transfer","Entry No.",I497,"Location Code",$L$7)</t>
  </si>
  <si>
    <t>=NL("Sum","Item Ledger Entry","Quantity","Entry Type","Consumption","Entry No.",I497,"Location Code",$L$7)</t>
  </si>
  <si>
    <t>=NL("Sum","Item Ledger Entry","Quantity","Entry Type","Output","Entry No.",I497,"Location Code",$L$7)</t>
  </si>
  <si>
    <t>="E100001"</t>
  </si>
  <si>
    <t>=D503</t>
  </si>
  <si>
    <t>=NF($G504,"Posting Date")</t>
  </si>
  <si>
    <t>=NF($G504,"Entry No.")</t>
  </si>
  <si>
    <t>=NF(G504,"Source Type")</t>
  </si>
  <si>
    <t>=NF($G504,"Source No.")</t>
  </si>
  <si>
    <t>=IF($J504="Customer",NL("first",$J504,"Name","No.","@@"&amp;$K504),"")</t>
  </si>
  <si>
    <t>=IF(J504="vendor",NL("first",J504,"Name","No.","@@"&amp;K504),"")</t>
  </si>
  <si>
    <t>=IF($J504="Item",NL("first",$J504,"Description","No.","@@"&amp;$K504),"")</t>
  </si>
  <si>
    <t>=NL("Sum","Item Ledger Entry","Quantity","Entry Type","Purchase","Entry No.",I504,"Location Code",$L$7)</t>
  </si>
  <si>
    <t>=NL("Sum","Item Ledger Entry","Quantity","Entry Type","Sale","Entry No.",I504,"Location Code",$L$7)</t>
  </si>
  <si>
    <t>=NL("Sum","Item Ledger Entry","Quantity","Entry Type","Positive Adjmt.|Negative Adjmt.","Entry No.",I504,"Location Code",$L$7)</t>
  </si>
  <si>
    <t>=NL("Sum","Item Ledger Entry","Quantity","Entry Type","Transfer","Entry No.",I504,"Location Code",$L$7)</t>
  </si>
  <si>
    <t>=NL("Sum","Item Ledger Entry","Quantity","Entry Type","Consumption","Entry No.",I504,"Location Code",$L$7)</t>
  </si>
  <si>
    <t>=NL("Sum","Item Ledger Entry","Quantity","Entry Type","Output","Entry No.",I504,"Location Code",$L$7)</t>
  </si>
  <si>
    <t>=D504</t>
  </si>
  <si>
    <t>=NF($G505,"Posting Date")</t>
  </si>
  <si>
    <t>=NF($G505,"Entry No.")</t>
  </si>
  <si>
    <t>=NF(G505,"Source Type")</t>
  </si>
  <si>
    <t>=NF($G505,"Source No.")</t>
  </si>
  <si>
    <t>=IF($J505="Customer",NL("first",$J505,"Name","No.","@@"&amp;$K505),"")</t>
  </si>
  <si>
    <t>=IF(J505="vendor",NL("first",J505,"Name","No.","@@"&amp;K505),"")</t>
  </si>
  <si>
    <t>=IF($J505="Item",NL("first",$J505,"Description","No.","@@"&amp;$K505),"")</t>
  </si>
  <si>
    <t>=NL("Sum","Item Ledger Entry","Quantity","Entry Type","Purchase","Entry No.",I505,"Location Code",$L$7)</t>
  </si>
  <si>
    <t>=NL("Sum","Item Ledger Entry","Quantity","Entry Type","Sale","Entry No.",I505,"Location Code",$L$7)</t>
  </si>
  <si>
    <t>=NL("Sum","Item Ledger Entry","Quantity","Entry Type","Positive Adjmt.|Negative Adjmt.","Entry No.",I505,"Location Code",$L$7)</t>
  </si>
  <si>
    <t>=NL("Sum","Item Ledger Entry","Quantity","Entry Type","Transfer","Entry No.",I505,"Location Code",$L$7)</t>
  </si>
  <si>
    <t>=NL("Sum","Item Ledger Entry","Quantity","Entry Type","Consumption","Entry No.",I505,"Location Code",$L$7)</t>
  </si>
  <si>
    <t>=NL("Sum","Item Ledger Entry","Quantity","Entry Type","Output","Entry No.",I505,"Location Code",$L$7)</t>
  </si>
  <si>
    <t>=D505</t>
  </si>
  <si>
    <t>=NF($G506,"Posting Date")</t>
  </si>
  <si>
    <t>=NF($G506,"Entry No.")</t>
  </si>
  <si>
    <t>=NF(G506,"Source Type")</t>
  </si>
  <si>
    <t>=NF($G506,"Source No.")</t>
  </si>
  <si>
    <t>=IF($J506="Customer",NL("first",$J506,"Name","No.","@@"&amp;$K506),"")</t>
  </si>
  <si>
    <t>=IF(J506="vendor",NL("first",J506,"Name","No.","@@"&amp;K506),"")</t>
  </si>
  <si>
    <t>=IF($J506="Item",NL("first",$J506,"Description","No.","@@"&amp;$K506),"")</t>
  </si>
  <si>
    <t>=NL("Sum","Item Ledger Entry","Quantity","Entry Type","Purchase","Entry No.",I506,"Location Code",$L$7)</t>
  </si>
  <si>
    <t>=NL("Sum","Item Ledger Entry","Quantity","Entry Type","Sale","Entry No.",I506,"Location Code",$L$7)</t>
  </si>
  <si>
    <t>=NL("Sum","Item Ledger Entry","Quantity","Entry Type","Positive Adjmt.|Negative Adjmt.","Entry No.",I506,"Location Code",$L$7)</t>
  </si>
  <si>
    <t>=NL("Sum","Item Ledger Entry","Quantity","Entry Type","Transfer","Entry No.",I506,"Location Code",$L$7)</t>
  </si>
  <si>
    <t>=NL("Sum","Item Ledger Entry","Quantity","Entry Type","Consumption","Entry No.",I506,"Location Code",$L$7)</t>
  </si>
  <si>
    <t>=NL("Sum","Item Ledger Entry","Quantity","Entry Type","Output","Entry No.",I506,"Location Code",$L$7)</t>
  </si>
  <si>
    <t>=D509</t>
  </si>
  <si>
    <t>=NF($G510,"Posting Date")</t>
  </si>
  <si>
    <t>=NF($G510,"Entry No.")</t>
  </si>
  <si>
    <t>=NF(G510,"Source Type")</t>
  </si>
  <si>
    <t>=NF($G510,"Source No.")</t>
  </si>
  <si>
    <t>=IF($J510="Customer",NL("first",$J510,"Name","No.","@@"&amp;$K510),"")</t>
  </si>
  <si>
    <t>=IF(J510="vendor",NL("first",J510,"Name","No.","@@"&amp;K510),"")</t>
  </si>
  <si>
    <t>=IF($J510="Item",NL("first",$J510,"Description","No.","@@"&amp;$K510),"")</t>
  </si>
  <si>
    <t>=NL("Sum","Item Ledger Entry","Quantity","Entry Type","Purchase","Entry No.",I510,"Location Code",$L$7)</t>
  </si>
  <si>
    <t>=NL("Sum","Item Ledger Entry","Quantity","Entry Type","Sale","Entry No.",I510,"Location Code",$L$7)</t>
  </si>
  <si>
    <t>=NL("Sum","Item Ledger Entry","Quantity","Entry Type","Positive Adjmt.|Negative Adjmt.","Entry No.",I510,"Location Code",$L$7)</t>
  </si>
  <si>
    <t>=NL("Sum","Item Ledger Entry","Quantity","Entry Type","Transfer","Entry No.",I510,"Location Code",$L$7)</t>
  </si>
  <si>
    <t>=NL("Sum","Item Ledger Entry","Quantity","Entry Type","Consumption","Entry No.",I510,"Location Code",$L$7)</t>
  </si>
  <si>
    <t>=NL("Sum","Item Ledger Entry","Quantity","Entry Type","Output","Entry No.",I510,"Location Code",$L$7)</t>
  </si>
  <si>
    <t>=D510</t>
  </si>
  <si>
    <t>=NF($G511,"Posting Date")</t>
  </si>
  <si>
    <t>=NF($G511,"Entry No.")</t>
  </si>
  <si>
    <t>=NF(G511,"Source Type")</t>
  </si>
  <si>
    <t>=NF($G511,"Source No.")</t>
  </si>
  <si>
    <t>=IF($J511="Customer",NL("first",$J511,"Name","No.","@@"&amp;$K511),"")</t>
  </si>
  <si>
    <t>=IF(J511="vendor",NL("first",J511,"Name","No.","@@"&amp;K511),"")</t>
  </si>
  <si>
    <t>=IF($J511="Item",NL("first",$J511,"Description","No.","@@"&amp;$K511),"")</t>
  </si>
  <si>
    <t>=NL("Sum","Item Ledger Entry","Quantity","Entry Type","Purchase","Entry No.",I511,"Location Code",$L$7)</t>
  </si>
  <si>
    <t>=NL("Sum","Item Ledger Entry","Quantity","Entry Type","Sale","Entry No.",I511,"Location Code",$L$7)</t>
  </si>
  <si>
    <t>=NL("Sum","Item Ledger Entry","Quantity","Entry Type","Positive Adjmt.|Negative Adjmt.","Entry No.",I511,"Location Code",$L$7)</t>
  </si>
  <si>
    <t>=NL("Sum","Item Ledger Entry","Quantity","Entry Type","Transfer","Entry No.",I511,"Location Code",$L$7)</t>
  </si>
  <si>
    <t>=NL("Sum","Item Ledger Entry","Quantity","Entry Type","Consumption","Entry No.",I511,"Location Code",$L$7)</t>
  </si>
  <si>
    <t>=NL("Sum","Item Ledger Entry","Quantity","Entry Type","Output","Entry No.",I511,"Location Code",$L$7)</t>
  </si>
  <si>
    <t>=D511</t>
  </si>
  <si>
    <t>=NF($G512,"Posting Date")</t>
  </si>
  <si>
    <t>=NF($G512,"Entry No.")</t>
  </si>
  <si>
    <t>=NF(G512,"Source Type")</t>
  </si>
  <si>
    <t>=NF($G512,"Source No.")</t>
  </si>
  <si>
    <t>=IF($J512="Customer",NL("first",$J512,"Name","No.","@@"&amp;$K512),"")</t>
  </si>
  <si>
    <t>=IF(J512="vendor",NL("first",J512,"Name","No.","@@"&amp;K512),"")</t>
  </si>
  <si>
    <t>=IF($J512="Item",NL("first",$J512,"Description","No.","@@"&amp;$K512),"")</t>
  </si>
  <si>
    <t>=NL("Sum","Item Ledger Entry","Quantity","Entry Type","Purchase","Entry No.",I512,"Location Code",$L$7)</t>
  </si>
  <si>
    <t>=NL("Sum","Item Ledger Entry","Quantity","Entry Type","Sale","Entry No.",I512,"Location Code",$L$7)</t>
  </si>
  <si>
    <t>=NL("Sum","Item Ledger Entry","Quantity","Entry Type","Positive Adjmt.|Negative Adjmt.","Entry No.",I512,"Location Code",$L$7)</t>
  </si>
  <si>
    <t>=NL("Sum","Item Ledger Entry","Quantity","Entry Type","Transfer","Entry No.",I512,"Location Code",$L$7)</t>
  </si>
  <si>
    <t>=NL("Sum","Item Ledger Entry","Quantity","Entry Type","Consumption","Entry No.",I512,"Location Code",$L$7)</t>
  </si>
  <si>
    <t>=NL("Sum","Item Ledger Entry","Quantity","Entry Type","Output","Entry No.",I512,"Location Code",$L$7)</t>
  </si>
  <si>
    <t>="E100002"</t>
  </si>
  <si>
    <t>=D517</t>
  </si>
  <si>
    <t>=NF($G518,"Posting Date")</t>
  </si>
  <si>
    <t>=NF($G518,"Entry No.")</t>
  </si>
  <si>
    <t>=NF(G518,"Source Type")</t>
  </si>
  <si>
    <t>=NF($G518,"Source No.")</t>
  </si>
  <si>
    <t>=IF($J518="Customer",NL("first",$J518,"Name","No.","@@"&amp;$K518),"")</t>
  </si>
  <si>
    <t>=IF(J518="vendor",NL("first",J518,"Name","No.","@@"&amp;K518),"")</t>
  </si>
  <si>
    <t>=IF($J518="Item",NL("first",$J518,"Description","No.","@@"&amp;$K518),"")</t>
  </si>
  <si>
    <t>=NL("Sum","Item Ledger Entry","Quantity","Entry Type","Purchase","Entry No.",I518,"Location Code",$L$7)</t>
  </si>
  <si>
    <t>=NL("Sum","Item Ledger Entry","Quantity","Entry Type","Sale","Entry No.",I518,"Location Code",$L$7)</t>
  </si>
  <si>
    <t>=NL("Sum","Item Ledger Entry","Quantity","Entry Type","Positive Adjmt.|Negative Adjmt.","Entry No.",I518,"Location Code",$L$7)</t>
  </si>
  <si>
    <t>=NL("Sum","Item Ledger Entry","Quantity","Entry Type","Transfer","Entry No.",I518,"Location Code",$L$7)</t>
  </si>
  <si>
    <t>=NL("Sum","Item Ledger Entry","Quantity","Entry Type","Consumption","Entry No.",I518,"Location Code",$L$7)</t>
  </si>
  <si>
    <t>=NL("Sum","Item Ledger Entry","Quantity","Entry Type","Output","Entry No.",I518,"Location Code",$L$7)</t>
  </si>
  <si>
    <t>=D518</t>
  </si>
  <si>
    <t>=NF($G519,"Posting Date")</t>
  </si>
  <si>
    <t>=NF($G519,"Entry No.")</t>
  </si>
  <si>
    <t>=NF(G519,"Source Type")</t>
  </si>
  <si>
    <t>=NF($G519,"Source No.")</t>
  </si>
  <si>
    <t>=IF($J519="Customer",NL("first",$J519,"Name","No.","@@"&amp;$K519),"")</t>
  </si>
  <si>
    <t>=IF(J519="vendor",NL("first",J519,"Name","No.","@@"&amp;K519),"")</t>
  </si>
  <si>
    <t>=IF($J519="Item",NL("first",$J519,"Description","No.","@@"&amp;$K519),"")</t>
  </si>
  <si>
    <t>=NL("Sum","Item Ledger Entry","Quantity","Entry Type","Purchase","Entry No.",I519,"Location Code",$L$7)</t>
  </si>
  <si>
    <t>=NL("Sum","Item Ledger Entry","Quantity","Entry Type","Sale","Entry No.",I519,"Location Code",$L$7)</t>
  </si>
  <si>
    <t>=NL("Sum","Item Ledger Entry","Quantity","Entry Type","Positive Adjmt.|Negative Adjmt.","Entry No.",I519,"Location Code",$L$7)</t>
  </si>
  <si>
    <t>=NL("Sum","Item Ledger Entry","Quantity","Entry Type","Transfer","Entry No.",I519,"Location Code",$L$7)</t>
  </si>
  <si>
    <t>=NL("Sum","Item Ledger Entry","Quantity","Entry Type","Consumption","Entry No.",I519,"Location Code",$L$7)</t>
  </si>
  <si>
    <t>=NL("Sum","Item Ledger Entry","Quantity","Entry Type","Output","Entry No.",I519,"Location Code",$L$7)</t>
  </si>
  <si>
    <t>=D519</t>
  </si>
  <si>
    <t>=NF($G520,"Posting Date")</t>
  </si>
  <si>
    <t>=NF($G520,"Entry No.")</t>
  </si>
  <si>
    <t>=NF(G520,"Source Type")</t>
  </si>
  <si>
    <t>=NF($G520,"Source No.")</t>
  </si>
  <si>
    <t>=IF($J520="Customer",NL("first",$J520,"Name","No.","@@"&amp;$K520),"")</t>
  </si>
  <si>
    <t>=IF(J520="vendor",NL("first",J520,"Name","No.","@@"&amp;K520),"")</t>
  </si>
  <si>
    <t>=IF($J520="Item",NL("first",$J520,"Description","No.","@@"&amp;$K520),"")</t>
  </si>
  <si>
    <t>=NL("Sum","Item Ledger Entry","Quantity","Entry Type","Purchase","Entry No.",I520,"Location Code",$L$7)</t>
  </si>
  <si>
    <t>=NL("Sum","Item Ledger Entry","Quantity","Entry Type","Sale","Entry No.",I520,"Location Code",$L$7)</t>
  </si>
  <si>
    <t>=NL("Sum","Item Ledger Entry","Quantity","Entry Type","Positive Adjmt.|Negative Adjmt.","Entry No.",I520,"Location Code",$L$7)</t>
  </si>
  <si>
    <t>=NL("Sum","Item Ledger Entry","Quantity","Entry Type","Transfer","Entry No.",I520,"Location Code",$L$7)</t>
  </si>
  <si>
    <t>=NL("Sum","Item Ledger Entry","Quantity","Entry Type","Consumption","Entry No.",I520,"Location Code",$L$7)</t>
  </si>
  <si>
    <t>=NL("Sum","Item Ledger Entry","Quantity","Entry Type","Output","Entry No.",I520,"Location Code",$L$7)</t>
  </si>
  <si>
    <t>="E100003"</t>
  </si>
  <si>
    <t>=D523</t>
  </si>
  <si>
    <t>=NF($G524,"Posting Date")</t>
  </si>
  <si>
    <t>=NF($G524,"Entry No.")</t>
  </si>
  <si>
    <t>=NF(G524,"Source Type")</t>
  </si>
  <si>
    <t>=NF($G524,"Source No.")</t>
  </si>
  <si>
    <t>=IF($J524="Customer",NL("first",$J524,"Name","No.","@@"&amp;$K524),"")</t>
  </si>
  <si>
    <t>=IF(J524="vendor",NL("first",J524,"Name","No.","@@"&amp;K524),"")</t>
  </si>
  <si>
    <t>=IF($J524="Item",NL("first",$J524,"Description","No.","@@"&amp;$K524),"")</t>
  </si>
  <si>
    <t>=NL("Sum","Item Ledger Entry","Quantity","Entry Type","Purchase","Entry No.",I524,"Location Code",$L$7)</t>
  </si>
  <si>
    <t>=NL("Sum","Item Ledger Entry","Quantity","Entry Type","Sale","Entry No.",I524,"Location Code",$L$7)</t>
  </si>
  <si>
    <t>=NL("Sum","Item Ledger Entry","Quantity","Entry Type","Positive Adjmt.|Negative Adjmt.","Entry No.",I524,"Location Code",$L$7)</t>
  </si>
  <si>
    <t>=NL("Sum","Item Ledger Entry","Quantity","Entry Type","Transfer","Entry No.",I524,"Location Code",$L$7)</t>
  </si>
  <si>
    <t>=NL("Sum","Item Ledger Entry","Quantity","Entry Type","Consumption","Entry No.",I524,"Location Code",$L$7)</t>
  </si>
  <si>
    <t>=NL("Sum","Item Ledger Entry","Quantity","Entry Type","Output","Entry No.",I524,"Location Code",$L$7)</t>
  </si>
  <si>
    <t>=D524</t>
  </si>
  <si>
    <t>=NF($G525,"Posting Date")</t>
  </si>
  <si>
    <t>=NF($G525,"Entry No.")</t>
  </si>
  <si>
    <t>=NF(G525,"Source Type")</t>
  </si>
  <si>
    <t>=NF($G525,"Source No.")</t>
  </si>
  <si>
    <t>=IF($J525="Customer",NL("first",$J525,"Name","No.","@@"&amp;$K525),"")</t>
  </si>
  <si>
    <t>=IF(J525="vendor",NL("first",J525,"Name","No.","@@"&amp;K525),"")</t>
  </si>
  <si>
    <t>=IF($J525="Item",NL("first",$J525,"Description","No.","@@"&amp;$K525),"")</t>
  </si>
  <si>
    <t>=D525</t>
  </si>
  <si>
    <t>=NF($G526,"Posting Date")</t>
  </si>
  <si>
    <t>=NF($G526,"Entry No.")</t>
  </si>
  <si>
    <t>=NF(G526,"Source Type")</t>
  </si>
  <si>
    <t>=NF($G526,"Source No.")</t>
  </si>
  <si>
    <t>=IF($J526="Customer",NL("first",$J526,"Name","No.","@@"&amp;$K526),"")</t>
  </si>
  <si>
    <t>=IF(J526="vendor",NL("first",J526,"Name","No.","@@"&amp;K526),"")</t>
  </si>
  <si>
    <t>=IF($J526="Item",NL("first",$J526,"Description","No.","@@"&amp;$K526),"")</t>
  </si>
  <si>
    <t>=D526</t>
  </si>
  <si>
    <t>=NF($G527,"Posting Date")</t>
  </si>
  <si>
    <t>=NF($G527,"Entry No.")</t>
  </si>
  <si>
    <t>=NF(G527,"Source Type")</t>
  </si>
  <si>
    <t>=NF($G527,"Source No.")</t>
  </si>
  <si>
    <t>=IF($J527="Customer",NL("first",$J527,"Name","No.","@@"&amp;$K527),"")</t>
  </si>
  <si>
    <t>=IF(J527="vendor",NL("first",J527,"Name","No.","@@"&amp;K527),"")</t>
  </si>
  <si>
    <t>=IF($J527="Item",NL("first",$J527,"Description","No.","@@"&amp;$K527),"")</t>
  </si>
  <si>
    <t>="E100004"</t>
  </si>
  <si>
    <t>=D532</t>
  </si>
  <si>
    <t>=NF($G533,"Posting Date")</t>
  </si>
  <si>
    <t>=NF($G533,"Entry No.")</t>
  </si>
  <si>
    <t>=NF(G533,"Source Type")</t>
  </si>
  <si>
    <t>=NF($G533,"Source No.")</t>
  </si>
  <si>
    <t>=IF($J533="Customer",NL("first",$J533,"Name","No.","@@"&amp;$K533),"")</t>
  </si>
  <si>
    <t>=IF(J533="vendor",NL("first",J533,"Name","No.","@@"&amp;K533),"")</t>
  </si>
  <si>
    <t>=IF($J533="Item",NL("first",$J533,"Description","No.","@@"&amp;$K533),"")</t>
  </si>
  <si>
    <t>=NL("Sum","Item Ledger Entry","Quantity","Entry Type","Purchase","Entry No.",I533,"Location Code",$L$7)</t>
  </si>
  <si>
    <t>=NL("Sum","Item Ledger Entry","Quantity","Entry Type","Sale","Entry No.",I533,"Location Code",$L$7)</t>
  </si>
  <si>
    <t>=NL("Sum","Item Ledger Entry","Quantity","Entry Type","Positive Adjmt.|Negative Adjmt.","Entry No.",I533,"Location Code",$L$7)</t>
  </si>
  <si>
    <t>=NL("Sum","Item Ledger Entry","Quantity","Entry Type","Transfer","Entry No.",I533,"Location Code",$L$7)</t>
  </si>
  <si>
    <t>=NL("Sum","Item Ledger Entry","Quantity","Entry Type","Consumption","Entry No.",I533,"Location Code",$L$7)</t>
  </si>
  <si>
    <t>=NL("Sum","Item Ledger Entry","Quantity","Entry Type","Output","Entry No.",I533,"Location Code",$L$7)</t>
  </si>
  <si>
    <t>=D533</t>
  </si>
  <si>
    <t>=NF($G534,"Posting Date")</t>
  </si>
  <si>
    <t>=NF($G534,"Entry No.")</t>
  </si>
  <si>
    <t>=NF(G534,"Source Type")</t>
  </si>
  <si>
    <t>=NF($G534,"Source No.")</t>
  </si>
  <si>
    <t>=IF($J534="Customer",NL("first",$J534,"Name","No.","@@"&amp;$K534),"")</t>
  </si>
  <si>
    <t>=IF(J534="vendor",NL("first",J534,"Name","No.","@@"&amp;K534),"")</t>
  </si>
  <si>
    <t>=IF($J534="Item",NL("first",$J534,"Description","No.","@@"&amp;$K534),"")</t>
  </si>
  <si>
    <t>=NL("Sum","Item Ledger Entry","Quantity","Entry Type","Purchase","Entry No.",I534,"Location Code",$L$7)</t>
  </si>
  <si>
    <t>=NL("Sum","Item Ledger Entry","Quantity","Entry Type","Sale","Entry No.",I534,"Location Code",$L$7)</t>
  </si>
  <si>
    <t>=NL("Sum","Item Ledger Entry","Quantity","Entry Type","Positive Adjmt.|Negative Adjmt.","Entry No.",I534,"Location Code",$L$7)</t>
  </si>
  <si>
    <t>=NL("Sum","Item Ledger Entry","Quantity","Entry Type","Transfer","Entry No.",I534,"Location Code",$L$7)</t>
  </si>
  <si>
    <t>=NL("Sum","Item Ledger Entry","Quantity","Entry Type","Consumption","Entry No.",I534,"Location Code",$L$7)</t>
  </si>
  <si>
    <t>=NL("Sum","Item Ledger Entry","Quantity","Entry Type","Output","Entry No.",I534,"Location Code",$L$7)</t>
  </si>
  <si>
    <t>=D534</t>
  </si>
  <si>
    <t>=NF($G535,"Posting Date")</t>
  </si>
  <si>
    <t>=NF($G535,"Entry No.")</t>
  </si>
  <si>
    <t>=NF(G535,"Source Type")</t>
  </si>
  <si>
    <t>=NF($G535,"Source No.")</t>
  </si>
  <si>
    <t>=IF($J535="Customer",NL("first",$J535,"Name","No.","@@"&amp;$K535),"")</t>
  </si>
  <si>
    <t>=IF(J535="vendor",NL("first",J535,"Name","No.","@@"&amp;K535),"")</t>
  </si>
  <si>
    <t>=IF($J535="Item",NL("first",$J535,"Description","No.","@@"&amp;$K535),"")</t>
  </si>
  <si>
    <t>=NL("Sum","Item Ledger Entry","Quantity","Entry Type","Purchase","Entry No.",I535,"Location Code",$L$7)</t>
  </si>
  <si>
    <t>=NL("Sum","Item Ledger Entry","Quantity","Entry Type","Sale","Entry No.",I535,"Location Code",$L$7)</t>
  </si>
  <si>
    <t>=NL("Sum","Item Ledger Entry","Quantity","Entry Type","Positive Adjmt.|Negative Adjmt.","Entry No.",I535,"Location Code",$L$7)</t>
  </si>
  <si>
    <t>=NL("Sum","Item Ledger Entry","Quantity","Entry Type","Transfer","Entry No.",I535,"Location Code",$L$7)</t>
  </si>
  <si>
    <t>=NL("Sum","Item Ledger Entry","Quantity","Entry Type","Consumption","Entry No.",I535,"Location Code",$L$7)</t>
  </si>
  <si>
    <t>=NL("Sum","Item Ledger Entry","Quantity","Entry Type","Output","Entry No.",I535,"Location Code",$L$7)</t>
  </si>
  <si>
    <t>=D535</t>
  </si>
  <si>
    <t>=NF($G536,"Posting Date")</t>
  </si>
  <si>
    <t>=NF($G536,"Entry No.")</t>
  </si>
  <si>
    <t>=NF(G536,"Source Type")</t>
  </si>
  <si>
    <t>=NF($G536,"Source No.")</t>
  </si>
  <si>
    <t>=IF($J536="Customer",NL("first",$J536,"Name","No.","@@"&amp;$K536),"")</t>
  </si>
  <si>
    <t>=IF(J536="vendor",NL("first",J536,"Name","No.","@@"&amp;K536),"")</t>
  </si>
  <si>
    <t>=IF($J536="Item",NL("first",$J536,"Description","No.","@@"&amp;$K536),"")</t>
  </si>
  <si>
    <t>=NL("Sum","Item Ledger Entry","Quantity","Entry Type","Purchase","Entry No.",I536,"Location Code",$L$7)</t>
  </si>
  <si>
    <t>=NL("Sum","Item Ledger Entry","Quantity","Entry Type","Sale","Entry No.",I536,"Location Code",$L$7)</t>
  </si>
  <si>
    <t>=NL("Sum","Item Ledger Entry","Quantity","Entry Type","Positive Adjmt.|Negative Adjmt.","Entry No.",I536,"Location Code",$L$7)</t>
  </si>
  <si>
    <t>=NL("Sum","Item Ledger Entry","Quantity","Entry Type","Transfer","Entry No.",I536,"Location Code",$L$7)</t>
  </si>
  <si>
    <t>=NL("Sum","Item Ledger Entry","Quantity","Entry Type","Consumption","Entry No.",I536,"Location Code",$L$7)</t>
  </si>
  <si>
    <t>=NL("Sum","Item Ledger Entry","Quantity","Entry Type","Output","Entry No.",I536,"Location Code",$L$7)</t>
  </si>
  <si>
    <t>="E100005"</t>
  </si>
  <si>
    <t>=D542</t>
  </si>
  <si>
    <t>=NF($G543,"Posting Date")</t>
  </si>
  <si>
    <t>=NF($G543,"Entry No.")</t>
  </si>
  <si>
    <t>=NF(G543,"Source Type")</t>
  </si>
  <si>
    <t>=NF($G543,"Source No.")</t>
  </si>
  <si>
    <t>=IF($J543="Customer",NL("first",$J543,"Name","No.","@@"&amp;$K543),"")</t>
  </si>
  <si>
    <t>=IF(J543="vendor",NL("first",J543,"Name","No.","@@"&amp;K543),"")</t>
  </si>
  <si>
    <t>=IF($J543="Item",NL("first",$J543,"Description","No.","@@"&amp;$K543),"")</t>
  </si>
  <si>
    <t>=NL("Sum","Item Ledger Entry","Quantity","Entry Type","Purchase","Entry No.",I543,"Location Code",$L$7)</t>
  </si>
  <si>
    <t>=NL("Sum","Item Ledger Entry","Quantity","Entry Type","Sale","Entry No.",I543,"Location Code",$L$7)</t>
  </si>
  <si>
    <t>=NL("Sum","Item Ledger Entry","Quantity","Entry Type","Positive Adjmt.|Negative Adjmt.","Entry No.",I543,"Location Code",$L$7)</t>
  </si>
  <si>
    <t>=NL("Sum","Item Ledger Entry","Quantity","Entry Type","Transfer","Entry No.",I543,"Location Code",$L$7)</t>
  </si>
  <si>
    <t>=NL("Sum","Item Ledger Entry","Quantity","Entry Type","Consumption","Entry No.",I543,"Location Code",$L$7)</t>
  </si>
  <si>
    <t>=NL("Sum","Item Ledger Entry","Quantity","Entry Type","Output","Entry No.",I543,"Location Code",$L$7)</t>
  </si>
  <si>
    <t>=D543</t>
  </si>
  <si>
    <t>=NF($G544,"Posting Date")</t>
  </si>
  <si>
    <t>=NF($G544,"Entry No.")</t>
  </si>
  <si>
    <t>=NF(G544,"Source Type")</t>
  </si>
  <si>
    <t>=NF($G544,"Source No.")</t>
  </si>
  <si>
    <t>=IF($J544="Customer",NL("first",$J544,"Name","No.","@@"&amp;$K544),"")</t>
  </si>
  <si>
    <t>=IF(J544="vendor",NL("first",J544,"Name","No.","@@"&amp;K544),"")</t>
  </si>
  <si>
    <t>=IF($J544="Item",NL("first",$J544,"Description","No.","@@"&amp;$K544),"")</t>
  </si>
  <si>
    <t>=NL("Sum","Item Ledger Entry","Quantity","Entry Type","Purchase","Entry No.",I544,"Location Code",$L$7)</t>
  </si>
  <si>
    <t>=NL("Sum","Item Ledger Entry","Quantity","Entry Type","Sale","Entry No.",I544,"Location Code",$L$7)</t>
  </si>
  <si>
    <t>=NL("Sum","Item Ledger Entry","Quantity","Entry Type","Positive Adjmt.|Negative Adjmt.","Entry No.",I544,"Location Code",$L$7)</t>
  </si>
  <si>
    <t>=NL("Sum","Item Ledger Entry","Quantity","Entry Type","Transfer","Entry No.",I544,"Location Code",$L$7)</t>
  </si>
  <si>
    <t>=NL("Sum","Item Ledger Entry","Quantity","Entry Type","Consumption","Entry No.",I544,"Location Code",$L$7)</t>
  </si>
  <si>
    <t>=NL("Sum","Item Ledger Entry","Quantity","Entry Type","Output","Entry No.",I544,"Location Code",$L$7)</t>
  </si>
  <si>
    <t>="E100006"</t>
  </si>
  <si>
    <t>=D547</t>
  </si>
  <si>
    <t>=NF($G548,"Posting Date")</t>
  </si>
  <si>
    <t>=NF($G548,"Entry No.")</t>
  </si>
  <si>
    <t>=NF(G548,"Source Type")</t>
  </si>
  <si>
    <t>=NF($G548,"Source No.")</t>
  </si>
  <si>
    <t>=IF($J548="Customer",NL("first",$J548,"Name","No.","@@"&amp;$K548),"")</t>
  </si>
  <si>
    <t>=IF(J548="vendor",NL("first",J548,"Name","No.","@@"&amp;K548),"")</t>
  </si>
  <si>
    <t>=IF($J548="Item",NL("first",$J548,"Description","No.","@@"&amp;$K548),"")</t>
  </si>
  <si>
    <t>=NL("Sum","Item Ledger Entry","Quantity","Entry Type","Purchase","Entry No.",I548,"Location Code",$L$7)</t>
  </si>
  <si>
    <t>=NL("Sum","Item Ledger Entry","Quantity","Entry Type","Sale","Entry No.",I548,"Location Code",$L$7)</t>
  </si>
  <si>
    <t>=NL("Sum","Item Ledger Entry","Quantity","Entry Type","Positive Adjmt.|Negative Adjmt.","Entry No.",I548,"Location Code",$L$7)</t>
  </si>
  <si>
    <t>=NL("Sum","Item Ledger Entry","Quantity","Entry Type","Transfer","Entry No.",I548,"Location Code",$L$7)</t>
  </si>
  <si>
    <t>=NL("Sum","Item Ledger Entry","Quantity","Entry Type","Consumption","Entry No.",I548,"Location Code",$L$7)</t>
  </si>
  <si>
    <t>=NL("Sum","Item Ledger Entry","Quantity","Entry Type","Output","Entry No.",I548,"Location Code",$L$7)</t>
  </si>
  <si>
    <t>=D548</t>
  </si>
  <si>
    <t>=NF($G549,"Posting Date")</t>
  </si>
  <si>
    <t>=NF($G549,"Entry No.")</t>
  </si>
  <si>
    <t>=NF(G549,"Source Type")</t>
  </si>
  <si>
    <t>=NF($G549,"Source No.")</t>
  </si>
  <si>
    <t>=IF($J549="Customer",NL("first",$J549,"Name","No.","@@"&amp;$K549),"")</t>
  </si>
  <si>
    <t>=IF(J549="vendor",NL("first",J549,"Name","No.","@@"&amp;K549),"")</t>
  </si>
  <si>
    <t>=IF($J549="Item",NL("first",$J549,"Description","No.","@@"&amp;$K549),"")</t>
  </si>
  <si>
    <t>=NL("Sum","Item Ledger Entry","Quantity","Entry Type","Purchase","Entry No.",I549,"Location Code",$L$7)</t>
  </si>
  <si>
    <t>=NL("Sum","Item Ledger Entry","Quantity","Entry Type","Sale","Entry No.",I549,"Location Code",$L$7)</t>
  </si>
  <si>
    <t>=NL("Sum","Item Ledger Entry","Quantity","Entry Type","Positive Adjmt.|Negative Adjmt.","Entry No.",I549,"Location Code",$L$7)</t>
  </si>
  <si>
    <t>=NL("Sum","Item Ledger Entry","Quantity","Entry Type","Transfer","Entry No.",I549,"Location Code",$L$7)</t>
  </si>
  <si>
    <t>=NL("Sum","Item Ledger Entry","Quantity","Entry Type","Consumption","Entry No.",I549,"Location Code",$L$7)</t>
  </si>
  <si>
    <t>=NL("Sum","Item Ledger Entry","Quantity","Entry Type","Output","Entry No.",I549,"Location Code",$L$7)</t>
  </si>
  <si>
    <t>=D549</t>
  </si>
  <si>
    <t>=NF($G550,"Posting Date")</t>
  </si>
  <si>
    <t>=NF($G550,"Entry No.")</t>
  </si>
  <si>
    <t>=NF(G550,"Source Type")</t>
  </si>
  <si>
    <t>=NF($G550,"Source No.")</t>
  </si>
  <si>
    <t>=IF($J550="Customer",NL("first",$J550,"Name","No.","@@"&amp;$K550),"")</t>
  </si>
  <si>
    <t>=IF(J550="vendor",NL("first",J550,"Name","No.","@@"&amp;K550),"")</t>
  </si>
  <si>
    <t>=IF($J550="Item",NL("first",$J550,"Description","No.","@@"&amp;$K550),"")</t>
  </si>
  <si>
    <t>=NL("Sum","Item Ledger Entry","Quantity","Entry Type","Purchase","Entry No.",I550,"Location Code",$L$7)</t>
  </si>
  <si>
    <t>=NL("Sum","Item Ledger Entry","Quantity","Entry Type","Sale","Entry No.",I550,"Location Code",$L$7)</t>
  </si>
  <si>
    <t>=NL("Sum","Item Ledger Entry","Quantity","Entry Type","Positive Adjmt.|Negative Adjmt.","Entry No.",I550,"Location Code",$L$7)</t>
  </si>
  <si>
    <t>=NL("Sum","Item Ledger Entry","Quantity","Entry Type","Transfer","Entry No.",I550,"Location Code",$L$7)</t>
  </si>
  <si>
    <t>=NL("Sum","Item Ledger Entry","Quantity","Entry Type","Consumption","Entry No.",I550,"Location Code",$L$7)</t>
  </si>
  <si>
    <t>=NL("Sum","Item Ledger Entry","Quantity","Entry Type","Output","Entry No.",I550,"Location Code",$L$7)</t>
  </si>
  <si>
    <t>="E100007"</t>
  </si>
  <si>
    <t>=D554</t>
  </si>
  <si>
    <t>=NF($G555,"Posting Date")</t>
  </si>
  <si>
    <t>=NF($G555,"Entry No.")</t>
  </si>
  <si>
    <t>=NF(G555,"Source Type")</t>
  </si>
  <si>
    <t>=NF($G555,"Source No.")</t>
  </si>
  <si>
    <t>=IF($J555="Customer",NL("first",$J555,"Name","No.","@@"&amp;$K555),"")</t>
  </si>
  <si>
    <t>=IF(J555="vendor",NL("first",J555,"Name","No.","@@"&amp;K555),"")</t>
  </si>
  <si>
    <t>=IF($J555="Item",NL("first",$J555,"Description","No.","@@"&amp;$K555),"")</t>
  </si>
  <si>
    <t>=NL("Sum","Item Ledger Entry","Quantity","Entry Type","Purchase","Entry No.",I555,"Location Code",$L$7)</t>
  </si>
  <si>
    <t>=NL("Sum","Item Ledger Entry","Quantity","Entry Type","Sale","Entry No.",I555,"Location Code",$L$7)</t>
  </si>
  <si>
    <t>=NL("Sum","Item Ledger Entry","Quantity","Entry Type","Positive Adjmt.|Negative Adjmt.","Entry No.",I555,"Location Code",$L$7)</t>
  </si>
  <si>
    <t>=NL("Sum","Item Ledger Entry","Quantity","Entry Type","Transfer","Entry No.",I555,"Location Code",$L$7)</t>
  </si>
  <si>
    <t>=NL("Sum","Item Ledger Entry","Quantity","Entry Type","Consumption","Entry No.",I555,"Location Code",$L$7)</t>
  </si>
  <si>
    <t>=NL("Sum","Item Ledger Entry","Quantity","Entry Type","Output","Entry No.",I555,"Location Code",$L$7)</t>
  </si>
  <si>
    <t>=D555</t>
  </si>
  <si>
    <t>=NF($G556,"Posting Date")</t>
  </si>
  <si>
    <t>=NF($G556,"Entry No.")</t>
  </si>
  <si>
    <t>=NF(G556,"Source Type")</t>
  </si>
  <si>
    <t>=NF($G556,"Source No.")</t>
  </si>
  <si>
    <t>=IF($J556="Customer",NL("first",$J556,"Name","No.","@@"&amp;$K556),"")</t>
  </si>
  <si>
    <t>=IF(J556="vendor",NL("first",J556,"Name","No.","@@"&amp;K556),"")</t>
  </si>
  <si>
    <t>=IF($J556="Item",NL("first",$J556,"Description","No.","@@"&amp;$K556),"")</t>
  </si>
  <si>
    <t>=NL("Sum","Item Ledger Entry","Quantity","Entry Type","Purchase","Entry No.",I556,"Location Code",$L$7)</t>
  </si>
  <si>
    <t>=NL("Sum","Item Ledger Entry","Quantity","Entry Type","Sale","Entry No.",I556,"Location Code",$L$7)</t>
  </si>
  <si>
    <t>=NL("Sum","Item Ledger Entry","Quantity","Entry Type","Positive Adjmt.|Negative Adjmt.","Entry No.",I556,"Location Code",$L$7)</t>
  </si>
  <si>
    <t>=NL("Sum","Item Ledger Entry","Quantity","Entry Type","Transfer","Entry No.",I556,"Location Code",$L$7)</t>
  </si>
  <si>
    <t>=NL("Sum","Item Ledger Entry","Quantity","Entry Type","Consumption","Entry No.",I556,"Location Code",$L$7)</t>
  </si>
  <si>
    <t>=NL("Sum","Item Ledger Entry","Quantity","Entry Type","Output","Entry No.",I556,"Location Code",$L$7)</t>
  </si>
  <si>
    <t>=D556</t>
  </si>
  <si>
    <t>=NF($G557,"Posting Date")</t>
  </si>
  <si>
    <t>=NF($G557,"Entry No.")</t>
  </si>
  <si>
    <t>=NF(G557,"Source Type")</t>
  </si>
  <si>
    <t>=NF($G557,"Source No.")</t>
  </si>
  <si>
    <t>=IF($J557="Customer",NL("first",$J557,"Name","No.","@@"&amp;$K557),"")</t>
  </si>
  <si>
    <t>=IF(J557="vendor",NL("first",J557,"Name","No.","@@"&amp;K557),"")</t>
  </si>
  <si>
    <t>=IF($J557="Item",NL("first",$J557,"Description","No.","@@"&amp;$K557),"")</t>
  </si>
  <si>
    <t>=NL("Sum","Item Ledger Entry","Quantity","Entry Type","Purchase","Entry No.",I557,"Location Code",$L$7)</t>
  </si>
  <si>
    <t>=NL("Sum","Item Ledger Entry","Quantity","Entry Type","Sale","Entry No.",I557,"Location Code",$L$7)</t>
  </si>
  <si>
    <t>=NL("Sum","Item Ledger Entry","Quantity","Entry Type","Positive Adjmt.|Negative Adjmt.","Entry No.",I557,"Location Code",$L$7)</t>
  </si>
  <si>
    <t>=NL("Sum","Item Ledger Entry","Quantity","Entry Type","Transfer","Entry No.",I557,"Location Code",$L$7)</t>
  </si>
  <si>
    <t>=NL("Sum","Item Ledger Entry","Quantity","Entry Type","Consumption","Entry No.",I557,"Location Code",$L$7)</t>
  </si>
  <si>
    <t>=NL("Sum","Item Ledger Entry","Quantity","Entry Type","Output","Entry No.",I557,"Location Code",$L$7)</t>
  </si>
  <si>
    <t>=D557</t>
  </si>
  <si>
    <t>=NF($G558,"Posting Date")</t>
  </si>
  <si>
    <t>=NF($G558,"Entry No.")</t>
  </si>
  <si>
    <t>=NF(G558,"Source Type")</t>
  </si>
  <si>
    <t>=NF($G558,"Source No.")</t>
  </si>
  <si>
    <t>=IF($J558="Customer",NL("first",$J558,"Name","No.","@@"&amp;$K558),"")</t>
  </si>
  <si>
    <t>=IF(J558="vendor",NL("first",J558,"Name","No.","@@"&amp;K558),"")</t>
  </si>
  <si>
    <t>=IF($J558="Item",NL("first",$J558,"Description","No.","@@"&amp;$K558),"")</t>
  </si>
  <si>
    <t>=NL("Sum","Item Ledger Entry","Quantity","Entry Type","Purchase","Entry No.",I558,"Location Code",$L$7)</t>
  </si>
  <si>
    <t>=NL("Sum","Item Ledger Entry","Quantity","Entry Type","Sale","Entry No.",I558,"Location Code",$L$7)</t>
  </si>
  <si>
    <t>=NL("Sum","Item Ledger Entry","Quantity","Entry Type","Positive Adjmt.|Negative Adjmt.","Entry No.",I558,"Location Code",$L$7)</t>
  </si>
  <si>
    <t>=NL("Sum","Item Ledger Entry","Quantity","Entry Type","Transfer","Entry No.",I558,"Location Code",$L$7)</t>
  </si>
  <si>
    <t>=NL("Sum","Item Ledger Entry","Quantity","Entry Type","Consumption","Entry No.",I558,"Location Code",$L$7)</t>
  </si>
  <si>
    <t>=NL("Sum","Item Ledger Entry","Quantity","Entry Type","Output","Entry No.",I558,"Location Code",$L$7)</t>
  </si>
  <si>
    <t>=D558</t>
  </si>
  <si>
    <t>=NF($G559,"Posting Date")</t>
  </si>
  <si>
    <t>=NF($G559,"Entry No.")</t>
  </si>
  <si>
    <t>=NF(G559,"Source Type")</t>
  </si>
  <si>
    <t>=NF($G559,"Source No.")</t>
  </si>
  <si>
    <t>=IF($J559="Customer",NL("first",$J559,"Name","No.","@@"&amp;$K559),"")</t>
  </si>
  <si>
    <t>=IF(J559="vendor",NL("first",J559,"Name","No.","@@"&amp;K559),"")</t>
  </si>
  <si>
    <t>=IF($J559="Item",NL("first",$J559,"Description","No.","@@"&amp;$K559),"")</t>
  </si>
  <si>
    <t>=NL("Sum","Item Ledger Entry","Quantity","Entry Type","Purchase","Entry No.",I559,"Location Code",$L$7)</t>
  </si>
  <si>
    <t>=NL("Sum","Item Ledger Entry","Quantity","Entry Type","Sale","Entry No.",I559,"Location Code",$L$7)</t>
  </si>
  <si>
    <t>=NL("Sum","Item Ledger Entry","Quantity","Entry Type","Positive Adjmt.|Negative Adjmt.","Entry No.",I559,"Location Code",$L$7)</t>
  </si>
  <si>
    <t>=NL("Sum","Item Ledger Entry","Quantity","Entry Type","Transfer","Entry No.",I559,"Location Code",$L$7)</t>
  </si>
  <si>
    <t>=NL("Sum","Item Ledger Entry","Quantity","Entry Type","Consumption","Entry No.",I559,"Location Code",$L$7)</t>
  </si>
  <si>
    <t>=NL("Sum","Item Ledger Entry","Quantity","Entry Type","Output","Entry No.",I559,"Location Code",$L$7)</t>
  </si>
  <si>
    <t>="E100008"</t>
  </si>
  <si>
    <t>=D562</t>
  </si>
  <si>
    <t>=NF($G563,"Posting Date")</t>
  </si>
  <si>
    <t>=NF($G563,"Entry No.")</t>
  </si>
  <si>
    <t>=NF(G563,"Source Type")</t>
  </si>
  <si>
    <t>=NF($G563,"Source No.")</t>
  </si>
  <si>
    <t>=IF($J563="Customer",NL("first",$J563,"Name","No.","@@"&amp;$K563),"")</t>
  </si>
  <si>
    <t>=IF(J563="vendor",NL("first",J563,"Name","No.","@@"&amp;K563),"")</t>
  </si>
  <si>
    <t>=IF($J563="Item",NL("first",$J563,"Description","No.","@@"&amp;$K563),"")</t>
  </si>
  <si>
    <t>=D566</t>
  </si>
  <si>
    <t>=NF($G567,"Posting Date")</t>
  </si>
  <si>
    <t>=NF($G567,"Entry No.")</t>
  </si>
  <si>
    <t>=NF(G567,"Source Type")</t>
  </si>
  <si>
    <t>=NF($G567,"Source No.")</t>
  </si>
  <si>
    <t>=IF($J567="Customer",NL("first",$J567,"Name","No.","@@"&amp;$K567),"")</t>
  </si>
  <si>
    <t>=IF(J567="vendor",NL("first",J567,"Name","No.","@@"&amp;K567),"")</t>
  </si>
  <si>
    <t>=IF($J567="Item",NL("first",$J567,"Description","No.","@@"&amp;$K567),"")</t>
  </si>
  <si>
    <t>=NL("Sum","Item Ledger Entry","Quantity","Entry Type","Purchase","Entry No.",I567,"Location Code",$L$7)</t>
  </si>
  <si>
    <t>=NL("Sum","Item Ledger Entry","Quantity","Entry Type","Sale","Entry No.",I567,"Location Code",$L$7)</t>
  </si>
  <si>
    <t>=NL("Sum","Item Ledger Entry","Quantity","Entry Type","Positive Adjmt.|Negative Adjmt.","Entry No.",I567,"Location Code",$L$7)</t>
  </si>
  <si>
    <t>=NL("Sum","Item Ledger Entry","Quantity","Entry Type","Transfer","Entry No.",I567,"Location Code",$L$7)</t>
  </si>
  <si>
    <t>=NL("Sum","Item Ledger Entry","Quantity","Entry Type","Consumption","Entry No.",I567,"Location Code",$L$7)</t>
  </si>
  <si>
    <t>=NL("Sum","Item Ledger Entry","Quantity","Entry Type","Output","Entry No.",I567,"Location Code",$L$7)</t>
  </si>
  <si>
    <t>=D567</t>
  </si>
  <si>
    <t>=NF($G568,"Posting Date")</t>
  </si>
  <si>
    <t>=NF($G568,"Entry No.")</t>
  </si>
  <si>
    <t>=NF(G568,"Source Type")</t>
  </si>
  <si>
    <t>=NF($G568,"Source No.")</t>
  </si>
  <si>
    <t>=IF($J568="Customer",NL("first",$J568,"Name","No.","@@"&amp;$K568),"")</t>
  </si>
  <si>
    <t>=IF(J568="vendor",NL("first",J568,"Name","No.","@@"&amp;K568),"")</t>
  </si>
  <si>
    <t>=IF($J568="Item",NL("first",$J568,"Description","No.","@@"&amp;$K568),"")</t>
  </si>
  <si>
    <t>=NL("Sum","Item Ledger Entry","Quantity","Entry Type","Purchase","Entry No.",I568,"Location Code",$L$7)</t>
  </si>
  <si>
    <t>=NL("Sum","Item Ledger Entry","Quantity","Entry Type","Sale","Entry No.",I568,"Location Code",$L$7)</t>
  </si>
  <si>
    <t>=NL("Sum","Item Ledger Entry","Quantity","Entry Type","Positive Adjmt.|Negative Adjmt.","Entry No.",I568,"Location Code",$L$7)</t>
  </si>
  <si>
    <t>=NL("Sum","Item Ledger Entry","Quantity","Entry Type","Transfer","Entry No.",I568,"Location Code",$L$7)</t>
  </si>
  <si>
    <t>=NL("Sum","Item Ledger Entry","Quantity","Entry Type","Consumption","Entry No.",I568,"Location Code",$L$7)</t>
  </si>
  <si>
    <t>=NL("Sum","Item Ledger Entry","Quantity","Entry Type","Output","Entry No.",I568,"Location Code",$L$7)</t>
  </si>
  <si>
    <t>=D568</t>
  </si>
  <si>
    <t>=NF($G569,"Posting Date")</t>
  </si>
  <si>
    <t>=NF($G569,"Entry No.")</t>
  </si>
  <si>
    <t>=NF(G569,"Source Type")</t>
  </si>
  <si>
    <t>=NF($G569,"Source No.")</t>
  </si>
  <si>
    <t>=IF($J569="Customer",NL("first",$J569,"Name","No.","@@"&amp;$K569),"")</t>
  </si>
  <si>
    <t>=IF(J569="vendor",NL("first",J569,"Name","No.","@@"&amp;K569),"")</t>
  </si>
  <si>
    <t>=IF($J569="Item",NL("first",$J569,"Description","No.","@@"&amp;$K569),"")</t>
  </si>
  <si>
    <t>=NL("Sum","Item Ledger Entry","Quantity","Entry Type","Purchase","Entry No.",I569,"Location Code",$L$7)</t>
  </si>
  <si>
    <t>=NL("Sum","Item Ledger Entry","Quantity","Entry Type","Sale","Entry No.",I569,"Location Code",$L$7)</t>
  </si>
  <si>
    <t>=NL("Sum","Item Ledger Entry","Quantity","Entry Type","Positive Adjmt.|Negative Adjmt.","Entry No.",I569,"Location Code",$L$7)</t>
  </si>
  <si>
    <t>=NL("Sum","Item Ledger Entry","Quantity","Entry Type","Transfer","Entry No.",I569,"Location Code",$L$7)</t>
  </si>
  <si>
    <t>=NL("Sum","Item Ledger Entry","Quantity","Entry Type","Consumption","Entry No.",I569,"Location Code",$L$7)</t>
  </si>
  <si>
    <t>=NL("Sum","Item Ledger Entry","Quantity","Entry Type","Output","Entry No.",I569,"Location Code",$L$7)</t>
  </si>
  <si>
    <t>=D569</t>
  </si>
  <si>
    <t>=NF($G570,"Posting Date")</t>
  </si>
  <si>
    <t>=NF($G570,"Entry No.")</t>
  </si>
  <si>
    <t>=NF(G570,"Source Type")</t>
  </si>
  <si>
    <t>=NF($G570,"Source No.")</t>
  </si>
  <si>
    <t>=IF($J570="Customer",NL("first",$J570,"Name","No.","@@"&amp;$K570),"")</t>
  </si>
  <si>
    <t>=IF(J570="vendor",NL("first",J570,"Name","No.","@@"&amp;K570),"")</t>
  </si>
  <si>
    <t>=IF($J570="Item",NL("first",$J570,"Description","No.","@@"&amp;$K570),"")</t>
  </si>
  <si>
    <t>=NL("Sum","Item Ledger Entry","Quantity","Entry Type","Purchase","Entry No.",I570,"Location Code",$L$7)</t>
  </si>
  <si>
    <t>=NL("Sum","Item Ledger Entry","Quantity","Entry Type","Sale","Entry No.",I570,"Location Code",$L$7)</t>
  </si>
  <si>
    <t>=NL("Sum","Item Ledger Entry","Quantity","Entry Type","Positive Adjmt.|Negative Adjmt.","Entry No.",I570,"Location Code",$L$7)</t>
  </si>
  <si>
    <t>=NL("Sum","Item Ledger Entry","Quantity","Entry Type","Transfer","Entry No.",I570,"Location Code",$L$7)</t>
  </si>
  <si>
    <t>=NL("Sum","Item Ledger Entry","Quantity","Entry Type","Consumption","Entry No.",I570,"Location Code",$L$7)</t>
  </si>
  <si>
    <t>=NL("Sum","Item Ledger Entry","Quantity","Entry Type","Output","Entry No.",I570,"Location Code",$L$7)</t>
  </si>
  <si>
    <t>=D570</t>
  </si>
  <si>
    <t>=NF($G571,"Posting Date")</t>
  </si>
  <si>
    <t>=NF($G571,"Entry No.")</t>
  </si>
  <si>
    <t>=NF(G571,"Source Type")</t>
  </si>
  <si>
    <t>=NF($G571,"Source No.")</t>
  </si>
  <si>
    <t>=IF($J571="Customer",NL("first",$J571,"Name","No.","@@"&amp;$K571),"")</t>
  </si>
  <si>
    <t>=IF(J571="vendor",NL("first",J571,"Name","No.","@@"&amp;K571),"")</t>
  </si>
  <si>
    <t>=IF($J571="Item",NL("first",$J571,"Description","No.","@@"&amp;$K571),"")</t>
  </si>
  <si>
    <t>=NL("Sum","Item Ledger Entry","Quantity","Entry Type","Purchase","Entry No.",I571,"Location Code",$L$7)</t>
  </si>
  <si>
    <t>=NL("Sum","Item Ledger Entry","Quantity","Entry Type","Sale","Entry No.",I571,"Location Code",$L$7)</t>
  </si>
  <si>
    <t>=NL("Sum","Item Ledger Entry","Quantity","Entry Type","Positive Adjmt.|Negative Adjmt.","Entry No.",I571,"Location Code",$L$7)</t>
  </si>
  <si>
    <t>=NL("Sum","Item Ledger Entry","Quantity","Entry Type","Transfer","Entry No.",I571,"Location Code",$L$7)</t>
  </si>
  <si>
    <t>=NL("Sum","Item Ledger Entry","Quantity","Entry Type","Consumption","Entry No.",I571,"Location Code",$L$7)</t>
  </si>
  <si>
    <t>=NL("Sum","Item Ledger Entry","Quantity","Entry Type","Output","Entry No.",I571,"Location Code",$L$7)</t>
  </si>
  <si>
    <t>=D571</t>
  </si>
  <si>
    <t>=NF($G572,"Posting Date")</t>
  </si>
  <si>
    <t>=NF($G572,"Entry No.")</t>
  </si>
  <si>
    <t>=NF(G572,"Source Type")</t>
  </si>
  <si>
    <t>=NF($G572,"Source No.")</t>
  </si>
  <si>
    <t>=IF($J572="Customer",NL("first",$J572,"Name","No.","@@"&amp;$K572),"")</t>
  </si>
  <si>
    <t>=IF(J572="vendor",NL("first",J572,"Name","No.","@@"&amp;K572),"")</t>
  </si>
  <si>
    <t>=IF($J572="Item",NL("first",$J572,"Description","No.","@@"&amp;$K572),"")</t>
  </si>
  <si>
    <t>=NL("Sum","Item Ledger Entry","Quantity","Entry Type","Purchase","Entry No.",I572,"Location Code",$L$7)</t>
  </si>
  <si>
    <t>=NL("Sum","Item Ledger Entry","Quantity","Entry Type","Sale","Entry No.",I572,"Location Code",$L$7)</t>
  </si>
  <si>
    <t>=NL("Sum","Item Ledger Entry","Quantity","Entry Type","Positive Adjmt.|Negative Adjmt.","Entry No.",I572,"Location Code",$L$7)</t>
  </si>
  <si>
    <t>=NL("Sum","Item Ledger Entry","Quantity","Entry Type","Transfer","Entry No.",I572,"Location Code",$L$7)</t>
  </si>
  <si>
    <t>=NL("Sum","Item Ledger Entry","Quantity","Entry Type","Consumption","Entry No.",I572,"Location Code",$L$7)</t>
  </si>
  <si>
    <t>=NL("Sum","Item Ledger Entry","Quantity","Entry Type","Output","Entry No.",I572,"Location Code",$L$7)</t>
  </si>
  <si>
    <t>=D572</t>
  </si>
  <si>
    <t>=NF($G573,"Posting Date")</t>
  </si>
  <si>
    <t>=NF($G573,"Entry No.")</t>
  </si>
  <si>
    <t>=NF(G573,"Source Type")</t>
  </si>
  <si>
    <t>=NF($G573,"Source No.")</t>
  </si>
  <si>
    <t>=IF($J573="Customer",NL("first",$J573,"Name","No.","@@"&amp;$K573),"")</t>
  </si>
  <si>
    <t>=IF(J573="vendor",NL("first",J573,"Name","No.","@@"&amp;K573),"")</t>
  </si>
  <si>
    <t>=IF($J573="Item",NL("first",$J573,"Description","No.","@@"&amp;$K573),"")</t>
  </si>
  <si>
    <t>=NL("Sum","Item Ledger Entry","Quantity","Entry Type","Purchase","Entry No.",I573,"Location Code",$L$7)</t>
  </si>
  <si>
    <t>=NL("Sum","Item Ledger Entry","Quantity","Entry Type","Sale","Entry No.",I573,"Location Code",$L$7)</t>
  </si>
  <si>
    <t>=NL("Sum","Item Ledger Entry","Quantity","Entry Type","Positive Adjmt.|Negative Adjmt.","Entry No.",I573,"Location Code",$L$7)</t>
  </si>
  <si>
    <t>=NL("Sum","Item Ledger Entry","Quantity","Entry Type","Transfer","Entry No.",I573,"Location Code",$L$7)</t>
  </si>
  <si>
    <t>=NL("Sum","Item Ledger Entry","Quantity","Entry Type","Consumption","Entry No.",I573,"Location Code",$L$7)</t>
  </si>
  <si>
    <t>=NL("Sum","Item Ledger Entry","Quantity","Entry Type","Output","Entry No.",I573,"Location Code",$L$7)</t>
  </si>
  <si>
    <t>="E100009"</t>
  </si>
  <si>
    <t>=D579</t>
  </si>
  <si>
    <t>=NF($G580,"Posting Date")</t>
  </si>
  <si>
    <t>=NF($G580,"Entry No.")</t>
  </si>
  <si>
    <t>=NF(G580,"Source Type")</t>
  </si>
  <si>
    <t>=NF($G580,"Source No.")</t>
  </si>
  <si>
    <t>=IF($J580="Customer",NL("first",$J580,"Name","No.","@@"&amp;$K580),"")</t>
  </si>
  <si>
    <t>=IF(J580="vendor",NL("first",J580,"Name","No.","@@"&amp;K580),"")</t>
  </si>
  <si>
    <t>=IF($J580="Item",NL("first",$J580,"Description","No.","@@"&amp;$K580),"")</t>
  </si>
  <si>
    <t>=NL("Sum","Item Ledger Entry","Quantity","Entry Type","Purchase","Entry No.",I580,"Location Code",$L$7)</t>
  </si>
  <si>
    <t>=NL("Sum","Item Ledger Entry","Quantity","Entry Type","Sale","Entry No.",I580,"Location Code",$L$7)</t>
  </si>
  <si>
    <t>=NL("Sum","Item Ledger Entry","Quantity","Entry Type","Positive Adjmt.|Negative Adjmt.","Entry No.",I580,"Location Code",$L$7)</t>
  </si>
  <si>
    <t>=NL("Sum","Item Ledger Entry","Quantity","Entry Type","Transfer","Entry No.",I580,"Location Code",$L$7)</t>
  </si>
  <si>
    <t>=NL("Sum","Item Ledger Entry","Quantity","Entry Type","Consumption","Entry No.",I580,"Location Code",$L$7)</t>
  </si>
  <si>
    <t>=NL("Sum","Item Ledger Entry","Quantity","Entry Type","Output","Entry No.",I580,"Location Code",$L$7)</t>
  </si>
  <si>
    <t>=D580</t>
  </si>
  <si>
    <t>=NF($G581,"Posting Date")</t>
  </si>
  <si>
    <t>=NF($G581,"Entry No.")</t>
  </si>
  <si>
    <t>=NF(G581,"Source Type")</t>
  </si>
  <si>
    <t>=NF($G581,"Source No.")</t>
  </si>
  <si>
    <t>=IF($J581="Customer",NL("first",$J581,"Name","No.","@@"&amp;$K581),"")</t>
  </si>
  <si>
    <t>=IF(J581="vendor",NL("first",J581,"Name","No.","@@"&amp;K581),"")</t>
  </si>
  <si>
    <t>=IF($J581="Item",NL("first",$J581,"Description","No.","@@"&amp;$K581),"")</t>
  </si>
  <si>
    <t>=NL("Sum","Item Ledger Entry","Quantity","Entry Type","Purchase","Entry No.",I581,"Location Code",$L$7)</t>
  </si>
  <si>
    <t>=NL("Sum","Item Ledger Entry","Quantity","Entry Type","Sale","Entry No.",I581,"Location Code",$L$7)</t>
  </si>
  <si>
    <t>=NL("Sum","Item Ledger Entry","Quantity","Entry Type","Positive Adjmt.|Negative Adjmt.","Entry No.",I581,"Location Code",$L$7)</t>
  </si>
  <si>
    <t>=NL("Sum","Item Ledger Entry","Quantity","Entry Type","Transfer","Entry No.",I581,"Location Code",$L$7)</t>
  </si>
  <si>
    <t>=NL("Sum","Item Ledger Entry","Quantity","Entry Type","Consumption","Entry No.",I581,"Location Code",$L$7)</t>
  </si>
  <si>
    <t>=NL("Sum","Item Ledger Entry","Quantity","Entry Type","Output","Entry No.",I581,"Location Code",$L$7)</t>
  </si>
  <si>
    <t>=D581</t>
  </si>
  <si>
    <t>=NF($G582,"Posting Date")</t>
  </si>
  <si>
    <t>=NF($G582,"Entry No.")</t>
  </si>
  <si>
    <t>=NF(G582,"Source Type")</t>
  </si>
  <si>
    <t>=NF($G582,"Source No.")</t>
  </si>
  <si>
    <t>=IF($J582="Customer",NL("first",$J582,"Name","No.","@@"&amp;$K582),"")</t>
  </si>
  <si>
    <t>=IF(J582="vendor",NL("first",J582,"Name","No.","@@"&amp;K582),"")</t>
  </si>
  <si>
    <t>=IF($J582="Item",NL("first",$J582,"Description","No.","@@"&amp;$K582),"")</t>
  </si>
  <si>
    <t>=NL("Sum","Item Ledger Entry","Quantity","Entry Type","Purchase","Entry No.",I582,"Location Code",$L$7)</t>
  </si>
  <si>
    <t>=NL("Sum","Item Ledger Entry","Quantity","Entry Type","Sale","Entry No.",I582,"Location Code",$L$7)</t>
  </si>
  <si>
    <t>=NL("Sum","Item Ledger Entry","Quantity","Entry Type","Positive Adjmt.|Negative Adjmt.","Entry No.",I582,"Location Code",$L$7)</t>
  </si>
  <si>
    <t>=NL("Sum","Item Ledger Entry","Quantity","Entry Type","Transfer","Entry No.",I582,"Location Code",$L$7)</t>
  </si>
  <si>
    <t>=NL("Sum","Item Ledger Entry","Quantity","Entry Type","Consumption","Entry No.",I582,"Location Code",$L$7)</t>
  </si>
  <si>
    <t>=NL("Sum","Item Ledger Entry","Quantity","Entry Type","Output","Entry No.",I582,"Location Code",$L$7)</t>
  </si>
  <si>
    <t>=D582</t>
  </si>
  <si>
    <t>=NF($G583,"Posting Date")</t>
  </si>
  <si>
    <t>=NF($G583,"Entry No.")</t>
  </si>
  <si>
    <t>=NF(G583,"Source Type")</t>
  </si>
  <si>
    <t>=NF($G583,"Source No.")</t>
  </si>
  <si>
    <t>=IF($J583="Customer",NL("first",$J583,"Name","No.","@@"&amp;$K583),"")</t>
  </si>
  <si>
    <t>=IF(J583="vendor",NL("first",J583,"Name","No.","@@"&amp;K583),"")</t>
  </si>
  <si>
    <t>=IF($J583="Item",NL("first",$J583,"Description","No.","@@"&amp;$K583),"")</t>
  </si>
  <si>
    <t>=NL("Sum","Item Ledger Entry","Quantity","Entry Type","Purchase","Entry No.",I583,"Location Code",$L$7)</t>
  </si>
  <si>
    <t>=NL("Sum","Item Ledger Entry","Quantity","Entry Type","Sale","Entry No.",I583,"Location Code",$L$7)</t>
  </si>
  <si>
    <t>=NL("Sum","Item Ledger Entry","Quantity","Entry Type","Positive Adjmt.|Negative Adjmt.","Entry No.",I583,"Location Code",$L$7)</t>
  </si>
  <si>
    <t>=NL("Sum","Item Ledger Entry","Quantity","Entry Type","Transfer","Entry No.",I583,"Location Code",$L$7)</t>
  </si>
  <si>
    <t>=NL("Sum","Item Ledger Entry","Quantity","Entry Type","Consumption","Entry No.",I583,"Location Code",$L$7)</t>
  </si>
  <si>
    <t>=NL("Sum","Item Ledger Entry","Quantity","Entry Type","Output","Entry No.",I583,"Location Code",$L$7)</t>
  </si>
  <si>
    <t>=D583</t>
  </si>
  <si>
    <t>=NF($G584,"Posting Date")</t>
  </si>
  <si>
    <t>=NF($G584,"Entry No.")</t>
  </si>
  <si>
    <t>=NF(G584,"Source Type")</t>
  </si>
  <si>
    <t>=NF($G584,"Source No.")</t>
  </si>
  <si>
    <t>=IF($J584="Customer",NL("first",$J584,"Name","No.","@@"&amp;$K584),"")</t>
  </si>
  <si>
    <t>=IF(J584="vendor",NL("first",J584,"Name","No.","@@"&amp;K584),"")</t>
  </si>
  <si>
    <t>=IF($J584="Item",NL("first",$J584,"Description","No.","@@"&amp;$K584),"")</t>
  </si>
  <si>
    <t>=NL("Sum","Item Ledger Entry","Quantity","Entry Type","Purchase","Entry No.",I584,"Location Code",$L$7)</t>
  </si>
  <si>
    <t>=NL("Sum","Item Ledger Entry","Quantity","Entry Type","Sale","Entry No.",I584,"Location Code",$L$7)</t>
  </si>
  <si>
    <t>=NL("Sum","Item Ledger Entry","Quantity","Entry Type","Positive Adjmt.|Negative Adjmt.","Entry No.",I584,"Location Code",$L$7)</t>
  </si>
  <si>
    <t>=NL("Sum","Item Ledger Entry","Quantity","Entry Type","Transfer","Entry No.",I584,"Location Code",$L$7)</t>
  </si>
  <si>
    <t>=NL("Sum","Item Ledger Entry","Quantity","Entry Type","Consumption","Entry No.",I584,"Location Code",$L$7)</t>
  </si>
  <si>
    <t>=NL("Sum","Item Ledger Entry","Quantity","Entry Type","Output","Entry No.",I584,"Location Code",$L$7)</t>
  </si>
  <si>
    <t>=D584</t>
  </si>
  <si>
    <t>=NF($G585,"Posting Date")</t>
  </si>
  <si>
    <t>=NF($G585,"Entry No.")</t>
  </si>
  <si>
    <t>=NF(G585,"Source Type")</t>
  </si>
  <si>
    <t>=NF($G585,"Source No.")</t>
  </si>
  <si>
    <t>=IF($J585="Customer",NL("first",$J585,"Name","No.","@@"&amp;$K585),"")</t>
  </si>
  <si>
    <t>=IF(J585="vendor",NL("first",J585,"Name","No.","@@"&amp;K585),"")</t>
  </si>
  <si>
    <t>=IF($J585="Item",NL("first",$J585,"Description","No.","@@"&amp;$K585),"")</t>
  </si>
  <si>
    <t>=NL("Sum","Item Ledger Entry","Quantity","Entry Type","Purchase","Entry No.",I585,"Location Code",$L$7)</t>
  </si>
  <si>
    <t>=NL("Sum","Item Ledger Entry","Quantity","Entry Type","Sale","Entry No.",I585,"Location Code",$L$7)</t>
  </si>
  <si>
    <t>=NL("Sum","Item Ledger Entry","Quantity","Entry Type","Positive Adjmt.|Negative Adjmt.","Entry No.",I585,"Location Code",$L$7)</t>
  </si>
  <si>
    <t>=NL("Sum","Item Ledger Entry","Quantity","Entry Type","Transfer","Entry No.",I585,"Location Code",$L$7)</t>
  </si>
  <si>
    <t>=NL("Sum","Item Ledger Entry","Quantity","Entry Type","Consumption","Entry No.",I585,"Location Code",$L$7)</t>
  </si>
  <si>
    <t>=NL("Sum","Item Ledger Entry","Quantity","Entry Type","Output","Entry No.",I585,"Location Code",$L$7)</t>
  </si>
  <si>
    <t>="E100010"</t>
  </si>
  <si>
    <t>=D589</t>
  </si>
  <si>
    <t>=NF($G590,"Posting Date")</t>
  </si>
  <si>
    <t>=NF($G590,"Entry No.")</t>
  </si>
  <si>
    <t>=NF(G590,"Source Type")</t>
  </si>
  <si>
    <t>=NF($G590,"Source No.")</t>
  </si>
  <si>
    <t>=IF($J590="Customer",NL("first",$J590,"Name","No.","@@"&amp;$K590),"")</t>
  </si>
  <si>
    <t>=IF(J590="vendor",NL("first",J590,"Name","No.","@@"&amp;K590),"")</t>
  </si>
  <si>
    <t>=IF($J590="Item",NL("first",$J590,"Description","No.","@@"&amp;$K590),"")</t>
  </si>
  <si>
    <t>=D590</t>
  </si>
  <si>
    <t>=NF($G591,"Posting Date")</t>
  </si>
  <si>
    <t>=NF($G591,"Entry No.")</t>
  </si>
  <si>
    <t>=NF(G591,"Source Type")</t>
  </si>
  <si>
    <t>=NF($G591,"Source No.")</t>
  </si>
  <si>
    <t>=IF($J591="Customer",NL("first",$J591,"Name","No.","@@"&amp;$K591),"")</t>
  </si>
  <si>
    <t>=IF(J591="vendor",NL("first",J591,"Name","No.","@@"&amp;K591),"")</t>
  </si>
  <si>
    <t>=IF($J591="Item",NL("first",$J591,"Description","No.","@@"&amp;$K591),"")</t>
  </si>
  <si>
    <t>=D591</t>
  </si>
  <si>
    <t>=NF($G592,"Posting Date")</t>
  </si>
  <si>
    <t>=NF($G592,"Entry No.")</t>
  </si>
  <si>
    <t>=NF(G592,"Source Type")</t>
  </si>
  <si>
    <t>=NF($G592,"Source No.")</t>
  </si>
  <si>
    <t>=IF($J592="Customer",NL("first",$J592,"Name","No.","@@"&amp;$K592),"")</t>
  </si>
  <si>
    <t>=IF(J592="vendor",NL("first",J592,"Name","No.","@@"&amp;K592),"")</t>
  </si>
  <si>
    <t>=IF($J592="Item",NL("first",$J592,"Description","No.","@@"&amp;$K592),"")</t>
  </si>
  <si>
    <t>=D592</t>
  </si>
  <si>
    <t>=NF($G593,"Posting Date")</t>
  </si>
  <si>
    <t>=NF($G593,"Entry No.")</t>
  </si>
  <si>
    <t>=NF(G593,"Source Type")</t>
  </si>
  <si>
    <t>=NF($G593,"Source No.")</t>
  </si>
  <si>
    <t>=IF($J593="Customer",NL("first",$J593,"Name","No.","@@"&amp;$K593),"")</t>
  </si>
  <si>
    <t>=IF(J593="vendor",NL("first",J593,"Name","No.","@@"&amp;K593),"")</t>
  </si>
  <si>
    <t>=IF($J593="Item",NL("first",$J593,"Description","No.","@@"&amp;$K593),"")</t>
  </si>
  <si>
    <t>=NL("Sum","Item Ledger Entry","Quantity","Entry Type","Purchase","Entry No.",I593,"Location Code",$L$7)</t>
  </si>
  <si>
    <t>=NL("Sum","Item Ledger Entry","Quantity","Entry Type","Sale","Entry No.",I593,"Location Code",$L$7)</t>
  </si>
  <si>
    <t>=NL("Sum","Item Ledger Entry","Quantity","Entry Type","Positive Adjmt.|Negative Adjmt.","Entry No.",I593,"Location Code",$L$7)</t>
  </si>
  <si>
    <t>=NL("Sum","Item Ledger Entry","Quantity","Entry Type","Transfer","Entry No.",I593,"Location Code",$L$7)</t>
  </si>
  <si>
    <t>=NL("Sum","Item Ledger Entry","Quantity","Entry Type","Consumption","Entry No.",I593,"Location Code",$L$7)</t>
  </si>
  <si>
    <t>=NL("Sum","Item Ledger Entry","Quantity","Entry Type","Output","Entry No.",I593,"Location Code",$L$7)</t>
  </si>
  <si>
    <t>=D593</t>
  </si>
  <si>
    <t>=NF($G594,"Posting Date")</t>
  </si>
  <si>
    <t>=NF($G594,"Entry No.")</t>
  </si>
  <si>
    <t>=NF(G594,"Source Type")</t>
  </si>
  <si>
    <t>=NF($G594,"Source No.")</t>
  </si>
  <si>
    <t>=IF($J594="Customer",NL("first",$J594,"Name","No.","@@"&amp;$K594),"")</t>
  </si>
  <si>
    <t>=IF(J594="vendor",NL("first",J594,"Name","No.","@@"&amp;K594),"")</t>
  </si>
  <si>
    <t>=IF($J594="Item",NL("first",$J594,"Description","No.","@@"&amp;$K594),"")</t>
  </si>
  <si>
    <t>=NL("Sum","Item Ledger Entry","Quantity","Entry Type","Purchase","Entry No.",I594,"Location Code",$L$7)</t>
  </si>
  <si>
    <t>=NL("Sum","Item Ledger Entry","Quantity","Entry Type","Sale","Entry No.",I594,"Location Code",$L$7)</t>
  </si>
  <si>
    <t>=NL("Sum","Item Ledger Entry","Quantity","Entry Type","Positive Adjmt.|Negative Adjmt.","Entry No.",I594,"Location Code",$L$7)</t>
  </si>
  <si>
    <t>=NL("Sum","Item Ledger Entry","Quantity","Entry Type","Transfer","Entry No.",I594,"Location Code",$L$7)</t>
  </si>
  <si>
    <t>=NL("Sum","Item Ledger Entry","Quantity","Entry Type","Consumption","Entry No.",I594,"Location Code",$L$7)</t>
  </si>
  <si>
    <t>=NL("Sum","Item Ledger Entry","Quantity","Entry Type","Output","Entry No.",I594,"Location Code",$L$7)</t>
  </si>
  <si>
    <t>=D594</t>
  </si>
  <si>
    <t>=NF($G595,"Posting Date")</t>
  </si>
  <si>
    <t>=NF($G595,"Entry No.")</t>
  </si>
  <si>
    <t>=NF(G595,"Source Type")</t>
  </si>
  <si>
    <t>=NF($G595,"Source No.")</t>
  </si>
  <si>
    <t>=IF($J595="Customer",NL("first",$J595,"Name","No.","@@"&amp;$K595),"")</t>
  </si>
  <si>
    <t>=IF(J595="vendor",NL("first",J595,"Name","No.","@@"&amp;K595),"")</t>
  </si>
  <si>
    <t>=IF($J595="Item",NL("first",$J595,"Description","No.","@@"&amp;$K595),"")</t>
  </si>
  <si>
    <t>=NL("Sum","Item Ledger Entry","Quantity","Entry Type","Purchase","Entry No.",I595,"Location Code",$L$7)</t>
  </si>
  <si>
    <t>=NL("Sum","Item Ledger Entry","Quantity","Entry Type","Sale","Entry No.",I595,"Location Code",$L$7)</t>
  </si>
  <si>
    <t>=NL("Sum","Item Ledger Entry","Quantity","Entry Type","Positive Adjmt.|Negative Adjmt.","Entry No.",I595,"Location Code",$L$7)</t>
  </si>
  <si>
    <t>=NL("Sum","Item Ledger Entry","Quantity","Entry Type","Transfer","Entry No.",I595,"Location Code",$L$7)</t>
  </si>
  <si>
    <t>=NL("Sum","Item Ledger Entry","Quantity","Entry Type","Consumption","Entry No.",I595,"Location Code",$L$7)</t>
  </si>
  <si>
    <t>=NL("Sum","Item Ledger Entry","Quantity","Entry Type","Output","Entry No.",I595,"Location Code",$L$7)</t>
  </si>
  <si>
    <t>=D595</t>
  </si>
  <si>
    <t>=NF($G596,"Posting Date")</t>
  </si>
  <si>
    <t>=NF($G596,"Entry No.")</t>
  </si>
  <si>
    <t>=NF(G596,"Source Type")</t>
  </si>
  <si>
    <t>=NF($G596,"Source No.")</t>
  </si>
  <si>
    <t>=IF($J596="Customer",NL("first",$J596,"Name","No.","@@"&amp;$K596),"")</t>
  </si>
  <si>
    <t>=IF(J596="vendor",NL("first",J596,"Name","No.","@@"&amp;K596),"")</t>
  </si>
  <si>
    <t>=IF($J596="Item",NL("first",$J596,"Description","No.","@@"&amp;$K596),"")</t>
  </si>
  <si>
    <t>=NL("Sum","Item Ledger Entry","Quantity","Entry Type","Purchase","Entry No.",I596,"Location Code",$L$7)</t>
  </si>
  <si>
    <t>=NL("Sum","Item Ledger Entry","Quantity","Entry Type","Sale","Entry No.",I596,"Location Code",$L$7)</t>
  </si>
  <si>
    <t>=NL("Sum","Item Ledger Entry","Quantity","Entry Type","Positive Adjmt.|Negative Adjmt.","Entry No.",I596,"Location Code",$L$7)</t>
  </si>
  <si>
    <t>=NL("Sum","Item Ledger Entry","Quantity","Entry Type","Transfer","Entry No.",I596,"Location Code",$L$7)</t>
  </si>
  <si>
    <t>=NL("Sum","Item Ledger Entry","Quantity","Entry Type","Consumption","Entry No.",I596,"Location Code",$L$7)</t>
  </si>
  <si>
    <t>=NL("Sum","Item Ledger Entry","Quantity","Entry Type","Output","Entry No.",I596,"Location Code",$L$7)</t>
  </si>
  <si>
    <t>=D596</t>
  </si>
  <si>
    <t>=NF($G597,"Posting Date")</t>
  </si>
  <si>
    <t>=NF($G597,"Entry No.")</t>
  </si>
  <si>
    <t>=NF(G597,"Source Type")</t>
  </si>
  <si>
    <t>=NF($G597,"Source No.")</t>
  </si>
  <si>
    <t>=IF($J597="Customer",NL("first",$J597,"Name","No.","@@"&amp;$K597),"")</t>
  </si>
  <si>
    <t>=IF(J597="vendor",NL("first",J597,"Name","No.","@@"&amp;K597),"")</t>
  </si>
  <si>
    <t>=IF($J597="Item",NL("first",$J597,"Description","No.","@@"&amp;$K597),"")</t>
  </si>
  <si>
    <t>=NL("Sum","Item Ledger Entry","Quantity","Entry Type","Purchase","Entry No.",I597,"Location Code",$L$7)</t>
  </si>
  <si>
    <t>=NL("Sum","Item Ledger Entry","Quantity","Entry Type","Sale","Entry No.",I597,"Location Code",$L$7)</t>
  </si>
  <si>
    <t>=NL("Sum","Item Ledger Entry","Quantity","Entry Type","Positive Adjmt.|Negative Adjmt.","Entry No.",I597,"Location Code",$L$7)</t>
  </si>
  <si>
    <t>=NL("Sum","Item Ledger Entry","Quantity","Entry Type","Transfer","Entry No.",I597,"Location Code",$L$7)</t>
  </si>
  <si>
    <t>=NL("Sum","Item Ledger Entry","Quantity","Entry Type","Consumption","Entry No.",I597,"Location Code",$L$7)</t>
  </si>
  <si>
    <t>=NL("Sum","Item Ledger Entry","Quantity","Entry Type","Output","Entry No.",I597,"Location Code",$L$7)</t>
  </si>
  <si>
    <t>="E100011"</t>
  </si>
  <si>
    <t>=D602</t>
  </si>
  <si>
    <t>=NF($G603,"Posting Date")</t>
  </si>
  <si>
    <t>=NF($G603,"Entry No.")</t>
  </si>
  <si>
    <t>=NF(G603,"Source Type")</t>
  </si>
  <si>
    <t>=NF($G603,"Source No.")</t>
  </si>
  <si>
    <t>=IF($J603="Customer",NL("first",$J603,"Name","No.","@@"&amp;$K603),"")</t>
  </si>
  <si>
    <t>=IF(J603="vendor",NL("first",J603,"Name","No.","@@"&amp;K603),"")</t>
  </si>
  <si>
    <t>=IF($J603="Item",NL("first",$J603,"Description","No.","@@"&amp;$K603),"")</t>
  </si>
  <si>
    <t>=D603</t>
  </si>
  <si>
    <t>=NF($G604,"Posting Date")</t>
  </si>
  <si>
    <t>=NF($G604,"Entry No.")</t>
  </si>
  <si>
    <t>=NF(G604,"Source Type")</t>
  </si>
  <si>
    <t>=NF($G604,"Source No.")</t>
  </si>
  <si>
    <t>=IF($J604="Customer",NL("first",$J604,"Name","No.","@@"&amp;$K604),"")</t>
  </si>
  <si>
    <t>=IF(J604="vendor",NL("first",J604,"Name","No.","@@"&amp;K604),"")</t>
  </si>
  <si>
    <t>=IF($J604="Item",NL("first",$J604,"Description","No.","@@"&amp;$K604),"")</t>
  </si>
  <si>
    <t>=D604</t>
  </si>
  <si>
    <t>=NF($G605,"Posting Date")</t>
  </si>
  <si>
    <t>=NF($G605,"Entry No.")</t>
  </si>
  <si>
    <t>=NF(G605,"Source Type")</t>
  </si>
  <si>
    <t>=NF($G605,"Source No.")</t>
  </si>
  <si>
    <t>=IF($J605="Customer",NL("first",$J605,"Name","No.","@@"&amp;$K605),"")</t>
  </si>
  <si>
    <t>=IF(J605="vendor",NL("first",J605,"Name","No.","@@"&amp;K605),"")</t>
  </si>
  <si>
    <t>=IF($J605="Item",NL("first",$J605,"Description","No.","@@"&amp;$K605),"")</t>
  </si>
  <si>
    <t>=NL("Sum","Item Ledger Entry","Quantity","Entry Type","Purchase","Entry No.",I605,"Location Code",$L$7)</t>
  </si>
  <si>
    <t>=NL("Sum","Item Ledger Entry","Quantity","Entry Type","Sale","Entry No.",I605,"Location Code",$L$7)</t>
  </si>
  <si>
    <t>=NL("Sum","Item Ledger Entry","Quantity","Entry Type","Positive Adjmt.|Negative Adjmt.","Entry No.",I605,"Location Code",$L$7)</t>
  </si>
  <si>
    <t>=NL("Sum","Item Ledger Entry","Quantity","Entry Type","Transfer","Entry No.",I605,"Location Code",$L$7)</t>
  </si>
  <si>
    <t>=NL("Sum","Item Ledger Entry","Quantity","Entry Type","Consumption","Entry No.",I605,"Location Code",$L$7)</t>
  </si>
  <si>
    <t>=NL("Sum","Item Ledger Entry","Quantity","Entry Type","Output","Entry No.",I605,"Location Code",$L$7)</t>
  </si>
  <si>
    <t>=D605</t>
  </si>
  <si>
    <t>=NF($G606,"Posting Date")</t>
  </si>
  <si>
    <t>=NF($G606,"Entry No.")</t>
  </si>
  <si>
    <t>=NF(G606,"Source Type")</t>
  </si>
  <si>
    <t>=NF($G606,"Source No.")</t>
  </si>
  <si>
    <t>=IF($J606="Customer",NL("first",$J606,"Name","No.","@@"&amp;$K606),"")</t>
  </si>
  <si>
    <t>=IF(J606="vendor",NL("first",J606,"Name","No.","@@"&amp;K606),"")</t>
  </si>
  <si>
    <t>=IF($J606="Item",NL("first",$J606,"Description","No.","@@"&amp;$K606),"")</t>
  </si>
  <si>
    <t>=NL("Sum","Item Ledger Entry","Quantity","Entry Type","Purchase","Entry No.",I606,"Location Code",$L$7)</t>
  </si>
  <si>
    <t>=NL("Sum","Item Ledger Entry","Quantity","Entry Type","Sale","Entry No.",I606,"Location Code",$L$7)</t>
  </si>
  <si>
    <t>=NL("Sum","Item Ledger Entry","Quantity","Entry Type","Positive Adjmt.|Negative Adjmt.","Entry No.",I606,"Location Code",$L$7)</t>
  </si>
  <si>
    <t>=NL("Sum","Item Ledger Entry","Quantity","Entry Type","Transfer","Entry No.",I606,"Location Code",$L$7)</t>
  </si>
  <si>
    <t>=NL("Sum","Item Ledger Entry","Quantity","Entry Type","Consumption","Entry No.",I606,"Location Code",$L$7)</t>
  </si>
  <si>
    <t>=NL("Sum","Item Ledger Entry","Quantity","Entry Type","Output","Entry No.",I606,"Location Code",$L$7)</t>
  </si>
  <si>
    <t>=D606</t>
  </si>
  <si>
    <t>=NF($G607,"Posting Date")</t>
  </si>
  <si>
    <t>=NF($G607,"Entry No.")</t>
  </si>
  <si>
    <t>=NF(G607,"Source Type")</t>
  </si>
  <si>
    <t>=NF($G607,"Source No.")</t>
  </si>
  <si>
    <t>=IF($J607="Customer",NL("first",$J607,"Name","No.","@@"&amp;$K607),"")</t>
  </si>
  <si>
    <t>=IF(J607="vendor",NL("first",J607,"Name","No.","@@"&amp;K607),"")</t>
  </si>
  <si>
    <t>=IF($J607="Item",NL("first",$J607,"Description","No.","@@"&amp;$K607),"")</t>
  </si>
  <si>
    <t>=NL("Sum","Item Ledger Entry","Quantity","Entry Type","Purchase","Entry No.",I607,"Location Code",$L$7)</t>
  </si>
  <si>
    <t>=NL("Sum","Item Ledger Entry","Quantity","Entry Type","Sale","Entry No.",I607,"Location Code",$L$7)</t>
  </si>
  <si>
    <t>=NL("Sum","Item Ledger Entry","Quantity","Entry Type","Positive Adjmt.|Negative Adjmt.","Entry No.",I607,"Location Code",$L$7)</t>
  </si>
  <si>
    <t>=NL("Sum","Item Ledger Entry","Quantity","Entry Type","Transfer","Entry No.",I607,"Location Code",$L$7)</t>
  </si>
  <si>
    <t>=NL("Sum","Item Ledger Entry","Quantity","Entry Type","Consumption","Entry No.",I607,"Location Code",$L$7)</t>
  </si>
  <si>
    <t>=NL("Sum","Item Ledger Entry","Quantity","Entry Type","Output","Entry No.",I607,"Location Code",$L$7)</t>
  </si>
  <si>
    <t>=D607</t>
  </si>
  <si>
    <t>=NF($G608,"Posting Date")</t>
  </si>
  <si>
    <t>=NF($G608,"Entry No.")</t>
  </si>
  <si>
    <t>=NF(G608,"Source Type")</t>
  </si>
  <si>
    <t>=NF($G608,"Source No.")</t>
  </si>
  <si>
    <t>=IF($J608="Customer",NL("first",$J608,"Name","No.","@@"&amp;$K608),"")</t>
  </si>
  <si>
    <t>=IF(J608="vendor",NL("first",J608,"Name","No.","@@"&amp;K608),"")</t>
  </si>
  <si>
    <t>=IF($J608="Item",NL("first",$J608,"Description","No.","@@"&amp;$K608),"")</t>
  </si>
  <si>
    <t>=NL("Sum","Item Ledger Entry","Quantity","Entry Type","Purchase","Entry No.",I608,"Location Code",$L$7)</t>
  </si>
  <si>
    <t>=NL("Sum","Item Ledger Entry","Quantity","Entry Type","Sale","Entry No.",I608,"Location Code",$L$7)</t>
  </si>
  <si>
    <t>=NL("Sum","Item Ledger Entry","Quantity","Entry Type","Positive Adjmt.|Negative Adjmt.","Entry No.",I608,"Location Code",$L$7)</t>
  </si>
  <si>
    <t>=NL("Sum","Item Ledger Entry","Quantity","Entry Type","Transfer","Entry No.",I608,"Location Code",$L$7)</t>
  </si>
  <si>
    <t>=NL("Sum","Item Ledger Entry","Quantity","Entry Type","Consumption","Entry No.",I608,"Location Code",$L$7)</t>
  </si>
  <si>
    <t>=NL("Sum","Item Ledger Entry","Quantity","Entry Type","Output","Entry No.",I608,"Location Code",$L$7)</t>
  </si>
  <si>
    <t>=D608</t>
  </si>
  <si>
    <t>=NF($G609,"Posting Date")</t>
  </si>
  <si>
    <t>=NF($G609,"Entry No.")</t>
  </si>
  <si>
    <t>=NF(G609,"Source Type")</t>
  </si>
  <si>
    <t>=NF($G609,"Source No.")</t>
  </si>
  <si>
    <t>=IF($J609="Customer",NL("first",$J609,"Name","No.","@@"&amp;$K609),"")</t>
  </si>
  <si>
    <t>=IF(J609="vendor",NL("first",J609,"Name","No.","@@"&amp;K609),"")</t>
  </si>
  <si>
    <t>=IF($J609="Item",NL("first",$J609,"Description","No.","@@"&amp;$K609),"")</t>
  </si>
  <si>
    <t>=NL("Sum","Item Ledger Entry","Quantity","Entry Type","Purchase","Entry No.",I609,"Location Code",$L$7)</t>
  </si>
  <si>
    <t>=NL("Sum","Item Ledger Entry","Quantity","Entry Type","Sale","Entry No.",I609,"Location Code",$L$7)</t>
  </si>
  <si>
    <t>=NL("Sum","Item Ledger Entry","Quantity","Entry Type","Positive Adjmt.|Negative Adjmt.","Entry No.",I609,"Location Code",$L$7)</t>
  </si>
  <si>
    <t>=NL("Sum","Item Ledger Entry","Quantity","Entry Type","Transfer","Entry No.",I609,"Location Code",$L$7)</t>
  </si>
  <si>
    <t>=NL("Sum","Item Ledger Entry","Quantity","Entry Type","Consumption","Entry No.",I609,"Location Code",$L$7)</t>
  </si>
  <si>
    <t>=NL("Sum","Item Ledger Entry","Quantity","Entry Type","Output","Entry No.",I609,"Location Code",$L$7)</t>
  </si>
  <si>
    <t>=D609</t>
  </si>
  <si>
    <t>=NF($G610,"Posting Date")</t>
  </si>
  <si>
    <t>=NF($G610,"Entry No.")</t>
  </si>
  <si>
    <t>=NF(G610,"Source Type")</t>
  </si>
  <si>
    <t>=NF($G610,"Source No.")</t>
  </si>
  <si>
    <t>=IF($J610="Customer",NL("first",$J610,"Name","No.","@@"&amp;$K610),"")</t>
  </si>
  <si>
    <t>=IF(J610="vendor",NL("first",J610,"Name","No.","@@"&amp;K610),"")</t>
  </si>
  <si>
    <t>=IF($J610="Item",NL("first",$J610,"Description","No.","@@"&amp;$K610),"")</t>
  </si>
  <si>
    <t>=NL("Sum","Item Ledger Entry","Quantity","Entry Type","Purchase","Entry No.",I610,"Location Code",$L$7)</t>
  </si>
  <si>
    <t>=NL("Sum","Item Ledger Entry","Quantity","Entry Type","Sale","Entry No.",I610,"Location Code",$L$7)</t>
  </si>
  <si>
    <t>=NL("Sum","Item Ledger Entry","Quantity","Entry Type","Positive Adjmt.|Negative Adjmt.","Entry No.",I610,"Location Code",$L$7)</t>
  </si>
  <si>
    <t>=NL("Sum","Item Ledger Entry","Quantity","Entry Type","Transfer","Entry No.",I610,"Location Code",$L$7)</t>
  </si>
  <si>
    <t>=NL("Sum","Item Ledger Entry","Quantity","Entry Type","Consumption","Entry No.",I610,"Location Code",$L$7)</t>
  </si>
  <si>
    <t>=NL("Sum","Item Ledger Entry","Quantity","Entry Type","Output","Entry No.",I610,"Location Code",$L$7)</t>
  </si>
  <si>
    <t>=D610</t>
  </si>
  <si>
    <t>=NF($G611,"Posting Date")</t>
  </si>
  <si>
    <t>=NF($G611,"Entry No.")</t>
  </si>
  <si>
    <t>=NF(G611,"Source Type")</t>
  </si>
  <si>
    <t>=NF($G611,"Source No.")</t>
  </si>
  <si>
    <t>=IF($J611="Customer",NL("first",$J611,"Name","No.","@@"&amp;$K611),"")</t>
  </si>
  <si>
    <t>=IF(J611="vendor",NL("first",J611,"Name","No.","@@"&amp;K611),"")</t>
  </si>
  <si>
    <t>=IF($J611="Item",NL("first",$J611,"Description","No.","@@"&amp;$K611),"")</t>
  </si>
  <si>
    <t>=NL("Sum","Item Ledger Entry","Quantity","Entry Type","Purchase","Entry No.",I611,"Location Code",$L$7)</t>
  </si>
  <si>
    <t>=NL("Sum","Item Ledger Entry","Quantity","Entry Type","Sale","Entry No.",I611,"Location Code",$L$7)</t>
  </si>
  <si>
    <t>=NL("Sum","Item Ledger Entry","Quantity","Entry Type","Positive Adjmt.|Negative Adjmt.","Entry No.",I611,"Location Code",$L$7)</t>
  </si>
  <si>
    <t>=NL("Sum","Item Ledger Entry","Quantity","Entry Type","Transfer","Entry No.",I611,"Location Code",$L$7)</t>
  </si>
  <si>
    <t>=NL("Sum","Item Ledger Entry","Quantity","Entry Type","Consumption","Entry No.",I611,"Location Code",$L$7)</t>
  </si>
  <si>
    <t>=NL("Sum","Item Ledger Entry","Quantity","Entry Type","Output","Entry No.",I611,"Location Code",$L$7)</t>
  </si>
  <si>
    <t>=D611</t>
  </si>
  <si>
    <t>=NF($G612,"Posting Date")</t>
  </si>
  <si>
    <t>=NF($G612,"Entry No.")</t>
  </si>
  <si>
    <t>=NF(G612,"Source Type")</t>
  </si>
  <si>
    <t>=NF($G612,"Source No.")</t>
  </si>
  <si>
    <t>=IF($J612="Customer",NL("first",$J612,"Name","No.","@@"&amp;$K612),"")</t>
  </si>
  <si>
    <t>=IF(J612="vendor",NL("first",J612,"Name","No.","@@"&amp;K612),"")</t>
  </si>
  <si>
    <t>=IF($J612="Item",NL("first",$J612,"Description","No.","@@"&amp;$K612),"")</t>
  </si>
  <si>
    <t>=NL("Sum","Item Ledger Entry","Quantity","Entry Type","Purchase","Entry No.",I612,"Location Code",$L$7)</t>
  </si>
  <si>
    <t>=NL("Sum","Item Ledger Entry","Quantity","Entry Type","Sale","Entry No.",I612,"Location Code",$L$7)</t>
  </si>
  <si>
    <t>=NL("Sum","Item Ledger Entry","Quantity","Entry Type","Positive Adjmt.|Negative Adjmt.","Entry No.",I612,"Location Code",$L$7)</t>
  </si>
  <si>
    <t>=NL("Sum","Item Ledger Entry","Quantity","Entry Type","Transfer","Entry No.",I612,"Location Code",$L$7)</t>
  </si>
  <si>
    <t>=NL("Sum","Item Ledger Entry","Quantity","Entry Type","Consumption","Entry No.",I612,"Location Code",$L$7)</t>
  </si>
  <si>
    <t>=NL("Sum","Item Ledger Entry","Quantity","Entry Type","Output","Entry No.",I612,"Location Code",$L$7)</t>
  </si>
  <si>
    <t>="E100012"</t>
  </si>
  <si>
    <t>=D617</t>
  </si>
  <si>
    <t>=NF($G618,"Posting Date")</t>
  </si>
  <si>
    <t>=NF($G618,"Entry No.")</t>
  </si>
  <si>
    <t>=NF(G618,"Source Type")</t>
  </si>
  <si>
    <t>=NF($G618,"Source No.")</t>
  </si>
  <si>
    <t>=IF($J618="Customer",NL("first",$J618,"Name","No.","@@"&amp;$K618),"")</t>
  </si>
  <si>
    <t>=IF(J618="vendor",NL("first",J618,"Name","No.","@@"&amp;K618),"")</t>
  </si>
  <si>
    <t>=IF($J618="Item",NL("first",$J618,"Description","No.","@@"&amp;$K618),"")</t>
  </si>
  <si>
    <t>=NL("Sum","Item Ledger Entry","Quantity","Entry Type","Purchase","Entry No.",I618,"Location Code",$L$7)</t>
  </si>
  <si>
    <t>=NL("Sum","Item Ledger Entry","Quantity","Entry Type","Sale","Entry No.",I618,"Location Code",$L$7)</t>
  </si>
  <si>
    <t>=NL("Sum","Item Ledger Entry","Quantity","Entry Type","Positive Adjmt.|Negative Adjmt.","Entry No.",I618,"Location Code",$L$7)</t>
  </si>
  <si>
    <t>=NL("Sum","Item Ledger Entry","Quantity","Entry Type","Transfer","Entry No.",I618,"Location Code",$L$7)</t>
  </si>
  <si>
    <t>=NL("Sum","Item Ledger Entry","Quantity","Entry Type","Consumption","Entry No.",I618,"Location Code",$L$7)</t>
  </si>
  <si>
    <t>=NL("Sum","Item Ledger Entry","Quantity","Entry Type","Output","Entry No.",I618,"Location Code",$L$7)</t>
  </si>
  <si>
    <t>=D618</t>
  </si>
  <si>
    <t>=NF($G619,"Posting Date")</t>
  </si>
  <si>
    <t>=NF($G619,"Entry No.")</t>
  </si>
  <si>
    <t>=NF(G619,"Source Type")</t>
  </si>
  <si>
    <t>=NF($G619,"Source No.")</t>
  </si>
  <si>
    <t>=IF($J619="Customer",NL("first",$J619,"Name","No.","@@"&amp;$K619),"")</t>
  </si>
  <si>
    <t>=IF(J619="vendor",NL("first",J619,"Name","No.","@@"&amp;K619),"")</t>
  </si>
  <si>
    <t>=IF($J619="Item",NL("first",$J619,"Description","No.","@@"&amp;$K619),"")</t>
  </si>
  <si>
    <t>=NL("Sum","Item Ledger Entry","Quantity","Entry Type","Purchase","Entry No.",I619,"Location Code",$L$7)</t>
  </si>
  <si>
    <t>=NL("Sum","Item Ledger Entry","Quantity","Entry Type","Sale","Entry No.",I619,"Location Code",$L$7)</t>
  </si>
  <si>
    <t>=NL("Sum","Item Ledger Entry","Quantity","Entry Type","Positive Adjmt.|Negative Adjmt.","Entry No.",I619,"Location Code",$L$7)</t>
  </si>
  <si>
    <t>=NL("Sum","Item Ledger Entry","Quantity","Entry Type","Transfer","Entry No.",I619,"Location Code",$L$7)</t>
  </si>
  <si>
    <t>=NL("Sum","Item Ledger Entry","Quantity","Entry Type","Consumption","Entry No.",I619,"Location Code",$L$7)</t>
  </si>
  <si>
    <t>=NL("Sum","Item Ledger Entry","Quantity","Entry Type","Output","Entry No.",I619,"Location Code",$L$7)</t>
  </si>
  <si>
    <t>=D619</t>
  </si>
  <si>
    <t>=NF($G620,"Posting Date")</t>
  </si>
  <si>
    <t>=NF($G620,"Entry No.")</t>
  </si>
  <si>
    <t>=NF(G620,"Source Type")</t>
  </si>
  <si>
    <t>=NF($G620,"Source No.")</t>
  </si>
  <si>
    <t>=IF($J620="Customer",NL("first",$J620,"Name","No.","@@"&amp;$K620),"")</t>
  </si>
  <si>
    <t>=IF(J620="vendor",NL("first",J620,"Name","No.","@@"&amp;K620),"")</t>
  </si>
  <si>
    <t>=IF($J620="Item",NL("first",$J620,"Description","No.","@@"&amp;$K620),"")</t>
  </si>
  <si>
    <t>=NL("Sum","Item Ledger Entry","Quantity","Entry Type","Purchase","Entry No.",I620,"Location Code",$L$7)</t>
  </si>
  <si>
    <t>=NL("Sum","Item Ledger Entry","Quantity","Entry Type","Sale","Entry No.",I620,"Location Code",$L$7)</t>
  </si>
  <si>
    <t>=NL("Sum","Item Ledger Entry","Quantity","Entry Type","Positive Adjmt.|Negative Adjmt.","Entry No.",I620,"Location Code",$L$7)</t>
  </si>
  <si>
    <t>=NL("Sum","Item Ledger Entry","Quantity","Entry Type","Transfer","Entry No.",I620,"Location Code",$L$7)</t>
  </si>
  <si>
    <t>=NL("Sum","Item Ledger Entry","Quantity","Entry Type","Consumption","Entry No.",I620,"Location Code",$L$7)</t>
  </si>
  <si>
    <t>=NL("Sum","Item Ledger Entry","Quantity","Entry Type","Output","Entry No.",I620,"Location Code",$L$7)</t>
  </si>
  <si>
    <t>=D620</t>
  </si>
  <si>
    <t>=NF($G621,"Posting Date")</t>
  </si>
  <si>
    <t>=NF($G621,"Entry No.")</t>
  </si>
  <si>
    <t>=NF(G621,"Source Type")</t>
  </si>
  <si>
    <t>=NF($G621,"Source No.")</t>
  </si>
  <si>
    <t>=IF($J621="Customer",NL("first",$J621,"Name","No.","@@"&amp;$K621),"")</t>
  </si>
  <si>
    <t>=IF(J621="vendor",NL("first",J621,"Name","No.","@@"&amp;K621),"")</t>
  </si>
  <si>
    <t>=IF($J621="Item",NL("first",$J621,"Description","No.","@@"&amp;$K621),"")</t>
  </si>
  <si>
    <t>=NL("Sum","Item Ledger Entry","Quantity","Entry Type","Purchase","Entry No.",I621,"Location Code",$L$7)</t>
  </si>
  <si>
    <t>=NL("Sum","Item Ledger Entry","Quantity","Entry Type","Sale","Entry No.",I621,"Location Code",$L$7)</t>
  </si>
  <si>
    <t>=NL("Sum","Item Ledger Entry","Quantity","Entry Type","Positive Adjmt.|Negative Adjmt.","Entry No.",I621,"Location Code",$L$7)</t>
  </si>
  <si>
    <t>=NL("Sum","Item Ledger Entry","Quantity","Entry Type","Transfer","Entry No.",I621,"Location Code",$L$7)</t>
  </si>
  <si>
    <t>=NL("Sum","Item Ledger Entry","Quantity","Entry Type","Consumption","Entry No.",I621,"Location Code",$L$7)</t>
  </si>
  <si>
    <t>=NL("Sum","Item Ledger Entry","Quantity","Entry Type","Output","Entry No.",I621,"Location Code",$L$7)</t>
  </si>
  <si>
    <t>=D621</t>
  </si>
  <si>
    <t>=NF($G622,"Posting Date")</t>
  </si>
  <si>
    <t>=NF($G622,"Entry No.")</t>
  </si>
  <si>
    <t>=NF(G622,"Source Type")</t>
  </si>
  <si>
    <t>=NF($G622,"Source No.")</t>
  </si>
  <si>
    <t>=IF($J622="Customer",NL("first",$J622,"Name","No.","@@"&amp;$K622),"")</t>
  </si>
  <si>
    <t>=IF(J622="vendor",NL("first",J622,"Name","No.","@@"&amp;K622),"")</t>
  </si>
  <si>
    <t>=IF($J622="Item",NL("first",$J622,"Description","No.","@@"&amp;$K622),"")</t>
  </si>
  <si>
    <t>=NL("Sum","Item Ledger Entry","Quantity","Entry Type","Purchase","Entry No.",I622,"Location Code",$L$7)</t>
  </si>
  <si>
    <t>=NL("Sum","Item Ledger Entry","Quantity","Entry Type","Sale","Entry No.",I622,"Location Code",$L$7)</t>
  </si>
  <si>
    <t>=NL("Sum","Item Ledger Entry","Quantity","Entry Type","Positive Adjmt.|Negative Adjmt.","Entry No.",I622,"Location Code",$L$7)</t>
  </si>
  <si>
    <t>=NL("Sum","Item Ledger Entry","Quantity","Entry Type","Transfer","Entry No.",I622,"Location Code",$L$7)</t>
  </si>
  <si>
    <t>=NL("Sum","Item Ledger Entry","Quantity","Entry Type","Consumption","Entry No.",I622,"Location Code",$L$7)</t>
  </si>
  <si>
    <t>=NL("Sum","Item Ledger Entry","Quantity","Entry Type","Output","Entry No.",I622,"Location Code",$L$7)</t>
  </si>
  <si>
    <t>=D622</t>
  </si>
  <si>
    <t>=NF($G623,"Posting Date")</t>
  </si>
  <si>
    <t>=NF($G623,"Entry No.")</t>
  </si>
  <si>
    <t>=NF(G623,"Source Type")</t>
  </si>
  <si>
    <t>=NF($G623,"Source No.")</t>
  </si>
  <si>
    <t>=IF($J623="Customer",NL("first",$J623,"Name","No.","@@"&amp;$K623),"")</t>
  </si>
  <si>
    <t>=IF(J623="vendor",NL("first",J623,"Name","No.","@@"&amp;K623),"")</t>
  </si>
  <si>
    <t>=IF($J623="Item",NL("first",$J623,"Description","No.","@@"&amp;$K623),"")</t>
  </si>
  <si>
    <t>=NL("Sum","Item Ledger Entry","Quantity","Entry Type","Purchase","Entry No.",I623,"Location Code",$L$7)</t>
  </si>
  <si>
    <t>=NL("Sum","Item Ledger Entry","Quantity","Entry Type","Sale","Entry No.",I623,"Location Code",$L$7)</t>
  </si>
  <si>
    <t>=NL("Sum","Item Ledger Entry","Quantity","Entry Type","Positive Adjmt.|Negative Adjmt.","Entry No.",I623,"Location Code",$L$7)</t>
  </si>
  <si>
    <t>=NL("Sum","Item Ledger Entry","Quantity","Entry Type","Transfer","Entry No.",I623,"Location Code",$L$7)</t>
  </si>
  <si>
    <t>=NL("Sum","Item Ledger Entry","Quantity","Entry Type","Consumption","Entry No.",I623,"Location Code",$L$7)</t>
  </si>
  <si>
    <t>=NL("Sum","Item Ledger Entry","Quantity","Entry Type","Output","Entry No.",I623,"Location Code",$L$7)</t>
  </si>
  <si>
    <t>=D623</t>
  </si>
  <si>
    <t>=NF($G624,"Posting Date")</t>
  </si>
  <si>
    <t>=NF($G624,"Entry No.")</t>
  </si>
  <si>
    <t>=NF(G624,"Source Type")</t>
  </si>
  <si>
    <t>=NF($G624,"Source No.")</t>
  </si>
  <si>
    <t>=IF($J624="Customer",NL("first",$J624,"Name","No.","@@"&amp;$K624),"")</t>
  </si>
  <si>
    <t>=IF(J624="vendor",NL("first",J624,"Name","No.","@@"&amp;K624),"")</t>
  </si>
  <si>
    <t>=IF($J624="Item",NL("first",$J624,"Description","No.","@@"&amp;$K624),"")</t>
  </si>
  <si>
    <t>=NL("Sum","Item Ledger Entry","Quantity","Entry Type","Purchase","Entry No.",I624,"Location Code",$L$7)</t>
  </si>
  <si>
    <t>=NL("Sum","Item Ledger Entry","Quantity","Entry Type","Sale","Entry No.",I624,"Location Code",$L$7)</t>
  </si>
  <si>
    <t>=NL("Sum","Item Ledger Entry","Quantity","Entry Type","Positive Adjmt.|Negative Adjmt.","Entry No.",I624,"Location Code",$L$7)</t>
  </si>
  <si>
    <t>=NL("Sum","Item Ledger Entry","Quantity","Entry Type","Transfer","Entry No.",I624,"Location Code",$L$7)</t>
  </si>
  <si>
    <t>=NL("Sum","Item Ledger Entry","Quantity","Entry Type","Consumption","Entry No.",I624,"Location Code",$L$7)</t>
  </si>
  <si>
    <t>=NL("Sum","Item Ledger Entry","Quantity","Entry Type","Output","Entry No.",I624,"Location Code",$L$7)</t>
  </si>
  <si>
    <t>=D624</t>
  </si>
  <si>
    <t>=NF($G625,"Posting Date")</t>
  </si>
  <si>
    <t>=NF($G625,"Entry No.")</t>
  </si>
  <si>
    <t>=NF(G625,"Source Type")</t>
  </si>
  <si>
    <t>=NF($G625,"Source No.")</t>
  </si>
  <si>
    <t>=IF($J625="Customer",NL("first",$J625,"Name","No.","@@"&amp;$K625),"")</t>
  </si>
  <si>
    <t>=IF(J625="vendor",NL("first",J625,"Name","No.","@@"&amp;K625),"")</t>
  </si>
  <si>
    <t>=IF($J625="Item",NL("first",$J625,"Description","No.","@@"&amp;$K625),"")</t>
  </si>
  <si>
    <t>=NL("Sum","Item Ledger Entry","Quantity","Entry Type","Purchase","Entry No.",I625,"Location Code",$L$7)</t>
  </si>
  <si>
    <t>=NL("Sum","Item Ledger Entry","Quantity","Entry Type","Sale","Entry No.",I625,"Location Code",$L$7)</t>
  </si>
  <si>
    <t>=NL("Sum","Item Ledger Entry","Quantity","Entry Type","Positive Adjmt.|Negative Adjmt.","Entry No.",I625,"Location Code",$L$7)</t>
  </si>
  <si>
    <t>=NL("Sum","Item Ledger Entry","Quantity","Entry Type","Transfer","Entry No.",I625,"Location Code",$L$7)</t>
  </si>
  <si>
    <t>=NL("Sum","Item Ledger Entry","Quantity","Entry Type","Consumption","Entry No.",I625,"Location Code",$L$7)</t>
  </si>
  <si>
    <t>=NL("Sum","Item Ledger Entry","Quantity","Entry Type","Output","Entry No.",I625,"Location Code",$L$7)</t>
  </si>
  <si>
    <t>=D625</t>
  </si>
  <si>
    <t>=NF($G626,"Posting Date")</t>
  </si>
  <si>
    <t>=NF($G626,"Entry No.")</t>
  </si>
  <si>
    <t>=NF(G626,"Source Type")</t>
  </si>
  <si>
    <t>=NF($G626,"Source No.")</t>
  </si>
  <si>
    <t>=IF($J626="Customer",NL("first",$J626,"Name","No.","@@"&amp;$K626),"")</t>
  </si>
  <si>
    <t>=IF(J626="vendor",NL("first",J626,"Name","No.","@@"&amp;K626),"")</t>
  </si>
  <si>
    <t>=IF($J626="Item",NL("first",$J626,"Description","No.","@@"&amp;$K626),"")</t>
  </si>
  <si>
    <t>=NL("Sum","Item Ledger Entry","Quantity","Entry Type","Purchase","Entry No.",I626,"Location Code",$L$7)</t>
  </si>
  <si>
    <t>=NL("Sum","Item Ledger Entry","Quantity","Entry Type","Sale","Entry No.",I626,"Location Code",$L$7)</t>
  </si>
  <si>
    <t>=NL("Sum","Item Ledger Entry","Quantity","Entry Type","Positive Adjmt.|Negative Adjmt.","Entry No.",I626,"Location Code",$L$7)</t>
  </si>
  <si>
    <t>=NL("Sum","Item Ledger Entry","Quantity","Entry Type","Transfer","Entry No.",I626,"Location Code",$L$7)</t>
  </si>
  <si>
    <t>=NL("Sum","Item Ledger Entry","Quantity","Entry Type","Consumption","Entry No.",I626,"Location Code",$L$7)</t>
  </si>
  <si>
    <t>=NL("Sum","Item Ledger Entry","Quantity","Entry Type","Output","Entry No.",I626,"Location Code",$L$7)</t>
  </si>
  <si>
    <t>=E629</t>
  </si>
  <si>
    <t>="E100013"</t>
  </si>
  <si>
    <t>=NL("First","Item","Description","No.",$E629)</t>
  </si>
  <si>
    <t>=NL("First","Item","Base Unit of Measure","No.",$E629)</t>
  </si>
  <si>
    <t>=D629</t>
  </si>
  <si>
    <t>=NF($G630,"Posting Date")</t>
  </si>
  <si>
    <t>=NF($G630,"Entry No.")</t>
  </si>
  <si>
    <t>=NF(G630,"Source Type")</t>
  </si>
  <si>
    <t>=NF($G630,"Source No.")</t>
  </si>
  <si>
    <t>=IF($J630="Customer",NL("first",$J630,"Name","No.","@@"&amp;$K630),"")</t>
  </si>
  <si>
    <t>=IF(J630="vendor",NL("first",J630,"Name","No.","@@"&amp;K630),"")</t>
  </si>
  <si>
    <t>=IF($J630="Item",NL("first",$J630,"Description","No.","@@"&amp;$K630),"")</t>
  </si>
  <si>
    <t>=D630</t>
  </si>
  <si>
    <t>=NF($G631,"Posting Date")</t>
  </si>
  <si>
    <t>=NF($G631,"Entry No.")</t>
  </si>
  <si>
    <t>=NF(G631,"Source Type")</t>
  </si>
  <si>
    <t>=NF($G631,"Source No.")</t>
  </si>
  <si>
    <t>=IF($J631="Customer",NL("first",$J631,"Name","No.","@@"&amp;$K631),"")</t>
  </si>
  <si>
    <t>=IF(J631="vendor",NL("first",J631,"Name","No.","@@"&amp;K631),"")</t>
  </si>
  <si>
    <t>=IF($J631="Item",NL("first",$J631,"Description","No.","@@"&amp;$K631),"")</t>
  </si>
  <si>
    <t>=NL("Sum","Item Ledger Entry","Quantity","Entry Type","Purchase","Entry No.",I631,"Location Code",$L$7)</t>
  </si>
  <si>
    <t>=NL("Sum","Item Ledger Entry","Quantity","Entry Type","Sale","Entry No.",I631,"Location Code",$L$7)</t>
  </si>
  <si>
    <t>=NL("Sum","Item Ledger Entry","Quantity","Entry Type","Positive Adjmt.|Negative Adjmt.","Entry No.",I631,"Location Code",$L$7)</t>
  </si>
  <si>
    <t>=NL("Sum","Item Ledger Entry","Quantity","Entry Type","Transfer","Entry No.",I631,"Location Code",$L$7)</t>
  </si>
  <si>
    <t>=NL("Sum","Item Ledger Entry","Quantity","Entry Type","Consumption","Entry No.",I631,"Location Code",$L$7)</t>
  </si>
  <si>
    <t>=NL("Sum","Item Ledger Entry","Quantity","Entry Type","Output","Entry No.",I631,"Location Code",$L$7)</t>
  </si>
  <si>
    <t>=D631</t>
  </si>
  <si>
    <t>=NF($G632,"Posting Date")</t>
  </si>
  <si>
    <t>=NF($G632,"Entry No.")</t>
  </si>
  <si>
    <t>=NF(G632,"Source Type")</t>
  </si>
  <si>
    <t>=NF($G632,"Source No.")</t>
  </si>
  <si>
    <t>=IF($J632="Customer",NL("first",$J632,"Name","No.","@@"&amp;$K632),"")</t>
  </si>
  <si>
    <t>=IF(J632="vendor",NL("first",J632,"Name","No.","@@"&amp;K632),"")</t>
  </si>
  <si>
    <t>=IF($J632="Item",NL("first",$J632,"Description","No.","@@"&amp;$K632),"")</t>
  </si>
  <si>
    <t>=NL("Sum","Item Ledger Entry","Quantity","Entry Type","Purchase","Entry No.",I632,"Location Code",$L$7)</t>
  </si>
  <si>
    <t>=NL("Sum","Item Ledger Entry","Quantity","Entry Type","Sale","Entry No.",I632,"Location Code",$L$7)</t>
  </si>
  <si>
    <t>=NL("Sum","Item Ledger Entry","Quantity","Entry Type","Positive Adjmt.|Negative Adjmt.","Entry No.",I632,"Location Code",$L$7)</t>
  </si>
  <si>
    <t>=NL("Sum","Item Ledger Entry","Quantity","Entry Type","Transfer","Entry No.",I632,"Location Code",$L$7)</t>
  </si>
  <si>
    <t>=NL("Sum","Item Ledger Entry","Quantity","Entry Type","Consumption","Entry No.",I632,"Location Code",$L$7)</t>
  </si>
  <si>
    <t>=NL("Sum","Item Ledger Entry","Quantity","Entry Type","Output","Entry No.",I632,"Location Code",$L$7)</t>
  </si>
  <si>
    <t>=D632</t>
  </si>
  <si>
    <t>=NF($G633,"Posting Date")</t>
  </si>
  <si>
    <t>=NF($G633,"Entry No.")</t>
  </si>
  <si>
    <t>=NF(G633,"Source Type")</t>
  </si>
  <si>
    <t>=NF($G633,"Source No.")</t>
  </si>
  <si>
    <t>=IF($J633="Customer",NL("first",$J633,"Name","No.","@@"&amp;$K633),"")</t>
  </si>
  <si>
    <t>=IF(J633="vendor",NL("first",J633,"Name","No.","@@"&amp;K633),"")</t>
  </si>
  <si>
    <t>=IF($J633="Item",NL("first",$J633,"Description","No.","@@"&amp;$K633),"")</t>
  </si>
  <si>
    <t>=NL("Sum","Item Ledger Entry","Quantity","Entry Type","Purchase","Entry No.",I633,"Location Code",$L$7)</t>
  </si>
  <si>
    <t>=NL("Sum","Item Ledger Entry","Quantity","Entry Type","Sale","Entry No.",I633,"Location Code",$L$7)</t>
  </si>
  <si>
    <t>=NL("Sum","Item Ledger Entry","Quantity","Entry Type","Positive Adjmt.|Negative Adjmt.","Entry No.",I633,"Location Code",$L$7)</t>
  </si>
  <si>
    <t>=NL("Sum","Item Ledger Entry","Quantity","Entry Type","Transfer","Entry No.",I633,"Location Code",$L$7)</t>
  </si>
  <si>
    <t>=NL("Sum","Item Ledger Entry","Quantity","Entry Type","Consumption","Entry No.",I633,"Location Code",$L$7)</t>
  </si>
  <si>
    <t>=NL("Sum","Item Ledger Entry","Quantity","Entry Type","Output","Entry No.",I633,"Location Code",$L$7)</t>
  </si>
  <si>
    <t>=D633</t>
  </si>
  <si>
    <t>=NF($G634,"Posting Date")</t>
  </si>
  <si>
    <t>=NF($G634,"Entry No.")</t>
  </si>
  <si>
    <t>=NF(G634,"Source Type")</t>
  </si>
  <si>
    <t>=NF($G634,"Source No.")</t>
  </si>
  <si>
    <t>=IF($J634="Customer",NL("first",$J634,"Name","No.","@@"&amp;$K634),"")</t>
  </si>
  <si>
    <t>=IF(J634="vendor",NL("first",J634,"Name","No.","@@"&amp;K634),"")</t>
  </si>
  <si>
    <t>=IF($J634="Item",NL("first",$J634,"Description","No.","@@"&amp;$K634),"")</t>
  </si>
  <si>
    <t>=NL("Sum","Item Ledger Entry","Quantity","Entry Type","Purchase","Entry No.",I634,"Location Code",$L$7)</t>
  </si>
  <si>
    <t>=NL("Sum","Item Ledger Entry","Quantity","Entry Type","Sale","Entry No.",I634,"Location Code",$L$7)</t>
  </si>
  <si>
    <t>=NL("Sum","Item Ledger Entry","Quantity","Entry Type","Positive Adjmt.|Negative Adjmt.","Entry No.",I634,"Location Code",$L$7)</t>
  </si>
  <si>
    <t>=NL("Sum","Item Ledger Entry","Quantity","Entry Type","Transfer","Entry No.",I634,"Location Code",$L$7)</t>
  </si>
  <si>
    <t>=NL("Sum","Item Ledger Entry","Quantity","Entry Type","Consumption","Entry No.",I634,"Location Code",$L$7)</t>
  </si>
  <si>
    <t>=NL("Sum","Item Ledger Entry","Quantity","Entry Type","Output","Entry No.",I634,"Location Code",$L$7)</t>
  </si>
  <si>
    <t>=D634</t>
  </si>
  <si>
    <t>=NF($G635,"Posting Date")</t>
  </si>
  <si>
    <t>=NF($G635,"Entry No.")</t>
  </si>
  <si>
    <t>=NF(G635,"Source Type")</t>
  </si>
  <si>
    <t>=NF($G635,"Source No.")</t>
  </si>
  <si>
    <t>=IF($J635="Customer",NL("first",$J635,"Name","No.","@@"&amp;$K635),"")</t>
  </si>
  <si>
    <t>=IF(J635="vendor",NL("first",J635,"Name","No.","@@"&amp;K635),"")</t>
  </si>
  <si>
    <t>=IF($J635="Item",NL("first",$J635,"Description","No.","@@"&amp;$K635),"")</t>
  </si>
  <si>
    <t>=NL("Sum","Item Ledger Entry","Quantity","Entry Type","Purchase","Entry No.",I635,"Location Code",$L$7)</t>
  </si>
  <si>
    <t>=NL("Sum","Item Ledger Entry","Quantity","Entry Type","Sale","Entry No.",I635,"Location Code",$L$7)</t>
  </si>
  <si>
    <t>=NL("Sum","Item Ledger Entry","Quantity","Entry Type","Positive Adjmt.|Negative Adjmt.","Entry No.",I635,"Location Code",$L$7)</t>
  </si>
  <si>
    <t>=NL("Sum","Item Ledger Entry","Quantity","Entry Type","Transfer","Entry No.",I635,"Location Code",$L$7)</t>
  </si>
  <si>
    <t>=NL("Sum","Item Ledger Entry","Quantity","Entry Type","Consumption","Entry No.",I635,"Location Code",$L$7)</t>
  </si>
  <si>
    <t>=NL("Sum","Item Ledger Entry","Quantity","Entry Type","Output","Entry No.",I635,"Location Code",$L$7)</t>
  </si>
  <si>
    <t>=D635</t>
  </si>
  <si>
    <t>=NF($G636,"Posting Date")</t>
  </si>
  <si>
    <t>=NF($G636,"Entry No.")</t>
  </si>
  <si>
    <t>=NF(G636,"Source Type")</t>
  </si>
  <si>
    <t>=NF($G636,"Source No.")</t>
  </si>
  <si>
    <t>=IF($J636="Customer",NL("first",$J636,"Name","No.","@@"&amp;$K636),"")</t>
  </si>
  <si>
    <t>=IF(J636="vendor",NL("first",J636,"Name","No.","@@"&amp;K636),"")</t>
  </si>
  <si>
    <t>=IF($J636="Item",NL("first",$J636,"Description","No.","@@"&amp;$K636),"")</t>
  </si>
  <si>
    <t>=NL("Sum","Item Ledger Entry","Quantity","Entry Type","Purchase","Entry No.",I636,"Location Code",$L$7)</t>
  </si>
  <si>
    <t>=NL("Sum","Item Ledger Entry","Quantity","Entry Type","Sale","Entry No.",I636,"Location Code",$L$7)</t>
  </si>
  <si>
    <t>=NL("Sum","Item Ledger Entry","Quantity","Entry Type","Positive Adjmt.|Negative Adjmt.","Entry No.",I636,"Location Code",$L$7)</t>
  </si>
  <si>
    <t>=NL("Sum","Item Ledger Entry","Quantity","Entry Type","Transfer","Entry No.",I636,"Location Code",$L$7)</t>
  </si>
  <si>
    <t>=NL("Sum","Item Ledger Entry","Quantity","Entry Type","Consumption","Entry No.",I636,"Location Code",$L$7)</t>
  </si>
  <si>
    <t>=NL("Sum","Item Ledger Entry","Quantity","Entry Type","Output","Entry No.",I636,"Location Code",$L$7)</t>
  </si>
  <si>
    <t>=D636</t>
  </si>
  <si>
    <t>=NF($G637,"Posting Date")</t>
  </si>
  <si>
    <t>=NF($G637,"Entry No.")</t>
  </si>
  <si>
    <t>=NF(G637,"Source Type")</t>
  </si>
  <si>
    <t>=NF($G637,"Source No.")</t>
  </si>
  <si>
    <t>=IF($J637="Customer",NL("first",$J637,"Name","No.","@@"&amp;$K637),"")</t>
  </si>
  <si>
    <t>=IF(J637="vendor",NL("first",J637,"Name","No.","@@"&amp;K637),"")</t>
  </si>
  <si>
    <t>=IF($J637="Item",NL("first",$J637,"Description","No.","@@"&amp;$K637),"")</t>
  </si>
  <si>
    <t>=NL("Sum","Item Ledger Entry","Quantity","Entry Type","Purchase","Entry No.",I637,"Location Code",$L$7)</t>
  </si>
  <si>
    <t>=NL("Sum","Item Ledger Entry","Quantity","Entry Type","Sale","Entry No.",I637,"Location Code",$L$7)</t>
  </si>
  <si>
    <t>=NL("Sum","Item Ledger Entry","Quantity","Entry Type","Positive Adjmt.|Negative Adjmt.","Entry No.",I637,"Location Code",$L$7)</t>
  </si>
  <si>
    <t>=NL("Sum","Item Ledger Entry","Quantity","Entry Type","Transfer","Entry No.",I637,"Location Code",$L$7)</t>
  </si>
  <si>
    <t>=NL("Sum","Item Ledger Entry","Quantity","Entry Type","Consumption","Entry No.",I637,"Location Code",$L$7)</t>
  </si>
  <si>
    <t>=NL("Sum","Item Ledger Entry","Quantity","Entry Type","Output","Entry No.",I637,"Location Code",$L$7)</t>
  </si>
  <si>
    <t>="E100014"</t>
  </si>
  <si>
    <t>=D640</t>
  </si>
  <si>
    <t>=NF($G641,"Posting Date")</t>
  </si>
  <si>
    <t>=NF($G641,"Entry No.")</t>
  </si>
  <si>
    <t>=NF(G641,"Source Type")</t>
  </si>
  <si>
    <t>=NF($G641,"Source No.")</t>
  </si>
  <si>
    <t>=IF($J641="Customer",NL("first",$J641,"Name","No.","@@"&amp;$K641),"")</t>
  </si>
  <si>
    <t>=IF(J641="vendor",NL("first",J641,"Name","No.","@@"&amp;K641),"")</t>
  </si>
  <si>
    <t>=IF($J641="Item",NL("first",$J641,"Description","No.","@@"&amp;$K641),"")</t>
  </si>
  <si>
    <t>=D641</t>
  </si>
  <si>
    <t>=NF($G642,"Posting Date")</t>
  </si>
  <si>
    <t>=NF($G642,"Entry No.")</t>
  </si>
  <si>
    <t>=NF(G642,"Source Type")</t>
  </si>
  <si>
    <t>=NF($G642,"Source No.")</t>
  </si>
  <si>
    <t>=IF($J642="Customer",NL("first",$J642,"Name","No.","@@"&amp;$K642),"")</t>
  </si>
  <si>
    <t>=IF(J642="vendor",NL("first",J642,"Name","No.","@@"&amp;K642),"")</t>
  </si>
  <si>
    <t>=IF($J642="Item",NL("first",$J642,"Description","No.","@@"&amp;$K642),"")</t>
  </si>
  <si>
    <t>=D645</t>
  </si>
  <si>
    <t>=NF($G646,"Posting Date")</t>
  </si>
  <si>
    <t>=NF($G646,"Entry No.")</t>
  </si>
  <si>
    <t>=NF(G646,"Source Type")</t>
  </si>
  <si>
    <t>=NF($G646,"Source No.")</t>
  </si>
  <si>
    <t>=IF($J646="Customer",NL("first",$J646,"Name","No.","@@"&amp;$K646),"")</t>
  </si>
  <si>
    <t>=IF(J646="vendor",NL("first",J646,"Name","No.","@@"&amp;K646),"")</t>
  </si>
  <si>
    <t>=IF($J646="Item",NL("first",$J646,"Description","No.","@@"&amp;$K646),"")</t>
  </si>
  <si>
    <t>=NL("Sum","Item Ledger Entry","Quantity","Entry Type","Purchase","Entry No.",I646,"Location Code",$L$7)</t>
  </si>
  <si>
    <t>=NL("Sum","Item Ledger Entry","Quantity","Entry Type","Sale","Entry No.",I646,"Location Code",$L$7)</t>
  </si>
  <si>
    <t>=NL("Sum","Item Ledger Entry","Quantity","Entry Type","Positive Adjmt.|Negative Adjmt.","Entry No.",I646,"Location Code",$L$7)</t>
  </si>
  <si>
    <t>=NL("Sum","Item Ledger Entry","Quantity","Entry Type","Transfer","Entry No.",I646,"Location Code",$L$7)</t>
  </si>
  <si>
    <t>=NL("Sum","Item Ledger Entry","Quantity","Entry Type","Consumption","Entry No.",I646,"Location Code",$L$7)</t>
  </si>
  <si>
    <t>=NL("Sum","Item Ledger Entry","Quantity","Entry Type","Output","Entry No.",I646,"Location Code",$L$7)</t>
  </si>
  <si>
    <t>=D646</t>
  </si>
  <si>
    <t>=NF($G647,"Posting Date")</t>
  </si>
  <si>
    <t>=NF($G647,"Entry No.")</t>
  </si>
  <si>
    <t>=NF(G647,"Source Type")</t>
  </si>
  <si>
    <t>=NF($G647,"Source No.")</t>
  </si>
  <si>
    <t>=IF($J647="Customer",NL("first",$J647,"Name","No.","@@"&amp;$K647),"")</t>
  </si>
  <si>
    <t>=IF(J647="vendor",NL("first",J647,"Name","No.","@@"&amp;K647),"")</t>
  </si>
  <si>
    <t>=IF($J647="Item",NL("first",$J647,"Description","No.","@@"&amp;$K647),"")</t>
  </si>
  <si>
    <t>=NL("Sum","Item Ledger Entry","Quantity","Entry Type","Purchase","Entry No.",I647,"Location Code",$L$7)</t>
  </si>
  <si>
    <t>=NL("Sum","Item Ledger Entry","Quantity","Entry Type","Sale","Entry No.",I647,"Location Code",$L$7)</t>
  </si>
  <si>
    <t>=NL("Sum","Item Ledger Entry","Quantity","Entry Type","Positive Adjmt.|Negative Adjmt.","Entry No.",I647,"Location Code",$L$7)</t>
  </si>
  <si>
    <t>=NL("Sum","Item Ledger Entry","Quantity","Entry Type","Transfer","Entry No.",I647,"Location Code",$L$7)</t>
  </si>
  <si>
    <t>=NL("Sum","Item Ledger Entry","Quantity","Entry Type","Consumption","Entry No.",I647,"Location Code",$L$7)</t>
  </si>
  <si>
    <t>=NL("Sum","Item Ledger Entry","Quantity","Entry Type","Output","Entry No.",I647,"Location Code",$L$7)</t>
  </si>
  <si>
    <t>=D647</t>
  </si>
  <si>
    <t>=NF($G648,"Posting Date")</t>
  </si>
  <si>
    <t>=NF($G648,"Entry No.")</t>
  </si>
  <si>
    <t>=NF(G648,"Source Type")</t>
  </si>
  <si>
    <t>=NF($G648,"Source No.")</t>
  </si>
  <si>
    <t>=IF($J648="Customer",NL("first",$J648,"Name","No.","@@"&amp;$K648),"")</t>
  </si>
  <si>
    <t>=IF(J648="vendor",NL("first",J648,"Name","No.","@@"&amp;K648),"")</t>
  </si>
  <si>
    <t>=IF($J648="Item",NL("first",$J648,"Description","No.","@@"&amp;$K648),"")</t>
  </si>
  <si>
    <t>=NL("Sum","Item Ledger Entry","Quantity","Entry Type","Purchase","Entry No.",I648,"Location Code",$L$7)</t>
  </si>
  <si>
    <t>=NL("Sum","Item Ledger Entry","Quantity","Entry Type","Sale","Entry No.",I648,"Location Code",$L$7)</t>
  </si>
  <si>
    <t>=NL("Sum","Item Ledger Entry","Quantity","Entry Type","Positive Adjmt.|Negative Adjmt.","Entry No.",I648,"Location Code",$L$7)</t>
  </si>
  <si>
    <t>=NL("Sum","Item Ledger Entry","Quantity","Entry Type","Transfer","Entry No.",I648,"Location Code",$L$7)</t>
  </si>
  <si>
    <t>=NL("Sum","Item Ledger Entry","Quantity","Entry Type","Consumption","Entry No.",I648,"Location Code",$L$7)</t>
  </si>
  <si>
    <t>=NL("Sum","Item Ledger Entry","Quantity","Entry Type","Output","Entry No.",I648,"Location Code",$L$7)</t>
  </si>
  <si>
    <t>=D648</t>
  </si>
  <si>
    <t>=NF($G649,"Posting Date")</t>
  </si>
  <si>
    <t>=NF($G649,"Entry No.")</t>
  </si>
  <si>
    <t>=NF(G649,"Source Type")</t>
  </si>
  <si>
    <t>=NF($G649,"Source No.")</t>
  </si>
  <si>
    <t>=IF($J649="Customer",NL("first",$J649,"Name","No.","@@"&amp;$K649),"")</t>
  </si>
  <si>
    <t>=IF(J649="vendor",NL("first",J649,"Name","No.","@@"&amp;K649),"")</t>
  </si>
  <si>
    <t>=IF($J649="Item",NL("first",$J649,"Description","No.","@@"&amp;$K649),"")</t>
  </si>
  <si>
    <t>=NL("Sum","Item Ledger Entry","Quantity","Entry Type","Purchase","Entry No.",I649,"Location Code",$L$7)</t>
  </si>
  <si>
    <t>=NL("Sum","Item Ledger Entry","Quantity","Entry Type","Sale","Entry No.",I649,"Location Code",$L$7)</t>
  </si>
  <si>
    <t>=NL("Sum","Item Ledger Entry","Quantity","Entry Type","Positive Adjmt.|Negative Adjmt.","Entry No.",I649,"Location Code",$L$7)</t>
  </si>
  <si>
    <t>=NL("Sum","Item Ledger Entry","Quantity","Entry Type","Transfer","Entry No.",I649,"Location Code",$L$7)</t>
  </si>
  <si>
    <t>=NL("Sum","Item Ledger Entry","Quantity","Entry Type","Consumption","Entry No.",I649,"Location Code",$L$7)</t>
  </si>
  <si>
    <t>=NL("Sum","Item Ledger Entry","Quantity","Entry Type","Output","Entry No.",I649,"Location Code",$L$7)</t>
  </si>
  <si>
    <t>=D649</t>
  </si>
  <si>
    <t>=NF($G650,"Posting Date")</t>
  </si>
  <si>
    <t>=NF($G650,"Entry No.")</t>
  </si>
  <si>
    <t>=NF(G650,"Source Type")</t>
  </si>
  <si>
    <t>=NF($G650,"Source No.")</t>
  </si>
  <si>
    <t>=IF($J650="Customer",NL("first",$J650,"Name","No.","@@"&amp;$K650),"")</t>
  </si>
  <si>
    <t>=IF(J650="vendor",NL("first",J650,"Name","No.","@@"&amp;K650),"")</t>
  </si>
  <si>
    <t>=IF($J650="Item",NL("first",$J650,"Description","No.","@@"&amp;$K650),"")</t>
  </si>
  <si>
    <t>=NL("Sum","Item Ledger Entry","Quantity","Entry Type","Purchase","Entry No.",I650,"Location Code",$L$7)</t>
  </si>
  <si>
    <t>=NL("Sum","Item Ledger Entry","Quantity","Entry Type","Sale","Entry No.",I650,"Location Code",$L$7)</t>
  </si>
  <si>
    <t>=NL("Sum","Item Ledger Entry","Quantity","Entry Type","Positive Adjmt.|Negative Adjmt.","Entry No.",I650,"Location Code",$L$7)</t>
  </si>
  <si>
    <t>=NL("Sum","Item Ledger Entry","Quantity","Entry Type","Transfer","Entry No.",I650,"Location Code",$L$7)</t>
  </si>
  <si>
    <t>=NL("Sum","Item Ledger Entry","Quantity","Entry Type","Consumption","Entry No.",I650,"Location Code",$L$7)</t>
  </si>
  <si>
    <t>=NL("Sum","Item Ledger Entry","Quantity","Entry Type","Output","Entry No.",I650,"Location Code",$L$7)</t>
  </si>
  <si>
    <t>=D650</t>
  </si>
  <si>
    <t>=NF($G651,"Posting Date")</t>
  </si>
  <si>
    <t>=NF($G651,"Entry No.")</t>
  </si>
  <si>
    <t>=NF(G651,"Source Type")</t>
  </si>
  <si>
    <t>=NF($G651,"Source No.")</t>
  </si>
  <si>
    <t>=IF($J651="Customer",NL("first",$J651,"Name","No.","@@"&amp;$K651),"")</t>
  </si>
  <si>
    <t>=IF(J651="vendor",NL("first",J651,"Name","No.","@@"&amp;K651),"")</t>
  </si>
  <si>
    <t>=IF($J651="Item",NL("first",$J651,"Description","No.","@@"&amp;$K651),"")</t>
  </si>
  <si>
    <t>="E100015"</t>
  </si>
  <si>
    <t>=D654</t>
  </si>
  <si>
    <t>=NF($G655,"Posting Date")</t>
  </si>
  <si>
    <t>=NF($G655,"Entry No.")</t>
  </si>
  <si>
    <t>=NF(G655,"Source Type")</t>
  </si>
  <si>
    <t>=NF($G655,"Source No.")</t>
  </si>
  <si>
    <t>=IF($J655="Customer",NL("first",$J655,"Name","No.","@@"&amp;$K655),"")</t>
  </si>
  <si>
    <t>=IF(J655="vendor",NL("first",J655,"Name","No.","@@"&amp;K655),"")</t>
  </si>
  <si>
    <t>=IF($J655="Item",NL("first",$J655,"Description","No.","@@"&amp;$K655),"")</t>
  </si>
  <si>
    <t>=NL("Sum","Item Ledger Entry","Quantity","Entry Type","Purchase","Entry No.",I655,"Location Code",$L$7)</t>
  </si>
  <si>
    <t>=NL("Sum","Item Ledger Entry","Quantity","Entry Type","Sale","Entry No.",I655,"Location Code",$L$7)</t>
  </si>
  <si>
    <t>=NL("Sum","Item Ledger Entry","Quantity","Entry Type","Positive Adjmt.|Negative Adjmt.","Entry No.",I655,"Location Code",$L$7)</t>
  </si>
  <si>
    <t>=NL("Sum","Item Ledger Entry","Quantity","Entry Type","Transfer","Entry No.",I655,"Location Code",$L$7)</t>
  </si>
  <si>
    <t>=NL("Sum","Item Ledger Entry","Quantity","Entry Type","Consumption","Entry No.",I655,"Location Code",$L$7)</t>
  </si>
  <si>
    <t>=NL("Sum","Item Ledger Entry","Quantity","Entry Type","Output","Entry No.",I655,"Location Code",$L$7)</t>
  </si>
  <si>
    <t>=D655</t>
  </si>
  <si>
    <t>=NF($G656,"Posting Date")</t>
  </si>
  <si>
    <t>=NF($G656,"Entry No.")</t>
  </si>
  <si>
    <t>=NF(G656,"Source Type")</t>
  </si>
  <si>
    <t>=NF($G656,"Source No.")</t>
  </si>
  <si>
    <t>=IF($J656="Customer",NL("first",$J656,"Name","No.","@@"&amp;$K656),"")</t>
  </si>
  <si>
    <t>=IF(J656="vendor",NL("first",J656,"Name","No.","@@"&amp;K656),"")</t>
  </si>
  <si>
    <t>=IF($J656="Item",NL("first",$J656,"Description","No.","@@"&amp;$K656),"")</t>
  </si>
  <si>
    <t>=NL("Sum","Item Ledger Entry","Quantity","Entry Type","Purchase","Entry No.",I656,"Location Code",$L$7)</t>
  </si>
  <si>
    <t>=NL("Sum","Item Ledger Entry","Quantity","Entry Type","Sale","Entry No.",I656,"Location Code",$L$7)</t>
  </si>
  <si>
    <t>=NL("Sum","Item Ledger Entry","Quantity","Entry Type","Positive Adjmt.|Negative Adjmt.","Entry No.",I656,"Location Code",$L$7)</t>
  </si>
  <si>
    <t>=NL("Sum","Item Ledger Entry","Quantity","Entry Type","Transfer","Entry No.",I656,"Location Code",$L$7)</t>
  </si>
  <si>
    <t>=NL("Sum","Item Ledger Entry","Quantity","Entry Type","Consumption","Entry No.",I656,"Location Code",$L$7)</t>
  </si>
  <si>
    <t>=NL("Sum","Item Ledger Entry","Quantity","Entry Type","Output","Entry No.",I656,"Location Code",$L$7)</t>
  </si>
  <si>
    <t>=D656</t>
  </si>
  <si>
    <t>=NF($G657,"Posting Date")</t>
  </si>
  <si>
    <t>=NF($G657,"Entry No.")</t>
  </si>
  <si>
    <t>=NF(G657,"Source Type")</t>
  </si>
  <si>
    <t>=NF($G657,"Source No.")</t>
  </si>
  <si>
    <t>=IF($J657="Customer",NL("first",$J657,"Name","No.","@@"&amp;$K657),"")</t>
  </si>
  <si>
    <t>=IF(J657="vendor",NL("first",J657,"Name","No.","@@"&amp;K657),"")</t>
  </si>
  <si>
    <t>=IF($J657="Item",NL("first",$J657,"Description","No.","@@"&amp;$K657),"")</t>
  </si>
  <si>
    <t>=NL("Sum","Item Ledger Entry","Quantity","Entry Type","Purchase","Entry No.",I657,"Location Code",$L$7)</t>
  </si>
  <si>
    <t>=NL("Sum","Item Ledger Entry","Quantity","Entry Type","Sale","Entry No.",I657,"Location Code",$L$7)</t>
  </si>
  <si>
    <t>=NL("Sum","Item Ledger Entry","Quantity","Entry Type","Positive Adjmt.|Negative Adjmt.","Entry No.",I657,"Location Code",$L$7)</t>
  </si>
  <si>
    <t>=NL("Sum","Item Ledger Entry","Quantity","Entry Type","Transfer","Entry No.",I657,"Location Code",$L$7)</t>
  </si>
  <si>
    <t>=NL("Sum","Item Ledger Entry","Quantity","Entry Type","Consumption","Entry No.",I657,"Location Code",$L$7)</t>
  </si>
  <si>
    <t>=NL("Sum","Item Ledger Entry","Quantity","Entry Type","Output","Entry No.",I657,"Location Code",$L$7)</t>
  </si>
  <si>
    <t>=D657</t>
  </si>
  <si>
    <t>=NF($G658,"Posting Date")</t>
  </si>
  <si>
    <t>=NF($G658,"Entry No.")</t>
  </si>
  <si>
    <t>=NF(G658,"Source Type")</t>
  </si>
  <si>
    <t>=NF($G658,"Source No.")</t>
  </si>
  <si>
    <t>=IF($J658="Customer",NL("first",$J658,"Name","No.","@@"&amp;$K658),"")</t>
  </si>
  <si>
    <t>=IF(J658="vendor",NL("first",J658,"Name","No.","@@"&amp;K658),"")</t>
  </si>
  <si>
    <t>=IF($J658="Item",NL("first",$J658,"Description","No.","@@"&amp;$K658),"")</t>
  </si>
  <si>
    <t>=NL("Sum","Item Ledger Entry","Quantity","Entry Type","Purchase","Entry No.",I658,"Location Code",$L$7)</t>
  </si>
  <si>
    <t>=NL("Sum","Item Ledger Entry","Quantity","Entry Type","Sale","Entry No.",I658,"Location Code",$L$7)</t>
  </si>
  <si>
    <t>=NL("Sum","Item Ledger Entry","Quantity","Entry Type","Positive Adjmt.|Negative Adjmt.","Entry No.",I658,"Location Code",$L$7)</t>
  </si>
  <si>
    <t>=NL("Sum","Item Ledger Entry","Quantity","Entry Type","Transfer","Entry No.",I658,"Location Code",$L$7)</t>
  </si>
  <si>
    <t>=NL("Sum","Item Ledger Entry","Quantity","Entry Type","Consumption","Entry No.",I658,"Location Code",$L$7)</t>
  </si>
  <si>
    <t>=NL("Sum","Item Ledger Entry","Quantity","Entry Type","Output","Entry No.",I658,"Location Code",$L$7)</t>
  </si>
  <si>
    <t>=D658</t>
  </si>
  <si>
    <t>=NF($G659,"Posting Date")</t>
  </si>
  <si>
    <t>=NF($G659,"Entry No.")</t>
  </si>
  <si>
    <t>=NF(G659,"Source Type")</t>
  </si>
  <si>
    <t>=NF($G659,"Source No.")</t>
  </si>
  <si>
    <t>=IF($J659="Customer",NL("first",$J659,"Name","No.","@@"&amp;$K659),"")</t>
  </si>
  <si>
    <t>=IF(J659="vendor",NL("first",J659,"Name","No.","@@"&amp;K659),"")</t>
  </si>
  <si>
    <t>=IF($J659="Item",NL("first",$J659,"Description","No.","@@"&amp;$K659),"")</t>
  </si>
  <si>
    <t>=NL("Sum","Item Ledger Entry","Quantity","Entry Type","Purchase","Entry No.",I659,"Location Code",$L$7)</t>
  </si>
  <si>
    <t>=NL("Sum","Item Ledger Entry","Quantity","Entry Type","Sale","Entry No.",I659,"Location Code",$L$7)</t>
  </si>
  <si>
    <t>=NL("Sum","Item Ledger Entry","Quantity","Entry Type","Positive Adjmt.|Negative Adjmt.","Entry No.",I659,"Location Code",$L$7)</t>
  </si>
  <si>
    <t>=NL("Sum","Item Ledger Entry","Quantity","Entry Type","Transfer","Entry No.",I659,"Location Code",$L$7)</t>
  </si>
  <si>
    <t>=NL("Sum","Item Ledger Entry","Quantity","Entry Type","Consumption","Entry No.",I659,"Location Code",$L$7)</t>
  </si>
  <si>
    <t>=NL("Sum","Item Ledger Entry","Quantity","Entry Type","Output","Entry No.",I659,"Location Code",$L$7)</t>
  </si>
  <si>
    <t>=D659</t>
  </si>
  <si>
    <t>=NF($G660,"Posting Date")</t>
  </si>
  <si>
    <t>=NF($G660,"Entry No.")</t>
  </si>
  <si>
    <t>=NF(G660,"Source Type")</t>
  </si>
  <si>
    <t>=NF($G660,"Source No.")</t>
  </si>
  <si>
    <t>=IF($J660="Customer",NL("first",$J660,"Name","No.","@@"&amp;$K660),"")</t>
  </si>
  <si>
    <t>=IF(J660="vendor",NL("first",J660,"Name","No.","@@"&amp;K660),"")</t>
  </si>
  <si>
    <t>=IF($J660="Item",NL("first",$J660,"Description","No.","@@"&amp;$K660),"")</t>
  </si>
  <si>
    <t>=NL("Sum","Item Ledger Entry","Quantity","Entry Type","Purchase","Entry No.",I660,"Location Code",$L$7)</t>
  </si>
  <si>
    <t>=NL("Sum","Item Ledger Entry","Quantity","Entry Type","Sale","Entry No.",I660,"Location Code",$L$7)</t>
  </si>
  <si>
    <t>=NL("Sum","Item Ledger Entry","Quantity","Entry Type","Positive Adjmt.|Negative Adjmt.","Entry No.",I660,"Location Code",$L$7)</t>
  </si>
  <si>
    <t>=NL("Sum","Item Ledger Entry","Quantity","Entry Type","Transfer","Entry No.",I660,"Location Code",$L$7)</t>
  </si>
  <si>
    <t>=NL("Sum","Item Ledger Entry","Quantity","Entry Type","Consumption","Entry No.",I660,"Location Code",$L$7)</t>
  </si>
  <si>
    <t>=NL("Sum","Item Ledger Entry","Quantity","Entry Type","Output","Entry No.",I660,"Location Code",$L$7)</t>
  </si>
  <si>
    <t>=D663</t>
  </si>
  <si>
    <t>=NF($G664,"Posting Date")</t>
  </si>
  <si>
    <t>=NF($G664,"Entry No.")</t>
  </si>
  <si>
    <t>=NF(G664,"Source Type")</t>
  </si>
  <si>
    <t>=NF($G664,"Source No.")</t>
  </si>
  <si>
    <t>=IF($J664="Customer",NL("first",$J664,"Name","No.","@@"&amp;$K664),"")</t>
  </si>
  <si>
    <t>=IF(J664="vendor",NL("first",J664,"Name","No.","@@"&amp;K664),"")</t>
  </si>
  <si>
    <t>=IF($J664="Item",NL("first",$J664,"Description","No.","@@"&amp;$K664),"")</t>
  </si>
  <si>
    <t>=NL("Sum","Item Ledger Entry","Quantity","Entry Type","Purchase","Entry No.",I664,"Location Code",$L$7)</t>
  </si>
  <si>
    <t>=NL("Sum","Item Ledger Entry","Quantity","Entry Type","Sale","Entry No.",I664,"Location Code",$L$7)</t>
  </si>
  <si>
    <t>=NL("Sum","Item Ledger Entry","Quantity","Entry Type","Positive Adjmt.|Negative Adjmt.","Entry No.",I664,"Location Code",$L$7)</t>
  </si>
  <si>
    <t>=NL("Sum","Item Ledger Entry","Quantity","Entry Type","Transfer","Entry No.",I664,"Location Code",$L$7)</t>
  </si>
  <si>
    <t>=NL("Sum","Item Ledger Entry","Quantity","Entry Type","Consumption","Entry No.",I664,"Location Code",$L$7)</t>
  </si>
  <si>
    <t>=NL("Sum","Item Ledger Entry","Quantity","Entry Type","Output","Entry No.",I664,"Location Code",$L$7)</t>
  </si>
  <si>
    <t>=D664</t>
  </si>
  <si>
    <t>=NF($G665,"Posting Date")</t>
  </si>
  <si>
    <t>=NF($G665,"Entry No.")</t>
  </si>
  <si>
    <t>=NF(G665,"Source Type")</t>
  </si>
  <si>
    <t>=NF($G665,"Source No.")</t>
  </si>
  <si>
    <t>=IF($J665="Customer",NL("first",$J665,"Name","No.","@@"&amp;$K665),"")</t>
  </si>
  <si>
    <t>=IF(J665="vendor",NL("first",J665,"Name","No.","@@"&amp;K665),"")</t>
  </si>
  <si>
    <t>=IF($J665="Item",NL("first",$J665,"Description","No.","@@"&amp;$K665),"")</t>
  </si>
  <si>
    <t>=NL("Sum","Item Ledger Entry","Quantity","Entry Type","Purchase","Entry No.",I665,"Location Code",$L$7)</t>
  </si>
  <si>
    <t>=NL("Sum","Item Ledger Entry","Quantity","Entry Type","Sale","Entry No.",I665,"Location Code",$L$7)</t>
  </si>
  <si>
    <t>=NL("Sum","Item Ledger Entry","Quantity","Entry Type","Positive Adjmt.|Negative Adjmt.","Entry No.",I665,"Location Code",$L$7)</t>
  </si>
  <si>
    <t>=NL("Sum","Item Ledger Entry","Quantity","Entry Type","Transfer","Entry No.",I665,"Location Code",$L$7)</t>
  </si>
  <si>
    <t>=NL("Sum","Item Ledger Entry","Quantity","Entry Type","Consumption","Entry No.",I665,"Location Code",$L$7)</t>
  </si>
  <si>
    <t>=NL("Sum","Item Ledger Entry","Quantity","Entry Type","Output","Entry No.",I665,"Location Code",$L$7)</t>
  </si>
  <si>
    <t>=D665</t>
  </si>
  <si>
    <t>=NF($G666,"Posting Date")</t>
  </si>
  <si>
    <t>=NF($G666,"Entry No.")</t>
  </si>
  <si>
    <t>=NF(G666,"Source Type")</t>
  </si>
  <si>
    <t>=NF($G666,"Source No.")</t>
  </si>
  <si>
    <t>=IF($J666="Customer",NL("first",$J666,"Name","No.","@@"&amp;$K666),"")</t>
  </si>
  <si>
    <t>=IF(J666="vendor",NL("first",J666,"Name","No.","@@"&amp;K666),"")</t>
  </si>
  <si>
    <t>=IF($J666="Item",NL("first",$J666,"Description","No.","@@"&amp;$K666),"")</t>
  </si>
  <si>
    <t>=NL("Sum","Item Ledger Entry","Quantity","Entry Type","Purchase","Entry No.",I666,"Location Code",$L$7)</t>
  </si>
  <si>
    <t>=NL("Sum","Item Ledger Entry","Quantity","Entry Type","Sale","Entry No.",I666,"Location Code",$L$7)</t>
  </si>
  <si>
    <t>=NL("Sum","Item Ledger Entry","Quantity","Entry Type","Positive Adjmt.|Negative Adjmt.","Entry No.",I666,"Location Code",$L$7)</t>
  </si>
  <si>
    <t>=NL("Sum","Item Ledger Entry","Quantity","Entry Type","Transfer","Entry No.",I666,"Location Code",$L$7)</t>
  </si>
  <si>
    <t>=NL("Sum","Item Ledger Entry","Quantity","Entry Type","Consumption","Entry No.",I666,"Location Code",$L$7)</t>
  </si>
  <si>
    <t>=NL("Sum","Item Ledger Entry","Quantity","Entry Type","Output","Entry No.",I666,"Location Code",$L$7)</t>
  </si>
  <si>
    <t>=D666</t>
  </si>
  <si>
    <t>=NF($G667,"Posting Date")</t>
  </si>
  <si>
    <t>=NF($G667,"Entry No.")</t>
  </si>
  <si>
    <t>=NF(G667,"Source Type")</t>
  </si>
  <si>
    <t>=NF($G667,"Source No.")</t>
  </si>
  <si>
    <t>=IF($J667="Customer",NL("first",$J667,"Name","No.","@@"&amp;$K667),"")</t>
  </si>
  <si>
    <t>=IF(J667="vendor",NL("first",J667,"Name","No.","@@"&amp;K667),"")</t>
  </si>
  <si>
    <t>=IF($J667="Item",NL("first",$J667,"Description","No.","@@"&amp;$K667),"")</t>
  </si>
  <si>
    <t>=NL("Sum","Item Ledger Entry","Quantity","Entry Type","Purchase","Entry No.",I667,"Location Code",$L$7)</t>
  </si>
  <si>
    <t>=NL("Sum","Item Ledger Entry","Quantity","Entry Type","Sale","Entry No.",I667,"Location Code",$L$7)</t>
  </si>
  <si>
    <t>=NL("Sum","Item Ledger Entry","Quantity","Entry Type","Positive Adjmt.|Negative Adjmt.","Entry No.",I667,"Location Code",$L$7)</t>
  </si>
  <si>
    <t>=NL("Sum","Item Ledger Entry","Quantity","Entry Type","Transfer","Entry No.",I667,"Location Code",$L$7)</t>
  </si>
  <si>
    <t>=NL("Sum","Item Ledger Entry","Quantity","Entry Type","Consumption","Entry No.",I667,"Location Code",$L$7)</t>
  </si>
  <si>
    <t>=NL("Sum","Item Ledger Entry","Quantity","Entry Type","Output","Entry No.",I667,"Location Code",$L$7)</t>
  </si>
  <si>
    <t>=D667</t>
  </si>
  <si>
    <t>=NF($G668,"Posting Date")</t>
  </si>
  <si>
    <t>=NF($G668,"Entry No.")</t>
  </si>
  <si>
    <t>=NF(G668,"Source Type")</t>
  </si>
  <si>
    <t>=NF($G668,"Source No.")</t>
  </si>
  <si>
    <t>=IF($J668="Customer",NL("first",$J668,"Name","No.","@@"&amp;$K668),"")</t>
  </si>
  <si>
    <t>=IF(J668="vendor",NL("first",J668,"Name","No.","@@"&amp;K668),"")</t>
  </si>
  <si>
    <t>=IF($J668="Item",NL("first",$J668,"Description","No.","@@"&amp;$K668),"")</t>
  </si>
  <si>
    <t>=NL("Sum","Item Ledger Entry","Quantity","Entry Type","Purchase","Entry No.",I668,"Location Code",$L$7)</t>
  </si>
  <si>
    <t>=NL("Sum","Item Ledger Entry","Quantity","Entry Type","Sale","Entry No.",I668,"Location Code",$L$7)</t>
  </si>
  <si>
    <t>=NL("Sum","Item Ledger Entry","Quantity","Entry Type","Positive Adjmt.|Negative Adjmt.","Entry No.",I668,"Location Code",$L$7)</t>
  </si>
  <si>
    <t>=NL("Sum","Item Ledger Entry","Quantity","Entry Type","Transfer","Entry No.",I668,"Location Code",$L$7)</t>
  </si>
  <si>
    <t>=NL("Sum","Item Ledger Entry","Quantity","Entry Type","Consumption","Entry No.",I668,"Location Code",$L$7)</t>
  </si>
  <si>
    <t>=NL("Sum","Item Ledger Entry","Quantity","Entry Type","Output","Entry No.",I668,"Location Code",$L$7)</t>
  </si>
  <si>
    <t>="E100016"</t>
  </si>
  <si>
    <t>=D671</t>
  </si>
  <si>
    <t>=NF($G672,"Posting Date")</t>
  </si>
  <si>
    <t>=NF($G672,"Entry No.")</t>
  </si>
  <si>
    <t>=NF(G672,"Source Type")</t>
  </si>
  <si>
    <t>=NF($G672,"Source No.")</t>
  </si>
  <si>
    <t>=IF($J672="Customer",NL("first",$J672,"Name","No.","@@"&amp;$K672),"")</t>
  </si>
  <si>
    <t>=IF(J672="vendor",NL("first",J672,"Name","No.","@@"&amp;K672),"")</t>
  </si>
  <si>
    <t>=IF($J672="Item",NL("first",$J672,"Description","No.","@@"&amp;$K672),"")</t>
  </si>
  <si>
    <t>=D672</t>
  </si>
  <si>
    <t>=NF($G673,"Posting Date")</t>
  </si>
  <si>
    <t>=NF($G673,"Entry No.")</t>
  </si>
  <si>
    <t>=NF(G673,"Source Type")</t>
  </si>
  <si>
    <t>=NF($G673,"Source No.")</t>
  </si>
  <si>
    <t>=IF($J673="Customer",NL("first",$J673,"Name","No.","@@"&amp;$K673),"")</t>
  </si>
  <si>
    <t>=IF(J673="vendor",NL("first",J673,"Name","No.","@@"&amp;K673),"")</t>
  </si>
  <si>
    <t>=IF($J673="Item",NL("first",$J673,"Description","No.","@@"&amp;$K673),"")</t>
  </si>
  <si>
    <t>=NL("Sum","Item Ledger Entry","Quantity","Entry Type","Purchase","Entry No.",I673,"Location Code",$L$7)</t>
  </si>
  <si>
    <t>=NL("Sum","Item Ledger Entry","Quantity","Entry Type","Sale","Entry No.",I673,"Location Code",$L$7)</t>
  </si>
  <si>
    <t>=NL("Sum","Item Ledger Entry","Quantity","Entry Type","Positive Adjmt.|Negative Adjmt.","Entry No.",I673,"Location Code",$L$7)</t>
  </si>
  <si>
    <t>=NL("Sum","Item Ledger Entry","Quantity","Entry Type","Transfer","Entry No.",I673,"Location Code",$L$7)</t>
  </si>
  <si>
    <t>=NL("Sum","Item Ledger Entry","Quantity","Entry Type","Consumption","Entry No.",I673,"Location Code",$L$7)</t>
  </si>
  <si>
    <t>=NL("Sum","Item Ledger Entry","Quantity","Entry Type","Output","Entry No.",I673,"Location Code",$L$7)</t>
  </si>
  <si>
    <t>=D676</t>
  </si>
  <si>
    <t>=NF($G677,"Posting Date")</t>
  </si>
  <si>
    <t>=NF($G677,"Entry No.")</t>
  </si>
  <si>
    <t>=NF(G677,"Source Type")</t>
  </si>
  <si>
    <t>=NF($G677,"Source No.")</t>
  </si>
  <si>
    <t>=IF($J677="Customer",NL("first",$J677,"Name","No.","@@"&amp;$K677),"")</t>
  </si>
  <si>
    <t>=IF(J677="vendor",NL("first",J677,"Name","No.","@@"&amp;K677),"")</t>
  </si>
  <si>
    <t>=IF($J677="Item",NL("first",$J677,"Description","No.","@@"&amp;$K677),"")</t>
  </si>
  <si>
    <t>=NL("Sum","Item Ledger Entry","Quantity","Entry Type","Purchase","Entry No.",I677,"Location Code",$L$7)</t>
  </si>
  <si>
    <t>=NL("Sum","Item Ledger Entry","Quantity","Entry Type","Sale","Entry No.",I677,"Location Code",$L$7)</t>
  </si>
  <si>
    <t>=NL("Sum","Item Ledger Entry","Quantity","Entry Type","Positive Adjmt.|Negative Adjmt.","Entry No.",I677,"Location Code",$L$7)</t>
  </si>
  <si>
    <t>=NL("Sum","Item Ledger Entry","Quantity","Entry Type","Transfer","Entry No.",I677,"Location Code",$L$7)</t>
  </si>
  <si>
    <t>=NL("Sum","Item Ledger Entry","Quantity","Entry Type","Consumption","Entry No.",I677,"Location Code",$L$7)</t>
  </si>
  <si>
    <t>=NL("Sum","Item Ledger Entry","Quantity","Entry Type","Output","Entry No.",I677,"Location Code",$L$7)</t>
  </si>
  <si>
    <t>=D677</t>
  </si>
  <si>
    <t>=NF($G678,"Posting Date")</t>
  </si>
  <si>
    <t>=NF($G678,"Entry No.")</t>
  </si>
  <si>
    <t>=NF(G678,"Source Type")</t>
  </si>
  <si>
    <t>=NF($G678,"Source No.")</t>
  </si>
  <si>
    <t>=IF($J678="Customer",NL("first",$J678,"Name","No.","@@"&amp;$K678),"")</t>
  </si>
  <si>
    <t>=IF(J678="vendor",NL("first",J678,"Name","No.","@@"&amp;K678),"")</t>
  </si>
  <si>
    <t>=IF($J678="Item",NL("first",$J678,"Description","No.","@@"&amp;$K678),"")</t>
  </si>
  <si>
    <t>=NL("Sum","Item Ledger Entry","Quantity","Entry Type","Purchase","Entry No.",I678,"Location Code",$L$7)</t>
  </si>
  <si>
    <t>=NL("Sum","Item Ledger Entry","Quantity","Entry Type","Sale","Entry No.",I678,"Location Code",$L$7)</t>
  </si>
  <si>
    <t>=NL("Sum","Item Ledger Entry","Quantity","Entry Type","Positive Adjmt.|Negative Adjmt.","Entry No.",I678,"Location Code",$L$7)</t>
  </si>
  <si>
    <t>=NL("Sum","Item Ledger Entry","Quantity","Entry Type","Transfer","Entry No.",I678,"Location Code",$L$7)</t>
  </si>
  <si>
    <t>=NL("Sum","Item Ledger Entry","Quantity","Entry Type","Consumption","Entry No.",I678,"Location Code",$L$7)</t>
  </si>
  <si>
    <t>=NL("Sum","Item Ledger Entry","Quantity","Entry Type","Output","Entry No.",I678,"Location Code",$L$7)</t>
  </si>
  <si>
    <t>=D678</t>
  </si>
  <si>
    <t>=NF($G679,"Posting Date")</t>
  </si>
  <si>
    <t>=NF($G679,"Entry No.")</t>
  </si>
  <si>
    <t>=NF(G679,"Source Type")</t>
  </si>
  <si>
    <t>=NF($G679,"Source No.")</t>
  </si>
  <si>
    <t>=IF($J679="Customer",NL("first",$J679,"Name","No.","@@"&amp;$K679),"")</t>
  </si>
  <si>
    <t>=IF(J679="vendor",NL("first",J679,"Name","No.","@@"&amp;K679),"")</t>
  </si>
  <si>
    <t>=IF($J679="Item",NL("first",$J679,"Description","No.","@@"&amp;$K679),"")</t>
  </si>
  <si>
    <t>=NL("Sum","Item Ledger Entry","Quantity","Entry Type","Purchase","Entry No.",I679,"Location Code",$L$7)</t>
  </si>
  <si>
    <t>=NL("Sum","Item Ledger Entry","Quantity","Entry Type","Sale","Entry No.",I679,"Location Code",$L$7)</t>
  </si>
  <si>
    <t>=NL("Sum","Item Ledger Entry","Quantity","Entry Type","Positive Adjmt.|Negative Adjmt.","Entry No.",I679,"Location Code",$L$7)</t>
  </si>
  <si>
    <t>=NL("Sum","Item Ledger Entry","Quantity","Entry Type","Transfer","Entry No.",I679,"Location Code",$L$7)</t>
  </si>
  <si>
    <t>=NL("Sum","Item Ledger Entry","Quantity","Entry Type","Consumption","Entry No.",I679,"Location Code",$L$7)</t>
  </si>
  <si>
    <t>=NL("Sum","Item Ledger Entry","Quantity","Entry Type","Output","Entry No.",I679,"Location Code",$L$7)</t>
  </si>
  <si>
    <t>="E100017"</t>
  </si>
  <si>
    <t>=D683</t>
  </si>
  <si>
    <t>=NF($G684,"Posting Date")</t>
  </si>
  <si>
    <t>=NF($G684,"Entry No.")</t>
  </si>
  <si>
    <t>=NF(G684,"Source Type")</t>
  </si>
  <si>
    <t>=NF($G684,"Source No.")</t>
  </si>
  <si>
    <t>=IF($J684="Customer",NL("first",$J684,"Name","No.","@@"&amp;$K684),"")</t>
  </si>
  <si>
    <t>=IF(J684="vendor",NL("first",J684,"Name","No.","@@"&amp;K684),"")</t>
  </si>
  <si>
    <t>=IF($J684="Item",NL("first",$J684,"Description","No.","@@"&amp;$K684),"")</t>
  </si>
  <si>
    <t>=NL("Sum","Item Ledger Entry","Quantity","Entry Type","Purchase","Entry No.",I684,"Location Code",$L$7)</t>
  </si>
  <si>
    <t>=NL("Sum","Item Ledger Entry","Quantity","Entry Type","Sale","Entry No.",I684,"Location Code",$L$7)</t>
  </si>
  <si>
    <t>=NL("Sum","Item Ledger Entry","Quantity","Entry Type","Positive Adjmt.|Negative Adjmt.","Entry No.",I684,"Location Code",$L$7)</t>
  </si>
  <si>
    <t>=NL("Sum","Item Ledger Entry","Quantity","Entry Type","Transfer","Entry No.",I684,"Location Code",$L$7)</t>
  </si>
  <si>
    <t>=NL("Sum","Item Ledger Entry","Quantity","Entry Type","Consumption","Entry No.",I684,"Location Code",$L$7)</t>
  </si>
  <si>
    <t>=NL("Sum","Item Ledger Entry","Quantity","Entry Type","Output","Entry No.",I684,"Location Code",$L$7)</t>
  </si>
  <si>
    <t>=D684</t>
  </si>
  <si>
    <t>=NF($G685,"Posting Date")</t>
  </si>
  <si>
    <t>=NF($G685,"Entry No.")</t>
  </si>
  <si>
    <t>=NF(G685,"Source Type")</t>
  </si>
  <si>
    <t>=NF($G685,"Source No.")</t>
  </si>
  <si>
    <t>=IF($J685="Customer",NL("first",$J685,"Name","No.","@@"&amp;$K685),"")</t>
  </si>
  <si>
    <t>=IF(J685="vendor",NL("first",J685,"Name","No.","@@"&amp;K685),"")</t>
  </si>
  <si>
    <t>=IF($J685="Item",NL("first",$J685,"Description","No.","@@"&amp;$K685),"")</t>
  </si>
  <si>
    <t>=NL("Sum","Item Ledger Entry","Quantity","Entry Type","Purchase","Entry No.",I685,"Location Code",$L$7)</t>
  </si>
  <si>
    <t>=NL("Sum","Item Ledger Entry","Quantity","Entry Type","Sale","Entry No.",I685,"Location Code",$L$7)</t>
  </si>
  <si>
    <t>=NL("Sum","Item Ledger Entry","Quantity","Entry Type","Positive Adjmt.|Negative Adjmt.","Entry No.",I685,"Location Code",$L$7)</t>
  </si>
  <si>
    <t>=NL("Sum","Item Ledger Entry","Quantity","Entry Type","Transfer","Entry No.",I685,"Location Code",$L$7)</t>
  </si>
  <si>
    <t>=NL("Sum","Item Ledger Entry","Quantity","Entry Type","Consumption","Entry No.",I685,"Location Code",$L$7)</t>
  </si>
  <si>
    <t>=NL("Sum","Item Ledger Entry","Quantity","Entry Type","Output","Entry No.",I685,"Location Code",$L$7)</t>
  </si>
  <si>
    <t>=D685</t>
  </si>
  <si>
    <t>=NF($G686,"Posting Date")</t>
  </si>
  <si>
    <t>=NF($G686,"Entry No.")</t>
  </si>
  <si>
    <t>=NF(G686,"Source Type")</t>
  </si>
  <si>
    <t>=NF($G686,"Source No.")</t>
  </si>
  <si>
    <t>=IF($J686="Customer",NL("first",$J686,"Name","No.","@@"&amp;$K686),"")</t>
  </si>
  <si>
    <t>=IF(J686="vendor",NL("first",J686,"Name","No.","@@"&amp;K686),"")</t>
  </si>
  <si>
    <t>=IF($J686="Item",NL("first",$J686,"Description","No.","@@"&amp;$K686),"")</t>
  </si>
  <si>
    <t>=NL("Sum","Item Ledger Entry","Quantity","Entry Type","Purchase","Entry No.",I686,"Location Code",$L$7)</t>
  </si>
  <si>
    <t>=NL("Sum","Item Ledger Entry","Quantity","Entry Type","Sale","Entry No.",I686,"Location Code",$L$7)</t>
  </si>
  <si>
    <t>=NL("Sum","Item Ledger Entry","Quantity","Entry Type","Positive Adjmt.|Negative Adjmt.","Entry No.",I686,"Location Code",$L$7)</t>
  </si>
  <si>
    <t>=NL("Sum","Item Ledger Entry","Quantity","Entry Type","Transfer","Entry No.",I686,"Location Code",$L$7)</t>
  </si>
  <si>
    <t>=NL("Sum","Item Ledger Entry","Quantity","Entry Type","Consumption","Entry No.",I686,"Location Code",$L$7)</t>
  </si>
  <si>
    <t>=NL("Sum","Item Ledger Entry","Quantity","Entry Type","Output","Entry No.",I686,"Location Code",$L$7)</t>
  </si>
  <si>
    <t>=D686</t>
  </si>
  <si>
    <t>=NF($G687,"Posting Date")</t>
  </si>
  <si>
    <t>=NF($G687,"Entry No.")</t>
  </si>
  <si>
    <t>=NF(G687,"Source Type")</t>
  </si>
  <si>
    <t>=NF($G687,"Source No.")</t>
  </si>
  <si>
    <t>=IF($J687="Customer",NL("first",$J687,"Name","No.","@@"&amp;$K687),"")</t>
  </si>
  <si>
    <t>=IF(J687="vendor",NL("first",J687,"Name","No.","@@"&amp;K687),"")</t>
  </si>
  <si>
    <t>=IF($J687="Item",NL("first",$J687,"Description","No.","@@"&amp;$K687),"")</t>
  </si>
  <si>
    <t>=NL("Sum","Item Ledger Entry","Quantity","Entry Type","Purchase","Entry No.",I687,"Location Code",$L$7)</t>
  </si>
  <si>
    <t>=NL("Sum","Item Ledger Entry","Quantity","Entry Type","Sale","Entry No.",I687,"Location Code",$L$7)</t>
  </si>
  <si>
    <t>=NL("Sum","Item Ledger Entry","Quantity","Entry Type","Positive Adjmt.|Negative Adjmt.","Entry No.",I687,"Location Code",$L$7)</t>
  </si>
  <si>
    <t>=NL("Sum","Item Ledger Entry","Quantity","Entry Type","Transfer","Entry No.",I687,"Location Code",$L$7)</t>
  </si>
  <si>
    <t>=NL("Sum","Item Ledger Entry","Quantity","Entry Type","Consumption","Entry No.",I687,"Location Code",$L$7)</t>
  </si>
  <si>
    <t>=NL("Sum","Item Ledger Entry","Quantity","Entry Type","Output","Entry No.",I687,"Location Code",$L$7)</t>
  </si>
  <si>
    <t>=D687</t>
  </si>
  <si>
    <t>=NF($G688,"Posting Date")</t>
  </si>
  <si>
    <t>=NF($G688,"Entry No.")</t>
  </si>
  <si>
    <t>=NF(G688,"Source Type")</t>
  </si>
  <si>
    <t>=NF($G688,"Source No.")</t>
  </si>
  <si>
    <t>=IF($J688="Customer",NL("first",$J688,"Name","No.","@@"&amp;$K688),"")</t>
  </si>
  <si>
    <t>=IF(J688="vendor",NL("first",J688,"Name","No.","@@"&amp;K688),"")</t>
  </si>
  <si>
    <t>=IF($J688="Item",NL("first",$J688,"Description","No.","@@"&amp;$K688),"")</t>
  </si>
  <si>
    <t>=NL("Sum","Item Ledger Entry","Quantity","Entry Type","Purchase","Entry No.",I688,"Location Code",$L$7)</t>
  </si>
  <si>
    <t>=NL("Sum","Item Ledger Entry","Quantity","Entry Type","Sale","Entry No.",I688,"Location Code",$L$7)</t>
  </si>
  <si>
    <t>=NL("Sum","Item Ledger Entry","Quantity","Entry Type","Positive Adjmt.|Negative Adjmt.","Entry No.",I688,"Location Code",$L$7)</t>
  </si>
  <si>
    <t>=NL("Sum","Item Ledger Entry","Quantity","Entry Type","Transfer","Entry No.",I688,"Location Code",$L$7)</t>
  </si>
  <si>
    <t>=NL("Sum","Item Ledger Entry","Quantity","Entry Type","Consumption","Entry No.",I688,"Location Code",$L$7)</t>
  </si>
  <si>
    <t>=NL("Sum","Item Ledger Entry","Quantity","Entry Type","Output","Entry No.",I688,"Location Code",$L$7)</t>
  </si>
  <si>
    <t>=D688</t>
  </si>
  <si>
    <t>=NF($G689,"Posting Date")</t>
  </si>
  <si>
    <t>=NF($G689,"Entry No.")</t>
  </si>
  <si>
    <t>=NF(G689,"Source Type")</t>
  </si>
  <si>
    <t>=NF($G689,"Source No.")</t>
  </si>
  <si>
    <t>=IF($J689="Customer",NL("first",$J689,"Name","No.","@@"&amp;$K689),"")</t>
  </si>
  <si>
    <t>=IF(J689="vendor",NL("first",J689,"Name","No.","@@"&amp;K689),"")</t>
  </si>
  <si>
    <t>=IF($J689="Item",NL("first",$J689,"Description","No.","@@"&amp;$K689),"")</t>
  </si>
  <si>
    <t>=NL("Sum","Item Ledger Entry","Quantity","Entry Type","Purchase","Entry No.",I689,"Location Code",$L$7)</t>
  </si>
  <si>
    <t>=NL("Sum","Item Ledger Entry","Quantity","Entry Type","Sale","Entry No.",I689,"Location Code",$L$7)</t>
  </si>
  <si>
    <t>=NL("Sum","Item Ledger Entry","Quantity","Entry Type","Positive Adjmt.|Negative Adjmt.","Entry No.",I689,"Location Code",$L$7)</t>
  </si>
  <si>
    <t>=NL("Sum","Item Ledger Entry","Quantity","Entry Type","Transfer","Entry No.",I689,"Location Code",$L$7)</t>
  </si>
  <si>
    <t>=NL("Sum","Item Ledger Entry","Quantity","Entry Type","Consumption","Entry No.",I689,"Location Code",$L$7)</t>
  </si>
  <si>
    <t>=NL("Sum","Item Ledger Entry","Quantity","Entry Type","Output","Entry No.",I689,"Location Code",$L$7)</t>
  </si>
  <si>
    <t>=D689</t>
  </si>
  <si>
    <t>=NF($G690,"Posting Date")</t>
  </si>
  <si>
    <t>=NF($G690,"Entry No.")</t>
  </si>
  <si>
    <t>=NF(G690,"Source Type")</t>
  </si>
  <si>
    <t>=NF($G690,"Source No.")</t>
  </si>
  <si>
    <t>=IF($J690="Customer",NL("first",$J690,"Name","No.","@@"&amp;$K690),"")</t>
  </si>
  <si>
    <t>=IF(J690="vendor",NL("first",J690,"Name","No.","@@"&amp;K690),"")</t>
  </si>
  <si>
    <t>=IF($J690="Item",NL("first",$J690,"Description","No.","@@"&amp;$K690),"")</t>
  </si>
  <si>
    <t>=NL("Sum","Item Ledger Entry","Quantity","Entry Type","Purchase","Entry No.",I690,"Location Code",$L$7)</t>
  </si>
  <si>
    <t>=NL("Sum","Item Ledger Entry","Quantity","Entry Type","Sale","Entry No.",I690,"Location Code",$L$7)</t>
  </si>
  <si>
    <t>=NL("Sum","Item Ledger Entry","Quantity","Entry Type","Positive Adjmt.|Negative Adjmt.","Entry No.",I690,"Location Code",$L$7)</t>
  </si>
  <si>
    <t>=NL("Sum","Item Ledger Entry","Quantity","Entry Type","Transfer","Entry No.",I690,"Location Code",$L$7)</t>
  </si>
  <si>
    <t>=NL("Sum","Item Ledger Entry","Quantity","Entry Type","Consumption","Entry No.",I690,"Location Code",$L$7)</t>
  </si>
  <si>
    <t>=NL("Sum","Item Ledger Entry","Quantity","Entry Type","Output","Entry No.",I690,"Location Code",$L$7)</t>
  </si>
  <si>
    <t>=D690</t>
  </si>
  <si>
    <t>=NF($G691,"Posting Date")</t>
  </si>
  <si>
    <t>=NF($G691,"Entry No.")</t>
  </si>
  <si>
    <t>=NF(G691,"Source Type")</t>
  </si>
  <si>
    <t>=NF($G691,"Source No.")</t>
  </si>
  <si>
    <t>=IF($J691="Customer",NL("first",$J691,"Name","No.","@@"&amp;$K691),"")</t>
  </si>
  <si>
    <t>=IF(J691="vendor",NL("first",J691,"Name","No.","@@"&amp;K691),"")</t>
  </si>
  <si>
    <t>=IF($J691="Item",NL("first",$J691,"Description","No.","@@"&amp;$K691),"")</t>
  </si>
  <si>
    <t>=NL("Sum","Item Ledger Entry","Quantity","Entry Type","Purchase","Entry No.",I691,"Location Code",$L$7)</t>
  </si>
  <si>
    <t>=NL("Sum","Item Ledger Entry","Quantity","Entry Type","Sale","Entry No.",I691,"Location Code",$L$7)</t>
  </si>
  <si>
    <t>=NL("Sum","Item Ledger Entry","Quantity","Entry Type","Positive Adjmt.|Negative Adjmt.","Entry No.",I691,"Location Code",$L$7)</t>
  </si>
  <si>
    <t>=NL("Sum","Item Ledger Entry","Quantity","Entry Type","Transfer","Entry No.",I691,"Location Code",$L$7)</t>
  </si>
  <si>
    <t>=NL("Sum","Item Ledger Entry","Quantity","Entry Type","Consumption","Entry No.",I691,"Location Code",$L$7)</t>
  </si>
  <si>
    <t>=NL("Sum","Item Ledger Entry","Quantity","Entry Type","Output","Entry No.",I691,"Location Code",$L$7)</t>
  </si>
  <si>
    <t>=D691</t>
  </si>
  <si>
    <t>=NF($G692,"Posting Date")</t>
  </si>
  <si>
    <t>=NF($G692,"Entry No.")</t>
  </si>
  <si>
    <t>=NF(G692,"Source Type")</t>
  </si>
  <si>
    <t>=NF($G692,"Source No.")</t>
  </si>
  <si>
    <t>=IF($J692="Customer",NL("first",$J692,"Name","No.","@@"&amp;$K692),"")</t>
  </si>
  <si>
    <t>=IF(J692="vendor",NL("first",J692,"Name","No.","@@"&amp;K692),"")</t>
  </si>
  <si>
    <t>=IF($J692="Item",NL("first",$J692,"Description","No.","@@"&amp;$K692),"")</t>
  </si>
  <si>
    <t>=D692</t>
  </si>
  <si>
    <t>=NF($G693,"Posting Date")</t>
  </si>
  <si>
    <t>=NF($G693,"Entry No.")</t>
  </si>
  <si>
    <t>=NF(G693,"Source Type")</t>
  </si>
  <si>
    <t>=NF($G693,"Source No.")</t>
  </si>
  <si>
    <t>=IF($J693="Customer",NL("first",$J693,"Name","No.","@@"&amp;$K693),"")</t>
  </si>
  <si>
    <t>=IF(J693="vendor",NL("first",J693,"Name","No.","@@"&amp;K693),"")</t>
  </si>
  <si>
    <t>=IF($J693="Item",NL("first",$J693,"Description","No.","@@"&amp;$K693),"")</t>
  </si>
  <si>
    <t>=D693</t>
  </si>
  <si>
    <t>=NF($G694,"Posting Date")</t>
  </si>
  <si>
    <t>=NF($G694,"Entry No.")</t>
  </si>
  <si>
    <t>=NF(G694,"Source Type")</t>
  </si>
  <si>
    <t>=NF($G694,"Source No.")</t>
  </si>
  <si>
    <t>=IF($J694="Customer",NL("first",$J694,"Name","No.","@@"&amp;$K694),"")</t>
  </si>
  <si>
    <t>=IF(J694="vendor",NL("first",J694,"Name","No.","@@"&amp;K694),"")</t>
  </si>
  <si>
    <t>=IF($J694="Item",NL("first",$J694,"Description","No.","@@"&amp;$K694),"")</t>
  </si>
  <si>
    <t>="E100018"</t>
  </si>
  <si>
    <t>=D700</t>
  </si>
  <si>
    <t>=NF($G701,"Posting Date")</t>
  </si>
  <si>
    <t>=NF($G701,"Entry No.")</t>
  </si>
  <si>
    <t>=NF(G701,"Source Type")</t>
  </si>
  <si>
    <t>=NF($G701,"Source No.")</t>
  </si>
  <si>
    <t>=IF($J701="Customer",NL("first",$J701,"Name","No.","@@"&amp;$K701),"")</t>
  </si>
  <si>
    <t>=IF(J701="vendor",NL("first",J701,"Name","No.","@@"&amp;K701),"")</t>
  </si>
  <si>
    <t>=IF($J701="Item",NL("first",$J701,"Description","No.","@@"&amp;$K701),"")</t>
  </si>
  <si>
    <t>=NL("Sum","Item Ledger Entry","Quantity","Entry Type","Purchase","Entry No.",I701,"Location Code",$L$7)</t>
  </si>
  <si>
    <t>=NL("Sum","Item Ledger Entry","Quantity","Entry Type","Sale","Entry No.",I701,"Location Code",$L$7)</t>
  </si>
  <si>
    <t>=NL("Sum","Item Ledger Entry","Quantity","Entry Type","Positive Adjmt.|Negative Adjmt.","Entry No.",I701,"Location Code",$L$7)</t>
  </si>
  <si>
    <t>=NL("Sum","Item Ledger Entry","Quantity","Entry Type","Transfer","Entry No.",I701,"Location Code",$L$7)</t>
  </si>
  <si>
    <t>=NL("Sum","Item Ledger Entry","Quantity","Entry Type","Consumption","Entry No.",I701,"Location Code",$L$7)</t>
  </si>
  <si>
    <t>=NL("Sum","Item Ledger Entry","Quantity","Entry Type","Output","Entry No.",I701,"Location Code",$L$7)</t>
  </si>
  <si>
    <t>=D701</t>
  </si>
  <si>
    <t>=NF($G702,"Posting Date")</t>
  </si>
  <si>
    <t>=NF($G702,"Entry No.")</t>
  </si>
  <si>
    <t>=NF(G702,"Source Type")</t>
  </si>
  <si>
    <t>=NF($G702,"Source No.")</t>
  </si>
  <si>
    <t>=IF($J702="Customer",NL("first",$J702,"Name","No.","@@"&amp;$K702),"")</t>
  </si>
  <si>
    <t>=IF(J702="vendor",NL("first",J702,"Name","No.","@@"&amp;K702),"")</t>
  </si>
  <si>
    <t>=IF($J702="Item",NL("first",$J702,"Description","No.","@@"&amp;$K702),"")</t>
  </si>
  <si>
    <t>=NL("Sum","Item Ledger Entry","Quantity","Entry Type","Purchase","Entry No.",I702,"Location Code",$L$7)</t>
  </si>
  <si>
    <t>=NL("Sum","Item Ledger Entry","Quantity","Entry Type","Sale","Entry No.",I702,"Location Code",$L$7)</t>
  </si>
  <si>
    <t>=NL("Sum","Item Ledger Entry","Quantity","Entry Type","Positive Adjmt.|Negative Adjmt.","Entry No.",I702,"Location Code",$L$7)</t>
  </si>
  <si>
    <t>=NL("Sum","Item Ledger Entry","Quantity","Entry Type","Transfer","Entry No.",I702,"Location Code",$L$7)</t>
  </si>
  <si>
    <t>=NL("Sum","Item Ledger Entry","Quantity","Entry Type","Consumption","Entry No.",I702,"Location Code",$L$7)</t>
  </si>
  <si>
    <t>=NL("Sum","Item Ledger Entry","Quantity","Entry Type","Output","Entry No.",I702,"Location Code",$L$7)</t>
  </si>
  <si>
    <t>=D702</t>
  </si>
  <si>
    <t>=NF($G703,"Posting Date")</t>
  </si>
  <si>
    <t>=NF($G703,"Entry No.")</t>
  </si>
  <si>
    <t>=NF(G703,"Source Type")</t>
  </si>
  <si>
    <t>=NF($G703,"Source No.")</t>
  </si>
  <si>
    <t>=IF($J703="Customer",NL("first",$J703,"Name","No.","@@"&amp;$K703),"")</t>
  </si>
  <si>
    <t>=IF(J703="vendor",NL("first",J703,"Name","No.","@@"&amp;K703),"")</t>
  </si>
  <si>
    <t>=IF($J703="Item",NL("first",$J703,"Description","No.","@@"&amp;$K703),"")</t>
  </si>
  <si>
    <t>=D703</t>
  </si>
  <si>
    <t>=NF($G704,"Posting Date")</t>
  </si>
  <si>
    <t>=NF($G704,"Entry No.")</t>
  </si>
  <si>
    <t>=NF(G704,"Source Type")</t>
  </si>
  <si>
    <t>=NF($G704,"Source No.")</t>
  </si>
  <si>
    <t>=IF($J704="Customer",NL("first",$J704,"Name","No.","@@"&amp;$K704),"")</t>
  </si>
  <si>
    <t>=IF(J704="vendor",NL("first",J704,"Name","No.","@@"&amp;K704),"")</t>
  </si>
  <si>
    <t>=IF($J704="Item",NL("first",$J704,"Description","No.","@@"&amp;$K704),"")</t>
  </si>
  <si>
    <t>=D704</t>
  </si>
  <si>
    <t>=NF($G705,"Posting Date")</t>
  </si>
  <si>
    <t>=NF($G705,"Entry No.")</t>
  </si>
  <si>
    <t>=NF(G705,"Source Type")</t>
  </si>
  <si>
    <t>=NF($G705,"Source No.")</t>
  </si>
  <si>
    <t>=IF($J705="Customer",NL("first",$J705,"Name","No.","@@"&amp;$K705),"")</t>
  </si>
  <si>
    <t>=IF(J705="vendor",NL("first",J705,"Name","No.","@@"&amp;K705),"")</t>
  </si>
  <si>
    <t>=IF($J705="Item",NL("first",$J705,"Description","No.","@@"&amp;$K705),"")</t>
  </si>
  <si>
    <t>=D705</t>
  </si>
  <si>
    <t>=NF($G706,"Posting Date")</t>
  </si>
  <si>
    <t>=NF($G706,"Entry No.")</t>
  </si>
  <si>
    <t>=NF(G706,"Source Type")</t>
  </si>
  <si>
    <t>=NF($G706,"Source No.")</t>
  </si>
  <si>
    <t>=IF($J706="Customer",NL("first",$J706,"Name","No.","@@"&amp;$K706),"")</t>
  </si>
  <si>
    <t>=IF(J706="vendor",NL("first",J706,"Name","No.","@@"&amp;K706),"")</t>
  </si>
  <si>
    <t>=IF($J706="Item",NL("first",$J706,"Description","No.","@@"&amp;$K706),"")</t>
  </si>
  <si>
    <t>=NL("Sum","Item Ledger Entry","Quantity","Entry Type","Purchase","Entry No.",I706,"Location Code",$L$7)</t>
  </si>
  <si>
    <t>=NL("Sum","Item Ledger Entry","Quantity","Entry Type","Sale","Entry No.",I706,"Location Code",$L$7)</t>
  </si>
  <si>
    <t>=NL("Sum","Item Ledger Entry","Quantity","Entry Type","Positive Adjmt.|Negative Adjmt.","Entry No.",I706,"Location Code",$L$7)</t>
  </si>
  <si>
    <t>=NL("Sum","Item Ledger Entry","Quantity","Entry Type","Transfer","Entry No.",I706,"Location Code",$L$7)</t>
  </si>
  <si>
    <t>=NL("Sum","Item Ledger Entry","Quantity","Entry Type","Consumption","Entry No.",I706,"Location Code",$L$7)</t>
  </si>
  <si>
    <t>=NL("Sum","Item Ledger Entry","Quantity","Entry Type","Output","Entry No.",I706,"Location Code",$L$7)</t>
  </si>
  <si>
    <t>=D709</t>
  </si>
  <si>
    <t>=NF($G710,"Posting Date")</t>
  </si>
  <si>
    <t>=NF($G710,"Entry No.")</t>
  </si>
  <si>
    <t>=NF(G710,"Source Type")</t>
  </si>
  <si>
    <t>=NF($G710,"Source No.")</t>
  </si>
  <si>
    <t>=IF($J710="Customer",NL("first",$J710,"Name","No.","@@"&amp;$K710),"")</t>
  </si>
  <si>
    <t>=IF(J710="vendor",NL("first",J710,"Name","No.","@@"&amp;K710),"")</t>
  </si>
  <si>
    <t>=IF($J710="Item",NL("first",$J710,"Description","No.","@@"&amp;$K710),"")</t>
  </si>
  <si>
    <t>=NL("Sum","Item Ledger Entry","Quantity","Entry Type","Purchase","Entry No.",I710,"Location Code",$L$7)</t>
  </si>
  <si>
    <t>=NL("Sum","Item Ledger Entry","Quantity","Entry Type","Sale","Entry No.",I710,"Location Code",$L$7)</t>
  </si>
  <si>
    <t>=NL("Sum","Item Ledger Entry","Quantity","Entry Type","Positive Adjmt.|Negative Adjmt.","Entry No.",I710,"Location Code",$L$7)</t>
  </si>
  <si>
    <t>=NL("Sum","Item Ledger Entry","Quantity","Entry Type","Transfer","Entry No.",I710,"Location Code",$L$7)</t>
  </si>
  <si>
    <t>=NL("Sum","Item Ledger Entry","Quantity","Entry Type","Consumption","Entry No.",I710,"Location Code",$L$7)</t>
  </si>
  <si>
    <t>=NL("Sum","Item Ledger Entry","Quantity","Entry Type","Output","Entry No.",I710,"Location Code",$L$7)</t>
  </si>
  <si>
    <t>=D710</t>
  </si>
  <si>
    <t>=NF($G711,"Posting Date")</t>
  </si>
  <si>
    <t>=NF($G711,"Entry No.")</t>
  </si>
  <si>
    <t>=NF(G711,"Source Type")</t>
  </si>
  <si>
    <t>=NF($G711,"Source No.")</t>
  </si>
  <si>
    <t>=IF($J711="Customer",NL("first",$J711,"Name","No.","@@"&amp;$K711),"")</t>
  </si>
  <si>
    <t>=IF(J711="vendor",NL("first",J711,"Name","No.","@@"&amp;K711),"")</t>
  </si>
  <si>
    <t>=IF($J711="Item",NL("first",$J711,"Description","No.","@@"&amp;$K711),"")</t>
  </si>
  <si>
    <t>=NL("Sum","Item Ledger Entry","Quantity","Entry Type","Purchase","Entry No.",I711,"Location Code",$L$7)</t>
  </si>
  <si>
    <t>=NL("Sum","Item Ledger Entry","Quantity","Entry Type","Sale","Entry No.",I711,"Location Code",$L$7)</t>
  </si>
  <si>
    <t>=NL("Sum","Item Ledger Entry","Quantity","Entry Type","Positive Adjmt.|Negative Adjmt.","Entry No.",I711,"Location Code",$L$7)</t>
  </si>
  <si>
    <t>=NL("Sum","Item Ledger Entry","Quantity","Entry Type","Transfer","Entry No.",I711,"Location Code",$L$7)</t>
  </si>
  <si>
    <t>=NL("Sum","Item Ledger Entry","Quantity","Entry Type","Consumption","Entry No.",I711,"Location Code",$L$7)</t>
  </si>
  <si>
    <t>=NL("Sum","Item Ledger Entry","Quantity","Entry Type","Output","Entry No.",I711,"Location Code",$L$7)</t>
  </si>
  <si>
    <t>=D711</t>
  </si>
  <si>
    <t>=NF($G712,"Posting Date")</t>
  </si>
  <si>
    <t>=NF($G712,"Entry No.")</t>
  </si>
  <si>
    <t>=NF(G712,"Source Type")</t>
  </si>
  <si>
    <t>=NF($G712,"Source No.")</t>
  </si>
  <si>
    <t>=IF($J712="Customer",NL("first",$J712,"Name","No.","@@"&amp;$K712),"")</t>
  </si>
  <si>
    <t>=IF(J712="vendor",NL("first",J712,"Name","No.","@@"&amp;K712),"")</t>
  </si>
  <si>
    <t>=IF($J712="Item",NL("first",$J712,"Description","No.","@@"&amp;$K712),"")</t>
  </si>
  <si>
    <t>=NL("Sum","Item Ledger Entry","Quantity","Entry Type","Purchase","Entry No.",I712,"Location Code",$L$7)</t>
  </si>
  <si>
    <t>=NL("Sum","Item Ledger Entry","Quantity","Entry Type","Sale","Entry No.",I712,"Location Code",$L$7)</t>
  </si>
  <si>
    <t>=NL("Sum","Item Ledger Entry","Quantity","Entry Type","Positive Adjmt.|Negative Adjmt.","Entry No.",I712,"Location Code",$L$7)</t>
  </si>
  <si>
    <t>=NL("Sum","Item Ledger Entry","Quantity","Entry Type","Transfer","Entry No.",I712,"Location Code",$L$7)</t>
  </si>
  <si>
    <t>=NL("Sum","Item Ledger Entry","Quantity","Entry Type","Consumption","Entry No.",I712,"Location Code",$L$7)</t>
  </si>
  <si>
    <t>=NL("Sum","Item Ledger Entry","Quantity","Entry Type","Output","Entry No.",I712,"Location Code",$L$7)</t>
  </si>
  <si>
    <t>=D712</t>
  </si>
  <si>
    <t>=NF($G713,"Posting Date")</t>
  </si>
  <si>
    <t>=NF($G713,"Entry No.")</t>
  </si>
  <si>
    <t>=NF(G713,"Source Type")</t>
  </si>
  <si>
    <t>=NF($G713,"Source No.")</t>
  </si>
  <si>
    <t>=IF($J713="Customer",NL("first",$J713,"Name","No.","@@"&amp;$K713),"")</t>
  </si>
  <si>
    <t>=IF(J713="vendor",NL("first",J713,"Name","No.","@@"&amp;K713),"")</t>
  </si>
  <si>
    <t>=IF($J713="Item",NL("first",$J713,"Description","No.","@@"&amp;$K713),"")</t>
  </si>
  <si>
    <t>=NL("Sum","Item Ledger Entry","Quantity","Entry Type","Purchase","Entry No.",I713,"Location Code",$L$7)</t>
  </si>
  <si>
    <t>=NL("Sum","Item Ledger Entry","Quantity","Entry Type","Sale","Entry No.",I713,"Location Code",$L$7)</t>
  </si>
  <si>
    <t>=NL("Sum","Item Ledger Entry","Quantity","Entry Type","Positive Adjmt.|Negative Adjmt.","Entry No.",I713,"Location Code",$L$7)</t>
  </si>
  <si>
    <t>=NL("Sum","Item Ledger Entry","Quantity","Entry Type","Transfer","Entry No.",I713,"Location Code",$L$7)</t>
  </si>
  <si>
    <t>=NL("Sum","Item Ledger Entry","Quantity","Entry Type","Consumption","Entry No.",I713,"Location Code",$L$7)</t>
  </si>
  <si>
    <t>=NL("Sum","Item Ledger Entry","Quantity","Entry Type","Output","Entry No.",I713,"Location Code",$L$7)</t>
  </si>
  <si>
    <t>=D713</t>
  </si>
  <si>
    <t>=NF($G714,"Posting Date")</t>
  </si>
  <si>
    <t>=NF($G714,"Entry No.")</t>
  </si>
  <si>
    <t>=NF(G714,"Source Type")</t>
  </si>
  <si>
    <t>=NF($G714,"Source No.")</t>
  </si>
  <si>
    <t>=IF($J714="Customer",NL("first",$J714,"Name","No.","@@"&amp;$K714),"")</t>
  </si>
  <si>
    <t>=IF(J714="vendor",NL("first",J714,"Name","No.","@@"&amp;K714),"")</t>
  </si>
  <si>
    <t>=IF($J714="Item",NL("first",$J714,"Description","No.","@@"&amp;$K714),"")</t>
  </si>
  <si>
    <t>=NL("Sum","Item Ledger Entry","Quantity","Entry Type","Purchase","Entry No.",I714,"Location Code",$L$7)</t>
  </si>
  <si>
    <t>=NL("Sum","Item Ledger Entry","Quantity","Entry Type","Sale","Entry No.",I714,"Location Code",$L$7)</t>
  </si>
  <si>
    <t>=NL("Sum","Item Ledger Entry","Quantity","Entry Type","Positive Adjmt.|Negative Adjmt.","Entry No.",I714,"Location Code",$L$7)</t>
  </si>
  <si>
    <t>=NL("Sum","Item Ledger Entry","Quantity","Entry Type","Transfer","Entry No.",I714,"Location Code",$L$7)</t>
  </si>
  <si>
    <t>=NL("Sum","Item Ledger Entry","Quantity","Entry Type","Consumption","Entry No.",I714,"Location Code",$L$7)</t>
  </si>
  <si>
    <t>=NL("Sum","Item Ledger Entry","Quantity","Entry Type","Output","Entry No.",I714,"Location Code",$L$7)</t>
  </si>
  <si>
    <t>=D714</t>
  </si>
  <si>
    <t>=NF($G715,"Posting Date")</t>
  </si>
  <si>
    <t>=NF($G715,"Entry No.")</t>
  </si>
  <si>
    <t>=NF(G715,"Source Type")</t>
  </si>
  <si>
    <t>=NF($G715,"Source No.")</t>
  </si>
  <si>
    <t>=IF($J715="Customer",NL("first",$J715,"Name","No.","@@"&amp;$K715),"")</t>
  </si>
  <si>
    <t>=IF(J715="vendor",NL("first",J715,"Name","No.","@@"&amp;K715),"")</t>
  </si>
  <si>
    <t>=IF($J715="Item",NL("first",$J715,"Description","No.","@@"&amp;$K715),"")</t>
  </si>
  <si>
    <t>=NL("Sum","Item Ledger Entry","Quantity","Entry Type","Purchase","Entry No.",I715,"Location Code",$L$7)</t>
  </si>
  <si>
    <t>=NL("Sum","Item Ledger Entry","Quantity","Entry Type","Sale","Entry No.",I715,"Location Code",$L$7)</t>
  </si>
  <si>
    <t>=NL("Sum","Item Ledger Entry","Quantity","Entry Type","Positive Adjmt.|Negative Adjmt.","Entry No.",I715,"Location Code",$L$7)</t>
  </si>
  <si>
    <t>=NL("Sum","Item Ledger Entry","Quantity","Entry Type","Transfer","Entry No.",I715,"Location Code",$L$7)</t>
  </si>
  <si>
    <t>=NL("Sum","Item Ledger Entry","Quantity","Entry Type","Consumption","Entry No.",I715,"Location Code",$L$7)</t>
  </si>
  <si>
    <t>=NL("Sum","Item Ledger Entry","Quantity","Entry Type","Output","Entry No.",I715,"Location Code",$L$7)</t>
  </si>
  <si>
    <t>=D715</t>
  </si>
  <si>
    <t>=NF($G716,"Posting Date")</t>
  </si>
  <si>
    <t>=NF($G716,"Entry No.")</t>
  </si>
  <si>
    <t>=NF(G716,"Source Type")</t>
  </si>
  <si>
    <t>=NF($G716,"Source No.")</t>
  </si>
  <si>
    <t>=IF($J716="Customer",NL("first",$J716,"Name","No.","@@"&amp;$K716),"")</t>
  </si>
  <si>
    <t>=IF(J716="vendor",NL("first",J716,"Name","No.","@@"&amp;K716),"")</t>
  </si>
  <si>
    <t>=IF($J716="Item",NL("first",$J716,"Description","No.","@@"&amp;$K716),"")</t>
  </si>
  <si>
    <t>="E100019"</t>
  </si>
  <si>
    <t>=D722</t>
  </si>
  <si>
    <t>=NF($G723,"Posting Date")</t>
  </si>
  <si>
    <t>=NF($G723,"Entry No.")</t>
  </si>
  <si>
    <t>=NF(G723,"Source Type")</t>
  </si>
  <si>
    <t>=NF($G723,"Source No.")</t>
  </si>
  <si>
    <t>=IF($J723="Customer",NL("first",$J723,"Name","No.","@@"&amp;$K723),"")</t>
  </si>
  <si>
    <t>=IF(J723="vendor",NL("first",J723,"Name","No.","@@"&amp;K723),"")</t>
  </si>
  <si>
    <t>=IF($J723="Item",NL("first",$J723,"Description","No.","@@"&amp;$K723),"")</t>
  </si>
  <si>
    <t>=NL("Sum","Item Ledger Entry","Quantity","Entry Type","Purchase","Entry No.",I723,"Location Code",$L$7)</t>
  </si>
  <si>
    <t>=NL("Sum","Item Ledger Entry","Quantity","Entry Type","Sale","Entry No.",I723,"Location Code",$L$7)</t>
  </si>
  <si>
    <t>=NL("Sum","Item Ledger Entry","Quantity","Entry Type","Positive Adjmt.|Negative Adjmt.","Entry No.",I723,"Location Code",$L$7)</t>
  </si>
  <si>
    <t>=NL("Sum","Item Ledger Entry","Quantity","Entry Type","Transfer","Entry No.",I723,"Location Code",$L$7)</t>
  </si>
  <si>
    <t>=NL("Sum","Item Ledger Entry","Quantity","Entry Type","Consumption","Entry No.",I723,"Location Code",$L$7)</t>
  </si>
  <si>
    <t>=NL("Sum","Item Ledger Entry","Quantity","Entry Type","Output","Entry No.",I723,"Location Code",$L$7)</t>
  </si>
  <si>
    <t>=D723</t>
  </si>
  <si>
    <t>=NF($G724,"Posting Date")</t>
  </si>
  <si>
    <t>=NF($G724,"Entry No.")</t>
  </si>
  <si>
    <t>=NF(G724,"Source Type")</t>
  </si>
  <si>
    <t>=NF($G724,"Source No.")</t>
  </si>
  <si>
    <t>=IF($J724="Customer",NL("first",$J724,"Name","No.","@@"&amp;$K724),"")</t>
  </si>
  <si>
    <t>=IF(J724="vendor",NL("first",J724,"Name","No.","@@"&amp;K724),"")</t>
  </si>
  <si>
    <t>=IF($J724="Item",NL("first",$J724,"Description","No.","@@"&amp;$K724),"")</t>
  </si>
  <si>
    <t>=NL("Sum","Item Ledger Entry","Quantity","Entry Type","Purchase","Entry No.",I724,"Location Code",$L$7)</t>
  </si>
  <si>
    <t>=NL("Sum","Item Ledger Entry","Quantity","Entry Type","Sale","Entry No.",I724,"Location Code",$L$7)</t>
  </si>
  <si>
    <t>=NL("Sum","Item Ledger Entry","Quantity","Entry Type","Positive Adjmt.|Negative Adjmt.","Entry No.",I724,"Location Code",$L$7)</t>
  </si>
  <si>
    <t>=NL("Sum","Item Ledger Entry","Quantity","Entry Type","Transfer","Entry No.",I724,"Location Code",$L$7)</t>
  </si>
  <si>
    <t>=NL("Sum","Item Ledger Entry","Quantity","Entry Type","Consumption","Entry No.",I724,"Location Code",$L$7)</t>
  </si>
  <si>
    <t>=NL("Sum","Item Ledger Entry","Quantity","Entry Type","Output","Entry No.",I724,"Location Code",$L$7)</t>
  </si>
  <si>
    <t>=D727</t>
  </si>
  <si>
    <t>=NF($G728,"Posting Date")</t>
  </si>
  <si>
    <t>=NF($G728,"Entry No.")</t>
  </si>
  <si>
    <t>=NF(G728,"Source Type")</t>
  </si>
  <si>
    <t>=NF($G728,"Source No.")</t>
  </si>
  <si>
    <t>=IF($J728="Customer",NL("first",$J728,"Name","No.","@@"&amp;$K728),"")</t>
  </si>
  <si>
    <t>=IF(J728="vendor",NL("first",J728,"Name","No.","@@"&amp;K728),"")</t>
  </si>
  <si>
    <t>=IF($J728="Item",NL("first",$J728,"Description","No.","@@"&amp;$K728),"")</t>
  </si>
  <si>
    <t>=NL("Sum","Item Ledger Entry","Quantity","Entry Type","Purchase","Entry No.",I728,"Location Code",$L$7)</t>
  </si>
  <si>
    <t>=NL("Sum","Item Ledger Entry","Quantity","Entry Type","Sale","Entry No.",I728,"Location Code",$L$7)</t>
  </si>
  <si>
    <t>=NL("Sum","Item Ledger Entry","Quantity","Entry Type","Positive Adjmt.|Negative Adjmt.","Entry No.",I728,"Location Code",$L$7)</t>
  </si>
  <si>
    <t>=NL("Sum","Item Ledger Entry","Quantity","Entry Type","Transfer","Entry No.",I728,"Location Code",$L$7)</t>
  </si>
  <si>
    <t>=NL("Sum","Item Ledger Entry","Quantity","Entry Type","Consumption","Entry No.",I728,"Location Code",$L$7)</t>
  </si>
  <si>
    <t>=NL("Sum","Item Ledger Entry","Quantity","Entry Type","Output","Entry No.",I728,"Location Code",$L$7)</t>
  </si>
  <si>
    <t>=D728</t>
  </si>
  <si>
    <t>=NF($G729,"Posting Date")</t>
  </si>
  <si>
    <t>=NF($G729,"Entry No.")</t>
  </si>
  <si>
    <t>=NF(G729,"Source Type")</t>
  </si>
  <si>
    <t>=NF($G729,"Source No.")</t>
  </si>
  <si>
    <t>=IF($J729="Customer",NL("first",$J729,"Name","No.","@@"&amp;$K729),"")</t>
  </si>
  <si>
    <t>=IF(J729="vendor",NL("first",J729,"Name","No.","@@"&amp;K729),"")</t>
  </si>
  <si>
    <t>=IF($J729="Item",NL("first",$J729,"Description","No.","@@"&amp;$K729),"")</t>
  </si>
  <si>
    <t>=NL("Sum","Item Ledger Entry","Quantity","Entry Type","Purchase","Entry No.",I729,"Location Code",$L$7)</t>
  </si>
  <si>
    <t>=NL("Sum","Item Ledger Entry","Quantity","Entry Type","Sale","Entry No.",I729,"Location Code",$L$7)</t>
  </si>
  <si>
    <t>=NL("Sum","Item Ledger Entry","Quantity","Entry Type","Positive Adjmt.|Negative Adjmt.","Entry No.",I729,"Location Code",$L$7)</t>
  </si>
  <si>
    <t>=NL("Sum","Item Ledger Entry","Quantity","Entry Type","Transfer","Entry No.",I729,"Location Code",$L$7)</t>
  </si>
  <si>
    <t>=NL("Sum","Item Ledger Entry","Quantity","Entry Type","Consumption","Entry No.",I729,"Location Code",$L$7)</t>
  </si>
  <si>
    <t>=NL("Sum","Item Ledger Entry","Quantity","Entry Type","Output","Entry No.",I729,"Location Code",$L$7)</t>
  </si>
  <si>
    <t>=D729</t>
  </si>
  <si>
    <t>=NF($G730,"Posting Date")</t>
  </si>
  <si>
    <t>=NF($G730,"Entry No.")</t>
  </si>
  <si>
    <t>=NF(G730,"Source Type")</t>
  </si>
  <si>
    <t>=NF($G730,"Source No.")</t>
  </si>
  <si>
    <t>=IF($J730="Customer",NL("first",$J730,"Name","No.","@@"&amp;$K730),"")</t>
  </si>
  <si>
    <t>=IF(J730="vendor",NL("first",J730,"Name","No.","@@"&amp;K730),"")</t>
  </si>
  <si>
    <t>=IF($J730="Item",NL("first",$J730,"Description","No.","@@"&amp;$K730),"")</t>
  </si>
  <si>
    <t>=NL("Sum","Item Ledger Entry","Quantity","Entry Type","Purchase","Entry No.",I730,"Location Code",$L$7)</t>
  </si>
  <si>
    <t>=NL("Sum","Item Ledger Entry","Quantity","Entry Type","Sale","Entry No.",I730,"Location Code",$L$7)</t>
  </si>
  <si>
    <t>=NL("Sum","Item Ledger Entry","Quantity","Entry Type","Positive Adjmt.|Negative Adjmt.","Entry No.",I730,"Location Code",$L$7)</t>
  </si>
  <si>
    <t>=NL("Sum","Item Ledger Entry","Quantity","Entry Type","Transfer","Entry No.",I730,"Location Code",$L$7)</t>
  </si>
  <si>
    <t>=NL("Sum","Item Ledger Entry","Quantity","Entry Type","Consumption","Entry No.",I730,"Location Code",$L$7)</t>
  </si>
  <si>
    <t>=NL("Sum","Item Ledger Entry","Quantity","Entry Type","Output","Entry No.",I730,"Location Code",$L$7)</t>
  </si>
  <si>
    <t>=D733</t>
  </si>
  <si>
    <t>=NF($G734,"Posting Date")</t>
  </si>
  <si>
    <t>=NF($G734,"Entry No.")</t>
  </si>
  <si>
    <t>=NF(G734,"Source Type")</t>
  </si>
  <si>
    <t>=NF($G734,"Source No.")</t>
  </si>
  <si>
    <t>=IF($J734="Customer",NL("first",$J734,"Name","No.","@@"&amp;$K734),"")</t>
  </si>
  <si>
    <t>=IF(J734="vendor",NL("first",J734,"Name","No.","@@"&amp;K734),"")</t>
  </si>
  <si>
    <t>=IF($J734="Item",NL("first",$J734,"Description","No.","@@"&amp;$K734),"")</t>
  </si>
  <si>
    <t>="E100020"</t>
  </si>
  <si>
    <t>=D737</t>
  </si>
  <si>
    <t>=NF($G738,"Posting Date")</t>
  </si>
  <si>
    <t>=NF($G738,"Entry No.")</t>
  </si>
  <si>
    <t>=NF(G738,"Source Type")</t>
  </si>
  <si>
    <t>=NF($G738,"Source No.")</t>
  </si>
  <si>
    <t>=IF($J738="Customer",NL("first",$J738,"Name","No.","@@"&amp;$K738),"")</t>
  </si>
  <si>
    <t>=IF(J738="vendor",NL("first",J738,"Name","No.","@@"&amp;K738),"")</t>
  </si>
  <si>
    <t>=IF($J738="Item",NL("first",$J738,"Description","No.","@@"&amp;$K738),"")</t>
  </si>
  <si>
    <t>=NL("Sum","Item Ledger Entry","Quantity","Entry Type","Purchase","Entry No.",I738,"Location Code",$L$7)</t>
  </si>
  <si>
    <t>=NL("Sum","Item Ledger Entry","Quantity","Entry Type","Sale","Entry No.",I738,"Location Code",$L$7)</t>
  </si>
  <si>
    <t>=NL("Sum","Item Ledger Entry","Quantity","Entry Type","Positive Adjmt.|Negative Adjmt.","Entry No.",I738,"Location Code",$L$7)</t>
  </si>
  <si>
    <t>=NL("Sum","Item Ledger Entry","Quantity","Entry Type","Transfer","Entry No.",I738,"Location Code",$L$7)</t>
  </si>
  <si>
    <t>=NL("Sum","Item Ledger Entry","Quantity","Entry Type","Consumption","Entry No.",I738,"Location Code",$L$7)</t>
  </si>
  <si>
    <t>=NL("Sum","Item Ledger Entry","Quantity","Entry Type","Output","Entry No.",I738,"Location Code",$L$7)</t>
  </si>
  <si>
    <t>=D738</t>
  </si>
  <si>
    <t>=NF($G739,"Posting Date")</t>
  </si>
  <si>
    <t>=NF($G739,"Entry No.")</t>
  </si>
  <si>
    <t>=NF(G739,"Source Type")</t>
  </si>
  <si>
    <t>=NF($G739,"Source No.")</t>
  </si>
  <si>
    <t>=IF($J739="Customer",NL("first",$J739,"Name","No.","@@"&amp;$K739),"")</t>
  </si>
  <si>
    <t>=IF(J739="vendor",NL("first",J739,"Name","No.","@@"&amp;K739),"")</t>
  </si>
  <si>
    <t>=IF($J739="Item",NL("first",$J739,"Description","No.","@@"&amp;$K739),"")</t>
  </si>
  <si>
    <t>=NL("Sum","Item Ledger Entry","Quantity","Entry Type","Purchase","Entry No.",I739,"Location Code",$L$7)</t>
  </si>
  <si>
    <t>=NL("Sum","Item Ledger Entry","Quantity","Entry Type","Sale","Entry No.",I739,"Location Code",$L$7)</t>
  </si>
  <si>
    <t>=NL("Sum","Item Ledger Entry","Quantity","Entry Type","Positive Adjmt.|Negative Adjmt.","Entry No.",I739,"Location Code",$L$7)</t>
  </si>
  <si>
    <t>=NL("Sum","Item Ledger Entry","Quantity","Entry Type","Transfer","Entry No.",I739,"Location Code",$L$7)</t>
  </si>
  <si>
    <t>=NL("Sum","Item Ledger Entry","Quantity","Entry Type","Consumption","Entry No.",I739,"Location Code",$L$7)</t>
  </si>
  <si>
    <t>=NL("Sum","Item Ledger Entry","Quantity","Entry Type","Output","Entry No.",I739,"Location Code",$L$7)</t>
  </si>
  <si>
    <t>=D739</t>
  </si>
  <si>
    <t>=NF($G740,"Posting Date")</t>
  </si>
  <si>
    <t>=NF($G740,"Entry No.")</t>
  </si>
  <si>
    <t>=NF(G740,"Source Type")</t>
  </si>
  <si>
    <t>=NF($G740,"Source No.")</t>
  </si>
  <si>
    <t>=IF($J740="Customer",NL("first",$J740,"Name","No.","@@"&amp;$K740),"")</t>
  </si>
  <si>
    <t>=IF(J740="vendor",NL("first",J740,"Name","No.","@@"&amp;K740),"")</t>
  </si>
  <si>
    <t>=IF($J740="Item",NL("first",$J740,"Description","No.","@@"&amp;$K740),"")</t>
  </si>
  <si>
    <t>=NL("Sum","Item Ledger Entry","Quantity","Entry Type","Purchase","Entry No.",I740,"Location Code",$L$7)</t>
  </si>
  <si>
    <t>=NL("Sum","Item Ledger Entry","Quantity","Entry Type","Sale","Entry No.",I740,"Location Code",$L$7)</t>
  </si>
  <si>
    <t>=NL("Sum","Item Ledger Entry","Quantity","Entry Type","Positive Adjmt.|Negative Adjmt.","Entry No.",I740,"Location Code",$L$7)</t>
  </si>
  <si>
    <t>=NL("Sum","Item Ledger Entry","Quantity","Entry Type","Transfer","Entry No.",I740,"Location Code",$L$7)</t>
  </si>
  <si>
    <t>=NL("Sum","Item Ledger Entry","Quantity","Entry Type","Consumption","Entry No.",I740,"Location Code",$L$7)</t>
  </si>
  <si>
    <t>=NL("Sum","Item Ledger Entry","Quantity","Entry Type","Output","Entry No.",I740,"Location Code",$L$7)</t>
  </si>
  <si>
    <t>="E100021"</t>
  </si>
  <si>
    <t>=D747</t>
  </si>
  <si>
    <t>=NF($G748,"Posting Date")</t>
  </si>
  <si>
    <t>=NF($G748,"Entry No.")</t>
  </si>
  <si>
    <t>=NF(G748,"Source Type")</t>
  </si>
  <si>
    <t>=NF($G748,"Source No.")</t>
  </si>
  <si>
    <t>=IF($J748="Customer",NL("first",$J748,"Name","No.","@@"&amp;$K748),"")</t>
  </si>
  <si>
    <t>=IF(J748="vendor",NL("first",J748,"Name","No.","@@"&amp;K748),"")</t>
  </si>
  <si>
    <t>=IF($J748="Item",NL("first",$J748,"Description","No.","@@"&amp;$K748),"")</t>
  </si>
  <si>
    <t>=NL("Sum","Item Ledger Entry","Quantity","Entry Type","Purchase","Entry No.",I748,"Location Code",$L$7)</t>
  </si>
  <si>
    <t>=NL("Sum","Item Ledger Entry","Quantity","Entry Type","Sale","Entry No.",I748,"Location Code",$L$7)</t>
  </si>
  <si>
    <t>=NL("Sum","Item Ledger Entry","Quantity","Entry Type","Positive Adjmt.|Negative Adjmt.","Entry No.",I748,"Location Code",$L$7)</t>
  </si>
  <si>
    <t>=NL("Sum","Item Ledger Entry","Quantity","Entry Type","Transfer","Entry No.",I748,"Location Code",$L$7)</t>
  </si>
  <si>
    <t>=NL("Sum","Item Ledger Entry","Quantity","Entry Type","Consumption","Entry No.",I748,"Location Code",$L$7)</t>
  </si>
  <si>
    <t>=NL("Sum","Item Ledger Entry","Quantity","Entry Type","Output","Entry No.",I748,"Location Code",$L$7)</t>
  </si>
  <si>
    <t>=D748</t>
  </si>
  <si>
    <t>=NF($G749,"Posting Date")</t>
  </si>
  <si>
    <t>=NF($G749,"Entry No.")</t>
  </si>
  <si>
    <t>=NF(G749,"Source Type")</t>
  </si>
  <si>
    <t>=NF($G749,"Source No.")</t>
  </si>
  <si>
    <t>=IF($J749="Customer",NL("first",$J749,"Name","No.","@@"&amp;$K749),"")</t>
  </si>
  <si>
    <t>=IF(J749="vendor",NL("first",J749,"Name","No.","@@"&amp;K749),"")</t>
  </si>
  <si>
    <t>=IF($J749="Item",NL("first",$J749,"Description","No.","@@"&amp;$K749),"")</t>
  </si>
  <si>
    <t>=D749</t>
  </si>
  <si>
    <t>=NF($G750,"Posting Date")</t>
  </si>
  <si>
    <t>=NF($G750,"Entry No.")</t>
  </si>
  <si>
    <t>=NF(G750,"Source Type")</t>
  </si>
  <si>
    <t>=NF($G750,"Source No.")</t>
  </si>
  <si>
    <t>=IF($J750="Customer",NL("first",$J750,"Name","No.","@@"&amp;$K750),"")</t>
  </si>
  <si>
    <t>=IF(J750="vendor",NL("first",J750,"Name","No.","@@"&amp;K750),"")</t>
  </si>
  <si>
    <t>=IF($J750="Item",NL("first",$J750,"Description","No.","@@"&amp;$K750),"")</t>
  </si>
  <si>
    <t>=D750</t>
  </si>
  <si>
    <t>=NF($G751,"Posting Date")</t>
  </si>
  <si>
    <t>=NF($G751,"Entry No.")</t>
  </si>
  <si>
    <t>=NF(G751,"Source Type")</t>
  </si>
  <si>
    <t>=NF($G751,"Source No.")</t>
  </si>
  <si>
    <t>=IF($J751="Customer",NL("first",$J751,"Name","No.","@@"&amp;$K751),"")</t>
  </si>
  <si>
    <t>=IF(J751="vendor",NL("first",J751,"Name","No.","@@"&amp;K751),"")</t>
  </si>
  <si>
    <t>=IF($J751="Item",NL("first",$J751,"Description","No.","@@"&amp;$K751),"")</t>
  </si>
  <si>
    <t>=D751</t>
  </si>
  <si>
    <t>=NF($G752,"Posting Date")</t>
  </si>
  <si>
    <t>=NF($G752,"Entry No.")</t>
  </si>
  <si>
    <t>=NF(G752,"Source Type")</t>
  </si>
  <si>
    <t>=NF($G752,"Source No.")</t>
  </si>
  <si>
    <t>=IF($J752="Customer",NL("first",$J752,"Name","No.","@@"&amp;$K752),"")</t>
  </si>
  <si>
    <t>=IF(J752="vendor",NL("first",J752,"Name","No.","@@"&amp;K752),"")</t>
  </si>
  <si>
    <t>=IF($J752="Item",NL("first",$J752,"Description","No.","@@"&amp;$K752),"")</t>
  </si>
  <si>
    <t>=NL("Sum","Item Ledger Entry","Quantity","Entry Type","Purchase","Entry No.",I752,"Location Code",$L$7)</t>
  </si>
  <si>
    <t>=NL("Sum","Item Ledger Entry","Quantity","Entry Type","Sale","Entry No.",I752,"Location Code",$L$7)</t>
  </si>
  <si>
    <t>=NL("Sum","Item Ledger Entry","Quantity","Entry Type","Positive Adjmt.|Negative Adjmt.","Entry No.",I752,"Location Code",$L$7)</t>
  </si>
  <si>
    <t>=NL("Sum","Item Ledger Entry","Quantity","Entry Type","Transfer","Entry No.",I752,"Location Code",$L$7)</t>
  </si>
  <si>
    <t>=NL("Sum","Item Ledger Entry","Quantity","Entry Type","Consumption","Entry No.",I752,"Location Code",$L$7)</t>
  </si>
  <si>
    <t>=NL("Sum","Item Ledger Entry","Quantity","Entry Type","Output","Entry No.",I752,"Location Code",$L$7)</t>
  </si>
  <si>
    <t>=D755</t>
  </si>
  <si>
    <t>=NF($G756,"Posting Date")</t>
  </si>
  <si>
    <t>=NF($G756,"Entry No.")</t>
  </si>
  <si>
    <t>=NF(G756,"Source Type")</t>
  </si>
  <si>
    <t>=NF($G756,"Source No.")</t>
  </si>
  <si>
    <t>=IF($J756="Customer",NL("first",$J756,"Name","No.","@@"&amp;$K756),"")</t>
  </si>
  <si>
    <t>=IF(J756="vendor",NL("first",J756,"Name","No.","@@"&amp;K756),"")</t>
  </si>
  <si>
    <t>=IF($J756="Item",NL("first",$J756,"Description","No.","@@"&amp;$K756),"")</t>
  </si>
  <si>
    <t>=NL("Sum","Item Ledger Entry","Quantity","Entry Type","Purchase","Entry No.",I756,"Location Code",$L$7)</t>
  </si>
  <si>
    <t>=NL("Sum","Item Ledger Entry","Quantity","Entry Type","Sale","Entry No.",I756,"Location Code",$L$7)</t>
  </si>
  <si>
    <t>=NL("Sum","Item Ledger Entry","Quantity","Entry Type","Positive Adjmt.|Negative Adjmt.","Entry No.",I756,"Location Code",$L$7)</t>
  </si>
  <si>
    <t>=NL("Sum","Item Ledger Entry","Quantity","Entry Type","Transfer","Entry No.",I756,"Location Code",$L$7)</t>
  </si>
  <si>
    <t>=NL("Sum","Item Ledger Entry","Quantity","Entry Type","Consumption","Entry No.",I756,"Location Code",$L$7)</t>
  </si>
  <si>
    <t>=NL("Sum","Item Ledger Entry","Quantity","Entry Type","Output","Entry No.",I756,"Location Code",$L$7)</t>
  </si>
  <si>
    <t>=D756</t>
  </si>
  <si>
    <t>=NF($G757,"Posting Date")</t>
  </si>
  <si>
    <t>=NF($G757,"Entry No.")</t>
  </si>
  <si>
    <t>=NF(G757,"Source Type")</t>
  </si>
  <si>
    <t>=NF($G757,"Source No.")</t>
  </si>
  <si>
    <t>=IF($J757="Customer",NL("first",$J757,"Name","No.","@@"&amp;$K757),"")</t>
  </si>
  <si>
    <t>=IF(J757="vendor",NL("first",J757,"Name","No.","@@"&amp;K757),"")</t>
  </si>
  <si>
    <t>=IF($J757="Item",NL("first",$J757,"Description","No.","@@"&amp;$K757),"")</t>
  </si>
  <si>
    <t>=NL("Sum","Item Ledger Entry","Quantity","Entry Type","Purchase","Entry No.",I757,"Location Code",$L$7)</t>
  </si>
  <si>
    <t>=NL("Sum","Item Ledger Entry","Quantity","Entry Type","Sale","Entry No.",I757,"Location Code",$L$7)</t>
  </si>
  <si>
    <t>=NL("Sum","Item Ledger Entry","Quantity","Entry Type","Positive Adjmt.|Negative Adjmt.","Entry No.",I757,"Location Code",$L$7)</t>
  </si>
  <si>
    <t>=NL("Sum","Item Ledger Entry","Quantity","Entry Type","Transfer","Entry No.",I757,"Location Code",$L$7)</t>
  </si>
  <si>
    <t>=NL("Sum","Item Ledger Entry","Quantity","Entry Type","Consumption","Entry No.",I757,"Location Code",$L$7)</t>
  </si>
  <si>
    <t>=NL("Sum","Item Ledger Entry","Quantity","Entry Type","Output","Entry No.",I757,"Location Code",$L$7)</t>
  </si>
  <si>
    <t>=D757</t>
  </si>
  <si>
    <t>=NF($G758,"Posting Date")</t>
  </si>
  <si>
    <t>=NF($G758,"Entry No.")</t>
  </si>
  <si>
    <t>=NF(G758,"Source Type")</t>
  </si>
  <si>
    <t>=NF($G758,"Source No.")</t>
  </si>
  <si>
    <t>=IF($J758="Customer",NL("first",$J758,"Name","No.","@@"&amp;$K758),"")</t>
  </si>
  <si>
    <t>=IF(J758="vendor",NL("first",J758,"Name","No.","@@"&amp;K758),"")</t>
  </si>
  <si>
    <t>=IF($J758="Item",NL("first",$J758,"Description","No.","@@"&amp;$K758),"")</t>
  </si>
  <si>
    <t>=NL("Sum","Item Ledger Entry","Quantity","Entry Type","Purchase","Entry No.",I758,"Location Code",$L$7)</t>
  </si>
  <si>
    <t>=NL("Sum","Item Ledger Entry","Quantity","Entry Type","Sale","Entry No.",I758,"Location Code",$L$7)</t>
  </si>
  <si>
    <t>=NL("Sum","Item Ledger Entry","Quantity","Entry Type","Positive Adjmt.|Negative Adjmt.","Entry No.",I758,"Location Code",$L$7)</t>
  </si>
  <si>
    <t>=NL("Sum","Item Ledger Entry","Quantity","Entry Type","Transfer","Entry No.",I758,"Location Code",$L$7)</t>
  </si>
  <si>
    <t>=NL("Sum","Item Ledger Entry","Quantity","Entry Type","Consumption","Entry No.",I758,"Location Code",$L$7)</t>
  </si>
  <si>
    <t>=NL("Sum","Item Ledger Entry","Quantity","Entry Type","Output","Entry No.",I758,"Location Code",$L$7)</t>
  </si>
  <si>
    <t>=E761</t>
  </si>
  <si>
    <t>="E100022"</t>
  </si>
  <si>
    <t>=NL("First","Item","Description","No.",$E761)</t>
  </si>
  <si>
    <t>=NL("First","Item","Base Unit of Measure","No.",$E761)</t>
  </si>
  <si>
    <t>=D761</t>
  </si>
  <si>
    <t>=NF($G762,"Posting Date")</t>
  </si>
  <si>
    <t>=NF($G762,"Entry No.")</t>
  </si>
  <si>
    <t>=NF(G762,"Source Type")</t>
  </si>
  <si>
    <t>=NF($G762,"Source No.")</t>
  </si>
  <si>
    <t>=IF($J762="Customer",NL("first",$J762,"Name","No.","@@"&amp;$K762),"")</t>
  </si>
  <si>
    <t>=IF(J762="vendor",NL("first",J762,"Name","No.","@@"&amp;K762),"")</t>
  </si>
  <si>
    <t>=IF($J762="Item",NL("first",$J762,"Description","No.","@@"&amp;$K762),"")</t>
  </si>
  <si>
    <t>=D762</t>
  </si>
  <si>
    <t>=NF($G763,"Posting Date")</t>
  </si>
  <si>
    <t>=NF($G763,"Entry No.")</t>
  </si>
  <si>
    <t>=NF(G763,"Source Type")</t>
  </si>
  <si>
    <t>=NF($G763,"Source No.")</t>
  </si>
  <si>
    <t>=IF($J763="Customer",NL("first",$J763,"Name","No.","@@"&amp;$K763),"")</t>
  </si>
  <si>
    <t>=IF(J763="vendor",NL("first",J763,"Name","No.","@@"&amp;K763),"")</t>
  </si>
  <si>
    <t>=IF($J763="Item",NL("first",$J763,"Description","No.","@@"&amp;$K763),"")</t>
  </si>
  <si>
    <t>=D763</t>
  </si>
  <si>
    <t>=NF($G764,"Posting Date")</t>
  </si>
  <si>
    <t>=NF($G764,"Entry No.")</t>
  </si>
  <si>
    <t>=NF(G764,"Source Type")</t>
  </si>
  <si>
    <t>=NF($G764,"Source No.")</t>
  </si>
  <si>
    <t>=IF($J764="Customer",NL("first",$J764,"Name","No.","@@"&amp;$K764),"")</t>
  </si>
  <si>
    <t>=IF(J764="vendor",NL("first",J764,"Name","No.","@@"&amp;K764),"")</t>
  </si>
  <si>
    <t>=IF($J764="Item",NL("first",$J764,"Description","No.","@@"&amp;$K764),"")</t>
  </si>
  <si>
    <t>=D767</t>
  </si>
  <si>
    <t>=NF($G768,"Posting Date")</t>
  </si>
  <si>
    <t>=NF($G768,"Entry No.")</t>
  </si>
  <si>
    <t>=NF(G768,"Source Type")</t>
  </si>
  <si>
    <t>=NF($G768,"Source No.")</t>
  </si>
  <si>
    <t>=IF($J768="Customer",NL("first",$J768,"Name","No.","@@"&amp;$K768),"")</t>
  </si>
  <si>
    <t>=IF(J768="vendor",NL("first",J768,"Name","No.","@@"&amp;K768),"")</t>
  </si>
  <si>
    <t>=IF($J768="Item",NL("first",$J768,"Description","No.","@@"&amp;$K768),"")</t>
  </si>
  <si>
    <t>=NL("Sum","Item Ledger Entry","Quantity","Entry Type","Purchase","Entry No.",I768,"Location Code",$L$7)</t>
  </si>
  <si>
    <t>=NL("Sum","Item Ledger Entry","Quantity","Entry Type","Sale","Entry No.",I768,"Location Code",$L$7)</t>
  </si>
  <si>
    <t>=NL("Sum","Item Ledger Entry","Quantity","Entry Type","Positive Adjmt.|Negative Adjmt.","Entry No.",I768,"Location Code",$L$7)</t>
  </si>
  <si>
    <t>=NL("Sum","Item Ledger Entry","Quantity","Entry Type","Transfer","Entry No.",I768,"Location Code",$L$7)</t>
  </si>
  <si>
    <t>=NL("Sum","Item Ledger Entry","Quantity","Entry Type","Consumption","Entry No.",I768,"Location Code",$L$7)</t>
  </si>
  <si>
    <t>=NL("Sum","Item Ledger Entry","Quantity","Entry Type","Output","Entry No.",I768,"Location Code",$L$7)</t>
  </si>
  <si>
    <t>=D768</t>
  </si>
  <si>
    <t>=NF($G769,"Posting Date")</t>
  </si>
  <si>
    <t>=NF($G769,"Entry No.")</t>
  </si>
  <si>
    <t>=NF(G769,"Source Type")</t>
  </si>
  <si>
    <t>=NF($G769,"Source No.")</t>
  </si>
  <si>
    <t>=IF($J769="Customer",NL("first",$J769,"Name","No.","@@"&amp;$K769),"")</t>
  </si>
  <si>
    <t>=IF(J769="vendor",NL("first",J769,"Name","No.","@@"&amp;K769),"")</t>
  </si>
  <si>
    <t>=IF($J769="Item",NL("first",$J769,"Description","No.","@@"&amp;$K769),"")</t>
  </si>
  <si>
    <t>=NL("Sum","Item Ledger Entry","Quantity","Entry Type","Purchase","Entry No.",I769,"Location Code",$L$7)</t>
  </si>
  <si>
    <t>=NL("Sum","Item Ledger Entry","Quantity","Entry Type","Sale","Entry No.",I769,"Location Code",$L$7)</t>
  </si>
  <si>
    <t>=NL("Sum","Item Ledger Entry","Quantity","Entry Type","Positive Adjmt.|Negative Adjmt.","Entry No.",I769,"Location Code",$L$7)</t>
  </si>
  <si>
    <t>=NL("Sum","Item Ledger Entry","Quantity","Entry Type","Transfer","Entry No.",I769,"Location Code",$L$7)</t>
  </si>
  <si>
    <t>=NL("Sum","Item Ledger Entry","Quantity","Entry Type","Consumption","Entry No.",I769,"Location Code",$L$7)</t>
  </si>
  <si>
    <t>=NL("Sum","Item Ledger Entry","Quantity","Entry Type","Output","Entry No.",I769,"Location Code",$L$7)</t>
  </si>
  <si>
    <t>=D769</t>
  </si>
  <si>
    <t>=NF($G770,"Posting Date")</t>
  </si>
  <si>
    <t>=NF($G770,"Entry No.")</t>
  </si>
  <si>
    <t>=NF(G770,"Source Type")</t>
  </si>
  <si>
    <t>=NF($G770,"Source No.")</t>
  </si>
  <si>
    <t>=IF($J770="Customer",NL("first",$J770,"Name","No.","@@"&amp;$K770),"")</t>
  </si>
  <si>
    <t>=IF(J770="vendor",NL("first",J770,"Name","No.","@@"&amp;K770),"")</t>
  </si>
  <si>
    <t>=IF($J770="Item",NL("first",$J770,"Description","No.","@@"&amp;$K770),"")</t>
  </si>
  <si>
    <t>=NL("Sum","Item Ledger Entry","Quantity","Entry Type","Purchase","Entry No.",I770,"Location Code",$L$7)</t>
  </si>
  <si>
    <t>=NL("Sum","Item Ledger Entry","Quantity","Entry Type","Sale","Entry No.",I770,"Location Code",$L$7)</t>
  </si>
  <si>
    <t>=NL("Sum","Item Ledger Entry","Quantity","Entry Type","Positive Adjmt.|Negative Adjmt.","Entry No.",I770,"Location Code",$L$7)</t>
  </si>
  <si>
    <t>=NL("Sum","Item Ledger Entry","Quantity","Entry Type","Transfer","Entry No.",I770,"Location Code",$L$7)</t>
  </si>
  <si>
    <t>=NL("Sum","Item Ledger Entry","Quantity","Entry Type","Consumption","Entry No.",I770,"Location Code",$L$7)</t>
  </si>
  <si>
    <t>=NL("Sum","Item Ledger Entry","Quantity","Entry Type","Output","Entry No.",I770,"Location Code",$L$7)</t>
  </si>
  <si>
    <t>=D770</t>
  </si>
  <si>
    <t>=NF($G771,"Posting Date")</t>
  </si>
  <si>
    <t>=NF($G771,"Entry No.")</t>
  </si>
  <si>
    <t>=NF(G771,"Source Type")</t>
  </si>
  <si>
    <t>=NF($G771,"Source No.")</t>
  </si>
  <si>
    <t>=IF($J771="Customer",NL("first",$J771,"Name","No.","@@"&amp;$K771),"")</t>
  </si>
  <si>
    <t>=IF(J771="vendor",NL("first",J771,"Name","No.","@@"&amp;K771),"")</t>
  </si>
  <si>
    <t>=IF($J771="Item",NL("first",$J771,"Description","No.","@@"&amp;$K771),"")</t>
  </si>
  <si>
    <t>=NL("Sum","Item Ledger Entry","Quantity","Entry Type","Purchase","Entry No.",I771,"Location Code",$L$7)</t>
  </si>
  <si>
    <t>=NL("Sum","Item Ledger Entry","Quantity","Entry Type","Sale","Entry No.",I771,"Location Code",$L$7)</t>
  </si>
  <si>
    <t>=NL("Sum","Item Ledger Entry","Quantity","Entry Type","Positive Adjmt.|Negative Adjmt.","Entry No.",I771,"Location Code",$L$7)</t>
  </si>
  <si>
    <t>=NL("Sum","Item Ledger Entry","Quantity","Entry Type","Transfer","Entry No.",I771,"Location Code",$L$7)</t>
  </si>
  <si>
    <t>=NL("Sum","Item Ledger Entry","Quantity","Entry Type","Consumption","Entry No.",I771,"Location Code",$L$7)</t>
  </si>
  <si>
    <t>=NL("Sum","Item Ledger Entry","Quantity","Entry Type","Output","Entry No.",I771,"Location Code",$L$7)</t>
  </si>
  <si>
    <t>=D771</t>
  </si>
  <si>
    <t>=NF($G772,"Posting Date")</t>
  </si>
  <si>
    <t>=NF($G772,"Entry No.")</t>
  </si>
  <si>
    <t>=NF(G772,"Source Type")</t>
  </si>
  <si>
    <t>=NF($G772,"Source No.")</t>
  </si>
  <si>
    <t>=IF($J772="Customer",NL("first",$J772,"Name","No.","@@"&amp;$K772),"")</t>
  </si>
  <si>
    <t>=IF(J772="vendor",NL("first",J772,"Name","No.","@@"&amp;K772),"")</t>
  </si>
  <si>
    <t>=IF($J772="Item",NL("first",$J772,"Description","No.","@@"&amp;$K772),"")</t>
  </si>
  <si>
    <t>=NL("Sum","Item Ledger Entry","Quantity","Entry Type","Purchase","Entry No.",I772,"Location Code",$L$7)</t>
  </si>
  <si>
    <t>=NL("Sum","Item Ledger Entry","Quantity","Entry Type","Sale","Entry No.",I772,"Location Code",$L$7)</t>
  </si>
  <si>
    <t>=NL("Sum","Item Ledger Entry","Quantity","Entry Type","Positive Adjmt.|Negative Adjmt.","Entry No.",I772,"Location Code",$L$7)</t>
  </si>
  <si>
    <t>=NL("Sum","Item Ledger Entry","Quantity","Entry Type","Transfer","Entry No.",I772,"Location Code",$L$7)</t>
  </si>
  <si>
    <t>=NL("Sum","Item Ledger Entry","Quantity","Entry Type","Consumption","Entry No.",I772,"Location Code",$L$7)</t>
  </si>
  <si>
    <t>=NL("Sum","Item Ledger Entry","Quantity","Entry Type","Output","Entry No.",I772,"Location Code",$L$7)</t>
  </si>
  <si>
    <t>=D772</t>
  </si>
  <si>
    <t>=NF($G773,"Posting Date")</t>
  </si>
  <si>
    <t>=NF($G773,"Entry No.")</t>
  </si>
  <si>
    <t>=NF(G773,"Source Type")</t>
  </si>
  <si>
    <t>=NF($G773,"Source No.")</t>
  </si>
  <si>
    <t>=IF($J773="Customer",NL("first",$J773,"Name","No.","@@"&amp;$K773),"")</t>
  </si>
  <si>
    <t>=IF(J773="vendor",NL("first",J773,"Name","No.","@@"&amp;K773),"")</t>
  </si>
  <si>
    <t>=IF($J773="Item",NL("first",$J773,"Description","No.","@@"&amp;$K773),"")</t>
  </si>
  <si>
    <t>=NL("Sum","Item Ledger Entry","Quantity","Entry Type","Purchase","Entry No.",I773,"Location Code",$L$7)</t>
  </si>
  <si>
    <t>=NL("Sum","Item Ledger Entry","Quantity","Entry Type","Sale","Entry No.",I773,"Location Code",$L$7)</t>
  </si>
  <si>
    <t>=NL("Sum","Item Ledger Entry","Quantity","Entry Type","Positive Adjmt.|Negative Adjmt.","Entry No.",I773,"Location Code",$L$7)</t>
  </si>
  <si>
    <t>=NL("Sum","Item Ledger Entry","Quantity","Entry Type","Transfer","Entry No.",I773,"Location Code",$L$7)</t>
  </si>
  <si>
    <t>=NL("Sum","Item Ledger Entry","Quantity","Entry Type","Consumption","Entry No.",I773,"Location Code",$L$7)</t>
  </si>
  <si>
    <t>=NL("Sum","Item Ledger Entry","Quantity","Entry Type","Output","Entry No.",I773,"Location Code",$L$7)</t>
  </si>
  <si>
    <t>="E100023"</t>
  </si>
  <si>
    <t>=D776</t>
  </si>
  <si>
    <t>=NF($G777,"Posting Date")</t>
  </si>
  <si>
    <t>=NF($G777,"Entry No.")</t>
  </si>
  <si>
    <t>=NF(G777,"Source Type")</t>
  </si>
  <si>
    <t>=NF($G777,"Source No.")</t>
  </si>
  <si>
    <t>=IF($J777="Customer",NL("first",$J777,"Name","No.","@@"&amp;$K777),"")</t>
  </si>
  <si>
    <t>=IF(J777="vendor",NL("first",J777,"Name","No.","@@"&amp;K777),"")</t>
  </si>
  <si>
    <t>=IF($J777="Item",NL("first",$J777,"Description","No.","@@"&amp;$K777),"")</t>
  </si>
  <si>
    <t>=NL("Sum","Item Ledger Entry","Quantity","Entry Type","Purchase","Entry No.",I777,"Location Code",$L$7)</t>
  </si>
  <si>
    <t>=NL("Sum","Item Ledger Entry","Quantity","Entry Type","Sale","Entry No.",I777,"Location Code",$L$7)</t>
  </si>
  <si>
    <t>=NL("Sum","Item Ledger Entry","Quantity","Entry Type","Positive Adjmt.|Negative Adjmt.","Entry No.",I777,"Location Code",$L$7)</t>
  </si>
  <si>
    <t>=NL("Sum","Item Ledger Entry","Quantity","Entry Type","Transfer","Entry No.",I777,"Location Code",$L$7)</t>
  </si>
  <si>
    <t>=NL("Sum","Item Ledger Entry","Quantity","Entry Type","Consumption","Entry No.",I777,"Location Code",$L$7)</t>
  </si>
  <si>
    <t>=NL("Sum","Item Ledger Entry","Quantity","Entry Type","Output","Entry No.",I777,"Location Code",$L$7)</t>
  </si>
  <si>
    <t>=D777</t>
  </si>
  <si>
    <t>=NF($G778,"Posting Date")</t>
  </si>
  <si>
    <t>=NF($G778,"Entry No.")</t>
  </si>
  <si>
    <t>=NF(G778,"Source Type")</t>
  </si>
  <si>
    <t>=NF($G778,"Source No.")</t>
  </si>
  <si>
    <t>=IF($J778="Customer",NL("first",$J778,"Name","No.","@@"&amp;$K778),"")</t>
  </si>
  <si>
    <t>=IF(J778="vendor",NL("first",J778,"Name","No.","@@"&amp;K778),"")</t>
  </si>
  <si>
    <t>=IF($J778="Item",NL("first",$J778,"Description","No.","@@"&amp;$K778),"")</t>
  </si>
  <si>
    <t>=D780</t>
  </si>
  <si>
    <t>=NF($G781,"Posting Date")</t>
  </si>
  <si>
    <t>=NF($G781,"Entry No.")</t>
  </si>
  <si>
    <t>=NF(G781,"Source Type")</t>
  </si>
  <si>
    <t>=NF($G781,"Source No.")</t>
  </si>
  <si>
    <t>=IF($J781="Customer",NL("first",$J781,"Name","No.","@@"&amp;$K781),"")</t>
  </si>
  <si>
    <t>=IF(J781="vendor",NL("first",J781,"Name","No.","@@"&amp;K781),"")</t>
  </si>
  <si>
    <t>=IF($J781="Item",NL("first",$J781,"Description","No.","@@"&amp;$K781),"")</t>
  </si>
  <si>
    <t>=NL("Sum","Item Ledger Entry","Quantity","Entry Type","Purchase","Entry No.",I781,"Location Code",$L$7)</t>
  </si>
  <si>
    <t>=NL("Sum","Item Ledger Entry","Quantity","Entry Type","Sale","Entry No.",I781,"Location Code",$L$7)</t>
  </si>
  <si>
    <t>=NL("Sum","Item Ledger Entry","Quantity","Entry Type","Positive Adjmt.|Negative Adjmt.","Entry No.",I781,"Location Code",$L$7)</t>
  </si>
  <si>
    <t>=NL("Sum","Item Ledger Entry","Quantity","Entry Type","Transfer","Entry No.",I781,"Location Code",$L$7)</t>
  </si>
  <si>
    <t>=NL("Sum","Item Ledger Entry","Quantity","Entry Type","Consumption","Entry No.",I781,"Location Code",$L$7)</t>
  </si>
  <si>
    <t>=NL("Sum","Item Ledger Entry","Quantity","Entry Type","Output","Entry No.",I781,"Location Code",$L$7)</t>
  </si>
  <si>
    <t>="E100024"</t>
  </si>
  <si>
    <t>=D786</t>
  </si>
  <si>
    <t>=NF($G787,"Posting Date")</t>
  </si>
  <si>
    <t>=NF($G787,"Entry No.")</t>
  </si>
  <si>
    <t>=NF(G787,"Source Type")</t>
  </si>
  <si>
    <t>=NF($G787,"Source No.")</t>
  </si>
  <si>
    <t>=IF($J787="Customer",NL("first",$J787,"Name","No.","@@"&amp;$K787),"")</t>
  </si>
  <si>
    <t>=IF(J787="vendor",NL("first",J787,"Name","No.","@@"&amp;K787),"")</t>
  </si>
  <si>
    <t>=IF($J787="Item",NL("first",$J787,"Description","No.","@@"&amp;$K787),"")</t>
  </si>
  <si>
    <t>=NL("Sum","Item Ledger Entry","Quantity","Entry Type","Purchase","Entry No.",I787,"Location Code",$L$7)</t>
  </si>
  <si>
    <t>=NL("Sum","Item Ledger Entry","Quantity","Entry Type","Sale","Entry No.",I787,"Location Code",$L$7)</t>
  </si>
  <si>
    <t>=NL("Sum","Item Ledger Entry","Quantity","Entry Type","Positive Adjmt.|Negative Adjmt.","Entry No.",I787,"Location Code",$L$7)</t>
  </si>
  <si>
    <t>=NL("Sum","Item Ledger Entry","Quantity","Entry Type","Transfer","Entry No.",I787,"Location Code",$L$7)</t>
  </si>
  <si>
    <t>=NL("Sum","Item Ledger Entry","Quantity","Entry Type","Consumption","Entry No.",I787,"Location Code",$L$7)</t>
  </si>
  <si>
    <t>=NL("Sum","Item Ledger Entry","Quantity","Entry Type","Output","Entry No.",I787,"Location Code",$L$7)</t>
  </si>
  <si>
    <t>=D787</t>
  </si>
  <si>
    <t>=NF($G788,"Posting Date")</t>
  </si>
  <si>
    <t>=NF($G788,"Entry No.")</t>
  </si>
  <si>
    <t>=NF(G788,"Source Type")</t>
  </si>
  <si>
    <t>=NF($G788,"Source No.")</t>
  </si>
  <si>
    <t>=IF($J788="Customer",NL("first",$J788,"Name","No.","@@"&amp;$K788),"")</t>
  </si>
  <si>
    <t>=IF(J788="vendor",NL("first",J788,"Name","No.","@@"&amp;K788),"")</t>
  </si>
  <si>
    <t>=IF($J788="Item",NL("first",$J788,"Description","No.","@@"&amp;$K788),"")</t>
  </si>
  <si>
    <t>=NL("Sum","Item Ledger Entry","Quantity","Entry Type","Purchase","Entry No.",I788,"Location Code",$L$7)</t>
  </si>
  <si>
    <t>=NL("Sum","Item Ledger Entry","Quantity","Entry Type","Sale","Entry No.",I788,"Location Code",$L$7)</t>
  </si>
  <si>
    <t>=NL("Sum","Item Ledger Entry","Quantity","Entry Type","Positive Adjmt.|Negative Adjmt.","Entry No.",I788,"Location Code",$L$7)</t>
  </si>
  <si>
    <t>=NL("Sum","Item Ledger Entry","Quantity","Entry Type","Transfer","Entry No.",I788,"Location Code",$L$7)</t>
  </si>
  <si>
    <t>=NL("Sum","Item Ledger Entry","Quantity","Entry Type","Consumption","Entry No.",I788,"Location Code",$L$7)</t>
  </si>
  <si>
    <t>=NL("Sum","Item Ledger Entry","Quantity","Entry Type","Output","Entry No.",I788,"Location Code",$L$7)</t>
  </si>
  <si>
    <t>="E100025"</t>
  </si>
  <si>
    <t>="E100026"</t>
  </si>
  <si>
    <t>=D806</t>
  </si>
  <si>
    <t>=NF($G807,"Posting Date")</t>
  </si>
  <si>
    <t>=NF($G807,"Entry No.")</t>
  </si>
  <si>
    <t>=NF(G807,"Source Type")</t>
  </si>
  <si>
    <t>=NF($G807,"Source No.")</t>
  </si>
  <si>
    <t>=IF($J807="Customer",NL("first",$J807,"Name","No.","@@"&amp;$K807),"")</t>
  </si>
  <si>
    <t>=IF(J807="vendor",NL("first",J807,"Name","No.","@@"&amp;K807),"")</t>
  </si>
  <si>
    <t>=IF($J807="Item",NL("first",$J807,"Description","No.","@@"&amp;$K807),"")</t>
  </si>
  <si>
    <t>=NL("Sum","Item Ledger Entry","Quantity","Entry Type","Purchase","Entry No.",I807,"Location Code",$L$7)</t>
  </si>
  <si>
    <t>=NL("Sum","Item Ledger Entry","Quantity","Entry Type","Sale","Entry No.",I807,"Location Code",$L$7)</t>
  </si>
  <si>
    <t>=NL("Sum","Item Ledger Entry","Quantity","Entry Type","Positive Adjmt.|Negative Adjmt.","Entry No.",I807,"Location Code",$L$7)</t>
  </si>
  <si>
    <t>=NL("Sum","Item Ledger Entry","Quantity","Entry Type","Transfer","Entry No.",I807,"Location Code",$L$7)</t>
  </si>
  <si>
    <t>=NL("Sum","Item Ledger Entry","Quantity","Entry Type","Consumption","Entry No.",I807,"Location Code",$L$7)</t>
  </si>
  <si>
    <t>=NL("Sum","Item Ledger Entry","Quantity","Entry Type","Output","Entry No.",I807,"Location Code",$L$7)</t>
  </si>
  <si>
    <t>="E100027"</t>
  </si>
  <si>
    <t>="E100028"</t>
  </si>
  <si>
    <t>=D814</t>
  </si>
  <si>
    <t>=NF($G815,"Posting Date")</t>
  </si>
  <si>
    <t>=NF($G815,"Entry No.")</t>
  </si>
  <si>
    <t>=NF(G815,"Source Type")</t>
  </si>
  <si>
    <t>=NF($G815,"Source No.")</t>
  </si>
  <si>
    <t>=IF($J815="Customer",NL("first",$J815,"Name","No.","@@"&amp;$K815),"")</t>
  </si>
  <si>
    <t>=IF(J815="vendor",NL("first",J815,"Name","No.","@@"&amp;K815),"")</t>
  </si>
  <si>
    <t>=IF($J815="Item",NL("first",$J815,"Description","No.","@@"&amp;$K815),"")</t>
  </si>
  <si>
    <t>=NL("Sum","Item Ledger Entry","Quantity","Entry Type","Purchase","Entry No.",I815,"Location Code",$L$7)</t>
  </si>
  <si>
    <t>=NL("Sum","Item Ledger Entry","Quantity","Entry Type","Sale","Entry No.",I815,"Location Code",$L$7)</t>
  </si>
  <si>
    <t>=NL("Sum","Item Ledger Entry","Quantity","Entry Type","Positive Adjmt.|Negative Adjmt.","Entry No.",I815,"Location Code",$L$7)</t>
  </si>
  <si>
    <t>=NL("Sum","Item Ledger Entry","Quantity","Entry Type","Transfer","Entry No.",I815,"Location Code",$L$7)</t>
  </si>
  <si>
    <t>=NL("Sum","Item Ledger Entry","Quantity","Entry Type","Consumption","Entry No.",I815,"Location Code",$L$7)</t>
  </si>
  <si>
    <t>=NL("Sum","Item Ledger Entry","Quantity","Entry Type","Output","Entry No.",I815,"Location Code",$L$7)</t>
  </si>
  <si>
    <t>=D818</t>
  </si>
  <si>
    <t>=NF($G819,"Posting Date")</t>
  </si>
  <si>
    <t>=NF($G819,"Entry No.")</t>
  </si>
  <si>
    <t>=NF(G819,"Source Type")</t>
  </si>
  <si>
    <t>=NF($G819,"Source No.")</t>
  </si>
  <si>
    <t>=IF($J819="Customer",NL("first",$J819,"Name","No.","@@"&amp;$K819),"")</t>
  </si>
  <si>
    <t>=IF(J819="vendor",NL("first",J819,"Name","No.","@@"&amp;K819),"")</t>
  </si>
  <si>
    <t>=IF($J819="Item",NL("first",$J819,"Description","No.","@@"&amp;$K819),"")</t>
  </si>
  <si>
    <t>=NL("Sum","Item Ledger Entry","Quantity","Entry Type","Purchase","Entry No.",I819,"Location Code",$L$7)</t>
  </si>
  <si>
    <t>=NL("Sum","Item Ledger Entry","Quantity","Entry Type","Sale","Entry No.",I819,"Location Code",$L$7)</t>
  </si>
  <si>
    <t>=NL("Sum","Item Ledger Entry","Quantity","Entry Type","Positive Adjmt.|Negative Adjmt.","Entry No.",I819,"Location Code",$L$7)</t>
  </si>
  <si>
    <t>=NL("Sum","Item Ledger Entry","Quantity","Entry Type","Transfer","Entry No.",I819,"Location Code",$L$7)</t>
  </si>
  <si>
    <t>=NL("Sum","Item Ledger Entry","Quantity","Entry Type","Consumption","Entry No.",I819,"Location Code",$L$7)</t>
  </si>
  <si>
    <t>=NL("Sum","Item Ledger Entry","Quantity","Entry Type","Output","Entry No.",I819,"Location Code",$L$7)</t>
  </si>
  <si>
    <t>=D819</t>
  </si>
  <si>
    <t>=NF($G820,"Posting Date")</t>
  </si>
  <si>
    <t>=NF($G820,"Entry No.")</t>
  </si>
  <si>
    <t>=NF(G820,"Source Type")</t>
  </si>
  <si>
    <t>=NF($G820,"Source No.")</t>
  </si>
  <si>
    <t>=IF($J820="Customer",NL("first",$J820,"Name","No.","@@"&amp;$K820),"")</t>
  </si>
  <si>
    <t>=IF(J820="vendor",NL("first",J820,"Name","No.","@@"&amp;K820),"")</t>
  </si>
  <si>
    <t>=IF($J820="Item",NL("first",$J820,"Description","No.","@@"&amp;$K820),"")</t>
  </si>
  <si>
    <t>=NL("Sum","Item Ledger Entry","Quantity","Entry Type","Purchase","Entry No.",I820,"Location Code",$L$7)</t>
  </si>
  <si>
    <t>=NL("Sum","Item Ledger Entry","Quantity","Entry Type","Sale","Entry No.",I820,"Location Code",$L$7)</t>
  </si>
  <si>
    <t>=NL("Sum","Item Ledger Entry","Quantity","Entry Type","Positive Adjmt.|Negative Adjmt.","Entry No.",I820,"Location Code",$L$7)</t>
  </si>
  <si>
    <t>=NL("Sum","Item Ledger Entry","Quantity","Entry Type","Transfer","Entry No.",I820,"Location Code",$L$7)</t>
  </si>
  <si>
    <t>=NL("Sum","Item Ledger Entry","Quantity","Entry Type","Consumption","Entry No.",I820,"Location Code",$L$7)</t>
  </si>
  <si>
    <t>=NL("Sum","Item Ledger Entry","Quantity","Entry Type","Output","Entry No.",I820,"Location Code",$L$7)</t>
  </si>
  <si>
    <t>="E100029"</t>
  </si>
  <si>
    <t>=D824</t>
  </si>
  <si>
    <t>=NF($G825,"Posting Date")</t>
  </si>
  <si>
    <t>=NF($G825,"Entry No.")</t>
  </si>
  <si>
    <t>=NF(G825,"Source Type")</t>
  </si>
  <si>
    <t>=NF($G825,"Source No.")</t>
  </si>
  <si>
    <t>=IF($J825="Customer",NL("first",$J825,"Name","No.","@@"&amp;$K825),"")</t>
  </si>
  <si>
    <t>=IF(J825="vendor",NL("first",J825,"Name","No.","@@"&amp;K825),"")</t>
  </si>
  <si>
    <t>=IF($J825="Item",NL("first",$J825,"Description","No.","@@"&amp;$K825),"")</t>
  </si>
  <si>
    <t>=NL("Sum","Item Ledger Entry","Quantity","Entry Type","Purchase","Entry No.",I825,"Location Code",$L$7)</t>
  </si>
  <si>
    <t>=NL("Sum","Item Ledger Entry","Quantity","Entry Type","Sale","Entry No.",I825,"Location Code",$L$7)</t>
  </si>
  <si>
    <t>=NL("Sum","Item Ledger Entry","Quantity","Entry Type","Positive Adjmt.|Negative Adjmt.","Entry No.",I825,"Location Code",$L$7)</t>
  </si>
  <si>
    <t>=NL("Sum","Item Ledger Entry","Quantity","Entry Type","Transfer","Entry No.",I825,"Location Code",$L$7)</t>
  </si>
  <si>
    <t>=NL("Sum","Item Ledger Entry","Quantity","Entry Type","Consumption","Entry No.",I825,"Location Code",$L$7)</t>
  </si>
  <si>
    <t>=NL("Sum","Item Ledger Entry","Quantity","Entry Type","Output","Entry No.",I825,"Location Code",$L$7)</t>
  </si>
  <si>
    <t>=D825</t>
  </si>
  <si>
    <t>=NF($G826,"Posting Date")</t>
  </si>
  <si>
    <t>=NF($G826,"Entry No.")</t>
  </si>
  <si>
    <t>=NF(G826,"Source Type")</t>
  </si>
  <si>
    <t>=NF($G826,"Source No.")</t>
  </si>
  <si>
    <t>=IF($J826="Customer",NL("first",$J826,"Name","No.","@@"&amp;$K826),"")</t>
  </si>
  <si>
    <t>=IF(J826="vendor",NL("first",J826,"Name","No.","@@"&amp;K826),"")</t>
  </si>
  <si>
    <t>=IF($J826="Item",NL("first",$J826,"Description","No.","@@"&amp;$K826),"")</t>
  </si>
  <si>
    <t>=NL("Sum","Item Ledger Entry","Quantity","Entry Type","Purchase","Entry No.",I826,"Location Code",$L$7)</t>
  </si>
  <si>
    <t>=NL("Sum","Item Ledger Entry","Quantity","Entry Type","Sale","Entry No.",I826,"Location Code",$L$7)</t>
  </si>
  <si>
    <t>=NL("Sum","Item Ledger Entry","Quantity","Entry Type","Positive Adjmt.|Negative Adjmt.","Entry No.",I826,"Location Code",$L$7)</t>
  </si>
  <si>
    <t>=NL("Sum","Item Ledger Entry","Quantity","Entry Type","Transfer","Entry No.",I826,"Location Code",$L$7)</t>
  </si>
  <si>
    <t>=NL("Sum","Item Ledger Entry","Quantity","Entry Type","Consumption","Entry No.",I826,"Location Code",$L$7)</t>
  </si>
  <si>
    <t>=NL("Sum","Item Ledger Entry","Quantity","Entry Type","Output","Entry No.",I826,"Location Code",$L$7)</t>
  </si>
  <si>
    <t>=E829</t>
  </si>
  <si>
    <t>="E100030"</t>
  </si>
  <si>
    <t>=NL("First","Item","Description","No.",$E829)</t>
  </si>
  <si>
    <t>=NL("First","Item","Base Unit of Measure","No.",$E829)</t>
  </si>
  <si>
    <t>=D829</t>
  </si>
  <si>
    <t>=NL("Rows","Item Ledger Entry",,"+Posting Date",$L$5,"Item No.","@@"&amp;$D830,"Location Code",$L$7)</t>
  </si>
  <si>
    <t>=NF($G830,"Posting Date")</t>
  </si>
  <si>
    <t>=NF($G830,"Entry No.")</t>
  </si>
  <si>
    <t>=NF(G830,"Source Type")</t>
  </si>
  <si>
    <t>=NF($G830,"Source No.")</t>
  </si>
  <si>
    <t>=IF($J830="Customer",NL("first",$J830,"Name","No.","@@"&amp;$K830),"")</t>
  </si>
  <si>
    <t>=IF(J830="vendor",NL("first",J830,"Name","No.","@@"&amp;K830),"")</t>
  </si>
  <si>
    <t>=IF($J830="Item",NL("first",$J830,"Description","No.","@@"&amp;$K830),"")</t>
  </si>
  <si>
    <t>=NL("Sum","Item Ledger Entry","Quantity","Entry Type","Purchase","Entry No.",I830,"Location Code",$L$7)</t>
  </si>
  <si>
    <t>=NL("Sum","Item Ledger Entry","Quantity","Entry Type","Sale","Entry No.",I830,"Location Code",$L$7)</t>
  </si>
  <si>
    <t>=NL("Sum","Item Ledger Entry","Quantity","Entry Type","Positive Adjmt.|Negative Adjmt.","Entry No.",I830,"Location Code",$L$7)</t>
  </si>
  <si>
    <t>=NL("Sum","Item Ledger Entry","Quantity","Entry Type","Transfer","Entry No.",I830,"Location Code",$L$7)</t>
  </si>
  <si>
    <t>=NL("Sum","Item Ledger Entry","Quantity","Entry Type","Consumption","Entry No.",I830,"Location Code",$L$7)</t>
  </si>
  <si>
    <t>=NL("Sum","Item Ledger Entry","Quantity","Entry Type","Output","Entry No.",I830,"Location Code",$L$7)</t>
  </si>
  <si>
    <t>=D830</t>
  </si>
  <si>
    <t>=NF($G831,"Posting Date")</t>
  </si>
  <si>
    <t>=NF($G831,"Entry No.")</t>
  </si>
  <si>
    <t>=NF(G831,"Source Type")</t>
  </si>
  <si>
    <t>=NF($G831,"Source No.")</t>
  </si>
  <si>
    <t>=IF($J831="Customer",NL("first",$J831,"Name","No.","@@"&amp;$K831),"")</t>
  </si>
  <si>
    <t>=IF(J831="vendor",NL("first",J831,"Name","No.","@@"&amp;K831),"")</t>
  </si>
  <si>
    <t>=IF($J831="Item",NL("first",$J831,"Description","No.","@@"&amp;$K831),"")</t>
  </si>
  <si>
    <t>=NL("Sum","Item Ledger Entry","Quantity","Entry Type","Purchase","Entry No.",I831,"Location Code",$L$7)</t>
  </si>
  <si>
    <t>=NL("Sum","Item Ledger Entry","Quantity","Entry Type","Sale","Entry No.",I831,"Location Code",$L$7)</t>
  </si>
  <si>
    <t>=NL("Sum","Item Ledger Entry","Quantity","Entry Type","Positive Adjmt.|Negative Adjmt.","Entry No.",I831,"Location Code",$L$7)</t>
  </si>
  <si>
    <t>=NL("Sum","Item Ledger Entry","Quantity","Entry Type","Transfer","Entry No.",I831,"Location Code",$L$7)</t>
  </si>
  <si>
    <t>=NL("Sum","Item Ledger Entry","Quantity","Entry Type","Consumption","Entry No.",I831,"Location Code",$L$7)</t>
  </si>
  <si>
    <t>=NL("Sum","Item Ledger Entry","Quantity","Entry Type","Output","Entry No.",I831,"Location Code",$L$7)</t>
  </si>
  <si>
    <t>="E100031"</t>
  </si>
  <si>
    <t>=D835</t>
  </si>
  <si>
    <t>=NF($G836,"Posting Date")</t>
  </si>
  <si>
    <t>=NF($G836,"Entry No.")</t>
  </si>
  <si>
    <t>=NF(G836,"Source Type")</t>
  </si>
  <si>
    <t>=NF($G836,"Source No.")</t>
  </si>
  <si>
    <t>=IF($J836="Customer",NL("first",$J836,"Name","No.","@@"&amp;$K836),"")</t>
  </si>
  <si>
    <t>=IF(J836="vendor",NL("first",J836,"Name","No.","@@"&amp;K836),"")</t>
  </si>
  <si>
    <t>=IF($J836="Item",NL("first",$J836,"Description","No.","@@"&amp;$K836),"")</t>
  </si>
  <si>
    <t>=D839</t>
  </si>
  <si>
    <t>=NF($G840,"Posting Date")</t>
  </si>
  <si>
    <t>=NF($G840,"Entry No.")</t>
  </si>
  <si>
    <t>=NF(G840,"Source Type")</t>
  </si>
  <si>
    <t>=NF($G840,"Source No.")</t>
  </si>
  <si>
    <t>=IF($J840="Customer",NL("first",$J840,"Name","No.","@@"&amp;$K840),"")</t>
  </si>
  <si>
    <t>=IF(J840="vendor",NL("first",J840,"Name","No.","@@"&amp;K840),"")</t>
  </si>
  <si>
    <t>=IF($J840="Item",NL("first",$J840,"Description","No.","@@"&amp;$K840),"")</t>
  </si>
  <si>
    <t>=NL("Sum","Item Ledger Entry","Quantity","Entry Type","Purchase","Entry No.",I840,"Location Code",$L$7)</t>
  </si>
  <si>
    <t>=NL("Sum","Item Ledger Entry","Quantity","Entry Type","Sale","Entry No.",I840,"Location Code",$L$7)</t>
  </si>
  <si>
    <t>=NL("Sum","Item Ledger Entry","Quantity","Entry Type","Positive Adjmt.|Negative Adjmt.","Entry No.",I840,"Location Code",$L$7)</t>
  </si>
  <si>
    <t>=NL("Sum","Item Ledger Entry","Quantity","Entry Type","Transfer","Entry No.",I840,"Location Code",$L$7)</t>
  </si>
  <si>
    <t>=NL("Sum","Item Ledger Entry","Quantity","Entry Type","Consumption","Entry No.",I840,"Location Code",$L$7)</t>
  </si>
  <si>
    <t>=NL("Sum","Item Ledger Entry","Quantity","Entry Type","Output","Entry No.",I840,"Location Code",$L$7)</t>
  </si>
  <si>
    <t>=D840</t>
  </si>
  <si>
    <t>=NF($G841,"Posting Date")</t>
  </si>
  <si>
    <t>=NF($G841,"Entry No.")</t>
  </si>
  <si>
    <t>=NF(G841,"Source Type")</t>
  </si>
  <si>
    <t>=NF($G841,"Source No.")</t>
  </si>
  <si>
    <t>=IF($J841="Customer",NL("first",$J841,"Name","No.","@@"&amp;$K841),"")</t>
  </si>
  <si>
    <t>=IF(J841="vendor",NL("first",J841,"Name","No.","@@"&amp;K841),"")</t>
  </si>
  <si>
    <t>=IF($J841="Item",NL("first",$J841,"Description","No.","@@"&amp;$K841),"")</t>
  </si>
  <si>
    <t>=NL("Sum","Item Ledger Entry","Quantity","Entry Type","Purchase","Entry No.",I841,"Location Code",$L$7)</t>
  </si>
  <si>
    <t>=NL("Sum","Item Ledger Entry","Quantity","Entry Type","Sale","Entry No.",I841,"Location Code",$L$7)</t>
  </si>
  <si>
    <t>=NL("Sum","Item Ledger Entry","Quantity","Entry Type","Positive Adjmt.|Negative Adjmt.","Entry No.",I841,"Location Code",$L$7)</t>
  </si>
  <si>
    <t>=NL("Sum","Item Ledger Entry","Quantity","Entry Type","Transfer","Entry No.",I841,"Location Code",$L$7)</t>
  </si>
  <si>
    <t>=NL("Sum","Item Ledger Entry","Quantity","Entry Type","Consumption","Entry No.",I841,"Location Code",$L$7)</t>
  </si>
  <si>
    <t>=NL("Sum","Item Ledger Entry","Quantity","Entry Type","Output","Entry No.",I841,"Location Code",$L$7)</t>
  </si>
  <si>
    <t>=D841</t>
  </si>
  <si>
    <t>=NF($G842,"Posting Date")</t>
  </si>
  <si>
    <t>=NF($G842,"Entry No.")</t>
  </si>
  <si>
    <t>=NF(G842,"Source Type")</t>
  </si>
  <si>
    <t>=NF($G842,"Source No.")</t>
  </si>
  <si>
    <t>=IF($J842="Customer",NL("first",$J842,"Name","No.","@@"&amp;$K842),"")</t>
  </si>
  <si>
    <t>=IF(J842="vendor",NL("first",J842,"Name","No.","@@"&amp;K842),"")</t>
  </si>
  <si>
    <t>=IF($J842="Item",NL("first",$J842,"Description","No.","@@"&amp;$K842),"")</t>
  </si>
  <si>
    <t>=NL("Sum","Item Ledger Entry","Quantity","Entry Type","Purchase","Entry No.",I842,"Location Code",$L$7)</t>
  </si>
  <si>
    <t>=NL("Sum","Item Ledger Entry","Quantity","Entry Type","Sale","Entry No.",I842,"Location Code",$L$7)</t>
  </si>
  <si>
    <t>=NL("Sum","Item Ledger Entry","Quantity","Entry Type","Positive Adjmt.|Negative Adjmt.","Entry No.",I842,"Location Code",$L$7)</t>
  </si>
  <si>
    <t>=NL("Sum","Item Ledger Entry","Quantity","Entry Type","Transfer","Entry No.",I842,"Location Code",$L$7)</t>
  </si>
  <si>
    <t>=NL("Sum","Item Ledger Entry","Quantity","Entry Type","Consumption","Entry No.",I842,"Location Code",$L$7)</t>
  </si>
  <si>
    <t>=NL("Sum","Item Ledger Entry","Quantity","Entry Type","Output","Entry No.",I842,"Location Code",$L$7)</t>
  </si>
  <si>
    <t>="E100032"</t>
  </si>
  <si>
    <t>=D847</t>
  </si>
  <si>
    <t>=NF($G848,"Posting Date")</t>
  </si>
  <si>
    <t>=NF($G848,"Entry No.")</t>
  </si>
  <si>
    <t>=NF(G848,"Source Type")</t>
  </si>
  <si>
    <t>=NF($G848,"Source No.")</t>
  </si>
  <si>
    <t>=IF($J848="Customer",NL("first",$J848,"Name","No.","@@"&amp;$K848),"")</t>
  </si>
  <si>
    <t>=IF(J848="vendor",NL("first",J848,"Name","No.","@@"&amp;K848),"")</t>
  </si>
  <si>
    <t>=IF($J848="Item",NL("first",$J848,"Description","No.","@@"&amp;$K848),"")</t>
  </si>
  <si>
    <t>=NL("Sum","Item Ledger Entry","Quantity","Entry Type","Purchase","Entry No.",I848,"Location Code",$L$7)</t>
  </si>
  <si>
    <t>=NL("Sum","Item Ledger Entry","Quantity","Entry Type","Sale","Entry No.",I848,"Location Code",$L$7)</t>
  </si>
  <si>
    <t>=NL("Sum","Item Ledger Entry","Quantity","Entry Type","Positive Adjmt.|Negative Adjmt.","Entry No.",I848,"Location Code",$L$7)</t>
  </si>
  <si>
    <t>=NL("Sum","Item Ledger Entry","Quantity","Entry Type","Transfer","Entry No.",I848,"Location Code",$L$7)</t>
  </si>
  <si>
    <t>=NL("Sum","Item Ledger Entry","Quantity","Entry Type","Consumption","Entry No.",I848,"Location Code",$L$7)</t>
  </si>
  <si>
    <t>=NL("Sum","Item Ledger Entry","Quantity","Entry Type","Output","Entry No.",I848,"Location Code",$L$7)</t>
  </si>
  <si>
    <t>="E100033"</t>
  </si>
  <si>
    <t>=D853</t>
  </si>
  <si>
    <t>=NF($G854,"Posting Date")</t>
  </si>
  <si>
    <t>=NF($G854,"Entry No.")</t>
  </si>
  <si>
    <t>=NF(G854,"Source Type")</t>
  </si>
  <si>
    <t>=NF($G854,"Source No.")</t>
  </si>
  <si>
    <t>=IF($J854="Customer",NL("first",$J854,"Name","No.","@@"&amp;$K854),"")</t>
  </si>
  <si>
    <t>=IF(J854="vendor",NL("first",J854,"Name","No.","@@"&amp;K854),"")</t>
  </si>
  <si>
    <t>=IF($J854="Item",NL("first",$J854,"Description","No.","@@"&amp;$K854),"")</t>
  </si>
  <si>
    <t>=NL("Sum","Item Ledger Entry","Quantity","Entry Type","Purchase","Entry No.",I854,"Location Code",$L$7)</t>
  </si>
  <si>
    <t>=NL("Sum","Item Ledger Entry","Quantity","Entry Type","Sale","Entry No.",I854,"Location Code",$L$7)</t>
  </si>
  <si>
    <t>=NL("Sum","Item Ledger Entry","Quantity","Entry Type","Positive Adjmt.|Negative Adjmt.","Entry No.",I854,"Location Code",$L$7)</t>
  </si>
  <si>
    <t>=NL("Sum","Item Ledger Entry","Quantity","Entry Type","Transfer","Entry No.",I854,"Location Code",$L$7)</t>
  </si>
  <si>
    <t>=NL("Sum","Item Ledger Entry","Quantity","Entry Type","Consumption","Entry No.",I854,"Location Code",$L$7)</t>
  </si>
  <si>
    <t>=NL("Sum","Item Ledger Entry","Quantity","Entry Type","Output","Entry No.",I854,"Location Code",$L$7)</t>
  </si>
  <si>
    <t>=D854</t>
  </si>
  <si>
    <t>=NF($G855,"Posting Date")</t>
  </si>
  <si>
    <t>=NF($G855,"Entry No.")</t>
  </si>
  <si>
    <t>=NF(G855,"Source Type")</t>
  </si>
  <si>
    <t>=NF($G855,"Source No.")</t>
  </si>
  <si>
    <t>=IF($J855="Customer",NL("first",$J855,"Name","No.","@@"&amp;$K855),"")</t>
  </si>
  <si>
    <t>=IF(J855="vendor",NL("first",J855,"Name","No.","@@"&amp;K855),"")</t>
  </si>
  <si>
    <t>=IF($J855="Item",NL("first",$J855,"Description","No.","@@"&amp;$K855),"")</t>
  </si>
  <si>
    <t>=NL("Sum","Item Ledger Entry","Quantity","Entry Type","Purchase","Entry No.",I855,"Location Code",$L$7)</t>
  </si>
  <si>
    <t>=NL("Sum","Item Ledger Entry","Quantity","Entry Type","Sale","Entry No.",I855,"Location Code",$L$7)</t>
  </si>
  <si>
    <t>=NL("Sum","Item Ledger Entry","Quantity","Entry Type","Positive Adjmt.|Negative Adjmt.","Entry No.",I855,"Location Code",$L$7)</t>
  </si>
  <si>
    <t>=NL("Sum","Item Ledger Entry","Quantity","Entry Type","Transfer","Entry No.",I855,"Location Code",$L$7)</t>
  </si>
  <si>
    <t>=NL("Sum","Item Ledger Entry","Quantity","Entry Type","Consumption","Entry No.",I855,"Location Code",$L$7)</t>
  </si>
  <si>
    <t>=NL("Sum","Item Ledger Entry","Quantity","Entry Type","Output","Entry No.",I855,"Location Code",$L$7)</t>
  </si>
  <si>
    <t>="E100035"</t>
  </si>
  <si>
    <t>=D861</t>
  </si>
  <si>
    <t>=NF($G862,"Posting Date")</t>
  </si>
  <si>
    <t>=NF($G862,"Entry No.")</t>
  </si>
  <si>
    <t>=NF(G862,"Source Type")</t>
  </si>
  <si>
    <t>=NF($G862,"Source No.")</t>
  </si>
  <si>
    <t>=IF($J862="Customer",NL("first",$J862,"Name","No.","@@"&amp;$K862),"")</t>
  </si>
  <si>
    <t>=IF(J862="vendor",NL("first",J862,"Name","No.","@@"&amp;K862),"")</t>
  </si>
  <si>
    <t>=IF($J862="Item",NL("first",$J862,"Description","No.","@@"&amp;$K862),"")</t>
  </si>
  <si>
    <t>=NL("Sum","Item Ledger Entry","Quantity","Entry Type","Purchase","Entry No.",I862,"Location Code",$L$7)</t>
  </si>
  <si>
    <t>=NL("Sum","Item Ledger Entry","Quantity","Entry Type","Sale","Entry No.",I862,"Location Code",$L$7)</t>
  </si>
  <si>
    <t>=NL("Sum","Item Ledger Entry","Quantity","Entry Type","Positive Adjmt.|Negative Adjmt.","Entry No.",I862,"Location Code",$L$7)</t>
  </si>
  <si>
    <t>=NL("Sum","Item Ledger Entry","Quantity","Entry Type","Transfer","Entry No.",I862,"Location Code",$L$7)</t>
  </si>
  <si>
    <t>=NL("Sum","Item Ledger Entry","Quantity","Entry Type","Consumption","Entry No.",I862,"Location Code",$L$7)</t>
  </si>
  <si>
    <t>=NL("Sum","Item Ledger Entry","Quantity","Entry Type","Output","Entry No.",I862,"Location Code",$L$7)</t>
  </si>
  <si>
    <t>=D862</t>
  </si>
  <si>
    <t>=NF($G863,"Posting Date")</t>
  </si>
  <si>
    <t>=NF($G863,"Entry No.")</t>
  </si>
  <si>
    <t>=NF(G863,"Source Type")</t>
  </si>
  <si>
    <t>=NF($G863,"Source No.")</t>
  </si>
  <si>
    <t>=IF($J863="Customer",NL("first",$J863,"Name","No.","@@"&amp;$K863),"")</t>
  </si>
  <si>
    <t>=IF(J863="vendor",NL("first",J863,"Name","No.","@@"&amp;K863),"")</t>
  </si>
  <si>
    <t>=IF($J863="Item",NL("first",$J863,"Description","No.","@@"&amp;$K863),"")</t>
  </si>
  <si>
    <t>=NL("Sum","Item Ledger Entry","Quantity","Entry Type","Purchase","Entry No.",I863,"Location Code",$L$7)</t>
  </si>
  <si>
    <t>=NL("Sum","Item Ledger Entry","Quantity","Entry Type","Sale","Entry No.",I863,"Location Code",$L$7)</t>
  </si>
  <si>
    <t>=NL("Sum","Item Ledger Entry","Quantity","Entry Type","Positive Adjmt.|Negative Adjmt.","Entry No.",I863,"Location Code",$L$7)</t>
  </si>
  <si>
    <t>=NL("Sum","Item Ledger Entry","Quantity","Entry Type","Transfer","Entry No.",I863,"Location Code",$L$7)</t>
  </si>
  <si>
    <t>=NL("Sum","Item Ledger Entry","Quantity","Entry Type","Consumption","Entry No.",I863,"Location Code",$L$7)</t>
  </si>
  <si>
    <t>=NL("Sum","Item Ledger Entry","Quantity","Entry Type","Output","Entry No.",I863,"Location Code",$L$7)</t>
  </si>
  <si>
    <t>=D863</t>
  </si>
  <si>
    <t>=NF($G864,"Posting Date")</t>
  </si>
  <si>
    <t>=NF($G864,"Entry No.")</t>
  </si>
  <si>
    <t>=NF(G864,"Source Type")</t>
  </si>
  <si>
    <t>=NF($G864,"Source No.")</t>
  </si>
  <si>
    <t>=IF($J864="Customer",NL("first",$J864,"Name","No.","@@"&amp;$K864),"")</t>
  </si>
  <si>
    <t>=IF(J864="vendor",NL("first",J864,"Name","No.","@@"&amp;K864),"")</t>
  </si>
  <si>
    <t>=IF($J864="Item",NL("first",$J864,"Description","No.","@@"&amp;$K864),"")</t>
  </si>
  <si>
    <t>=NL("Sum","Item Ledger Entry","Quantity","Entry Type","Purchase","Entry No.",I864,"Location Code",$L$7)</t>
  </si>
  <si>
    <t>=NL("Sum","Item Ledger Entry","Quantity","Entry Type","Sale","Entry No.",I864,"Location Code",$L$7)</t>
  </si>
  <si>
    <t>=NL("Sum","Item Ledger Entry","Quantity","Entry Type","Positive Adjmt.|Negative Adjmt.","Entry No.",I864,"Location Code",$L$7)</t>
  </si>
  <si>
    <t>=NL("Sum","Item Ledger Entry","Quantity","Entry Type","Transfer","Entry No.",I864,"Location Code",$L$7)</t>
  </si>
  <si>
    <t>=NL("Sum","Item Ledger Entry","Quantity","Entry Type","Consumption","Entry No.",I864,"Location Code",$L$7)</t>
  </si>
  <si>
    <t>=NL("Sum","Item Ledger Entry","Quantity","Entry Type","Output","Entry No.",I864,"Location Code",$L$7)</t>
  </si>
  <si>
    <t>="E100038"</t>
  </si>
  <si>
    <t>=D867</t>
  </si>
  <si>
    <t>=NF($G868,"Posting Date")</t>
  </si>
  <si>
    <t>=NF($G868,"Entry No.")</t>
  </si>
  <si>
    <t>=NF(G868,"Source Type")</t>
  </si>
  <si>
    <t>=NF($G868,"Source No.")</t>
  </si>
  <si>
    <t>=IF($J868="Customer",NL("first",$J868,"Name","No.","@@"&amp;$K868),"")</t>
  </si>
  <si>
    <t>=IF(J868="vendor",NL("first",J868,"Name","No.","@@"&amp;K868),"")</t>
  </si>
  <si>
    <t>=IF($J868="Item",NL("first",$J868,"Description","No.","@@"&amp;$K868),"")</t>
  </si>
  <si>
    <t>=NL("Sum","Item Ledger Entry","Quantity","Entry Type","Purchase","Entry No.",I868,"Location Code",$L$7)</t>
  </si>
  <si>
    <t>=NL("Sum","Item Ledger Entry","Quantity","Entry Type","Sale","Entry No.",I868,"Location Code",$L$7)</t>
  </si>
  <si>
    <t>=NL("Sum","Item Ledger Entry","Quantity","Entry Type","Positive Adjmt.|Negative Adjmt.","Entry No.",I868,"Location Code",$L$7)</t>
  </si>
  <si>
    <t>=NL("Sum","Item Ledger Entry","Quantity","Entry Type","Transfer","Entry No.",I868,"Location Code",$L$7)</t>
  </si>
  <si>
    <t>=NL("Sum","Item Ledger Entry","Quantity","Entry Type","Consumption","Entry No.",I868,"Location Code",$L$7)</t>
  </si>
  <si>
    <t>=NL("Sum","Item Ledger Entry","Quantity","Entry Type","Output","Entry No.",I868,"Location Code",$L$7)</t>
  </si>
  <si>
    <t>="E100039"</t>
  </si>
  <si>
    <t>=D872</t>
  </si>
  <si>
    <t>=NF($G873,"Posting Date")</t>
  </si>
  <si>
    <t>=NF($G873,"Entry No.")</t>
  </si>
  <si>
    <t>=NF(G873,"Source Type")</t>
  </si>
  <si>
    <t>=NF($G873,"Source No.")</t>
  </si>
  <si>
    <t>=IF($J873="Customer",NL("first",$J873,"Name","No.","@@"&amp;$K873),"")</t>
  </si>
  <si>
    <t>=IF(J873="vendor",NL("first",J873,"Name","No.","@@"&amp;K873),"")</t>
  </si>
  <si>
    <t>=IF($J873="Item",NL("first",$J873,"Description","No.","@@"&amp;$K873),"")</t>
  </si>
  <si>
    <t>=NL("Sum","Item Ledger Entry","Quantity","Entry Type","Purchase","Entry No.",I873,"Location Code",$L$7)</t>
  </si>
  <si>
    <t>=NL("Sum","Item Ledger Entry","Quantity","Entry Type","Sale","Entry No.",I873,"Location Code",$L$7)</t>
  </si>
  <si>
    <t>=NL("Sum","Item Ledger Entry","Quantity","Entry Type","Positive Adjmt.|Negative Adjmt.","Entry No.",I873,"Location Code",$L$7)</t>
  </si>
  <si>
    <t>=NL("Sum","Item Ledger Entry","Quantity","Entry Type","Transfer","Entry No.",I873,"Location Code",$L$7)</t>
  </si>
  <si>
    <t>=NL("Sum","Item Ledger Entry","Quantity","Entry Type","Consumption","Entry No.",I873,"Location Code",$L$7)</t>
  </si>
  <si>
    <t>=NL("Sum","Item Ledger Entry","Quantity","Entry Type","Output","Entry No.",I873,"Location Code",$L$7)</t>
  </si>
  <si>
    <t>=D873</t>
  </si>
  <si>
    <t>=NF($G874,"Posting Date")</t>
  </si>
  <si>
    <t>=NF($G874,"Entry No.")</t>
  </si>
  <si>
    <t>=NF(G874,"Source Type")</t>
  </si>
  <si>
    <t>=NF($G874,"Source No.")</t>
  </si>
  <si>
    <t>=IF($J874="Customer",NL("first",$J874,"Name","No.","@@"&amp;$K874),"")</t>
  </si>
  <si>
    <t>=IF(J874="vendor",NL("first",J874,"Name","No.","@@"&amp;K874),"")</t>
  </si>
  <si>
    <t>=IF($J874="Item",NL("first",$J874,"Description","No.","@@"&amp;$K874),"")</t>
  </si>
  <si>
    <t>=NL("Sum","Item Ledger Entry","Quantity","Entry Type","Purchase","Entry No.",I874,"Location Code",$L$7)</t>
  </si>
  <si>
    <t>=NL("Sum","Item Ledger Entry","Quantity","Entry Type","Sale","Entry No.",I874,"Location Code",$L$7)</t>
  </si>
  <si>
    <t>=NL("Sum","Item Ledger Entry","Quantity","Entry Type","Positive Adjmt.|Negative Adjmt.","Entry No.",I874,"Location Code",$L$7)</t>
  </si>
  <si>
    <t>=NL("Sum","Item Ledger Entry","Quantity","Entry Type","Transfer","Entry No.",I874,"Location Code",$L$7)</t>
  </si>
  <si>
    <t>=NL("Sum","Item Ledger Entry","Quantity","Entry Type","Consumption","Entry No.",I874,"Location Code",$L$7)</t>
  </si>
  <si>
    <t>=NL("Sum","Item Ledger Entry","Quantity","Entry Type","Output","Entry No.",I874,"Location Code",$L$7)</t>
  </si>
  <si>
    <t>=D874</t>
  </si>
  <si>
    <t>=NF($G875,"Posting Date")</t>
  </si>
  <si>
    <t>=NF($G875,"Entry No.")</t>
  </si>
  <si>
    <t>=NF(G875,"Source Type")</t>
  </si>
  <si>
    <t>=NF($G875,"Source No.")</t>
  </si>
  <si>
    <t>=IF($J875="Customer",NL("first",$J875,"Name","No.","@@"&amp;$K875),"")</t>
  </si>
  <si>
    <t>=IF(J875="vendor",NL("first",J875,"Name","No.","@@"&amp;K875),"")</t>
  </si>
  <si>
    <t>=IF($J875="Item",NL("first",$J875,"Description","No.","@@"&amp;$K875),"")</t>
  </si>
  <si>
    <t>=NL("Sum","Item Ledger Entry","Quantity","Entry Type","Purchase","Entry No.",I875,"Location Code",$L$7)</t>
  </si>
  <si>
    <t>=NL("Sum","Item Ledger Entry","Quantity","Entry Type","Sale","Entry No.",I875,"Location Code",$L$7)</t>
  </si>
  <si>
    <t>=NL("Sum","Item Ledger Entry","Quantity","Entry Type","Positive Adjmt.|Negative Adjmt.","Entry No.",I875,"Location Code",$L$7)</t>
  </si>
  <si>
    <t>=NL("Sum","Item Ledger Entry","Quantity","Entry Type","Transfer","Entry No.",I875,"Location Code",$L$7)</t>
  </si>
  <si>
    <t>=NL("Sum","Item Ledger Entry","Quantity","Entry Type","Consumption","Entry No.",I875,"Location Code",$L$7)</t>
  </si>
  <si>
    <t>=NL("Sum","Item Ledger Entry","Quantity","Entry Type","Output","Entry No.",I875,"Location Code",$L$7)</t>
  </si>
  <si>
    <t>=D875</t>
  </si>
  <si>
    <t>=NF($G876,"Posting Date")</t>
  </si>
  <si>
    <t>=NF($G876,"Entry No.")</t>
  </si>
  <si>
    <t>=NF(G876,"Source Type")</t>
  </si>
  <si>
    <t>=NF($G876,"Source No.")</t>
  </si>
  <si>
    <t>=IF($J876="Customer",NL("first",$J876,"Name","No.","@@"&amp;$K876),"")</t>
  </si>
  <si>
    <t>=IF(J876="vendor",NL("first",J876,"Name","No.","@@"&amp;K876),"")</t>
  </si>
  <si>
    <t>=IF($J876="Item",NL("first",$J876,"Description","No.","@@"&amp;$K876),"")</t>
  </si>
  <si>
    <t>=NL("Sum","Item Ledger Entry","Quantity","Entry Type","Purchase","Entry No.",I876,"Location Code",$L$7)</t>
  </si>
  <si>
    <t>=NL("Sum","Item Ledger Entry","Quantity","Entry Type","Sale","Entry No.",I876,"Location Code",$L$7)</t>
  </si>
  <si>
    <t>=NL("Sum","Item Ledger Entry","Quantity","Entry Type","Positive Adjmt.|Negative Adjmt.","Entry No.",I876,"Location Code",$L$7)</t>
  </si>
  <si>
    <t>=NL("Sum","Item Ledger Entry","Quantity","Entry Type","Transfer","Entry No.",I876,"Location Code",$L$7)</t>
  </si>
  <si>
    <t>=NL("Sum","Item Ledger Entry","Quantity","Entry Type","Consumption","Entry No.",I876,"Location Code",$L$7)</t>
  </si>
  <si>
    <t>=NL("Sum","Item Ledger Entry","Quantity","Entry Type","Output","Entry No.",I876,"Location Code",$L$7)</t>
  </si>
  <si>
    <t>=D876</t>
  </si>
  <si>
    <t>=NF($G877,"Posting Date")</t>
  </si>
  <si>
    <t>=NF($G877,"Entry No.")</t>
  </si>
  <si>
    <t>=NF(G877,"Source Type")</t>
  </si>
  <si>
    <t>=NF($G877,"Source No.")</t>
  </si>
  <si>
    <t>=IF($J877="Customer",NL("first",$J877,"Name","No.","@@"&amp;$K877),"")</t>
  </si>
  <si>
    <t>=IF(J877="vendor",NL("first",J877,"Name","No.","@@"&amp;K877),"")</t>
  </si>
  <si>
    <t>=IF($J877="Item",NL("first",$J877,"Description","No.","@@"&amp;$K877),"")</t>
  </si>
  <si>
    <t>=NL("Sum","Item Ledger Entry","Quantity","Entry Type","Purchase","Entry No.",I877,"Location Code",$L$7)</t>
  </si>
  <si>
    <t>=NL("Sum","Item Ledger Entry","Quantity","Entry Type","Sale","Entry No.",I877,"Location Code",$L$7)</t>
  </si>
  <si>
    <t>=NL("Sum","Item Ledger Entry","Quantity","Entry Type","Positive Adjmt.|Negative Adjmt.","Entry No.",I877,"Location Code",$L$7)</t>
  </si>
  <si>
    <t>=NL("Sum","Item Ledger Entry","Quantity","Entry Type","Transfer","Entry No.",I877,"Location Code",$L$7)</t>
  </si>
  <si>
    <t>=NL("Sum","Item Ledger Entry","Quantity","Entry Type","Consumption","Entry No.",I877,"Location Code",$L$7)</t>
  </si>
  <si>
    <t>=NL("Sum","Item Ledger Entry","Quantity","Entry Type","Output","Entry No.",I877,"Location Code",$L$7)</t>
  </si>
  <si>
    <t>=D877</t>
  </si>
  <si>
    <t>=NF($G878,"Posting Date")</t>
  </si>
  <si>
    <t>=NF($G878,"Entry No.")</t>
  </si>
  <si>
    <t>=NF(G878,"Source Type")</t>
  </si>
  <si>
    <t>=NF($G878,"Source No.")</t>
  </si>
  <si>
    <t>=IF($J878="Customer",NL("first",$J878,"Name","No.","@@"&amp;$K878),"")</t>
  </si>
  <si>
    <t>=IF(J878="vendor",NL("first",J878,"Name","No.","@@"&amp;K878),"")</t>
  </si>
  <si>
    <t>=IF($J878="Item",NL("first",$J878,"Description","No.","@@"&amp;$K878),"")</t>
  </si>
  <si>
    <t>=NL("Sum","Item Ledger Entry","Quantity","Entry Type","Purchase","Entry No.",I878,"Location Code",$L$7)</t>
  </si>
  <si>
    <t>=NL("Sum","Item Ledger Entry","Quantity","Entry Type","Sale","Entry No.",I878,"Location Code",$L$7)</t>
  </si>
  <si>
    <t>=NL("Sum","Item Ledger Entry","Quantity","Entry Type","Positive Adjmt.|Negative Adjmt.","Entry No.",I878,"Location Code",$L$7)</t>
  </si>
  <si>
    <t>=NL("Sum","Item Ledger Entry","Quantity","Entry Type","Transfer","Entry No.",I878,"Location Code",$L$7)</t>
  </si>
  <si>
    <t>=NL("Sum","Item Ledger Entry","Quantity","Entry Type","Consumption","Entry No.",I878,"Location Code",$L$7)</t>
  </si>
  <si>
    <t>=NL("Sum","Item Ledger Entry","Quantity","Entry Type","Output","Entry No.",I878,"Location Code",$L$7)</t>
  </si>
  <si>
    <t>=D878</t>
  </si>
  <si>
    <t>=NF($G879,"Posting Date")</t>
  </si>
  <si>
    <t>=NF($G879,"Entry No.")</t>
  </si>
  <si>
    <t>=NF(G879,"Source Type")</t>
  </si>
  <si>
    <t>=NF($G879,"Source No.")</t>
  </si>
  <si>
    <t>=IF($J879="Customer",NL("first",$J879,"Name","No.","@@"&amp;$K879),"")</t>
  </si>
  <si>
    <t>=IF(J879="vendor",NL("first",J879,"Name","No.","@@"&amp;K879),"")</t>
  </si>
  <si>
    <t>=IF($J879="Item",NL("first",$J879,"Description","No.","@@"&amp;$K879),"")</t>
  </si>
  <si>
    <t>=NL("Sum","Item Ledger Entry","Quantity","Entry Type","Purchase","Entry No.",I879,"Location Code",$L$7)</t>
  </si>
  <si>
    <t>=NL("Sum","Item Ledger Entry","Quantity","Entry Type","Sale","Entry No.",I879,"Location Code",$L$7)</t>
  </si>
  <si>
    <t>=NL("Sum","Item Ledger Entry","Quantity","Entry Type","Positive Adjmt.|Negative Adjmt.","Entry No.",I879,"Location Code",$L$7)</t>
  </si>
  <si>
    <t>=NL("Sum","Item Ledger Entry","Quantity","Entry Type","Transfer","Entry No.",I879,"Location Code",$L$7)</t>
  </si>
  <si>
    <t>=NL("Sum","Item Ledger Entry","Quantity","Entry Type","Consumption","Entry No.",I879,"Location Code",$L$7)</t>
  </si>
  <si>
    <t>=NL("Sum","Item Ledger Entry","Quantity","Entry Type","Output","Entry No.",I879,"Location Code",$L$7)</t>
  </si>
  <si>
    <t>=D879</t>
  </si>
  <si>
    <t>=NF($G880,"Posting Date")</t>
  </si>
  <si>
    <t>=NF($G880,"Entry No.")</t>
  </si>
  <si>
    <t>=NF(G880,"Source Type")</t>
  </si>
  <si>
    <t>=NF($G880,"Source No.")</t>
  </si>
  <si>
    <t>=IF($J880="Customer",NL("first",$J880,"Name","No.","@@"&amp;$K880),"")</t>
  </si>
  <si>
    <t>=IF(J880="vendor",NL("first",J880,"Name","No.","@@"&amp;K880),"")</t>
  </si>
  <si>
    <t>=IF($J880="Item",NL("first",$J880,"Description","No.","@@"&amp;$K880),"")</t>
  </si>
  <si>
    <t>=NL("Sum","Item Ledger Entry","Quantity","Entry Type","Purchase","Entry No.",I880,"Location Code",$L$7)</t>
  </si>
  <si>
    <t>=NL("Sum","Item Ledger Entry","Quantity","Entry Type","Sale","Entry No.",I880,"Location Code",$L$7)</t>
  </si>
  <si>
    <t>=NL("Sum","Item Ledger Entry","Quantity","Entry Type","Positive Adjmt.|Negative Adjmt.","Entry No.",I880,"Location Code",$L$7)</t>
  </si>
  <si>
    <t>=NL("Sum","Item Ledger Entry","Quantity","Entry Type","Transfer","Entry No.",I880,"Location Code",$L$7)</t>
  </si>
  <si>
    <t>=NL("Sum","Item Ledger Entry","Quantity","Entry Type","Consumption","Entry No.",I880,"Location Code",$L$7)</t>
  </si>
  <si>
    <t>=NL("Sum","Item Ledger Entry","Quantity","Entry Type","Output","Entry No.",I880,"Location Code",$L$7)</t>
  </si>
  <si>
    <t>="E100040"</t>
  </si>
  <si>
    <t>=D884</t>
  </si>
  <si>
    <t>=NF($G885,"Posting Date")</t>
  </si>
  <si>
    <t>=NF($G885,"Entry No.")</t>
  </si>
  <si>
    <t>=NF(G885,"Source Type")</t>
  </si>
  <si>
    <t>=NF($G885,"Source No.")</t>
  </si>
  <si>
    <t>=IF($J885="Customer",NL("first",$J885,"Name","No.","@@"&amp;$K885),"")</t>
  </si>
  <si>
    <t>=IF(J885="vendor",NL("first",J885,"Name","No.","@@"&amp;K885),"")</t>
  </si>
  <si>
    <t>=IF($J885="Item",NL("first",$J885,"Description","No.","@@"&amp;$K885),"")</t>
  </si>
  <si>
    <t>=NL("Sum","Item Ledger Entry","Quantity","Entry Type","Purchase","Entry No.",I885,"Location Code",$L$7)</t>
  </si>
  <si>
    <t>=NL("Sum","Item Ledger Entry","Quantity","Entry Type","Sale","Entry No.",I885,"Location Code",$L$7)</t>
  </si>
  <si>
    <t>=NL("Sum","Item Ledger Entry","Quantity","Entry Type","Positive Adjmt.|Negative Adjmt.","Entry No.",I885,"Location Code",$L$7)</t>
  </si>
  <si>
    <t>=NL("Sum","Item Ledger Entry","Quantity","Entry Type","Transfer","Entry No.",I885,"Location Code",$L$7)</t>
  </si>
  <si>
    <t>=NL("Sum","Item Ledger Entry","Quantity","Entry Type","Consumption","Entry No.",I885,"Location Code",$L$7)</t>
  </si>
  <si>
    <t>=NL("Sum","Item Ledger Entry","Quantity","Entry Type","Output","Entry No.",I885,"Location Code",$L$7)</t>
  </si>
  <si>
    <t>="E100041"</t>
  </si>
  <si>
    <t>=D888</t>
  </si>
  <si>
    <t>=NF($G889,"Posting Date")</t>
  </si>
  <si>
    <t>=NF($G889,"Entry No.")</t>
  </si>
  <si>
    <t>=NF(G889,"Source Type")</t>
  </si>
  <si>
    <t>=NF($G889,"Source No.")</t>
  </si>
  <si>
    <t>=IF($J889="Customer",NL("first",$J889,"Name","No.","@@"&amp;$K889),"")</t>
  </si>
  <si>
    <t>=IF(J889="vendor",NL("first",J889,"Name","No.","@@"&amp;K889),"")</t>
  </si>
  <si>
    <t>=IF($J889="Item",NL("first",$J889,"Description","No.","@@"&amp;$K889),"")</t>
  </si>
  <si>
    <t>=NL("Sum","Item Ledger Entry","Quantity","Entry Type","Purchase","Entry No.",I889,"Location Code",$L$7)</t>
  </si>
  <si>
    <t>=NL("Sum","Item Ledger Entry","Quantity","Entry Type","Sale","Entry No.",I889,"Location Code",$L$7)</t>
  </si>
  <si>
    <t>=NL("Sum","Item Ledger Entry","Quantity","Entry Type","Positive Adjmt.|Negative Adjmt.","Entry No.",I889,"Location Code",$L$7)</t>
  </si>
  <si>
    <t>=NL("Sum","Item Ledger Entry","Quantity","Entry Type","Transfer","Entry No.",I889,"Location Code",$L$7)</t>
  </si>
  <si>
    <t>=NL("Sum","Item Ledger Entry","Quantity","Entry Type","Consumption","Entry No.",I889,"Location Code",$L$7)</t>
  </si>
  <si>
    <t>=NL("Sum","Item Ledger Entry","Quantity","Entry Type","Output","Entry No.",I889,"Location Code",$L$7)</t>
  </si>
  <si>
    <t>=D889</t>
  </si>
  <si>
    <t>=NF($G890,"Posting Date")</t>
  </si>
  <si>
    <t>=NF($G890,"Entry No.")</t>
  </si>
  <si>
    <t>=NF(G890,"Source Type")</t>
  </si>
  <si>
    <t>=NF($G890,"Source No.")</t>
  </si>
  <si>
    <t>=IF($J890="Customer",NL("first",$J890,"Name","No.","@@"&amp;$K890),"")</t>
  </si>
  <si>
    <t>=IF(J890="vendor",NL("first",J890,"Name","No.","@@"&amp;K890),"")</t>
  </si>
  <si>
    <t>=IF($J890="Item",NL("first",$J890,"Description","No.","@@"&amp;$K890),"")</t>
  </si>
  <si>
    <t>=NL("Sum","Item Ledger Entry","Quantity","Entry Type","Purchase","Entry No.",I890,"Location Code",$L$7)</t>
  </si>
  <si>
    <t>=NL("Sum","Item Ledger Entry","Quantity","Entry Type","Sale","Entry No.",I890,"Location Code",$L$7)</t>
  </si>
  <si>
    <t>=NL("Sum","Item Ledger Entry","Quantity","Entry Type","Positive Adjmt.|Negative Adjmt.","Entry No.",I890,"Location Code",$L$7)</t>
  </si>
  <si>
    <t>=NL("Sum","Item Ledger Entry","Quantity","Entry Type","Transfer","Entry No.",I890,"Location Code",$L$7)</t>
  </si>
  <si>
    <t>=NL("Sum","Item Ledger Entry","Quantity","Entry Type","Consumption","Entry No.",I890,"Location Code",$L$7)</t>
  </si>
  <si>
    <t>=NL("Sum","Item Ledger Entry","Quantity","Entry Type","Output","Entry No.",I890,"Location Code",$L$7)</t>
  </si>
  <si>
    <t>=D890</t>
  </si>
  <si>
    <t>=NF($G891,"Posting Date")</t>
  </si>
  <si>
    <t>=NF($G891,"Entry No.")</t>
  </si>
  <si>
    <t>=NF(G891,"Source Type")</t>
  </si>
  <si>
    <t>=NF($G891,"Source No.")</t>
  </si>
  <si>
    <t>=IF($J891="Customer",NL("first",$J891,"Name","No.","@@"&amp;$K891),"")</t>
  </si>
  <si>
    <t>=IF(J891="vendor",NL("first",J891,"Name","No.","@@"&amp;K891),"")</t>
  </si>
  <si>
    <t>=IF($J891="Item",NL("first",$J891,"Description","No.","@@"&amp;$K891),"")</t>
  </si>
  <si>
    <t>=NL("Sum","Item Ledger Entry","Quantity","Entry Type","Purchase","Entry No.",I891,"Location Code",$L$7)</t>
  </si>
  <si>
    <t>=NL("Sum","Item Ledger Entry","Quantity","Entry Type","Sale","Entry No.",I891,"Location Code",$L$7)</t>
  </si>
  <si>
    <t>=NL("Sum","Item Ledger Entry","Quantity","Entry Type","Positive Adjmt.|Negative Adjmt.","Entry No.",I891,"Location Code",$L$7)</t>
  </si>
  <si>
    <t>=NL("Sum","Item Ledger Entry","Quantity","Entry Type","Transfer","Entry No.",I891,"Location Code",$L$7)</t>
  </si>
  <si>
    <t>=NL("Sum","Item Ledger Entry","Quantity","Entry Type","Consumption","Entry No.",I891,"Location Code",$L$7)</t>
  </si>
  <si>
    <t>=NL("Sum","Item Ledger Entry","Quantity","Entry Type","Output","Entry No.",I891,"Location Code",$L$7)</t>
  </si>
  <si>
    <t>="E100042"</t>
  </si>
  <si>
    <t>=D895</t>
  </si>
  <si>
    <t>=NF($G896,"Posting Date")</t>
  </si>
  <si>
    <t>=NF($G896,"Entry No.")</t>
  </si>
  <si>
    <t>=NF(G896,"Source Type")</t>
  </si>
  <si>
    <t>=NF($G896,"Source No.")</t>
  </si>
  <si>
    <t>=IF($J896="Customer",NL("first",$J896,"Name","No.","@@"&amp;$K896),"")</t>
  </si>
  <si>
    <t>=IF(J896="vendor",NL("first",J896,"Name","No.","@@"&amp;K896),"")</t>
  </si>
  <si>
    <t>=IF($J896="Item",NL("first",$J896,"Description","No.","@@"&amp;$K896),"")</t>
  </si>
  <si>
    <t>=NL("Sum","Item Ledger Entry","Quantity","Entry Type","Purchase","Entry No.",I896,"Location Code",$L$7)</t>
  </si>
  <si>
    <t>=NL("Sum","Item Ledger Entry","Quantity","Entry Type","Sale","Entry No.",I896,"Location Code",$L$7)</t>
  </si>
  <si>
    <t>=NL("Sum","Item Ledger Entry","Quantity","Entry Type","Positive Adjmt.|Negative Adjmt.","Entry No.",I896,"Location Code",$L$7)</t>
  </si>
  <si>
    <t>=NL("Sum","Item Ledger Entry","Quantity","Entry Type","Transfer","Entry No.",I896,"Location Code",$L$7)</t>
  </si>
  <si>
    <t>=NL("Sum","Item Ledger Entry","Quantity","Entry Type","Consumption","Entry No.",I896,"Location Code",$L$7)</t>
  </si>
  <si>
    <t>=NL("Sum","Item Ledger Entry","Quantity","Entry Type","Output","Entry No.",I896,"Location Code",$L$7)</t>
  </si>
  <si>
    <t>="E100044"</t>
  </si>
  <si>
    <t>="E100045"</t>
  </si>
  <si>
    <t>="E100046"</t>
  </si>
  <si>
    <t>=D909</t>
  </si>
  <si>
    <t>=NF($G910,"Posting Date")</t>
  </si>
  <si>
    <t>=NF($G910,"Entry No.")</t>
  </si>
  <si>
    <t>=NF(G910,"Source Type")</t>
  </si>
  <si>
    <t>=NF($G910,"Source No.")</t>
  </si>
  <si>
    <t>=IF($J910="Customer",NL("first",$J910,"Name","No.","@@"&amp;$K910),"")</t>
  </si>
  <si>
    <t>=IF(J910="vendor",NL("first",J910,"Name","No.","@@"&amp;K910),"")</t>
  </si>
  <si>
    <t>=IF($J910="Item",NL("first",$J910,"Description","No.","@@"&amp;$K910),"")</t>
  </si>
  <si>
    <t>=NL("Sum","Item Ledger Entry","Quantity","Entry Type","Purchase","Entry No.",I910,"Location Code",$L$7)</t>
  </si>
  <si>
    <t>=NL("Sum","Item Ledger Entry","Quantity","Entry Type","Sale","Entry No.",I910,"Location Code",$L$7)</t>
  </si>
  <si>
    <t>=NL("Sum","Item Ledger Entry","Quantity","Entry Type","Positive Adjmt.|Negative Adjmt.","Entry No.",I910,"Location Code",$L$7)</t>
  </si>
  <si>
    <t>=NL("Sum","Item Ledger Entry","Quantity","Entry Type","Transfer","Entry No.",I910,"Location Code",$L$7)</t>
  </si>
  <si>
    <t>=NL("Sum","Item Ledger Entry","Quantity","Entry Type","Consumption","Entry No.",I910,"Location Code",$L$7)</t>
  </si>
  <si>
    <t>=NL("Sum","Item Ledger Entry","Quantity","Entry Type","Output","Entry No.",I910,"Location Code",$L$7)</t>
  </si>
  <si>
    <t>=D910</t>
  </si>
  <si>
    <t>=NF($G911,"Posting Date")</t>
  </si>
  <si>
    <t>=NF($G911,"Entry No.")</t>
  </si>
  <si>
    <t>=NF(G911,"Source Type")</t>
  </si>
  <si>
    <t>=NF($G911,"Source No.")</t>
  </si>
  <si>
    <t>=IF($J911="Customer",NL("first",$J911,"Name","No.","@@"&amp;$K911),"")</t>
  </si>
  <si>
    <t>=IF(J911="vendor",NL("first",J911,"Name","No.","@@"&amp;K911),"")</t>
  </si>
  <si>
    <t>=IF($J911="Item",NL("first",$J911,"Description","No.","@@"&amp;$K911),"")</t>
  </si>
  <si>
    <t>=NL("Sum","Item Ledger Entry","Quantity","Entry Type","Purchase","Entry No.",I911,"Location Code",$L$7)</t>
  </si>
  <si>
    <t>=NL("Sum","Item Ledger Entry","Quantity","Entry Type","Sale","Entry No.",I911,"Location Code",$L$7)</t>
  </si>
  <si>
    <t>=NL("Sum","Item Ledger Entry","Quantity","Entry Type","Positive Adjmt.|Negative Adjmt.","Entry No.",I911,"Location Code",$L$7)</t>
  </si>
  <si>
    <t>=NL("Sum","Item Ledger Entry","Quantity","Entry Type","Transfer","Entry No.",I911,"Location Code",$L$7)</t>
  </si>
  <si>
    <t>=NL("Sum","Item Ledger Entry","Quantity","Entry Type","Consumption","Entry No.",I911,"Location Code",$L$7)</t>
  </si>
  <si>
    <t>=NL("Sum","Item Ledger Entry","Quantity","Entry Type","Output","Entry No.",I911,"Location Code",$L$7)</t>
  </si>
  <si>
    <t>="E100047"</t>
  </si>
  <si>
    <t>=D917</t>
  </si>
  <si>
    <t>=NF($G918,"Posting Date")</t>
  </si>
  <si>
    <t>=NF($G918,"Entry No.")</t>
  </si>
  <si>
    <t>=NF(G918,"Source Type")</t>
  </si>
  <si>
    <t>=NF($G918,"Source No.")</t>
  </si>
  <si>
    <t>=IF($J918="Customer",NL("first",$J918,"Name","No.","@@"&amp;$K918),"")</t>
  </si>
  <si>
    <t>=IF(J918="vendor",NL("first",J918,"Name","No.","@@"&amp;K918),"")</t>
  </si>
  <si>
    <t>=IF($J918="Item",NL("first",$J918,"Description","No.","@@"&amp;$K918),"")</t>
  </si>
  <si>
    <t>=NL("Sum","Item Ledger Entry","Quantity","Entry Type","Purchase","Entry No.",I918,"Location Code",$L$7)</t>
  </si>
  <si>
    <t>=NL("Sum","Item Ledger Entry","Quantity","Entry Type","Sale","Entry No.",I918,"Location Code",$L$7)</t>
  </si>
  <si>
    <t>=NL("Sum","Item Ledger Entry","Quantity","Entry Type","Positive Adjmt.|Negative Adjmt.","Entry No.",I918,"Location Code",$L$7)</t>
  </si>
  <si>
    <t>=NL("Sum","Item Ledger Entry","Quantity","Entry Type","Transfer","Entry No.",I918,"Location Code",$L$7)</t>
  </si>
  <si>
    <t>=NL("Sum","Item Ledger Entry","Quantity","Entry Type","Consumption","Entry No.",I918,"Location Code",$L$7)</t>
  </si>
  <si>
    <t>=NL("Sum","Item Ledger Entry","Quantity","Entry Type","Output","Entry No.",I918,"Location Code",$L$7)</t>
  </si>
  <si>
    <t>="S100001"</t>
  </si>
  <si>
    <t>=D923</t>
  </si>
  <si>
    <t>=NF($G924,"Posting Date")</t>
  </si>
  <si>
    <t>=NF($G924,"Entry No.")</t>
  </si>
  <si>
    <t>=NF(G924,"Source Type")</t>
  </si>
  <si>
    <t>=NF($G924,"Source No.")</t>
  </si>
  <si>
    <t>=IF($J924="Customer",NL("first",$J924,"Name","No.","@@"&amp;$K924),"")</t>
  </si>
  <si>
    <t>=IF(J924="vendor",NL("first",J924,"Name","No.","@@"&amp;K924),"")</t>
  </si>
  <si>
    <t>=IF($J924="Item",NL("first",$J924,"Description","No.","@@"&amp;$K924),"")</t>
  </si>
  <si>
    <t>=NL("Sum","Item Ledger Entry","Quantity","Entry Type","Purchase","Entry No.",I924,"Location Code",$L$7)</t>
  </si>
  <si>
    <t>=NL("Sum","Item Ledger Entry","Quantity","Entry Type","Sale","Entry No.",I924,"Location Code",$L$7)</t>
  </si>
  <si>
    <t>=NL("Sum","Item Ledger Entry","Quantity","Entry Type","Positive Adjmt.|Negative Adjmt.","Entry No.",I924,"Location Code",$L$7)</t>
  </si>
  <si>
    <t>=NL("Sum","Item Ledger Entry","Quantity","Entry Type","Transfer","Entry No.",I924,"Location Code",$L$7)</t>
  </si>
  <si>
    <t>=NL("Sum","Item Ledger Entry","Quantity","Entry Type","Consumption","Entry No.",I924,"Location Code",$L$7)</t>
  </si>
  <si>
    <t>=NL("Sum","Item Ledger Entry","Quantity","Entry Type","Output","Entry No.",I924,"Location Code",$L$7)</t>
  </si>
  <si>
    <t>=D924</t>
  </si>
  <si>
    <t>=NF($G925,"Posting Date")</t>
  </si>
  <si>
    <t>=NF($G925,"Entry No.")</t>
  </si>
  <si>
    <t>=NF(G925,"Source Type")</t>
  </si>
  <si>
    <t>=NF($G925,"Source No.")</t>
  </si>
  <si>
    <t>=IF($J925="Customer",NL("first",$J925,"Name","No.","@@"&amp;$K925),"")</t>
  </si>
  <si>
    <t>=IF(J925="vendor",NL("first",J925,"Name","No.","@@"&amp;K925),"")</t>
  </si>
  <si>
    <t>=IF($J925="Item",NL("first",$J925,"Description","No.","@@"&amp;$K925),"")</t>
  </si>
  <si>
    <t>=NL("Sum","Item Ledger Entry","Quantity","Entry Type","Purchase","Entry No.",I925,"Location Code",$L$7)</t>
  </si>
  <si>
    <t>=NL("Sum","Item Ledger Entry","Quantity","Entry Type","Sale","Entry No.",I925,"Location Code",$L$7)</t>
  </si>
  <si>
    <t>=NL("Sum","Item Ledger Entry","Quantity","Entry Type","Positive Adjmt.|Negative Adjmt.","Entry No.",I925,"Location Code",$L$7)</t>
  </si>
  <si>
    <t>=NL("Sum","Item Ledger Entry","Quantity","Entry Type","Transfer","Entry No.",I925,"Location Code",$L$7)</t>
  </si>
  <si>
    <t>=NL("Sum","Item Ledger Entry","Quantity","Entry Type","Consumption","Entry No.",I925,"Location Code",$L$7)</t>
  </si>
  <si>
    <t>=NL("Sum","Item Ledger Entry","Quantity","Entry Type","Output","Entry No.",I925,"Location Code",$L$7)</t>
  </si>
  <si>
    <t>=D925</t>
  </si>
  <si>
    <t>=NF($G926,"Posting Date")</t>
  </si>
  <si>
    <t>=NF($G926,"Entry No.")</t>
  </si>
  <si>
    <t>=NF(G926,"Source Type")</t>
  </si>
  <si>
    <t>=NF($G926,"Source No.")</t>
  </si>
  <si>
    <t>=IF($J926="Customer",NL("first",$J926,"Name","No.","@@"&amp;$K926),"")</t>
  </si>
  <si>
    <t>=IF(J926="vendor",NL("first",J926,"Name","No.","@@"&amp;K926),"")</t>
  </si>
  <si>
    <t>=IF($J926="Item",NL("first",$J926,"Description","No.","@@"&amp;$K926),"")</t>
  </si>
  <si>
    <t>=NL("Sum","Item Ledger Entry","Quantity","Entry Type","Purchase","Entry No.",I926,"Location Code",$L$7)</t>
  </si>
  <si>
    <t>=NL("Sum","Item Ledger Entry","Quantity","Entry Type","Sale","Entry No.",I926,"Location Code",$L$7)</t>
  </si>
  <si>
    <t>=NL("Sum","Item Ledger Entry","Quantity","Entry Type","Positive Adjmt.|Negative Adjmt.","Entry No.",I926,"Location Code",$L$7)</t>
  </si>
  <si>
    <t>=NL("Sum","Item Ledger Entry","Quantity","Entry Type","Transfer","Entry No.",I926,"Location Code",$L$7)</t>
  </si>
  <si>
    <t>=NL("Sum","Item Ledger Entry","Quantity","Entry Type","Consumption","Entry No.",I926,"Location Code",$L$7)</t>
  </si>
  <si>
    <t>=NL("Sum","Item Ledger Entry","Quantity","Entry Type","Output","Entry No.",I926,"Location Code",$L$7)</t>
  </si>
  <si>
    <t>=D926</t>
  </si>
  <si>
    <t>=NF($G927,"Posting Date")</t>
  </si>
  <si>
    <t>=NF($G927,"Entry No.")</t>
  </si>
  <si>
    <t>=NF(G927,"Source Type")</t>
  </si>
  <si>
    <t>=NF($G927,"Source No.")</t>
  </si>
  <si>
    <t>=IF($J927="Customer",NL("first",$J927,"Name","No.","@@"&amp;$K927),"")</t>
  </si>
  <si>
    <t>=IF(J927="vendor",NL("first",J927,"Name","No.","@@"&amp;K927),"")</t>
  </si>
  <si>
    <t>=IF($J927="Item",NL("first",$J927,"Description","No.","@@"&amp;$K927),"")</t>
  </si>
  <si>
    <t>=NL("Sum","Item Ledger Entry","Quantity","Entry Type","Purchase","Entry No.",I927,"Location Code",$L$7)</t>
  </si>
  <si>
    <t>=NL("Sum","Item Ledger Entry","Quantity","Entry Type","Sale","Entry No.",I927,"Location Code",$L$7)</t>
  </si>
  <si>
    <t>=NL("Sum","Item Ledger Entry","Quantity","Entry Type","Positive Adjmt.|Negative Adjmt.","Entry No.",I927,"Location Code",$L$7)</t>
  </si>
  <si>
    <t>=NL("Sum","Item Ledger Entry","Quantity","Entry Type","Transfer","Entry No.",I927,"Location Code",$L$7)</t>
  </si>
  <si>
    <t>=NL("Sum","Item Ledger Entry","Quantity","Entry Type","Consumption","Entry No.",I927,"Location Code",$L$7)</t>
  </si>
  <si>
    <t>=NL("Sum","Item Ledger Entry","Quantity","Entry Type","Output","Entry No.",I927,"Location Code",$L$7)</t>
  </si>
  <si>
    <t>=D927</t>
  </si>
  <si>
    <t>=NF($G928,"Posting Date")</t>
  </si>
  <si>
    <t>=NF($G928,"Entry No.")</t>
  </si>
  <si>
    <t>=NF(G928,"Source Type")</t>
  </si>
  <si>
    <t>=NF($G928,"Source No.")</t>
  </si>
  <si>
    <t>=IF($J928="Customer",NL("first",$J928,"Name","No.","@@"&amp;$K928),"")</t>
  </si>
  <si>
    <t>=IF(J928="vendor",NL("first",J928,"Name","No.","@@"&amp;K928),"")</t>
  </si>
  <si>
    <t>=IF($J928="Item",NL("first",$J928,"Description","No.","@@"&amp;$K928),"")</t>
  </si>
  <si>
    <t>=NL("Sum","Item Ledger Entry","Quantity","Entry Type","Purchase","Entry No.",I928,"Location Code",$L$7)</t>
  </si>
  <si>
    <t>=NL("Sum","Item Ledger Entry","Quantity","Entry Type","Sale","Entry No.",I928,"Location Code",$L$7)</t>
  </si>
  <si>
    <t>=NL("Sum","Item Ledger Entry","Quantity","Entry Type","Positive Adjmt.|Negative Adjmt.","Entry No.",I928,"Location Code",$L$7)</t>
  </si>
  <si>
    <t>=NL("Sum","Item Ledger Entry","Quantity","Entry Type","Transfer","Entry No.",I928,"Location Code",$L$7)</t>
  </si>
  <si>
    <t>=NL("Sum","Item Ledger Entry","Quantity","Entry Type","Consumption","Entry No.",I928,"Location Code",$L$7)</t>
  </si>
  <si>
    <t>=NL("Sum","Item Ledger Entry","Quantity","Entry Type","Output","Entry No.",I928,"Location Code",$L$7)</t>
  </si>
  <si>
    <t>=D928</t>
  </si>
  <si>
    <t>=NF($G929,"Posting Date")</t>
  </si>
  <si>
    <t>=NF($G929,"Entry No.")</t>
  </si>
  <si>
    <t>=NF(G929,"Source Type")</t>
  </si>
  <si>
    <t>=NF($G929,"Source No.")</t>
  </si>
  <si>
    <t>=IF($J929="Customer",NL("first",$J929,"Name","No.","@@"&amp;$K929),"")</t>
  </si>
  <si>
    <t>=IF(J929="vendor",NL("first",J929,"Name","No.","@@"&amp;K929),"")</t>
  </si>
  <si>
    <t>=IF($J929="Item",NL("first",$J929,"Description","No.","@@"&amp;$K929),"")</t>
  </si>
  <si>
    <t>=NL("Sum","Item Ledger Entry","Quantity","Entry Type","Purchase","Entry No.",I929,"Location Code",$L$7)</t>
  </si>
  <si>
    <t>=NL("Sum","Item Ledger Entry","Quantity","Entry Type","Sale","Entry No.",I929,"Location Code",$L$7)</t>
  </si>
  <si>
    <t>=NL("Sum","Item Ledger Entry","Quantity","Entry Type","Positive Adjmt.|Negative Adjmt.","Entry No.",I929,"Location Code",$L$7)</t>
  </si>
  <si>
    <t>=NL("Sum","Item Ledger Entry","Quantity","Entry Type","Transfer","Entry No.",I929,"Location Code",$L$7)</t>
  </si>
  <si>
    <t>=NL("Sum","Item Ledger Entry","Quantity","Entry Type","Consumption","Entry No.",I929,"Location Code",$L$7)</t>
  </si>
  <si>
    <t>=NL("Sum","Item Ledger Entry","Quantity","Entry Type","Output","Entry No.",I929,"Location Code",$L$7)</t>
  </si>
  <si>
    <t>="S100002"</t>
  </si>
  <si>
    <t>=D934</t>
  </si>
  <si>
    <t>=NF($G935,"Posting Date")</t>
  </si>
  <si>
    <t>=NF($G935,"Entry No.")</t>
  </si>
  <si>
    <t>=NF(G935,"Source Type")</t>
  </si>
  <si>
    <t>=NF($G935,"Source No.")</t>
  </si>
  <si>
    <t>=IF($J935="Customer",NL("first",$J935,"Name","No.","@@"&amp;$K935),"")</t>
  </si>
  <si>
    <t>=IF(J935="vendor",NL("first",J935,"Name","No.","@@"&amp;K935),"")</t>
  </si>
  <si>
    <t>=IF($J935="Item",NL("first",$J935,"Description","No.","@@"&amp;$K935),"")</t>
  </si>
  <si>
    <t>=NL("Sum","Item Ledger Entry","Quantity","Entry Type","Purchase","Entry No.",I935,"Location Code",$L$7)</t>
  </si>
  <si>
    <t>=NL("Sum","Item Ledger Entry","Quantity","Entry Type","Sale","Entry No.",I935,"Location Code",$L$7)</t>
  </si>
  <si>
    <t>=NL("Sum","Item Ledger Entry","Quantity","Entry Type","Positive Adjmt.|Negative Adjmt.","Entry No.",I935,"Location Code",$L$7)</t>
  </si>
  <si>
    <t>=NL("Sum","Item Ledger Entry","Quantity","Entry Type","Transfer","Entry No.",I935,"Location Code",$L$7)</t>
  </si>
  <si>
    <t>=NL("Sum","Item Ledger Entry","Quantity","Entry Type","Consumption","Entry No.",I935,"Location Code",$L$7)</t>
  </si>
  <si>
    <t>=NL("Sum","Item Ledger Entry","Quantity","Entry Type","Output","Entry No.",I935,"Location Code",$L$7)</t>
  </si>
  <si>
    <t>=D935</t>
  </si>
  <si>
    <t>=NF($G936,"Posting Date")</t>
  </si>
  <si>
    <t>=NF($G936,"Entry No.")</t>
  </si>
  <si>
    <t>=NF(G936,"Source Type")</t>
  </si>
  <si>
    <t>=NF($G936,"Source No.")</t>
  </si>
  <si>
    <t>=IF($J936="Customer",NL("first",$J936,"Name","No.","@@"&amp;$K936),"")</t>
  </si>
  <si>
    <t>=IF(J936="vendor",NL("first",J936,"Name","No.","@@"&amp;K936),"")</t>
  </si>
  <si>
    <t>=IF($J936="Item",NL("first",$J936,"Description","No.","@@"&amp;$K936),"")</t>
  </si>
  <si>
    <t>=NL("Sum","Item Ledger Entry","Quantity","Entry Type","Purchase","Entry No.",I936,"Location Code",$L$7)</t>
  </si>
  <si>
    <t>=NL("Sum","Item Ledger Entry","Quantity","Entry Type","Sale","Entry No.",I936,"Location Code",$L$7)</t>
  </si>
  <si>
    <t>=NL("Sum","Item Ledger Entry","Quantity","Entry Type","Positive Adjmt.|Negative Adjmt.","Entry No.",I936,"Location Code",$L$7)</t>
  </si>
  <si>
    <t>=NL("Sum","Item Ledger Entry","Quantity","Entry Type","Transfer","Entry No.",I936,"Location Code",$L$7)</t>
  </si>
  <si>
    <t>=NL("Sum","Item Ledger Entry","Quantity","Entry Type","Consumption","Entry No.",I936,"Location Code",$L$7)</t>
  </si>
  <si>
    <t>=NL("Sum","Item Ledger Entry","Quantity","Entry Type","Output","Entry No.",I936,"Location Code",$L$7)</t>
  </si>
  <si>
    <t>=D936</t>
  </si>
  <si>
    <t>=NF($G937,"Posting Date")</t>
  </si>
  <si>
    <t>=NF($G937,"Entry No.")</t>
  </si>
  <si>
    <t>=NF(G937,"Source Type")</t>
  </si>
  <si>
    <t>=NF($G937,"Source No.")</t>
  </si>
  <si>
    <t>=IF($J937="Customer",NL("first",$J937,"Name","No.","@@"&amp;$K937),"")</t>
  </si>
  <si>
    <t>=IF(J937="vendor",NL("first",J937,"Name","No.","@@"&amp;K937),"")</t>
  </si>
  <si>
    <t>=IF($J937="Item",NL("first",$J937,"Description","No.","@@"&amp;$K937),"")</t>
  </si>
  <si>
    <t>=NL("Sum","Item Ledger Entry","Quantity","Entry Type","Purchase","Entry No.",I937,"Location Code",$L$7)</t>
  </si>
  <si>
    <t>=NL("Sum","Item Ledger Entry","Quantity","Entry Type","Sale","Entry No.",I937,"Location Code",$L$7)</t>
  </si>
  <si>
    <t>=NL("Sum","Item Ledger Entry","Quantity","Entry Type","Positive Adjmt.|Negative Adjmt.","Entry No.",I937,"Location Code",$L$7)</t>
  </si>
  <si>
    <t>=NL("Sum","Item Ledger Entry","Quantity","Entry Type","Transfer","Entry No.",I937,"Location Code",$L$7)</t>
  </si>
  <si>
    <t>=NL("Sum","Item Ledger Entry","Quantity","Entry Type","Consumption","Entry No.",I937,"Location Code",$L$7)</t>
  </si>
  <si>
    <t>=NL("Sum","Item Ledger Entry","Quantity","Entry Type","Output","Entry No.",I937,"Location Code",$L$7)</t>
  </si>
  <si>
    <t>=D937</t>
  </si>
  <si>
    <t>=NF($G938,"Posting Date")</t>
  </si>
  <si>
    <t>=NF($G938,"Entry No.")</t>
  </si>
  <si>
    <t>=NF(G938,"Source Type")</t>
  </si>
  <si>
    <t>=NF($G938,"Source No.")</t>
  </si>
  <si>
    <t>=IF($J938="Customer",NL("first",$J938,"Name","No.","@@"&amp;$K938),"")</t>
  </si>
  <si>
    <t>=IF(J938="vendor",NL("first",J938,"Name","No.","@@"&amp;K938),"")</t>
  </si>
  <si>
    <t>=IF($J938="Item",NL("first",$J938,"Description","No.","@@"&amp;$K938),"")</t>
  </si>
  <si>
    <t>=NL("Sum","Item Ledger Entry","Quantity","Entry Type","Purchase","Entry No.",I938,"Location Code",$L$7)</t>
  </si>
  <si>
    <t>=NL("Sum","Item Ledger Entry","Quantity","Entry Type","Sale","Entry No.",I938,"Location Code",$L$7)</t>
  </si>
  <si>
    <t>=NL("Sum","Item Ledger Entry","Quantity","Entry Type","Positive Adjmt.|Negative Adjmt.","Entry No.",I938,"Location Code",$L$7)</t>
  </si>
  <si>
    <t>=NL("Sum","Item Ledger Entry","Quantity","Entry Type","Transfer","Entry No.",I938,"Location Code",$L$7)</t>
  </si>
  <si>
    <t>=NL("Sum","Item Ledger Entry","Quantity","Entry Type","Consumption","Entry No.",I938,"Location Code",$L$7)</t>
  </si>
  <si>
    <t>=NL("Sum","Item Ledger Entry","Quantity","Entry Type","Output","Entry No.",I938,"Location Code",$L$7)</t>
  </si>
  <si>
    <t>=D938</t>
  </si>
  <si>
    <t>=NF($G939,"Posting Date")</t>
  </si>
  <si>
    <t>=NF($G939,"Entry No.")</t>
  </si>
  <si>
    <t>=NF(G939,"Source Type")</t>
  </si>
  <si>
    <t>=NF($G939,"Source No.")</t>
  </si>
  <si>
    <t>=IF($J939="Customer",NL("first",$J939,"Name","No.","@@"&amp;$K939),"")</t>
  </si>
  <si>
    <t>=IF(J939="vendor",NL("first",J939,"Name","No.","@@"&amp;K939),"")</t>
  </si>
  <si>
    <t>=IF($J939="Item",NL("first",$J939,"Description","No.","@@"&amp;$K939),"")</t>
  </si>
  <si>
    <t>=NL("Sum","Item Ledger Entry","Quantity","Entry Type","Purchase","Entry No.",I939,"Location Code",$L$7)</t>
  </si>
  <si>
    <t>=NL("Sum","Item Ledger Entry","Quantity","Entry Type","Sale","Entry No.",I939,"Location Code",$L$7)</t>
  </si>
  <si>
    <t>=NL("Sum","Item Ledger Entry","Quantity","Entry Type","Positive Adjmt.|Negative Adjmt.","Entry No.",I939,"Location Code",$L$7)</t>
  </si>
  <si>
    <t>=NL("Sum","Item Ledger Entry","Quantity","Entry Type","Transfer","Entry No.",I939,"Location Code",$L$7)</t>
  </si>
  <si>
    <t>=NL("Sum","Item Ledger Entry","Quantity","Entry Type","Consumption","Entry No.",I939,"Location Code",$L$7)</t>
  </si>
  <si>
    <t>=NL("Sum","Item Ledger Entry","Quantity","Entry Type","Output","Entry No.",I939,"Location Code",$L$7)</t>
  </si>
  <si>
    <t>="S100003"</t>
  </si>
  <si>
    <t>=D942</t>
  </si>
  <si>
    <t>=NF($G943,"Posting Date")</t>
  </si>
  <si>
    <t>=NF($G943,"Entry No.")</t>
  </si>
  <si>
    <t>=NF(G943,"Source Type")</t>
  </si>
  <si>
    <t>=NF($G943,"Source No.")</t>
  </si>
  <si>
    <t>=IF($J943="Customer",NL("first",$J943,"Name","No.","@@"&amp;$K943),"")</t>
  </si>
  <si>
    <t>=IF(J943="vendor",NL("first",J943,"Name","No.","@@"&amp;K943),"")</t>
  </si>
  <si>
    <t>=IF($J943="Item",NL("first",$J943,"Description","No.","@@"&amp;$K943),"")</t>
  </si>
  <si>
    <t>=NL("Sum","Item Ledger Entry","Quantity","Entry Type","Purchase","Entry No.",I943,"Location Code",$L$7)</t>
  </si>
  <si>
    <t>=NL("Sum","Item Ledger Entry","Quantity","Entry Type","Sale","Entry No.",I943,"Location Code",$L$7)</t>
  </si>
  <si>
    <t>=NL("Sum","Item Ledger Entry","Quantity","Entry Type","Positive Adjmt.|Negative Adjmt.","Entry No.",I943,"Location Code",$L$7)</t>
  </si>
  <si>
    <t>=NL("Sum","Item Ledger Entry","Quantity","Entry Type","Transfer","Entry No.",I943,"Location Code",$L$7)</t>
  </si>
  <si>
    <t>=NL("Sum","Item Ledger Entry","Quantity","Entry Type","Consumption","Entry No.",I943,"Location Code",$L$7)</t>
  </si>
  <si>
    <t>=NL("Sum","Item Ledger Entry","Quantity","Entry Type","Output","Entry No.",I943,"Location Code",$L$7)</t>
  </si>
  <si>
    <t>=D946</t>
  </si>
  <si>
    <t>=NF($G947,"Posting Date")</t>
  </si>
  <si>
    <t>=NF($G947,"Entry No.")</t>
  </si>
  <si>
    <t>=NF(G947,"Source Type")</t>
  </si>
  <si>
    <t>=NF($G947,"Source No.")</t>
  </si>
  <si>
    <t>=IF($J947="Customer",NL("first",$J947,"Name","No.","@@"&amp;$K947),"")</t>
  </si>
  <si>
    <t>=IF(J947="vendor",NL("first",J947,"Name","No.","@@"&amp;K947),"")</t>
  </si>
  <si>
    <t>=IF($J947="Item",NL("first",$J947,"Description","No.","@@"&amp;$K947),"")</t>
  </si>
  <si>
    <t>=NL("Sum","Item Ledger Entry","Quantity","Entry Type","Purchase","Entry No.",I947,"Location Code",$L$7)</t>
  </si>
  <si>
    <t>=NL("Sum","Item Ledger Entry","Quantity","Entry Type","Sale","Entry No.",I947,"Location Code",$L$7)</t>
  </si>
  <si>
    <t>=NL("Sum","Item Ledger Entry","Quantity","Entry Type","Positive Adjmt.|Negative Adjmt.","Entry No.",I947,"Location Code",$L$7)</t>
  </si>
  <si>
    <t>=NL("Sum","Item Ledger Entry","Quantity","Entry Type","Transfer","Entry No.",I947,"Location Code",$L$7)</t>
  </si>
  <si>
    <t>=NL("Sum","Item Ledger Entry","Quantity","Entry Type","Consumption","Entry No.",I947,"Location Code",$L$7)</t>
  </si>
  <si>
    <t>=NL("Sum","Item Ledger Entry","Quantity","Entry Type","Output","Entry No.",I947,"Location Code",$L$7)</t>
  </si>
  <si>
    <t>=D947</t>
  </si>
  <si>
    <t>=NF($G948,"Posting Date")</t>
  </si>
  <si>
    <t>=NF($G948,"Entry No.")</t>
  </si>
  <si>
    <t>=NF(G948,"Source Type")</t>
  </si>
  <si>
    <t>=NF($G948,"Source No.")</t>
  </si>
  <si>
    <t>=IF($J948="Customer",NL("first",$J948,"Name","No.","@@"&amp;$K948),"")</t>
  </si>
  <si>
    <t>=IF(J948="vendor",NL("first",J948,"Name","No.","@@"&amp;K948),"")</t>
  </si>
  <si>
    <t>=IF($J948="Item",NL("first",$J948,"Description","No.","@@"&amp;$K948),"")</t>
  </si>
  <si>
    <t>=NL("Sum","Item Ledger Entry","Quantity","Entry Type","Purchase","Entry No.",I948,"Location Code",$L$7)</t>
  </si>
  <si>
    <t>=NL("Sum","Item Ledger Entry","Quantity","Entry Type","Sale","Entry No.",I948,"Location Code",$L$7)</t>
  </si>
  <si>
    <t>=NL("Sum","Item Ledger Entry","Quantity","Entry Type","Positive Adjmt.|Negative Adjmt.","Entry No.",I948,"Location Code",$L$7)</t>
  </si>
  <si>
    <t>=NL("Sum","Item Ledger Entry","Quantity","Entry Type","Transfer","Entry No.",I948,"Location Code",$L$7)</t>
  </si>
  <si>
    <t>=NL("Sum","Item Ledger Entry","Quantity","Entry Type","Consumption","Entry No.",I948,"Location Code",$L$7)</t>
  </si>
  <si>
    <t>=NL("Sum","Item Ledger Entry","Quantity","Entry Type","Output","Entry No.",I948,"Location Code",$L$7)</t>
  </si>
  <si>
    <t>=D948</t>
  </si>
  <si>
    <t>=NF($G949,"Posting Date")</t>
  </si>
  <si>
    <t>=NF($G949,"Entry No.")</t>
  </si>
  <si>
    <t>=NF(G949,"Source Type")</t>
  </si>
  <si>
    <t>=NF($G949,"Source No.")</t>
  </si>
  <si>
    <t>=IF($J949="Customer",NL("first",$J949,"Name","No.","@@"&amp;$K949),"")</t>
  </si>
  <si>
    <t>=IF(J949="vendor",NL("first",J949,"Name","No.","@@"&amp;K949),"")</t>
  </si>
  <si>
    <t>=IF($J949="Item",NL("first",$J949,"Description","No.","@@"&amp;$K949),"")</t>
  </si>
  <si>
    <t>=NL("Sum","Item Ledger Entry","Quantity","Entry Type","Purchase","Entry No.",I949,"Location Code",$L$7)</t>
  </si>
  <si>
    <t>=NL("Sum","Item Ledger Entry","Quantity","Entry Type","Sale","Entry No.",I949,"Location Code",$L$7)</t>
  </si>
  <si>
    <t>=NL("Sum","Item Ledger Entry","Quantity","Entry Type","Positive Adjmt.|Negative Adjmt.","Entry No.",I949,"Location Code",$L$7)</t>
  </si>
  <si>
    <t>=NL("Sum","Item Ledger Entry","Quantity","Entry Type","Transfer","Entry No.",I949,"Location Code",$L$7)</t>
  </si>
  <si>
    <t>=NL("Sum","Item Ledger Entry","Quantity","Entry Type","Consumption","Entry No.",I949,"Location Code",$L$7)</t>
  </si>
  <si>
    <t>=NL("Sum","Item Ledger Entry","Quantity","Entry Type","Output","Entry No.",I949,"Location Code",$L$7)</t>
  </si>
  <si>
    <t>="S100004"</t>
  </si>
  <si>
    <t>=D956</t>
  </si>
  <si>
    <t>=NF($G957,"Posting Date")</t>
  </si>
  <si>
    <t>=NF($G957,"Entry No.")</t>
  </si>
  <si>
    <t>=NF(G957,"Source Type")</t>
  </si>
  <si>
    <t>=NF($G957,"Source No.")</t>
  </si>
  <si>
    <t>=IF($J957="Customer",NL("first",$J957,"Name","No.","@@"&amp;$K957),"")</t>
  </si>
  <si>
    <t>=IF(J957="vendor",NL("first",J957,"Name","No.","@@"&amp;K957),"")</t>
  </si>
  <si>
    <t>=IF($J957="Item",NL("first",$J957,"Description","No.","@@"&amp;$K957),"")</t>
  </si>
  <si>
    <t>=NL("Sum","Item Ledger Entry","Quantity","Entry Type","Purchase","Entry No.",I957,"Location Code",$L$7)</t>
  </si>
  <si>
    <t>=NL("Sum","Item Ledger Entry","Quantity","Entry Type","Sale","Entry No.",I957,"Location Code",$L$7)</t>
  </si>
  <si>
    <t>=NL("Sum","Item Ledger Entry","Quantity","Entry Type","Positive Adjmt.|Negative Adjmt.","Entry No.",I957,"Location Code",$L$7)</t>
  </si>
  <si>
    <t>=NL("Sum","Item Ledger Entry","Quantity","Entry Type","Transfer","Entry No.",I957,"Location Code",$L$7)</t>
  </si>
  <si>
    <t>=NL("Sum","Item Ledger Entry","Quantity","Entry Type","Consumption","Entry No.",I957,"Location Code",$L$7)</t>
  </si>
  <si>
    <t>=NL("Sum","Item Ledger Entry","Quantity","Entry Type","Output","Entry No.",I957,"Location Code",$L$7)</t>
  </si>
  <si>
    <t>=D957</t>
  </si>
  <si>
    <t>=NF($G958,"Posting Date")</t>
  </si>
  <si>
    <t>=NF($G958,"Entry No.")</t>
  </si>
  <si>
    <t>=NF(G958,"Source Type")</t>
  </si>
  <si>
    <t>=NF($G958,"Source No.")</t>
  </si>
  <si>
    <t>=IF($J958="Customer",NL("first",$J958,"Name","No.","@@"&amp;$K958),"")</t>
  </si>
  <si>
    <t>=IF(J958="vendor",NL("first",J958,"Name","No.","@@"&amp;K958),"")</t>
  </si>
  <si>
    <t>=IF($J958="Item",NL("first",$J958,"Description","No.","@@"&amp;$K958),"")</t>
  </si>
  <si>
    <t>=NL("Sum","Item Ledger Entry","Quantity","Entry Type","Purchase","Entry No.",I958,"Location Code",$L$7)</t>
  </si>
  <si>
    <t>=NL("Sum","Item Ledger Entry","Quantity","Entry Type","Sale","Entry No.",I958,"Location Code",$L$7)</t>
  </si>
  <si>
    <t>=NL("Sum","Item Ledger Entry","Quantity","Entry Type","Positive Adjmt.|Negative Adjmt.","Entry No.",I958,"Location Code",$L$7)</t>
  </si>
  <si>
    <t>=NL("Sum","Item Ledger Entry","Quantity","Entry Type","Transfer","Entry No.",I958,"Location Code",$L$7)</t>
  </si>
  <si>
    <t>=NL("Sum","Item Ledger Entry","Quantity","Entry Type","Consumption","Entry No.",I958,"Location Code",$L$7)</t>
  </si>
  <si>
    <t>=NL("Sum","Item Ledger Entry","Quantity","Entry Type","Output","Entry No.",I958,"Location Code",$L$7)</t>
  </si>
  <si>
    <t>=D958</t>
  </si>
  <si>
    <t>=NF($G959,"Posting Date")</t>
  </si>
  <si>
    <t>=NF($G959,"Entry No.")</t>
  </si>
  <si>
    <t>=NF(G959,"Source Type")</t>
  </si>
  <si>
    <t>=NF($G959,"Source No.")</t>
  </si>
  <si>
    <t>=IF($J959="Customer",NL("first",$J959,"Name","No.","@@"&amp;$K959),"")</t>
  </si>
  <si>
    <t>=IF(J959="vendor",NL("first",J959,"Name","No.","@@"&amp;K959),"")</t>
  </si>
  <si>
    <t>=IF($J959="Item",NL("first",$J959,"Description","No.","@@"&amp;$K959),"")</t>
  </si>
  <si>
    <t>=NL("Sum","Item Ledger Entry","Quantity","Entry Type","Purchase","Entry No.",I959,"Location Code",$L$7)</t>
  </si>
  <si>
    <t>=NL("Sum","Item Ledger Entry","Quantity","Entry Type","Sale","Entry No.",I959,"Location Code",$L$7)</t>
  </si>
  <si>
    <t>=NL("Sum","Item Ledger Entry","Quantity","Entry Type","Positive Adjmt.|Negative Adjmt.","Entry No.",I959,"Location Code",$L$7)</t>
  </si>
  <si>
    <t>=NL("Sum","Item Ledger Entry","Quantity","Entry Type","Transfer","Entry No.",I959,"Location Code",$L$7)</t>
  </si>
  <si>
    <t>=NL("Sum","Item Ledger Entry","Quantity","Entry Type","Consumption","Entry No.",I959,"Location Code",$L$7)</t>
  </si>
  <si>
    <t>=NL("Sum","Item Ledger Entry","Quantity","Entry Type","Output","Entry No.",I959,"Location Code",$L$7)</t>
  </si>
  <si>
    <t>=D959</t>
  </si>
  <si>
    <t>=NF($G960,"Posting Date")</t>
  </si>
  <si>
    <t>=NF($G960,"Entry No.")</t>
  </si>
  <si>
    <t>=NF(G960,"Source Type")</t>
  </si>
  <si>
    <t>=NF($G960,"Source No.")</t>
  </si>
  <si>
    <t>=IF($J960="Customer",NL("first",$J960,"Name","No.","@@"&amp;$K960),"")</t>
  </si>
  <si>
    <t>=IF(J960="vendor",NL("first",J960,"Name","No.","@@"&amp;K960),"")</t>
  </si>
  <si>
    <t>=IF($J960="Item",NL("first",$J960,"Description","No.","@@"&amp;$K960),"")</t>
  </si>
  <si>
    <t>=NL("Sum","Item Ledger Entry","Quantity","Entry Type","Purchase","Entry No.",I960,"Location Code",$L$7)</t>
  </si>
  <si>
    <t>=NL("Sum","Item Ledger Entry","Quantity","Entry Type","Sale","Entry No.",I960,"Location Code",$L$7)</t>
  </si>
  <si>
    <t>=NL("Sum","Item Ledger Entry","Quantity","Entry Type","Positive Adjmt.|Negative Adjmt.","Entry No.",I960,"Location Code",$L$7)</t>
  </si>
  <si>
    <t>=NL("Sum","Item Ledger Entry","Quantity","Entry Type","Transfer","Entry No.",I960,"Location Code",$L$7)</t>
  </si>
  <si>
    <t>=NL("Sum","Item Ledger Entry","Quantity","Entry Type","Consumption","Entry No.",I960,"Location Code",$L$7)</t>
  </si>
  <si>
    <t>=NL("Sum","Item Ledger Entry","Quantity","Entry Type","Output","Entry No.",I960,"Location Code",$L$7)</t>
  </si>
  <si>
    <t>=D960</t>
  </si>
  <si>
    <t>=NF($G961,"Posting Date")</t>
  </si>
  <si>
    <t>=NF($G961,"Entry No.")</t>
  </si>
  <si>
    <t>=NF(G961,"Source Type")</t>
  </si>
  <si>
    <t>=NF($G961,"Source No.")</t>
  </si>
  <si>
    <t>=IF($J961="Customer",NL("first",$J961,"Name","No.","@@"&amp;$K961),"")</t>
  </si>
  <si>
    <t>=IF(J961="vendor",NL("first",J961,"Name","No.","@@"&amp;K961),"")</t>
  </si>
  <si>
    <t>=IF($J961="Item",NL("first",$J961,"Description","No.","@@"&amp;$K961),"")</t>
  </si>
  <si>
    <t>=NL("Sum","Item Ledger Entry","Quantity","Entry Type","Purchase","Entry No.",I961,"Location Code",$L$7)</t>
  </si>
  <si>
    <t>=NL("Sum","Item Ledger Entry","Quantity","Entry Type","Sale","Entry No.",I961,"Location Code",$L$7)</t>
  </si>
  <si>
    <t>=NL("Sum","Item Ledger Entry","Quantity","Entry Type","Positive Adjmt.|Negative Adjmt.","Entry No.",I961,"Location Code",$L$7)</t>
  </si>
  <si>
    <t>=NL("Sum","Item Ledger Entry","Quantity","Entry Type","Transfer","Entry No.",I961,"Location Code",$L$7)</t>
  </si>
  <si>
    <t>=NL("Sum","Item Ledger Entry","Quantity","Entry Type","Consumption","Entry No.",I961,"Location Code",$L$7)</t>
  </si>
  <si>
    <t>=NL("Sum","Item Ledger Entry","Quantity","Entry Type","Output","Entry No.",I961,"Location Code",$L$7)</t>
  </si>
  <si>
    <t>=D964</t>
  </si>
  <si>
    <t>=NF($G965,"Posting Date")</t>
  </si>
  <si>
    <t>=NF($G965,"Entry No.")</t>
  </si>
  <si>
    <t>=NF(G965,"Source Type")</t>
  </si>
  <si>
    <t>=NF($G965,"Source No.")</t>
  </si>
  <si>
    <t>=IF($J965="Customer",NL("first",$J965,"Name","No.","@@"&amp;$K965),"")</t>
  </si>
  <si>
    <t>=IF(J965="vendor",NL("first",J965,"Name","No.","@@"&amp;K965),"")</t>
  </si>
  <si>
    <t>=IF($J965="Item",NL("first",$J965,"Description","No.","@@"&amp;$K965),"")</t>
  </si>
  <si>
    <t>=NL("Sum","Item Ledger Entry","Quantity","Entry Type","Purchase","Entry No.",I965,"Location Code",$L$7)</t>
  </si>
  <si>
    <t>=NL("Sum","Item Ledger Entry","Quantity","Entry Type","Sale","Entry No.",I965,"Location Code",$L$7)</t>
  </si>
  <si>
    <t>=NL("Sum","Item Ledger Entry","Quantity","Entry Type","Positive Adjmt.|Negative Adjmt.","Entry No.",I965,"Location Code",$L$7)</t>
  </si>
  <si>
    <t>=NL("Sum","Item Ledger Entry","Quantity","Entry Type","Transfer","Entry No.",I965,"Location Code",$L$7)</t>
  </si>
  <si>
    <t>=NL("Sum","Item Ledger Entry","Quantity","Entry Type","Consumption","Entry No.",I965,"Location Code",$L$7)</t>
  </si>
  <si>
    <t>=NL("Sum","Item Ledger Entry","Quantity","Entry Type","Output","Entry No.",I965,"Location Code",$L$7)</t>
  </si>
  <si>
    <t>="S100005"</t>
  </si>
  <si>
    <t>=D968</t>
  </si>
  <si>
    <t>=NF($G969,"Posting Date")</t>
  </si>
  <si>
    <t>=NF($G969,"Entry No.")</t>
  </si>
  <si>
    <t>=NF(G969,"Source Type")</t>
  </si>
  <si>
    <t>=NF($G969,"Source No.")</t>
  </si>
  <si>
    <t>=IF($J969="Customer",NL("first",$J969,"Name","No.","@@"&amp;$K969),"")</t>
  </si>
  <si>
    <t>=IF(J969="vendor",NL("first",J969,"Name","No.","@@"&amp;K969),"")</t>
  </si>
  <si>
    <t>=IF($J969="Item",NL("first",$J969,"Description","No.","@@"&amp;$K969),"")</t>
  </si>
  <si>
    <t>=NL("Sum","Item Ledger Entry","Quantity","Entry Type","Purchase","Entry No.",I969,"Location Code",$L$7)</t>
  </si>
  <si>
    <t>=NL("Sum","Item Ledger Entry","Quantity","Entry Type","Sale","Entry No.",I969,"Location Code",$L$7)</t>
  </si>
  <si>
    <t>=NL("Sum","Item Ledger Entry","Quantity","Entry Type","Positive Adjmt.|Negative Adjmt.","Entry No.",I969,"Location Code",$L$7)</t>
  </si>
  <si>
    <t>=NL("Sum","Item Ledger Entry","Quantity","Entry Type","Transfer","Entry No.",I969,"Location Code",$L$7)</t>
  </si>
  <si>
    <t>=NL("Sum","Item Ledger Entry","Quantity","Entry Type","Consumption","Entry No.",I969,"Location Code",$L$7)</t>
  </si>
  <si>
    <t>=NL("Sum","Item Ledger Entry","Quantity","Entry Type","Output","Entry No.",I969,"Location Code",$L$7)</t>
  </si>
  <si>
    <t>=D972</t>
  </si>
  <si>
    <t>=NF($G973,"Posting Date")</t>
  </si>
  <si>
    <t>=NF($G973,"Entry No.")</t>
  </si>
  <si>
    <t>=NF(G973,"Source Type")</t>
  </si>
  <si>
    <t>=NF($G973,"Source No.")</t>
  </si>
  <si>
    <t>=IF($J973="Customer",NL("first",$J973,"Name","No.","@@"&amp;$K973),"")</t>
  </si>
  <si>
    <t>=IF(J973="vendor",NL("first",J973,"Name","No.","@@"&amp;K973),"")</t>
  </si>
  <si>
    <t>=IF($J973="Item",NL("first",$J973,"Description","No.","@@"&amp;$K973),"")</t>
  </si>
  <si>
    <t>=NL("Sum","Item Ledger Entry","Quantity","Entry Type","Purchase","Entry No.",I973,"Location Code",$L$7)</t>
  </si>
  <si>
    <t>=NL("Sum","Item Ledger Entry","Quantity","Entry Type","Sale","Entry No.",I973,"Location Code",$L$7)</t>
  </si>
  <si>
    <t>=NL("Sum","Item Ledger Entry","Quantity","Entry Type","Positive Adjmt.|Negative Adjmt.","Entry No.",I973,"Location Code",$L$7)</t>
  </si>
  <si>
    <t>=NL("Sum","Item Ledger Entry","Quantity","Entry Type","Transfer","Entry No.",I973,"Location Code",$L$7)</t>
  </si>
  <si>
    <t>=NL("Sum","Item Ledger Entry","Quantity","Entry Type","Consumption","Entry No.",I973,"Location Code",$L$7)</t>
  </si>
  <si>
    <t>=NL("Sum","Item Ledger Entry","Quantity","Entry Type","Output","Entry No.",I973,"Location Code",$L$7)</t>
  </si>
  <si>
    <t>=D973</t>
  </si>
  <si>
    <t>=NF($G974,"Posting Date")</t>
  </si>
  <si>
    <t>=NF($G974,"Entry No.")</t>
  </si>
  <si>
    <t>=NF(G974,"Source Type")</t>
  </si>
  <si>
    <t>=NF($G974,"Source No.")</t>
  </si>
  <si>
    <t>=IF($J974="Customer",NL("first",$J974,"Name","No.","@@"&amp;$K974),"")</t>
  </si>
  <si>
    <t>=IF(J974="vendor",NL("first",J974,"Name","No.","@@"&amp;K974),"")</t>
  </si>
  <si>
    <t>=IF($J974="Item",NL("first",$J974,"Description","No.","@@"&amp;$K974),"")</t>
  </si>
  <si>
    <t>=NL("Sum","Item Ledger Entry","Quantity","Entry Type","Purchase","Entry No.",I974,"Location Code",$L$7)</t>
  </si>
  <si>
    <t>=NL("Sum","Item Ledger Entry","Quantity","Entry Type","Sale","Entry No.",I974,"Location Code",$L$7)</t>
  </si>
  <si>
    <t>=NL("Sum","Item Ledger Entry","Quantity","Entry Type","Positive Adjmt.|Negative Adjmt.","Entry No.",I974,"Location Code",$L$7)</t>
  </si>
  <si>
    <t>=NL("Sum","Item Ledger Entry","Quantity","Entry Type","Transfer","Entry No.",I974,"Location Code",$L$7)</t>
  </si>
  <si>
    <t>=NL("Sum","Item Ledger Entry","Quantity","Entry Type","Consumption","Entry No.",I974,"Location Code",$L$7)</t>
  </si>
  <si>
    <t>=NL("Sum","Item Ledger Entry","Quantity","Entry Type","Output","Entry No.",I974,"Location Code",$L$7)</t>
  </si>
  <si>
    <t>="S100006"</t>
  </si>
  <si>
    <t>=D977</t>
  </si>
  <si>
    <t>=NF($G978,"Posting Date")</t>
  </si>
  <si>
    <t>=NF($G978,"Entry No.")</t>
  </si>
  <si>
    <t>=NF(G978,"Source Type")</t>
  </si>
  <si>
    <t>=NF($G978,"Source No.")</t>
  </si>
  <si>
    <t>=IF($J978="Customer",NL("first",$J978,"Name","No.","@@"&amp;$K978),"")</t>
  </si>
  <si>
    <t>=IF(J978="vendor",NL("first",J978,"Name","No.","@@"&amp;K978),"")</t>
  </si>
  <si>
    <t>=IF($J978="Item",NL("first",$J978,"Description","No.","@@"&amp;$K978),"")</t>
  </si>
  <si>
    <t>=NL("Sum","Item Ledger Entry","Quantity","Entry Type","Purchase","Entry No.",I978,"Location Code",$L$7)</t>
  </si>
  <si>
    <t>=NL("Sum","Item Ledger Entry","Quantity","Entry Type","Sale","Entry No.",I978,"Location Code",$L$7)</t>
  </si>
  <si>
    <t>=NL("Sum","Item Ledger Entry","Quantity","Entry Type","Positive Adjmt.|Negative Adjmt.","Entry No.",I978,"Location Code",$L$7)</t>
  </si>
  <si>
    <t>=NL("Sum","Item Ledger Entry","Quantity","Entry Type","Transfer","Entry No.",I978,"Location Code",$L$7)</t>
  </si>
  <si>
    <t>=NL("Sum","Item Ledger Entry","Quantity","Entry Type","Consumption","Entry No.",I978,"Location Code",$L$7)</t>
  </si>
  <si>
    <t>=NL("Sum","Item Ledger Entry","Quantity","Entry Type","Output","Entry No.",I978,"Location Code",$L$7)</t>
  </si>
  <si>
    <t>=D983</t>
  </si>
  <si>
    <t>=NF($G984,"Posting Date")</t>
  </si>
  <si>
    <t>=NF($G984,"Entry No.")</t>
  </si>
  <si>
    <t>=NF(G984,"Source Type")</t>
  </si>
  <si>
    <t>=NF($G984,"Source No.")</t>
  </si>
  <si>
    <t>=IF($J984="Customer",NL("first",$J984,"Name","No.","@@"&amp;$K984),"")</t>
  </si>
  <si>
    <t>=IF(J984="vendor",NL("first",J984,"Name","No.","@@"&amp;K984),"")</t>
  </si>
  <si>
    <t>=IF($J984="Item",NL("first",$J984,"Description","No.","@@"&amp;$K984),"")</t>
  </si>
  <si>
    <t>=NL("Sum","Item Ledger Entry","Quantity","Entry Type","Purchase","Entry No.",I984,"Location Code",$L$7)</t>
  </si>
  <si>
    <t>=NL("Sum","Item Ledger Entry","Quantity","Entry Type","Sale","Entry No.",I984,"Location Code",$L$7)</t>
  </si>
  <si>
    <t>=NL("Sum","Item Ledger Entry","Quantity","Entry Type","Positive Adjmt.|Negative Adjmt.","Entry No.",I984,"Location Code",$L$7)</t>
  </si>
  <si>
    <t>=NL("Sum","Item Ledger Entry","Quantity","Entry Type","Transfer","Entry No.",I984,"Location Code",$L$7)</t>
  </si>
  <si>
    <t>=NL("Sum","Item Ledger Entry","Quantity","Entry Type","Consumption","Entry No.",I984,"Location Code",$L$7)</t>
  </si>
  <si>
    <t>=NL("Sum","Item Ledger Entry","Quantity","Entry Type","Output","Entry No.",I984,"Location Code",$L$7)</t>
  </si>
  <si>
    <t>=D984</t>
  </si>
  <si>
    <t>=NF($G985,"Posting Date")</t>
  </si>
  <si>
    <t>=NF($G985,"Entry No.")</t>
  </si>
  <si>
    <t>=NF(G985,"Source Type")</t>
  </si>
  <si>
    <t>=NF($G985,"Source No.")</t>
  </si>
  <si>
    <t>=IF($J985="Customer",NL("first",$J985,"Name","No.","@@"&amp;$K985),"")</t>
  </si>
  <si>
    <t>=IF(J985="vendor",NL("first",J985,"Name","No.","@@"&amp;K985),"")</t>
  </si>
  <si>
    <t>=IF($J985="Item",NL("first",$J985,"Description","No.","@@"&amp;$K985),"")</t>
  </si>
  <si>
    <t>=NL("Sum","Item Ledger Entry","Quantity","Entry Type","Purchase","Entry No.",I985,"Location Code",$L$7)</t>
  </si>
  <si>
    <t>=NL("Sum","Item Ledger Entry","Quantity","Entry Type","Sale","Entry No.",I985,"Location Code",$L$7)</t>
  </si>
  <si>
    <t>=NL("Sum","Item Ledger Entry","Quantity","Entry Type","Positive Adjmt.|Negative Adjmt.","Entry No.",I985,"Location Code",$L$7)</t>
  </si>
  <si>
    <t>=NL("Sum","Item Ledger Entry","Quantity","Entry Type","Transfer","Entry No.",I985,"Location Code",$L$7)</t>
  </si>
  <si>
    <t>=NL("Sum","Item Ledger Entry","Quantity","Entry Type","Consumption","Entry No.",I985,"Location Code",$L$7)</t>
  </si>
  <si>
    <t>=NL("Sum","Item Ledger Entry","Quantity","Entry Type","Output","Entry No.",I985,"Location Code",$L$7)</t>
  </si>
  <si>
    <t>=D985</t>
  </si>
  <si>
    <t>=NF($G986,"Posting Date")</t>
  </si>
  <si>
    <t>=NF($G986,"Entry No.")</t>
  </si>
  <si>
    <t>=NF(G986,"Source Type")</t>
  </si>
  <si>
    <t>=NF($G986,"Source No.")</t>
  </si>
  <si>
    <t>=IF($J986="Customer",NL("first",$J986,"Name","No.","@@"&amp;$K986),"")</t>
  </si>
  <si>
    <t>=IF(J986="vendor",NL("first",J986,"Name","No.","@@"&amp;K986),"")</t>
  </si>
  <si>
    <t>=IF($J986="Item",NL("first",$J986,"Description","No.","@@"&amp;$K986),"")</t>
  </si>
  <si>
    <t>=NL("Sum","Item Ledger Entry","Quantity","Entry Type","Purchase","Entry No.",I986,"Location Code",$L$7)</t>
  </si>
  <si>
    <t>=NL("Sum","Item Ledger Entry","Quantity","Entry Type","Sale","Entry No.",I986,"Location Code",$L$7)</t>
  </si>
  <si>
    <t>=NL("Sum","Item Ledger Entry","Quantity","Entry Type","Positive Adjmt.|Negative Adjmt.","Entry No.",I986,"Location Code",$L$7)</t>
  </si>
  <si>
    <t>=NL("Sum","Item Ledger Entry","Quantity","Entry Type","Transfer","Entry No.",I986,"Location Code",$L$7)</t>
  </si>
  <si>
    <t>=NL("Sum","Item Ledger Entry","Quantity","Entry Type","Consumption","Entry No.",I986,"Location Code",$L$7)</t>
  </si>
  <si>
    <t>=NL("Sum","Item Ledger Entry","Quantity","Entry Type","Output","Entry No.",I986,"Location Code",$L$7)</t>
  </si>
  <si>
    <t>="S100007"</t>
  </si>
  <si>
    <t>=D989</t>
  </si>
  <si>
    <t>=NF($G990,"Posting Date")</t>
  </si>
  <si>
    <t>=NF($G990,"Entry No.")</t>
  </si>
  <si>
    <t>=NF(G990,"Source Type")</t>
  </si>
  <si>
    <t>=NF($G990,"Source No.")</t>
  </si>
  <si>
    <t>=IF($J990="Customer",NL("first",$J990,"Name","No.","@@"&amp;$K990),"")</t>
  </si>
  <si>
    <t>=IF(J990="vendor",NL("first",J990,"Name","No.","@@"&amp;K990),"")</t>
  </si>
  <si>
    <t>=IF($J990="Item",NL("first",$J990,"Description","No.","@@"&amp;$K990),"")</t>
  </si>
  <si>
    <t>=NL("Sum","Item Ledger Entry","Quantity","Entry Type","Purchase","Entry No.",I990,"Location Code",$L$7)</t>
  </si>
  <si>
    <t>=NL("Sum","Item Ledger Entry","Quantity","Entry Type","Sale","Entry No.",I990,"Location Code",$L$7)</t>
  </si>
  <si>
    <t>=NL("Sum","Item Ledger Entry","Quantity","Entry Type","Positive Adjmt.|Negative Adjmt.","Entry No.",I990,"Location Code",$L$7)</t>
  </si>
  <si>
    <t>=NL("Sum","Item Ledger Entry","Quantity","Entry Type","Transfer","Entry No.",I990,"Location Code",$L$7)</t>
  </si>
  <si>
    <t>=NL("Sum","Item Ledger Entry","Quantity","Entry Type","Consumption","Entry No.",I990,"Location Code",$L$7)</t>
  </si>
  <si>
    <t>=NL("Sum","Item Ledger Entry","Quantity","Entry Type","Output","Entry No.",I990,"Location Code",$L$7)</t>
  </si>
  <si>
    <t>=D990</t>
  </si>
  <si>
    <t>=NF($G991,"Posting Date")</t>
  </si>
  <si>
    <t>=NF($G991,"Entry No.")</t>
  </si>
  <si>
    <t>=NF(G991,"Source Type")</t>
  </si>
  <si>
    <t>=NF($G991,"Source No.")</t>
  </si>
  <si>
    <t>=IF($J991="Customer",NL("first",$J991,"Name","No.","@@"&amp;$K991),"")</t>
  </si>
  <si>
    <t>=IF(J991="vendor",NL("first",J991,"Name","No.","@@"&amp;K991),"")</t>
  </si>
  <si>
    <t>=IF($J991="Item",NL("first",$J991,"Description","No.","@@"&amp;$K991),"")</t>
  </si>
  <si>
    <t>=NL("Sum","Item Ledger Entry","Quantity","Entry Type","Purchase","Entry No.",I991,"Location Code",$L$7)</t>
  </si>
  <si>
    <t>=NL("Sum","Item Ledger Entry","Quantity","Entry Type","Sale","Entry No.",I991,"Location Code",$L$7)</t>
  </si>
  <si>
    <t>=NL("Sum","Item Ledger Entry","Quantity","Entry Type","Positive Adjmt.|Negative Adjmt.","Entry No.",I991,"Location Code",$L$7)</t>
  </si>
  <si>
    <t>=NL("Sum","Item Ledger Entry","Quantity","Entry Type","Transfer","Entry No.",I991,"Location Code",$L$7)</t>
  </si>
  <si>
    <t>=NL("Sum","Item Ledger Entry","Quantity","Entry Type","Consumption","Entry No.",I991,"Location Code",$L$7)</t>
  </si>
  <si>
    <t>=NL("Sum","Item Ledger Entry","Quantity","Entry Type","Output","Entry No.",I991,"Location Code",$L$7)</t>
  </si>
  <si>
    <t>=D991</t>
  </si>
  <si>
    <t>=NF($G992,"Posting Date")</t>
  </si>
  <si>
    <t>=NF($G992,"Entry No.")</t>
  </si>
  <si>
    <t>=NF(G992,"Source Type")</t>
  </si>
  <si>
    <t>=NF($G992,"Source No.")</t>
  </si>
  <si>
    <t>=IF($J992="Customer",NL("first",$J992,"Name","No.","@@"&amp;$K992),"")</t>
  </si>
  <si>
    <t>=IF(J992="vendor",NL("first",J992,"Name","No.","@@"&amp;K992),"")</t>
  </si>
  <si>
    <t>=IF($J992="Item",NL("first",$J992,"Description","No.","@@"&amp;$K992),"")</t>
  </si>
  <si>
    <t>=NL("Sum","Item Ledger Entry","Quantity","Entry Type","Purchase","Entry No.",I992,"Location Code",$L$7)</t>
  </si>
  <si>
    <t>=NL("Sum","Item Ledger Entry","Quantity","Entry Type","Sale","Entry No.",I992,"Location Code",$L$7)</t>
  </si>
  <si>
    <t>=NL("Sum","Item Ledger Entry","Quantity","Entry Type","Positive Adjmt.|Negative Adjmt.","Entry No.",I992,"Location Code",$L$7)</t>
  </si>
  <si>
    <t>=NL("Sum","Item Ledger Entry","Quantity","Entry Type","Transfer","Entry No.",I992,"Location Code",$L$7)</t>
  </si>
  <si>
    <t>=NL("Sum","Item Ledger Entry","Quantity","Entry Type","Consumption","Entry No.",I992,"Location Code",$L$7)</t>
  </si>
  <si>
    <t>=NL("Sum","Item Ledger Entry","Quantity","Entry Type","Output","Entry No.",I992,"Location Code",$L$7)</t>
  </si>
  <si>
    <t>=D992</t>
  </si>
  <si>
    <t>=NF($G993,"Posting Date")</t>
  </si>
  <si>
    <t>=NF($G993,"Entry No.")</t>
  </si>
  <si>
    <t>=NF(G993,"Source Type")</t>
  </si>
  <si>
    <t>=NF($G993,"Source No.")</t>
  </si>
  <si>
    <t>=IF($J993="Customer",NL("first",$J993,"Name","No.","@@"&amp;$K993),"")</t>
  </si>
  <si>
    <t>=IF(J993="vendor",NL("first",J993,"Name","No.","@@"&amp;K993),"")</t>
  </si>
  <si>
    <t>=IF($J993="Item",NL("first",$J993,"Description","No.","@@"&amp;$K993),"")</t>
  </si>
  <si>
    <t>=NL("Sum","Item Ledger Entry","Quantity","Entry Type","Purchase","Entry No.",I993,"Location Code",$L$7)</t>
  </si>
  <si>
    <t>=NL("Sum","Item Ledger Entry","Quantity","Entry Type","Sale","Entry No.",I993,"Location Code",$L$7)</t>
  </si>
  <si>
    <t>=NL("Sum","Item Ledger Entry","Quantity","Entry Type","Positive Adjmt.|Negative Adjmt.","Entry No.",I993,"Location Code",$L$7)</t>
  </si>
  <si>
    <t>=NL("Sum","Item Ledger Entry","Quantity","Entry Type","Transfer","Entry No.",I993,"Location Code",$L$7)</t>
  </si>
  <si>
    <t>=NL("Sum","Item Ledger Entry","Quantity","Entry Type","Consumption","Entry No.",I993,"Location Code",$L$7)</t>
  </si>
  <si>
    <t>=NL("Sum","Item Ledger Entry","Quantity","Entry Type","Output","Entry No.",I993,"Location Code",$L$7)</t>
  </si>
  <si>
    <t>=D993</t>
  </si>
  <si>
    <t>=NF($G994,"Posting Date")</t>
  </si>
  <si>
    <t>=NF($G994,"Entry No.")</t>
  </si>
  <si>
    <t>=NF(G994,"Source Type")</t>
  </si>
  <si>
    <t>=NF($G994,"Source No.")</t>
  </si>
  <si>
    <t>=IF($J994="Customer",NL("first",$J994,"Name","No.","@@"&amp;$K994),"")</t>
  </si>
  <si>
    <t>=IF(J994="vendor",NL("first",J994,"Name","No.","@@"&amp;K994),"")</t>
  </si>
  <si>
    <t>=IF($J994="Item",NL("first",$J994,"Description","No.","@@"&amp;$K994),"")</t>
  </si>
  <si>
    <t>=NL("Sum","Item Ledger Entry","Quantity","Entry Type","Purchase","Entry No.",I994,"Location Code",$L$7)</t>
  </si>
  <si>
    <t>=NL("Sum","Item Ledger Entry","Quantity","Entry Type","Sale","Entry No.",I994,"Location Code",$L$7)</t>
  </si>
  <si>
    <t>=NL("Sum","Item Ledger Entry","Quantity","Entry Type","Positive Adjmt.|Negative Adjmt.","Entry No.",I994,"Location Code",$L$7)</t>
  </si>
  <si>
    <t>=NL("Sum","Item Ledger Entry","Quantity","Entry Type","Transfer","Entry No.",I994,"Location Code",$L$7)</t>
  </si>
  <si>
    <t>=NL("Sum","Item Ledger Entry","Quantity","Entry Type","Consumption","Entry No.",I994,"Location Code",$L$7)</t>
  </si>
  <si>
    <t>=NL("Sum","Item Ledger Entry","Quantity","Entry Type","Output","Entry No.",I994,"Location Code",$L$7)</t>
  </si>
  <si>
    <t>="S100008"</t>
  </si>
  <si>
    <t>=D998</t>
  </si>
  <si>
    <t>=NF($G999,"Posting Date")</t>
  </si>
  <si>
    <t>=NF($G999,"Entry No.")</t>
  </si>
  <si>
    <t>=NF(G999,"Source Type")</t>
  </si>
  <si>
    <t>=NF($G999,"Source No.")</t>
  </si>
  <si>
    <t>=IF($J999="Customer",NL("first",$J999,"Name","No.","@@"&amp;$K999),"")</t>
  </si>
  <si>
    <t>=IF(J999="vendor",NL("first",J999,"Name","No.","@@"&amp;K999),"")</t>
  </si>
  <si>
    <t>=IF($J999="Item",NL("first",$J999,"Description","No.","@@"&amp;$K999),"")</t>
  </si>
  <si>
    <t>=NL("Sum","Item Ledger Entry","Quantity","Entry Type","Purchase","Entry No.",I999,"Location Code",$L$7)</t>
  </si>
  <si>
    <t>=NL("Sum","Item Ledger Entry","Quantity","Entry Type","Sale","Entry No.",I999,"Location Code",$L$7)</t>
  </si>
  <si>
    <t>=NL("Sum","Item Ledger Entry","Quantity","Entry Type","Positive Adjmt.|Negative Adjmt.","Entry No.",I999,"Location Code",$L$7)</t>
  </si>
  <si>
    <t>=NL("Sum","Item Ledger Entry","Quantity","Entry Type","Transfer","Entry No.",I999,"Location Code",$L$7)</t>
  </si>
  <si>
    <t>=NL("Sum","Item Ledger Entry","Quantity","Entry Type","Consumption","Entry No.",I999,"Location Code",$L$7)</t>
  </si>
  <si>
    <t>=NL("Sum","Item Ledger Entry","Quantity","Entry Type","Output","Entry No.",I999,"Location Code",$L$7)</t>
  </si>
  <si>
    <t>=D1002</t>
  </si>
  <si>
    <t>=NF($G1003,"Posting Date")</t>
  </si>
  <si>
    <t>=NF($G1003,"Entry No.")</t>
  </si>
  <si>
    <t>=NF(G1003,"Source Type")</t>
  </si>
  <si>
    <t>=NF($G1003,"Source No.")</t>
  </si>
  <si>
    <t>=IF($J1003="Customer",NL("first",$J1003,"Name","No.","@@"&amp;$K1003),"")</t>
  </si>
  <si>
    <t>=IF(J1003="vendor",NL("first",J1003,"Name","No.","@@"&amp;K1003),"")</t>
  </si>
  <si>
    <t>=IF($J1003="Item",NL("first",$J1003,"Description","No.","@@"&amp;$K1003),"")</t>
  </si>
  <si>
    <t>=NL("Sum","Item Ledger Entry","Quantity","Entry Type","Purchase","Entry No.",I1003,"Location Code",$L$7)</t>
  </si>
  <si>
    <t>=NL("Sum","Item Ledger Entry","Quantity","Entry Type","Sale","Entry No.",I1003,"Location Code",$L$7)</t>
  </si>
  <si>
    <t>=NL("Sum","Item Ledger Entry","Quantity","Entry Type","Positive Adjmt.|Negative Adjmt.","Entry No.",I1003,"Location Code",$L$7)</t>
  </si>
  <si>
    <t>=NL("Sum","Item Ledger Entry","Quantity","Entry Type","Transfer","Entry No.",I1003,"Location Code",$L$7)</t>
  </si>
  <si>
    <t>=NL("Sum","Item Ledger Entry","Quantity","Entry Type","Consumption","Entry No.",I1003,"Location Code",$L$7)</t>
  </si>
  <si>
    <t>=NL("Sum","Item Ledger Entry","Quantity","Entry Type","Output","Entry No.",I1003,"Location Code",$L$7)</t>
  </si>
  <si>
    <t>=D1003</t>
  </si>
  <si>
    <t>=NF($G1004,"Posting Date")</t>
  </si>
  <si>
    <t>=NF($G1004,"Entry No.")</t>
  </si>
  <si>
    <t>=NF(G1004,"Source Type")</t>
  </si>
  <si>
    <t>=NF($G1004,"Source No.")</t>
  </si>
  <si>
    <t>=IF($J1004="Customer",NL("first",$J1004,"Name","No.","@@"&amp;$K1004),"")</t>
  </si>
  <si>
    <t>=IF(J1004="vendor",NL("first",J1004,"Name","No.","@@"&amp;K1004),"")</t>
  </si>
  <si>
    <t>=IF($J1004="Item",NL("first",$J1004,"Description","No.","@@"&amp;$K1004),"")</t>
  </si>
  <si>
    <t>=NL("Sum","Item Ledger Entry","Quantity","Entry Type","Purchase","Entry No.",I1004,"Location Code",$L$7)</t>
  </si>
  <si>
    <t>=NL("Sum","Item Ledger Entry","Quantity","Entry Type","Sale","Entry No.",I1004,"Location Code",$L$7)</t>
  </si>
  <si>
    <t>=NL("Sum","Item Ledger Entry","Quantity","Entry Type","Positive Adjmt.|Negative Adjmt.","Entry No.",I1004,"Location Code",$L$7)</t>
  </si>
  <si>
    <t>=NL("Sum","Item Ledger Entry","Quantity","Entry Type","Transfer","Entry No.",I1004,"Location Code",$L$7)</t>
  </si>
  <si>
    <t>=NL("Sum","Item Ledger Entry","Quantity","Entry Type","Consumption","Entry No.",I1004,"Location Code",$L$7)</t>
  </si>
  <si>
    <t>=NL("Sum","Item Ledger Entry","Quantity","Entry Type","Output","Entry No.",I1004,"Location Code",$L$7)</t>
  </si>
  <si>
    <t>=D1004</t>
  </si>
  <si>
    <t>=NF($G1005,"Posting Date")</t>
  </si>
  <si>
    <t>=NF($G1005,"Entry No.")</t>
  </si>
  <si>
    <t>=NF(G1005,"Source Type")</t>
  </si>
  <si>
    <t>=NF($G1005,"Source No.")</t>
  </si>
  <si>
    <t>=IF($J1005="Customer",NL("first",$J1005,"Name","No.","@@"&amp;$K1005),"")</t>
  </si>
  <si>
    <t>=IF(J1005="vendor",NL("first",J1005,"Name","No.","@@"&amp;K1005),"")</t>
  </si>
  <si>
    <t>=IF($J1005="Item",NL("first",$J1005,"Description","No.","@@"&amp;$K1005),"")</t>
  </si>
  <si>
    <t>=NL("Sum","Item Ledger Entry","Quantity","Entry Type","Purchase","Entry No.",I1005,"Location Code",$L$7)</t>
  </si>
  <si>
    <t>=NL("Sum","Item Ledger Entry","Quantity","Entry Type","Sale","Entry No.",I1005,"Location Code",$L$7)</t>
  </si>
  <si>
    <t>=NL("Sum","Item Ledger Entry","Quantity","Entry Type","Positive Adjmt.|Negative Adjmt.","Entry No.",I1005,"Location Code",$L$7)</t>
  </si>
  <si>
    <t>=NL("Sum","Item Ledger Entry","Quantity","Entry Type","Transfer","Entry No.",I1005,"Location Code",$L$7)</t>
  </si>
  <si>
    <t>=NL("Sum","Item Ledger Entry","Quantity","Entry Type","Consumption","Entry No.",I1005,"Location Code",$L$7)</t>
  </si>
  <si>
    <t>=NL("Sum","Item Ledger Entry","Quantity","Entry Type","Output","Entry No.",I1005,"Location Code",$L$7)</t>
  </si>
  <si>
    <t>=D1005</t>
  </si>
  <si>
    <t>=NF($G1006,"Posting Date")</t>
  </si>
  <si>
    <t>=NF($G1006,"Entry No.")</t>
  </si>
  <si>
    <t>=NF(G1006,"Source Type")</t>
  </si>
  <si>
    <t>=NF($G1006,"Source No.")</t>
  </si>
  <si>
    <t>=IF($J1006="Customer",NL("first",$J1006,"Name","No.","@@"&amp;$K1006),"")</t>
  </si>
  <si>
    <t>=IF(J1006="vendor",NL("first",J1006,"Name","No.","@@"&amp;K1006),"")</t>
  </si>
  <si>
    <t>=IF($J1006="Item",NL("first",$J1006,"Description","No.","@@"&amp;$K1006),"")</t>
  </si>
  <si>
    <t>=NL("Sum","Item Ledger Entry","Quantity","Entry Type","Purchase","Entry No.",I1006,"Location Code",$L$7)</t>
  </si>
  <si>
    <t>=NL("Sum","Item Ledger Entry","Quantity","Entry Type","Sale","Entry No.",I1006,"Location Code",$L$7)</t>
  </si>
  <si>
    <t>=NL("Sum","Item Ledger Entry","Quantity","Entry Type","Positive Adjmt.|Negative Adjmt.","Entry No.",I1006,"Location Code",$L$7)</t>
  </si>
  <si>
    <t>=NL("Sum","Item Ledger Entry","Quantity","Entry Type","Transfer","Entry No.",I1006,"Location Code",$L$7)</t>
  </si>
  <si>
    <t>=NL("Sum","Item Ledger Entry","Quantity","Entry Type","Consumption","Entry No.",I1006,"Location Code",$L$7)</t>
  </si>
  <si>
    <t>=NL("Sum","Item Ledger Entry","Quantity","Entry Type","Output","Entry No.",I1006,"Location Code",$L$7)</t>
  </si>
  <si>
    <t>="S100009"</t>
  </si>
  <si>
    <t>=D1009</t>
  </si>
  <si>
    <t>=NF($G1010,"Posting Date")</t>
  </si>
  <si>
    <t>=NF($G1010,"Entry No.")</t>
  </si>
  <si>
    <t>=NF(G1010,"Source Type")</t>
  </si>
  <si>
    <t>=NF($G1010,"Source No.")</t>
  </si>
  <si>
    <t>=IF($J1010="Customer",NL("first",$J1010,"Name","No.","@@"&amp;$K1010),"")</t>
  </si>
  <si>
    <t>=IF(J1010="vendor",NL("first",J1010,"Name","No.","@@"&amp;K1010),"")</t>
  </si>
  <si>
    <t>=IF($J1010="Item",NL("first",$J1010,"Description","No.","@@"&amp;$K1010),"")</t>
  </si>
  <si>
    <t>=NL("Sum","Item Ledger Entry","Quantity","Entry Type","Purchase","Entry No.",I1010,"Location Code",$L$7)</t>
  </si>
  <si>
    <t>=NL("Sum","Item Ledger Entry","Quantity","Entry Type","Sale","Entry No.",I1010,"Location Code",$L$7)</t>
  </si>
  <si>
    <t>=NL("Sum","Item Ledger Entry","Quantity","Entry Type","Positive Adjmt.|Negative Adjmt.","Entry No.",I1010,"Location Code",$L$7)</t>
  </si>
  <si>
    <t>=NL("Sum","Item Ledger Entry","Quantity","Entry Type","Transfer","Entry No.",I1010,"Location Code",$L$7)</t>
  </si>
  <si>
    <t>=NL("Sum","Item Ledger Entry","Quantity","Entry Type","Consumption","Entry No.",I1010,"Location Code",$L$7)</t>
  </si>
  <si>
    <t>=NL("Sum","Item Ledger Entry","Quantity","Entry Type","Output","Entry No.",I1010,"Location Code",$L$7)</t>
  </si>
  <si>
    <t>=D1010</t>
  </si>
  <si>
    <t>=NF($G1011,"Posting Date")</t>
  </si>
  <si>
    <t>=NF($G1011,"Entry No.")</t>
  </si>
  <si>
    <t>=NF(G1011,"Source Type")</t>
  </si>
  <si>
    <t>=NF($G1011,"Source No.")</t>
  </si>
  <si>
    <t>=IF($J1011="Customer",NL("first",$J1011,"Name","No.","@@"&amp;$K1011),"")</t>
  </si>
  <si>
    <t>=IF(J1011="vendor",NL("first",J1011,"Name","No.","@@"&amp;K1011),"")</t>
  </si>
  <si>
    <t>=IF($J1011="Item",NL("first",$J1011,"Description","No.","@@"&amp;$K1011),"")</t>
  </si>
  <si>
    <t>=NL("Sum","Item Ledger Entry","Quantity","Entry Type","Purchase","Entry No.",I1011,"Location Code",$L$7)</t>
  </si>
  <si>
    <t>=NL("Sum","Item Ledger Entry","Quantity","Entry Type","Sale","Entry No.",I1011,"Location Code",$L$7)</t>
  </si>
  <si>
    <t>=NL("Sum","Item Ledger Entry","Quantity","Entry Type","Positive Adjmt.|Negative Adjmt.","Entry No.",I1011,"Location Code",$L$7)</t>
  </si>
  <si>
    <t>=NL("Sum","Item Ledger Entry","Quantity","Entry Type","Transfer","Entry No.",I1011,"Location Code",$L$7)</t>
  </si>
  <si>
    <t>=NL("Sum","Item Ledger Entry","Quantity","Entry Type","Consumption","Entry No.",I1011,"Location Code",$L$7)</t>
  </si>
  <si>
    <t>=NL("Sum","Item Ledger Entry","Quantity","Entry Type","Output","Entry No.",I1011,"Location Code",$L$7)</t>
  </si>
  <si>
    <t>=D1011</t>
  </si>
  <si>
    <t>=NF($G1012,"Posting Date")</t>
  </si>
  <si>
    <t>=NF($G1012,"Entry No.")</t>
  </si>
  <si>
    <t>=NF(G1012,"Source Type")</t>
  </si>
  <si>
    <t>=NF($G1012,"Source No.")</t>
  </si>
  <si>
    <t>=IF($J1012="Customer",NL("first",$J1012,"Name","No.","@@"&amp;$K1012),"")</t>
  </si>
  <si>
    <t>=IF(J1012="vendor",NL("first",J1012,"Name","No.","@@"&amp;K1012),"")</t>
  </si>
  <si>
    <t>=IF($J1012="Item",NL("first",$J1012,"Description","No.","@@"&amp;$K1012),"")</t>
  </si>
  <si>
    <t>=NL("Sum","Item Ledger Entry","Quantity","Entry Type","Purchase","Entry No.",I1012,"Location Code",$L$7)</t>
  </si>
  <si>
    <t>=NL("Sum","Item Ledger Entry","Quantity","Entry Type","Sale","Entry No.",I1012,"Location Code",$L$7)</t>
  </si>
  <si>
    <t>=NL("Sum","Item Ledger Entry","Quantity","Entry Type","Positive Adjmt.|Negative Adjmt.","Entry No.",I1012,"Location Code",$L$7)</t>
  </si>
  <si>
    <t>=NL("Sum","Item Ledger Entry","Quantity","Entry Type","Transfer","Entry No.",I1012,"Location Code",$L$7)</t>
  </si>
  <si>
    <t>=NL("Sum","Item Ledger Entry","Quantity","Entry Type","Consumption","Entry No.",I1012,"Location Code",$L$7)</t>
  </si>
  <si>
    <t>=NL("Sum","Item Ledger Entry","Quantity","Entry Type","Output","Entry No.",I1012,"Location Code",$L$7)</t>
  </si>
  <si>
    <t>=D1012</t>
  </si>
  <si>
    <t>=NF($G1013,"Posting Date")</t>
  </si>
  <si>
    <t>=NF($G1013,"Entry No.")</t>
  </si>
  <si>
    <t>=NF(G1013,"Source Type")</t>
  </si>
  <si>
    <t>=NF($G1013,"Source No.")</t>
  </si>
  <si>
    <t>=IF($J1013="Customer",NL("first",$J1013,"Name","No.","@@"&amp;$K1013),"")</t>
  </si>
  <si>
    <t>=IF(J1013="vendor",NL("first",J1013,"Name","No.","@@"&amp;K1013),"")</t>
  </si>
  <si>
    <t>=IF($J1013="Item",NL("first",$J1013,"Description","No.","@@"&amp;$K1013),"")</t>
  </si>
  <si>
    <t>=NL("Sum","Item Ledger Entry","Quantity","Entry Type","Purchase","Entry No.",I1013,"Location Code",$L$7)</t>
  </si>
  <si>
    <t>=NL("Sum","Item Ledger Entry","Quantity","Entry Type","Sale","Entry No.",I1013,"Location Code",$L$7)</t>
  </si>
  <si>
    <t>=NL("Sum","Item Ledger Entry","Quantity","Entry Type","Positive Adjmt.|Negative Adjmt.","Entry No.",I1013,"Location Code",$L$7)</t>
  </si>
  <si>
    <t>=NL("Sum","Item Ledger Entry","Quantity","Entry Type","Transfer","Entry No.",I1013,"Location Code",$L$7)</t>
  </si>
  <si>
    <t>=NL("Sum","Item Ledger Entry","Quantity","Entry Type","Consumption","Entry No.",I1013,"Location Code",$L$7)</t>
  </si>
  <si>
    <t>=NL("Sum","Item Ledger Entry","Quantity","Entry Type","Output","Entry No.",I1013,"Location Code",$L$7)</t>
  </si>
  <si>
    <t>=D1016</t>
  </si>
  <si>
    <t>=NF($G1017,"Posting Date")</t>
  </si>
  <si>
    <t>=NF($G1017,"Entry No.")</t>
  </si>
  <si>
    <t>=NF(G1017,"Source Type")</t>
  </si>
  <si>
    <t>=NF($G1017,"Source No.")</t>
  </si>
  <si>
    <t>=IF($J1017="Customer",NL("first",$J1017,"Name","No.","@@"&amp;$K1017),"")</t>
  </si>
  <si>
    <t>=IF(J1017="vendor",NL("first",J1017,"Name","No.","@@"&amp;K1017),"")</t>
  </si>
  <si>
    <t>=IF($J1017="Item",NL("first",$J1017,"Description","No.","@@"&amp;$K1017),"")</t>
  </si>
  <si>
    <t>=NL("Sum","Item Ledger Entry","Quantity","Entry Type","Purchase","Entry No.",I1017,"Location Code",$L$7)</t>
  </si>
  <si>
    <t>=NL("Sum","Item Ledger Entry","Quantity","Entry Type","Sale","Entry No.",I1017,"Location Code",$L$7)</t>
  </si>
  <si>
    <t>=NL("Sum","Item Ledger Entry","Quantity","Entry Type","Positive Adjmt.|Negative Adjmt.","Entry No.",I1017,"Location Code",$L$7)</t>
  </si>
  <si>
    <t>=NL("Sum","Item Ledger Entry","Quantity","Entry Type","Transfer","Entry No.",I1017,"Location Code",$L$7)</t>
  </si>
  <si>
    <t>=NL("Sum","Item Ledger Entry","Quantity","Entry Type","Consumption","Entry No.",I1017,"Location Code",$L$7)</t>
  </si>
  <si>
    <t>=NL("Sum","Item Ledger Entry","Quantity","Entry Type","Output","Entry No.",I1017,"Location Code",$L$7)</t>
  </si>
  <si>
    <t>="S100010"</t>
  </si>
  <si>
    <t>=D1025</t>
  </si>
  <si>
    <t>=NF($G1026,"Posting Date")</t>
  </si>
  <si>
    <t>=NF($G1026,"Entry No.")</t>
  </si>
  <si>
    <t>=NF(G1026,"Source Type")</t>
  </si>
  <si>
    <t>=NF($G1026,"Source No.")</t>
  </si>
  <si>
    <t>=IF($J1026="Customer",NL("first",$J1026,"Name","No.","@@"&amp;$K1026),"")</t>
  </si>
  <si>
    <t>=IF(J1026="vendor",NL("first",J1026,"Name","No.","@@"&amp;K1026),"")</t>
  </si>
  <si>
    <t>=IF($J1026="Item",NL("first",$J1026,"Description","No.","@@"&amp;$K1026),"")</t>
  </si>
  <si>
    <t>=NL("Sum","Item Ledger Entry","Quantity","Entry Type","Purchase","Entry No.",I1026,"Location Code",$L$7)</t>
  </si>
  <si>
    <t>=NL("Sum","Item Ledger Entry","Quantity","Entry Type","Sale","Entry No.",I1026,"Location Code",$L$7)</t>
  </si>
  <si>
    <t>=NL("Sum","Item Ledger Entry","Quantity","Entry Type","Positive Adjmt.|Negative Adjmt.","Entry No.",I1026,"Location Code",$L$7)</t>
  </si>
  <si>
    <t>=NL("Sum","Item Ledger Entry","Quantity","Entry Type","Transfer","Entry No.",I1026,"Location Code",$L$7)</t>
  </si>
  <si>
    <t>=NL("Sum","Item Ledger Entry","Quantity","Entry Type","Consumption","Entry No.",I1026,"Location Code",$L$7)</t>
  </si>
  <si>
    <t>=NL("Sum","Item Ledger Entry","Quantity","Entry Type","Output","Entry No.",I1026,"Location Code",$L$7)</t>
  </si>
  <si>
    <t>=D1026</t>
  </si>
  <si>
    <t>=NF($G1027,"Posting Date")</t>
  </si>
  <si>
    <t>=NF($G1027,"Entry No.")</t>
  </si>
  <si>
    <t>=NF(G1027,"Source Type")</t>
  </si>
  <si>
    <t>=NF($G1027,"Source No.")</t>
  </si>
  <si>
    <t>=IF($J1027="Customer",NL("first",$J1027,"Name","No.","@@"&amp;$K1027),"")</t>
  </si>
  <si>
    <t>=IF(J1027="vendor",NL("first",J1027,"Name","No.","@@"&amp;K1027),"")</t>
  </si>
  <si>
    <t>=IF($J1027="Item",NL("first",$J1027,"Description","No.","@@"&amp;$K1027),"")</t>
  </si>
  <si>
    <t>=NL("Sum","Item Ledger Entry","Quantity","Entry Type","Purchase","Entry No.",I1027,"Location Code",$L$7)</t>
  </si>
  <si>
    <t>=NL("Sum","Item Ledger Entry","Quantity","Entry Type","Sale","Entry No.",I1027,"Location Code",$L$7)</t>
  </si>
  <si>
    <t>=NL("Sum","Item Ledger Entry","Quantity","Entry Type","Positive Adjmt.|Negative Adjmt.","Entry No.",I1027,"Location Code",$L$7)</t>
  </si>
  <si>
    <t>=NL("Sum","Item Ledger Entry","Quantity","Entry Type","Transfer","Entry No.",I1027,"Location Code",$L$7)</t>
  </si>
  <si>
    <t>=NL("Sum","Item Ledger Entry","Quantity","Entry Type","Consumption","Entry No.",I1027,"Location Code",$L$7)</t>
  </si>
  <si>
    <t>=NL("Sum","Item Ledger Entry","Quantity","Entry Type","Output","Entry No.",I1027,"Location Code",$L$7)</t>
  </si>
  <si>
    <t>=D1027</t>
  </si>
  <si>
    <t>=NF($G1028,"Posting Date")</t>
  </si>
  <si>
    <t>=NF($G1028,"Entry No.")</t>
  </si>
  <si>
    <t>=NF(G1028,"Source Type")</t>
  </si>
  <si>
    <t>=NF($G1028,"Source No.")</t>
  </si>
  <si>
    <t>=IF($J1028="Customer",NL("first",$J1028,"Name","No.","@@"&amp;$K1028),"")</t>
  </si>
  <si>
    <t>=IF(J1028="vendor",NL("first",J1028,"Name","No.","@@"&amp;K1028),"")</t>
  </si>
  <si>
    <t>=IF($J1028="Item",NL("first",$J1028,"Description","No.","@@"&amp;$K1028),"")</t>
  </si>
  <si>
    <t>=NL("Sum","Item Ledger Entry","Quantity","Entry Type","Purchase","Entry No.",I1028,"Location Code",$L$7)</t>
  </si>
  <si>
    <t>=NL("Sum","Item Ledger Entry","Quantity","Entry Type","Sale","Entry No.",I1028,"Location Code",$L$7)</t>
  </si>
  <si>
    <t>=NL("Sum","Item Ledger Entry","Quantity","Entry Type","Positive Adjmt.|Negative Adjmt.","Entry No.",I1028,"Location Code",$L$7)</t>
  </si>
  <si>
    <t>=NL("Sum","Item Ledger Entry","Quantity","Entry Type","Transfer","Entry No.",I1028,"Location Code",$L$7)</t>
  </si>
  <si>
    <t>=NL("Sum","Item Ledger Entry","Quantity","Entry Type","Consumption","Entry No.",I1028,"Location Code",$L$7)</t>
  </si>
  <si>
    <t>=NL("Sum","Item Ledger Entry","Quantity","Entry Type","Output","Entry No.",I1028,"Location Code",$L$7)</t>
  </si>
  <si>
    <t>="S100011"</t>
  </si>
  <si>
    <t>=D1031</t>
  </si>
  <si>
    <t>=NF($G1032,"Posting Date")</t>
  </si>
  <si>
    <t>=NF($G1032,"Entry No.")</t>
  </si>
  <si>
    <t>=NF(G1032,"Source Type")</t>
  </si>
  <si>
    <t>=NF($G1032,"Source No.")</t>
  </si>
  <si>
    <t>=IF($J1032="Customer",NL("first",$J1032,"Name","No.","@@"&amp;$K1032),"")</t>
  </si>
  <si>
    <t>=IF(J1032="vendor",NL("first",J1032,"Name","No.","@@"&amp;K1032),"")</t>
  </si>
  <si>
    <t>=IF($J1032="Item",NL("first",$J1032,"Description","No.","@@"&amp;$K1032),"")</t>
  </si>
  <si>
    <t>=NL("Sum","Item Ledger Entry","Quantity","Entry Type","Purchase","Entry No.",I1032,"Location Code",$L$7)</t>
  </si>
  <si>
    <t>=NL("Sum","Item Ledger Entry","Quantity","Entry Type","Sale","Entry No.",I1032,"Location Code",$L$7)</t>
  </si>
  <si>
    <t>=NL("Sum","Item Ledger Entry","Quantity","Entry Type","Positive Adjmt.|Negative Adjmt.","Entry No.",I1032,"Location Code",$L$7)</t>
  </si>
  <si>
    <t>=NL("Sum","Item Ledger Entry","Quantity","Entry Type","Transfer","Entry No.",I1032,"Location Code",$L$7)</t>
  </si>
  <si>
    <t>=NL("Sum","Item Ledger Entry","Quantity","Entry Type","Consumption","Entry No.",I1032,"Location Code",$L$7)</t>
  </si>
  <si>
    <t>=NL("Sum","Item Ledger Entry","Quantity","Entry Type","Output","Entry No.",I1032,"Location Code",$L$7)</t>
  </si>
  <si>
    <t>=D1032</t>
  </si>
  <si>
    <t>=NF($G1033,"Posting Date")</t>
  </si>
  <si>
    <t>=NF($G1033,"Entry No.")</t>
  </si>
  <si>
    <t>=NF(G1033,"Source Type")</t>
  </si>
  <si>
    <t>=NF($G1033,"Source No.")</t>
  </si>
  <si>
    <t>=IF($J1033="Customer",NL("first",$J1033,"Name","No.","@@"&amp;$K1033),"")</t>
  </si>
  <si>
    <t>=IF(J1033="vendor",NL("first",J1033,"Name","No.","@@"&amp;K1033),"")</t>
  </si>
  <si>
    <t>=IF($J1033="Item",NL("first",$J1033,"Description","No.","@@"&amp;$K1033),"")</t>
  </si>
  <si>
    <t>=NL("Sum","Item Ledger Entry","Quantity","Entry Type","Purchase","Entry No.",I1033,"Location Code",$L$7)</t>
  </si>
  <si>
    <t>=NL("Sum","Item Ledger Entry","Quantity","Entry Type","Sale","Entry No.",I1033,"Location Code",$L$7)</t>
  </si>
  <si>
    <t>=NL("Sum","Item Ledger Entry","Quantity","Entry Type","Positive Adjmt.|Negative Adjmt.","Entry No.",I1033,"Location Code",$L$7)</t>
  </si>
  <si>
    <t>=NL("Sum","Item Ledger Entry","Quantity","Entry Type","Transfer","Entry No.",I1033,"Location Code",$L$7)</t>
  </si>
  <si>
    <t>=NL("Sum","Item Ledger Entry","Quantity","Entry Type","Consumption","Entry No.",I1033,"Location Code",$L$7)</t>
  </si>
  <si>
    <t>=NL("Sum","Item Ledger Entry","Quantity","Entry Type","Output","Entry No.",I1033,"Location Code",$L$7)</t>
  </si>
  <si>
    <t>=D1036</t>
  </si>
  <si>
    <t>=NF($G1037,"Posting Date")</t>
  </si>
  <si>
    <t>=NF($G1037,"Entry No.")</t>
  </si>
  <si>
    <t>=NF(G1037,"Source Type")</t>
  </si>
  <si>
    <t>=NF($G1037,"Source No.")</t>
  </si>
  <si>
    <t>=IF($J1037="Customer",NL("first",$J1037,"Name","No.","@@"&amp;$K1037),"")</t>
  </si>
  <si>
    <t>=IF(J1037="vendor",NL("first",J1037,"Name","No.","@@"&amp;K1037),"")</t>
  </si>
  <si>
    <t>=IF($J1037="Item",NL("first",$J1037,"Description","No.","@@"&amp;$K1037),"")</t>
  </si>
  <si>
    <t>=NL("Sum","Item Ledger Entry","Quantity","Entry Type","Purchase","Entry No.",I1037,"Location Code",$L$7)</t>
  </si>
  <si>
    <t>=NL("Sum","Item Ledger Entry","Quantity","Entry Type","Sale","Entry No.",I1037,"Location Code",$L$7)</t>
  </si>
  <si>
    <t>=NL("Sum","Item Ledger Entry","Quantity","Entry Type","Positive Adjmt.|Negative Adjmt.","Entry No.",I1037,"Location Code",$L$7)</t>
  </si>
  <si>
    <t>=NL("Sum","Item Ledger Entry","Quantity","Entry Type","Transfer","Entry No.",I1037,"Location Code",$L$7)</t>
  </si>
  <si>
    <t>=NL("Sum","Item Ledger Entry","Quantity","Entry Type","Consumption","Entry No.",I1037,"Location Code",$L$7)</t>
  </si>
  <si>
    <t>=NL("Sum","Item Ledger Entry","Quantity","Entry Type","Output","Entry No.",I1037,"Location Code",$L$7)</t>
  </si>
  <si>
    <t>=D1037</t>
  </si>
  <si>
    <t>=NF($G1038,"Posting Date")</t>
  </si>
  <si>
    <t>=NF($G1038,"Entry No.")</t>
  </si>
  <si>
    <t>=NF(G1038,"Source Type")</t>
  </si>
  <si>
    <t>=NF($G1038,"Source No.")</t>
  </si>
  <si>
    <t>=IF($J1038="Customer",NL("first",$J1038,"Name","No.","@@"&amp;$K1038),"")</t>
  </si>
  <si>
    <t>=IF(J1038="vendor",NL("first",J1038,"Name","No.","@@"&amp;K1038),"")</t>
  </si>
  <si>
    <t>=IF($J1038="Item",NL("first",$J1038,"Description","No.","@@"&amp;$K1038),"")</t>
  </si>
  <si>
    <t>=NL("Sum","Item Ledger Entry","Quantity","Entry Type","Purchase","Entry No.",I1038,"Location Code",$L$7)</t>
  </si>
  <si>
    <t>=NL("Sum","Item Ledger Entry","Quantity","Entry Type","Sale","Entry No.",I1038,"Location Code",$L$7)</t>
  </si>
  <si>
    <t>=NL("Sum","Item Ledger Entry","Quantity","Entry Type","Positive Adjmt.|Negative Adjmt.","Entry No.",I1038,"Location Code",$L$7)</t>
  </si>
  <si>
    <t>=NL("Sum","Item Ledger Entry","Quantity","Entry Type","Transfer","Entry No.",I1038,"Location Code",$L$7)</t>
  </si>
  <si>
    <t>=NL("Sum","Item Ledger Entry","Quantity","Entry Type","Consumption","Entry No.",I1038,"Location Code",$L$7)</t>
  </si>
  <si>
    <t>=NL("Sum","Item Ledger Entry","Quantity","Entry Type","Output","Entry No.",I1038,"Location Code",$L$7)</t>
  </si>
  <si>
    <t>=D1038</t>
  </si>
  <si>
    <t>=NF($G1039,"Posting Date")</t>
  </si>
  <si>
    <t>=NF($G1039,"Entry No.")</t>
  </si>
  <si>
    <t>=NF(G1039,"Source Type")</t>
  </si>
  <si>
    <t>=NF($G1039,"Source No.")</t>
  </si>
  <si>
    <t>=IF($J1039="Customer",NL("first",$J1039,"Name","No.","@@"&amp;$K1039),"")</t>
  </si>
  <si>
    <t>=IF(J1039="vendor",NL("first",J1039,"Name","No.","@@"&amp;K1039),"")</t>
  </si>
  <si>
    <t>=IF($J1039="Item",NL("first",$J1039,"Description","No.","@@"&amp;$K1039),"")</t>
  </si>
  <si>
    <t>=NL("Sum","Item Ledger Entry","Quantity","Entry Type","Purchase","Entry No.",I1039,"Location Code",$L$7)</t>
  </si>
  <si>
    <t>=NL("Sum","Item Ledger Entry","Quantity","Entry Type","Sale","Entry No.",I1039,"Location Code",$L$7)</t>
  </si>
  <si>
    <t>=NL("Sum","Item Ledger Entry","Quantity","Entry Type","Positive Adjmt.|Negative Adjmt.","Entry No.",I1039,"Location Code",$L$7)</t>
  </si>
  <si>
    <t>=NL("Sum","Item Ledger Entry","Quantity","Entry Type","Transfer","Entry No.",I1039,"Location Code",$L$7)</t>
  </si>
  <si>
    <t>=NL("Sum","Item Ledger Entry","Quantity","Entry Type","Consumption","Entry No.",I1039,"Location Code",$L$7)</t>
  </si>
  <si>
    <t>=NL("Sum","Item Ledger Entry","Quantity","Entry Type","Output","Entry No.",I1039,"Location Code",$L$7)</t>
  </si>
  <si>
    <t>=D1039</t>
  </si>
  <si>
    <t>=NF($G1040,"Posting Date")</t>
  </si>
  <si>
    <t>=NF($G1040,"Entry No.")</t>
  </si>
  <si>
    <t>=NF(G1040,"Source Type")</t>
  </si>
  <si>
    <t>=NF($G1040,"Source No.")</t>
  </si>
  <si>
    <t>=IF($J1040="Customer",NL("first",$J1040,"Name","No.","@@"&amp;$K1040),"")</t>
  </si>
  <si>
    <t>=IF(J1040="vendor",NL("first",J1040,"Name","No.","@@"&amp;K1040),"")</t>
  </si>
  <si>
    <t>=IF($J1040="Item",NL("first",$J1040,"Description","No.","@@"&amp;$K1040),"")</t>
  </si>
  <si>
    <t>=NL("Sum","Item Ledger Entry","Quantity","Entry Type","Purchase","Entry No.",I1040,"Location Code",$L$7)</t>
  </si>
  <si>
    <t>=NL("Sum","Item Ledger Entry","Quantity","Entry Type","Sale","Entry No.",I1040,"Location Code",$L$7)</t>
  </si>
  <si>
    <t>=NL("Sum","Item Ledger Entry","Quantity","Entry Type","Positive Adjmt.|Negative Adjmt.","Entry No.",I1040,"Location Code",$L$7)</t>
  </si>
  <si>
    <t>=NL("Sum","Item Ledger Entry","Quantity","Entry Type","Transfer","Entry No.",I1040,"Location Code",$L$7)</t>
  </si>
  <si>
    <t>=NL("Sum","Item Ledger Entry","Quantity","Entry Type","Consumption","Entry No.",I1040,"Location Code",$L$7)</t>
  </si>
  <si>
    <t>=NL("Sum","Item Ledger Entry","Quantity","Entry Type","Output","Entry No.",I1040,"Location Code",$L$7)</t>
  </si>
  <si>
    <t>=D1040</t>
  </si>
  <si>
    <t>=NF($G1041,"Posting Date")</t>
  </si>
  <si>
    <t>=NF($G1041,"Entry No.")</t>
  </si>
  <si>
    <t>=NF(G1041,"Source Type")</t>
  </si>
  <si>
    <t>=NF($G1041,"Source No.")</t>
  </si>
  <si>
    <t>=IF($J1041="Customer",NL("first",$J1041,"Name","No.","@@"&amp;$K1041),"")</t>
  </si>
  <si>
    <t>=IF(J1041="vendor",NL("first",J1041,"Name","No.","@@"&amp;K1041),"")</t>
  </si>
  <si>
    <t>=IF($J1041="Item",NL("first",$J1041,"Description","No.","@@"&amp;$K1041),"")</t>
  </si>
  <si>
    <t>=NL("Sum","Item Ledger Entry","Quantity","Entry Type","Purchase","Entry No.",I1041,"Location Code",$L$7)</t>
  </si>
  <si>
    <t>=NL("Sum","Item Ledger Entry","Quantity","Entry Type","Sale","Entry No.",I1041,"Location Code",$L$7)</t>
  </si>
  <si>
    <t>=NL("Sum","Item Ledger Entry","Quantity","Entry Type","Positive Adjmt.|Negative Adjmt.","Entry No.",I1041,"Location Code",$L$7)</t>
  </si>
  <si>
    <t>=NL("Sum","Item Ledger Entry","Quantity","Entry Type","Transfer","Entry No.",I1041,"Location Code",$L$7)</t>
  </si>
  <si>
    <t>=NL("Sum","Item Ledger Entry","Quantity","Entry Type","Consumption","Entry No.",I1041,"Location Code",$L$7)</t>
  </si>
  <si>
    <t>=NL("Sum","Item Ledger Entry","Quantity","Entry Type","Output","Entry No.",I1041,"Location Code",$L$7)</t>
  </si>
  <si>
    <t>="S100012"</t>
  </si>
  <si>
    <t>=D1049</t>
  </si>
  <si>
    <t>=NF($G1050,"Posting Date")</t>
  </si>
  <si>
    <t>=NF($G1050,"Entry No.")</t>
  </si>
  <si>
    <t>=NF(G1050,"Source Type")</t>
  </si>
  <si>
    <t>=NF($G1050,"Source No.")</t>
  </si>
  <si>
    <t>=IF($J1050="Customer",NL("first",$J1050,"Name","No.","@@"&amp;$K1050),"")</t>
  </si>
  <si>
    <t>=IF(J1050="vendor",NL("first",J1050,"Name","No.","@@"&amp;K1050),"")</t>
  </si>
  <si>
    <t>=IF($J1050="Item",NL("first",$J1050,"Description","No.","@@"&amp;$K1050),"")</t>
  </si>
  <si>
    <t>=NL("Sum","Item Ledger Entry","Quantity","Entry Type","Purchase","Entry No.",I1050,"Location Code",$L$7)</t>
  </si>
  <si>
    <t>=NL("Sum","Item Ledger Entry","Quantity","Entry Type","Sale","Entry No.",I1050,"Location Code",$L$7)</t>
  </si>
  <si>
    <t>=NL("Sum","Item Ledger Entry","Quantity","Entry Type","Positive Adjmt.|Negative Adjmt.","Entry No.",I1050,"Location Code",$L$7)</t>
  </si>
  <si>
    <t>=NL("Sum","Item Ledger Entry","Quantity","Entry Type","Transfer","Entry No.",I1050,"Location Code",$L$7)</t>
  </si>
  <si>
    <t>=NL("Sum","Item Ledger Entry","Quantity","Entry Type","Consumption","Entry No.",I1050,"Location Code",$L$7)</t>
  </si>
  <si>
    <t>=NL("Sum","Item Ledger Entry","Quantity","Entry Type","Output","Entry No.",I1050,"Location Code",$L$7)</t>
  </si>
  <si>
    <t>="S100013"</t>
  </si>
  <si>
    <t>=D1053</t>
  </si>
  <si>
    <t>=NF($G1054,"Posting Date")</t>
  </si>
  <si>
    <t>=NF($G1054,"Entry No.")</t>
  </si>
  <si>
    <t>=NF(G1054,"Source Type")</t>
  </si>
  <si>
    <t>=NF($G1054,"Source No.")</t>
  </si>
  <si>
    <t>=IF($J1054="Customer",NL("first",$J1054,"Name","No.","@@"&amp;$K1054),"")</t>
  </si>
  <si>
    <t>=IF(J1054="vendor",NL("first",J1054,"Name","No.","@@"&amp;K1054),"")</t>
  </si>
  <si>
    <t>=IF($J1054="Item",NL("first",$J1054,"Description","No.","@@"&amp;$K1054),"")</t>
  </si>
  <si>
    <t>=NL("Sum","Item Ledger Entry","Quantity","Entry Type","Purchase","Entry No.",I1054,"Location Code",$L$7)</t>
  </si>
  <si>
    <t>=NL("Sum","Item Ledger Entry","Quantity","Entry Type","Sale","Entry No.",I1054,"Location Code",$L$7)</t>
  </si>
  <si>
    <t>=NL("Sum","Item Ledger Entry","Quantity","Entry Type","Positive Adjmt.|Negative Adjmt.","Entry No.",I1054,"Location Code",$L$7)</t>
  </si>
  <si>
    <t>=NL("Sum","Item Ledger Entry","Quantity","Entry Type","Transfer","Entry No.",I1054,"Location Code",$L$7)</t>
  </si>
  <si>
    <t>=NL("Sum","Item Ledger Entry","Quantity","Entry Type","Consumption","Entry No.",I1054,"Location Code",$L$7)</t>
  </si>
  <si>
    <t>=NL("Sum","Item Ledger Entry","Quantity","Entry Type","Output","Entry No.",I1054,"Location Code",$L$7)</t>
  </si>
  <si>
    <t>=D1054</t>
  </si>
  <si>
    <t>=NF($G1055,"Posting Date")</t>
  </si>
  <si>
    <t>=NF($G1055,"Entry No.")</t>
  </si>
  <si>
    <t>=NF(G1055,"Source Type")</t>
  </si>
  <si>
    <t>=NF($G1055,"Source No.")</t>
  </si>
  <si>
    <t>=IF($J1055="Customer",NL("first",$J1055,"Name","No.","@@"&amp;$K1055),"")</t>
  </si>
  <si>
    <t>=IF(J1055="vendor",NL("first",J1055,"Name","No.","@@"&amp;K1055),"")</t>
  </si>
  <si>
    <t>=IF($J1055="Item",NL("first",$J1055,"Description","No.","@@"&amp;$K1055),"")</t>
  </si>
  <si>
    <t>=NL("Sum","Item Ledger Entry","Quantity","Entry Type","Purchase","Entry No.",I1055,"Location Code",$L$7)</t>
  </si>
  <si>
    <t>=NL("Sum","Item Ledger Entry","Quantity","Entry Type","Sale","Entry No.",I1055,"Location Code",$L$7)</t>
  </si>
  <si>
    <t>=NL("Sum","Item Ledger Entry","Quantity","Entry Type","Positive Adjmt.|Negative Adjmt.","Entry No.",I1055,"Location Code",$L$7)</t>
  </si>
  <si>
    <t>=NL("Sum","Item Ledger Entry","Quantity","Entry Type","Transfer","Entry No.",I1055,"Location Code",$L$7)</t>
  </si>
  <si>
    <t>=NL("Sum","Item Ledger Entry","Quantity","Entry Type","Consumption","Entry No.",I1055,"Location Code",$L$7)</t>
  </si>
  <si>
    <t>=NL("Sum","Item Ledger Entry","Quantity","Entry Type","Output","Entry No.",I1055,"Location Code",$L$7)</t>
  </si>
  <si>
    <t>=D1055</t>
  </si>
  <si>
    <t>=NF($G1056,"Posting Date")</t>
  </si>
  <si>
    <t>=NF($G1056,"Entry No.")</t>
  </si>
  <si>
    <t>=NF(G1056,"Source Type")</t>
  </si>
  <si>
    <t>=NF($G1056,"Source No.")</t>
  </si>
  <si>
    <t>=IF($J1056="Customer",NL("first",$J1056,"Name","No.","@@"&amp;$K1056),"")</t>
  </si>
  <si>
    <t>=IF(J1056="vendor",NL("first",J1056,"Name","No.","@@"&amp;K1056),"")</t>
  </si>
  <si>
    <t>=IF($J1056="Item",NL("first",$J1056,"Description","No.","@@"&amp;$K1056),"")</t>
  </si>
  <si>
    <t>=NL("Sum","Item Ledger Entry","Quantity","Entry Type","Purchase","Entry No.",I1056,"Location Code",$L$7)</t>
  </si>
  <si>
    <t>=NL("Sum","Item Ledger Entry","Quantity","Entry Type","Sale","Entry No.",I1056,"Location Code",$L$7)</t>
  </si>
  <si>
    <t>=NL("Sum","Item Ledger Entry","Quantity","Entry Type","Positive Adjmt.|Negative Adjmt.","Entry No.",I1056,"Location Code",$L$7)</t>
  </si>
  <si>
    <t>=NL("Sum","Item Ledger Entry","Quantity","Entry Type","Transfer","Entry No.",I1056,"Location Code",$L$7)</t>
  </si>
  <si>
    <t>=NL("Sum","Item Ledger Entry","Quantity","Entry Type","Consumption","Entry No.",I1056,"Location Code",$L$7)</t>
  </si>
  <si>
    <t>=NL("Sum","Item Ledger Entry","Quantity","Entry Type","Output","Entry No.",I1056,"Location Code",$L$7)</t>
  </si>
  <si>
    <t>=D1056</t>
  </si>
  <si>
    <t>=NF($G1057,"Posting Date")</t>
  </si>
  <si>
    <t>=NF($G1057,"Entry No.")</t>
  </si>
  <si>
    <t>=NF(G1057,"Source Type")</t>
  </si>
  <si>
    <t>=NF($G1057,"Source No.")</t>
  </si>
  <si>
    <t>=IF($J1057="Customer",NL("first",$J1057,"Name","No.","@@"&amp;$K1057),"")</t>
  </si>
  <si>
    <t>=IF(J1057="vendor",NL("first",J1057,"Name","No.","@@"&amp;K1057),"")</t>
  </si>
  <si>
    <t>=IF($J1057="Item",NL("first",$J1057,"Description","No.","@@"&amp;$K1057),"")</t>
  </si>
  <si>
    <t>=NL("Sum","Item Ledger Entry","Quantity","Entry Type","Purchase","Entry No.",I1057,"Location Code",$L$7)</t>
  </si>
  <si>
    <t>=NL("Sum","Item Ledger Entry","Quantity","Entry Type","Sale","Entry No.",I1057,"Location Code",$L$7)</t>
  </si>
  <si>
    <t>=NL("Sum","Item Ledger Entry","Quantity","Entry Type","Positive Adjmt.|Negative Adjmt.","Entry No.",I1057,"Location Code",$L$7)</t>
  </si>
  <si>
    <t>=NL("Sum","Item Ledger Entry","Quantity","Entry Type","Transfer","Entry No.",I1057,"Location Code",$L$7)</t>
  </si>
  <si>
    <t>=NL("Sum","Item Ledger Entry","Quantity","Entry Type","Consumption","Entry No.",I1057,"Location Code",$L$7)</t>
  </si>
  <si>
    <t>=NL("Sum","Item Ledger Entry","Quantity","Entry Type","Output","Entry No.",I1057,"Location Code",$L$7)</t>
  </si>
  <si>
    <t>=D1057</t>
  </si>
  <si>
    <t>=NF($G1058,"Posting Date")</t>
  </si>
  <si>
    <t>=NF($G1058,"Entry No.")</t>
  </si>
  <si>
    <t>=NF(G1058,"Source Type")</t>
  </si>
  <si>
    <t>=NF($G1058,"Source No.")</t>
  </si>
  <si>
    <t>=IF($J1058="Customer",NL("first",$J1058,"Name","No.","@@"&amp;$K1058),"")</t>
  </si>
  <si>
    <t>=IF(J1058="vendor",NL("first",J1058,"Name","No.","@@"&amp;K1058),"")</t>
  </si>
  <si>
    <t>=IF($J1058="Item",NL("first",$J1058,"Description","No.","@@"&amp;$K1058),"")</t>
  </si>
  <si>
    <t>=NL("Sum","Item Ledger Entry","Quantity","Entry Type","Purchase","Entry No.",I1058,"Location Code",$L$7)</t>
  </si>
  <si>
    <t>=NL("Sum","Item Ledger Entry","Quantity","Entry Type","Sale","Entry No.",I1058,"Location Code",$L$7)</t>
  </si>
  <si>
    <t>=NL("Sum","Item Ledger Entry","Quantity","Entry Type","Positive Adjmt.|Negative Adjmt.","Entry No.",I1058,"Location Code",$L$7)</t>
  </si>
  <si>
    <t>=NL("Sum","Item Ledger Entry","Quantity","Entry Type","Transfer","Entry No.",I1058,"Location Code",$L$7)</t>
  </si>
  <si>
    <t>=NL("Sum","Item Ledger Entry","Quantity","Entry Type","Consumption","Entry No.",I1058,"Location Code",$L$7)</t>
  </si>
  <si>
    <t>=NL("Sum","Item Ledger Entry","Quantity","Entry Type","Output","Entry No.",I1058,"Location Code",$L$7)</t>
  </si>
  <si>
    <t>=D1058</t>
  </si>
  <si>
    <t>=NF($G1059,"Posting Date")</t>
  </si>
  <si>
    <t>=NF($G1059,"Entry No.")</t>
  </si>
  <si>
    <t>=NF(G1059,"Source Type")</t>
  </si>
  <si>
    <t>=NF($G1059,"Source No.")</t>
  </si>
  <si>
    <t>=IF($J1059="Customer",NL("first",$J1059,"Name","No.","@@"&amp;$K1059),"")</t>
  </si>
  <si>
    <t>=IF(J1059="vendor",NL("first",J1059,"Name","No.","@@"&amp;K1059),"")</t>
  </si>
  <si>
    <t>=IF($J1059="Item",NL("first",$J1059,"Description","No.","@@"&amp;$K1059),"")</t>
  </si>
  <si>
    <t>=NL("Sum","Item Ledger Entry","Quantity","Entry Type","Purchase","Entry No.",I1059,"Location Code",$L$7)</t>
  </si>
  <si>
    <t>=NL("Sum","Item Ledger Entry","Quantity","Entry Type","Sale","Entry No.",I1059,"Location Code",$L$7)</t>
  </si>
  <si>
    <t>=NL("Sum","Item Ledger Entry","Quantity","Entry Type","Positive Adjmt.|Negative Adjmt.","Entry No.",I1059,"Location Code",$L$7)</t>
  </si>
  <si>
    <t>=NL("Sum","Item Ledger Entry","Quantity","Entry Type","Transfer","Entry No.",I1059,"Location Code",$L$7)</t>
  </si>
  <si>
    <t>=NL("Sum","Item Ledger Entry","Quantity","Entry Type","Consumption","Entry No.",I1059,"Location Code",$L$7)</t>
  </si>
  <si>
    <t>=NL("Sum","Item Ledger Entry","Quantity","Entry Type","Output","Entry No.",I1059,"Location Code",$L$7)</t>
  </si>
  <si>
    <t>="S100014"</t>
  </si>
  <si>
    <t>=D1064</t>
  </si>
  <si>
    <t>=NF($G1065,"Posting Date")</t>
  </si>
  <si>
    <t>=NF($G1065,"Entry No.")</t>
  </si>
  <si>
    <t>=NF(G1065,"Source Type")</t>
  </si>
  <si>
    <t>=NF($G1065,"Source No.")</t>
  </si>
  <si>
    <t>=IF($J1065="Customer",NL("first",$J1065,"Name","No.","@@"&amp;$K1065),"")</t>
  </si>
  <si>
    <t>=IF(J1065="vendor",NL("first",J1065,"Name","No.","@@"&amp;K1065),"")</t>
  </si>
  <si>
    <t>=IF($J1065="Item",NL("first",$J1065,"Description","No.","@@"&amp;$K1065),"")</t>
  </si>
  <si>
    <t>=NL("Sum","Item Ledger Entry","Quantity","Entry Type","Purchase","Entry No.",I1065,"Location Code",$L$7)</t>
  </si>
  <si>
    <t>=NL("Sum","Item Ledger Entry","Quantity","Entry Type","Sale","Entry No.",I1065,"Location Code",$L$7)</t>
  </si>
  <si>
    <t>=NL("Sum","Item Ledger Entry","Quantity","Entry Type","Positive Adjmt.|Negative Adjmt.","Entry No.",I1065,"Location Code",$L$7)</t>
  </si>
  <si>
    <t>=NL("Sum","Item Ledger Entry","Quantity","Entry Type","Transfer","Entry No.",I1065,"Location Code",$L$7)</t>
  </si>
  <si>
    <t>=NL("Sum","Item Ledger Entry","Quantity","Entry Type","Consumption","Entry No.",I1065,"Location Code",$L$7)</t>
  </si>
  <si>
    <t>=NL("Sum","Item Ledger Entry","Quantity","Entry Type","Output","Entry No.",I1065,"Location Code",$L$7)</t>
  </si>
  <si>
    <t>=D1065</t>
  </si>
  <si>
    <t>=NF($G1066,"Posting Date")</t>
  </si>
  <si>
    <t>=NF($G1066,"Entry No.")</t>
  </si>
  <si>
    <t>=NF(G1066,"Source Type")</t>
  </si>
  <si>
    <t>=NF($G1066,"Source No.")</t>
  </si>
  <si>
    <t>=IF($J1066="Customer",NL("first",$J1066,"Name","No.","@@"&amp;$K1066),"")</t>
  </si>
  <si>
    <t>=IF(J1066="vendor",NL("first",J1066,"Name","No.","@@"&amp;K1066),"")</t>
  </si>
  <si>
    <t>=IF($J1066="Item",NL("first",$J1066,"Description","No.","@@"&amp;$K1066),"")</t>
  </si>
  <si>
    <t>=NL("Sum","Item Ledger Entry","Quantity","Entry Type","Purchase","Entry No.",I1066,"Location Code",$L$7)</t>
  </si>
  <si>
    <t>=NL("Sum","Item Ledger Entry","Quantity","Entry Type","Sale","Entry No.",I1066,"Location Code",$L$7)</t>
  </si>
  <si>
    <t>=NL("Sum","Item Ledger Entry","Quantity","Entry Type","Positive Adjmt.|Negative Adjmt.","Entry No.",I1066,"Location Code",$L$7)</t>
  </si>
  <si>
    <t>=NL("Sum","Item Ledger Entry","Quantity","Entry Type","Transfer","Entry No.",I1066,"Location Code",$L$7)</t>
  </si>
  <si>
    <t>=NL("Sum","Item Ledger Entry","Quantity","Entry Type","Consumption","Entry No.",I1066,"Location Code",$L$7)</t>
  </si>
  <si>
    <t>=NL("Sum","Item Ledger Entry","Quantity","Entry Type","Output","Entry No.",I1066,"Location Code",$L$7)</t>
  </si>
  <si>
    <t>=D1066</t>
  </si>
  <si>
    <t>=NF($G1067,"Posting Date")</t>
  </si>
  <si>
    <t>=NF($G1067,"Entry No.")</t>
  </si>
  <si>
    <t>=NF(G1067,"Source Type")</t>
  </si>
  <si>
    <t>=NF($G1067,"Source No.")</t>
  </si>
  <si>
    <t>=IF($J1067="Customer",NL("first",$J1067,"Name","No.","@@"&amp;$K1067),"")</t>
  </si>
  <si>
    <t>=IF(J1067="vendor",NL("first",J1067,"Name","No.","@@"&amp;K1067),"")</t>
  </si>
  <si>
    <t>=IF($J1067="Item",NL("first",$J1067,"Description","No.","@@"&amp;$K1067),"")</t>
  </si>
  <si>
    <t>=NL("Sum","Item Ledger Entry","Quantity","Entry Type","Purchase","Entry No.",I1067,"Location Code",$L$7)</t>
  </si>
  <si>
    <t>=NL("Sum","Item Ledger Entry","Quantity","Entry Type","Sale","Entry No.",I1067,"Location Code",$L$7)</t>
  </si>
  <si>
    <t>=NL("Sum","Item Ledger Entry","Quantity","Entry Type","Positive Adjmt.|Negative Adjmt.","Entry No.",I1067,"Location Code",$L$7)</t>
  </si>
  <si>
    <t>=NL("Sum","Item Ledger Entry","Quantity","Entry Type","Transfer","Entry No.",I1067,"Location Code",$L$7)</t>
  </si>
  <si>
    <t>=NL("Sum","Item Ledger Entry","Quantity","Entry Type","Consumption","Entry No.",I1067,"Location Code",$L$7)</t>
  </si>
  <si>
    <t>=NL("Sum","Item Ledger Entry","Quantity","Entry Type","Output","Entry No.",I1067,"Location Code",$L$7)</t>
  </si>
  <si>
    <t>="S100015"</t>
  </si>
  <si>
    <t>=D1073</t>
  </si>
  <si>
    <t>=NF($G1074,"Posting Date")</t>
  </si>
  <si>
    <t>=NF($G1074,"Entry No.")</t>
  </si>
  <si>
    <t>=NF(G1074,"Source Type")</t>
  </si>
  <si>
    <t>=NF($G1074,"Source No.")</t>
  </si>
  <si>
    <t>=IF($J1074="Customer",NL("first",$J1074,"Name","No.","@@"&amp;$K1074),"")</t>
  </si>
  <si>
    <t>=IF(J1074="vendor",NL("first",J1074,"Name","No.","@@"&amp;K1074),"")</t>
  </si>
  <si>
    <t>=IF($J1074="Item",NL("first",$J1074,"Description","No.","@@"&amp;$K1074),"")</t>
  </si>
  <si>
    <t>=NL("Sum","Item Ledger Entry","Quantity","Entry Type","Purchase","Entry No.",I1074,"Location Code",$L$7)</t>
  </si>
  <si>
    <t>=NL("Sum","Item Ledger Entry","Quantity","Entry Type","Sale","Entry No.",I1074,"Location Code",$L$7)</t>
  </si>
  <si>
    <t>=NL("Sum","Item Ledger Entry","Quantity","Entry Type","Positive Adjmt.|Negative Adjmt.","Entry No.",I1074,"Location Code",$L$7)</t>
  </si>
  <si>
    <t>=NL("Sum","Item Ledger Entry","Quantity","Entry Type","Transfer","Entry No.",I1074,"Location Code",$L$7)</t>
  </si>
  <si>
    <t>=NL("Sum","Item Ledger Entry","Quantity","Entry Type","Consumption","Entry No.",I1074,"Location Code",$L$7)</t>
  </si>
  <si>
    <t>=NL("Sum","Item Ledger Entry","Quantity","Entry Type","Output","Entry No.",I1074,"Location Code",$L$7)</t>
  </si>
  <si>
    <t>="S100016"</t>
  </si>
  <si>
    <t>=D1083</t>
  </si>
  <si>
    <t>=NF($G1084,"Posting Date")</t>
  </si>
  <si>
    <t>=NF($G1084,"Entry No.")</t>
  </si>
  <si>
    <t>=NF(G1084,"Source Type")</t>
  </si>
  <si>
    <t>=NF($G1084,"Source No.")</t>
  </si>
  <si>
    <t>=IF($J1084="Customer",NL("first",$J1084,"Name","No.","@@"&amp;$K1084),"")</t>
  </si>
  <si>
    <t>=IF(J1084="vendor",NL("first",J1084,"Name","No.","@@"&amp;K1084),"")</t>
  </si>
  <si>
    <t>=IF($J1084="Item",NL("first",$J1084,"Description","No.","@@"&amp;$K1084),"")</t>
  </si>
  <si>
    <t>=NL("Sum","Item Ledger Entry","Quantity","Entry Type","Purchase","Entry No.",I1084,"Location Code",$L$7)</t>
  </si>
  <si>
    <t>=NL("Sum","Item Ledger Entry","Quantity","Entry Type","Sale","Entry No.",I1084,"Location Code",$L$7)</t>
  </si>
  <si>
    <t>=NL("Sum","Item Ledger Entry","Quantity","Entry Type","Positive Adjmt.|Negative Adjmt.","Entry No.",I1084,"Location Code",$L$7)</t>
  </si>
  <si>
    <t>=NL("Sum","Item Ledger Entry","Quantity","Entry Type","Transfer","Entry No.",I1084,"Location Code",$L$7)</t>
  </si>
  <si>
    <t>=NL("Sum","Item Ledger Entry","Quantity","Entry Type","Consumption","Entry No.",I1084,"Location Code",$L$7)</t>
  </si>
  <si>
    <t>=NL("Sum","Item Ledger Entry","Quantity","Entry Type","Output","Entry No.",I1084,"Location Code",$L$7)</t>
  </si>
  <si>
    <t>=D1084</t>
  </si>
  <si>
    <t>=NF($G1085,"Posting Date")</t>
  </si>
  <si>
    <t>=NF($G1085,"Entry No.")</t>
  </si>
  <si>
    <t>=NF(G1085,"Source Type")</t>
  </si>
  <si>
    <t>=NF($G1085,"Source No.")</t>
  </si>
  <si>
    <t>=IF($J1085="Customer",NL("first",$J1085,"Name","No.","@@"&amp;$K1085),"")</t>
  </si>
  <si>
    <t>=IF(J1085="vendor",NL("first",J1085,"Name","No.","@@"&amp;K1085),"")</t>
  </si>
  <si>
    <t>=IF($J1085="Item",NL("first",$J1085,"Description","No.","@@"&amp;$K1085),"")</t>
  </si>
  <si>
    <t>=NL("Sum","Item Ledger Entry","Quantity","Entry Type","Purchase","Entry No.",I1085,"Location Code",$L$7)</t>
  </si>
  <si>
    <t>=NL("Sum","Item Ledger Entry","Quantity","Entry Type","Sale","Entry No.",I1085,"Location Code",$L$7)</t>
  </si>
  <si>
    <t>=NL("Sum","Item Ledger Entry","Quantity","Entry Type","Positive Adjmt.|Negative Adjmt.","Entry No.",I1085,"Location Code",$L$7)</t>
  </si>
  <si>
    <t>=NL("Sum","Item Ledger Entry","Quantity","Entry Type","Transfer","Entry No.",I1085,"Location Code",$L$7)</t>
  </si>
  <si>
    <t>=NL("Sum","Item Ledger Entry","Quantity","Entry Type","Consumption","Entry No.",I1085,"Location Code",$L$7)</t>
  </si>
  <si>
    <t>=NL("Sum","Item Ledger Entry","Quantity","Entry Type","Output","Entry No.",I1085,"Location Code",$L$7)</t>
  </si>
  <si>
    <t>=D1085</t>
  </si>
  <si>
    <t>=NF($G1086,"Posting Date")</t>
  </si>
  <si>
    <t>=NF($G1086,"Entry No.")</t>
  </si>
  <si>
    <t>=NF(G1086,"Source Type")</t>
  </si>
  <si>
    <t>=NF($G1086,"Source No.")</t>
  </si>
  <si>
    <t>=IF($J1086="Customer",NL("first",$J1086,"Name","No.","@@"&amp;$K1086),"")</t>
  </si>
  <si>
    <t>=IF(J1086="vendor",NL("first",J1086,"Name","No.","@@"&amp;K1086),"")</t>
  </si>
  <si>
    <t>=IF($J1086="Item",NL("first",$J1086,"Description","No.","@@"&amp;$K1086),"")</t>
  </si>
  <si>
    <t>=NL("Sum","Item Ledger Entry","Quantity","Entry Type","Purchase","Entry No.",I1086,"Location Code",$L$7)</t>
  </si>
  <si>
    <t>=NL("Sum","Item Ledger Entry","Quantity","Entry Type","Sale","Entry No.",I1086,"Location Code",$L$7)</t>
  </si>
  <si>
    <t>=NL("Sum","Item Ledger Entry","Quantity","Entry Type","Positive Adjmt.|Negative Adjmt.","Entry No.",I1086,"Location Code",$L$7)</t>
  </si>
  <si>
    <t>=NL("Sum","Item Ledger Entry","Quantity","Entry Type","Transfer","Entry No.",I1086,"Location Code",$L$7)</t>
  </si>
  <si>
    <t>=NL("Sum","Item Ledger Entry","Quantity","Entry Type","Consumption","Entry No.",I1086,"Location Code",$L$7)</t>
  </si>
  <si>
    <t>=NL("Sum","Item Ledger Entry","Quantity","Entry Type","Output","Entry No.",I1086,"Location Code",$L$7)</t>
  </si>
  <si>
    <t>=D1086</t>
  </si>
  <si>
    <t>=NF($G1087,"Posting Date")</t>
  </si>
  <si>
    <t>=NF($G1087,"Entry No.")</t>
  </si>
  <si>
    <t>=NF(G1087,"Source Type")</t>
  </si>
  <si>
    <t>=NF($G1087,"Source No.")</t>
  </si>
  <si>
    <t>=IF($J1087="Customer",NL("first",$J1087,"Name","No.","@@"&amp;$K1087),"")</t>
  </si>
  <si>
    <t>=IF(J1087="vendor",NL("first",J1087,"Name","No.","@@"&amp;K1087),"")</t>
  </si>
  <si>
    <t>=IF($J1087="Item",NL("first",$J1087,"Description","No.","@@"&amp;$K1087),"")</t>
  </si>
  <si>
    <t>=NL("Sum","Item Ledger Entry","Quantity","Entry Type","Purchase","Entry No.",I1087,"Location Code",$L$7)</t>
  </si>
  <si>
    <t>=NL("Sum","Item Ledger Entry","Quantity","Entry Type","Sale","Entry No.",I1087,"Location Code",$L$7)</t>
  </si>
  <si>
    <t>=NL("Sum","Item Ledger Entry","Quantity","Entry Type","Positive Adjmt.|Negative Adjmt.","Entry No.",I1087,"Location Code",$L$7)</t>
  </si>
  <si>
    <t>=NL("Sum","Item Ledger Entry","Quantity","Entry Type","Transfer","Entry No.",I1087,"Location Code",$L$7)</t>
  </si>
  <si>
    <t>=NL("Sum","Item Ledger Entry","Quantity","Entry Type","Consumption","Entry No.",I1087,"Location Code",$L$7)</t>
  </si>
  <si>
    <t>=NL("Sum","Item Ledger Entry","Quantity","Entry Type","Output","Entry No.",I1087,"Location Code",$L$7)</t>
  </si>
  <si>
    <t>="S100017"</t>
  </si>
  <si>
    <t>="S100018"</t>
  </si>
  <si>
    <t>="S100019"</t>
  </si>
  <si>
    <t>="S100020"</t>
  </si>
  <si>
    <t>="S100021"</t>
  </si>
  <si>
    <t>="S100023"</t>
  </si>
  <si>
    <t>="S100024"</t>
  </si>
  <si>
    <t>="S100025"</t>
  </si>
  <si>
    <t>="S100026"</t>
  </si>
  <si>
    <t>=(SUBTOTAL(9,O17:O19))</t>
  </si>
  <si>
    <t>=(SUBTOTAL(9,P17:P19))</t>
  </si>
  <si>
    <t>=(SUBTOTAL(9,Q17:Q19))</t>
  </si>
  <si>
    <t>=(SUBTOTAL(9,R17:R19))</t>
  </si>
  <si>
    <t>=(SUBTOTAL(9,S17:S19))</t>
  </si>
  <si>
    <t>=(SUBTOTAL(9,T17:T19))</t>
  </si>
  <si>
    <t>=SUBTOTAL(9,O17:T19)</t>
  </si>
  <si>
    <t>=E21</t>
  </si>
  <si>
    <t>=NL("First","Item","Description","No.",$E21)</t>
  </si>
  <si>
    <t>=NL("First","Item","Base Unit of Measure","No.",$E21)</t>
  </si>
  <si>
    <t>=(SUBTOTAL(9,O22:O24))</t>
  </si>
  <si>
    <t>=(SUBTOTAL(9,P22:P24))</t>
  </si>
  <si>
    <t>=(SUBTOTAL(9,Q22:Q24))</t>
  </si>
  <si>
    <t>=(SUBTOTAL(9,R22:R24))</t>
  </si>
  <si>
    <t>=(SUBTOTAL(9,S22:S24))</t>
  </si>
  <si>
    <t>=(SUBTOTAL(9,T22:T24))</t>
  </si>
  <si>
    <t>=SUBTOTAL(9,O22:T24)</t>
  </si>
  <si>
    <t>=NL("Rows","Item Ledger Entry",,"+Posting Date",$L$5,"Item No.","@@"&amp;$D22,"Location Code","@@"&amp;$E$6)</t>
  </si>
  <si>
    <t>=(SUBTOTAL(9,O52:O54))</t>
  </si>
  <si>
    <t>=(SUBTOTAL(9,P52:P54))</t>
  </si>
  <si>
    <t>=(SUBTOTAL(9,Q52:Q54))</t>
  </si>
  <si>
    <t>=(SUBTOTAL(9,R52:R54))</t>
  </si>
  <si>
    <t>=(SUBTOTAL(9,S52:S54))</t>
  </si>
  <si>
    <t>=(SUBTOTAL(9,T52:T54))</t>
  </si>
  <si>
    <t>=SUBTOTAL(9,O52:T54)</t>
  </si>
  <si>
    <t>=(SUBTOTAL(9,O61:O63))</t>
  </si>
  <si>
    <t>=(SUBTOTAL(9,P61:P63))</t>
  </si>
  <si>
    <t>=(SUBTOTAL(9,Q61:Q63))</t>
  </si>
  <si>
    <t>=(SUBTOTAL(9,R61:R63))</t>
  </si>
  <si>
    <t>=(SUBTOTAL(9,S61:S63))</t>
  </si>
  <si>
    <t>=(SUBTOTAL(9,T61:T63))</t>
  </si>
  <si>
    <t>=SUBTOTAL(9,O61:T63)</t>
  </si>
  <si>
    <t>=E65</t>
  </si>
  <si>
    <t>=NL("First","Item","Description","No.",$E65)</t>
  </si>
  <si>
    <t>=NL("First","Item","Base Unit of Measure","No.",$E65)</t>
  </si>
  <si>
    <t>=NL("Rows","Item Ledger Entry",,"+Posting Date",$L$5,"Item No.","@@"&amp;$D66,"Location Code","@@"&amp;$E$6)</t>
  </si>
  <si>
    <t>=(SUBTOTAL(9,O74:O76))</t>
  </si>
  <si>
    <t>=(SUBTOTAL(9,P74:P76))</t>
  </si>
  <si>
    <t>=(SUBTOTAL(9,Q74:Q76))</t>
  </si>
  <si>
    <t>=(SUBTOTAL(9,R74:R76))</t>
  </si>
  <si>
    <t>=(SUBTOTAL(9,S74:S76))</t>
  </si>
  <si>
    <t>=(SUBTOTAL(9,T74:T76))</t>
  </si>
  <si>
    <t>=SUBTOTAL(9,O74:T76)</t>
  </si>
  <si>
    <t>=E78</t>
  </si>
  <si>
    <t>=NL("First","Item","Description","No.",$E78)</t>
  </si>
  <si>
    <t>=NL("First","Item","Base Unit of Measure","No.",$E78)</t>
  </si>
  <si>
    <t>=(SUBTOTAL(9,O79:O80))</t>
  </si>
  <si>
    <t>=(SUBTOTAL(9,P79:P80))</t>
  </si>
  <si>
    <t>=(SUBTOTAL(9,Q79:Q80))</t>
  </si>
  <si>
    <t>=(SUBTOTAL(9,R79:R80))</t>
  </si>
  <si>
    <t>=(SUBTOTAL(9,S79:S80))</t>
  </si>
  <si>
    <t>=(SUBTOTAL(9,T79:T80))</t>
  </si>
  <si>
    <t>=SUBTOTAL(9,O79:T80)</t>
  </si>
  <si>
    <t>=NL("Rows","Item Ledger Entry",,"+Posting Date",$L$5,"Item No.","@@"&amp;$D79,"Location Code","@@"&amp;$E$6)</t>
  </si>
  <si>
    <t>=(SUBTOTAL(9,O83:O84))</t>
  </si>
  <si>
    <t>=(SUBTOTAL(9,P83:P84))</t>
  </si>
  <si>
    <t>=(SUBTOTAL(9,Q83:Q84))</t>
  </si>
  <si>
    <t>=(SUBTOTAL(9,R83:R84))</t>
  </si>
  <si>
    <t>=(SUBTOTAL(9,S83:S84))</t>
  </si>
  <si>
    <t>=(SUBTOTAL(9,T83:T84))</t>
  </si>
  <si>
    <t>=SUBTOTAL(9,O83:T84)</t>
  </si>
  <si>
    <t>=NL("Rows","Item Ledger Entry",,"+Posting Date",$L$5,"Item No.","@@"&amp;$D106,"Location Code","@@"&amp;$E$6)</t>
  </si>
  <si>
    <t>=E120</t>
  </si>
  <si>
    <t>=NL("First","Item","Description","No.",$E120)</t>
  </si>
  <si>
    <t>=NL("First","Item","Base Unit of Measure","No.",$E120)</t>
  </si>
  <si>
    <t>=NL("Rows","Item Ledger Entry",,"+Posting Date",$L$5,"Item No.","@@"&amp;$D121,"Location Code","@@"&amp;$E$6)</t>
  </si>
  <si>
    <t>=E126</t>
  </si>
  <si>
    <t>=NL("First","Item","Description","No.",$E126)</t>
  </si>
  <si>
    <t>=NL("First","Item","Base Unit of Measure","No.",$E126)</t>
  </si>
  <si>
    <t>=NL("Rows","Item Ledger Entry",,"+Posting Date",$L$5,"Item No.","@@"&amp;$D127,"Location Code","@@"&amp;$E$6)</t>
  </si>
  <si>
    <t>=NL("Sum","Item Ledger Entry","Quantity","Entry Type","Purchase","Entry No.",I137,"Location Code","@@"&amp;$E$6)</t>
  </si>
  <si>
    <t>=NL("Sum","Item Ledger Entry","Quantity","Entry Type","Sale","Entry No.",I137,"Location Code","@@"&amp;$E$6)</t>
  </si>
  <si>
    <t>=NL("Sum","Item Ledger Entry","Quantity","Entry Type","Positive Adjmt.|Negative Adjmt.","Entry No.",I137,"Location Code","@@"&amp;$E$6)</t>
  </si>
  <si>
    <t>=NL("Sum","Item Ledger Entry","Quantity","Entry Type","Transfer","Entry No.",I137,"Location Code","@@"&amp;$E$6)</t>
  </si>
  <si>
    <t>=NL("Sum","Item Ledger Entry","Quantity","Entry Type","Consumption","Entry No.",I137,"Location Code","@@"&amp;$E$6)</t>
  </si>
  <si>
    <t>=NL("Sum","Item Ledger Entry","Quantity","Entry Type","Output","Entry No.",I137,"Location Code","@@"&amp;$E$6)</t>
  </si>
  <si>
    <t>=E140</t>
  </si>
  <si>
    <t>=NL("First","Item","Description","No.",$E140)</t>
  </si>
  <si>
    <t>=NL("First","Item","Base Unit of Measure","No.",$E140)</t>
  </si>
  <si>
    <t>=NL("Rows","Item Ledger Entry",,"+Posting Date",$L$5,"Item No.","@@"&amp;$D146,"Location Code","@@"&amp;$E$6)</t>
  </si>
  <si>
    <t>=NL("Sum","Item Ledger Entry","Quantity","Entry Type","Purchase","Entry No.",I146,"Location Code","@@"&amp;$E$6)</t>
  </si>
  <si>
    <t>=NL("Sum","Item Ledger Entry","Quantity","Entry Type","Sale","Entry No.",I146,"Location Code","@@"&amp;$E$6)</t>
  </si>
  <si>
    <t>=NL("Sum","Item Ledger Entry","Quantity","Entry Type","Positive Adjmt.|Negative Adjmt.","Entry No.",I146,"Location Code","@@"&amp;$E$6)</t>
  </si>
  <si>
    <t>=NL("Sum","Item Ledger Entry","Quantity","Entry Type","Transfer","Entry No.",I146,"Location Code","@@"&amp;$E$6)</t>
  </si>
  <si>
    <t>=NL("Sum","Item Ledger Entry","Quantity","Entry Type","Consumption","Entry No.",I146,"Location Code","@@"&amp;$E$6)</t>
  </si>
  <si>
    <t>=NL("Sum","Item Ledger Entry","Quantity","Entry Type","Output","Entry No.",I146,"Location Code","@@"&amp;$E$6)</t>
  </si>
  <si>
    <t>=NL("Sum","Item Ledger Entry","Quantity","Entry Type","Purchase","Entry No.",I160,"Location Code","@@"&amp;$E$6)</t>
  </si>
  <si>
    <t>=NL("Sum","Item Ledger Entry","Quantity","Entry Type","Sale","Entry No.",I160,"Location Code","@@"&amp;$E$6)</t>
  </si>
  <si>
    <t>=NL("Sum","Item Ledger Entry","Quantity","Entry Type","Positive Adjmt.|Negative Adjmt.","Entry No.",I160,"Location Code","@@"&amp;$E$6)</t>
  </si>
  <si>
    <t>=NL("Sum","Item Ledger Entry","Quantity","Entry Type","Transfer","Entry No.",I160,"Location Code","@@"&amp;$E$6)</t>
  </si>
  <si>
    <t>=NL("Sum","Item Ledger Entry","Quantity","Entry Type","Consumption","Entry No.",I160,"Location Code","@@"&amp;$E$6)</t>
  </si>
  <si>
    <t>=NL("Sum","Item Ledger Entry","Quantity","Entry Type","Output","Entry No.",I160,"Location Code","@@"&amp;$E$6)</t>
  </si>
  <si>
    <t>=NL("Sum","Item Ledger Entry","Quantity","Entry Type","Purchase","Entry No.",I164,"Location Code","@@"&amp;$E$6)</t>
  </si>
  <si>
    <t>=NL("Sum","Item Ledger Entry","Quantity","Entry Type","Sale","Entry No.",I164,"Location Code","@@"&amp;$E$6)</t>
  </si>
  <si>
    <t>=NL("Sum","Item Ledger Entry","Quantity","Entry Type","Positive Adjmt.|Negative Adjmt.","Entry No.",I164,"Location Code","@@"&amp;$E$6)</t>
  </si>
  <si>
    <t>=NL("Sum","Item Ledger Entry","Quantity","Entry Type","Transfer","Entry No.",I164,"Location Code","@@"&amp;$E$6)</t>
  </si>
  <si>
    <t>=NL("Sum","Item Ledger Entry","Quantity","Entry Type","Consumption","Entry No.",I164,"Location Code","@@"&amp;$E$6)</t>
  </si>
  <si>
    <t>=NL("Sum","Item Ledger Entry","Quantity","Entry Type","Output","Entry No.",I164,"Location Code","@@"&amp;$E$6)</t>
  </si>
  <si>
    <t>=NL("Sum","Item Ledger Entry","Quantity","Entry Type","Purchase","Entry No.",I185,"Location Code","@@"&amp;$E$6)</t>
  </si>
  <si>
    <t>=NL("Sum","Item Ledger Entry","Quantity","Entry Type","Sale","Entry No.",I185,"Location Code","@@"&amp;$E$6)</t>
  </si>
  <si>
    <t>=NL("Sum","Item Ledger Entry","Quantity","Entry Type","Positive Adjmt.|Negative Adjmt.","Entry No.",I185,"Location Code","@@"&amp;$E$6)</t>
  </si>
  <si>
    <t>=NL("Sum","Item Ledger Entry","Quantity","Entry Type","Transfer","Entry No.",I185,"Location Code","@@"&amp;$E$6)</t>
  </si>
  <si>
    <t>=NL("Sum","Item Ledger Entry","Quantity","Entry Type","Consumption","Entry No.",I185,"Location Code","@@"&amp;$E$6)</t>
  </si>
  <si>
    <t>=NL("Sum","Item Ledger Entry","Quantity","Entry Type","Output","Entry No.",I185,"Location Code","@@"&amp;$E$6)</t>
  </si>
  <si>
    <t>=E188</t>
  </si>
  <si>
    <t>=NL("First","Item","Description","No.",$E188)</t>
  </si>
  <si>
    <t>=NL("First","Item","Base Unit of Measure","No.",$E188)</t>
  </si>
  <si>
    <t>=NL("Rows","Item Ledger Entry",,"+Posting Date",$L$5,"Item No.","@@"&amp;$D189,"Location Code","@@"&amp;$E$6)</t>
  </si>
  <si>
    <t>=NL("Sum","Item Ledger Entry","Quantity","Entry Type","Purchase","Entry No.",I189,"Location Code","@@"&amp;$E$6)</t>
  </si>
  <si>
    <t>=NL("Sum","Item Ledger Entry","Quantity","Entry Type","Sale","Entry No.",I189,"Location Code","@@"&amp;$E$6)</t>
  </si>
  <si>
    <t>=NL("Sum","Item Ledger Entry","Quantity","Entry Type","Positive Adjmt.|Negative Adjmt.","Entry No.",I189,"Location Code","@@"&amp;$E$6)</t>
  </si>
  <si>
    <t>=NL("Sum","Item Ledger Entry","Quantity","Entry Type","Transfer","Entry No.",I189,"Location Code","@@"&amp;$E$6)</t>
  </si>
  <si>
    <t>=NL("Sum","Item Ledger Entry","Quantity","Entry Type","Consumption","Entry No.",I189,"Location Code","@@"&amp;$E$6)</t>
  </si>
  <si>
    <t>=NL("Sum","Item Ledger Entry","Quantity","Entry Type","Output","Entry No.",I189,"Location Code","@@"&amp;$E$6)</t>
  </si>
  <si>
    <t>=NL("Sum","Item Ledger Entry","Quantity","Entry Type","Purchase","Entry No.",I190,"Location Code","@@"&amp;$E$6)</t>
  </si>
  <si>
    <t>=NL("Sum","Item Ledger Entry","Quantity","Entry Type","Sale","Entry No.",I190,"Location Code","@@"&amp;$E$6)</t>
  </si>
  <si>
    <t>=NL("Sum","Item Ledger Entry","Quantity","Entry Type","Positive Adjmt.|Negative Adjmt.","Entry No.",I190,"Location Code","@@"&amp;$E$6)</t>
  </si>
  <si>
    <t>=NL("Sum","Item Ledger Entry","Quantity","Entry Type","Transfer","Entry No.",I190,"Location Code","@@"&amp;$E$6)</t>
  </si>
  <si>
    <t>=NL("Sum","Item Ledger Entry","Quantity","Entry Type","Consumption","Entry No.",I190,"Location Code","@@"&amp;$E$6)</t>
  </si>
  <si>
    <t>=NL("Sum","Item Ledger Entry","Quantity","Entry Type","Output","Entry No.",I190,"Location Code","@@"&amp;$E$6)</t>
  </si>
  <si>
    <t>=E193</t>
  </si>
  <si>
    <t>=NL("First","Item","Description","No.",$E193)</t>
  </si>
  <si>
    <t>=NL("First","Item","Base Unit of Measure","No.",$E193)</t>
  </si>
  <si>
    <t>=NL("Rows","Item Ledger Entry",,"+Posting Date",$L$5,"Item No.","@@"&amp;$D194,"Location Code","@@"&amp;$E$6)</t>
  </si>
  <si>
    <t>=NL("Sum","Item Ledger Entry","Quantity","Entry Type","Purchase","Entry No.",I194,"Location Code","@@"&amp;$E$6)</t>
  </si>
  <si>
    <t>=NL("Sum","Item Ledger Entry","Quantity","Entry Type","Sale","Entry No.",I194,"Location Code","@@"&amp;$E$6)</t>
  </si>
  <si>
    <t>=NL("Sum","Item Ledger Entry","Quantity","Entry Type","Positive Adjmt.|Negative Adjmt.","Entry No.",I194,"Location Code","@@"&amp;$E$6)</t>
  </si>
  <si>
    <t>=NL("Sum","Item Ledger Entry","Quantity","Entry Type","Transfer","Entry No.",I194,"Location Code","@@"&amp;$E$6)</t>
  </si>
  <si>
    <t>=NL("Sum","Item Ledger Entry","Quantity","Entry Type","Consumption","Entry No.",I194,"Location Code","@@"&amp;$E$6)</t>
  </si>
  <si>
    <t>=NL("Sum","Item Ledger Entry","Quantity","Entry Type","Output","Entry No.",I194,"Location Code","@@"&amp;$E$6)</t>
  </si>
  <si>
    <t>=NL("Sum","Item Ledger Entry","Quantity","Entry Type","Purchase","Entry No.",I198,"Location Code","@@"&amp;$E$6)</t>
  </si>
  <si>
    <t>=NL("Sum","Item Ledger Entry","Quantity","Entry Type","Sale","Entry No.",I198,"Location Code","@@"&amp;$E$6)</t>
  </si>
  <si>
    <t>=NL("Sum","Item Ledger Entry","Quantity","Entry Type","Positive Adjmt.|Negative Adjmt.","Entry No.",I198,"Location Code","@@"&amp;$E$6)</t>
  </si>
  <si>
    <t>=NL("Sum","Item Ledger Entry","Quantity","Entry Type","Transfer","Entry No.",I198,"Location Code","@@"&amp;$E$6)</t>
  </si>
  <si>
    <t>=NL("Sum","Item Ledger Entry","Quantity","Entry Type","Consumption","Entry No.",I198,"Location Code","@@"&amp;$E$6)</t>
  </si>
  <si>
    <t>=NL("Sum","Item Ledger Entry","Quantity","Entry Type","Output","Entry No.",I198,"Location Code","@@"&amp;$E$6)</t>
  </si>
  <si>
    <t>=E201</t>
  </si>
  <si>
    <t>=NL("First","Item","Description","No.",$E201)</t>
  </si>
  <si>
    <t>=NL("First","Item","Base Unit of Measure","No.",$E201)</t>
  </si>
  <si>
    <t>=NL("Rows","Item Ledger Entry",,"+Posting Date",$L$5,"Item No.","@@"&amp;$D202,"Location Code","@@"&amp;$E$6)</t>
  </si>
  <si>
    <t>=NL("Sum","Item Ledger Entry","Quantity","Entry Type","Purchase","Entry No.",I202,"Location Code","@@"&amp;$E$6)</t>
  </si>
  <si>
    <t>=NL("Sum","Item Ledger Entry","Quantity","Entry Type","Sale","Entry No.",I202,"Location Code","@@"&amp;$E$6)</t>
  </si>
  <si>
    <t>=NL("Sum","Item Ledger Entry","Quantity","Entry Type","Positive Adjmt.|Negative Adjmt.","Entry No.",I202,"Location Code","@@"&amp;$E$6)</t>
  </si>
  <si>
    <t>=NL("Sum","Item Ledger Entry","Quantity","Entry Type","Transfer","Entry No.",I202,"Location Code","@@"&amp;$E$6)</t>
  </si>
  <si>
    <t>=NL("Sum","Item Ledger Entry","Quantity","Entry Type","Consumption","Entry No.",I202,"Location Code","@@"&amp;$E$6)</t>
  </si>
  <si>
    <t>=NL("Sum","Item Ledger Entry","Quantity","Entry Type","Output","Entry No.",I202,"Location Code","@@"&amp;$E$6)</t>
  </si>
  <si>
    <t>=NL("Sum","Item Ledger Entry","Quantity","Entry Type","Purchase","Entry No.",I203,"Location Code","@@"&amp;$E$6)</t>
  </si>
  <si>
    <t>=NL("Sum","Item Ledger Entry","Quantity","Entry Type","Sale","Entry No.",I203,"Location Code","@@"&amp;$E$6)</t>
  </si>
  <si>
    <t>=NL("Sum","Item Ledger Entry","Quantity","Entry Type","Positive Adjmt.|Negative Adjmt.","Entry No.",I203,"Location Code","@@"&amp;$E$6)</t>
  </si>
  <si>
    <t>=NL("Sum","Item Ledger Entry","Quantity","Entry Type","Transfer","Entry No.",I203,"Location Code","@@"&amp;$E$6)</t>
  </si>
  <si>
    <t>=NL("Sum","Item Ledger Entry","Quantity","Entry Type","Consumption","Entry No.",I203,"Location Code","@@"&amp;$E$6)</t>
  </si>
  <si>
    <t>=NL("Sum","Item Ledger Entry","Quantity","Entry Type","Output","Entry No.",I203,"Location Code","@@"&amp;$E$6)</t>
  </si>
  <si>
    <t>=NL("Sum","Item Ledger Entry","Quantity","Entry Type","Purchase","Entry No.",I211,"Location Code","@@"&amp;$E$6)</t>
  </si>
  <si>
    <t>=NL("Sum","Item Ledger Entry","Quantity","Entry Type","Sale","Entry No.",I211,"Location Code","@@"&amp;$E$6)</t>
  </si>
  <si>
    <t>=NL("Sum","Item Ledger Entry","Quantity","Entry Type","Positive Adjmt.|Negative Adjmt.","Entry No.",I211,"Location Code","@@"&amp;$E$6)</t>
  </si>
  <si>
    <t>=NL("Sum","Item Ledger Entry","Quantity","Entry Type","Transfer","Entry No.",I211,"Location Code","@@"&amp;$E$6)</t>
  </si>
  <si>
    <t>=NL("Sum","Item Ledger Entry","Quantity","Entry Type","Consumption","Entry No.",I211,"Location Code","@@"&amp;$E$6)</t>
  </si>
  <si>
    <t>=NL("Sum","Item Ledger Entry","Quantity","Entry Type","Output","Entry No.",I211,"Location Code","@@"&amp;$E$6)</t>
  </si>
  <si>
    <t>=NL("Sum","Item Ledger Entry","Quantity","Entry Type","Purchase","Entry No.",I212,"Location Code","@@"&amp;$E$6)</t>
  </si>
  <si>
    <t>=NL("Sum","Item Ledger Entry","Quantity","Entry Type","Sale","Entry No.",I212,"Location Code","@@"&amp;$E$6)</t>
  </si>
  <si>
    <t>=NL("Sum","Item Ledger Entry","Quantity","Entry Type","Positive Adjmt.|Negative Adjmt.","Entry No.",I212,"Location Code","@@"&amp;$E$6)</t>
  </si>
  <si>
    <t>=NL("Sum","Item Ledger Entry","Quantity","Entry Type","Transfer","Entry No.",I212,"Location Code","@@"&amp;$E$6)</t>
  </si>
  <si>
    <t>=NL("Sum","Item Ledger Entry","Quantity","Entry Type","Consumption","Entry No.",I212,"Location Code","@@"&amp;$E$6)</t>
  </si>
  <si>
    <t>=NL("Sum","Item Ledger Entry","Quantity","Entry Type","Output","Entry No.",I212,"Location Code","@@"&amp;$E$6)</t>
  </si>
  <si>
    <t>=NL("Sum","Item Ledger Entry","Quantity","Entry Type","Purchase","Entry No.",I216,"Location Code","@@"&amp;$E$6)</t>
  </si>
  <si>
    <t>=NL("Sum","Item Ledger Entry","Quantity","Entry Type","Sale","Entry No.",I216,"Location Code","@@"&amp;$E$6)</t>
  </si>
  <si>
    <t>=NL("Sum","Item Ledger Entry","Quantity","Entry Type","Positive Adjmt.|Negative Adjmt.","Entry No.",I216,"Location Code","@@"&amp;$E$6)</t>
  </si>
  <si>
    <t>=NL("Sum","Item Ledger Entry","Quantity","Entry Type","Transfer","Entry No.",I216,"Location Code","@@"&amp;$E$6)</t>
  </si>
  <si>
    <t>=NL("Sum","Item Ledger Entry","Quantity","Entry Type","Consumption","Entry No.",I216,"Location Code","@@"&amp;$E$6)</t>
  </si>
  <si>
    <t>=NL("Sum","Item Ledger Entry","Quantity","Entry Type","Output","Entry No.",I216,"Location Code","@@"&amp;$E$6)</t>
  </si>
  <si>
    <t>=NL("Sum","Item Ledger Entry","Quantity","Entry Type","Purchase","Entry No.",I217,"Location Code","@@"&amp;$E$6)</t>
  </si>
  <si>
    <t>=NL("Sum","Item Ledger Entry","Quantity","Entry Type","Sale","Entry No.",I217,"Location Code","@@"&amp;$E$6)</t>
  </si>
  <si>
    <t>=NL("Sum","Item Ledger Entry","Quantity","Entry Type","Positive Adjmt.|Negative Adjmt.","Entry No.",I217,"Location Code","@@"&amp;$E$6)</t>
  </si>
  <si>
    <t>=NL("Sum","Item Ledger Entry","Quantity","Entry Type","Transfer","Entry No.",I217,"Location Code","@@"&amp;$E$6)</t>
  </si>
  <si>
    <t>=NL("Sum","Item Ledger Entry","Quantity","Entry Type","Consumption","Entry No.",I217,"Location Code","@@"&amp;$E$6)</t>
  </si>
  <si>
    <t>=NL("Sum","Item Ledger Entry","Quantity","Entry Type","Output","Entry No.",I217,"Location Code","@@"&amp;$E$6)</t>
  </si>
  <si>
    <t>=D220</t>
  </si>
  <si>
    <t>=NF($G221,"Posting Date")</t>
  </si>
  <si>
    <t>=NF($G221,"Entry No.")</t>
  </si>
  <si>
    <t>=NF(G221,"Source Type")</t>
  </si>
  <si>
    <t>=NF($G221,"Source No.")</t>
  </si>
  <si>
    <t>=IF($J221="Customer",NL("first",$J221,"Name","No.","@@"&amp;$K221),"")</t>
  </si>
  <si>
    <t>=IF(J221="vendor",NL("first",J221,"Name","No.","@@"&amp;K221),"")</t>
  </si>
  <si>
    <t>=IF($J221="Item",NL("first",$J221,"Description","No.","@@"&amp;$K221),"")</t>
  </si>
  <si>
    <t>=NL("Sum","Item Ledger Entry","Quantity","Entry Type","Purchase","Entry No.",I221,"Location Code","@@"&amp;$E$6)</t>
  </si>
  <si>
    <t>=NL("Sum","Item Ledger Entry","Quantity","Entry Type","Sale","Entry No.",I221,"Location Code","@@"&amp;$E$6)</t>
  </si>
  <si>
    <t>=NL("Sum","Item Ledger Entry","Quantity","Entry Type","Positive Adjmt.|Negative Adjmt.","Entry No.",I221,"Location Code","@@"&amp;$E$6)</t>
  </si>
  <si>
    <t>=NL("Sum","Item Ledger Entry","Quantity","Entry Type","Transfer","Entry No.",I221,"Location Code","@@"&amp;$E$6)</t>
  </si>
  <si>
    <t>=NL("Sum","Item Ledger Entry","Quantity","Entry Type","Consumption","Entry No.",I221,"Location Code","@@"&amp;$E$6)</t>
  </si>
  <si>
    <t>=NL("Sum","Item Ledger Entry","Quantity","Entry Type","Output","Entry No.",I221,"Location Code","@@"&amp;$E$6)</t>
  </si>
  <si>
    <t>=E224</t>
  </si>
  <si>
    <t>=NL("First","Item","Description","No.",$E224)</t>
  </si>
  <si>
    <t>=NL("First","Item","Base Unit of Measure","No.",$E224)</t>
  </si>
  <si>
    <t>=NL("Rows","Item Ledger Entry",,"+Posting Date",$L$5,"Item No.","@@"&amp;$D225,"Location Code","@@"&amp;$E$6)</t>
  </si>
  <si>
    <t>=NL("Sum","Item Ledger Entry","Quantity","Entry Type","Purchase","Entry No.",I225,"Location Code","@@"&amp;$E$6)</t>
  </si>
  <si>
    <t>=NL("Sum","Item Ledger Entry","Quantity","Entry Type","Sale","Entry No.",I225,"Location Code","@@"&amp;$E$6)</t>
  </si>
  <si>
    <t>=NL("Sum","Item Ledger Entry","Quantity","Entry Type","Positive Adjmt.|Negative Adjmt.","Entry No.",I225,"Location Code","@@"&amp;$E$6)</t>
  </si>
  <si>
    <t>=NL("Sum","Item Ledger Entry","Quantity","Entry Type","Transfer","Entry No.",I225,"Location Code","@@"&amp;$E$6)</t>
  </si>
  <si>
    <t>=NL("Sum","Item Ledger Entry","Quantity","Entry Type","Consumption","Entry No.",I225,"Location Code","@@"&amp;$E$6)</t>
  </si>
  <si>
    <t>=NL("Sum","Item Ledger Entry","Quantity","Entry Type","Output","Entry No.",I225,"Location Code","@@"&amp;$E$6)</t>
  </si>
  <si>
    <t>=D232</t>
  </si>
  <si>
    <t>=NF($G233,"Posting Date")</t>
  </si>
  <si>
    <t>=NF($G233,"Entry No.")</t>
  </si>
  <si>
    <t>=NF(G233,"Source Type")</t>
  </si>
  <si>
    <t>=NF($G233,"Source No.")</t>
  </si>
  <si>
    <t>=IF($J233="Customer",NL("first",$J233,"Name","No.","@@"&amp;$K233),"")</t>
  </si>
  <si>
    <t>=IF(J233="vendor",NL("first",J233,"Name","No.","@@"&amp;K233),"")</t>
  </si>
  <si>
    <t>=IF($J233="Item",NL("first",$J233,"Description","No.","@@"&amp;$K233),"")</t>
  </si>
  <si>
    <t>=NL("Sum","Item Ledger Entry","Quantity","Entry Type","Purchase","Entry No.",I237,"Location Code","@@"&amp;$E$6)</t>
  </si>
  <si>
    <t>=NL("Sum","Item Ledger Entry","Quantity","Entry Type","Sale","Entry No.",I237,"Location Code","@@"&amp;$E$6)</t>
  </si>
  <si>
    <t>=NL("Sum","Item Ledger Entry","Quantity","Entry Type","Positive Adjmt.|Negative Adjmt.","Entry No.",I237,"Location Code","@@"&amp;$E$6)</t>
  </si>
  <si>
    <t>=NL("Sum","Item Ledger Entry","Quantity","Entry Type","Transfer","Entry No.",I237,"Location Code","@@"&amp;$E$6)</t>
  </si>
  <si>
    <t>=NL("Sum","Item Ledger Entry","Quantity","Entry Type","Consumption","Entry No.",I237,"Location Code","@@"&amp;$E$6)</t>
  </si>
  <si>
    <t>=NL("Sum","Item Ledger Entry","Quantity","Entry Type","Output","Entry No.",I237,"Location Code","@@"&amp;$E$6)</t>
  </si>
  <si>
    <t>=NL("Sum","Item Ledger Entry","Quantity","Entry Type","Purchase","Entry No.",I238,"Location Code","@@"&amp;$E$6)</t>
  </si>
  <si>
    <t>=NL("Sum","Item Ledger Entry","Quantity","Entry Type","Sale","Entry No.",I238,"Location Code","@@"&amp;$E$6)</t>
  </si>
  <si>
    <t>=NL("Sum","Item Ledger Entry","Quantity","Entry Type","Positive Adjmt.|Negative Adjmt.","Entry No.",I238,"Location Code","@@"&amp;$E$6)</t>
  </si>
  <si>
    <t>=NL("Sum","Item Ledger Entry","Quantity","Entry Type","Transfer","Entry No.",I238,"Location Code","@@"&amp;$E$6)</t>
  </si>
  <si>
    <t>=NL("Sum","Item Ledger Entry","Quantity","Entry Type","Consumption","Entry No.",I238,"Location Code","@@"&amp;$E$6)</t>
  </si>
  <si>
    <t>=NL("Sum","Item Ledger Entry","Quantity","Entry Type","Output","Entry No.",I238,"Location Code","@@"&amp;$E$6)</t>
  </si>
  <si>
    <t>=NL("Sum","Item Ledger Entry","Quantity","Entry Type","Purchase","Entry No.",I243,"Location Code","@@"&amp;$E$6)</t>
  </si>
  <si>
    <t>=NL("Sum","Item Ledger Entry","Quantity","Entry Type","Sale","Entry No.",I243,"Location Code","@@"&amp;$E$6)</t>
  </si>
  <si>
    <t>=NL("Sum","Item Ledger Entry","Quantity","Entry Type","Positive Adjmt.|Negative Adjmt.","Entry No.",I243,"Location Code","@@"&amp;$E$6)</t>
  </si>
  <si>
    <t>=NL("Sum","Item Ledger Entry","Quantity","Entry Type","Transfer","Entry No.",I243,"Location Code","@@"&amp;$E$6)</t>
  </si>
  <si>
    <t>=NL("Sum","Item Ledger Entry","Quantity","Entry Type","Consumption","Entry No.",I243,"Location Code","@@"&amp;$E$6)</t>
  </si>
  <si>
    <t>=NL("Sum","Item Ledger Entry","Quantity","Entry Type","Output","Entry No.",I243,"Location Code","@@"&amp;$E$6)</t>
  </si>
  <si>
    <t>=NL("Sum","Item Ledger Entry","Quantity","Entry Type","Purchase","Entry No.",I247,"Location Code","@@"&amp;$E$6)</t>
  </si>
  <si>
    <t>=NL("Sum","Item Ledger Entry","Quantity","Entry Type","Sale","Entry No.",I247,"Location Code","@@"&amp;$E$6)</t>
  </si>
  <si>
    <t>=NL("Sum","Item Ledger Entry","Quantity","Entry Type","Positive Adjmt.|Negative Adjmt.","Entry No.",I247,"Location Code","@@"&amp;$E$6)</t>
  </si>
  <si>
    <t>=NL("Sum","Item Ledger Entry","Quantity","Entry Type","Transfer","Entry No.",I247,"Location Code","@@"&amp;$E$6)</t>
  </si>
  <si>
    <t>=NL("Sum","Item Ledger Entry","Quantity","Entry Type","Consumption","Entry No.",I247,"Location Code","@@"&amp;$E$6)</t>
  </si>
  <si>
    <t>=NL("Sum","Item Ledger Entry","Quantity","Entry Type","Output","Entry No.",I247,"Location Code","@@"&amp;$E$6)</t>
  </si>
  <si>
    <t>=NL("Sum","Item Ledger Entry","Quantity","Entry Type","Purchase","Entry No.",I248,"Location Code","@@"&amp;$E$6)</t>
  </si>
  <si>
    <t>=NL("Sum","Item Ledger Entry","Quantity","Entry Type","Sale","Entry No.",I248,"Location Code","@@"&amp;$E$6)</t>
  </si>
  <si>
    <t>=NL("Sum","Item Ledger Entry","Quantity","Entry Type","Positive Adjmt.|Negative Adjmt.","Entry No.",I248,"Location Code","@@"&amp;$E$6)</t>
  </si>
  <si>
    <t>=NL("Sum","Item Ledger Entry","Quantity","Entry Type","Transfer","Entry No.",I248,"Location Code","@@"&amp;$E$6)</t>
  </si>
  <si>
    <t>=NL("Sum","Item Ledger Entry","Quantity","Entry Type","Consumption","Entry No.",I248,"Location Code","@@"&amp;$E$6)</t>
  </si>
  <si>
    <t>=NL("Sum","Item Ledger Entry","Quantity","Entry Type","Output","Entry No.",I248,"Location Code","@@"&amp;$E$6)</t>
  </si>
  <si>
    <t>=E251</t>
  </si>
  <si>
    <t>=NL("First","Item","Description","No.",$E251)</t>
  </si>
  <si>
    <t>=NL("First","Item","Base Unit of Measure","No.",$E251)</t>
  </si>
  <si>
    <t>=(SUBTOTAL(9,O252:O253))</t>
  </si>
  <si>
    <t>=(SUBTOTAL(9,P252:P253))</t>
  </si>
  <si>
    <t>=(SUBTOTAL(9,Q252:Q253))</t>
  </si>
  <si>
    <t>=(SUBTOTAL(9,R252:R253))</t>
  </si>
  <si>
    <t>=(SUBTOTAL(9,S252:S253))</t>
  </si>
  <si>
    <t>=(SUBTOTAL(9,T252:T253))</t>
  </si>
  <si>
    <t>=SUBTOTAL(9,O252:T253)</t>
  </si>
  <si>
    <t>=NL("Rows","Item Ledger Entry",,"+Posting Date",$L$5,"Item No.","@@"&amp;$D252,"Location Code","@@"&amp;$E$6)</t>
  </si>
  <si>
    <t>=NL("Sum","Item Ledger Entry","Quantity","Entry Type","Purchase","Entry No.",I252,"Location Code","@@"&amp;$E$6)</t>
  </si>
  <si>
    <t>=NL("Sum","Item Ledger Entry","Quantity","Entry Type","Sale","Entry No.",I252,"Location Code","@@"&amp;$E$6)</t>
  </si>
  <si>
    <t>=NL("Sum","Item Ledger Entry","Quantity","Entry Type","Positive Adjmt.|Negative Adjmt.","Entry No.",I252,"Location Code","@@"&amp;$E$6)</t>
  </si>
  <si>
    <t>=NL("Sum","Item Ledger Entry","Quantity","Entry Type","Transfer","Entry No.",I252,"Location Code","@@"&amp;$E$6)</t>
  </si>
  <si>
    <t>=NL("Sum","Item Ledger Entry","Quantity","Entry Type","Consumption","Entry No.",I252,"Location Code","@@"&amp;$E$6)</t>
  </si>
  <si>
    <t>=NL("Sum","Item Ledger Entry","Quantity","Entry Type","Output","Entry No.",I252,"Location Code","@@"&amp;$E$6)</t>
  </si>
  <si>
    <t>=E255</t>
  </si>
  <si>
    <t>=NL("First","Item","Description","No.",$E255)</t>
  </si>
  <si>
    <t>=NL("First","Item","Base Unit of Measure","No.",$E255)</t>
  </si>
  <si>
    <t>=NL("Rows","Item Ledger Entry",,"+Posting Date",$L$5,"Item No.","@@"&amp;$D256,"Location Code","@@"&amp;$E$6)</t>
  </si>
  <si>
    <t>=NL("Sum","Item Ledger Entry","Quantity","Entry Type","Purchase","Entry No.",I256,"Location Code","@@"&amp;$E$6)</t>
  </si>
  <si>
    <t>=NL("Sum","Item Ledger Entry","Quantity","Entry Type","Sale","Entry No.",I256,"Location Code","@@"&amp;$E$6)</t>
  </si>
  <si>
    <t>=NL("Sum","Item Ledger Entry","Quantity","Entry Type","Positive Adjmt.|Negative Adjmt.","Entry No.",I256,"Location Code","@@"&amp;$E$6)</t>
  </si>
  <si>
    <t>=NL("Sum","Item Ledger Entry","Quantity","Entry Type","Transfer","Entry No.",I256,"Location Code","@@"&amp;$E$6)</t>
  </si>
  <si>
    <t>=NL("Sum","Item Ledger Entry","Quantity","Entry Type","Consumption","Entry No.",I256,"Location Code","@@"&amp;$E$6)</t>
  </si>
  <si>
    <t>=NL("Sum","Item Ledger Entry","Quantity","Entry Type","Output","Entry No.",I256,"Location Code","@@"&amp;$E$6)</t>
  </si>
  <si>
    <t>=NL("Sum","Item Ledger Entry","Quantity","Entry Type","Purchase","Entry No.",I258,"Location Code","@@"&amp;$E$6)</t>
  </si>
  <si>
    <t>=NL("Sum","Item Ledger Entry","Quantity","Entry Type","Sale","Entry No.",I258,"Location Code","@@"&amp;$E$6)</t>
  </si>
  <si>
    <t>=NL("Sum","Item Ledger Entry","Quantity","Entry Type","Positive Adjmt.|Negative Adjmt.","Entry No.",I258,"Location Code","@@"&amp;$E$6)</t>
  </si>
  <si>
    <t>=NL("Sum","Item Ledger Entry","Quantity","Entry Type","Transfer","Entry No.",I258,"Location Code","@@"&amp;$E$6)</t>
  </si>
  <si>
    <t>=NL("Sum","Item Ledger Entry","Quantity","Entry Type","Consumption","Entry No.",I258,"Location Code","@@"&amp;$E$6)</t>
  </si>
  <si>
    <t>=NL("Sum","Item Ledger Entry","Quantity","Entry Type","Output","Entry No.",I258,"Location Code","@@"&amp;$E$6)</t>
  </si>
  <si>
    <t>=NL("Sum","Item Ledger Entry","Quantity","Entry Type","Purchase","Entry No.",I262,"Location Code","@@"&amp;$E$6)</t>
  </si>
  <si>
    <t>=NL("Sum","Item Ledger Entry","Quantity","Entry Type","Sale","Entry No.",I262,"Location Code","@@"&amp;$E$6)</t>
  </si>
  <si>
    <t>=NL("Sum","Item Ledger Entry","Quantity","Entry Type","Positive Adjmt.|Negative Adjmt.","Entry No.",I262,"Location Code","@@"&amp;$E$6)</t>
  </si>
  <si>
    <t>=NL("Sum","Item Ledger Entry","Quantity","Entry Type","Transfer","Entry No.",I262,"Location Code","@@"&amp;$E$6)</t>
  </si>
  <si>
    <t>=NL("Sum","Item Ledger Entry","Quantity","Entry Type","Consumption","Entry No.",I262,"Location Code","@@"&amp;$E$6)</t>
  </si>
  <si>
    <t>=NL("Sum","Item Ledger Entry","Quantity","Entry Type","Output","Entry No.",I262,"Location Code","@@"&amp;$E$6)</t>
  </si>
  <si>
    <t>=E265</t>
  </si>
  <si>
    <t>=NL("First","Item","Description","No.",$E265)</t>
  </si>
  <si>
    <t>=NL("First","Item","Base Unit of Measure","No.",$E265)</t>
  </si>
  <si>
    <t>=NL("Rows","Item Ledger Entry",,"+Posting Date",$L$5,"Item No.","@@"&amp;$D266,"Location Code","@@"&amp;$E$6)</t>
  </si>
  <si>
    <t>=NL("Sum","Item Ledger Entry","Quantity","Entry Type","Purchase","Entry No.",I266,"Location Code","@@"&amp;$E$6)</t>
  </si>
  <si>
    <t>=NL("Sum","Item Ledger Entry","Quantity","Entry Type","Sale","Entry No.",I266,"Location Code","@@"&amp;$E$6)</t>
  </si>
  <si>
    <t>=NL("Sum","Item Ledger Entry","Quantity","Entry Type","Positive Adjmt.|Negative Adjmt.","Entry No.",I266,"Location Code","@@"&amp;$E$6)</t>
  </si>
  <si>
    <t>=NL("Sum","Item Ledger Entry","Quantity","Entry Type","Transfer","Entry No.",I266,"Location Code","@@"&amp;$E$6)</t>
  </si>
  <si>
    <t>=NL("Sum","Item Ledger Entry","Quantity","Entry Type","Consumption","Entry No.",I266,"Location Code","@@"&amp;$E$6)</t>
  </si>
  <si>
    <t>=NL("Sum","Item Ledger Entry","Quantity","Entry Type","Output","Entry No.",I266,"Location Code","@@"&amp;$E$6)</t>
  </si>
  <si>
    <t>=NL("Sum","Item Ledger Entry","Quantity","Entry Type","Purchase","Entry No.",I270,"Location Code","@@"&amp;$E$6)</t>
  </si>
  <si>
    <t>=NL("Sum","Item Ledger Entry","Quantity","Entry Type","Sale","Entry No.",I270,"Location Code","@@"&amp;$E$6)</t>
  </si>
  <si>
    <t>=NL("Sum","Item Ledger Entry","Quantity","Entry Type","Positive Adjmt.|Negative Adjmt.","Entry No.",I270,"Location Code","@@"&amp;$E$6)</t>
  </si>
  <si>
    <t>=NL("Sum","Item Ledger Entry","Quantity","Entry Type","Transfer","Entry No.",I270,"Location Code","@@"&amp;$E$6)</t>
  </si>
  <si>
    <t>=NL("Sum","Item Ledger Entry","Quantity","Entry Type","Consumption","Entry No.",I270,"Location Code","@@"&amp;$E$6)</t>
  </si>
  <si>
    <t>=NL("Sum","Item Ledger Entry","Quantity","Entry Type","Output","Entry No.",I270,"Location Code","@@"&amp;$E$6)</t>
  </si>
  <si>
    <t>=NL("Sum","Item Ledger Entry","Quantity","Entry Type","Purchase","Entry No.",I271,"Location Code","@@"&amp;$E$6)</t>
  </si>
  <si>
    <t>=NL("Sum","Item Ledger Entry","Quantity","Entry Type","Sale","Entry No.",I271,"Location Code","@@"&amp;$E$6)</t>
  </si>
  <si>
    <t>=NL("Sum","Item Ledger Entry","Quantity","Entry Type","Positive Adjmt.|Negative Adjmt.","Entry No.",I271,"Location Code","@@"&amp;$E$6)</t>
  </si>
  <si>
    <t>=NL("Sum","Item Ledger Entry","Quantity","Entry Type","Transfer","Entry No.",I271,"Location Code","@@"&amp;$E$6)</t>
  </si>
  <si>
    <t>=NL("Sum","Item Ledger Entry","Quantity","Entry Type","Consumption","Entry No.",I271,"Location Code","@@"&amp;$E$6)</t>
  </si>
  <si>
    <t>=NL("Sum","Item Ledger Entry","Quantity","Entry Type","Output","Entry No.",I271,"Location Code","@@"&amp;$E$6)</t>
  </si>
  <si>
    <t>=NL("Sum","Item Ledger Entry","Quantity","Entry Type","Purchase","Entry No.",I272,"Location Code","@@"&amp;$E$6)</t>
  </si>
  <si>
    <t>=NL("Sum","Item Ledger Entry","Quantity","Entry Type","Sale","Entry No.",I272,"Location Code","@@"&amp;$E$6)</t>
  </si>
  <si>
    <t>=NL("Sum","Item Ledger Entry","Quantity","Entry Type","Positive Adjmt.|Negative Adjmt.","Entry No.",I272,"Location Code","@@"&amp;$E$6)</t>
  </si>
  <si>
    <t>=NL("Sum","Item Ledger Entry","Quantity","Entry Type","Transfer","Entry No.",I272,"Location Code","@@"&amp;$E$6)</t>
  </si>
  <si>
    <t>=NL("Sum","Item Ledger Entry","Quantity","Entry Type","Consumption","Entry No.",I272,"Location Code","@@"&amp;$E$6)</t>
  </si>
  <si>
    <t>=NL("Sum","Item Ledger Entry","Quantity","Entry Type","Output","Entry No.",I272,"Location Code","@@"&amp;$E$6)</t>
  </si>
  <si>
    <t>=E275</t>
  </si>
  <si>
    <t>=NL("First","Item","Description","No.",$E275)</t>
  </si>
  <si>
    <t>=NL("First","Item","Base Unit of Measure","No.",$E275)</t>
  </si>
  <si>
    <t>=(SUBTOTAL(9,O276:O277))</t>
  </si>
  <si>
    <t>=(SUBTOTAL(9,P276:P277))</t>
  </si>
  <si>
    <t>=(SUBTOTAL(9,Q276:Q277))</t>
  </si>
  <si>
    <t>=(SUBTOTAL(9,R276:R277))</t>
  </si>
  <si>
    <t>=(SUBTOTAL(9,S276:S277))</t>
  </si>
  <si>
    <t>=(SUBTOTAL(9,T276:T277))</t>
  </si>
  <si>
    <t>=SUBTOTAL(9,O276:T277)</t>
  </si>
  <si>
    <t>=NL("Rows","Item Ledger Entry",,"+Posting Date",$L$5,"Item No.","@@"&amp;$D276,"Location Code","@@"&amp;$E$6)</t>
  </si>
  <si>
    <t>=NL("Sum","Item Ledger Entry","Quantity","Entry Type","Purchase","Entry No.",I276,"Location Code","@@"&amp;$E$6)</t>
  </si>
  <si>
    <t>=NL("Sum","Item Ledger Entry","Quantity","Entry Type","Sale","Entry No.",I276,"Location Code","@@"&amp;$E$6)</t>
  </si>
  <si>
    <t>=NL("Sum","Item Ledger Entry","Quantity","Entry Type","Positive Adjmt.|Negative Adjmt.","Entry No.",I276,"Location Code","@@"&amp;$E$6)</t>
  </si>
  <si>
    <t>=NL("Sum","Item Ledger Entry","Quantity","Entry Type","Transfer","Entry No.",I276,"Location Code","@@"&amp;$E$6)</t>
  </si>
  <si>
    <t>=NL("Sum","Item Ledger Entry","Quantity","Entry Type","Consumption","Entry No.",I276,"Location Code","@@"&amp;$E$6)</t>
  </si>
  <si>
    <t>=NL("Sum","Item Ledger Entry","Quantity","Entry Type","Output","Entry No.",I276,"Location Code","@@"&amp;$E$6)</t>
  </si>
  <si>
    <t>=E279</t>
  </si>
  <si>
    <t>=NL("First","Item","Description","No.",$E279)</t>
  </si>
  <si>
    <t>=NL("First","Item","Base Unit of Measure","No.",$E279)</t>
  </si>
  <si>
    <t>=(SUBTOTAL(9,O280:O281))</t>
  </si>
  <si>
    <t>=(SUBTOTAL(9,P280:P281))</t>
  </si>
  <si>
    <t>=(SUBTOTAL(9,Q280:Q281))</t>
  </si>
  <si>
    <t>=(SUBTOTAL(9,R280:R281))</t>
  </si>
  <si>
    <t>=(SUBTOTAL(9,S280:S281))</t>
  </si>
  <si>
    <t>=(SUBTOTAL(9,T280:T281))</t>
  </si>
  <si>
    <t>=SUBTOTAL(9,O280:T281)</t>
  </si>
  <si>
    <t>=NL("Rows","Item Ledger Entry",,"+Posting Date",$L$5,"Item No.","@@"&amp;$D280,"Location Code","@@"&amp;$E$6)</t>
  </si>
  <si>
    <t>=NL("Sum","Item Ledger Entry","Quantity","Entry Type","Purchase","Entry No.",I280,"Location Code","@@"&amp;$E$6)</t>
  </si>
  <si>
    <t>=NL("Sum","Item Ledger Entry","Quantity","Entry Type","Sale","Entry No.",I280,"Location Code","@@"&amp;$E$6)</t>
  </si>
  <si>
    <t>=NL("Sum","Item Ledger Entry","Quantity","Entry Type","Positive Adjmt.|Negative Adjmt.","Entry No.",I280,"Location Code","@@"&amp;$E$6)</t>
  </si>
  <si>
    <t>=NL("Sum","Item Ledger Entry","Quantity","Entry Type","Transfer","Entry No.",I280,"Location Code","@@"&amp;$E$6)</t>
  </si>
  <si>
    <t>=NL("Sum","Item Ledger Entry","Quantity","Entry Type","Consumption","Entry No.",I280,"Location Code","@@"&amp;$E$6)</t>
  </si>
  <si>
    <t>=NL("Sum","Item Ledger Entry","Quantity","Entry Type","Output","Entry No.",I280,"Location Code","@@"&amp;$E$6)</t>
  </si>
  <si>
    <t>=(SUBTOTAL(9,O284:O285))</t>
  </si>
  <si>
    <t>=(SUBTOTAL(9,P284:P285))</t>
  </si>
  <si>
    <t>=(SUBTOTAL(9,Q284:Q285))</t>
  </si>
  <si>
    <t>=(SUBTOTAL(9,R284:R285))</t>
  </si>
  <si>
    <t>=(SUBTOTAL(9,S284:S285))</t>
  </si>
  <si>
    <t>=(SUBTOTAL(9,T284:T285))</t>
  </si>
  <si>
    <t>=SUBTOTAL(9,O284:T285)</t>
  </si>
  <si>
    <t>=NL("Rows","Item Ledger Entry",,"+Posting Date",$L$5,"Item No.","@@"&amp;$D284,"Location Code","@@"&amp;$E$6)</t>
  </si>
  <si>
    <t>=NL("Sum","Item Ledger Entry","Quantity","Entry Type","Purchase","Entry No.",I284,"Location Code","@@"&amp;$E$6)</t>
  </si>
  <si>
    <t>=NL("Sum","Item Ledger Entry","Quantity","Entry Type","Sale","Entry No.",I284,"Location Code","@@"&amp;$E$6)</t>
  </si>
  <si>
    <t>=NL("Sum","Item Ledger Entry","Quantity","Entry Type","Positive Adjmt.|Negative Adjmt.","Entry No.",I284,"Location Code","@@"&amp;$E$6)</t>
  </si>
  <si>
    <t>=NL("Sum","Item Ledger Entry","Quantity","Entry Type","Transfer","Entry No.",I284,"Location Code","@@"&amp;$E$6)</t>
  </si>
  <si>
    <t>=NL("Sum","Item Ledger Entry","Quantity","Entry Type","Consumption","Entry No.",I284,"Location Code","@@"&amp;$E$6)</t>
  </si>
  <si>
    <t>=NL("Sum","Item Ledger Entry","Quantity","Entry Type","Output","Entry No.",I284,"Location Code","@@"&amp;$E$6)</t>
  </si>
  <si>
    <t>=E287</t>
  </si>
  <si>
    <t>=NL("First","Item","Description","No.",$E287)</t>
  </si>
  <si>
    <t>=NL("First","Item","Base Unit of Measure","No.",$E287)</t>
  </si>
  <si>
    <t>=NL("Rows","Item Ledger Entry",,"+Posting Date",$L$5,"Item No.","@@"&amp;$D288,"Location Code","@@"&amp;$E$6)</t>
  </si>
  <si>
    <t>=NL("Sum","Item Ledger Entry","Quantity","Entry Type","Purchase","Entry No.",I288,"Location Code","@@"&amp;$E$6)</t>
  </si>
  <si>
    <t>=NL("Sum","Item Ledger Entry","Quantity","Entry Type","Sale","Entry No.",I288,"Location Code","@@"&amp;$E$6)</t>
  </si>
  <si>
    <t>=NL("Sum","Item Ledger Entry","Quantity","Entry Type","Positive Adjmt.|Negative Adjmt.","Entry No.",I288,"Location Code","@@"&amp;$E$6)</t>
  </si>
  <si>
    <t>=NL("Sum","Item Ledger Entry","Quantity","Entry Type","Transfer","Entry No.",I288,"Location Code","@@"&amp;$E$6)</t>
  </si>
  <si>
    <t>=NL("Sum","Item Ledger Entry","Quantity","Entry Type","Consumption","Entry No.",I288,"Location Code","@@"&amp;$E$6)</t>
  </si>
  <si>
    <t>=NL("Sum","Item Ledger Entry","Quantity","Entry Type","Output","Entry No.",I288,"Location Code","@@"&amp;$E$6)</t>
  </si>
  <si>
    <t>=E291</t>
  </si>
  <si>
    <t>=NL("First","Item","Description","No.",$E291)</t>
  </si>
  <si>
    <t>=NL("First","Item","Base Unit of Measure","No.",$E291)</t>
  </si>
  <si>
    <t>=NL("Rows","Item Ledger Entry",,"+Posting Date",$L$5,"Item No.","@@"&amp;$D292,"Location Code","@@"&amp;$E$6)</t>
  </si>
  <si>
    <t>=NL("Sum","Item Ledger Entry","Quantity","Entry Type","Purchase","Entry No.",I292,"Location Code","@@"&amp;$E$6)</t>
  </si>
  <si>
    <t>=NL("Sum","Item Ledger Entry","Quantity","Entry Type","Sale","Entry No.",I292,"Location Code","@@"&amp;$E$6)</t>
  </si>
  <si>
    <t>=NL("Sum","Item Ledger Entry","Quantity","Entry Type","Positive Adjmt.|Negative Adjmt.","Entry No.",I292,"Location Code","@@"&amp;$E$6)</t>
  </si>
  <si>
    <t>=NL("Sum","Item Ledger Entry","Quantity","Entry Type","Transfer","Entry No.",I292,"Location Code","@@"&amp;$E$6)</t>
  </si>
  <si>
    <t>=NL("Sum","Item Ledger Entry","Quantity","Entry Type","Consumption","Entry No.",I292,"Location Code","@@"&amp;$E$6)</t>
  </si>
  <si>
    <t>=NL("Sum","Item Ledger Entry","Quantity","Entry Type","Output","Entry No.",I292,"Location Code","@@"&amp;$E$6)</t>
  </si>
  <si>
    <t>=NL("Sum","Item Ledger Entry","Quantity","Entry Type","Purchase","Entry No.",I296,"Location Code","@@"&amp;$E$6)</t>
  </si>
  <si>
    <t>=NL("Sum","Item Ledger Entry","Quantity","Entry Type","Sale","Entry No.",I296,"Location Code","@@"&amp;$E$6)</t>
  </si>
  <si>
    <t>=NL("Sum","Item Ledger Entry","Quantity","Entry Type","Positive Adjmt.|Negative Adjmt.","Entry No.",I296,"Location Code","@@"&amp;$E$6)</t>
  </si>
  <si>
    <t>=NL("Sum","Item Ledger Entry","Quantity","Entry Type","Transfer","Entry No.",I296,"Location Code","@@"&amp;$E$6)</t>
  </si>
  <si>
    <t>=NL("Sum","Item Ledger Entry","Quantity","Entry Type","Consumption","Entry No.",I296,"Location Code","@@"&amp;$E$6)</t>
  </si>
  <si>
    <t>=NL("Sum","Item Ledger Entry","Quantity","Entry Type","Output","Entry No.",I296,"Location Code","@@"&amp;$E$6)</t>
  </si>
  <si>
    <t>=NL("Sum","Item Ledger Entry","Quantity","Entry Type","Purchase","Entry No.",I300,"Location Code","@@"&amp;$E$6)</t>
  </si>
  <si>
    <t>=NL("Sum","Item Ledger Entry","Quantity","Entry Type","Sale","Entry No.",I300,"Location Code","@@"&amp;$E$6)</t>
  </si>
  <si>
    <t>=NL("Sum","Item Ledger Entry","Quantity","Entry Type","Positive Adjmt.|Negative Adjmt.","Entry No.",I300,"Location Code","@@"&amp;$E$6)</t>
  </si>
  <si>
    <t>=NL("Sum","Item Ledger Entry","Quantity","Entry Type","Transfer","Entry No.",I300,"Location Code","@@"&amp;$E$6)</t>
  </si>
  <si>
    <t>=NL("Sum","Item Ledger Entry","Quantity","Entry Type","Consumption","Entry No.",I300,"Location Code","@@"&amp;$E$6)</t>
  </si>
  <si>
    <t>=NL("Sum","Item Ledger Entry","Quantity","Entry Type","Output","Entry No.",I300,"Location Code","@@"&amp;$E$6)</t>
  </si>
  <si>
    <t>=E303</t>
  </si>
  <si>
    <t>=NL("First","Item","Description","No.",$E303)</t>
  </si>
  <si>
    <t>=NL("First","Item","Base Unit of Measure","No.",$E303)</t>
  </si>
  <si>
    <t>=NL("Rows","Item Ledger Entry",,"+Posting Date",$L$5,"Item No.","@@"&amp;$D304,"Location Code","@@"&amp;$E$6)</t>
  </si>
  <si>
    <t>=NL("Sum","Item Ledger Entry","Quantity","Entry Type","Purchase","Entry No.",I304,"Location Code","@@"&amp;$E$6)</t>
  </si>
  <si>
    <t>=NL("Sum","Item Ledger Entry","Quantity","Entry Type","Sale","Entry No.",I304,"Location Code","@@"&amp;$E$6)</t>
  </si>
  <si>
    <t>=NL("Sum","Item Ledger Entry","Quantity","Entry Type","Positive Adjmt.|Negative Adjmt.","Entry No.",I304,"Location Code","@@"&amp;$E$6)</t>
  </si>
  <si>
    <t>=NL("Sum","Item Ledger Entry","Quantity","Entry Type","Transfer","Entry No.",I304,"Location Code","@@"&amp;$E$6)</t>
  </si>
  <si>
    <t>=NL("Sum","Item Ledger Entry","Quantity","Entry Type","Consumption","Entry No.",I304,"Location Code","@@"&amp;$E$6)</t>
  </si>
  <si>
    <t>=NL("Sum","Item Ledger Entry","Quantity","Entry Type","Output","Entry No.",I304,"Location Code","@@"&amp;$E$6)</t>
  </si>
  <si>
    <t>=NL("Sum","Item Ledger Entry","Quantity","Entry Type","Purchase","Entry No.",I305,"Location Code","@@"&amp;$E$6)</t>
  </si>
  <si>
    <t>=NL("Sum","Item Ledger Entry","Quantity","Entry Type","Sale","Entry No.",I305,"Location Code","@@"&amp;$E$6)</t>
  </si>
  <si>
    <t>=NL("Sum","Item Ledger Entry","Quantity","Entry Type","Positive Adjmt.|Negative Adjmt.","Entry No.",I305,"Location Code","@@"&amp;$E$6)</t>
  </si>
  <si>
    <t>=NL("Sum","Item Ledger Entry","Quantity","Entry Type","Transfer","Entry No.",I305,"Location Code","@@"&amp;$E$6)</t>
  </si>
  <si>
    <t>=NL("Sum","Item Ledger Entry","Quantity","Entry Type","Consumption","Entry No.",I305,"Location Code","@@"&amp;$E$6)</t>
  </si>
  <si>
    <t>=NL("Sum","Item Ledger Entry","Quantity","Entry Type","Output","Entry No.",I305,"Location Code","@@"&amp;$E$6)</t>
  </si>
  <si>
    <t>=E308</t>
  </si>
  <si>
    <t>=NL("First","Item","Description","No.",$E308)</t>
  </si>
  <si>
    <t>=NL("First","Item","Base Unit of Measure","No.",$E308)</t>
  </si>
  <si>
    <t>=(SUBTOTAL(9,O309:O310))</t>
  </si>
  <si>
    <t>=(SUBTOTAL(9,P309:P310))</t>
  </si>
  <si>
    <t>=(SUBTOTAL(9,Q309:Q310))</t>
  </si>
  <si>
    <t>=(SUBTOTAL(9,R309:R310))</t>
  </si>
  <si>
    <t>=(SUBTOTAL(9,S309:S310))</t>
  </si>
  <si>
    <t>=(SUBTOTAL(9,T309:T310))</t>
  </si>
  <si>
    <t>=SUBTOTAL(9,O309:T310)</t>
  </si>
  <si>
    <t>=NL("Rows","Item Ledger Entry",,"+Posting Date",$L$5,"Item No.","@@"&amp;$D309,"Location Code","@@"&amp;$E$6)</t>
  </si>
  <si>
    <t>=NL("Sum","Item Ledger Entry","Quantity","Entry Type","Purchase","Entry No.",I309,"Location Code","@@"&amp;$E$6)</t>
  </si>
  <si>
    <t>=NL("Sum","Item Ledger Entry","Quantity","Entry Type","Sale","Entry No.",I309,"Location Code","@@"&amp;$E$6)</t>
  </si>
  <si>
    <t>=NL("Sum","Item Ledger Entry","Quantity","Entry Type","Positive Adjmt.|Negative Adjmt.","Entry No.",I309,"Location Code","@@"&amp;$E$6)</t>
  </si>
  <si>
    <t>=NL("Sum","Item Ledger Entry","Quantity","Entry Type","Transfer","Entry No.",I309,"Location Code","@@"&amp;$E$6)</t>
  </si>
  <si>
    <t>=NL("Sum","Item Ledger Entry","Quantity","Entry Type","Consumption","Entry No.",I309,"Location Code","@@"&amp;$E$6)</t>
  </si>
  <si>
    <t>=NL("Sum","Item Ledger Entry","Quantity","Entry Type","Output","Entry No.",I309,"Location Code","@@"&amp;$E$6)</t>
  </si>
  <si>
    <t>=E312</t>
  </si>
  <si>
    <t>=NL("First","Item","Description","No.",$E312)</t>
  </si>
  <si>
    <t>=NL("First","Item","Base Unit of Measure","No.",$E312)</t>
  </si>
  <si>
    <t>=NL("Rows","Item Ledger Entry",,"+Posting Date",$L$5,"Item No.","@@"&amp;$D313,"Location Code","@@"&amp;$E$6)</t>
  </si>
  <si>
    <t>=NL("Sum","Item Ledger Entry","Quantity","Entry Type","Purchase","Entry No.",I313,"Location Code","@@"&amp;$E$6)</t>
  </si>
  <si>
    <t>=NL("Sum","Item Ledger Entry","Quantity","Entry Type","Sale","Entry No.",I313,"Location Code","@@"&amp;$E$6)</t>
  </si>
  <si>
    <t>=NL("Sum","Item Ledger Entry","Quantity","Entry Type","Positive Adjmt.|Negative Adjmt.","Entry No.",I313,"Location Code","@@"&amp;$E$6)</t>
  </si>
  <si>
    <t>=NL("Sum","Item Ledger Entry","Quantity","Entry Type","Transfer","Entry No.",I313,"Location Code","@@"&amp;$E$6)</t>
  </si>
  <si>
    <t>=NL("Sum","Item Ledger Entry","Quantity","Entry Type","Consumption","Entry No.",I313,"Location Code","@@"&amp;$E$6)</t>
  </si>
  <si>
    <t>=NL("Sum","Item Ledger Entry","Quantity","Entry Type","Output","Entry No.",I313,"Location Code","@@"&amp;$E$6)</t>
  </si>
  <si>
    <t>=NL("Sum","Item Ledger Entry","Quantity","Entry Type","Purchase","Entry No.",I314,"Location Code","@@"&amp;$E$6)</t>
  </si>
  <si>
    <t>=NL("Sum","Item Ledger Entry","Quantity","Entry Type","Sale","Entry No.",I314,"Location Code","@@"&amp;$E$6)</t>
  </si>
  <si>
    <t>=NL("Sum","Item Ledger Entry","Quantity","Entry Type","Positive Adjmt.|Negative Adjmt.","Entry No.",I314,"Location Code","@@"&amp;$E$6)</t>
  </si>
  <si>
    <t>=NL("Sum","Item Ledger Entry","Quantity","Entry Type","Transfer","Entry No.",I314,"Location Code","@@"&amp;$E$6)</t>
  </si>
  <si>
    <t>=NL("Sum","Item Ledger Entry","Quantity","Entry Type","Consumption","Entry No.",I314,"Location Code","@@"&amp;$E$6)</t>
  </si>
  <si>
    <t>=NL("Sum","Item Ledger Entry","Quantity","Entry Type","Output","Entry No.",I314,"Location Code","@@"&amp;$E$6)</t>
  </si>
  <si>
    <t>=NL("Sum","Item Ledger Entry","Quantity","Entry Type","Purchase","Entry No.",I322,"Location Code","@@"&amp;$E$6)</t>
  </si>
  <si>
    <t>=NL("Sum","Item Ledger Entry","Quantity","Entry Type","Sale","Entry No.",I322,"Location Code","@@"&amp;$E$6)</t>
  </si>
  <si>
    <t>=NL("Sum","Item Ledger Entry","Quantity","Entry Type","Positive Adjmt.|Negative Adjmt.","Entry No.",I322,"Location Code","@@"&amp;$E$6)</t>
  </si>
  <si>
    <t>=NL("Sum","Item Ledger Entry","Quantity","Entry Type","Transfer","Entry No.",I322,"Location Code","@@"&amp;$E$6)</t>
  </si>
  <si>
    <t>=NL("Sum","Item Ledger Entry","Quantity","Entry Type","Consumption","Entry No.",I322,"Location Code","@@"&amp;$E$6)</t>
  </si>
  <si>
    <t>=NL("Sum","Item Ledger Entry","Quantity","Entry Type","Output","Entry No.",I322,"Location Code","@@"&amp;$E$6)</t>
  </si>
  <si>
    <t>=NL("Rows","Item Ledger Entry",,"+Posting Date",$L$5,"Item No.","@@"&amp;$D326,"Location Code","@@"&amp;$E$6)</t>
  </si>
  <si>
    <t>=NL("Sum","Item Ledger Entry","Quantity","Entry Type","Purchase","Entry No.",I326,"Location Code","@@"&amp;$E$6)</t>
  </si>
  <si>
    <t>=NL("Sum","Item Ledger Entry","Quantity","Entry Type","Sale","Entry No.",I326,"Location Code","@@"&amp;$E$6)</t>
  </si>
  <si>
    <t>=NL("Sum","Item Ledger Entry","Quantity","Entry Type","Positive Adjmt.|Negative Adjmt.","Entry No.",I326,"Location Code","@@"&amp;$E$6)</t>
  </si>
  <si>
    <t>=NL("Sum","Item Ledger Entry","Quantity","Entry Type","Transfer","Entry No.",I326,"Location Code","@@"&amp;$E$6)</t>
  </si>
  <si>
    <t>=NL("Sum","Item Ledger Entry","Quantity","Entry Type","Consumption","Entry No.",I326,"Location Code","@@"&amp;$E$6)</t>
  </si>
  <si>
    <t>=NL("Sum","Item Ledger Entry","Quantity","Entry Type","Output","Entry No.",I326,"Location Code","@@"&amp;$E$6)</t>
  </si>
  <si>
    <t>=NL("Sum","Item Ledger Entry","Quantity","Entry Type","Purchase","Entry No.",I331,"Location Code","@@"&amp;$E$6)</t>
  </si>
  <si>
    <t>=NL("Sum","Item Ledger Entry","Quantity","Entry Type","Sale","Entry No.",I331,"Location Code","@@"&amp;$E$6)</t>
  </si>
  <si>
    <t>=NL("Sum","Item Ledger Entry","Quantity","Entry Type","Positive Adjmt.|Negative Adjmt.","Entry No.",I331,"Location Code","@@"&amp;$E$6)</t>
  </si>
  <si>
    <t>=NL("Sum","Item Ledger Entry","Quantity","Entry Type","Transfer","Entry No.",I331,"Location Code","@@"&amp;$E$6)</t>
  </si>
  <si>
    <t>=NL("Sum","Item Ledger Entry","Quantity","Entry Type","Consumption","Entry No.",I331,"Location Code","@@"&amp;$E$6)</t>
  </si>
  <si>
    <t>=NL("Sum","Item Ledger Entry","Quantity","Entry Type","Output","Entry No.",I331,"Location Code","@@"&amp;$E$6)</t>
  </si>
  <si>
    <t>=E335</t>
  </si>
  <si>
    <t>=NL("First","Item","Description","No.",$E335)</t>
  </si>
  <si>
    <t>=NL("First","Item","Base Unit of Measure","No.",$E335)</t>
  </si>
  <si>
    <t>=NL("Sum","Item Ledger Entry","Quantity","Entry Type","Purchase","Entry No.",I336,"Location Code","@@"&amp;$E$6)</t>
  </si>
  <si>
    <t>=NL("Sum","Item Ledger Entry","Quantity","Entry Type","Sale","Entry No.",I336,"Location Code","@@"&amp;$E$6)</t>
  </si>
  <si>
    <t>=NL("Sum","Item Ledger Entry","Quantity","Entry Type","Positive Adjmt.|Negative Adjmt.","Entry No.",I336,"Location Code","@@"&amp;$E$6)</t>
  </si>
  <si>
    <t>=NL("Sum","Item Ledger Entry","Quantity","Entry Type","Transfer","Entry No.",I336,"Location Code","@@"&amp;$E$6)</t>
  </si>
  <si>
    <t>=NL("Sum","Item Ledger Entry","Quantity","Entry Type","Consumption","Entry No.",I336,"Location Code","@@"&amp;$E$6)</t>
  </si>
  <si>
    <t>=NL("Sum","Item Ledger Entry","Quantity","Entry Type","Output","Entry No.",I336,"Location Code","@@"&amp;$E$6)</t>
  </si>
  <si>
    <t>=NL("Sum","Item Ledger Entry","Quantity","Entry Type","Purchase","Entry No.",I341,"Location Code","@@"&amp;$E$6)</t>
  </si>
  <si>
    <t>=NL("Sum","Item Ledger Entry","Quantity","Entry Type","Sale","Entry No.",I341,"Location Code","@@"&amp;$E$6)</t>
  </si>
  <si>
    <t>=NL("Sum","Item Ledger Entry","Quantity","Entry Type","Positive Adjmt.|Negative Adjmt.","Entry No.",I341,"Location Code","@@"&amp;$E$6)</t>
  </si>
  <si>
    <t>=NL("Sum","Item Ledger Entry","Quantity","Entry Type","Transfer","Entry No.",I341,"Location Code","@@"&amp;$E$6)</t>
  </si>
  <si>
    <t>=NL("Sum","Item Ledger Entry","Quantity","Entry Type","Consumption","Entry No.",I341,"Location Code","@@"&amp;$E$6)</t>
  </si>
  <si>
    <t>=NL("Sum","Item Ledger Entry","Quantity","Entry Type","Output","Entry No.",I341,"Location Code","@@"&amp;$E$6)</t>
  </si>
  <si>
    <t>=NL("Sum","Item Ledger Entry","Quantity","Entry Type","Purchase","Entry No.",I345,"Location Code","@@"&amp;$E$6)</t>
  </si>
  <si>
    <t>=NL("Sum","Item Ledger Entry","Quantity","Entry Type","Sale","Entry No.",I345,"Location Code","@@"&amp;$E$6)</t>
  </si>
  <si>
    <t>=NL("Sum","Item Ledger Entry","Quantity","Entry Type","Positive Adjmt.|Negative Adjmt.","Entry No.",I345,"Location Code","@@"&amp;$E$6)</t>
  </si>
  <si>
    <t>=NL("Sum","Item Ledger Entry","Quantity","Entry Type","Transfer","Entry No.",I345,"Location Code","@@"&amp;$E$6)</t>
  </si>
  <si>
    <t>=NL("Sum","Item Ledger Entry","Quantity","Entry Type","Consumption","Entry No.",I345,"Location Code","@@"&amp;$E$6)</t>
  </si>
  <si>
    <t>=NL("Sum","Item Ledger Entry","Quantity","Entry Type","Output","Entry No.",I345,"Location Code","@@"&amp;$E$6)</t>
  </si>
  <si>
    <t>=NL("Sum","Item Ledger Entry","Quantity","Entry Type","Purchase","Entry No.",I346,"Location Code","@@"&amp;$E$6)</t>
  </si>
  <si>
    <t>=NL("Sum","Item Ledger Entry","Quantity","Entry Type","Sale","Entry No.",I346,"Location Code","@@"&amp;$E$6)</t>
  </si>
  <si>
    <t>=NL("Sum","Item Ledger Entry","Quantity","Entry Type","Positive Adjmt.|Negative Adjmt.","Entry No.",I346,"Location Code","@@"&amp;$E$6)</t>
  </si>
  <si>
    <t>=NL("Sum","Item Ledger Entry","Quantity","Entry Type","Transfer","Entry No.",I346,"Location Code","@@"&amp;$E$6)</t>
  </si>
  <si>
    <t>=NL("Sum","Item Ledger Entry","Quantity","Entry Type","Consumption","Entry No.",I346,"Location Code","@@"&amp;$E$6)</t>
  </si>
  <si>
    <t>=NL("Sum","Item Ledger Entry","Quantity","Entry Type","Output","Entry No.",I346,"Location Code","@@"&amp;$E$6)</t>
  </si>
  <si>
    <t>=NL("Sum","Item Ledger Entry","Quantity","Entry Type","Purchase","Entry No.",I351,"Location Code","@@"&amp;$E$6)</t>
  </si>
  <si>
    <t>=NL("Sum","Item Ledger Entry","Quantity","Entry Type","Sale","Entry No.",I351,"Location Code","@@"&amp;$E$6)</t>
  </si>
  <si>
    <t>=NL("Sum","Item Ledger Entry","Quantity","Entry Type","Positive Adjmt.|Negative Adjmt.","Entry No.",I351,"Location Code","@@"&amp;$E$6)</t>
  </si>
  <si>
    <t>=NL("Sum","Item Ledger Entry","Quantity","Entry Type","Transfer","Entry No.",I351,"Location Code","@@"&amp;$E$6)</t>
  </si>
  <si>
    <t>=NL("Sum","Item Ledger Entry","Quantity","Entry Type","Consumption","Entry No.",I351,"Location Code","@@"&amp;$E$6)</t>
  </si>
  <si>
    <t>=NL("Sum","Item Ledger Entry","Quantity","Entry Type","Output","Entry No.",I351,"Location Code","@@"&amp;$E$6)</t>
  </si>
  <si>
    <t>=E354</t>
  </si>
  <si>
    <t>=NL("First","Item","Description","No.",$E354)</t>
  </si>
  <si>
    <t>=NL("First","Item","Base Unit of Measure","No.",$E354)</t>
  </si>
  <si>
    <t>=NL("Rows","Item Ledger Entry",,"+Posting Date",$L$5,"Item No.","@@"&amp;$D355,"Location Code","@@"&amp;$E$6)</t>
  </si>
  <si>
    <t>=NL("Sum","Item Ledger Entry","Quantity","Entry Type","Purchase","Entry No.",I355,"Location Code","@@"&amp;$E$6)</t>
  </si>
  <si>
    <t>=NL("Sum","Item Ledger Entry","Quantity","Entry Type","Sale","Entry No.",I355,"Location Code","@@"&amp;$E$6)</t>
  </si>
  <si>
    <t>=NL("Sum","Item Ledger Entry","Quantity","Entry Type","Positive Adjmt.|Negative Adjmt.","Entry No.",I355,"Location Code","@@"&amp;$E$6)</t>
  </si>
  <si>
    <t>=NL("Sum","Item Ledger Entry","Quantity","Entry Type","Transfer","Entry No.",I355,"Location Code","@@"&amp;$E$6)</t>
  </si>
  <si>
    <t>=NL("Sum","Item Ledger Entry","Quantity","Entry Type","Consumption","Entry No.",I355,"Location Code","@@"&amp;$E$6)</t>
  </si>
  <si>
    <t>=NL("Sum","Item Ledger Entry","Quantity","Entry Type","Output","Entry No.",I355,"Location Code","@@"&amp;$E$6)</t>
  </si>
  <si>
    <t>=D358</t>
  </si>
  <si>
    <t>=NF($G359,"Posting Date")</t>
  </si>
  <si>
    <t>=NF($G359,"Entry No.")</t>
  </si>
  <si>
    <t>=NF(G359,"Source Type")</t>
  </si>
  <si>
    <t>=NF($G359,"Source No.")</t>
  </si>
  <si>
    <t>=IF($J359="Customer",NL("first",$J359,"Name","No.","@@"&amp;$K359),"")</t>
  </si>
  <si>
    <t>=IF(J359="vendor",NL("first",J359,"Name","No.","@@"&amp;K359),"")</t>
  </si>
  <si>
    <t>=IF($J359="Item",NL("first",$J359,"Description","No.","@@"&amp;$K359),"")</t>
  </si>
  <si>
    <t>=NL("Sum","Item Ledger Entry","Quantity","Entry Type","Purchase","Entry No.",I359,"Location Code","@@"&amp;$E$6)</t>
  </si>
  <si>
    <t>=NL("Sum","Item Ledger Entry","Quantity","Entry Type","Sale","Entry No.",I359,"Location Code","@@"&amp;$E$6)</t>
  </si>
  <si>
    <t>=NL("Sum","Item Ledger Entry","Quantity","Entry Type","Positive Adjmt.|Negative Adjmt.","Entry No.",I359,"Location Code","@@"&amp;$E$6)</t>
  </si>
  <si>
    <t>=NL("Sum","Item Ledger Entry","Quantity","Entry Type","Transfer","Entry No.",I359,"Location Code","@@"&amp;$E$6)</t>
  </si>
  <si>
    <t>=NL("Sum","Item Ledger Entry","Quantity","Entry Type","Consumption","Entry No.",I359,"Location Code","@@"&amp;$E$6)</t>
  </si>
  <si>
    <t>=NL("Sum","Item Ledger Entry","Quantity","Entry Type","Output","Entry No.",I359,"Location Code","@@"&amp;$E$6)</t>
  </si>
  <si>
    <t>=D359</t>
  </si>
  <si>
    <t>=NF($G360,"Posting Date")</t>
  </si>
  <si>
    <t>=NF($G360,"Entry No.")</t>
  </si>
  <si>
    <t>=NF(G360,"Source Type")</t>
  </si>
  <si>
    <t>=NF($G360,"Source No.")</t>
  </si>
  <si>
    <t>=IF($J360="Customer",NL("first",$J360,"Name","No.","@@"&amp;$K360),"")</t>
  </si>
  <si>
    <t>=IF(J360="vendor",NL("first",J360,"Name","No.","@@"&amp;K360),"")</t>
  </si>
  <si>
    <t>=IF($J360="Item",NL("first",$J360,"Description","No.","@@"&amp;$K360),"")</t>
  </si>
  <si>
    <t>=NL("Sum","Item Ledger Entry","Quantity","Entry Type","Purchase","Entry No.",I360,"Location Code","@@"&amp;$E$6)</t>
  </si>
  <si>
    <t>=NL("Sum","Item Ledger Entry","Quantity","Entry Type","Sale","Entry No.",I360,"Location Code","@@"&amp;$E$6)</t>
  </si>
  <si>
    <t>=NL("Sum","Item Ledger Entry","Quantity","Entry Type","Positive Adjmt.|Negative Adjmt.","Entry No.",I360,"Location Code","@@"&amp;$E$6)</t>
  </si>
  <si>
    <t>=NL("Sum","Item Ledger Entry","Quantity","Entry Type","Transfer","Entry No.",I360,"Location Code","@@"&amp;$E$6)</t>
  </si>
  <si>
    <t>=NL("Sum","Item Ledger Entry","Quantity","Entry Type","Consumption","Entry No.",I360,"Location Code","@@"&amp;$E$6)</t>
  </si>
  <si>
    <t>=NL("Sum","Item Ledger Entry","Quantity","Entry Type","Output","Entry No.",I360,"Location Code","@@"&amp;$E$6)</t>
  </si>
  <si>
    <t>=NL("Sum","Item Ledger Entry","Quantity","Entry Type","Purchase","Entry No.",I365,"Location Code","@@"&amp;$E$6)</t>
  </si>
  <si>
    <t>=NL("Sum","Item Ledger Entry","Quantity","Entry Type","Sale","Entry No.",I365,"Location Code","@@"&amp;$E$6)</t>
  </si>
  <si>
    <t>=NL("Sum","Item Ledger Entry","Quantity","Entry Type","Positive Adjmt.|Negative Adjmt.","Entry No.",I365,"Location Code","@@"&amp;$E$6)</t>
  </si>
  <si>
    <t>=NL("Sum","Item Ledger Entry","Quantity","Entry Type","Transfer","Entry No.",I365,"Location Code","@@"&amp;$E$6)</t>
  </si>
  <si>
    <t>=NL("Sum","Item Ledger Entry","Quantity","Entry Type","Consumption","Entry No.",I365,"Location Code","@@"&amp;$E$6)</t>
  </si>
  <si>
    <t>=NL("Sum","Item Ledger Entry","Quantity","Entry Type","Output","Entry No.",I365,"Location Code","@@"&amp;$E$6)</t>
  </si>
  <si>
    <t>=NL("Sum","Item Ledger Entry","Quantity","Entry Type","Purchase","Entry No.",I370,"Location Code","@@"&amp;$E$6)</t>
  </si>
  <si>
    <t>=NL("Sum","Item Ledger Entry","Quantity","Entry Type","Sale","Entry No.",I370,"Location Code","@@"&amp;$E$6)</t>
  </si>
  <si>
    <t>=NL("Sum","Item Ledger Entry","Quantity","Entry Type","Positive Adjmt.|Negative Adjmt.","Entry No.",I370,"Location Code","@@"&amp;$E$6)</t>
  </si>
  <si>
    <t>=NL("Sum","Item Ledger Entry","Quantity","Entry Type","Transfer","Entry No.",I370,"Location Code","@@"&amp;$E$6)</t>
  </si>
  <si>
    <t>=NL("Sum","Item Ledger Entry","Quantity","Entry Type","Consumption","Entry No.",I370,"Location Code","@@"&amp;$E$6)</t>
  </si>
  <si>
    <t>=NL("Sum","Item Ledger Entry","Quantity","Entry Type","Output","Entry No.",I370,"Location Code","@@"&amp;$E$6)</t>
  </si>
  <si>
    <t>=NL("Sum","Item Ledger Entry","Quantity","Entry Type","Purchase","Entry No.",I379,"Location Code","@@"&amp;$E$6)</t>
  </si>
  <si>
    <t>=NL("Sum","Item Ledger Entry","Quantity","Entry Type","Sale","Entry No.",I379,"Location Code","@@"&amp;$E$6)</t>
  </si>
  <si>
    <t>=NL("Sum","Item Ledger Entry","Quantity","Entry Type","Positive Adjmt.|Negative Adjmt.","Entry No.",I379,"Location Code","@@"&amp;$E$6)</t>
  </si>
  <si>
    <t>=NL("Sum","Item Ledger Entry","Quantity","Entry Type","Transfer","Entry No.",I379,"Location Code","@@"&amp;$E$6)</t>
  </si>
  <si>
    <t>=NL("Sum","Item Ledger Entry","Quantity","Entry Type","Consumption","Entry No.",I379,"Location Code","@@"&amp;$E$6)</t>
  </si>
  <si>
    <t>=NL("Sum","Item Ledger Entry","Quantity","Entry Type","Output","Entry No.",I379,"Location Code","@@"&amp;$E$6)</t>
  </si>
  <si>
    <t>=NL("Sum","Item Ledger Entry","Quantity","Entry Type","Purchase","Entry No.",I393,"Location Code","@@"&amp;$E$6)</t>
  </si>
  <si>
    <t>=NL("Sum","Item Ledger Entry","Quantity","Entry Type","Sale","Entry No.",I393,"Location Code","@@"&amp;$E$6)</t>
  </si>
  <si>
    <t>=NL("Sum","Item Ledger Entry","Quantity","Entry Type","Positive Adjmt.|Negative Adjmt.","Entry No.",I393,"Location Code","@@"&amp;$E$6)</t>
  </si>
  <si>
    <t>=NL("Sum","Item Ledger Entry","Quantity","Entry Type","Transfer","Entry No.",I393,"Location Code","@@"&amp;$E$6)</t>
  </si>
  <si>
    <t>=NL("Sum","Item Ledger Entry","Quantity","Entry Type","Consumption","Entry No.",I393,"Location Code","@@"&amp;$E$6)</t>
  </si>
  <si>
    <t>=NL("Sum","Item Ledger Entry","Quantity","Entry Type","Output","Entry No.",I393,"Location Code","@@"&amp;$E$6)</t>
  </si>
  <si>
    <t>=NL("Sum","Item Ledger Entry","Quantity","Entry Type","Purchase","Entry No.",I394,"Location Code","@@"&amp;$E$6)</t>
  </si>
  <si>
    <t>=NL("Sum","Item Ledger Entry","Quantity","Entry Type","Sale","Entry No.",I394,"Location Code","@@"&amp;$E$6)</t>
  </si>
  <si>
    <t>=NL("Sum","Item Ledger Entry","Quantity","Entry Type","Positive Adjmt.|Negative Adjmt.","Entry No.",I394,"Location Code","@@"&amp;$E$6)</t>
  </si>
  <si>
    <t>=NL("Sum","Item Ledger Entry","Quantity","Entry Type","Transfer","Entry No.",I394,"Location Code","@@"&amp;$E$6)</t>
  </si>
  <si>
    <t>=NL("Sum","Item Ledger Entry","Quantity","Entry Type","Consumption","Entry No.",I394,"Location Code","@@"&amp;$E$6)</t>
  </si>
  <si>
    <t>=NL("Sum","Item Ledger Entry","Quantity","Entry Type","Output","Entry No.",I394,"Location Code","@@"&amp;$E$6)</t>
  </si>
  <si>
    <t>=E397</t>
  </si>
  <si>
    <t>=NL("First","Item","Description","No.",$E397)</t>
  </si>
  <si>
    <t>=NL("First","Item","Base Unit of Measure","No.",$E397)</t>
  </si>
  <si>
    <t>=NL("Rows","Item Ledger Entry",,"+Posting Date",$L$5,"Item No.","@@"&amp;$D398,"Location Code","@@"&amp;$E$6)</t>
  </si>
  <si>
    <t>=NL("Sum","Item Ledger Entry","Quantity","Entry Type","Purchase","Entry No.",I398,"Location Code","@@"&amp;$E$6)</t>
  </si>
  <si>
    <t>=NL("Sum","Item Ledger Entry","Quantity","Entry Type","Sale","Entry No.",I398,"Location Code","@@"&amp;$E$6)</t>
  </si>
  <si>
    <t>=NL("Sum","Item Ledger Entry","Quantity","Entry Type","Positive Adjmt.|Negative Adjmt.","Entry No.",I398,"Location Code","@@"&amp;$E$6)</t>
  </si>
  <si>
    <t>=NL("Sum","Item Ledger Entry","Quantity","Entry Type","Transfer","Entry No.",I398,"Location Code","@@"&amp;$E$6)</t>
  </si>
  <si>
    <t>=NL("Sum","Item Ledger Entry","Quantity","Entry Type","Consumption","Entry No.",I398,"Location Code","@@"&amp;$E$6)</t>
  </si>
  <si>
    <t>=NL("Sum","Item Ledger Entry","Quantity","Entry Type","Output","Entry No.",I398,"Location Code","@@"&amp;$E$6)</t>
  </si>
  <si>
    <t>=E401</t>
  </si>
  <si>
    <t>=NL("First","Item","Description","No.",$E401)</t>
  </si>
  <si>
    <t>=NL("First","Item","Base Unit of Measure","No.",$E401)</t>
  </si>
  <si>
    <t>=NL("Rows","Item Ledger Entry",,"+Posting Date",$L$5,"Item No.","@@"&amp;$D402,"Location Code","@@"&amp;$E$6)</t>
  </si>
  <si>
    <t>=NL("Sum","Item Ledger Entry","Quantity","Entry Type","Purchase","Entry No.",I402,"Location Code","@@"&amp;$E$6)</t>
  </si>
  <si>
    <t>=NL("Sum","Item Ledger Entry","Quantity","Entry Type","Sale","Entry No.",I402,"Location Code","@@"&amp;$E$6)</t>
  </si>
  <si>
    <t>=NL("Sum","Item Ledger Entry","Quantity","Entry Type","Positive Adjmt.|Negative Adjmt.","Entry No.",I402,"Location Code","@@"&amp;$E$6)</t>
  </si>
  <si>
    <t>=NL("Sum","Item Ledger Entry","Quantity","Entry Type","Transfer","Entry No.",I402,"Location Code","@@"&amp;$E$6)</t>
  </si>
  <si>
    <t>=NL("Sum","Item Ledger Entry","Quantity","Entry Type","Consumption","Entry No.",I402,"Location Code","@@"&amp;$E$6)</t>
  </si>
  <si>
    <t>=NL("Sum","Item Ledger Entry","Quantity","Entry Type","Output","Entry No.",I402,"Location Code","@@"&amp;$E$6)</t>
  </si>
  <si>
    <t>="AD-WHSE2"</t>
  </si>
  <si>
    <t>=(SUBTOTAL(9,O78:O79))</t>
  </si>
  <si>
    <t>=(SUBTOTAL(9,P78:P79))</t>
  </si>
  <si>
    <t>=(SUBTOTAL(9,Q78:Q79))</t>
  </si>
  <si>
    <t>=(SUBTOTAL(9,R78:R79))</t>
  </si>
  <si>
    <t>=(SUBTOTAL(9,S78:S79))</t>
  </si>
  <si>
    <t>=(SUBTOTAL(9,T78:T79))</t>
  </si>
  <si>
    <t>=SUBTOTAL(9,O78:T79)</t>
  </si>
  <si>
    <t>=E94</t>
  </si>
  <si>
    <t>=NL("First","Item","Description","No.",$E94)</t>
  </si>
  <si>
    <t>=NL("First","Item","Base Unit of Measure","No.",$E94)</t>
  </si>
  <si>
    <t>=D94</t>
  </si>
  <si>
    <t>=NL("Rows","Item Ledger Entry",,"+Posting Date",$L$5,"Item No.","@@"&amp;$D95,"Location Code","@@"&amp;$E$6)</t>
  </si>
  <si>
    <t>=NF($G95,"Posting Date")</t>
  </si>
  <si>
    <t>=NF($G95,"Entry No.")</t>
  </si>
  <si>
    <t>=NF(G95,"Source Type")</t>
  </si>
  <si>
    <t>=NF($G95,"Source No.")</t>
  </si>
  <si>
    <t>=IF($J95="Customer",NL("first",$J95,"Name","No.","@@"&amp;$K95),"")</t>
  </si>
  <si>
    <t>=IF(J95="vendor",NL("first",J95,"Name","No.","@@"&amp;K95),"")</t>
  </si>
  <si>
    <t>=IF($J95="Item",NL("first",$J95,"Description","No.","@@"&amp;$K95),"")</t>
  </si>
  <si>
    <t>=NL("Sum","Item Ledger Entry","Quantity","Entry Type","Purchase","Entry No.",I95,"Location Code","@@"&amp;$E$6)</t>
  </si>
  <si>
    <t>=NL("Sum","Item Ledger Entry","Quantity","Entry Type","Sale","Entry No.",I95,"Location Code","@@"&amp;$E$6)</t>
  </si>
  <si>
    <t>=NL("Sum","Item Ledger Entry","Quantity","Entry Type","Positive Adjmt.|Negative Adjmt.","Entry No.",I95,"Location Code","@@"&amp;$E$6)</t>
  </si>
  <si>
    <t>=NL("Sum","Item Ledger Entry","Quantity","Entry Type","Transfer","Entry No.",I95,"Location Code","@@"&amp;$E$6)</t>
  </si>
  <si>
    <t>=NL("Sum","Item Ledger Entry","Quantity","Entry Type","Consumption","Entry No.",I95,"Location Code","@@"&amp;$E$6)</t>
  </si>
  <si>
    <t>=NL("Sum","Item Ledger Entry","Quantity","Entry Type","Output","Entry No.",I95,"Location Code","@@"&amp;$E$6)</t>
  </si>
  <si>
    <t>=E111</t>
  </si>
  <si>
    <t>=NL("First","Item","Description","No.",$E111)</t>
  </si>
  <si>
    <t>=NL("First","Item","Base Unit of Measure","No.",$E111)</t>
  </si>
  <si>
    <t>=(SUBTOTAL(9,O112:O113))</t>
  </si>
  <si>
    <t>=(SUBTOTAL(9,P112:P113))</t>
  </si>
  <si>
    <t>=(SUBTOTAL(9,Q112:Q113))</t>
  </si>
  <si>
    <t>=(SUBTOTAL(9,R112:R113))</t>
  </si>
  <si>
    <t>=(SUBTOTAL(9,S112:S113))</t>
  </si>
  <si>
    <t>=(SUBTOTAL(9,T112:T113))</t>
  </si>
  <si>
    <t>=SUBTOTAL(9,O112:T113)</t>
  </si>
  <si>
    <t>=NL("Rows","Item Ledger Entry",,"+Posting Date",$L$5,"Item No.","@@"&amp;$D112,"Location Code","@@"&amp;$E$6)</t>
  </si>
  <si>
    <t>=E136</t>
  </si>
  <si>
    <t>=NL("First","Item","Description","No.",$E136)</t>
  </si>
  <si>
    <t>=NL("First","Item","Base Unit of Measure","No.",$E136)</t>
  </si>
  <si>
    <t>=NL("Rows","Item Ledger Entry",,"+Posting Date",$L$5,"Item No.","@@"&amp;$D137,"Location Code","@@"&amp;$E$6)</t>
  </si>
  <si>
    <t>=NL("Sum","Item Ledger Entry","Quantity","Entry Type","Purchase","Entry No.",I145,"Location Code","@@"&amp;$E$6)</t>
  </si>
  <si>
    <t>=NL("Sum","Item Ledger Entry","Quantity","Entry Type","Sale","Entry No.",I145,"Location Code","@@"&amp;$E$6)</t>
  </si>
  <si>
    <t>=NL("Sum","Item Ledger Entry","Quantity","Entry Type","Positive Adjmt.|Negative Adjmt.","Entry No.",I145,"Location Code","@@"&amp;$E$6)</t>
  </si>
  <si>
    <t>=NL("Sum","Item Ledger Entry","Quantity","Entry Type","Transfer","Entry No.",I145,"Location Code","@@"&amp;$E$6)</t>
  </si>
  <si>
    <t>=NL("Sum","Item Ledger Entry","Quantity","Entry Type","Consumption","Entry No.",I145,"Location Code","@@"&amp;$E$6)</t>
  </si>
  <si>
    <t>=NL("Sum","Item Ledger Entry","Quantity","Entry Type","Output","Entry No.",I145,"Location Code","@@"&amp;$E$6)</t>
  </si>
  <si>
    <t>=E148</t>
  </si>
  <si>
    <t>=NL("First","Item","Description","No.",$E148)</t>
  </si>
  <si>
    <t>=NL("First","Item","Base Unit of Measure","No.",$E148)</t>
  </si>
  <si>
    <t>=NL("Rows","Item Ledger Entry",,"+Posting Date",$L$5,"Item No.","@@"&amp;$D149,"Location Code","@@"&amp;$E$6)</t>
  </si>
  <si>
    <t>=NL("Sum","Item Ledger Entry","Quantity","Entry Type","Purchase","Entry No.",I171,"Location Code","@@"&amp;$E$6)</t>
  </si>
  <si>
    <t>=NL("Sum","Item Ledger Entry","Quantity","Entry Type","Sale","Entry No.",I171,"Location Code","@@"&amp;$E$6)</t>
  </si>
  <si>
    <t>=NL("Sum","Item Ledger Entry","Quantity","Entry Type","Positive Adjmt.|Negative Adjmt.","Entry No.",I171,"Location Code","@@"&amp;$E$6)</t>
  </si>
  <si>
    <t>=NL("Sum","Item Ledger Entry","Quantity","Entry Type","Transfer","Entry No.",I171,"Location Code","@@"&amp;$E$6)</t>
  </si>
  <si>
    <t>=NL("Sum","Item Ledger Entry","Quantity","Entry Type","Consumption","Entry No.",I171,"Location Code","@@"&amp;$E$6)</t>
  </si>
  <si>
    <t>=NL("Sum","Item Ledger Entry","Quantity","Entry Type","Output","Entry No.",I171,"Location Code","@@"&amp;$E$6)</t>
  </si>
  <si>
    <t>=E174</t>
  </si>
  <si>
    <t>=NL("First","Item","Description","No.",$E174)</t>
  </si>
  <si>
    <t>=NL("First","Item","Base Unit of Measure","No.",$E174)</t>
  </si>
  <si>
    <t>=NL("Rows","Item Ledger Entry",,"+Posting Date",$L$5,"Item No.","@@"&amp;$D175,"Location Code","@@"&amp;$E$6)</t>
  </si>
  <si>
    <t>=NL("Sum","Item Ledger Entry","Quantity","Entry Type","Purchase","Entry No.",I176,"Location Code","@@"&amp;$E$6)</t>
  </si>
  <si>
    <t>=NL("Sum","Item Ledger Entry","Quantity","Entry Type","Sale","Entry No.",I176,"Location Code","@@"&amp;$E$6)</t>
  </si>
  <si>
    <t>=NL("Sum","Item Ledger Entry","Quantity","Entry Type","Positive Adjmt.|Negative Adjmt.","Entry No.",I176,"Location Code","@@"&amp;$E$6)</t>
  </si>
  <si>
    <t>=NL("Sum","Item Ledger Entry","Quantity","Entry Type","Transfer","Entry No.",I176,"Location Code","@@"&amp;$E$6)</t>
  </si>
  <si>
    <t>=NL("Sum","Item Ledger Entry","Quantity","Entry Type","Consumption","Entry No.",I176,"Location Code","@@"&amp;$E$6)</t>
  </si>
  <si>
    <t>=NL("Sum","Item Ledger Entry","Quantity","Entry Type","Output","Entry No.",I176,"Location Code","@@"&amp;$E$6)</t>
  </si>
  <si>
    <t>=NL("Sum","Item Ledger Entry","Quantity","Entry Type","Purchase","Entry No.",I186,"Location Code","@@"&amp;$E$6)</t>
  </si>
  <si>
    <t>=NL("Sum","Item Ledger Entry","Quantity","Entry Type","Sale","Entry No.",I186,"Location Code","@@"&amp;$E$6)</t>
  </si>
  <si>
    <t>=NL("Sum","Item Ledger Entry","Quantity","Entry Type","Positive Adjmt.|Negative Adjmt.","Entry No.",I186,"Location Code","@@"&amp;$E$6)</t>
  </si>
  <si>
    <t>=NL("Sum","Item Ledger Entry","Quantity","Entry Type","Transfer","Entry No.",I186,"Location Code","@@"&amp;$E$6)</t>
  </si>
  <si>
    <t>=NL("Sum","Item Ledger Entry","Quantity","Entry Type","Consumption","Entry No.",I186,"Location Code","@@"&amp;$E$6)</t>
  </si>
  <si>
    <t>=NL("Sum","Item Ledger Entry","Quantity","Entry Type","Output","Entry No.",I186,"Location Code","@@"&amp;$E$6)</t>
  </si>
  <si>
    <t>=NL("Sum","Item Ledger Entry","Quantity","Entry Type","Purchase","Entry No.",I192,"Location Code","@@"&amp;$E$6)</t>
  </si>
  <si>
    <t>=NL("Sum","Item Ledger Entry","Quantity","Entry Type","Sale","Entry No.",I192,"Location Code","@@"&amp;$E$6)</t>
  </si>
  <si>
    <t>=NL("Sum","Item Ledger Entry","Quantity","Entry Type","Positive Adjmt.|Negative Adjmt.","Entry No.",I192,"Location Code","@@"&amp;$E$6)</t>
  </si>
  <si>
    <t>=NL("Sum","Item Ledger Entry","Quantity","Entry Type","Transfer","Entry No.",I192,"Location Code","@@"&amp;$E$6)</t>
  </si>
  <si>
    <t>=NL("Sum","Item Ledger Entry","Quantity","Entry Type","Consumption","Entry No.",I192,"Location Code","@@"&amp;$E$6)</t>
  </si>
  <si>
    <t>=NL("Sum","Item Ledger Entry","Quantity","Entry Type","Output","Entry No.",I192,"Location Code","@@"&amp;$E$6)</t>
  </si>
  <si>
    <t>=NL("Sum","Item Ledger Entry","Quantity","Entry Type","Purchase","Entry No.",I193,"Location Code","@@"&amp;$E$6)</t>
  </si>
  <si>
    <t>=NL("Sum","Item Ledger Entry","Quantity","Entry Type","Sale","Entry No.",I193,"Location Code","@@"&amp;$E$6)</t>
  </si>
  <si>
    <t>=NL("Sum","Item Ledger Entry","Quantity","Entry Type","Positive Adjmt.|Negative Adjmt.","Entry No.",I193,"Location Code","@@"&amp;$E$6)</t>
  </si>
  <si>
    <t>=NL("Sum","Item Ledger Entry","Quantity","Entry Type","Transfer","Entry No.",I193,"Location Code","@@"&amp;$E$6)</t>
  </si>
  <si>
    <t>=NL("Sum","Item Ledger Entry","Quantity","Entry Type","Consumption","Entry No.",I193,"Location Code","@@"&amp;$E$6)</t>
  </si>
  <si>
    <t>=NL("Sum","Item Ledger Entry","Quantity","Entry Type","Output","Entry No.",I193,"Location Code","@@"&amp;$E$6)</t>
  </si>
  <si>
    <t>=NL("Sum","Item Ledger Entry","Quantity","Entry Type","Purchase","Entry No.",I197,"Location Code","@@"&amp;$E$6)</t>
  </si>
  <si>
    <t>=NL("Sum","Item Ledger Entry","Quantity","Entry Type","Sale","Entry No.",I197,"Location Code","@@"&amp;$E$6)</t>
  </si>
  <si>
    <t>=NL("Sum","Item Ledger Entry","Quantity","Entry Type","Positive Adjmt.|Negative Adjmt.","Entry No.",I197,"Location Code","@@"&amp;$E$6)</t>
  </si>
  <si>
    <t>=NL("Sum","Item Ledger Entry","Quantity","Entry Type","Transfer","Entry No.",I197,"Location Code","@@"&amp;$E$6)</t>
  </si>
  <si>
    <t>=NL("Sum","Item Ledger Entry","Quantity","Entry Type","Consumption","Entry No.",I197,"Location Code","@@"&amp;$E$6)</t>
  </si>
  <si>
    <t>=NL("Sum","Item Ledger Entry","Quantity","Entry Type","Output","Entry No.",I197,"Location Code","@@"&amp;$E$6)</t>
  </si>
  <si>
    <t>=E200</t>
  </si>
  <si>
    <t>=NL("First","Item","Description","No.",$E200)</t>
  </si>
  <si>
    <t>=NL("First","Item","Base Unit of Measure","No.",$E200)</t>
  </si>
  <si>
    <t>=NL("Sum","Item Ledger Entry","Quantity","Entry Type","Purchase","Entry No.",I201,"Location Code","@@"&amp;$E$6)</t>
  </si>
  <si>
    <t>=NL("Sum","Item Ledger Entry","Quantity","Entry Type","Sale","Entry No.",I201,"Location Code","@@"&amp;$E$6)</t>
  </si>
  <si>
    <t>=NL("Sum","Item Ledger Entry","Quantity","Entry Type","Positive Adjmt.|Negative Adjmt.","Entry No.",I201,"Location Code","@@"&amp;$E$6)</t>
  </si>
  <si>
    <t>=NL("Sum","Item Ledger Entry","Quantity","Entry Type","Transfer","Entry No.",I201,"Location Code","@@"&amp;$E$6)</t>
  </si>
  <si>
    <t>=NL("Sum","Item Ledger Entry","Quantity","Entry Type","Consumption","Entry No.",I201,"Location Code","@@"&amp;$E$6)</t>
  </si>
  <si>
    <t>=NL("Sum","Item Ledger Entry","Quantity","Entry Type","Output","Entry No.",I201,"Location Code","@@"&amp;$E$6)</t>
  </si>
  <si>
    <t>=NL("Rows","Item Ledger Entry",,"+Posting Date",$L$5,"Item No.","@@"&amp;$D205,"Location Code","@@"&amp;$E$6)</t>
  </si>
  <si>
    <t>=NL("Sum","Item Ledger Entry","Quantity","Entry Type","Purchase","Entry No.",I205,"Location Code","@@"&amp;$E$6)</t>
  </si>
  <si>
    <t>=NL("Sum","Item Ledger Entry","Quantity","Entry Type","Sale","Entry No.",I205,"Location Code","@@"&amp;$E$6)</t>
  </si>
  <si>
    <t>=NL("Sum","Item Ledger Entry","Quantity","Entry Type","Positive Adjmt.|Negative Adjmt.","Entry No.",I205,"Location Code","@@"&amp;$E$6)</t>
  </si>
  <si>
    <t>=NL("Sum","Item Ledger Entry","Quantity","Entry Type","Transfer","Entry No.",I205,"Location Code","@@"&amp;$E$6)</t>
  </si>
  <si>
    <t>=NL("Sum","Item Ledger Entry","Quantity","Entry Type","Consumption","Entry No.",I205,"Location Code","@@"&amp;$E$6)</t>
  </si>
  <si>
    <t>=NL("Sum","Item Ledger Entry","Quantity","Entry Type","Output","Entry No.",I205,"Location Code","@@"&amp;$E$6)</t>
  </si>
  <si>
    <t>=E212</t>
  </si>
  <si>
    <t>=NL("First","Item","Description","No.",$E212)</t>
  </si>
  <si>
    <t>=NL("First","Item","Base Unit of Measure","No.",$E212)</t>
  </si>
  <si>
    <t>=NL("Sum","Item Ledger Entry","Quantity","Entry Type","Purchase","Entry No.",I218,"Location Code","@@"&amp;$E$6)</t>
  </si>
  <si>
    <t>=NL("Sum","Item Ledger Entry","Quantity","Entry Type","Sale","Entry No.",I218,"Location Code","@@"&amp;$E$6)</t>
  </si>
  <si>
    <t>=NL("Sum","Item Ledger Entry","Quantity","Entry Type","Positive Adjmt.|Negative Adjmt.","Entry No.",I218,"Location Code","@@"&amp;$E$6)</t>
  </si>
  <si>
    <t>=NL("Sum","Item Ledger Entry","Quantity","Entry Type","Transfer","Entry No.",I218,"Location Code","@@"&amp;$E$6)</t>
  </si>
  <si>
    <t>=NL("Sum","Item Ledger Entry","Quantity","Entry Type","Consumption","Entry No.",I218,"Location Code","@@"&amp;$E$6)</t>
  </si>
  <si>
    <t>=NL("Sum","Item Ledger Entry","Quantity","Entry Type","Output","Entry No.",I218,"Location Code","@@"&amp;$E$6)</t>
  </si>
  <si>
    <t>=E221</t>
  </si>
  <si>
    <t>=NL("First","Item","Description","No.",$E221)</t>
  </si>
  <si>
    <t>=NL("First","Item","Base Unit of Measure","No.",$E221)</t>
  </si>
  <si>
    <t>=D221</t>
  </si>
  <si>
    <t>=NL("Rows","Item Ledger Entry",,"+Posting Date",$L$5,"Item No.","@@"&amp;$D222,"Location Code","@@"&amp;$E$6)</t>
  </si>
  <si>
    <t>=NF($G222,"Posting Date")</t>
  </si>
  <si>
    <t>=NF($G222,"Entry No.")</t>
  </si>
  <si>
    <t>=NF(G222,"Source Type")</t>
  </si>
  <si>
    <t>=NF($G222,"Source No.")</t>
  </si>
  <si>
    <t>=IF($J222="Customer",NL("first",$J222,"Name","No.","@@"&amp;$K222),"")</t>
  </si>
  <si>
    <t>=IF(J222="vendor",NL("first",J222,"Name","No.","@@"&amp;K222),"")</t>
  </si>
  <si>
    <t>=IF($J222="Item",NL("first",$J222,"Description","No.","@@"&amp;$K222),"")</t>
  </si>
  <si>
    <t>=NL("Sum","Item Ledger Entry","Quantity","Entry Type","Purchase","Entry No.",I222,"Location Code","@@"&amp;$E$6)</t>
  </si>
  <si>
    <t>=NL("Sum","Item Ledger Entry","Quantity","Entry Type","Sale","Entry No.",I222,"Location Code","@@"&amp;$E$6)</t>
  </si>
  <si>
    <t>=NL("Sum","Item Ledger Entry","Quantity","Entry Type","Positive Adjmt.|Negative Adjmt.","Entry No.",I222,"Location Code","@@"&amp;$E$6)</t>
  </si>
  <si>
    <t>=NL("Sum","Item Ledger Entry","Quantity","Entry Type","Transfer","Entry No.",I222,"Location Code","@@"&amp;$E$6)</t>
  </si>
  <si>
    <t>=NL("Sum","Item Ledger Entry","Quantity","Entry Type","Consumption","Entry No.",I222,"Location Code","@@"&amp;$E$6)</t>
  </si>
  <si>
    <t>=NL("Sum","Item Ledger Entry","Quantity","Entry Type","Output","Entry No.",I222,"Location Code","@@"&amp;$E$6)</t>
  </si>
  <si>
    <t>=NL("Sum","Item Ledger Entry","Quantity","Entry Type","Purchase","Entry No.",I223,"Location Code","@@"&amp;$E$6)</t>
  </si>
  <si>
    <t>=NL("Sum","Item Ledger Entry","Quantity","Entry Type","Sale","Entry No.",I223,"Location Code","@@"&amp;$E$6)</t>
  </si>
  <si>
    <t>=NL("Sum","Item Ledger Entry","Quantity","Entry Type","Positive Adjmt.|Negative Adjmt.","Entry No.",I223,"Location Code","@@"&amp;$E$6)</t>
  </si>
  <si>
    <t>=NL("Sum","Item Ledger Entry","Quantity","Entry Type","Transfer","Entry No.",I223,"Location Code","@@"&amp;$E$6)</t>
  </si>
  <si>
    <t>=NL("Sum","Item Ledger Entry","Quantity","Entry Type","Consumption","Entry No.",I223,"Location Code","@@"&amp;$E$6)</t>
  </si>
  <si>
    <t>=NL("Sum","Item Ledger Entry","Quantity","Entry Type","Output","Entry No.",I223,"Location Code","@@"&amp;$E$6)</t>
  </si>
  <si>
    <t>=E226</t>
  </si>
  <si>
    <t>=NL("First","Item","Description","No.",$E226)</t>
  </si>
  <si>
    <t>=NL("First","Item","Base Unit of Measure","No.",$E226)</t>
  </si>
  <si>
    <t>=NL("Rows","Item Ledger Entry",,"+Posting Date",$L$5,"Item No.","@@"&amp;$D227,"Location Code","@@"&amp;$E$6)</t>
  </si>
  <si>
    <t>=NL("Sum","Item Ledger Entry","Quantity","Entry Type","Purchase","Entry No.",I227,"Location Code","@@"&amp;$E$6)</t>
  </si>
  <si>
    <t>=NL("Sum","Item Ledger Entry","Quantity","Entry Type","Sale","Entry No.",I227,"Location Code","@@"&amp;$E$6)</t>
  </si>
  <si>
    <t>=NL("Sum","Item Ledger Entry","Quantity","Entry Type","Positive Adjmt.|Negative Adjmt.","Entry No.",I227,"Location Code","@@"&amp;$E$6)</t>
  </si>
  <si>
    <t>=NL("Sum","Item Ledger Entry","Quantity","Entry Type","Transfer","Entry No.",I227,"Location Code","@@"&amp;$E$6)</t>
  </si>
  <si>
    <t>=NL("Sum","Item Ledger Entry","Quantity","Entry Type","Consumption","Entry No.",I227,"Location Code","@@"&amp;$E$6)</t>
  </si>
  <si>
    <t>=NL("Sum","Item Ledger Entry","Quantity","Entry Type","Output","Entry No.",I227,"Location Code","@@"&amp;$E$6)</t>
  </si>
  <si>
    <t>=E230</t>
  </si>
  <si>
    <t>=NL("First","Item","Description","No.",$E230)</t>
  </si>
  <si>
    <t>=NL("First","Item","Base Unit of Measure","No.",$E230)</t>
  </si>
  <si>
    <t>=NL("Sum","Item Ledger Entry","Quantity","Entry Type","Purchase","Entry No.",I231,"Location Code","@@"&amp;$E$6)</t>
  </si>
  <si>
    <t>=NL("Sum","Item Ledger Entry","Quantity","Entry Type","Sale","Entry No.",I231,"Location Code","@@"&amp;$E$6)</t>
  </si>
  <si>
    <t>=NL("Sum","Item Ledger Entry","Quantity","Entry Type","Positive Adjmt.|Negative Adjmt.","Entry No.",I231,"Location Code","@@"&amp;$E$6)</t>
  </si>
  <si>
    <t>=NL("Sum","Item Ledger Entry","Quantity","Entry Type","Transfer","Entry No.",I231,"Location Code","@@"&amp;$E$6)</t>
  </si>
  <si>
    <t>=NL("Sum","Item Ledger Entry","Quantity","Entry Type","Consumption","Entry No.",I231,"Location Code","@@"&amp;$E$6)</t>
  </si>
  <si>
    <t>=NL("Sum","Item Ledger Entry","Quantity","Entry Type","Output","Entry No.",I231,"Location Code","@@"&amp;$E$6)</t>
  </si>
  <si>
    <t>=E234</t>
  </si>
  <si>
    <t>=NL("First","Item","Description","No.",$E234)</t>
  </si>
  <si>
    <t>=NL("First","Item","Base Unit of Measure","No.",$E234)</t>
  </si>
  <si>
    <t>=NL("Rows","Item Ledger Entry",,"+Posting Date",$L$5,"Item No.","@@"&amp;$D235,"Location Code","@@"&amp;$E$6)</t>
  </si>
  <si>
    <t>=NL("Sum","Item Ledger Entry","Quantity","Entry Type","Purchase","Entry No.",I235,"Location Code","@@"&amp;$E$6)</t>
  </si>
  <si>
    <t>=NL("Sum","Item Ledger Entry","Quantity","Entry Type","Sale","Entry No.",I235,"Location Code","@@"&amp;$E$6)</t>
  </si>
  <si>
    <t>=NL("Sum","Item Ledger Entry","Quantity","Entry Type","Positive Adjmt.|Negative Adjmt.","Entry No.",I235,"Location Code","@@"&amp;$E$6)</t>
  </si>
  <si>
    <t>=NL("Sum","Item Ledger Entry","Quantity","Entry Type","Transfer","Entry No.",I235,"Location Code","@@"&amp;$E$6)</t>
  </si>
  <si>
    <t>=NL("Sum","Item Ledger Entry","Quantity","Entry Type","Consumption","Entry No.",I235,"Location Code","@@"&amp;$E$6)</t>
  </si>
  <si>
    <t>=NL("Sum","Item Ledger Entry","Quantity","Entry Type","Output","Entry No.",I235,"Location Code","@@"&amp;$E$6)</t>
  </si>
  <si>
    <t>=E238</t>
  </si>
  <si>
    <t>=NL("First","Item","Description","No.",$E238)</t>
  </si>
  <si>
    <t>=NL("First","Item","Base Unit of Measure","No.",$E238)</t>
  </si>
  <si>
    <t>=NL("Rows","Item Ledger Entry",,"+Posting Date",$L$5,"Item No.","@@"&amp;$D239,"Location Code","@@"&amp;$E$6)</t>
  </si>
  <si>
    <t>=NL("Sum","Item Ledger Entry","Quantity","Entry Type","Purchase","Entry No.",I239,"Location Code","@@"&amp;$E$6)</t>
  </si>
  <si>
    <t>=NL("Sum","Item Ledger Entry","Quantity","Entry Type","Sale","Entry No.",I239,"Location Code","@@"&amp;$E$6)</t>
  </si>
  <si>
    <t>=NL("Sum","Item Ledger Entry","Quantity","Entry Type","Positive Adjmt.|Negative Adjmt.","Entry No.",I239,"Location Code","@@"&amp;$E$6)</t>
  </si>
  <si>
    <t>=NL("Sum","Item Ledger Entry","Quantity","Entry Type","Transfer","Entry No.",I239,"Location Code","@@"&amp;$E$6)</t>
  </si>
  <si>
    <t>=NL("Sum","Item Ledger Entry","Quantity","Entry Type","Consumption","Entry No.",I239,"Location Code","@@"&amp;$E$6)</t>
  </si>
  <si>
    <t>=NL("Sum","Item Ledger Entry","Quantity","Entry Type","Output","Entry No.",I239,"Location Code","@@"&amp;$E$6)</t>
  </si>
  <si>
    <t>=NL("Sum","Item Ledger Entry","Quantity","Entry Type","Purchase","Entry No.",I244,"Location Code","@@"&amp;$E$6)</t>
  </si>
  <si>
    <t>=NL("Sum","Item Ledger Entry","Quantity","Entry Type","Sale","Entry No.",I244,"Location Code","@@"&amp;$E$6)</t>
  </si>
  <si>
    <t>=NL("Sum","Item Ledger Entry","Quantity","Entry Type","Positive Adjmt.|Negative Adjmt.","Entry No.",I244,"Location Code","@@"&amp;$E$6)</t>
  </si>
  <si>
    <t>=NL("Sum","Item Ledger Entry","Quantity","Entry Type","Transfer","Entry No.",I244,"Location Code","@@"&amp;$E$6)</t>
  </si>
  <si>
    <t>=NL("Sum","Item Ledger Entry","Quantity","Entry Type","Consumption","Entry No.",I244,"Location Code","@@"&amp;$E$6)</t>
  </si>
  <si>
    <t>=NL("Sum","Item Ledger Entry","Quantity","Entry Type","Output","Entry No.",I244,"Location Code","@@"&amp;$E$6)</t>
  </si>
  <si>
    <t>=NL("Sum","Item Ledger Entry","Quantity","Entry Type","Purchase","Entry No.",I245,"Location Code","@@"&amp;$E$6)</t>
  </si>
  <si>
    <t>=NL("Sum","Item Ledger Entry","Quantity","Entry Type","Sale","Entry No.",I245,"Location Code","@@"&amp;$E$6)</t>
  </si>
  <si>
    <t>=NL("Sum","Item Ledger Entry","Quantity","Entry Type","Positive Adjmt.|Negative Adjmt.","Entry No.",I245,"Location Code","@@"&amp;$E$6)</t>
  </si>
  <si>
    <t>=NL("Sum","Item Ledger Entry","Quantity","Entry Type","Transfer","Entry No.",I245,"Location Code","@@"&amp;$E$6)</t>
  </si>
  <si>
    <t>=NL("Sum","Item Ledger Entry","Quantity","Entry Type","Consumption","Entry No.",I245,"Location Code","@@"&amp;$E$6)</t>
  </si>
  <si>
    <t>=NL("Sum","Item Ledger Entry","Quantity","Entry Type","Output","Entry No.",I245,"Location Code","@@"&amp;$E$6)</t>
  </si>
  <si>
    <t>=(SUBTOTAL(9,O249:O251))</t>
  </si>
  <si>
    <t>=(SUBTOTAL(9,P249:P251))</t>
  </si>
  <si>
    <t>=(SUBTOTAL(9,Q249:Q251))</t>
  </si>
  <si>
    <t>=(SUBTOTAL(9,R249:R251))</t>
  </si>
  <si>
    <t>=(SUBTOTAL(9,S249:S251))</t>
  </si>
  <si>
    <t>=(SUBTOTAL(9,T249:T251))</t>
  </si>
  <si>
    <t>=SUBTOTAL(9,O249:T251)</t>
  </si>
  <si>
    <t>=NL("Rows","Item Ledger Entry",,"+Posting Date",$L$5,"Item No.","@@"&amp;$D249,"Location Code","@@"&amp;$E$6)</t>
  </si>
  <si>
    <t>=NL("Sum","Item Ledger Entry","Quantity","Entry Type","Purchase","Entry No.",I249,"Location Code","@@"&amp;$E$6)</t>
  </si>
  <si>
    <t>=NL("Sum","Item Ledger Entry","Quantity","Entry Type","Sale","Entry No.",I249,"Location Code","@@"&amp;$E$6)</t>
  </si>
  <si>
    <t>=NL("Sum","Item Ledger Entry","Quantity","Entry Type","Positive Adjmt.|Negative Adjmt.","Entry No.",I249,"Location Code","@@"&amp;$E$6)</t>
  </si>
  <si>
    <t>=NL("Sum","Item Ledger Entry","Quantity","Entry Type","Transfer","Entry No.",I249,"Location Code","@@"&amp;$E$6)</t>
  </si>
  <si>
    <t>=NL("Sum","Item Ledger Entry","Quantity","Entry Type","Consumption","Entry No.",I249,"Location Code","@@"&amp;$E$6)</t>
  </si>
  <si>
    <t>=NL("Sum","Item Ledger Entry","Quantity","Entry Type","Output","Entry No.",I249,"Location Code","@@"&amp;$E$6)</t>
  </si>
  <si>
    <t>=NL("Sum","Item Ledger Entry","Quantity","Entry Type","Purchase","Entry No.",I250,"Location Code","@@"&amp;$E$6)</t>
  </si>
  <si>
    <t>=NL("Sum","Item Ledger Entry","Quantity","Entry Type","Sale","Entry No.",I250,"Location Code","@@"&amp;$E$6)</t>
  </si>
  <si>
    <t>=NL("Sum","Item Ledger Entry","Quantity","Entry Type","Positive Adjmt.|Negative Adjmt.","Entry No.",I250,"Location Code","@@"&amp;$E$6)</t>
  </si>
  <si>
    <t>=NL("Sum","Item Ledger Entry","Quantity","Entry Type","Transfer","Entry No.",I250,"Location Code","@@"&amp;$E$6)</t>
  </si>
  <si>
    <t>=NL("Sum","Item Ledger Entry","Quantity","Entry Type","Consumption","Entry No.",I250,"Location Code","@@"&amp;$E$6)</t>
  </si>
  <si>
    <t>=NL("Sum","Item Ledger Entry","Quantity","Entry Type","Output","Entry No.",I250,"Location Code","@@"&amp;$E$6)</t>
  </si>
  <si>
    <t>=E253</t>
  </si>
  <si>
    <t>=NL("First","Item","Description","No.",$E253)</t>
  </si>
  <si>
    <t>=NL("First","Item","Base Unit of Measure","No.",$E253)</t>
  </si>
  <si>
    <t>=(SUBTOTAL(9,O254:O255))</t>
  </si>
  <si>
    <t>=(SUBTOTAL(9,P254:P255))</t>
  </si>
  <si>
    <t>=(SUBTOTAL(9,Q254:Q255))</t>
  </si>
  <si>
    <t>=(SUBTOTAL(9,R254:R255))</t>
  </si>
  <si>
    <t>=(SUBTOTAL(9,S254:S255))</t>
  </si>
  <si>
    <t>=(SUBTOTAL(9,T254:T255))</t>
  </si>
  <si>
    <t>=SUBTOTAL(9,O254:T255)</t>
  </si>
  <si>
    <t>=NL("Rows","Item Ledger Entry",,"+Posting Date",$L$5,"Item No.","@@"&amp;$D254,"Location Code","@@"&amp;$E$6)</t>
  </si>
  <si>
    <t>=NL("Sum","Item Ledger Entry","Quantity","Entry Type","Purchase","Entry No.",I254,"Location Code","@@"&amp;$E$6)</t>
  </si>
  <si>
    <t>=NL("Sum","Item Ledger Entry","Quantity","Entry Type","Sale","Entry No.",I254,"Location Code","@@"&amp;$E$6)</t>
  </si>
  <si>
    <t>=NL("Sum","Item Ledger Entry","Quantity","Entry Type","Positive Adjmt.|Negative Adjmt.","Entry No.",I254,"Location Code","@@"&amp;$E$6)</t>
  </si>
  <si>
    <t>=NL("Sum","Item Ledger Entry","Quantity","Entry Type","Transfer","Entry No.",I254,"Location Code","@@"&amp;$E$6)</t>
  </si>
  <si>
    <t>=NL("Sum","Item Ledger Entry","Quantity","Entry Type","Consumption","Entry No.",I254,"Location Code","@@"&amp;$E$6)</t>
  </si>
  <si>
    <t>=NL("Sum","Item Ledger Entry","Quantity","Entry Type","Output","Entry No.",I254,"Location Code","@@"&amp;$E$6)</t>
  </si>
  <si>
    <t>=E257</t>
  </si>
  <si>
    <t>=NL("First","Item","Description","No.",$E257)</t>
  </si>
  <si>
    <t>=NL("First","Item","Base Unit of Measure","No.",$E257)</t>
  </si>
  <si>
    <t>=NL("Rows","Item Ledger Entry",,"+Posting Date",$L$5,"Item No.","@@"&amp;$D258,"Location Code","@@"&amp;$E$6)</t>
  </si>
  <si>
    <t>=NL("Sum","Item Ledger Entry","Quantity","Entry Type","Purchase","Entry No.",I259,"Location Code","@@"&amp;$E$6)</t>
  </si>
  <si>
    <t>=NL("Sum","Item Ledger Entry","Quantity","Entry Type","Sale","Entry No.",I259,"Location Code","@@"&amp;$E$6)</t>
  </si>
  <si>
    <t>=NL("Sum","Item Ledger Entry","Quantity","Entry Type","Positive Adjmt.|Negative Adjmt.","Entry No.",I259,"Location Code","@@"&amp;$E$6)</t>
  </si>
  <si>
    <t>=NL("Sum","Item Ledger Entry","Quantity","Entry Type","Transfer","Entry No.",I259,"Location Code","@@"&amp;$E$6)</t>
  </si>
  <si>
    <t>=NL("Sum","Item Ledger Entry","Quantity","Entry Type","Consumption","Entry No.",I259,"Location Code","@@"&amp;$E$6)</t>
  </si>
  <si>
    <t>=NL("Sum","Item Ledger Entry","Quantity","Entry Type","Output","Entry No.",I259,"Location Code","@@"&amp;$E$6)</t>
  </si>
  <si>
    <t>=NL("Sum","Item Ledger Entry","Quantity","Entry Type","Purchase","Entry No.",I268,"Location Code","@@"&amp;$E$6)</t>
  </si>
  <si>
    <t>=NL("Sum","Item Ledger Entry","Quantity","Entry Type","Sale","Entry No.",I268,"Location Code","@@"&amp;$E$6)</t>
  </si>
  <si>
    <t>=NL("Sum","Item Ledger Entry","Quantity","Entry Type","Positive Adjmt.|Negative Adjmt.","Entry No.",I268,"Location Code","@@"&amp;$E$6)</t>
  </si>
  <si>
    <t>=NL("Sum","Item Ledger Entry","Quantity","Entry Type","Transfer","Entry No.",I268,"Location Code","@@"&amp;$E$6)</t>
  </si>
  <si>
    <t>=NL("Sum","Item Ledger Entry","Quantity","Entry Type","Consumption","Entry No.",I268,"Location Code","@@"&amp;$E$6)</t>
  </si>
  <si>
    <t>=NL("Sum","Item Ledger Entry","Quantity","Entry Type","Output","Entry No.",I268,"Location Code","@@"&amp;$E$6)</t>
  </si>
  <si>
    <t>=NL("Rows","Item Ledger Entry",,"+Posting Date",$L$5,"Item No.","@@"&amp;$D272,"Location Code","@@"&amp;$E$6)</t>
  </si>
  <si>
    <t>=NL("Sum","Item Ledger Entry","Quantity","Entry Type","Purchase","Entry No.",I277,"Location Code","@@"&amp;$E$6)</t>
  </si>
  <si>
    <t>=NL("Sum","Item Ledger Entry","Quantity","Entry Type","Sale","Entry No.",I277,"Location Code","@@"&amp;$E$6)</t>
  </si>
  <si>
    <t>=NL("Sum","Item Ledger Entry","Quantity","Entry Type","Positive Adjmt.|Negative Adjmt.","Entry No.",I277,"Location Code","@@"&amp;$E$6)</t>
  </si>
  <si>
    <t>=NL("Sum","Item Ledger Entry","Quantity","Entry Type","Transfer","Entry No.",I277,"Location Code","@@"&amp;$E$6)</t>
  </si>
  <si>
    <t>=NL("Sum","Item Ledger Entry","Quantity","Entry Type","Consumption","Entry No.",I277,"Location Code","@@"&amp;$E$6)</t>
  </si>
  <si>
    <t>=NL("Sum","Item Ledger Entry","Quantity","Entry Type","Output","Entry No.",I277,"Location Code","@@"&amp;$E$6)</t>
  </si>
  <si>
    <t>=NL("Sum","Item Ledger Entry","Quantity","Entry Type","Purchase","Entry No.",I278,"Location Code","@@"&amp;$E$6)</t>
  </si>
  <si>
    <t>=NL("Sum","Item Ledger Entry","Quantity","Entry Type","Sale","Entry No.",I278,"Location Code","@@"&amp;$E$6)</t>
  </si>
  <si>
    <t>=NL("Sum","Item Ledger Entry","Quantity","Entry Type","Positive Adjmt.|Negative Adjmt.","Entry No.",I278,"Location Code","@@"&amp;$E$6)</t>
  </si>
  <si>
    <t>=NL("Sum","Item Ledger Entry","Quantity","Entry Type","Transfer","Entry No.",I278,"Location Code","@@"&amp;$E$6)</t>
  </si>
  <si>
    <t>=NL("Sum","Item Ledger Entry","Quantity","Entry Type","Consumption","Entry No.",I278,"Location Code","@@"&amp;$E$6)</t>
  </si>
  <si>
    <t>=NL("Sum","Item Ledger Entry","Quantity","Entry Type","Output","Entry No.",I278,"Location Code","@@"&amp;$E$6)</t>
  </si>
  <si>
    <t>=NL("Sum","Item Ledger Entry","Quantity","Entry Type","Purchase","Entry No.",I279,"Location Code","@@"&amp;$E$6)</t>
  </si>
  <si>
    <t>=NL("Sum","Item Ledger Entry","Quantity","Entry Type","Sale","Entry No.",I279,"Location Code","@@"&amp;$E$6)</t>
  </si>
  <si>
    <t>=NL("Sum","Item Ledger Entry","Quantity","Entry Type","Positive Adjmt.|Negative Adjmt.","Entry No.",I279,"Location Code","@@"&amp;$E$6)</t>
  </si>
  <si>
    <t>=NL("Sum","Item Ledger Entry","Quantity","Entry Type","Transfer","Entry No.",I279,"Location Code","@@"&amp;$E$6)</t>
  </si>
  <si>
    <t>=NL("Sum","Item Ledger Entry","Quantity","Entry Type","Consumption","Entry No.",I279,"Location Code","@@"&amp;$E$6)</t>
  </si>
  <si>
    <t>=NL("Sum","Item Ledger Entry","Quantity","Entry Type","Output","Entry No.",I279,"Location Code","@@"&amp;$E$6)</t>
  </si>
  <si>
    <t>=E282</t>
  </si>
  <si>
    <t>=NL("First","Item","Description","No.",$E282)</t>
  </si>
  <si>
    <t>=NL("First","Item","Base Unit of Measure","No.",$E282)</t>
  </si>
  <si>
    <t>=NL("Rows","Item Ledger Entry",,"+Posting Date",$L$5,"Item No.","@@"&amp;$D283,"Location Code","@@"&amp;$E$6)</t>
  </si>
  <si>
    <t>=NL("Sum","Item Ledger Entry","Quantity","Entry Type","Purchase","Entry No.",I283,"Location Code","@@"&amp;$E$6)</t>
  </si>
  <si>
    <t>=NL("Sum","Item Ledger Entry","Quantity","Entry Type","Sale","Entry No.",I283,"Location Code","@@"&amp;$E$6)</t>
  </si>
  <si>
    <t>=NL("Sum","Item Ledger Entry","Quantity","Entry Type","Positive Adjmt.|Negative Adjmt.","Entry No.",I283,"Location Code","@@"&amp;$E$6)</t>
  </si>
  <si>
    <t>=NL("Sum","Item Ledger Entry","Quantity","Entry Type","Transfer","Entry No.",I283,"Location Code","@@"&amp;$E$6)</t>
  </si>
  <si>
    <t>=NL("Sum","Item Ledger Entry","Quantity","Entry Type","Consumption","Entry No.",I283,"Location Code","@@"&amp;$E$6)</t>
  </si>
  <si>
    <t>=NL("Sum","Item Ledger Entry","Quantity","Entry Type","Output","Entry No.",I283,"Location Code","@@"&amp;$E$6)</t>
  </si>
  <si>
    <t>=NL("Sum","Item Ledger Entry","Quantity","Entry Type","Purchase","Entry No.",I287,"Location Code","@@"&amp;$E$6)</t>
  </si>
  <si>
    <t>=NL("Sum","Item Ledger Entry","Quantity","Entry Type","Sale","Entry No.",I287,"Location Code","@@"&amp;$E$6)</t>
  </si>
  <si>
    <t>=NL("Sum","Item Ledger Entry","Quantity","Entry Type","Positive Adjmt.|Negative Adjmt.","Entry No.",I287,"Location Code","@@"&amp;$E$6)</t>
  </si>
  <si>
    <t>=NL("Sum","Item Ledger Entry","Quantity","Entry Type","Transfer","Entry No.",I287,"Location Code","@@"&amp;$E$6)</t>
  </si>
  <si>
    <t>=NL("Sum","Item Ledger Entry","Quantity","Entry Type","Consumption","Entry No.",I287,"Location Code","@@"&amp;$E$6)</t>
  </si>
  <si>
    <t>=NL("Sum","Item Ledger Entry","Quantity","Entry Type","Output","Entry No.",I287,"Location Code","@@"&amp;$E$6)</t>
  </si>
  <si>
    <t>=NL("Sum","Item Ledger Entry","Quantity","Entry Type","Purchase","Entry No.",I289,"Location Code","@@"&amp;$E$6)</t>
  </si>
  <si>
    <t>=NL("Sum","Item Ledger Entry","Quantity","Entry Type","Sale","Entry No.",I289,"Location Code","@@"&amp;$E$6)</t>
  </si>
  <si>
    <t>=NL("Sum","Item Ledger Entry","Quantity","Entry Type","Positive Adjmt.|Negative Adjmt.","Entry No.",I289,"Location Code","@@"&amp;$E$6)</t>
  </si>
  <si>
    <t>=NL("Sum","Item Ledger Entry","Quantity","Entry Type","Transfer","Entry No.",I289,"Location Code","@@"&amp;$E$6)</t>
  </si>
  <si>
    <t>=NL("Sum","Item Ledger Entry","Quantity","Entry Type","Consumption","Entry No.",I289,"Location Code","@@"&amp;$E$6)</t>
  </si>
  <si>
    <t>=NL("Sum","Item Ledger Entry","Quantity","Entry Type","Output","Entry No.",I289,"Location Code","@@"&amp;$E$6)</t>
  </si>
  <si>
    <t>=E292</t>
  </si>
  <si>
    <t>=NL("First","Item","Description","No.",$E292)</t>
  </si>
  <si>
    <t>=NL("First","Item","Base Unit of Measure","No.",$E292)</t>
  </si>
  <si>
    <t>=(SUBTOTAL(9,O293:O294))</t>
  </si>
  <si>
    <t>=(SUBTOTAL(9,P293:P294))</t>
  </si>
  <si>
    <t>=(SUBTOTAL(9,Q293:Q294))</t>
  </si>
  <si>
    <t>=(SUBTOTAL(9,R293:R294))</t>
  </si>
  <si>
    <t>=(SUBTOTAL(9,S293:S294))</t>
  </si>
  <si>
    <t>=(SUBTOTAL(9,T293:T294))</t>
  </si>
  <si>
    <t>=SUBTOTAL(9,O293:T294)</t>
  </si>
  <si>
    <t>=NL("Rows","Item Ledger Entry",,"+Posting Date",$L$5,"Item No.","@@"&amp;$D293,"Location Code","@@"&amp;$E$6)</t>
  </si>
  <si>
    <t>=NL("Sum","Item Ledger Entry","Quantity","Entry Type","Purchase","Entry No.",I293,"Location Code","@@"&amp;$E$6)</t>
  </si>
  <si>
    <t>=NL("Sum","Item Ledger Entry","Quantity","Entry Type","Sale","Entry No.",I293,"Location Code","@@"&amp;$E$6)</t>
  </si>
  <si>
    <t>=NL("Sum","Item Ledger Entry","Quantity","Entry Type","Positive Adjmt.|Negative Adjmt.","Entry No.",I293,"Location Code","@@"&amp;$E$6)</t>
  </si>
  <si>
    <t>=NL("Sum","Item Ledger Entry","Quantity","Entry Type","Transfer","Entry No.",I293,"Location Code","@@"&amp;$E$6)</t>
  </si>
  <si>
    <t>=NL("Sum","Item Ledger Entry","Quantity","Entry Type","Consumption","Entry No.",I293,"Location Code","@@"&amp;$E$6)</t>
  </si>
  <si>
    <t>=NL("Sum","Item Ledger Entry","Quantity","Entry Type","Output","Entry No.",I293,"Location Code","@@"&amp;$E$6)</t>
  </si>
  <si>
    <t>=NL("Rows","Item Ledger Entry",,"+Posting Date",$L$5,"Item No.","@@"&amp;$D297,"Location Code","@@"&amp;$E$6)</t>
  </si>
  <si>
    <t>=NL("Sum","Item Ledger Entry","Quantity","Entry Type","Purchase","Entry No.",I297,"Location Code","@@"&amp;$E$6)</t>
  </si>
  <si>
    <t>=NL("Sum","Item Ledger Entry","Quantity","Entry Type","Sale","Entry No.",I297,"Location Code","@@"&amp;$E$6)</t>
  </si>
  <si>
    <t>=NL("Sum","Item Ledger Entry","Quantity","Entry Type","Positive Adjmt.|Negative Adjmt.","Entry No.",I297,"Location Code","@@"&amp;$E$6)</t>
  </si>
  <si>
    <t>=NL("Sum","Item Ledger Entry","Quantity","Entry Type","Transfer","Entry No.",I297,"Location Code","@@"&amp;$E$6)</t>
  </si>
  <si>
    <t>=NL("Sum","Item Ledger Entry","Quantity","Entry Type","Consumption","Entry No.",I297,"Location Code","@@"&amp;$E$6)</t>
  </si>
  <si>
    <t>=NL("Sum","Item Ledger Entry","Quantity","Entry Type","Output","Entry No.",I297,"Location Code","@@"&amp;$E$6)</t>
  </si>
  <si>
    <t>=NL("Sum","Item Ledger Entry","Quantity","Entry Type","Purchase","Entry No.",I298,"Location Code","@@"&amp;$E$6)</t>
  </si>
  <si>
    <t>=NL("Sum","Item Ledger Entry","Quantity","Entry Type","Sale","Entry No.",I298,"Location Code","@@"&amp;$E$6)</t>
  </si>
  <si>
    <t>=NL("Sum","Item Ledger Entry","Quantity","Entry Type","Positive Adjmt.|Negative Adjmt.","Entry No.",I298,"Location Code","@@"&amp;$E$6)</t>
  </si>
  <si>
    <t>=NL("Sum","Item Ledger Entry","Quantity","Entry Type","Transfer","Entry No.",I298,"Location Code","@@"&amp;$E$6)</t>
  </si>
  <si>
    <t>=NL("Sum","Item Ledger Entry","Quantity","Entry Type","Consumption","Entry No.",I298,"Location Code","@@"&amp;$E$6)</t>
  </si>
  <si>
    <t>=NL("Sum","Item Ledger Entry","Quantity","Entry Type","Output","Entry No.",I298,"Location Code","@@"&amp;$E$6)</t>
  </si>
  <si>
    <t>=NL("Sum","Item Ledger Entry","Quantity","Entry Type","Purchase","Entry No.",I310,"Location Code","@@"&amp;$E$6)</t>
  </si>
  <si>
    <t>=NL("Sum","Item Ledger Entry","Quantity","Entry Type","Sale","Entry No.",I310,"Location Code","@@"&amp;$E$6)</t>
  </si>
  <si>
    <t>=NL("Sum","Item Ledger Entry","Quantity","Entry Type","Positive Adjmt.|Negative Adjmt.","Entry No.",I310,"Location Code","@@"&amp;$E$6)</t>
  </si>
  <si>
    <t>=NL("Sum","Item Ledger Entry","Quantity","Entry Type","Transfer","Entry No.",I310,"Location Code","@@"&amp;$E$6)</t>
  </si>
  <si>
    <t>=NL("Sum","Item Ledger Entry","Quantity","Entry Type","Consumption","Entry No.",I310,"Location Code","@@"&amp;$E$6)</t>
  </si>
  <si>
    <t>=NL("Sum","Item Ledger Entry","Quantity","Entry Type","Output","Entry No.",I310,"Location Code","@@"&amp;$E$6)</t>
  </si>
  <si>
    <t>=NL("Sum","Item Ledger Entry","Quantity","Entry Type","Purchase","Entry No.",I311,"Location Code","@@"&amp;$E$6)</t>
  </si>
  <si>
    <t>=NL("Sum","Item Ledger Entry","Quantity","Entry Type","Sale","Entry No.",I311,"Location Code","@@"&amp;$E$6)</t>
  </si>
  <si>
    <t>=NL("Sum","Item Ledger Entry","Quantity","Entry Type","Positive Adjmt.|Negative Adjmt.","Entry No.",I311,"Location Code","@@"&amp;$E$6)</t>
  </si>
  <si>
    <t>=NL("Sum","Item Ledger Entry","Quantity","Entry Type","Transfer","Entry No.",I311,"Location Code","@@"&amp;$E$6)</t>
  </si>
  <si>
    <t>=NL("Sum","Item Ledger Entry","Quantity","Entry Type","Consumption","Entry No.",I311,"Location Code","@@"&amp;$E$6)</t>
  </si>
  <si>
    <t>=NL("Sum","Item Ledger Entry","Quantity","Entry Type","Output","Entry No.",I311,"Location Code","@@"&amp;$E$6)</t>
  </si>
  <si>
    <t>=NL("Sum","Item Ledger Entry","Quantity","Entry Type","Purchase","Entry No.",I316,"Location Code","@@"&amp;$E$6)</t>
  </si>
  <si>
    <t>=NL("Sum","Item Ledger Entry","Quantity","Entry Type","Sale","Entry No.",I316,"Location Code","@@"&amp;$E$6)</t>
  </si>
  <si>
    <t>=NL("Sum","Item Ledger Entry","Quantity","Entry Type","Positive Adjmt.|Negative Adjmt.","Entry No.",I316,"Location Code","@@"&amp;$E$6)</t>
  </si>
  <si>
    <t>=NL("Sum","Item Ledger Entry","Quantity","Entry Type","Transfer","Entry No.",I316,"Location Code","@@"&amp;$E$6)</t>
  </si>
  <si>
    <t>=NL("Sum","Item Ledger Entry","Quantity","Entry Type","Consumption","Entry No.",I316,"Location Code","@@"&amp;$E$6)</t>
  </si>
  <si>
    <t>=NL("Sum","Item Ledger Entry","Quantity","Entry Type","Output","Entry No.",I316,"Location Code","@@"&amp;$E$6)</t>
  </si>
  <si>
    <t>=E319</t>
  </si>
  <si>
    <t>=NL("First","Item","Description","No.",$E319)</t>
  </si>
  <si>
    <t>=NL("First","Item","Base Unit of Measure","No.",$E319)</t>
  </si>
  <si>
    <t>=NL("Rows","Item Ledger Entry",,"+Posting Date",$L$5,"Item No.","@@"&amp;$D320,"Location Code","@@"&amp;$E$6)</t>
  </si>
  <si>
    <t>=NL("Sum","Item Ledger Entry","Quantity","Entry Type","Purchase","Entry No.",I320,"Location Code","@@"&amp;$E$6)</t>
  </si>
  <si>
    <t>=NL("Sum","Item Ledger Entry","Quantity","Entry Type","Sale","Entry No.",I320,"Location Code","@@"&amp;$E$6)</t>
  </si>
  <si>
    <t>=NL("Sum","Item Ledger Entry","Quantity","Entry Type","Positive Adjmt.|Negative Adjmt.","Entry No.",I320,"Location Code","@@"&amp;$E$6)</t>
  </si>
  <si>
    <t>=NL("Sum","Item Ledger Entry","Quantity","Entry Type","Transfer","Entry No.",I320,"Location Code","@@"&amp;$E$6)</t>
  </si>
  <si>
    <t>=NL("Sum","Item Ledger Entry","Quantity","Entry Type","Consumption","Entry No.",I320,"Location Code","@@"&amp;$E$6)</t>
  </si>
  <si>
    <t>=NL("Sum","Item Ledger Entry","Quantity","Entry Type","Output","Entry No.",I320,"Location Code","@@"&amp;$E$6)</t>
  </si>
  <si>
    <t>=NL("Sum","Item Ledger Entry","Quantity","Entry Type","Purchase","Entry No.",I321,"Location Code","@@"&amp;$E$6)</t>
  </si>
  <si>
    <t>=NL("Sum","Item Ledger Entry","Quantity","Entry Type","Sale","Entry No.",I321,"Location Code","@@"&amp;$E$6)</t>
  </si>
  <si>
    <t>=NL("Sum","Item Ledger Entry","Quantity","Entry Type","Positive Adjmt.|Negative Adjmt.","Entry No.",I321,"Location Code","@@"&amp;$E$6)</t>
  </si>
  <si>
    <t>=NL("Sum","Item Ledger Entry","Quantity","Entry Type","Transfer","Entry No.",I321,"Location Code","@@"&amp;$E$6)</t>
  </si>
  <si>
    <t>=NL("Sum","Item Ledger Entry","Quantity","Entry Type","Consumption","Entry No.",I321,"Location Code","@@"&amp;$E$6)</t>
  </si>
  <si>
    <t>=NL("Sum","Item Ledger Entry","Quantity","Entry Type","Output","Entry No.",I321,"Location Code","@@"&amp;$E$6)</t>
  </si>
  <si>
    <t>=NL("Sum","Item Ledger Entry","Quantity","Entry Type","Purchase","Entry No.",I328,"Location Code","@@"&amp;$E$6)</t>
  </si>
  <si>
    <t>=NL("Sum","Item Ledger Entry","Quantity","Entry Type","Sale","Entry No.",I328,"Location Code","@@"&amp;$E$6)</t>
  </si>
  <si>
    <t>=NL("Sum","Item Ledger Entry","Quantity","Entry Type","Positive Adjmt.|Negative Adjmt.","Entry No.",I328,"Location Code","@@"&amp;$E$6)</t>
  </si>
  <si>
    <t>=NL("Sum","Item Ledger Entry","Quantity","Entry Type","Transfer","Entry No.",I328,"Location Code","@@"&amp;$E$6)</t>
  </si>
  <si>
    <t>=NL("Sum","Item Ledger Entry","Quantity","Entry Type","Consumption","Entry No.",I328,"Location Code","@@"&amp;$E$6)</t>
  </si>
  <si>
    <t>=NL("Sum","Item Ledger Entry","Quantity","Entry Type","Output","Entry No.",I328,"Location Code","@@"&amp;$E$6)</t>
  </si>
  <si>
    <t>=NL("Sum","Item Ledger Entry","Quantity","Entry Type","Purchase","Entry No.",I329,"Location Code","@@"&amp;$E$6)</t>
  </si>
  <si>
    <t>=NL("Sum","Item Ledger Entry","Quantity","Entry Type","Sale","Entry No.",I329,"Location Code","@@"&amp;$E$6)</t>
  </si>
  <si>
    <t>=NL("Sum","Item Ledger Entry","Quantity","Entry Type","Positive Adjmt.|Negative Adjmt.","Entry No.",I329,"Location Code","@@"&amp;$E$6)</t>
  </si>
  <si>
    <t>=NL("Sum","Item Ledger Entry","Quantity","Entry Type","Transfer","Entry No.",I329,"Location Code","@@"&amp;$E$6)</t>
  </si>
  <si>
    <t>=NL("Sum","Item Ledger Entry","Quantity","Entry Type","Consumption","Entry No.",I329,"Location Code","@@"&amp;$E$6)</t>
  </si>
  <si>
    <t>=NL("Sum","Item Ledger Entry","Quantity","Entry Type","Output","Entry No.",I329,"Location Code","@@"&amp;$E$6)</t>
  </si>
  <si>
    <t>=NL("Sum","Item Ledger Entry","Quantity","Entry Type","Purchase","Entry No.",I330,"Location Code","@@"&amp;$E$6)</t>
  </si>
  <si>
    <t>=NL("Sum","Item Ledger Entry","Quantity","Entry Type","Sale","Entry No.",I330,"Location Code","@@"&amp;$E$6)</t>
  </si>
  <si>
    <t>=NL("Sum","Item Ledger Entry","Quantity","Entry Type","Positive Adjmt.|Negative Adjmt.","Entry No.",I330,"Location Code","@@"&amp;$E$6)</t>
  </si>
  <si>
    <t>=NL("Sum","Item Ledger Entry","Quantity","Entry Type","Transfer","Entry No.",I330,"Location Code","@@"&amp;$E$6)</t>
  </si>
  <si>
    <t>=NL("Sum","Item Ledger Entry","Quantity","Entry Type","Consumption","Entry No.",I330,"Location Code","@@"&amp;$E$6)</t>
  </si>
  <si>
    <t>=NL("Sum","Item Ledger Entry","Quantity","Entry Type","Output","Entry No.",I330,"Location Code","@@"&amp;$E$6)</t>
  </si>
  <si>
    <t>=E334</t>
  </si>
  <si>
    <t>=NL("First","Item","Description","No.",$E334)</t>
  </si>
  <si>
    <t>=NL("First","Item","Base Unit of Measure","No.",$E334)</t>
  </si>
  <si>
    <t>=NL("Rows","Item Ledger Entry",,"+Posting Date",$L$5,"Item No.","@@"&amp;$D335,"Location Code","@@"&amp;$E$6)</t>
  </si>
  <si>
    <t>=NL("Sum","Item Ledger Entry","Quantity","Entry Type","Purchase","Entry No.",I335,"Location Code","@@"&amp;$E$6)</t>
  </si>
  <si>
    <t>=NL("Sum","Item Ledger Entry","Quantity","Entry Type","Sale","Entry No.",I335,"Location Code","@@"&amp;$E$6)</t>
  </si>
  <si>
    <t>=NL("Sum","Item Ledger Entry","Quantity","Entry Type","Positive Adjmt.|Negative Adjmt.","Entry No.",I335,"Location Code","@@"&amp;$E$6)</t>
  </si>
  <si>
    <t>=NL("Sum","Item Ledger Entry","Quantity","Entry Type","Transfer","Entry No.",I335,"Location Code","@@"&amp;$E$6)</t>
  </si>
  <si>
    <t>=NL("Sum","Item Ledger Entry","Quantity","Entry Type","Consumption","Entry No.",I335,"Location Code","@@"&amp;$E$6)</t>
  </si>
  <si>
    <t>=NL("Sum","Item Ledger Entry","Quantity","Entry Type","Output","Entry No.",I335,"Location Code","@@"&amp;$E$6)</t>
  </si>
  <si>
    <t>=NL("Sum","Item Ledger Entry","Quantity","Entry Type","Purchase","Entry No.",I338,"Location Code","@@"&amp;$E$6)</t>
  </si>
  <si>
    <t>=NL("Sum","Item Ledger Entry","Quantity","Entry Type","Sale","Entry No.",I338,"Location Code","@@"&amp;$E$6)</t>
  </si>
  <si>
    <t>=NL("Sum","Item Ledger Entry","Quantity","Entry Type","Positive Adjmt.|Negative Adjmt.","Entry No.",I338,"Location Code","@@"&amp;$E$6)</t>
  </si>
  <si>
    <t>=NL("Sum","Item Ledger Entry","Quantity","Entry Type","Transfer","Entry No.",I338,"Location Code","@@"&amp;$E$6)</t>
  </si>
  <si>
    <t>=NL("Sum","Item Ledger Entry","Quantity","Entry Type","Consumption","Entry No.",I338,"Location Code","@@"&amp;$E$6)</t>
  </si>
  <si>
    <t>=NL("Sum","Item Ledger Entry","Quantity","Entry Type","Output","Entry No.",I338,"Location Code","@@"&amp;$E$6)</t>
  </si>
  <si>
    <t>=E341</t>
  </si>
  <si>
    <t>=NL("First","Item","Description","No.",$E341)</t>
  </si>
  <si>
    <t>=NL("First","Item","Base Unit of Measure","No.",$E341)</t>
  </si>
  <si>
    <t>=NL("Rows","Item Ledger Entry",,"+Posting Date",$L$5,"Item No.","@@"&amp;$D342,"Location Code","@@"&amp;$E$6)</t>
  </si>
  <si>
    <t>=NL("Sum","Item Ledger Entry","Quantity","Entry Type","Purchase","Entry No.",I342,"Location Code","@@"&amp;$E$6)</t>
  </si>
  <si>
    <t>=NL("Sum","Item Ledger Entry","Quantity","Entry Type","Sale","Entry No.",I342,"Location Code","@@"&amp;$E$6)</t>
  </si>
  <si>
    <t>=NL("Sum","Item Ledger Entry","Quantity","Entry Type","Positive Adjmt.|Negative Adjmt.","Entry No.",I342,"Location Code","@@"&amp;$E$6)</t>
  </si>
  <si>
    <t>=NL("Sum","Item Ledger Entry","Quantity","Entry Type","Transfer","Entry No.",I342,"Location Code","@@"&amp;$E$6)</t>
  </si>
  <si>
    <t>=NL("Sum","Item Ledger Entry","Quantity","Entry Type","Consumption","Entry No.",I342,"Location Code","@@"&amp;$E$6)</t>
  </si>
  <si>
    <t>=NL("Sum","Item Ledger Entry","Quantity","Entry Type","Output","Entry No.",I342,"Location Code","@@"&amp;$E$6)</t>
  </si>
  <si>
    <t>=NL("Sum","Item Ledger Entry","Quantity","Entry Type","Purchase","Entry No.",I343,"Location Code","@@"&amp;$E$6)</t>
  </si>
  <si>
    <t>=NL("Sum","Item Ledger Entry","Quantity","Entry Type","Sale","Entry No.",I343,"Location Code","@@"&amp;$E$6)</t>
  </si>
  <si>
    <t>=NL("Sum","Item Ledger Entry","Quantity","Entry Type","Positive Adjmt.|Negative Adjmt.","Entry No.",I343,"Location Code","@@"&amp;$E$6)</t>
  </si>
  <si>
    <t>=NL("Sum","Item Ledger Entry","Quantity","Entry Type","Transfer","Entry No.",I343,"Location Code","@@"&amp;$E$6)</t>
  </si>
  <si>
    <t>=NL("Sum","Item Ledger Entry","Quantity","Entry Type","Consumption","Entry No.",I343,"Location Code","@@"&amp;$E$6)</t>
  </si>
  <si>
    <t>=NL("Sum","Item Ledger Entry","Quantity","Entry Type","Output","Entry No.",I343,"Location Code","@@"&amp;$E$6)</t>
  </si>
  <si>
    <t>=NL("Sum","Item Ledger Entry","Quantity","Entry Type","Purchase","Entry No.",I347,"Location Code","@@"&amp;$E$6)</t>
  </si>
  <si>
    <t>=NL("Sum","Item Ledger Entry","Quantity","Entry Type","Sale","Entry No.",I347,"Location Code","@@"&amp;$E$6)</t>
  </si>
  <si>
    <t>=NL("Sum","Item Ledger Entry","Quantity","Entry Type","Positive Adjmt.|Negative Adjmt.","Entry No.",I347,"Location Code","@@"&amp;$E$6)</t>
  </si>
  <si>
    <t>=NL("Sum","Item Ledger Entry","Quantity","Entry Type","Transfer","Entry No.",I347,"Location Code","@@"&amp;$E$6)</t>
  </si>
  <si>
    <t>=NL("Sum","Item Ledger Entry","Quantity","Entry Type","Consumption","Entry No.",I347,"Location Code","@@"&amp;$E$6)</t>
  </si>
  <si>
    <t>=NL("Sum","Item Ledger Entry","Quantity","Entry Type","Output","Entry No.",I347,"Location Code","@@"&amp;$E$6)</t>
  </si>
  <si>
    <t>=NL("Sum","Item Ledger Entry","Quantity","Entry Type","Purchase","Entry No.",I378,"Location Code","@@"&amp;$E$6)</t>
  </si>
  <si>
    <t>=NL("Sum","Item Ledger Entry","Quantity","Entry Type","Sale","Entry No.",I378,"Location Code","@@"&amp;$E$6)</t>
  </si>
  <si>
    <t>=NL("Sum","Item Ledger Entry","Quantity","Entry Type","Positive Adjmt.|Negative Adjmt.","Entry No.",I378,"Location Code","@@"&amp;$E$6)</t>
  </si>
  <si>
    <t>=NL("Sum","Item Ledger Entry","Quantity","Entry Type","Transfer","Entry No.",I378,"Location Code","@@"&amp;$E$6)</t>
  </si>
  <si>
    <t>=NL("Sum","Item Ledger Entry","Quantity","Entry Type","Consumption","Entry No.",I378,"Location Code","@@"&amp;$E$6)</t>
  </si>
  <si>
    <t>=NL("Sum","Item Ledger Entry","Quantity","Entry Type","Output","Entry No.",I378,"Location Code","@@"&amp;$E$6)</t>
  </si>
  <si>
    <t>=NL("Sum","Item Ledger Entry","Quantity","Entry Type","Purchase","Entry No.",I397,"Location Code","@@"&amp;$E$6)</t>
  </si>
  <si>
    <t>=NL("Sum","Item Ledger Entry","Quantity","Entry Type","Sale","Entry No.",I397,"Location Code","@@"&amp;$E$6)</t>
  </si>
  <si>
    <t>=NL("Sum","Item Ledger Entry","Quantity","Entry Type","Positive Adjmt.|Negative Adjmt.","Entry No.",I397,"Location Code","@@"&amp;$E$6)</t>
  </si>
  <si>
    <t>=NL("Sum","Item Ledger Entry","Quantity","Entry Type","Transfer","Entry No.",I397,"Location Code","@@"&amp;$E$6)</t>
  </si>
  <si>
    <t>=NL("Sum","Item Ledger Entry","Quantity","Entry Type","Consumption","Entry No.",I397,"Location Code","@@"&amp;$E$6)</t>
  </si>
  <si>
    <t>=NL("Sum","Item Ledger Entry","Quantity","Entry Type","Output","Entry No.",I397,"Location Code","@@"&amp;$E$6)</t>
  </si>
  <si>
    <t>=NL("Sum","Item Ledger Entry","Quantity","Entry Type","Purchase","Entry No.",I410,"Location Code","@@"&amp;$E$6)</t>
  </si>
  <si>
    <t>=NL("Sum","Item Ledger Entry","Quantity","Entry Type","Sale","Entry No.",I410,"Location Code","@@"&amp;$E$6)</t>
  </si>
  <si>
    <t>=NL("Sum","Item Ledger Entry","Quantity","Entry Type","Positive Adjmt.|Negative Adjmt.","Entry No.",I410,"Location Code","@@"&amp;$E$6)</t>
  </si>
  <si>
    <t>=NL("Sum","Item Ledger Entry","Quantity","Entry Type","Transfer","Entry No.",I410,"Location Code","@@"&amp;$E$6)</t>
  </si>
  <si>
    <t>=NL("Sum","Item Ledger Entry","Quantity","Entry Type","Consumption","Entry No.",I410,"Location Code","@@"&amp;$E$6)</t>
  </si>
  <si>
    <t>=NL("Sum","Item Ledger Entry","Quantity","Entry Type","Output","Entry No.",I410,"Location Code","@@"&amp;$E$6)</t>
  </si>
  <si>
    <t>=D411</t>
  </si>
  <si>
    <t>=NF($G412,"Posting Date")</t>
  </si>
  <si>
    <t>=NF($G412,"Entry No.")</t>
  </si>
  <si>
    <t>=NF(G412,"Source Type")</t>
  </si>
  <si>
    <t>=NF($G412,"Source No.")</t>
  </si>
  <si>
    <t>=IF($J412="Customer",NL("first",$J412,"Name","No.","@@"&amp;$K412),"")</t>
  </si>
  <si>
    <t>=IF(J412="vendor",NL("first",J412,"Name","No.","@@"&amp;K412),"")</t>
  </si>
  <si>
    <t>=IF($J412="Item",NL("first",$J412,"Description","No.","@@"&amp;$K412),"")</t>
  </si>
  <si>
    <t>=NL("Sum","Item Ledger Entry","Quantity","Entry Type","Purchase","Entry No.",I427,"Location Code","@@"&amp;$E$6)</t>
  </si>
  <si>
    <t>=NL("Sum","Item Ledger Entry","Quantity","Entry Type","Sale","Entry No.",I427,"Location Code","@@"&amp;$E$6)</t>
  </si>
  <si>
    <t>=NL("Sum","Item Ledger Entry","Quantity","Entry Type","Positive Adjmt.|Negative Adjmt.","Entry No.",I427,"Location Code","@@"&amp;$E$6)</t>
  </si>
  <si>
    <t>=NL("Sum","Item Ledger Entry","Quantity","Entry Type","Transfer","Entry No.",I427,"Location Code","@@"&amp;$E$6)</t>
  </si>
  <si>
    <t>=NL("Sum","Item Ledger Entry","Quantity","Entry Type","Consumption","Entry No.",I427,"Location Code","@@"&amp;$E$6)</t>
  </si>
  <si>
    <t>=NL("Sum","Item Ledger Entry","Quantity","Entry Type","Output","Entry No.",I427,"Location Code","@@"&amp;$E$6)</t>
  </si>
  <si>
    <t>=D427</t>
  </si>
  <si>
    <t>=NF($G428,"Posting Date")</t>
  </si>
  <si>
    <t>=NF($G428,"Entry No.")</t>
  </si>
  <si>
    <t>=NF(G428,"Source Type")</t>
  </si>
  <si>
    <t>=NF($G428,"Source No.")</t>
  </si>
  <si>
    <t>=IF($J428="Customer",NL("first",$J428,"Name","No.","@@"&amp;$K428),"")</t>
  </si>
  <si>
    <t>=IF(J428="vendor",NL("first",J428,"Name","No.","@@"&amp;K428),"")</t>
  </si>
  <si>
    <t>=IF($J428="Item",NL("first",$J428,"Description","No.","@@"&amp;$K428),"")</t>
  </si>
  <si>
    <t>=NL("Sum","Item Ledger Entry","Quantity","Entry Type","Purchase","Entry No.",I428,"Location Code","@@"&amp;$E$6)</t>
  </si>
  <si>
    <t>=NL("Sum","Item Ledger Entry","Quantity","Entry Type","Sale","Entry No.",I428,"Location Code","@@"&amp;$E$6)</t>
  </si>
  <si>
    <t>=NL("Sum","Item Ledger Entry","Quantity","Entry Type","Positive Adjmt.|Negative Adjmt.","Entry No.",I428,"Location Code","@@"&amp;$E$6)</t>
  </si>
  <si>
    <t>=NL("Sum","Item Ledger Entry","Quantity","Entry Type","Transfer","Entry No.",I428,"Location Code","@@"&amp;$E$6)</t>
  </si>
  <si>
    <t>=NL("Sum","Item Ledger Entry","Quantity","Entry Type","Consumption","Entry No.",I428,"Location Code","@@"&amp;$E$6)</t>
  </si>
  <si>
    <t>=NL("Sum","Item Ledger Entry","Quantity","Entry Type","Output","Entry No.",I428,"Location Code","@@"&amp;$E$6)</t>
  </si>
  <si>
    <t>=D428</t>
  </si>
  <si>
    <t>=NF($G429,"Posting Date")</t>
  </si>
  <si>
    <t>=NF($G429,"Entry No.")</t>
  </si>
  <si>
    <t>=NF(G429,"Source Type")</t>
  </si>
  <si>
    <t>=NF($G429,"Source No.")</t>
  </si>
  <si>
    <t>=IF($J429="Customer",NL("first",$J429,"Name","No.","@@"&amp;$K429),"")</t>
  </si>
  <si>
    <t>=IF(J429="vendor",NL("first",J429,"Name","No.","@@"&amp;K429),"")</t>
  </si>
  <si>
    <t>=IF($J429="Item",NL("first",$J429,"Description","No.","@@"&amp;$K429),"")</t>
  </si>
  <si>
    <t>=D440</t>
  </si>
  <si>
    <t>=NF($G441,"Posting Date")</t>
  </si>
  <si>
    <t>=NF($G441,"Entry No.")</t>
  </si>
  <si>
    <t>=NF(G441,"Source Type")</t>
  </si>
  <si>
    <t>=NF($G441,"Source No.")</t>
  </si>
  <si>
    <t>=IF($J441="Customer",NL("first",$J441,"Name","No.","@@"&amp;$K441),"")</t>
  </si>
  <si>
    <t>=IF(J441="vendor",NL("first",J441,"Name","No.","@@"&amp;K441),"")</t>
  </si>
  <si>
    <t>=IF($J441="Item",NL("first",$J441,"Description","No.","@@"&amp;$K441),"")</t>
  </si>
  <si>
    <t>=D445</t>
  </si>
  <si>
    <t>=NF($G446,"Posting Date")</t>
  </si>
  <si>
    <t>=NF($G446,"Entry No.")</t>
  </si>
  <si>
    <t>=NF(G446,"Source Type")</t>
  </si>
  <si>
    <t>=NF($G446,"Source No.")</t>
  </si>
  <si>
    <t>=IF($J446="Customer",NL("first",$J446,"Name","No.","@@"&amp;$K446),"")</t>
  </si>
  <si>
    <t>=IF(J446="vendor",NL("first",J446,"Name","No.","@@"&amp;K446),"")</t>
  </si>
  <si>
    <t>=IF($J446="Item",NL("first",$J446,"Description","No.","@@"&amp;$K446),"")</t>
  </si>
  <si>
    <t>=D459</t>
  </si>
  <si>
    <t>=NF($G460,"Posting Date")</t>
  </si>
  <si>
    <t>=NF($G460,"Entry No.")</t>
  </si>
  <si>
    <t>=NF(G460,"Source Type")</t>
  </si>
  <si>
    <t>=NF($G460,"Source No.")</t>
  </si>
  <si>
    <t>=IF($J460="Customer",NL("first",$J460,"Name","No.","@@"&amp;$K460),"")</t>
  </si>
  <si>
    <t>=IF(J460="vendor",NL("first",J460,"Name","No.","@@"&amp;K460),"")</t>
  </si>
  <si>
    <t>=IF($J460="Item",NL("first",$J460,"Description","No.","@@"&amp;$K460),"")</t>
  </si>
  <si>
    <t>=D460</t>
  </si>
  <si>
    <t>=NF($G461,"Posting Date")</t>
  </si>
  <si>
    <t>=NF($G461,"Entry No.")</t>
  </si>
  <si>
    <t>=NF(G461,"Source Type")</t>
  </si>
  <si>
    <t>=NF($G461,"Source No.")</t>
  </si>
  <si>
    <t>=IF($J461="Customer",NL("first",$J461,"Name","No.","@@"&amp;$K461),"")</t>
  </si>
  <si>
    <t>=IF(J461="vendor",NL("first",J461,"Name","No.","@@"&amp;K461),"")</t>
  </si>
  <si>
    <t>=IF($J461="Item",NL("first",$J461,"Description","No.","@@"&amp;$K461),"")</t>
  </si>
  <si>
    <t>=D464</t>
  </si>
  <si>
    <t>=NF($G465,"Posting Date")</t>
  </si>
  <si>
    <t>=NF($G465,"Entry No.")</t>
  </si>
  <si>
    <t>=NF(G465,"Source Type")</t>
  </si>
  <si>
    <t>=NF($G465,"Source No.")</t>
  </si>
  <si>
    <t>=IF($J465="Customer",NL("first",$J465,"Name","No.","@@"&amp;$K465),"")</t>
  </si>
  <si>
    <t>=IF(J465="vendor",NL("first",J465,"Name","No.","@@"&amp;K465),"")</t>
  </si>
  <si>
    <t>=IF($J465="Item",NL("first",$J465,"Description","No.","@@"&amp;$K465),"")</t>
  </si>
  <si>
    <t>=D473</t>
  </si>
  <si>
    <t>=NF($G474,"Posting Date")</t>
  </si>
  <si>
    <t>=NF($G474,"Entry No.")</t>
  </si>
  <si>
    <t>=NF(G474,"Source Type")</t>
  </si>
  <si>
    <t>=NF($G474,"Source No.")</t>
  </si>
  <si>
    <t>=IF($J474="Customer",NL("first",$J474,"Name","No.","@@"&amp;$K474),"")</t>
  </si>
  <si>
    <t>=IF(J474="vendor",NL("first",J474,"Name","No.","@@"&amp;K474),"")</t>
  </si>
  <si>
    <t>=IF($J474="Item",NL("first",$J474,"Description","No.","@@"&amp;$K474),"")</t>
  </si>
  <si>
    <t>=D474</t>
  </si>
  <si>
    <t>=NF($G475,"Posting Date")</t>
  </si>
  <si>
    <t>=NF($G475,"Entry No.")</t>
  </si>
  <si>
    <t>=NF(G475,"Source Type")</t>
  </si>
  <si>
    <t>=NF($G475,"Source No.")</t>
  </si>
  <si>
    <t>=IF($J475="Customer",NL("first",$J475,"Name","No.","@@"&amp;$K475),"")</t>
  </si>
  <si>
    <t>=IF(J475="vendor",NL("first",J475,"Name","No.","@@"&amp;K475),"")</t>
  </si>
  <si>
    <t>=IF($J475="Item",NL("first",$J475,"Description","No.","@@"&amp;$K475),"")</t>
  </si>
  <si>
    <t>=D483</t>
  </si>
  <si>
    <t>=NF($G484,"Posting Date")</t>
  </si>
  <si>
    <t>=NF($G484,"Entry No.")</t>
  </si>
  <si>
    <t>=NF(G484,"Source Type")</t>
  </si>
  <si>
    <t>=NF($G484,"Source No.")</t>
  </si>
  <si>
    <t>=IF($J484="Customer",NL("first",$J484,"Name","No.","@@"&amp;$K484),"")</t>
  </si>
  <si>
    <t>=IF(J484="vendor",NL("first",J484,"Name","No.","@@"&amp;K484),"")</t>
  </si>
  <si>
    <t>=IF($J484="Item",NL("first",$J484,"Description","No.","@@"&amp;$K484),"")</t>
  </si>
  <si>
    <t>=D484</t>
  </si>
  <si>
    <t>=NF($G485,"Posting Date")</t>
  </si>
  <si>
    <t>=NF($G485,"Entry No.")</t>
  </si>
  <si>
    <t>=NF(G485,"Source Type")</t>
  </si>
  <si>
    <t>=NF($G485,"Source No.")</t>
  </si>
  <si>
    <t>=IF($J485="Customer",NL("first",$J485,"Name","No.","@@"&amp;$K485),"")</t>
  </si>
  <si>
    <t>=IF(J485="vendor",NL("first",J485,"Name","No.","@@"&amp;K485),"")</t>
  </si>
  <si>
    <t>=IF($J485="Item",NL("first",$J485,"Description","No.","@@"&amp;$K485),"")</t>
  </si>
  <si>
    <t>=D512</t>
  </si>
  <si>
    <t>=NF($G513,"Posting Date")</t>
  </si>
  <si>
    <t>=NF($G513,"Entry No.")</t>
  </si>
  <si>
    <t>=NF(G513,"Source Type")</t>
  </si>
  <si>
    <t>=NF($G513,"Source No.")</t>
  </si>
  <si>
    <t>=IF($J513="Customer",NL("first",$J513,"Name","No.","@@"&amp;$K513),"")</t>
  </si>
  <si>
    <t>=IF(J513="vendor",NL("first",J513,"Name","No.","@@"&amp;K513),"")</t>
  </si>
  <si>
    <t>=IF($J513="Item",NL("first",$J513,"Description","No.","@@"&amp;$K513),"")</t>
  </si>
  <si>
    <t>="ATL-WHSE1"</t>
  </si>
  <si>
    <t>=E44</t>
  </si>
  <si>
    <t>=NL("First","Item","Description","No.",$E44)</t>
  </si>
  <si>
    <t>=NL("First","Item","Base Unit of Measure","No.",$E44)</t>
  </si>
  <si>
    <t>=(SUBTOTAL(9,O45:O46))</t>
  </si>
  <si>
    <t>=(SUBTOTAL(9,P45:P46))</t>
  </si>
  <si>
    <t>=(SUBTOTAL(9,Q45:Q46))</t>
  </si>
  <si>
    <t>=(SUBTOTAL(9,R45:R46))</t>
  </si>
  <si>
    <t>=(SUBTOTAL(9,S45:S46))</t>
  </si>
  <si>
    <t>=(SUBTOTAL(9,T45:T46))</t>
  </si>
  <si>
    <t>=SUBTOTAL(9,O45:T46)</t>
  </si>
  <si>
    <t>=NL("Rows","Item Ledger Entry",,"+Posting Date",$L$5,"Item No.","@@"&amp;$D45,"Location Code","@@"&amp;$E$6)</t>
  </si>
  <si>
    <t>="ATL-WHSE2"</t>
  </si>
  <si>
    <t>=(SUBTOTAL(9,O27:O28))</t>
  </si>
  <si>
    <t>=(SUBTOTAL(9,P27:P28))</t>
  </si>
  <si>
    <t>=(SUBTOTAL(9,Q27:Q28))</t>
  </si>
  <si>
    <t>=(SUBTOTAL(9,R27:R28))</t>
  </si>
  <si>
    <t>=(SUBTOTAL(9,S27:S28))</t>
  </si>
  <si>
    <t>=(SUBTOTAL(9,T27:T28))</t>
  </si>
  <si>
    <t>=SUBTOTAL(9,O27:T28)</t>
  </si>
  <si>
    <t>=E30</t>
  </si>
  <si>
    <t>=NL("First","Item","Description","No.",$E30)</t>
  </si>
  <si>
    <t>=NL("First","Item","Base Unit of Measure","No.",$E30)</t>
  </si>
  <si>
    <t>=(SUBTOTAL(9,O31:O33))</t>
  </si>
  <si>
    <t>=(SUBTOTAL(9,P31:P33))</t>
  </si>
  <si>
    <t>=(SUBTOTAL(9,Q31:Q33))</t>
  </si>
  <si>
    <t>=(SUBTOTAL(9,R31:R33))</t>
  </si>
  <si>
    <t>=(SUBTOTAL(9,S31:S33))</t>
  </si>
  <si>
    <t>=(SUBTOTAL(9,T31:T33))</t>
  </si>
  <si>
    <t>=SUBTOTAL(9,O31:T33)</t>
  </si>
  <si>
    <t>=NL("Rows","Item Ledger Entry",,"+Posting Date",$L$5,"Item No.","@@"&amp;$D31,"Location Code","@@"&amp;$E$6)</t>
  </si>
  <si>
    <t>=E62</t>
  </si>
  <si>
    <t>=NL("First","Item","Description","No.",$E62)</t>
  </si>
  <si>
    <t>=NL("First","Item","Base Unit of Measure","No.",$E62)</t>
  </si>
  <si>
    <t>=NL("Rows","Item Ledger Entry",,"+Posting Date",$L$5,"Item No.","@@"&amp;$D63,"Location Code","@@"&amp;$E$6)</t>
  </si>
  <si>
    <t>=E66</t>
  </si>
  <si>
    <t>=NL("First","Item","Description","No.",$E66)</t>
  </si>
  <si>
    <t>=NL("First","Item","Base Unit of Measure","No.",$E66)</t>
  </si>
  <si>
    <t>=NL("Rows","Item Ledger Entry",,"+Posting Date",$L$5,"Item No.","@@"&amp;$D67,"Location Code","@@"&amp;$E$6)</t>
  </si>
  <si>
    <t>=E84</t>
  </si>
  <si>
    <t>=NL("First","Item","Description","No.",$E84)</t>
  </si>
  <si>
    <t>=NL("First","Item","Base Unit of Measure","No.",$E84)</t>
  </si>
  <si>
    <t>=NL("Rows","Item Ledger Entry",,"+Posting Date",$L$5,"Item No.","@@"&amp;$D85,"Location Code","@@"&amp;$E$6)</t>
  </si>
  <si>
    <t>=E99</t>
  </si>
  <si>
    <t>=NL("First","Item","Description","No.",$E99)</t>
  </si>
  <si>
    <t>=NL("First","Item","Base Unit of Measure","No.",$E99)</t>
  </si>
  <si>
    <t>=NL("Rows","Item Ledger Entry",,"+Posting Date",$L$5,"Item No.","@@"&amp;$D100,"Location Code","@@"&amp;$E$6)</t>
  </si>
  <si>
    <t>=E109</t>
  </si>
  <si>
    <t>=NL("First","Item","Description","No.",$E109)</t>
  </si>
  <si>
    <t>=NL("First","Item","Base Unit of Measure","No.",$E109)</t>
  </si>
  <si>
    <t>=NL("Rows","Item Ledger Entry",,"+Posting Date",$L$5,"Item No.","@@"&amp;$D110,"Location Code","@@"&amp;$E$6)</t>
  </si>
  <si>
    <t>=E128</t>
  </si>
  <si>
    <t>=NL("First","Item","Description","No.",$E128)</t>
  </si>
  <si>
    <t>=NL("First","Item","Base Unit of Measure","No.",$E128)</t>
  </si>
  <si>
    <t>=NL("Rows","Item Ledger Entry",,"+Posting Date",$L$5,"Item No.","@@"&amp;$D129,"Location Code","@@"&amp;$E$6)</t>
  </si>
  <si>
    <t>=E133</t>
  </si>
  <si>
    <t>=NL("First","Item","Description","No.",$E133)</t>
  </si>
  <si>
    <t>=NL("First","Item","Base Unit of Measure","No.",$E133)</t>
  </si>
  <si>
    <t>=NL("Rows","Item Ledger Entry",,"+Posting Date",$L$5,"Item No.","@@"&amp;$D134,"Location Code","@@"&amp;$E$6)</t>
  </si>
  <si>
    <t>=(SUBTOTAL(9,O146:O147))</t>
  </si>
  <si>
    <t>=(SUBTOTAL(9,P146:P147))</t>
  </si>
  <si>
    <t>=(SUBTOTAL(9,Q146:Q147))</t>
  </si>
  <si>
    <t>=(SUBTOTAL(9,R146:R147))</t>
  </si>
  <si>
    <t>=(SUBTOTAL(9,S146:S147))</t>
  </si>
  <si>
    <t>=(SUBTOTAL(9,T146:T147))</t>
  </si>
  <si>
    <t>=SUBTOTAL(9,O146:T147)</t>
  </si>
  <si>
    <t>=E149</t>
  </si>
  <si>
    <t>=NL("First","Item","Description","No.",$E149)</t>
  </si>
  <si>
    <t>=NL("First","Item","Base Unit of Measure","No.",$E149)</t>
  </si>
  <si>
    <t>=(SUBTOTAL(9,O150:O151))</t>
  </si>
  <si>
    <t>=(SUBTOTAL(9,P150:P151))</t>
  </si>
  <si>
    <t>=(SUBTOTAL(9,Q150:Q151))</t>
  </si>
  <si>
    <t>=(SUBTOTAL(9,R150:R151))</t>
  </si>
  <si>
    <t>=(SUBTOTAL(9,S150:S151))</t>
  </si>
  <si>
    <t>=(SUBTOTAL(9,T150:T151))</t>
  </si>
  <si>
    <t>=SUBTOTAL(9,O150:T151)</t>
  </si>
  <si>
    <t>=NL("Rows","Item Ledger Entry",,"+Posting Date",$L$5,"Item No.","@@"&amp;$D150,"Location Code","@@"&amp;$E$6)</t>
  </si>
  <si>
    <t>=E153</t>
  </si>
  <si>
    <t>=NL("First","Item","Description","No.",$E153)</t>
  </si>
  <si>
    <t>=NL("First","Item","Base Unit of Measure","No.",$E153)</t>
  </si>
  <si>
    <t>=NL("Rows","Item Ledger Entry",,"+Posting Date",$L$5,"Item No.","@@"&amp;$D154,"Location Code","@@"&amp;$E$6)</t>
  </si>
  <si>
    <t>=NL("Sum","Item Ledger Entry","Quantity","Entry Type","Purchase","Entry No.",I166,"Location Code","@@"&amp;$E$6)</t>
  </si>
  <si>
    <t>=NL("Sum","Item Ledger Entry","Quantity","Entry Type","Sale","Entry No.",I166,"Location Code","@@"&amp;$E$6)</t>
  </si>
  <si>
    <t>=NL("Sum","Item Ledger Entry","Quantity","Entry Type","Positive Adjmt.|Negative Adjmt.","Entry No.",I166,"Location Code","@@"&amp;$E$6)</t>
  </si>
  <si>
    <t>=NL("Sum","Item Ledger Entry","Quantity","Entry Type","Transfer","Entry No.",I166,"Location Code","@@"&amp;$E$6)</t>
  </si>
  <si>
    <t>=NL("Sum","Item Ledger Entry","Quantity","Entry Type","Consumption","Entry No.",I166,"Location Code","@@"&amp;$E$6)</t>
  </si>
  <si>
    <t>=NL("Sum","Item Ledger Entry","Quantity","Entry Type","Output","Entry No.",I166,"Location Code","@@"&amp;$E$6)</t>
  </si>
  <si>
    <t>=E169</t>
  </si>
  <si>
    <t>=NL("First","Item","Description","No.",$E169)</t>
  </si>
  <si>
    <t>=NL("First","Item","Base Unit of Measure","No.",$E169)</t>
  </si>
  <si>
    <t>=(SUBTOTAL(9,O170:O172))</t>
  </si>
  <si>
    <t>=(SUBTOTAL(9,P170:P172))</t>
  </si>
  <si>
    <t>=(SUBTOTAL(9,Q170:Q172))</t>
  </si>
  <si>
    <t>=(SUBTOTAL(9,R170:R172))</t>
  </si>
  <si>
    <t>=(SUBTOTAL(9,S170:S172))</t>
  </si>
  <si>
    <t>=(SUBTOTAL(9,T170:T172))</t>
  </si>
  <si>
    <t>=SUBTOTAL(9,O170:T172)</t>
  </si>
  <si>
    <t>=NL("Rows","Item Ledger Entry",,"+Posting Date",$L$5,"Item No.","@@"&amp;$D170,"Location Code","@@"&amp;$E$6)</t>
  </si>
  <si>
    <t>=NL("Sum","Item Ledger Entry","Quantity","Entry Type","Purchase","Entry No.",I170,"Location Code","@@"&amp;$E$6)</t>
  </si>
  <si>
    <t>=NL("Sum","Item Ledger Entry","Quantity","Entry Type","Sale","Entry No.",I170,"Location Code","@@"&amp;$E$6)</t>
  </si>
  <si>
    <t>=NL("Sum","Item Ledger Entry","Quantity","Entry Type","Positive Adjmt.|Negative Adjmt.","Entry No.",I170,"Location Code","@@"&amp;$E$6)</t>
  </si>
  <si>
    <t>=NL("Sum","Item Ledger Entry","Quantity","Entry Type","Transfer","Entry No.",I170,"Location Code","@@"&amp;$E$6)</t>
  </si>
  <si>
    <t>=NL("Sum","Item Ledger Entry","Quantity","Entry Type","Consumption","Entry No.",I170,"Location Code","@@"&amp;$E$6)</t>
  </si>
  <si>
    <t>=NL("Sum","Item Ledger Entry","Quantity","Entry Type","Output","Entry No.",I170,"Location Code","@@"&amp;$E$6)</t>
  </si>
  <si>
    <t>=(SUBTOTAL(9,O175:O176))</t>
  </si>
  <si>
    <t>=(SUBTOTAL(9,P175:P176))</t>
  </si>
  <si>
    <t>=(SUBTOTAL(9,Q175:Q176))</t>
  </si>
  <si>
    <t>=(SUBTOTAL(9,R175:R176))</t>
  </si>
  <si>
    <t>=(SUBTOTAL(9,S175:S176))</t>
  </si>
  <si>
    <t>=(SUBTOTAL(9,T175:T176))</t>
  </si>
  <si>
    <t>=SUBTOTAL(9,O175:T176)</t>
  </si>
  <si>
    <t>=NL("Sum","Item Ledger Entry","Quantity","Entry Type","Purchase","Entry No.",I180,"Location Code","@@"&amp;$E$6)</t>
  </si>
  <si>
    <t>=NL("Sum","Item Ledger Entry","Quantity","Entry Type","Sale","Entry No.",I180,"Location Code","@@"&amp;$E$6)</t>
  </si>
  <si>
    <t>=NL("Sum","Item Ledger Entry","Quantity","Entry Type","Positive Adjmt.|Negative Adjmt.","Entry No.",I180,"Location Code","@@"&amp;$E$6)</t>
  </si>
  <si>
    <t>=NL("Sum","Item Ledger Entry","Quantity","Entry Type","Transfer","Entry No.",I180,"Location Code","@@"&amp;$E$6)</t>
  </si>
  <si>
    <t>=NL("Sum","Item Ledger Entry","Quantity","Entry Type","Consumption","Entry No.",I180,"Location Code","@@"&amp;$E$6)</t>
  </si>
  <si>
    <t>=NL("Sum","Item Ledger Entry","Quantity","Entry Type","Output","Entry No.",I180,"Location Code","@@"&amp;$E$6)</t>
  </si>
  <si>
    <t>=E183</t>
  </si>
  <si>
    <t>=NL("First","Item","Description","No.",$E183)</t>
  </si>
  <si>
    <t>=NL("First","Item","Base Unit of Measure","No.",$E183)</t>
  </si>
  <si>
    <t>=NL("Rows","Item Ledger Entry",,"+Posting Date",$L$5,"Item No.","@@"&amp;$D184,"Location Code","@@"&amp;$E$6)</t>
  </si>
  <si>
    <t>=NL("Sum","Item Ledger Entry","Quantity","Entry Type","Purchase","Entry No.",I184,"Location Code","@@"&amp;$E$6)</t>
  </si>
  <si>
    <t>=NL("Sum","Item Ledger Entry","Quantity","Entry Type","Sale","Entry No.",I184,"Location Code","@@"&amp;$E$6)</t>
  </si>
  <si>
    <t>=NL("Sum","Item Ledger Entry","Quantity","Entry Type","Positive Adjmt.|Negative Adjmt.","Entry No.",I184,"Location Code","@@"&amp;$E$6)</t>
  </si>
  <si>
    <t>=NL("Sum","Item Ledger Entry","Quantity","Entry Type","Transfer","Entry No.",I184,"Location Code","@@"&amp;$E$6)</t>
  </si>
  <si>
    <t>=NL("Sum","Item Ledger Entry","Quantity","Entry Type","Consumption","Entry No.",I184,"Location Code","@@"&amp;$E$6)</t>
  </si>
  <si>
    <t>=NL("Sum","Item Ledger Entry","Quantity","Entry Type","Output","Entry No.",I184,"Location Code","@@"&amp;$E$6)</t>
  </si>
  <si>
    <t>=NL("Sum","Item Ledger Entry","Quantity","Entry Type","Purchase","Entry No.",I188,"Location Code","@@"&amp;$E$6)</t>
  </si>
  <si>
    <t>=NL("Sum","Item Ledger Entry","Quantity","Entry Type","Sale","Entry No.",I188,"Location Code","@@"&amp;$E$6)</t>
  </si>
  <si>
    <t>=NL("Sum","Item Ledger Entry","Quantity","Entry Type","Positive Adjmt.|Negative Adjmt.","Entry No.",I188,"Location Code","@@"&amp;$E$6)</t>
  </si>
  <si>
    <t>=NL("Sum","Item Ledger Entry","Quantity","Entry Type","Transfer","Entry No.",I188,"Location Code","@@"&amp;$E$6)</t>
  </si>
  <si>
    <t>=NL("Sum","Item Ledger Entry","Quantity","Entry Type","Consumption","Entry No.",I188,"Location Code","@@"&amp;$E$6)</t>
  </si>
  <si>
    <t>=NL("Sum","Item Ledger Entry","Quantity","Entry Type","Output","Entry No.",I188,"Location Code","@@"&amp;$E$6)</t>
  </si>
  <si>
    <t>=E191</t>
  </si>
  <si>
    <t>=NL("First","Item","Description","No.",$E191)</t>
  </si>
  <si>
    <t>=NL("First","Item","Base Unit of Measure","No.",$E191)</t>
  </si>
  <si>
    <t>=NL("Rows","Item Ledger Entry",,"+Posting Date",$L$5,"Item No.","@@"&amp;$D192,"Location Code","@@"&amp;$E$6)</t>
  </si>
  <si>
    <t>=E205</t>
  </si>
  <si>
    <t>=NL("First","Item","Description","No.",$E205)</t>
  </si>
  <si>
    <t>=NL("First","Item","Base Unit of Measure","No.",$E205)</t>
  </si>
  <si>
    <t>=NL("Rows","Item Ledger Entry",,"+Posting Date",$L$5,"Item No.","@@"&amp;$D206,"Location Code","@@"&amp;$E$6)</t>
  </si>
  <si>
    <t>=NL("Sum","Item Ledger Entry","Quantity","Entry Type","Purchase","Entry No.",I206,"Location Code","@@"&amp;$E$6)</t>
  </si>
  <si>
    <t>=NL("Sum","Item Ledger Entry","Quantity","Entry Type","Sale","Entry No.",I206,"Location Code","@@"&amp;$E$6)</t>
  </si>
  <si>
    <t>=NL("Sum","Item Ledger Entry","Quantity","Entry Type","Positive Adjmt.|Negative Adjmt.","Entry No.",I206,"Location Code","@@"&amp;$E$6)</t>
  </si>
  <si>
    <t>=NL("Sum","Item Ledger Entry","Quantity","Entry Type","Transfer","Entry No.",I206,"Location Code","@@"&amp;$E$6)</t>
  </si>
  <si>
    <t>=NL("Sum","Item Ledger Entry","Quantity","Entry Type","Consumption","Entry No.",I206,"Location Code","@@"&amp;$E$6)</t>
  </si>
  <si>
    <t>=NL("Sum","Item Ledger Entry","Quantity","Entry Type","Output","Entry No.",I206,"Location Code","@@"&amp;$E$6)</t>
  </si>
  <si>
    <t>=NL("Sum","Item Ledger Entry","Quantity","Entry Type","Purchase","Entry No.",I208,"Location Code","@@"&amp;$E$6)</t>
  </si>
  <si>
    <t>=NL("Sum","Item Ledger Entry","Quantity","Entry Type","Sale","Entry No.",I208,"Location Code","@@"&amp;$E$6)</t>
  </si>
  <si>
    <t>=NL("Sum","Item Ledger Entry","Quantity","Entry Type","Positive Adjmt.|Negative Adjmt.","Entry No.",I208,"Location Code","@@"&amp;$E$6)</t>
  </si>
  <si>
    <t>=NL("Sum","Item Ledger Entry","Quantity","Entry Type","Transfer","Entry No.",I208,"Location Code","@@"&amp;$E$6)</t>
  </si>
  <si>
    <t>=NL("Sum","Item Ledger Entry","Quantity","Entry Type","Consumption","Entry No.",I208,"Location Code","@@"&amp;$E$6)</t>
  </si>
  <si>
    <t>=NL("Sum","Item Ledger Entry","Quantity","Entry Type","Output","Entry No.",I208,"Location Code","@@"&amp;$E$6)</t>
  </si>
  <si>
    <t>=E211</t>
  </si>
  <si>
    <t>=NL("First","Item","Description","No.",$E211)</t>
  </si>
  <si>
    <t>=NL("First","Item","Base Unit of Measure","No.",$E211)</t>
  </si>
  <si>
    <t>=NL("Rows","Item Ledger Entry",,"+Posting Date",$L$5,"Item No.","@@"&amp;$D212,"Location Code","@@"&amp;$E$6)</t>
  </si>
  <si>
    <t>=E219</t>
  </si>
  <si>
    <t>=NL("First","Item","Description","No.",$E219)</t>
  </si>
  <si>
    <t>=NL("First","Item","Base Unit of Measure","No.",$E219)</t>
  </si>
  <si>
    <t>=D219</t>
  </si>
  <si>
    <t>=NL("Rows","Item Ledger Entry",,"+Posting Date",$L$5,"Item No.","@@"&amp;$D220,"Location Code","@@"&amp;$E$6)</t>
  </si>
  <si>
    <t>=NF($G220,"Posting Date")</t>
  </si>
  <si>
    <t>=NF($G220,"Entry No.")</t>
  </si>
  <si>
    <t>=NF(G220,"Source Type")</t>
  </si>
  <si>
    <t>=NF($G220,"Source No.")</t>
  </si>
  <si>
    <t>=IF($J220="Customer",NL("first",$J220,"Name","No.","@@"&amp;$K220),"")</t>
  </si>
  <si>
    <t>=IF(J220="vendor",NL("first",J220,"Name","No.","@@"&amp;K220),"")</t>
  </si>
  <si>
    <t>=IF($J220="Item",NL("first",$J220,"Description","No.","@@"&amp;$K220),"")</t>
  </si>
  <si>
    <t>=NL("Sum","Item Ledger Entry","Quantity","Entry Type","Purchase","Entry No.",I220,"Location Code","@@"&amp;$E$6)</t>
  </si>
  <si>
    <t>=NL("Sum","Item Ledger Entry","Quantity","Entry Type","Sale","Entry No.",I220,"Location Code","@@"&amp;$E$6)</t>
  </si>
  <si>
    <t>=NL("Sum","Item Ledger Entry","Quantity","Entry Type","Positive Adjmt.|Negative Adjmt.","Entry No.",I220,"Location Code","@@"&amp;$E$6)</t>
  </si>
  <si>
    <t>=NL("Sum","Item Ledger Entry","Quantity","Entry Type","Transfer","Entry No.",I220,"Location Code","@@"&amp;$E$6)</t>
  </si>
  <si>
    <t>=NL("Sum","Item Ledger Entry","Quantity","Entry Type","Consumption","Entry No.",I220,"Location Code","@@"&amp;$E$6)</t>
  </si>
  <si>
    <t>=NL("Sum","Item Ledger Entry","Quantity","Entry Type","Output","Entry No.",I220,"Location Code","@@"&amp;$E$6)</t>
  </si>
  <si>
    <t>=NL("Sum","Item Ledger Entry","Quantity","Entry Type","Purchase","Entry No.",I232,"Location Code","@@"&amp;$E$6)</t>
  </si>
  <si>
    <t>=NL("Sum","Item Ledger Entry","Quantity","Entry Type","Sale","Entry No.",I232,"Location Code","@@"&amp;$E$6)</t>
  </si>
  <si>
    <t>=NL("Sum","Item Ledger Entry","Quantity","Entry Type","Positive Adjmt.|Negative Adjmt.","Entry No.",I232,"Location Code","@@"&amp;$E$6)</t>
  </si>
  <si>
    <t>=NL("Sum","Item Ledger Entry","Quantity","Entry Type","Transfer","Entry No.",I232,"Location Code","@@"&amp;$E$6)</t>
  </si>
  <si>
    <t>=NL("Sum","Item Ledger Entry","Quantity","Entry Type","Consumption","Entry No.",I232,"Location Code","@@"&amp;$E$6)</t>
  </si>
  <si>
    <t>=NL("Sum","Item Ledger Entry","Quantity","Entry Type","Output","Entry No.",I232,"Location Code","@@"&amp;$E$6)</t>
  </si>
  <si>
    <t>=NL("Sum","Item Ledger Entry","Quantity","Entry Type","Purchase","Entry No.",I234,"Location Code","@@"&amp;$E$6)</t>
  </si>
  <si>
    <t>=NL("Sum","Item Ledger Entry","Quantity","Entry Type","Sale","Entry No.",I234,"Location Code","@@"&amp;$E$6)</t>
  </si>
  <si>
    <t>=NL("Sum","Item Ledger Entry","Quantity","Entry Type","Positive Adjmt.|Negative Adjmt.","Entry No.",I234,"Location Code","@@"&amp;$E$6)</t>
  </si>
  <si>
    <t>=NL("Sum","Item Ledger Entry","Quantity","Entry Type","Transfer","Entry No.",I234,"Location Code","@@"&amp;$E$6)</t>
  </si>
  <si>
    <t>=NL("Sum","Item Ledger Entry","Quantity","Entry Type","Consumption","Entry No.",I234,"Location Code","@@"&amp;$E$6)</t>
  </si>
  <si>
    <t>=NL("Sum","Item Ledger Entry","Quantity","Entry Type","Output","Entry No.",I234,"Location Code","@@"&amp;$E$6)</t>
  </si>
  <si>
    <t>=E237</t>
  </si>
  <si>
    <t>=NL("First","Item","Description","No.",$E237)</t>
  </si>
  <si>
    <t>=NL("First","Item","Base Unit of Measure","No.",$E237)</t>
  </si>
  <si>
    <t>=NL("Rows","Item Ledger Entry",,"+Posting Date",$L$5,"Item No.","@@"&amp;$D238,"Location Code","@@"&amp;$E$6)</t>
  </si>
  <si>
    <t>=E245</t>
  </si>
  <si>
    <t>=NL("First","Item","Description","No.",$E245)</t>
  </si>
  <si>
    <t>=NL("First","Item","Base Unit of Measure","No.",$E245)</t>
  </si>
  <si>
    <t>=NL("Sum","Item Ledger Entry","Quantity","Entry Type","Purchase","Entry No.",I246,"Location Code","@@"&amp;$E$6)</t>
  </si>
  <si>
    <t>=NL("Sum","Item Ledger Entry","Quantity","Entry Type","Sale","Entry No.",I246,"Location Code","@@"&amp;$E$6)</t>
  </si>
  <si>
    <t>=NL("Sum","Item Ledger Entry","Quantity","Entry Type","Positive Adjmt.|Negative Adjmt.","Entry No.",I246,"Location Code","@@"&amp;$E$6)</t>
  </si>
  <si>
    <t>=NL("Sum","Item Ledger Entry","Quantity","Entry Type","Transfer","Entry No.",I246,"Location Code","@@"&amp;$E$6)</t>
  </si>
  <si>
    <t>=NL("Sum","Item Ledger Entry","Quantity","Entry Type","Consumption","Entry No.",I246,"Location Code","@@"&amp;$E$6)</t>
  </si>
  <si>
    <t>=NL("Sum","Item Ledger Entry","Quantity","Entry Type","Output","Entry No.",I246,"Location Code","@@"&amp;$E$6)</t>
  </si>
  <si>
    <t>=E250</t>
  </si>
  <si>
    <t>=NL("First","Item","Description","No.",$E250)</t>
  </si>
  <si>
    <t>=NL("First","Item","Base Unit of Measure","No.",$E250)</t>
  </si>
  <si>
    <t>=NL("Rows","Item Ledger Entry",,"+Posting Date",$L$5,"Item No.","@@"&amp;$D251,"Location Code","@@"&amp;$E$6)</t>
  </si>
  <si>
    <t>=NL("Sum","Item Ledger Entry","Quantity","Entry Type","Purchase","Entry No.",I251,"Location Code","@@"&amp;$E$6)</t>
  </si>
  <si>
    <t>=NL("Sum","Item Ledger Entry","Quantity","Entry Type","Sale","Entry No.",I251,"Location Code","@@"&amp;$E$6)</t>
  </si>
  <si>
    <t>=NL("Sum","Item Ledger Entry","Quantity","Entry Type","Positive Adjmt.|Negative Adjmt.","Entry No.",I251,"Location Code","@@"&amp;$E$6)</t>
  </si>
  <si>
    <t>=NL("Sum","Item Ledger Entry","Quantity","Entry Type","Transfer","Entry No.",I251,"Location Code","@@"&amp;$E$6)</t>
  </si>
  <si>
    <t>=NL("Sum","Item Ledger Entry","Quantity","Entry Type","Consumption","Entry No.",I251,"Location Code","@@"&amp;$E$6)</t>
  </si>
  <si>
    <t>=NL("Sum","Item Ledger Entry","Quantity","Entry Type","Output","Entry No.",I251,"Location Code","@@"&amp;$E$6)</t>
  </si>
  <si>
    <t>=E260</t>
  </si>
  <si>
    <t>=NL("First","Item","Description","No.",$E260)</t>
  </si>
  <si>
    <t>=NL("First","Item","Base Unit of Measure","No.",$E260)</t>
  </si>
  <si>
    <t>=NL("Sum","Item Ledger Entry","Quantity","Entry Type","Purchase","Entry No.",I261,"Location Code","@@"&amp;$E$6)</t>
  </si>
  <si>
    <t>=NL("Sum","Item Ledger Entry","Quantity","Entry Type","Sale","Entry No.",I261,"Location Code","@@"&amp;$E$6)</t>
  </si>
  <si>
    <t>=NL("Sum","Item Ledger Entry","Quantity","Entry Type","Positive Adjmt.|Negative Adjmt.","Entry No.",I261,"Location Code","@@"&amp;$E$6)</t>
  </si>
  <si>
    <t>=NL("Sum","Item Ledger Entry","Quantity","Entry Type","Transfer","Entry No.",I261,"Location Code","@@"&amp;$E$6)</t>
  </si>
  <si>
    <t>=NL("Sum","Item Ledger Entry","Quantity","Entry Type","Consumption","Entry No.",I261,"Location Code","@@"&amp;$E$6)</t>
  </si>
  <si>
    <t>=NL("Sum","Item Ledger Entry","Quantity","Entry Type","Output","Entry No.",I261,"Location Code","@@"&amp;$E$6)</t>
  </si>
  <si>
    <t>=E281</t>
  </si>
  <si>
    <t>=NL("First","Item","Description","No.",$E281)</t>
  </si>
  <si>
    <t>=NL("First","Item","Base Unit of Measure","No.",$E281)</t>
  </si>
  <si>
    <t>=NL("Rows","Item Ledger Entry",,"+Posting Date",$L$5,"Item No.","@@"&amp;$D282,"Location Code","@@"&amp;$E$6)</t>
  </si>
  <si>
    <t>=NL("Sum","Item Ledger Entry","Quantity","Entry Type","Purchase","Entry No.",I282,"Location Code","@@"&amp;$E$6)</t>
  </si>
  <si>
    <t>=NL("Sum","Item Ledger Entry","Quantity","Entry Type","Sale","Entry No.",I282,"Location Code","@@"&amp;$E$6)</t>
  </si>
  <si>
    <t>=NL("Sum","Item Ledger Entry","Quantity","Entry Type","Positive Adjmt.|Negative Adjmt.","Entry No.",I282,"Location Code","@@"&amp;$E$6)</t>
  </si>
  <si>
    <t>=NL("Sum","Item Ledger Entry","Quantity","Entry Type","Transfer","Entry No.",I282,"Location Code","@@"&amp;$E$6)</t>
  </si>
  <si>
    <t>=NL("Sum","Item Ledger Entry","Quantity","Entry Type","Consumption","Entry No.",I282,"Location Code","@@"&amp;$E$6)</t>
  </si>
  <si>
    <t>=NL("Sum","Item Ledger Entry","Quantity","Entry Type","Output","Entry No.",I282,"Location Code","@@"&amp;$E$6)</t>
  </si>
  <si>
    <t>=NL("Sum","Item Ledger Entry","Quantity","Entry Type","Purchase","Entry No.",I285,"Location Code","@@"&amp;$E$6)</t>
  </si>
  <si>
    <t>=NL("Sum","Item Ledger Entry","Quantity","Entry Type","Sale","Entry No.",I285,"Location Code","@@"&amp;$E$6)</t>
  </si>
  <si>
    <t>=NL("Sum","Item Ledger Entry","Quantity","Entry Type","Positive Adjmt.|Negative Adjmt.","Entry No.",I285,"Location Code","@@"&amp;$E$6)</t>
  </si>
  <si>
    <t>=NL("Sum","Item Ledger Entry","Quantity","Entry Type","Transfer","Entry No.",I285,"Location Code","@@"&amp;$E$6)</t>
  </si>
  <si>
    <t>=NL("Sum","Item Ledger Entry","Quantity","Entry Type","Consumption","Entry No.",I285,"Location Code","@@"&amp;$E$6)</t>
  </si>
  <si>
    <t>=NL("Sum","Item Ledger Entry","Quantity","Entry Type","Output","Entry No.",I285,"Location Code","@@"&amp;$E$6)</t>
  </si>
  <si>
    <t>=NL("Rows","Item Ledger Entry",,"+Posting Date",$L$5,"Item No.","@@"&amp;$D289,"Location Code","@@"&amp;$E$6)</t>
  </si>
  <si>
    <t>=NL("Sum","Item Ledger Entry","Quantity","Entry Type","Purchase","Entry No.",I294,"Location Code","@@"&amp;$E$6)</t>
  </si>
  <si>
    <t>=NL("Sum","Item Ledger Entry","Quantity","Entry Type","Sale","Entry No.",I294,"Location Code","@@"&amp;$E$6)</t>
  </si>
  <si>
    <t>=NL("Sum","Item Ledger Entry","Quantity","Entry Type","Positive Adjmt.|Negative Adjmt.","Entry No.",I294,"Location Code","@@"&amp;$E$6)</t>
  </si>
  <si>
    <t>=NL("Sum","Item Ledger Entry","Quantity","Entry Type","Transfer","Entry No.",I294,"Location Code","@@"&amp;$E$6)</t>
  </si>
  <si>
    <t>=NL("Sum","Item Ledger Entry","Quantity","Entry Type","Consumption","Entry No.",I294,"Location Code","@@"&amp;$E$6)</t>
  </si>
  <si>
    <t>=NL("Sum","Item Ledger Entry","Quantity","Entry Type","Output","Entry No.",I294,"Location Code","@@"&amp;$E$6)</t>
  </si>
  <si>
    <t>=NL("Sum","Item Ledger Entry","Quantity","Entry Type","Purchase","Entry No.",I319,"Location Code","@@"&amp;$E$6)</t>
  </si>
  <si>
    <t>=NL("Sum","Item Ledger Entry","Quantity","Entry Type","Sale","Entry No.",I319,"Location Code","@@"&amp;$E$6)</t>
  </si>
  <si>
    <t>=NL("Sum","Item Ledger Entry","Quantity","Entry Type","Positive Adjmt.|Negative Adjmt.","Entry No.",I319,"Location Code","@@"&amp;$E$6)</t>
  </si>
  <si>
    <t>=NL("Sum","Item Ledger Entry","Quantity","Entry Type","Transfer","Entry No.",I319,"Location Code","@@"&amp;$E$6)</t>
  </si>
  <si>
    <t>=NL("Sum","Item Ledger Entry","Quantity","Entry Type","Consumption","Entry No.",I319,"Location Code","@@"&amp;$E$6)</t>
  </si>
  <si>
    <t>=NL("Sum","Item Ledger Entry","Quantity","Entry Type","Output","Entry No.",I319,"Location Code","@@"&amp;$E$6)</t>
  </si>
  <si>
    <t>=NL("Sum","Item Ledger Entry","Quantity","Entry Type","Purchase","Entry No.",I324,"Location Code","@@"&amp;$E$6)</t>
  </si>
  <si>
    <t>=NL("Sum","Item Ledger Entry","Quantity","Entry Type","Sale","Entry No.",I324,"Location Code","@@"&amp;$E$6)</t>
  </si>
  <si>
    <t>=NL("Sum","Item Ledger Entry","Quantity","Entry Type","Positive Adjmt.|Negative Adjmt.","Entry No.",I324,"Location Code","@@"&amp;$E$6)</t>
  </si>
  <si>
    <t>=NL("Sum","Item Ledger Entry","Quantity","Entry Type","Transfer","Entry No.",I324,"Location Code","@@"&amp;$E$6)</t>
  </si>
  <si>
    <t>=NL("Sum","Item Ledger Entry","Quantity","Entry Type","Consumption","Entry No.",I324,"Location Code","@@"&amp;$E$6)</t>
  </si>
  <si>
    <t>=NL("Sum","Item Ledger Entry","Quantity","Entry Type","Output","Entry No.",I324,"Location Code","@@"&amp;$E$6)</t>
  </si>
  <si>
    <t>=NL("Sum","Item Ledger Entry","Quantity","Entry Type","Purchase","Entry No.",I325,"Location Code","@@"&amp;$E$6)</t>
  </si>
  <si>
    <t>=NL("Sum","Item Ledger Entry","Quantity","Entry Type","Sale","Entry No.",I325,"Location Code","@@"&amp;$E$6)</t>
  </si>
  <si>
    <t>=NL("Sum","Item Ledger Entry","Quantity","Entry Type","Positive Adjmt.|Negative Adjmt.","Entry No.",I325,"Location Code","@@"&amp;$E$6)</t>
  </si>
  <si>
    <t>=NL("Sum","Item Ledger Entry","Quantity","Entry Type","Transfer","Entry No.",I325,"Location Code","@@"&amp;$E$6)</t>
  </si>
  <si>
    <t>=NL("Sum","Item Ledger Entry","Quantity","Entry Type","Consumption","Entry No.",I325,"Location Code","@@"&amp;$E$6)</t>
  </si>
  <si>
    <t>=NL("Sum","Item Ledger Entry","Quantity","Entry Type","Output","Entry No.",I325,"Location Code","@@"&amp;$E$6)</t>
  </si>
  <si>
    <t>=E339</t>
  </si>
  <si>
    <t>=NL("First","Item","Description","No.",$E339)</t>
  </si>
  <si>
    <t>=NL("First","Item","Base Unit of Measure","No.",$E339)</t>
  </si>
  <si>
    <t>=NL("Rows","Item Ledger Entry",,"+Posting Date",$L$5,"Item No.","@@"&amp;$D340,"Location Code","@@"&amp;$E$6)</t>
  </si>
  <si>
    <t>=NL("Sum","Item Ledger Entry","Quantity","Entry Type","Purchase","Entry No.",I340,"Location Code","@@"&amp;$E$6)</t>
  </si>
  <si>
    <t>=NL("Sum","Item Ledger Entry","Quantity","Entry Type","Sale","Entry No.",I340,"Location Code","@@"&amp;$E$6)</t>
  </si>
  <si>
    <t>=NL("Sum","Item Ledger Entry","Quantity","Entry Type","Positive Adjmt.|Negative Adjmt.","Entry No.",I340,"Location Code","@@"&amp;$E$6)</t>
  </si>
  <si>
    <t>=NL("Sum","Item Ledger Entry","Quantity","Entry Type","Transfer","Entry No.",I340,"Location Code","@@"&amp;$E$6)</t>
  </si>
  <si>
    <t>=NL("Sum","Item Ledger Entry","Quantity","Entry Type","Consumption","Entry No.",I340,"Location Code","@@"&amp;$E$6)</t>
  </si>
  <si>
    <t>=NL("Sum","Item Ledger Entry","Quantity","Entry Type","Output","Entry No.",I340,"Location Code","@@"&amp;$E$6)</t>
  </si>
  <si>
    <t>=NL("Sum","Item Ledger Entry","Quantity","Entry Type","Purchase","Entry No.",I361,"Location Code","@@"&amp;$E$6)</t>
  </si>
  <si>
    <t>=NL("Sum","Item Ledger Entry","Quantity","Entry Type","Sale","Entry No.",I361,"Location Code","@@"&amp;$E$6)</t>
  </si>
  <si>
    <t>=NL("Sum","Item Ledger Entry","Quantity","Entry Type","Positive Adjmt.|Negative Adjmt.","Entry No.",I361,"Location Code","@@"&amp;$E$6)</t>
  </si>
  <si>
    <t>=NL("Sum","Item Ledger Entry","Quantity","Entry Type","Transfer","Entry No.",I361,"Location Code","@@"&amp;$E$6)</t>
  </si>
  <si>
    <t>=NL("Sum","Item Ledger Entry","Quantity","Entry Type","Consumption","Entry No.",I361,"Location Code","@@"&amp;$E$6)</t>
  </si>
  <si>
    <t>=NL("Sum","Item Ledger Entry","Quantity","Entry Type","Output","Entry No.",I361,"Location Code","@@"&amp;$E$6)</t>
  </si>
  <si>
    <t>=NL("Sum","Item Ledger Entry","Quantity","Entry Type","Purchase","Entry No.",I362,"Location Code","@@"&amp;$E$6)</t>
  </si>
  <si>
    <t>=NL("Sum","Item Ledger Entry","Quantity","Entry Type","Sale","Entry No.",I362,"Location Code","@@"&amp;$E$6)</t>
  </si>
  <si>
    <t>=NL("Sum","Item Ledger Entry","Quantity","Entry Type","Positive Adjmt.|Negative Adjmt.","Entry No.",I362,"Location Code","@@"&amp;$E$6)</t>
  </si>
  <si>
    <t>=NL("Sum","Item Ledger Entry","Quantity","Entry Type","Transfer","Entry No.",I362,"Location Code","@@"&amp;$E$6)</t>
  </si>
  <si>
    <t>=NL("Sum","Item Ledger Entry","Quantity","Entry Type","Consumption","Entry No.",I362,"Location Code","@@"&amp;$E$6)</t>
  </si>
  <si>
    <t>=NL("Sum","Item Ledger Entry","Quantity","Entry Type","Output","Entry No.",I362,"Location Code","@@"&amp;$E$6)</t>
  </si>
  <si>
    <t>=NL("Sum","Item Ledger Entry","Quantity","Entry Type","Purchase","Entry No.",I366,"Location Code","@@"&amp;$E$6)</t>
  </si>
  <si>
    <t>=NL("Sum","Item Ledger Entry","Quantity","Entry Type","Sale","Entry No.",I366,"Location Code","@@"&amp;$E$6)</t>
  </si>
  <si>
    <t>=NL("Sum","Item Ledger Entry","Quantity","Entry Type","Positive Adjmt.|Negative Adjmt.","Entry No.",I366,"Location Code","@@"&amp;$E$6)</t>
  </si>
  <si>
    <t>=NL("Sum","Item Ledger Entry","Quantity","Entry Type","Transfer","Entry No.",I366,"Location Code","@@"&amp;$E$6)</t>
  </si>
  <si>
    <t>=NL("Sum","Item Ledger Entry","Quantity","Entry Type","Consumption","Entry No.",I366,"Location Code","@@"&amp;$E$6)</t>
  </si>
  <si>
    <t>=NL("Sum","Item Ledger Entry","Quantity","Entry Type","Output","Entry No.",I366,"Location Code","@@"&amp;$E$6)</t>
  </si>
  <si>
    <t>=NL("Sum","Item Ledger Entry","Quantity","Entry Type","Purchase","Entry No.",I367,"Location Code","@@"&amp;$E$6)</t>
  </si>
  <si>
    <t>=NL("Sum","Item Ledger Entry","Quantity","Entry Type","Sale","Entry No.",I367,"Location Code","@@"&amp;$E$6)</t>
  </si>
  <si>
    <t>=NL("Sum","Item Ledger Entry","Quantity","Entry Type","Positive Adjmt.|Negative Adjmt.","Entry No.",I367,"Location Code","@@"&amp;$E$6)</t>
  </si>
  <si>
    <t>=NL("Sum","Item Ledger Entry","Quantity","Entry Type","Transfer","Entry No.",I367,"Location Code","@@"&amp;$E$6)</t>
  </si>
  <si>
    <t>=NL("Sum","Item Ledger Entry","Quantity","Entry Type","Consumption","Entry No.",I367,"Location Code","@@"&amp;$E$6)</t>
  </si>
  <si>
    <t>=NL("Sum","Item Ledger Entry","Quantity","Entry Type","Output","Entry No.",I367,"Location Code","@@"&amp;$E$6)</t>
  </si>
  <si>
    <t>=NL("Sum","Item Ledger Entry","Quantity","Entry Type","Purchase","Entry No.",I371,"Location Code","@@"&amp;$E$6)</t>
  </si>
  <si>
    <t>=NL("Sum","Item Ledger Entry","Quantity","Entry Type","Sale","Entry No.",I371,"Location Code","@@"&amp;$E$6)</t>
  </si>
  <si>
    <t>=NL("Sum","Item Ledger Entry","Quantity","Entry Type","Positive Adjmt.|Negative Adjmt.","Entry No.",I371,"Location Code","@@"&amp;$E$6)</t>
  </si>
  <si>
    <t>=NL("Sum","Item Ledger Entry","Quantity","Entry Type","Transfer","Entry No.",I371,"Location Code","@@"&amp;$E$6)</t>
  </si>
  <si>
    <t>=NL("Sum","Item Ledger Entry","Quantity","Entry Type","Consumption","Entry No.",I371,"Location Code","@@"&amp;$E$6)</t>
  </si>
  <si>
    <t>=NL("Sum","Item Ledger Entry","Quantity","Entry Type","Output","Entry No.",I371,"Location Code","@@"&amp;$E$6)</t>
  </si>
  <si>
    <t>="LA-WHSE1"</t>
  </si>
  <si>
    <t>=(SUBTOTAL(9,O22:O23))</t>
  </si>
  <si>
    <t>=(SUBTOTAL(9,P22:P23))</t>
  </si>
  <si>
    <t>=(SUBTOTAL(9,Q22:Q23))</t>
  </si>
  <si>
    <t>=(SUBTOTAL(9,R22:R23))</t>
  </si>
  <si>
    <t>=(SUBTOTAL(9,S22:S23))</t>
  </si>
  <si>
    <t>=(SUBTOTAL(9,T22:T23))</t>
  </si>
  <si>
    <t>=SUBTOTAL(9,O22:T23)</t>
  </si>
  <si>
    <t>=E25</t>
  </si>
  <si>
    <t>=NL("First","Item","Description","No.",$E25)</t>
  </si>
  <si>
    <t>=NL("First","Item","Base Unit of Measure","No.",$E25)</t>
  </si>
  <si>
    <t>=(SUBTOTAL(9,O26:O27))</t>
  </si>
  <si>
    <t>=(SUBTOTAL(9,P26:P27))</t>
  </si>
  <si>
    <t>=(SUBTOTAL(9,Q26:Q27))</t>
  </si>
  <si>
    <t>=(SUBTOTAL(9,R26:R27))</t>
  </si>
  <si>
    <t>=(SUBTOTAL(9,S26:S27))</t>
  </si>
  <si>
    <t>=(SUBTOTAL(9,T26:T27))</t>
  </si>
  <si>
    <t>=SUBTOTAL(9,O26:T27)</t>
  </si>
  <si>
    <t>=NL("Rows","Item Ledger Entry",,"+Posting Date",$L$5,"Item No.","@@"&amp;$D26,"Location Code","@@"&amp;$E$6)</t>
  </si>
  <si>
    <t>=(SUBTOTAL(9,O30:O31))</t>
  </si>
  <si>
    <t>=(SUBTOTAL(9,P30:P31))</t>
  </si>
  <si>
    <t>=(SUBTOTAL(9,Q30:Q31))</t>
  </si>
  <si>
    <t>=(SUBTOTAL(9,R30:R31))</t>
  </si>
  <si>
    <t>=(SUBTOTAL(9,S30:S31))</t>
  </si>
  <si>
    <t>=(SUBTOTAL(9,T30:T31))</t>
  </si>
  <si>
    <t>=SUBTOTAL(9,O30:T31)</t>
  </si>
  <si>
    <t>=(SUBTOTAL(9,O62:O64))</t>
  </si>
  <si>
    <t>=(SUBTOTAL(9,P62:P64))</t>
  </si>
  <si>
    <t>=(SUBTOTAL(9,Q62:Q64))</t>
  </si>
  <si>
    <t>=(SUBTOTAL(9,R62:R64))</t>
  </si>
  <si>
    <t>=(SUBTOTAL(9,S62:S64))</t>
  </si>
  <si>
    <t>=(SUBTOTAL(9,T62:T64))</t>
  </si>
  <si>
    <t>=SUBTOTAL(9,O62:T64)</t>
  </si>
  <si>
    <t>=E71</t>
  </si>
  <si>
    <t>=NL("First","Item","Description","No.",$E71)</t>
  </si>
  <si>
    <t>=NL("First","Item","Base Unit of Measure","No.",$E71)</t>
  </si>
  <si>
    <t>=NL("Rows","Item Ledger Entry",,"+Posting Date",$L$5,"Item No.","@@"&amp;$D72,"Location Code","@@"&amp;$E$6)</t>
  </si>
  <si>
    <t>=NL("Sum","Item Ledger Entry","Quantity","Entry Type","Purchase","Entry No.",I72,"Location Code","@@"&amp;$E$6)</t>
  </si>
  <si>
    <t>=NL("Sum","Item Ledger Entry","Quantity","Entry Type","Sale","Entry No.",I72,"Location Code","@@"&amp;$E$6)</t>
  </si>
  <si>
    <t>=NL("Sum","Item Ledger Entry","Quantity","Entry Type","Positive Adjmt.|Negative Adjmt.","Entry No.",I72,"Location Code","@@"&amp;$E$6)</t>
  </si>
  <si>
    <t>=NL("Sum","Item Ledger Entry","Quantity","Entry Type","Transfer","Entry No.",I72,"Location Code","@@"&amp;$E$6)</t>
  </si>
  <si>
    <t>=NL("Sum","Item Ledger Entry","Quantity","Entry Type","Consumption","Entry No.",I72,"Location Code","@@"&amp;$E$6)</t>
  </si>
  <si>
    <t>=NL("Sum","Item Ledger Entry","Quantity","Entry Type","Output","Entry No.",I72,"Location Code","@@"&amp;$E$6)</t>
  </si>
  <si>
    <t>=(SUBTOTAL(9,O79:O81))</t>
  </si>
  <si>
    <t>=(SUBTOTAL(9,P79:P81))</t>
  </si>
  <si>
    <t>=(SUBTOTAL(9,Q79:Q81))</t>
  </si>
  <si>
    <t>=(SUBTOTAL(9,R79:R81))</t>
  </si>
  <si>
    <t>=(SUBTOTAL(9,S79:S81))</t>
  </si>
  <si>
    <t>=(SUBTOTAL(9,T79:T81))</t>
  </si>
  <si>
    <t>=SUBTOTAL(9,O79:T81)</t>
  </si>
  <si>
    <t>=E102</t>
  </si>
  <si>
    <t>=NL("First","Item","Description","No.",$E102)</t>
  </si>
  <si>
    <t>=NL("First","Item","Base Unit of Measure","No.",$E102)</t>
  </si>
  <si>
    <t>=NL("Rows","Item Ledger Entry",,"+Posting Date",$L$5,"Item No.","@@"&amp;$D103,"Location Code","@@"&amp;$E$6)</t>
  </si>
  <si>
    <t>=E107</t>
  </si>
  <si>
    <t>=NL("First","Item","Description","No.",$E107)</t>
  </si>
  <si>
    <t>=NL("First","Item","Base Unit of Measure","No.",$E107)</t>
  </si>
  <si>
    <t>=(SUBTOTAL(9,O108:O109))</t>
  </si>
  <si>
    <t>=(SUBTOTAL(9,P108:P109))</t>
  </si>
  <si>
    <t>=(SUBTOTAL(9,Q108:Q109))</t>
  </si>
  <si>
    <t>=(SUBTOTAL(9,R108:R109))</t>
  </si>
  <si>
    <t>=(SUBTOTAL(9,S108:S109))</t>
  </si>
  <si>
    <t>=(SUBTOTAL(9,T108:T109))</t>
  </si>
  <si>
    <t>=SUBTOTAL(9,O108:T109)</t>
  </si>
  <si>
    <t>=NL("Rows","Item Ledger Entry",,"+Posting Date",$L$5,"Item No.","@@"&amp;$D108,"Location Code","@@"&amp;$E$6)</t>
  </si>
  <si>
    <t>=E131</t>
  </si>
  <si>
    <t>=NL("First","Item","Description","No.",$E131)</t>
  </si>
  <si>
    <t>=NL("First","Item","Base Unit of Measure","No.",$E131)</t>
  </si>
  <si>
    <t>=NL("Rows","Item Ledger Entry",,"+Posting Date",$L$5,"Item No.","@@"&amp;$D132,"Location Code","@@"&amp;$E$6)</t>
  </si>
  <si>
    <t>=E144</t>
  </si>
  <si>
    <t>=NL("First","Item","Description","No.",$E144)</t>
  </si>
  <si>
    <t>=NL("First","Item","Base Unit of Measure","No.",$E144)</t>
  </si>
  <si>
    <t>=NL("Rows","Item Ledger Entry",,"+Posting Date",$L$5,"Item No.","@@"&amp;$D145,"Location Code","@@"&amp;$E$6)</t>
  </si>
  <si>
    <t>=NL("Sum","Item Ledger Entry","Quantity","Entry Type","Purchase","Entry No.",I178,"Location Code","@@"&amp;$E$6)</t>
  </si>
  <si>
    <t>=NL("Sum","Item Ledger Entry","Quantity","Entry Type","Sale","Entry No.",I178,"Location Code","@@"&amp;$E$6)</t>
  </si>
  <si>
    <t>=NL("Sum","Item Ledger Entry","Quantity","Entry Type","Positive Adjmt.|Negative Adjmt.","Entry No.",I178,"Location Code","@@"&amp;$E$6)</t>
  </si>
  <si>
    <t>=NL("Sum","Item Ledger Entry","Quantity","Entry Type","Transfer","Entry No.",I178,"Location Code","@@"&amp;$E$6)</t>
  </si>
  <si>
    <t>=NL("Sum","Item Ledger Entry","Quantity","Entry Type","Consumption","Entry No.",I178,"Location Code","@@"&amp;$E$6)</t>
  </si>
  <si>
    <t>=NL("Sum","Item Ledger Entry","Quantity","Entry Type","Output","Entry No.",I178,"Location Code","@@"&amp;$E$6)</t>
  </si>
  <si>
    <t>=E181</t>
  </si>
  <si>
    <t>=NL("First","Item","Description","No.",$E181)</t>
  </si>
  <si>
    <t>=NL("First","Item","Base Unit of Measure","No.",$E181)</t>
  </si>
  <si>
    <t>=(SUBTOTAL(9,O182:O183))</t>
  </si>
  <si>
    <t>=(SUBTOTAL(9,P182:P183))</t>
  </si>
  <si>
    <t>=(SUBTOTAL(9,Q182:Q183))</t>
  </si>
  <si>
    <t>=(SUBTOTAL(9,R182:R183))</t>
  </si>
  <si>
    <t>=(SUBTOTAL(9,S182:S183))</t>
  </si>
  <si>
    <t>=(SUBTOTAL(9,T182:T183))</t>
  </si>
  <si>
    <t>=SUBTOTAL(9,O182:T183)</t>
  </si>
  <si>
    <t>=NL("Rows","Item Ledger Entry",,"+Posting Date",$L$5,"Item No.","@@"&amp;$D182,"Location Code","@@"&amp;$E$6)</t>
  </si>
  <si>
    <t>=NL("Sum","Item Ledger Entry","Quantity","Entry Type","Purchase","Entry No.",I182,"Location Code","@@"&amp;$E$6)</t>
  </si>
  <si>
    <t>=NL("Sum","Item Ledger Entry","Quantity","Entry Type","Sale","Entry No.",I182,"Location Code","@@"&amp;$E$6)</t>
  </si>
  <si>
    <t>=NL("Sum","Item Ledger Entry","Quantity","Entry Type","Positive Adjmt.|Negative Adjmt.","Entry No.",I182,"Location Code","@@"&amp;$E$6)</t>
  </si>
  <si>
    <t>=NL("Sum","Item Ledger Entry","Quantity","Entry Type","Transfer","Entry No.",I182,"Location Code","@@"&amp;$E$6)</t>
  </si>
  <si>
    <t>=NL("Sum","Item Ledger Entry","Quantity","Entry Type","Consumption","Entry No.",I182,"Location Code","@@"&amp;$E$6)</t>
  </si>
  <si>
    <t>=NL("Sum","Item Ledger Entry","Quantity","Entry Type","Output","Entry No.",I182,"Location Code","@@"&amp;$E$6)</t>
  </si>
  <si>
    <t>=NL("Rows","Item Ledger Entry",,"+Posting Date",$L$5,"Item No.","@@"&amp;$D186,"Location Code","@@"&amp;$E$6)</t>
  </si>
  <si>
    <t>=(SUBTOTAL(9,O191:O193))</t>
  </si>
  <si>
    <t>=(SUBTOTAL(9,P191:P193))</t>
  </si>
  <si>
    <t>=(SUBTOTAL(9,Q191:Q193))</t>
  </si>
  <si>
    <t>=(SUBTOTAL(9,R191:R193))</t>
  </si>
  <si>
    <t>=(SUBTOTAL(9,S191:S193))</t>
  </si>
  <si>
    <t>=(SUBTOTAL(9,T191:T193))</t>
  </si>
  <si>
    <t>=SUBTOTAL(9,O191:T193)</t>
  </si>
  <si>
    <t>=E195</t>
  </si>
  <si>
    <t>=NL("First","Item","Description","No.",$E195)</t>
  </si>
  <si>
    <t>=NL("First","Item","Base Unit of Measure","No.",$E195)</t>
  </si>
  <si>
    <t>=NL("Rows","Item Ledger Entry",,"+Posting Date",$L$5,"Item No.","@@"&amp;$D196,"Location Code","@@"&amp;$E$6)</t>
  </si>
  <si>
    <t>=NL("Sum","Item Ledger Entry","Quantity","Entry Type","Purchase","Entry No.",I196,"Location Code","@@"&amp;$E$6)</t>
  </si>
  <si>
    <t>=NL("Sum","Item Ledger Entry","Quantity","Entry Type","Sale","Entry No.",I196,"Location Code","@@"&amp;$E$6)</t>
  </si>
  <si>
    <t>=NL("Sum","Item Ledger Entry","Quantity","Entry Type","Positive Adjmt.|Negative Adjmt.","Entry No.",I196,"Location Code","@@"&amp;$E$6)</t>
  </si>
  <si>
    <t>=NL("Sum","Item Ledger Entry","Quantity","Entry Type","Transfer","Entry No.",I196,"Location Code","@@"&amp;$E$6)</t>
  </si>
  <si>
    <t>=NL("Sum","Item Ledger Entry","Quantity","Entry Type","Consumption","Entry No.",I196,"Location Code","@@"&amp;$E$6)</t>
  </si>
  <si>
    <t>=NL("Sum","Item Ledger Entry","Quantity","Entry Type","Output","Entry No.",I196,"Location Code","@@"&amp;$E$6)</t>
  </si>
  <si>
    <t>=NL("Sum","Item Ledger Entry","Quantity","Entry Type","Purchase","Entry No.",I199,"Location Code","@@"&amp;$E$6)</t>
  </si>
  <si>
    <t>=NL("Sum","Item Ledger Entry","Quantity","Entry Type","Sale","Entry No.",I199,"Location Code","@@"&amp;$E$6)</t>
  </si>
  <si>
    <t>=NL("Sum","Item Ledger Entry","Quantity","Entry Type","Positive Adjmt.|Negative Adjmt.","Entry No.",I199,"Location Code","@@"&amp;$E$6)</t>
  </si>
  <si>
    <t>=NL("Sum","Item Ledger Entry","Quantity","Entry Type","Transfer","Entry No.",I199,"Location Code","@@"&amp;$E$6)</t>
  </si>
  <si>
    <t>=NL("Sum","Item Ledger Entry","Quantity","Entry Type","Consumption","Entry No.",I199,"Location Code","@@"&amp;$E$6)</t>
  </si>
  <si>
    <t>=NL("Sum","Item Ledger Entry","Quantity","Entry Type","Output","Entry No.",I199,"Location Code","@@"&amp;$E$6)</t>
  </si>
  <si>
    <t>=NL("Sum","Item Ledger Entry","Quantity","Entry Type","Purchase","Entry No.",I204,"Location Code","@@"&amp;$E$6)</t>
  </si>
  <si>
    <t>=NL("Sum","Item Ledger Entry","Quantity","Entry Type","Sale","Entry No.",I204,"Location Code","@@"&amp;$E$6)</t>
  </si>
  <si>
    <t>=NL("Sum","Item Ledger Entry","Quantity","Entry Type","Positive Adjmt.|Negative Adjmt.","Entry No.",I204,"Location Code","@@"&amp;$E$6)</t>
  </si>
  <si>
    <t>=NL("Sum","Item Ledger Entry","Quantity","Entry Type","Transfer","Entry No.",I204,"Location Code","@@"&amp;$E$6)</t>
  </si>
  <si>
    <t>=NL("Sum","Item Ledger Entry","Quantity","Entry Type","Consumption","Entry No.",I204,"Location Code","@@"&amp;$E$6)</t>
  </si>
  <si>
    <t>=NL("Sum","Item Ledger Entry","Quantity","Entry Type","Output","Entry No.",I204,"Location Code","@@"&amp;$E$6)</t>
  </si>
  <si>
    <t>=NL("Sum","Item Ledger Entry","Quantity","Entry Type","Purchase","Entry No.",I210,"Location Code","@@"&amp;$E$6)</t>
  </si>
  <si>
    <t>=NL("Sum","Item Ledger Entry","Quantity","Entry Type","Sale","Entry No.",I210,"Location Code","@@"&amp;$E$6)</t>
  </si>
  <si>
    <t>=NL("Sum","Item Ledger Entry","Quantity","Entry Type","Positive Adjmt.|Negative Adjmt.","Entry No.",I210,"Location Code","@@"&amp;$E$6)</t>
  </si>
  <si>
    <t>=NL("Sum","Item Ledger Entry","Quantity","Entry Type","Transfer","Entry No.",I210,"Location Code","@@"&amp;$E$6)</t>
  </si>
  <si>
    <t>=NL("Sum","Item Ledger Entry","Quantity","Entry Type","Consumption","Entry No.",I210,"Location Code","@@"&amp;$E$6)</t>
  </si>
  <si>
    <t>=NL("Sum","Item Ledger Entry","Quantity","Entry Type","Output","Entry No.",I210,"Location Code","@@"&amp;$E$6)</t>
  </si>
  <si>
    <t>=E213</t>
  </si>
  <si>
    <t>=NL("First","Item","Description","No.",$E213)</t>
  </si>
  <si>
    <t>=NL("First","Item","Base Unit of Measure","No.",$E213)</t>
  </si>
  <si>
    <t>=NL("Rows","Item Ledger Entry",,"+Posting Date",$L$5,"Item No.","@@"&amp;$D214,"Location Code","@@"&amp;$E$6)</t>
  </si>
  <si>
    <t>=NL("Sum","Item Ledger Entry","Quantity","Entry Type","Purchase","Entry No.",I214,"Location Code","@@"&amp;$E$6)</t>
  </si>
  <si>
    <t>=NL("Sum","Item Ledger Entry","Quantity","Entry Type","Sale","Entry No.",I214,"Location Code","@@"&amp;$E$6)</t>
  </si>
  <si>
    <t>=NL("Sum","Item Ledger Entry","Quantity","Entry Type","Positive Adjmt.|Negative Adjmt.","Entry No.",I214,"Location Code","@@"&amp;$E$6)</t>
  </si>
  <si>
    <t>=NL("Sum","Item Ledger Entry","Quantity","Entry Type","Transfer","Entry No.",I214,"Location Code","@@"&amp;$E$6)</t>
  </si>
  <si>
    <t>=NL("Sum","Item Ledger Entry","Quantity","Entry Type","Consumption","Entry No.",I214,"Location Code","@@"&amp;$E$6)</t>
  </si>
  <si>
    <t>=NL("Sum","Item Ledger Entry","Quantity","Entry Type","Output","Entry No.",I214,"Location Code","@@"&amp;$E$6)</t>
  </si>
  <si>
    <t>=NL("Sum","Item Ledger Entry","Quantity","Entry Type","Purchase","Entry No.",I215,"Location Code","@@"&amp;$E$6)</t>
  </si>
  <si>
    <t>=NL("Sum","Item Ledger Entry","Quantity","Entry Type","Sale","Entry No.",I215,"Location Code","@@"&amp;$E$6)</t>
  </si>
  <si>
    <t>=NL("Sum","Item Ledger Entry","Quantity","Entry Type","Positive Adjmt.|Negative Adjmt.","Entry No.",I215,"Location Code","@@"&amp;$E$6)</t>
  </si>
  <si>
    <t>=NL("Sum","Item Ledger Entry","Quantity","Entry Type","Transfer","Entry No.",I215,"Location Code","@@"&amp;$E$6)</t>
  </si>
  <si>
    <t>=NL("Sum","Item Ledger Entry","Quantity","Entry Type","Consumption","Entry No.",I215,"Location Code","@@"&amp;$E$6)</t>
  </si>
  <si>
    <t>=NL("Sum","Item Ledger Entry","Quantity","Entry Type","Output","Entry No.",I215,"Location Code","@@"&amp;$E$6)</t>
  </si>
  <si>
    <t>=(SUBTOTAL(9,O220:O222))</t>
  </si>
  <si>
    <t>=(SUBTOTAL(9,P220:P222))</t>
  </si>
  <si>
    <t>=(SUBTOTAL(9,Q220:Q222))</t>
  </si>
  <si>
    <t>=(SUBTOTAL(9,R220:R222))</t>
  </si>
  <si>
    <t>=(SUBTOTAL(9,S220:S222))</t>
  </si>
  <si>
    <t>=(SUBTOTAL(9,T220:T222))</t>
  </si>
  <si>
    <t>=SUBTOTAL(9,O220:T222)</t>
  </si>
  <si>
    <t>=NL("Sum","Item Ledger Entry","Quantity","Entry Type","Purchase","Entry No.",I226,"Location Code","@@"&amp;$E$6)</t>
  </si>
  <si>
    <t>=NL("Sum","Item Ledger Entry","Quantity","Entry Type","Sale","Entry No.",I226,"Location Code","@@"&amp;$E$6)</t>
  </si>
  <si>
    <t>=NL("Sum","Item Ledger Entry","Quantity","Entry Type","Positive Adjmt.|Negative Adjmt.","Entry No.",I226,"Location Code","@@"&amp;$E$6)</t>
  </si>
  <si>
    <t>=NL("Sum","Item Ledger Entry","Quantity","Entry Type","Transfer","Entry No.",I226,"Location Code","@@"&amp;$E$6)</t>
  </si>
  <si>
    <t>=NL("Sum","Item Ledger Entry","Quantity","Entry Type","Consumption","Entry No.",I226,"Location Code","@@"&amp;$E$6)</t>
  </si>
  <si>
    <t>=NL("Sum","Item Ledger Entry","Quantity","Entry Type","Output","Entry No.",I226,"Location Code","@@"&amp;$E$6)</t>
  </si>
  <si>
    <t>=NL("Sum","Item Ledger Entry","Quantity","Entry Type","Purchase","Entry No.",I255,"Location Code","@@"&amp;$E$6)</t>
  </si>
  <si>
    <t>=NL("Sum","Item Ledger Entry","Quantity","Entry Type","Sale","Entry No.",I255,"Location Code","@@"&amp;$E$6)</t>
  </si>
  <si>
    <t>=NL("Sum","Item Ledger Entry","Quantity","Entry Type","Positive Adjmt.|Negative Adjmt.","Entry No.",I255,"Location Code","@@"&amp;$E$6)</t>
  </si>
  <si>
    <t>=NL("Sum","Item Ledger Entry","Quantity","Entry Type","Transfer","Entry No.",I255,"Location Code","@@"&amp;$E$6)</t>
  </si>
  <si>
    <t>=NL("Sum","Item Ledger Entry","Quantity","Entry Type","Consumption","Entry No.",I255,"Location Code","@@"&amp;$E$6)</t>
  </si>
  <si>
    <t>=NL("Sum","Item Ledger Entry","Quantity","Entry Type","Output","Entry No.",I255,"Location Code","@@"&amp;$E$6)</t>
  </si>
  <si>
    <t>=NL("Sum","Item Ledger Entry","Quantity","Entry Type","Purchase","Entry No.",I281,"Location Code","@@"&amp;$E$6)</t>
  </si>
  <si>
    <t>=NL("Sum","Item Ledger Entry","Quantity","Entry Type","Sale","Entry No.",I281,"Location Code","@@"&amp;$E$6)</t>
  </si>
  <si>
    <t>=NL("Sum","Item Ledger Entry","Quantity","Entry Type","Positive Adjmt.|Negative Adjmt.","Entry No.",I281,"Location Code","@@"&amp;$E$6)</t>
  </si>
  <si>
    <t>=NL("Sum","Item Ledger Entry","Quantity","Entry Type","Transfer","Entry No.",I281,"Location Code","@@"&amp;$E$6)</t>
  </si>
  <si>
    <t>=NL("Sum","Item Ledger Entry","Quantity","Entry Type","Consumption","Entry No.",I281,"Location Code","@@"&amp;$E$6)</t>
  </si>
  <si>
    <t>=NL("Sum","Item Ledger Entry","Quantity","Entry Type","Output","Entry No.",I281,"Location Code","@@"&amp;$E$6)</t>
  </si>
  <si>
    <t>=(SUBTOTAL(9,O297:O298))</t>
  </si>
  <si>
    <t>=(SUBTOTAL(9,P297:P298))</t>
  </si>
  <si>
    <t>=(SUBTOTAL(9,Q297:Q298))</t>
  </si>
  <si>
    <t>=(SUBTOTAL(9,R297:R298))</t>
  </si>
  <si>
    <t>=(SUBTOTAL(9,S297:S298))</t>
  </si>
  <si>
    <t>=(SUBTOTAL(9,T297:T298))</t>
  </si>
  <si>
    <t>=SUBTOTAL(9,O297:T298)</t>
  </si>
  <si>
    <t>=E300</t>
  </si>
  <si>
    <t>=NL("First","Item","Description","No.",$E300)</t>
  </si>
  <si>
    <t>=NL("First","Item","Base Unit of Measure","No.",$E300)</t>
  </si>
  <si>
    <t>=NL("Rows","Item Ledger Entry",,"+Posting Date",$L$5,"Item No.","@@"&amp;$D301,"Location Code","@@"&amp;$E$6)</t>
  </si>
  <si>
    <t>=NL("Sum","Item Ledger Entry","Quantity","Entry Type","Purchase","Entry No.",I301,"Location Code","@@"&amp;$E$6)</t>
  </si>
  <si>
    <t>=NL("Sum","Item Ledger Entry","Quantity","Entry Type","Sale","Entry No.",I301,"Location Code","@@"&amp;$E$6)</t>
  </si>
  <si>
    <t>=NL("Sum","Item Ledger Entry","Quantity","Entry Type","Positive Adjmt.|Negative Adjmt.","Entry No.",I301,"Location Code","@@"&amp;$E$6)</t>
  </si>
  <si>
    <t>=NL("Sum","Item Ledger Entry","Quantity","Entry Type","Transfer","Entry No.",I301,"Location Code","@@"&amp;$E$6)</t>
  </si>
  <si>
    <t>=NL("Sum","Item Ledger Entry","Quantity","Entry Type","Consumption","Entry No.",I301,"Location Code","@@"&amp;$E$6)</t>
  </si>
  <si>
    <t>=NL("Sum","Item Ledger Entry","Quantity","Entry Type","Output","Entry No.",I301,"Location Code","@@"&amp;$E$6)</t>
  </si>
  <si>
    <t>=NL("Sum","Item Ledger Entry","Quantity","Entry Type","Purchase","Entry No.",I302,"Location Code","@@"&amp;$E$6)</t>
  </si>
  <si>
    <t>=NL("Sum","Item Ledger Entry","Quantity","Entry Type","Sale","Entry No.",I302,"Location Code","@@"&amp;$E$6)</t>
  </si>
  <si>
    <t>=NL("Sum","Item Ledger Entry","Quantity","Entry Type","Positive Adjmt.|Negative Adjmt.","Entry No.",I302,"Location Code","@@"&amp;$E$6)</t>
  </si>
  <si>
    <t>=NL("Sum","Item Ledger Entry","Quantity","Entry Type","Transfer","Entry No.",I302,"Location Code","@@"&amp;$E$6)</t>
  </si>
  <si>
    <t>=NL("Sum","Item Ledger Entry","Quantity","Entry Type","Consumption","Entry No.",I302,"Location Code","@@"&amp;$E$6)</t>
  </si>
  <si>
    <t>=NL("Sum","Item Ledger Entry","Quantity","Entry Type","Output","Entry No.",I302,"Location Code","@@"&amp;$E$6)</t>
  </si>
  <si>
    <t>=E316</t>
  </si>
  <si>
    <t>=NL("First","Item","Description","No.",$E316)</t>
  </si>
  <si>
    <t>=NL("First","Item","Base Unit of Measure","No.",$E316)</t>
  </si>
  <si>
    <t>=NL("Rows","Item Ledger Entry",,"+Posting Date",$L$5,"Item No.","@@"&amp;$D317,"Location Code","@@"&amp;$E$6)</t>
  </si>
  <si>
    <t>=NL("Sum","Item Ledger Entry","Quantity","Entry Type","Purchase","Entry No.",I317,"Location Code","@@"&amp;$E$6)</t>
  </si>
  <si>
    <t>=NL("Sum","Item Ledger Entry","Quantity","Entry Type","Sale","Entry No.",I317,"Location Code","@@"&amp;$E$6)</t>
  </si>
  <si>
    <t>=NL("Sum","Item Ledger Entry","Quantity","Entry Type","Positive Adjmt.|Negative Adjmt.","Entry No.",I317,"Location Code","@@"&amp;$E$6)</t>
  </si>
  <si>
    <t>=NL("Sum","Item Ledger Entry","Quantity","Entry Type","Transfer","Entry No.",I317,"Location Code","@@"&amp;$E$6)</t>
  </si>
  <si>
    <t>=NL("Sum","Item Ledger Entry","Quantity","Entry Type","Consumption","Entry No.",I317,"Location Code","@@"&amp;$E$6)</t>
  </si>
  <si>
    <t>=NL("Sum","Item Ledger Entry","Quantity","Entry Type","Output","Entry No.",I317,"Location Code","@@"&amp;$E$6)</t>
  </si>
  <si>
    <t>=E345</t>
  </si>
  <si>
    <t>=NL("First","Item","Description","No.",$E345)</t>
  </si>
  <si>
    <t>=NL("First","Item","Base Unit of Measure","No.",$E345)</t>
  </si>
  <si>
    <t>=NL("Rows","Item Ledger Entry",,"+Posting Date",$L$5,"Item No.","@@"&amp;$D346,"Location Code","@@"&amp;$E$6)</t>
  </si>
  <si>
    <t>=NL("Sum","Item Ledger Entry","Quantity","Entry Type","Purchase","Entry No.",I348,"Location Code","@@"&amp;$E$6)</t>
  </si>
  <si>
    <t>=NL("Sum","Item Ledger Entry","Quantity","Entry Type","Sale","Entry No.",I348,"Location Code","@@"&amp;$E$6)</t>
  </si>
  <si>
    <t>=NL("Sum","Item Ledger Entry","Quantity","Entry Type","Positive Adjmt.|Negative Adjmt.","Entry No.",I348,"Location Code","@@"&amp;$E$6)</t>
  </si>
  <si>
    <t>=NL("Sum","Item Ledger Entry","Quantity","Entry Type","Transfer","Entry No.",I348,"Location Code","@@"&amp;$E$6)</t>
  </si>
  <si>
    <t>=NL("Sum","Item Ledger Entry","Quantity","Entry Type","Consumption","Entry No.",I348,"Location Code","@@"&amp;$E$6)</t>
  </si>
  <si>
    <t>=NL("Sum","Item Ledger Entry","Quantity","Entry Type","Output","Entry No.",I348,"Location Code","@@"&amp;$E$6)</t>
  </si>
  <si>
    <t>=D348</t>
  </si>
  <si>
    <t>=NF($G349,"Posting Date")</t>
  </si>
  <si>
    <t>=NF($G349,"Entry No.")</t>
  </si>
  <si>
    <t>=NF(G349,"Source Type")</t>
  </si>
  <si>
    <t>=NF($G349,"Source No.")</t>
  </si>
  <si>
    <t>=IF($J349="Customer",NL("first",$J349,"Name","No.","@@"&amp;$K349),"")</t>
  </si>
  <si>
    <t>=IF(J349="vendor",NL("first",J349,"Name","No.","@@"&amp;K349),"")</t>
  </si>
  <si>
    <t>=IF($J349="Item",NL("first",$J349,"Description","No.","@@"&amp;$K349),"")</t>
  </si>
  <si>
    <t>=NL("Sum","Item Ledger Entry","Quantity","Entry Type","Purchase","Entry No.",I349,"Location Code","@@"&amp;$E$6)</t>
  </si>
  <si>
    <t>=NL("Sum","Item Ledger Entry","Quantity","Entry Type","Sale","Entry No.",I349,"Location Code","@@"&amp;$E$6)</t>
  </si>
  <si>
    <t>=NL("Sum","Item Ledger Entry","Quantity","Entry Type","Positive Adjmt.|Negative Adjmt.","Entry No.",I349,"Location Code","@@"&amp;$E$6)</t>
  </si>
  <si>
    <t>=NL("Sum","Item Ledger Entry","Quantity","Entry Type","Transfer","Entry No.",I349,"Location Code","@@"&amp;$E$6)</t>
  </si>
  <si>
    <t>=NL("Sum","Item Ledger Entry","Quantity","Entry Type","Consumption","Entry No.",I349,"Location Code","@@"&amp;$E$6)</t>
  </si>
  <si>
    <t>=NL("Sum","Item Ledger Entry","Quantity","Entry Type","Output","Entry No.",I349,"Location Code","@@"&amp;$E$6)</t>
  </si>
  <si>
    <t>=E352</t>
  </si>
  <si>
    <t>=NL("First","Item","Description","No.",$E352)</t>
  </si>
  <si>
    <t>=NL("First","Item","Base Unit of Measure","No.",$E352)</t>
  </si>
  <si>
    <t>=(SUBTOTAL(9,O353:O355))</t>
  </si>
  <si>
    <t>=(SUBTOTAL(9,P353:P355))</t>
  </si>
  <si>
    <t>=(SUBTOTAL(9,Q353:Q355))</t>
  </si>
  <si>
    <t>=(SUBTOTAL(9,R353:R355))</t>
  </si>
  <si>
    <t>=(SUBTOTAL(9,S353:S355))</t>
  </si>
  <si>
    <t>=(SUBTOTAL(9,T353:T355))</t>
  </si>
  <si>
    <t>=SUBTOTAL(9,O353:T355)</t>
  </si>
  <si>
    <t>=NL("Rows","Item Ledger Entry",,"+Posting Date",$L$5,"Item No.","@@"&amp;$D353,"Location Code","@@"&amp;$E$6)</t>
  </si>
  <si>
    <t>=NL("Sum","Item Ledger Entry","Quantity","Entry Type","Purchase","Entry No.",I353,"Location Code","@@"&amp;$E$6)</t>
  </si>
  <si>
    <t>=NL("Sum","Item Ledger Entry","Quantity","Entry Type","Sale","Entry No.",I353,"Location Code","@@"&amp;$E$6)</t>
  </si>
  <si>
    <t>=NL("Sum","Item Ledger Entry","Quantity","Entry Type","Positive Adjmt.|Negative Adjmt.","Entry No.",I353,"Location Code","@@"&amp;$E$6)</t>
  </si>
  <si>
    <t>=NL("Sum","Item Ledger Entry","Quantity","Entry Type","Transfer","Entry No.",I353,"Location Code","@@"&amp;$E$6)</t>
  </si>
  <si>
    <t>=NL("Sum","Item Ledger Entry","Quantity","Entry Type","Consumption","Entry No.",I353,"Location Code","@@"&amp;$E$6)</t>
  </si>
  <si>
    <t>=NL("Sum","Item Ledger Entry","Quantity","Entry Type","Output","Entry No.",I353,"Location Code","@@"&amp;$E$6)</t>
  </si>
  <si>
    <t>=NL("Sum","Item Ledger Entry","Quantity","Entry Type","Purchase","Entry No.",I354,"Location Code","@@"&amp;$E$6)</t>
  </si>
  <si>
    <t>=NL("Sum","Item Ledger Entry","Quantity","Entry Type","Sale","Entry No.",I354,"Location Code","@@"&amp;$E$6)</t>
  </si>
  <si>
    <t>=NL("Sum","Item Ledger Entry","Quantity","Entry Type","Positive Adjmt.|Negative Adjmt.","Entry No.",I354,"Location Code","@@"&amp;$E$6)</t>
  </si>
  <si>
    <t>=NL("Sum","Item Ledger Entry","Quantity","Entry Type","Transfer","Entry No.",I354,"Location Code","@@"&amp;$E$6)</t>
  </si>
  <si>
    <t>=NL("Sum","Item Ledger Entry","Quantity","Entry Type","Consumption","Entry No.",I354,"Location Code","@@"&amp;$E$6)</t>
  </si>
  <si>
    <t>=NL("Sum","Item Ledger Entry","Quantity","Entry Type","Output","Entry No.",I354,"Location Code","@@"&amp;$E$6)</t>
  </si>
  <si>
    <t>=E357</t>
  </si>
  <si>
    <t>=NL("First","Item","Description","No.",$E357)</t>
  </si>
  <si>
    <t>=NL("First","Item","Base Unit of Measure","No.",$E357)</t>
  </si>
  <si>
    <t>=NL("Rows","Item Ledger Entry",,"+Posting Date",$L$5,"Item No.","@@"&amp;$D358,"Location Code","@@"&amp;$E$6)</t>
  </si>
  <si>
    <t>=NL("Sum","Item Ledger Entry","Quantity","Entry Type","Purchase","Entry No.",I358,"Location Code","@@"&amp;$E$6)</t>
  </si>
  <si>
    <t>=NL("Sum","Item Ledger Entry","Quantity","Entry Type","Sale","Entry No.",I358,"Location Code","@@"&amp;$E$6)</t>
  </si>
  <si>
    <t>=NL("Sum","Item Ledger Entry","Quantity","Entry Type","Positive Adjmt.|Negative Adjmt.","Entry No.",I358,"Location Code","@@"&amp;$E$6)</t>
  </si>
  <si>
    <t>=NL("Sum","Item Ledger Entry","Quantity","Entry Type","Transfer","Entry No.",I358,"Location Code","@@"&amp;$E$6)</t>
  </si>
  <si>
    <t>=NL("Sum","Item Ledger Entry","Quantity","Entry Type","Consumption","Entry No.",I358,"Location Code","@@"&amp;$E$6)</t>
  </si>
  <si>
    <t>=NL("Sum","Item Ledger Entry","Quantity","Entry Type","Output","Entry No.",I358,"Location Code","@@"&amp;$E$6)</t>
  </si>
  <si>
    <t>=NL("Sum","Item Ledger Entry","Quantity","Entry Type","Purchase","Entry No.",I363,"Location Code","@@"&amp;$E$6)</t>
  </si>
  <si>
    <t>=NL("Sum","Item Ledger Entry","Quantity","Entry Type","Sale","Entry No.",I363,"Location Code","@@"&amp;$E$6)</t>
  </si>
  <si>
    <t>=NL("Sum","Item Ledger Entry","Quantity","Entry Type","Positive Adjmt.|Negative Adjmt.","Entry No.",I363,"Location Code","@@"&amp;$E$6)</t>
  </si>
  <si>
    <t>=NL("Sum","Item Ledger Entry","Quantity","Entry Type","Transfer","Entry No.",I363,"Location Code","@@"&amp;$E$6)</t>
  </si>
  <si>
    <t>=NL("Sum","Item Ledger Entry","Quantity","Entry Type","Consumption","Entry No.",I363,"Location Code","@@"&amp;$E$6)</t>
  </si>
  <si>
    <t>=NL("Sum","Item Ledger Entry","Quantity","Entry Type","Output","Entry No.",I363,"Location Code","@@"&amp;$E$6)</t>
  </si>
  <si>
    <t>=NL("Sum","Item Ledger Entry","Quantity","Entry Type","Purchase","Entry No.",I376,"Location Code","@@"&amp;$E$6)</t>
  </si>
  <si>
    <t>=NL("Sum","Item Ledger Entry","Quantity","Entry Type","Sale","Entry No.",I376,"Location Code","@@"&amp;$E$6)</t>
  </si>
  <si>
    <t>=NL("Sum","Item Ledger Entry","Quantity","Entry Type","Positive Adjmt.|Negative Adjmt.","Entry No.",I376,"Location Code","@@"&amp;$E$6)</t>
  </si>
  <si>
    <t>=NL("Sum","Item Ledger Entry","Quantity","Entry Type","Transfer","Entry No.",I376,"Location Code","@@"&amp;$E$6)</t>
  </si>
  <si>
    <t>=NL("Sum","Item Ledger Entry","Quantity","Entry Type","Consumption","Entry No.",I376,"Location Code","@@"&amp;$E$6)</t>
  </si>
  <si>
    <t>=NL("Sum","Item Ledger Entry","Quantity","Entry Type","Output","Entry No.",I376,"Location Code","@@"&amp;$E$6)</t>
  </si>
  <si>
    <t>=NL("Sum","Item Ledger Entry","Quantity","Entry Type","Purchase","Entry No.",I380,"Location Code","@@"&amp;$E$6)</t>
  </si>
  <si>
    <t>=NL("Sum","Item Ledger Entry","Quantity","Entry Type","Sale","Entry No.",I380,"Location Code","@@"&amp;$E$6)</t>
  </si>
  <si>
    <t>=NL("Sum","Item Ledger Entry","Quantity","Entry Type","Positive Adjmt.|Negative Adjmt.","Entry No.",I380,"Location Code","@@"&amp;$E$6)</t>
  </si>
  <si>
    <t>=NL("Sum","Item Ledger Entry","Quantity","Entry Type","Transfer","Entry No.",I380,"Location Code","@@"&amp;$E$6)</t>
  </si>
  <si>
    <t>=NL("Sum","Item Ledger Entry","Quantity","Entry Type","Consumption","Entry No.",I380,"Location Code","@@"&amp;$E$6)</t>
  </si>
  <si>
    <t>=NL("Sum","Item Ledger Entry","Quantity","Entry Type","Output","Entry No.",I380,"Location Code","@@"&amp;$E$6)</t>
  </si>
  <si>
    <t>=NL("Sum","Item Ledger Entry","Quantity","Entry Type","Purchase","Entry No.",I381,"Location Code","@@"&amp;$E$6)</t>
  </si>
  <si>
    <t>=NL("Sum","Item Ledger Entry","Quantity","Entry Type","Sale","Entry No.",I381,"Location Code","@@"&amp;$E$6)</t>
  </si>
  <si>
    <t>=NL("Sum","Item Ledger Entry","Quantity","Entry Type","Positive Adjmt.|Negative Adjmt.","Entry No.",I381,"Location Code","@@"&amp;$E$6)</t>
  </si>
  <si>
    <t>=NL("Sum","Item Ledger Entry","Quantity","Entry Type","Transfer","Entry No.",I381,"Location Code","@@"&amp;$E$6)</t>
  </si>
  <si>
    <t>=NL("Sum","Item Ledger Entry","Quantity","Entry Type","Consumption","Entry No.",I381,"Location Code","@@"&amp;$E$6)</t>
  </si>
  <si>
    <t>=NL("Sum","Item Ledger Entry","Quantity","Entry Type","Output","Entry No.",I381,"Location Code","@@"&amp;$E$6)</t>
  </si>
  <si>
    <t>=NL("Sum","Item Ledger Entry","Quantity","Entry Type","Purchase","Entry No.",I385,"Location Code","@@"&amp;$E$6)</t>
  </si>
  <si>
    <t>=NL("Sum","Item Ledger Entry","Quantity","Entry Type","Sale","Entry No.",I385,"Location Code","@@"&amp;$E$6)</t>
  </si>
  <si>
    <t>=NL("Sum","Item Ledger Entry","Quantity","Entry Type","Positive Adjmt.|Negative Adjmt.","Entry No.",I385,"Location Code","@@"&amp;$E$6)</t>
  </si>
  <si>
    <t>=NL("Sum","Item Ledger Entry","Quantity","Entry Type","Transfer","Entry No.",I385,"Location Code","@@"&amp;$E$6)</t>
  </si>
  <si>
    <t>=NL("Sum","Item Ledger Entry","Quantity","Entry Type","Consumption","Entry No.",I385,"Location Code","@@"&amp;$E$6)</t>
  </si>
  <si>
    <t>=NL("Sum","Item Ledger Entry","Quantity","Entry Type","Output","Entry No.",I385,"Location Code","@@"&amp;$E$6)</t>
  </si>
  <si>
    <t>=NL("Sum","Item Ledger Entry","Quantity","Entry Type","Purchase","Entry No.",I389,"Location Code","@@"&amp;$E$6)</t>
  </si>
  <si>
    <t>=NL("Sum","Item Ledger Entry","Quantity","Entry Type","Sale","Entry No.",I389,"Location Code","@@"&amp;$E$6)</t>
  </si>
  <si>
    <t>=NL("Sum","Item Ledger Entry","Quantity","Entry Type","Positive Adjmt.|Negative Adjmt.","Entry No.",I389,"Location Code","@@"&amp;$E$6)</t>
  </si>
  <si>
    <t>=NL("Sum","Item Ledger Entry","Quantity","Entry Type","Transfer","Entry No.",I389,"Location Code","@@"&amp;$E$6)</t>
  </si>
  <si>
    <t>=NL("Sum","Item Ledger Entry","Quantity","Entry Type","Consumption","Entry No.",I389,"Location Code","@@"&amp;$E$6)</t>
  </si>
  <si>
    <t>=NL("Sum","Item Ledger Entry","Quantity","Entry Type","Output","Entry No.",I389,"Location Code","@@"&amp;$E$6)</t>
  </si>
  <si>
    <t>=NL("Sum","Item Ledger Entry","Quantity","Entry Type","Purchase","Entry No.",I390,"Location Code","@@"&amp;$E$6)</t>
  </si>
  <si>
    <t>=NL("Sum","Item Ledger Entry","Quantity","Entry Type","Sale","Entry No.",I390,"Location Code","@@"&amp;$E$6)</t>
  </si>
  <si>
    <t>=NL("Sum","Item Ledger Entry","Quantity","Entry Type","Positive Adjmt.|Negative Adjmt.","Entry No.",I390,"Location Code","@@"&amp;$E$6)</t>
  </si>
  <si>
    <t>=NL("Sum","Item Ledger Entry","Quantity","Entry Type","Transfer","Entry No.",I390,"Location Code","@@"&amp;$E$6)</t>
  </si>
  <si>
    <t>=NL("Sum","Item Ledger Entry","Quantity","Entry Type","Consumption","Entry No.",I390,"Location Code","@@"&amp;$E$6)</t>
  </si>
  <si>
    <t>=NL("Sum","Item Ledger Entry","Quantity","Entry Type","Output","Entry No.",I390,"Location Code","@@"&amp;$E$6)</t>
  </si>
  <si>
    <t>=E393</t>
  </si>
  <si>
    <t>=NL("First","Item","Description","No.",$E393)</t>
  </si>
  <si>
    <t>=NL("First","Item","Base Unit of Measure","No.",$E393)</t>
  </si>
  <si>
    <t>=NL("Rows","Item Ledger Entry",,"+Posting Date",$L$5,"Item No.","@@"&amp;$D394,"Location Code","@@"&amp;$E$6)</t>
  </si>
  <si>
    <t>="LON-WHSE1"</t>
  </si>
  <si>
    <t>=(SUBTOTAL(9,O26:O28))</t>
  </si>
  <si>
    <t>=(SUBTOTAL(9,P26:P28))</t>
  </si>
  <si>
    <t>=(SUBTOTAL(9,Q26:Q28))</t>
  </si>
  <si>
    <t>=(SUBTOTAL(9,R26:R28))</t>
  </si>
  <si>
    <t>=(SUBTOTAL(9,S26:S28))</t>
  </si>
  <si>
    <t>=(SUBTOTAL(9,T26:T28))</t>
  </si>
  <si>
    <t>=SUBTOTAL(9,O26:T28)</t>
  </si>
  <si>
    <t>=(SUBTOTAL(9,O72:O73))</t>
  </si>
  <si>
    <t>=(SUBTOTAL(9,P72:P73))</t>
  </si>
  <si>
    <t>=(SUBTOTAL(9,Q72:Q73))</t>
  </si>
  <si>
    <t>=(SUBTOTAL(9,R72:R73))</t>
  </si>
  <si>
    <t>=(SUBTOTAL(9,S72:S73))</t>
  </si>
  <si>
    <t>=(SUBTOTAL(9,T72:T73))</t>
  </si>
  <si>
    <t>=SUBTOTAL(9,O72:T73)</t>
  </si>
  <si>
    <t>=E75</t>
  </si>
  <si>
    <t>=NL("First","Item","Description","No.",$E75)</t>
  </si>
  <si>
    <t>=NL("First","Item","Base Unit of Measure","No.",$E75)</t>
  </si>
  <si>
    <t>=NL("Rows","Item Ledger Entry",,"+Posting Date",$L$5,"Item No.","@@"&amp;$D76,"Location Code","@@"&amp;$E$6)</t>
  </si>
  <si>
    <t>=E89</t>
  </si>
  <si>
    <t>=NL("First","Item","Description","No.",$E89)</t>
  </si>
  <si>
    <t>=NL("First","Item","Base Unit of Measure","No.",$E89)</t>
  </si>
  <si>
    <t>=NL("Rows","Item Ledger Entry",,"+Posting Date",$L$5,"Item No.","@@"&amp;$D90,"Location Code","@@"&amp;$E$6)</t>
  </si>
  <si>
    <t>=E103</t>
  </si>
  <si>
    <t>=NL("First","Item","Description","No.",$E103)</t>
  </si>
  <si>
    <t>=NL("First","Item","Base Unit of Measure","No.",$E103)</t>
  </si>
  <si>
    <t>=(SUBTOTAL(9,O104:O105))</t>
  </si>
  <si>
    <t>=(SUBTOTAL(9,P104:P105))</t>
  </si>
  <si>
    <t>=(SUBTOTAL(9,Q104:Q105))</t>
  </si>
  <si>
    <t>=(SUBTOTAL(9,R104:R105))</t>
  </si>
  <si>
    <t>=(SUBTOTAL(9,S104:S105))</t>
  </si>
  <si>
    <t>=(SUBTOTAL(9,T104:T105))</t>
  </si>
  <si>
    <t>=SUBTOTAL(9,O104:T105)</t>
  </si>
  <si>
    <t>=NL("Rows","Item Ledger Entry",,"+Posting Date",$L$5,"Item No.","@@"&amp;$D104,"Location Code","@@"&amp;$E$6)</t>
  </si>
  <si>
    <t>=(SUBTOTAL(9,O129:O130))</t>
  </si>
  <si>
    <t>=(SUBTOTAL(9,P129:P130))</t>
  </si>
  <si>
    <t>=(SUBTOTAL(9,Q129:Q130))</t>
  </si>
  <si>
    <t>=(SUBTOTAL(9,R129:R130))</t>
  </si>
  <si>
    <t>=(SUBTOTAL(9,S129:S130))</t>
  </si>
  <si>
    <t>=(SUBTOTAL(9,T129:T130))</t>
  </si>
  <si>
    <t>=SUBTOTAL(9,O129:T130)</t>
  </si>
  <si>
    <t>=(SUBTOTAL(9,O133:O134))</t>
  </si>
  <si>
    <t>=(SUBTOTAL(9,P133:P134))</t>
  </si>
  <si>
    <t>=(SUBTOTAL(9,Q133:Q134))</t>
  </si>
  <si>
    <t>=(SUBTOTAL(9,R133:R134))</t>
  </si>
  <si>
    <t>=(SUBTOTAL(9,S133:S134))</t>
  </si>
  <si>
    <t>=(SUBTOTAL(9,T133:T134))</t>
  </si>
  <si>
    <t>=SUBTOTAL(9,O133:T134)</t>
  </si>
  <si>
    <t>="NY-WHSE1"</t>
  </si>
  <si>
    <t>=E46</t>
  </si>
  <si>
    <t>=NL("First","Item","Description","No.",$E46)</t>
  </si>
  <si>
    <t>=NL("First","Item","Base Unit of Measure","No.",$E46)</t>
  </si>
  <si>
    <t>=(SUBTOTAL(9,O47:O49))</t>
  </si>
  <si>
    <t>=(SUBTOTAL(9,P47:P49))</t>
  </si>
  <si>
    <t>=(SUBTOTAL(9,Q47:Q49))</t>
  </si>
  <si>
    <t>=(SUBTOTAL(9,R47:R49))</t>
  </si>
  <si>
    <t>=(SUBTOTAL(9,S47:S49))</t>
  </si>
  <si>
    <t>=(SUBTOTAL(9,T47:T49))</t>
  </si>
  <si>
    <t>=SUBTOTAL(9,O47:T49)</t>
  </si>
  <si>
    <t>=NL("Rows","Item Ledger Entry",,"+Posting Date",$L$5,"Item No.","@@"&amp;$D47,"Location Code","@@"&amp;$E$6)</t>
  </si>
  <si>
    <t>=(SUBTOTAL(9,O90:O92))</t>
  </si>
  <si>
    <t>=(SUBTOTAL(9,P90:P92))</t>
  </si>
  <si>
    <t>=(SUBTOTAL(9,Q90:Q92))</t>
  </si>
  <si>
    <t>=(SUBTOTAL(9,R90:R92))</t>
  </si>
  <si>
    <t>=(SUBTOTAL(9,S90:S92))</t>
  </si>
  <si>
    <t>=(SUBTOTAL(9,T90:T92))</t>
  </si>
  <si>
    <t>=SUBTOTAL(9,O90:T92)</t>
  </si>
  <si>
    <t>=(SUBTOTAL(9,O95:O96))</t>
  </si>
  <si>
    <t>=(SUBTOTAL(9,P95:P96))</t>
  </si>
  <si>
    <t>=(SUBTOTAL(9,Q95:Q96))</t>
  </si>
  <si>
    <t>=(SUBTOTAL(9,R95:R96))</t>
  </si>
  <si>
    <t>=(SUBTOTAL(9,S95:S96))</t>
  </si>
  <si>
    <t>=(SUBTOTAL(9,T95:T96))</t>
  </si>
  <si>
    <t>=SUBTOTAL(9,O95:T96)</t>
  </si>
  <si>
    <t>=E98</t>
  </si>
  <si>
    <t>=NL("First","Item","Description","No.",$E98)</t>
  </si>
  <si>
    <t>=NL("First","Item","Base Unit of Measure","No.",$E98)</t>
  </si>
  <si>
    <t>=NL("Rows","Item Ledger Entry",,"+Posting Date",$L$5,"Item No.","@@"&amp;$D99,"Location Code","@@"&amp;$E$6)</t>
  </si>
  <si>
    <t>=(SUBTOTAL(9,O103:O104))</t>
  </si>
  <si>
    <t>=(SUBTOTAL(9,P103:P104))</t>
  </si>
  <si>
    <t>=(SUBTOTAL(9,Q103:Q104))</t>
  </si>
  <si>
    <t>=(SUBTOTAL(9,R103:R104))</t>
  </si>
  <si>
    <t>=(SUBTOTAL(9,S103:S104))</t>
  </si>
  <si>
    <t>=(SUBTOTAL(9,T103:T104))</t>
  </si>
  <si>
    <t>=SUBTOTAL(9,O103:T104)</t>
  </si>
  <si>
    <t>=E141</t>
  </si>
  <si>
    <t>=NL("First","Item","Description","No.",$E141)</t>
  </si>
  <si>
    <t>=NL("First","Item","Base Unit of Measure","No.",$E141)</t>
  </si>
  <si>
    <t>=(SUBTOTAL(9,O142:O143))</t>
  </si>
  <si>
    <t>=(SUBTOTAL(9,P142:P143))</t>
  </si>
  <si>
    <t>=(SUBTOTAL(9,Q142:Q143))</t>
  </si>
  <si>
    <t>=(SUBTOTAL(9,R142:R143))</t>
  </si>
  <si>
    <t>=(SUBTOTAL(9,S142:S143))</t>
  </si>
  <si>
    <t>=(SUBTOTAL(9,T142:T143))</t>
  </si>
  <si>
    <t>=SUBTOTAL(9,O142:T143)</t>
  </si>
  <si>
    <t>=NL("Rows","Item Ledger Entry",,"+Posting Date",$L$5,"Item No.","@@"&amp;$D142,"Location Code","@@"&amp;$E$6)</t>
  </si>
  <si>
    <t>=(SUBTOTAL(9,O154:O155))</t>
  </si>
  <si>
    <t>=(SUBTOTAL(9,P154:P155))</t>
  </si>
  <si>
    <t>=(SUBTOTAL(9,Q154:Q155))</t>
  </si>
  <si>
    <t>=(SUBTOTAL(9,R154:R155))</t>
  </si>
  <si>
    <t>=(SUBTOTAL(9,S154:S155))</t>
  </si>
  <si>
    <t>=(SUBTOTAL(9,T154:T155))</t>
  </si>
  <si>
    <t>=SUBTOTAL(9,O154:T155)</t>
  </si>
  <si>
    <t>=E157</t>
  </si>
  <si>
    <t>=NL("First","Item","Description","No.",$E157)</t>
  </si>
  <si>
    <t>=NL("First","Item","Base Unit of Measure","No.",$E157)</t>
  </si>
  <si>
    <t>=NL("Rows","Item Ledger Entry",,"+Posting Date",$L$5,"Item No.","@@"&amp;$D158,"Location Code","@@"&amp;$E$6)</t>
  </si>
  <si>
    <t>=NL("Sum","Item Ledger Entry","Quantity","Entry Type","Purchase","Entry No.",I158,"Location Code","@@"&amp;$E$6)</t>
  </si>
  <si>
    <t>=NL("Sum","Item Ledger Entry","Quantity","Entry Type","Sale","Entry No.",I158,"Location Code","@@"&amp;$E$6)</t>
  </si>
  <si>
    <t>=NL("Sum","Item Ledger Entry","Quantity","Entry Type","Positive Adjmt.|Negative Adjmt.","Entry No.",I158,"Location Code","@@"&amp;$E$6)</t>
  </si>
  <si>
    <t>=NL("Sum","Item Ledger Entry","Quantity","Entry Type","Transfer","Entry No.",I158,"Location Code","@@"&amp;$E$6)</t>
  </si>
  <si>
    <t>=NL("Sum","Item Ledger Entry","Quantity","Entry Type","Consumption","Entry No.",I158,"Location Code","@@"&amp;$E$6)</t>
  </si>
  <si>
    <t>=NL("Sum","Item Ledger Entry","Quantity","Entry Type","Output","Entry No.",I158,"Location Code","@@"&amp;$E$6)</t>
  </si>
  <si>
    <t>=(SUBTOTAL(9,O173:O175))</t>
  </si>
  <si>
    <t>=(SUBTOTAL(9,P173:P175))</t>
  </si>
  <si>
    <t>=(SUBTOTAL(9,Q173:Q175))</t>
  </si>
  <si>
    <t>=(SUBTOTAL(9,R173:R175))</t>
  </si>
  <si>
    <t>=(SUBTOTAL(9,S173:S175))</t>
  </si>
  <si>
    <t>=(SUBTOTAL(9,T173:T175))</t>
  </si>
  <si>
    <t>=SUBTOTAL(9,O173:T175)</t>
  </si>
  <si>
    <t>=(SUBTOTAL(9,O178:O179))</t>
  </si>
  <si>
    <t>=(SUBTOTAL(9,P178:P179))</t>
  </si>
  <si>
    <t>=(SUBTOTAL(9,Q178:Q179))</t>
  </si>
  <si>
    <t>=(SUBTOTAL(9,R178:R179))</t>
  </si>
  <si>
    <t>=(SUBTOTAL(9,S178:S179))</t>
  </si>
  <si>
    <t>=(SUBTOTAL(9,T178:T179))</t>
  </si>
  <si>
    <t>=SUBTOTAL(9,O178:T179)</t>
  </si>
  <si>
    <t>=NL("Rows","Item Ledger Entry",,"+Posting Date",$L$5,"Item No.","@@"&amp;$D178,"Location Code","@@"&amp;$E$6)</t>
  </si>
  <si>
    <t>=NL("Sum","Item Ledger Entry","Quantity","Entry Type","Purchase","Entry No.",I275,"Location Code","@@"&amp;$E$6)</t>
  </si>
  <si>
    <t>=NL("Sum","Item Ledger Entry","Quantity","Entry Type","Sale","Entry No.",I275,"Location Code","@@"&amp;$E$6)</t>
  </si>
  <si>
    <t>=NL("Sum","Item Ledger Entry","Quantity","Entry Type","Positive Adjmt.|Negative Adjmt.","Entry No.",I275,"Location Code","@@"&amp;$E$6)</t>
  </si>
  <si>
    <t>=NL("Sum","Item Ledger Entry","Quantity","Entry Type","Transfer","Entry No.",I275,"Location Code","@@"&amp;$E$6)</t>
  </si>
  <si>
    <t>=NL("Sum","Item Ledger Entry","Quantity","Entry Type","Consumption","Entry No.",I275,"Location Code","@@"&amp;$E$6)</t>
  </si>
  <si>
    <t>=NL("Sum","Item Ledger Entry","Quantity","Entry Type","Output","Entry No.",I275,"Location Code","@@"&amp;$E$6)</t>
  </si>
  <si>
    <t>=E278</t>
  </si>
  <si>
    <t>=NL("First","Item","Description","No.",$E278)</t>
  </si>
  <si>
    <t>=NL("First","Item","Base Unit of Measure","No.",$E278)</t>
  </si>
  <si>
    <t>=NL("Rows","Item Ledger Entry",,"+Posting Date",$L$5,"Item No.","@@"&amp;$D279,"Location Code","@@"&amp;$E$6)</t>
  </si>
  <si>
    <t>=E305</t>
  </si>
  <si>
    <t>=NL("First","Item","Description","No.",$E305)</t>
  </si>
  <si>
    <t>=NL("First","Item","Base Unit of Measure","No.",$E305)</t>
  </si>
  <si>
    <t>=NL("Rows","Item Ledger Entry",,"+Posting Date",$L$5,"Item No.","@@"&amp;$D306,"Location Code","@@"&amp;$E$6)</t>
  </si>
  <si>
    <t>=NL("Sum","Item Ledger Entry","Quantity","Entry Type","Purchase","Entry No.",I306,"Location Code","@@"&amp;$E$6)</t>
  </si>
  <si>
    <t>=NL("Sum","Item Ledger Entry","Quantity","Entry Type","Sale","Entry No.",I306,"Location Code","@@"&amp;$E$6)</t>
  </si>
  <si>
    <t>=NL("Sum","Item Ledger Entry","Quantity","Entry Type","Positive Adjmt.|Negative Adjmt.","Entry No.",I306,"Location Code","@@"&amp;$E$6)</t>
  </si>
  <si>
    <t>=NL("Sum","Item Ledger Entry","Quantity","Entry Type","Transfer","Entry No.",I306,"Location Code","@@"&amp;$E$6)</t>
  </si>
  <si>
    <t>=NL("Sum","Item Ledger Entry","Quantity","Entry Type","Consumption","Entry No.",I306,"Location Code","@@"&amp;$E$6)</t>
  </si>
  <si>
    <t>=NL("Sum","Item Ledger Entry","Quantity","Entry Type","Output","Entry No.",I306,"Location Code","@@"&amp;$E$6)</t>
  </si>
  <si>
    <t>=E313</t>
  </si>
  <si>
    <t>=NL("First","Item","Description","No.",$E313)</t>
  </si>
  <si>
    <t>=NL("First","Item","Base Unit of Measure","No.",$E313)</t>
  </si>
  <si>
    <t>=NL("Rows","Item Ledger Entry",,"+Posting Date",$L$5,"Item No.","@@"&amp;$D314,"Location Code","@@"&amp;$E$6)</t>
  </si>
  <si>
    <t>="NY-WHSE2"</t>
  </si>
  <si>
    <t>=(SUBTOTAL(9,O86:O87))</t>
  </si>
  <si>
    <t>=(SUBTOTAL(9,P86:P87))</t>
  </si>
  <si>
    <t>=(SUBTOTAL(9,Q86:Q87))</t>
  </si>
  <si>
    <t>=(SUBTOTAL(9,R86:R87))</t>
  </si>
  <si>
    <t>=(SUBTOTAL(9,S86:S87))</t>
  </si>
  <si>
    <t>=(SUBTOTAL(9,T86:T87))</t>
  </si>
  <si>
    <t>=SUBTOTAL(9,O86:T87)</t>
  </si>
  <si>
    <t>Questions About This Report</t>
  </si>
  <si>
    <t>Click here to contact sample reports</t>
  </si>
  <si>
    <t>Click here for downloads</t>
  </si>
  <si>
    <t>Tooltip</t>
  </si>
  <si>
    <t>Enter a date range using the date format used in your NAV instance</t>
  </si>
  <si>
    <t>=NL("Sum","Item Ledger Entry","Quantity","Entry Type","Purchase","Entry No.",I46,"Location Code",$L$7)</t>
  </si>
  <si>
    <t>=NL("Sum","Item Ledger Entry","Quantity","Entry Type","Sale","Entry No.",I46,"Location Code",$L$7)</t>
  </si>
  <si>
    <t>=NL("Sum","Item Ledger Entry","Quantity","Entry Type","Positive Adjmt.|Negative Adjmt.","Entry No.",I46,"Location Code",$L$7)</t>
  </si>
  <si>
    <t>=NL("Sum","Item Ledger Entry","Quantity","Entry Type","Transfer","Entry No.",I46,"Location Code",$L$7)</t>
  </si>
  <si>
    <t>=NL("Sum","Item Ledger Entry","Quantity","Entry Type","Consumption","Entry No.",I46,"Location Code",$L$7)</t>
  </si>
  <si>
    <t>=NL("Sum","Item Ledger Entry","Quantity","Entry Type","Output","Entry No.",I46,"Location Code",$L$7)</t>
  </si>
  <si>
    <t>=NL("Sum","Item Ledger Entry","Quantity","Entry Type","Purchase","Entry No.",I47,"Location Code",$L$7)</t>
  </si>
  <si>
    <t>=NL("Sum","Item Ledger Entry","Quantity","Entry Type","Sale","Entry No.",I47,"Location Code",$L$7)</t>
  </si>
  <si>
    <t>=NL("Sum","Item Ledger Entry","Quantity","Entry Type","Positive Adjmt.|Negative Adjmt.","Entry No.",I47,"Location Code",$L$7)</t>
  </si>
  <si>
    <t>=NL("Sum","Item Ledger Entry","Quantity","Entry Type","Transfer","Entry No.",I47,"Location Code",$L$7)</t>
  </si>
  <si>
    <t>=NL("Sum","Item Ledger Entry","Quantity","Entry Type","Consumption","Entry No.",I47,"Location Code",$L$7)</t>
  </si>
  <si>
    <t>=NL("Sum","Item Ledger Entry","Quantity","Entry Type","Output","Entry No.",I47,"Location Code",$L$7)</t>
  </si>
  <si>
    <t>=NL("Sum","Item Ledger Entry","Quantity","Entry Type","Purchase","Entry No.",I48,"Location Code",$L$7)</t>
  </si>
  <si>
    <t>=NL("Sum","Item Ledger Entry","Quantity","Entry Type","Sale","Entry No.",I48,"Location Code",$L$7)</t>
  </si>
  <si>
    <t>=NL("Sum","Item Ledger Entry","Quantity","Entry Type","Positive Adjmt.|Negative Adjmt.","Entry No.",I48,"Location Code",$L$7)</t>
  </si>
  <si>
    <t>=NL("Sum","Item Ledger Entry","Quantity","Entry Type","Transfer","Entry No.",I48,"Location Code",$L$7)</t>
  </si>
  <si>
    <t>=NL("Sum","Item Ledger Entry","Quantity","Entry Type","Consumption","Entry No.",I48,"Location Code",$L$7)</t>
  </si>
  <si>
    <t>=NL("Sum","Item Ledger Entry","Quantity","Entry Type","Output","Entry No.",I48,"Location Code",$L$7)</t>
  </si>
  <si>
    <t>=E63</t>
  </si>
  <si>
    <t>=NL("First","Item","Description","No.",$E63)</t>
  </si>
  <si>
    <t>=NL("First","Item","Base Unit of Measure","No.",$E63)</t>
  </si>
  <si>
    <t>=NL("Sum","Item Ledger Entry","Quantity","Entry Type","Purchase","Entry No.",I79,"Location Code",$L$7)</t>
  </si>
  <si>
    <t>=NL("Sum","Item Ledger Entry","Quantity","Entry Type","Sale","Entry No.",I79,"Location Code",$L$7)</t>
  </si>
  <si>
    <t>=NL("Sum","Item Ledger Entry","Quantity","Entry Type","Positive Adjmt.|Negative Adjmt.","Entry No.",I79,"Location Code",$L$7)</t>
  </si>
  <si>
    <t>=NL("Sum","Item Ledger Entry","Quantity","Entry Type","Transfer","Entry No.",I79,"Location Code",$L$7)</t>
  </si>
  <si>
    <t>=NL("Sum","Item Ledger Entry","Quantity","Entry Type","Consumption","Entry No.",I79,"Location Code",$L$7)</t>
  </si>
  <si>
    <t>=NL("Sum","Item Ledger Entry","Quantity","Entry Type","Output","Entry No.",I79,"Location Code",$L$7)</t>
  </si>
  <si>
    <t>=D92</t>
  </si>
  <si>
    <t>=IF($J93="Customer",NL("first",$J93,"Name","No.","@@"&amp;$K93),"")</t>
  </si>
  <si>
    <t>=IF(J93="vendor",NL("first",J93,"Name","No.","@@"&amp;K93),"")</t>
  </si>
  <si>
    <t>=IF($J93="Item",NL("first",$J93,"Description","No.","@@"&amp;$K93),"")</t>
  </si>
  <si>
    <t>=NL("Sum","Item Ledger Entry","Quantity","Entry Type","Purchase","Entry No.",I99,"Location Code",$L$7)</t>
  </si>
  <si>
    <t>=NL("Sum","Item Ledger Entry","Quantity","Entry Type","Sale","Entry No.",I99,"Location Code",$L$7)</t>
  </si>
  <si>
    <t>=NL("Sum","Item Ledger Entry","Quantity","Entry Type","Positive Adjmt.|Negative Adjmt.","Entry No.",I99,"Location Code",$L$7)</t>
  </si>
  <si>
    <t>=NL("Sum","Item Ledger Entry","Quantity","Entry Type","Transfer","Entry No.",I99,"Location Code",$L$7)</t>
  </si>
  <si>
    <t>=NL("Sum","Item Ledger Entry","Quantity","Entry Type","Consumption","Entry No.",I99,"Location Code",$L$7)</t>
  </si>
  <si>
    <t>=NL("Sum","Item Ledger Entry","Quantity","Entry Type","Output","Entry No.",I99,"Location Code",$L$7)</t>
  </si>
  <si>
    <t>=NL("Sum","Item Ledger Entry","Quantity","Entry Type","Purchase","Entry No.",I100,"Location Code",$L$7)</t>
  </si>
  <si>
    <t>=NL("Sum","Item Ledger Entry","Quantity","Entry Type","Sale","Entry No.",I100,"Location Code",$L$7)</t>
  </si>
  <si>
    <t>=NL("Sum","Item Ledger Entry","Quantity","Entry Type","Positive Adjmt.|Negative Adjmt.","Entry No.",I100,"Location Code",$L$7)</t>
  </si>
  <si>
    <t>=NL("Sum","Item Ledger Entry","Quantity","Entry Type","Transfer","Entry No.",I100,"Location Code",$L$7)</t>
  </si>
  <si>
    <t>=NL("Sum","Item Ledger Entry","Quantity","Entry Type","Consumption","Entry No.",I100,"Location Code",$L$7)</t>
  </si>
  <si>
    <t>=NL("Sum","Item Ledger Entry","Quantity","Entry Type","Output","Entry No.",I100,"Location Code",$L$7)</t>
  </si>
  <si>
    <t>=NL("Sum","Item Ledger Entry","Quantity","Entry Type","Purchase","Entry No.",I101,"Location Code",$L$7)</t>
  </si>
  <si>
    <t>=NL("Sum","Item Ledger Entry","Quantity","Entry Type","Sale","Entry No.",I101,"Location Code",$L$7)</t>
  </si>
  <si>
    <t>=NL("Sum","Item Ledger Entry","Quantity","Entry Type","Positive Adjmt.|Negative Adjmt.","Entry No.",I101,"Location Code",$L$7)</t>
  </si>
  <si>
    <t>=NL("Sum","Item Ledger Entry","Quantity","Entry Type","Transfer","Entry No.",I101,"Location Code",$L$7)</t>
  </si>
  <si>
    <t>=NL("Sum","Item Ledger Entry","Quantity","Entry Type","Consumption","Entry No.",I101,"Location Code",$L$7)</t>
  </si>
  <si>
    <t>=NL("Sum","Item Ledger Entry","Quantity","Entry Type","Output","Entry No.",I101,"Location Code",$L$7)</t>
  </si>
  <si>
    <t>=D108</t>
  </si>
  <si>
    <t>=IF($J109="Customer",NL("first",$J109,"Name","No.","@@"&amp;$K109),"")</t>
  </si>
  <si>
    <t>=IF(J109="vendor",NL("first",J109,"Name","No.","@@"&amp;K109),"")</t>
  </si>
  <si>
    <t>=IF($J109="Item",NL("first",$J109,"Description","No.","@@"&amp;$K109),"")</t>
  </si>
  <si>
    <t>=E225</t>
  </si>
  <si>
    <t>=NL("First","Item","Description","No.",$E225)</t>
  </si>
  <si>
    <t>=NL("First","Item","Base Unit of Measure","No.",$E225)</t>
  </si>
  <si>
    <t>=NL("Rows","Item Ledger Entry",,"+Posting Date",$L$5,"Item No.","@@"&amp;$D261,"Location Code",$L$7)</t>
  </si>
  <si>
    <t>=E268</t>
  </si>
  <si>
    <t>=NL("First","Item","Description","No.",$E268)</t>
  </si>
  <si>
    <t>=NL("First","Item","Base Unit of Measure","No.",$E268)</t>
  </si>
  <si>
    <t>=D273</t>
  </si>
  <si>
    <t>=IF($J274="Customer",NL("first",$J274,"Name","No.","@@"&amp;$K274),"")</t>
  </si>
  <si>
    <t>=IF(J274="vendor",NL("first",J274,"Name","No.","@@"&amp;K274),"")</t>
  </si>
  <si>
    <t>=IF($J274="Item",NL("first",$J274,"Description","No.","@@"&amp;$K274),"")</t>
  </si>
  <si>
    <t>=D294</t>
  </si>
  <si>
    <t>=NF($G295,"Posting Date")</t>
  </si>
  <si>
    <t>=NF($G295,"Entry No.")</t>
  </si>
  <si>
    <t>=NF(G295,"Source Type")</t>
  </si>
  <si>
    <t>=NF($G295,"Source No.")</t>
  </si>
  <si>
    <t>=IF($J295="Customer",NL("first",$J295,"Name","No.","@@"&amp;$K295),"")</t>
  </si>
  <si>
    <t>=IF(J295="vendor",NL("first",J295,"Name","No.","@@"&amp;K295),"")</t>
  </si>
  <si>
    <t>=IF($J295="Item",NL("first",$J295,"Description","No.","@@"&amp;$K295),"")</t>
  </si>
  <si>
    <t>=NL("Sum","Item Ledger Entry","Quantity","Entry Type","Purchase","Entry No.",I295,"Location Code",$L$7)</t>
  </si>
  <si>
    <t>=NL("Sum","Item Ledger Entry","Quantity","Entry Type","Sale","Entry No.",I295,"Location Code",$L$7)</t>
  </si>
  <si>
    <t>=NL("Sum","Item Ledger Entry","Quantity","Entry Type","Positive Adjmt.|Negative Adjmt.","Entry No.",I295,"Location Code",$L$7)</t>
  </si>
  <si>
    <t>=NL("Sum","Item Ledger Entry","Quantity","Entry Type","Transfer","Entry No.",I295,"Location Code",$L$7)</t>
  </si>
  <si>
    <t>=NL("Sum","Item Ledger Entry","Quantity","Entry Type","Consumption","Entry No.",I295,"Location Code",$L$7)</t>
  </si>
  <si>
    <t>=NL("Sum","Item Ledger Entry","Quantity","Entry Type","Output","Entry No.",I295,"Location Code",$L$7)</t>
  </si>
  <si>
    <t>=NL("Sum","Item Ledger Entry","Quantity","Entry Type","Purchase","Entry No.",I296,"Location Code",$L$7)</t>
  </si>
  <si>
    <t>=NL("Sum","Item Ledger Entry","Quantity","Entry Type","Sale","Entry No.",I296,"Location Code",$L$7)</t>
  </si>
  <si>
    <t>=NL("Sum","Item Ledger Entry","Quantity","Entry Type","Positive Adjmt.|Negative Adjmt.","Entry No.",I296,"Location Code",$L$7)</t>
  </si>
  <si>
    <t>=NL("Sum","Item Ledger Entry","Quantity","Entry Type","Transfer","Entry No.",I296,"Location Code",$L$7)</t>
  </si>
  <si>
    <t>=NL("Sum","Item Ledger Entry","Quantity","Entry Type","Consumption","Entry No.",I296,"Location Code",$L$7)</t>
  </si>
  <si>
    <t>=NL("Sum","Item Ledger Entry","Quantity","Entry Type","Output","Entry No.",I296,"Location Code",$L$7)</t>
  </si>
  <si>
    <t>=E301</t>
  </si>
  <si>
    <t>=NL("First","Item","Description","No.",$E301)</t>
  </si>
  <si>
    <t>=NL("First","Item","Base Unit of Measure","No.",$E301)</t>
  </si>
  <si>
    <t>=NL("Rows","Item Ledger Entry",,"+Posting Date",$L$5,"Item No.","@@"&amp;$D302,"Location Code",$L$7)</t>
  </si>
  <si>
    <t>=D307</t>
  </si>
  <si>
    <t>=IF($J308="Customer",NL("first",$J308,"Name","No.","@@"&amp;$K308),"")</t>
  </si>
  <si>
    <t>=IF(J308="vendor",NL("first",J308,"Name","No.","@@"&amp;K308),"")</t>
  </si>
  <si>
    <t>=IF($J308="Item",NL("first",$J308,"Description","No.","@@"&amp;$K308),"")</t>
  </si>
  <si>
    <t>=E311</t>
  </si>
  <si>
    <t>=NL("First","Item","Description","No.",$E311)</t>
  </si>
  <si>
    <t>=NL("First","Item","Base Unit of Measure","No.",$E311)</t>
  </si>
  <si>
    <t>=NL("Sum","Item Ledger Entry","Quantity","Entry Type","Purchase","Entry No.",I330,"Location Code",$L$7)</t>
  </si>
  <si>
    <t>=NL("Sum","Item Ledger Entry","Quantity","Entry Type","Sale","Entry No.",I330,"Location Code",$L$7)</t>
  </si>
  <si>
    <t>=NL("Sum","Item Ledger Entry","Quantity","Entry Type","Positive Adjmt.|Negative Adjmt.","Entry No.",I330,"Location Code",$L$7)</t>
  </si>
  <si>
    <t>=NL("Sum","Item Ledger Entry","Quantity","Entry Type","Transfer","Entry No.",I330,"Location Code",$L$7)</t>
  </si>
  <si>
    <t>=NL("Sum","Item Ledger Entry","Quantity","Entry Type","Consumption","Entry No.",I330,"Location Code",$L$7)</t>
  </si>
  <si>
    <t>=NL("Sum","Item Ledger Entry","Quantity","Entry Type","Output","Entry No.",I330,"Location Code",$L$7)</t>
  </si>
  <si>
    <t>=NL("Sum","Item Ledger Entry","Quantity","Entry Type","Purchase","Entry No.",I331,"Location Code",$L$7)</t>
  </si>
  <si>
    <t>=NL("Sum","Item Ledger Entry","Quantity","Entry Type","Sale","Entry No.",I331,"Location Code",$L$7)</t>
  </si>
  <si>
    <t>=NL("Sum","Item Ledger Entry","Quantity","Entry Type","Positive Adjmt.|Negative Adjmt.","Entry No.",I331,"Location Code",$L$7)</t>
  </si>
  <si>
    <t>=NL("Sum","Item Ledger Entry","Quantity","Entry Type","Transfer","Entry No.",I331,"Location Code",$L$7)</t>
  </si>
  <si>
    <t>=NL("Sum","Item Ledger Entry","Quantity","Entry Type","Consumption","Entry No.",I331,"Location Code",$L$7)</t>
  </si>
  <si>
    <t>=NL("Sum","Item Ledger Entry","Quantity","Entry Type","Output","Entry No.",I331,"Location Code",$L$7)</t>
  </si>
  <si>
    <t>=NL("Sum","Item Ledger Entry","Quantity","Entry Type","Purchase","Entry No.",I332,"Location Code",$L$7)</t>
  </si>
  <si>
    <t>=NL("Sum","Item Ledger Entry","Quantity","Entry Type","Sale","Entry No.",I332,"Location Code",$L$7)</t>
  </si>
  <si>
    <t>=NL("Sum","Item Ledger Entry","Quantity","Entry Type","Positive Adjmt.|Negative Adjmt.","Entry No.",I332,"Location Code",$L$7)</t>
  </si>
  <si>
    <t>=NL("Sum","Item Ledger Entry","Quantity","Entry Type","Transfer","Entry No.",I332,"Location Code",$L$7)</t>
  </si>
  <si>
    <t>=NL("Sum","Item Ledger Entry","Quantity","Entry Type","Consumption","Entry No.",I332,"Location Code",$L$7)</t>
  </si>
  <si>
    <t>=NL("Sum","Item Ledger Entry","Quantity","Entry Type","Output","Entry No.",I332,"Location Code",$L$7)</t>
  </si>
  <si>
    <t>=E353</t>
  </si>
  <si>
    <t>=NL("First","Item","Description","No.",$E353)</t>
  </si>
  <si>
    <t>=NL("First","Item","Base Unit of Measure","No.",$E353)</t>
  </si>
  <si>
    <t>=(SUBTOTAL(9,O354:O358))</t>
  </si>
  <si>
    <t>=(SUBTOTAL(9,P354:P358))</t>
  </si>
  <si>
    <t>=(SUBTOTAL(9,Q354:Q358))</t>
  </si>
  <si>
    <t>=(SUBTOTAL(9,R354:R358))</t>
  </si>
  <si>
    <t>=(SUBTOTAL(9,S354:S358))</t>
  </si>
  <si>
    <t>=(SUBTOTAL(9,T354:T358))</t>
  </si>
  <si>
    <t>=SUBTOTAL(9,O354:T358)</t>
  </si>
  <si>
    <t>=NL("Sum","Item Ledger Entry","Quantity","Entry Type","Purchase","Entry No.",I375,"Location Code",$L$7)</t>
  </si>
  <si>
    <t>=NL("Sum","Item Ledger Entry","Quantity","Entry Type","Sale","Entry No.",I375,"Location Code",$L$7)</t>
  </si>
  <si>
    <t>=NL("Sum","Item Ledger Entry","Quantity","Entry Type","Positive Adjmt.|Negative Adjmt.","Entry No.",I375,"Location Code",$L$7)</t>
  </si>
  <si>
    <t>=NL("Sum","Item Ledger Entry","Quantity","Entry Type","Transfer","Entry No.",I375,"Location Code",$L$7)</t>
  </si>
  <si>
    <t>=NL("Sum","Item Ledger Entry","Quantity","Entry Type","Consumption","Entry No.",I375,"Location Code",$L$7)</t>
  </si>
  <si>
    <t>=NL("Sum","Item Ledger Entry","Quantity","Entry Type","Output","Entry No.",I375,"Location Code",$L$7)</t>
  </si>
  <si>
    <t>=NL("Sum","Item Ledger Entry","Quantity","Entry Type","Purchase","Entry No.",I376,"Location Code",$L$7)</t>
  </si>
  <si>
    <t>=NL("Sum","Item Ledger Entry","Quantity","Entry Type","Sale","Entry No.",I376,"Location Code",$L$7)</t>
  </si>
  <si>
    <t>=NL("Sum","Item Ledger Entry","Quantity","Entry Type","Positive Adjmt.|Negative Adjmt.","Entry No.",I376,"Location Code",$L$7)</t>
  </si>
  <si>
    <t>=NL("Sum","Item Ledger Entry","Quantity","Entry Type","Transfer","Entry No.",I376,"Location Code",$L$7)</t>
  </si>
  <si>
    <t>=NL("Sum","Item Ledger Entry","Quantity","Entry Type","Consumption","Entry No.",I376,"Location Code",$L$7)</t>
  </si>
  <si>
    <t>=NL("Sum","Item Ledger Entry","Quantity","Entry Type","Output","Entry No.",I376,"Location Code",$L$7)</t>
  </si>
  <si>
    <t>=D376</t>
  </si>
  <si>
    <t>=NF($G377,"Posting Date")</t>
  </si>
  <si>
    <t>=NF($G377,"Entry No.")</t>
  </si>
  <si>
    <t>=NF(G377,"Source Type")</t>
  </si>
  <si>
    <t>=NF($G377,"Source No.")</t>
  </si>
  <si>
    <t>=IF($J377="Customer",NL("first",$J377,"Name","No.","@@"&amp;$K377),"")</t>
  </si>
  <si>
    <t>=IF(J377="vendor",NL("first",J377,"Name","No.","@@"&amp;K377),"")</t>
  </si>
  <si>
    <t>=IF($J377="Item",NL("first",$J377,"Description","No.","@@"&amp;$K377),"")</t>
  </si>
  <si>
    <t>=NL("Sum","Item Ledger Entry","Quantity","Entry Type","Purchase","Entry No.",I377,"Location Code",$L$7)</t>
  </si>
  <si>
    <t>=NL("Sum","Item Ledger Entry","Quantity","Entry Type","Sale","Entry No.",I377,"Location Code",$L$7)</t>
  </si>
  <si>
    <t>=NL("Sum","Item Ledger Entry","Quantity","Entry Type","Positive Adjmt.|Negative Adjmt.","Entry No.",I377,"Location Code",$L$7)</t>
  </si>
  <si>
    <t>=NL("Sum","Item Ledger Entry","Quantity","Entry Type","Transfer","Entry No.",I377,"Location Code",$L$7)</t>
  </si>
  <si>
    <t>=NL("Sum","Item Ledger Entry","Quantity","Entry Type","Consumption","Entry No.",I377,"Location Code",$L$7)</t>
  </si>
  <si>
    <t>=NL("Sum","Item Ledger Entry","Quantity","Entry Type","Output","Entry No.",I377,"Location Code",$L$7)</t>
  </si>
  <si>
    <t>=E389</t>
  </si>
  <si>
    <t>=NL("First","Item","Description","No.",$E389)</t>
  </si>
  <si>
    <t>=NL("First","Item","Base Unit of Measure","No.",$E389)</t>
  </si>
  <si>
    <t>=NL("Sum","Item Ledger Entry","Quantity","Entry Type","Purchase","Entry No.",I390,"Location Code",$L$7)</t>
  </si>
  <si>
    <t>=NL("Sum","Item Ledger Entry","Quantity","Entry Type","Sale","Entry No.",I390,"Location Code",$L$7)</t>
  </si>
  <si>
    <t>=NL("Sum","Item Ledger Entry","Quantity","Entry Type","Positive Adjmt.|Negative Adjmt.","Entry No.",I390,"Location Code",$L$7)</t>
  </si>
  <si>
    <t>=NL("Sum","Item Ledger Entry","Quantity","Entry Type","Transfer","Entry No.",I390,"Location Code",$L$7)</t>
  </si>
  <si>
    <t>=NL("Sum","Item Ledger Entry","Quantity","Entry Type","Consumption","Entry No.",I390,"Location Code",$L$7)</t>
  </si>
  <si>
    <t>=NL("Sum","Item Ledger Entry","Quantity","Entry Type","Output","Entry No.",I390,"Location Code",$L$7)</t>
  </si>
  <si>
    <t>=NL("Sum","Item Ledger Entry","Quantity","Entry Type","Purchase","Entry No.",I391,"Location Code",$L$7)</t>
  </si>
  <si>
    <t>=NL("Sum","Item Ledger Entry","Quantity","Entry Type","Sale","Entry No.",I391,"Location Code",$L$7)</t>
  </si>
  <si>
    <t>=NL("Sum","Item Ledger Entry","Quantity","Entry Type","Positive Adjmt.|Negative Adjmt.","Entry No.",I391,"Location Code",$L$7)</t>
  </si>
  <si>
    <t>=NL("Sum","Item Ledger Entry","Quantity","Entry Type","Transfer","Entry No.",I391,"Location Code",$L$7)</t>
  </si>
  <si>
    <t>=NL("Sum","Item Ledger Entry","Quantity","Entry Type","Consumption","Entry No.",I391,"Location Code",$L$7)</t>
  </si>
  <si>
    <t>=NL("Sum","Item Ledger Entry","Quantity","Entry Type","Output","Entry No.",I391,"Location Code",$L$7)</t>
  </si>
  <si>
    <t>=NL("Sum","Item Ledger Entry","Quantity","Entry Type","Purchase","Entry No.",I396,"Location Code",$L$7)</t>
  </si>
  <si>
    <t>=NL("Sum","Item Ledger Entry","Quantity","Entry Type","Sale","Entry No.",I396,"Location Code",$L$7)</t>
  </si>
  <si>
    <t>=NL("Sum","Item Ledger Entry","Quantity","Entry Type","Positive Adjmt.|Negative Adjmt.","Entry No.",I396,"Location Code",$L$7)</t>
  </si>
  <si>
    <t>=NL("Sum","Item Ledger Entry","Quantity","Entry Type","Transfer","Entry No.",I396,"Location Code",$L$7)</t>
  </si>
  <si>
    <t>=NL("Sum","Item Ledger Entry","Quantity","Entry Type","Consumption","Entry No.",I396,"Location Code",$L$7)</t>
  </si>
  <si>
    <t>=NL("Sum","Item Ledger Entry","Quantity","Entry Type","Output","Entry No.",I396,"Location Code",$L$7)</t>
  </si>
  <si>
    <t>=NL("Sum","Item Ledger Entry","Quantity","Entry Type","Purchase","Entry No.",I397,"Location Code",$L$7)</t>
  </si>
  <si>
    <t>=NL("Sum","Item Ledger Entry","Quantity","Entry Type","Sale","Entry No.",I397,"Location Code",$L$7)</t>
  </si>
  <si>
    <t>=NL("Sum","Item Ledger Entry","Quantity","Entry Type","Positive Adjmt.|Negative Adjmt.","Entry No.",I397,"Location Code",$L$7)</t>
  </si>
  <si>
    <t>=NL("Sum","Item Ledger Entry","Quantity","Entry Type","Transfer","Entry No.",I397,"Location Code",$L$7)</t>
  </si>
  <si>
    <t>=NL("Sum","Item Ledger Entry","Quantity","Entry Type","Consumption","Entry No.",I397,"Location Code",$L$7)</t>
  </si>
  <si>
    <t>=NL("Sum","Item Ledger Entry","Quantity","Entry Type","Output","Entry No.",I397,"Location Code",$L$7)</t>
  </si>
  <si>
    <t>=NL("Sum","Item Ledger Entry","Quantity","Entry Type","Purchase","Entry No.",I398,"Location Code",$L$7)</t>
  </si>
  <si>
    <t>=NL("Sum","Item Ledger Entry","Quantity","Entry Type","Sale","Entry No.",I398,"Location Code",$L$7)</t>
  </si>
  <si>
    <t>=NL("Sum","Item Ledger Entry","Quantity","Entry Type","Positive Adjmt.|Negative Adjmt.","Entry No.",I398,"Location Code",$L$7)</t>
  </si>
  <si>
    <t>=NL("Sum","Item Ledger Entry","Quantity","Entry Type","Transfer","Entry No.",I398,"Location Code",$L$7)</t>
  </si>
  <si>
    <t>=NL("Sum","Item Ledger Entry","Quantity","Entry Type","Consumption","Entry No.",I398,"Location Code",$L$7)</t>
  </si>
  <si>
    <t>=NL("Sum","Item Ledger Entry","Quantity","Entry Type","Output","Entry No.",I398,"Location Code",$L$7)</t>
  </si>
  <si>
    <t>=D406</t>
  </si>
  <si>
    <t>=IF($J407="Customer",NL("first",$J407,"Name","No.","@@"&amp;$K407),"")</t>
  </si>
  <si>
    <t>=IF(J407="vendor",NL("first",J407,"Name","No.","@@"&amp;K407),"")</t>
  </si>
  <si>
    <t>=IF($J407="Item",NL("first",$J407,"Description","No.","@@"&amp;$K407),"")</t>
  </si>
  <si>
    <t>=D412</t>
  </si>
  <si>
    <t>=IF($J413="Customer",NL("first",$J413,"Name","No.","@@"&amp;$K413),"")</t>
  </si>
  <si>
    <t>=IF(J413="vendor",NL("first",J413,"Name","No.","@@"&amp;K413),"")</t>
  </si>
  <si>
    <t>=IF($J413="Item",NL("first",$J413,"Description","No.","@@"&amp;$K413),"")</t>
  </si>
  <si>
    <t>=D433</t>
  </si>
  <si>
    <t>=NF($G434,"Posting Date")</t>
  </si>
  <si>
    <t>=NF($G434,"Entry No.")</t>
  </si>
  <si>
    <t>=NF(G434,"Source Type")</t>
  </si>
  <si>
    <t>=NF($G434,"Source No.")</t>
  </si>
  <si>
    <t>=IF($J434="Customer",NL("first",$J434,"Name","No.","@@"&amp;$K434),"")</t>
  </si>
  <si>
    <t>=IF(J434="vendor",NL("first",J434,"Name","No.","@@"&amp;K434),"")</t>
  </si>
  <si>
    <t>=IF($J434="Item",NL("first",$J434,"Description","No.","@@"&amp;$K434),"")</t>
  </si>
  <si>
    <t>=NL("Sum","Item Ledger Entry","Quantity","Entry Type","Purchase","Entry No.",I434,"Location Code",$L$7)</t>
  </si>
  <si>
    <t>=NL("Sum","Item Ledger Entry","Quantity","Entry Type","Sale","Entry No.",I434,"Location Code",$L$7)</t>
  </si>
  <si>
    <t>=NL("Sum","Item Ledger Entry","Quantity","Entry Type","Positive Adjmt.|Negative Adjmt.","Entry No.",I434,"Location Code",$L$7)</t>
  </si>
  <si>
    <t>=NL("Sum","Item Ledger Entry","Quantity","Entry Type","Transfer","Entry No.",I434,"Location Code",$L$7)</t>
  </si>
  <si>
    <t>=NL("Sum","Item Ledger Entry","Quantity","Entry Type","Consumption","Entry No.",I434,"Location Code",$L$7)</t>
  </si>
  <si>
    <t>=NL("Sum","Item Ledger Entry","Quantity","Entry Type","Output","Entry No.",I434,"Location Code",$L$7)</t>
  </si>
  <si>
    <t>=E438</t>
  </si>
  <si>
    <t>=NL("First","Item","Description","No.",$E438)</t>
  </si>
  <si>
    <t>=NL("First","Item","Base Unit of Measure","No.",$E438)</t>
  </si>
  <si>
    <t>=D439</t>
  </si>
  <si>
    <t>=NF($G440,"Posting Date")</t>
  </si>
  <si>
    <t>=NF($G440,"Entry No.")</t>
  </si>
  <si>
    <t>=NF(G440,"Source Type")</t>
  </si>
  <si>
    <t>=NF($G440,"Source No.")</t>
  </si>
  <si>
    <t>=IF($J440="Customer",NL("first",$J440,"Name","No.","@@"&amp;$K440),"")</t>
  </si>
  <si>
    <t>=IF(J440="vendor",NL("first",J440,"Name","No.","@@"&amp;K440),"")</t>
  </si>
  <si>
    <t>=IF($J440="Item",NL("first",$J440,"Description","No.","@@"&amp;$K440),"")</t>
  </si>
  <si>
    <t>=NL("Sum","Item Ledger Entry","Quantity","Entry Type","Purchase","Entry No.",I440,"Location Code",$L$7)</t>
  </si>
  <si>
    <t>=NL("Sum","Item Ledger Entry","Quantity","Entry Type","Sale","Entry No.",I440,"Location Code",$L$7)</t>
  </si>
  <si>
    <t>=NL("Sum","Item Ledger Entry","Quantity","Entry Type","Positive Adjmt.|Negative Adjmt.","Entry No.",I440,"Location Code",$L$7)</t>
  </si>
  <si>
    <t>=NL("Sum","Item Ledger Entry","Quantity","Entry Type","Transfer","Entry No.",I440,"Location Code",$L$7)</t>
  </si>
  <si>
    <t>=NL("Sum","Item Ledger Entry","Quantity","Entry Type","Consumption","Entry No.",I440,"Location Code",$L$7)</t>
  </si>
  <si>
    <t>=NL("Sum","Item Ledger Entry","Quantity","Entry Type","Output","Entry No.",I440,"Location Code",$L$7)</t>
  </si>
  <si>
    <t>=NL("Sum","Item Ledger Entry","Quantity","Entry Type","Purchase","Entry No.",I441,"Location Code",$L$7)</t>
  </si>
  <si>
    <t>=NL("Sum","Item Ledger Entry","Quantity","Entry Type","Sale","Entry No.",I441,"Location Code",$L$7)</t>
  </si>
  <si>
    <t>=NL("Sum","Item Ledger Entry","Quantity","Entry Type","Positive Adjmt.|Negative Adjmt.","Entry No.",I441,"Location Code",$L$7)</t>
  </si>
  <si>
    <t>=NL("Sum","Item Ledger Entry","Quantity","Entry Type","Transfer","Entry No.",I441,"Location Code",$L$7)</t>
  </si>
  <si>
    <t>=NL("Sum","Item Ledger Entry","Quantity","Entry Type","Consumption","Entry No.",I441,"Location Code",$L$7)</t>
  </si>
  <si>
    <t>=NL("Sum","Item Ledger Entry","Quantity","Entry Type","Output","Entry No.",I441,"Location Code",$L$7)</t>
  </si>
  <si>
    <t>=NL("Sum","Item Ledger Entry","Quantity","Entry Type","Purchase","Entry No.",I446,"Location Code",$L$7)</t>
  </si>
  <si>
    <t>=NL("Sum","Item Ledger Entry","Quantity","Entry Type","Sale","Entry No.",I446,"Location Code",$L$7)</t>
  </si>
  <si>
    <t>=NL("Sum","Item Ledger Entry","Quantity","Entry Type","Positive Adjmt.|Negative Adjmt.","Entry No.",I446,"Location Code",$L$7)</t>
  </si>
  <si>
    <t>=NL("Sum","Item Ledger Entry","Quantity","Entry Type","Transfer","Entry No.",I446,"Location Code",$L$7)</t>
  </si>
  <si>
    <t>=NL("Sum","Item Ledger Entry","Quantity","Entry Type","Consumption","Entry No.",I446,"Location Code",$L$7)</t>
  </si>
  <si>
    <t>=NL("Sum","Item Ledger Entry","Quantity","Entry Type","Output","Entry No.",I446,"Location Code",$L$7)</t>
  </si>
  <si>
    <t>=D446</t>
  </si>
  <si>
    <t>=NF($G447,"Posting Date")</t>
  </si>
  <si>
    <t>=NF($G447,"Entry No.")</t>
  </si>
  <si>
    <t>=NF(G447,"Source Type")</t>
  </si>
  <si>
    <t>=NF($G447,"Source No.")</t>
  </si>
  <si>
    <t>=IF($J447="Customer",NL("first",$J447,"Name","No.","@@"&amp;$K447),"")</t>
  </si>
  <si>
    <t>=IF(J447="vendor",NL("first",J447,"Name","No.","@@"&amp;K447),"")</t>
  </si>
  <si>
    <t>=IF($J447="Item",NL("first",$J447,"Description","No.","@@"&amp;$K447),"")</t>
  </si>
  <si>
    <t>=NL("Sum","Item Ledger Entry","Quantity","Entry Type","Purchase","Entry No.",I447,"Location Code",$L$7)</t>
  </si>
  <si>
    <t>=NL("Sum","Item Ledger Entry","Quantity","Entry Type","Sale","Entry No.",I447,"Location Code",$L$7)</t>
  </si>
  <si>
    <t>=NL("Sum","Item Ledger Entry","Quantity","Entry Type","Positive Adjmt.|Negative Adjmt.","Entry No.",I447,"Location Code",$L$7)</t>
  </si>
  <si>
    <t>=NL("Sum","Item Ledger Entry","Quantity","Entry Type","Transfer","Entry No.",I447,"Location Code",$L$7)</t>
  </si>
  <si>
    <t>=NL("Sum","Item Ledger Entry","Quantity","Entry Type","Consumption","Entry No.",I447,"Location Code",$L$7)</t>
  </si>
  <si>
    <t>=NL("Sum","Item Ledger Entry","Quantity","Entry Type","Output","Entry No.",I447,"Location Code",$L$7)</t>
  </si>
  <si>
    <t>=D447</t>
  </si>
  <si>
    <t>=NF($G448,"Posting Date")</t>
  </si>
  <si>
    <t>=NF($G448,"Entry No.")</t>
  </si>
  <si>
    <t>=NF(G448,"Source Type")</t>
  </si>
  <si>
    <t>=NF($G448,"Source No.")</t>
  </si>
  <si>
    <t>=IF($J448="Customer",NL("first",$J448,"Name","No.","@@"&amp;$K448),"")</t>
  </si>
  <si>
    <t>=IF(J448="vendor",NL("first",J448,"Name","No.","@@"&amp;K448),"")</t>
  </si>
  <si>
    <t>=IF($J448="Item",NL("first",$J448,"Description","No.","@@"&amp;$K448),"")</t>
  </si>
  <si>
    <t>=E451</t>
  </si>
  <si>
    <t>=NL("First","Item","Description","No.",$E451)</t>
  </si>
  <si>
    <t>=NL("First","Item","Base Unit of Measure","No.",$E451)</t>
  </si>
  <si>
    <t>=E457</t>
  </si>
  <si>
    <t>=NL("First","Item","Description","No.",$E457)</t>
  </si>
  <si>
    <t>=NL("First","Item","Base Unit of Measure","No.",$E457)</t>
  </si>
  <si>
    <t>=D457</t>
  </si>
  <si>
    <t>=IF($J458="Customer",NL("first",$J458,"Name","No.","@@"&amp;$K458),"")</t>
  </si>
  <si>
    <t>=IF(J458="vendor",NL("first",J458,"Name","No.","@@"&amp;K458),"")</t>
  </si>
  <si>
    <t>=IF($J458="Item",NL("first",$J458,"Description","No.","@@"&amp;$K458),"")</t>
  </si>
  <si>
    <t>=D461</t>
  </si>
  <si>
    <t>=IF($J462="Customer",NL("first",$J462,"Name","No.","@@"&amp;$K462),"")</t>
  </si>
  <si>
    <t>=IF(J462="vendor",NL("first",J462,"Name","No.","@@"&amp;K462),"")</t>
  </si>
  <si>
    <t>=IF($J462="Item",NL("first",$J462,"Description","No.","@@"&amp;$K462),"")</t>
  </si>
  <si>
    <t>=D463</t>
  </si>
  <si>
    <t>=IF($J464="Customer",NL("first",$J464,"Name","No.","@@"&amp;$K464),"")</t>
  </si>
  <si>
    <t>=IF(J464="vendor",NL("first",J464,"Name","No.","@@"&amp;K464),"")</t>
  </si>
  <si>
    <t>=IF($J464="Item",NL("first",$J464,"Description","No.","@@"&amp;$K464),"")</t>
  </si>
  <si>
    <t>=D465</t>
  </si>
  <si>
    <t>=IF($J466="Customer",NL("first",$J466,"Name","No.","@@"&amp;$K466),"")</t>
  </si>
  <si>
    <t>=IF(J466="vendor",NL("first",J466,"Name","No.","@@"&amp;K466),"")</t>
  </si>
  <si>
    <t>=IF($J466="Item",NL("first",$J466,"Description","No.","@@"&amp;$K466),"")</t>
  </si>
  <si>
    <t>=D472</t>
  </si>
  <si>
    <t>=IF($J473="Customer",NL("first",$J473,"Name","No.","@@"&amp;$K473),"")</t>
  </si>
  <si>
    <t>=IF(J473="vendor",NL("first",J473,"Name","No.","@@"&amp;K473),"")</t>
  </si>
  <si>
    <t>=IF($J473="Item",NL("first",$J473,"Description","No.","@@"&amp;$K473),"")</t>
  </si>
  <si>
    <t>=D485</t>
  </si>
  <si>
    <t>=IF($J486="Customer",NL("first",$J486,"Name","No.","@@"&amp;$K486),"")</t>
  </si>
  <si>
    <t>=IF(J486="vendor",NL("first",J486,"Name","No.","@@"&amp;K486),"")</t>
  </si>
  <si>
    <t>=IF($J486="Item",NL("first",$J486,"Description","No.","@@"&amp;$K486),"")</t>
  </si>
  <si>
    <t>=E489</t>
  </si>
  <si>
    <t>=NL("First","Item","Description","No.",$E489)</t>
  </si>
  <si>
    <t>=NL("First","Item","Base Unit of Measure","No.",$E489)</t>
  </si>
  <si>
    <t>=D490</t>
  </si>
  <si>
    <t>=NF($G491,"Posting Date")</t>
  </si>
  <si>
    <t>=NF($G491,"Entry No.")</t>
  </si>
  <si>
    <t>=NF(G491,"Source Type")</t>
  </si>
  <si>
    <t>=NF($G491,"Source No.")</t>
  </si>
  <si>
    <t>=IF($J491="Customer",NL("first",$J491,"Name","No.","@@"&amp;$K491),"")</t>
  </si>
  <si>
    <t>=IF(J491="vendor",NL("first",J491,"Name","No.","@@"&amp;K491),"")</t>
  </si>
  <si>
    <t>=IF($J491="Item",NL("first",$J491,"Description","No.","@@"&amp;$K491),"")</t>
  </si>
  <si>
    <t>=NL("Sum","Item Ledger Entry","Quantity","Entry Type","Purchase","Entry No.",I491,"Location Code",$L$7)</t>
  </si>
  <si>
    <t>=NL("Sum","Item Ledger Entry","Quantity","Entry Type","Sale","Entry No.",I491,"Location Code",$L$7)</t>
  </si>
  <si>
    <t>=NL("Sum","Item Ledger Entry","Quantity","Entry Type","Positive Adjmt.|Negative Adjmt.","Entry No.",I491,"Location Code",$L$7)</t>
  </si>
  <si>
    <t>=NL("Sum","Item Ledger Entry","Quantity","Entry Type","Transfer","Entry No.",I491,"Location Code",$L$7)</t>
  </si>
  <si>
    <t>=NL("Sum","Item Ledger Entry","Quantity","Entry Type","Consumption","Entry No.",I491,"Location Code",$L$7)</t>
  </si>
  <si>
    <t>=NL("Sum","Item Ledger Entry","Quantity","Entry Type","Output","Entry No.",I491,"Location Code",$L$7)</t>
  </si>
  <si>
    <t>=D491</t>
  </si>
  <si>
    <t>=NF($G492,"Posting Date")</t>
  </si>
  <si>
    <t>=NF($G492,"Entry No.")</t>
  </si>
  <si>
    <t>=NF(G492,"Source Type")</t>
  </si>
  <si>
    <t>=NF($G492,"Source No.")</t>
  </si>
  <si>
    <t>=IF($J492="Customer",NL("first",$J492,"Name","No.","@@"&amp;$K492),"")</t>
  </si>
  <si>
    <t>=IF(J492="vendor",NL("first",J492,"Name","No.","@@"&amp;K492),"")</t>
  </si>
  <si>
    <t>=IF($J492="Item",NL("first",$J492,"Description","No.","@@"&amp;$K492),"")</t>
  </si>
  <si>
    <t>=D497</t>
  </si>
  <si>
    <t>=NF($G498,"Posting Date")</t>
  </si>
  <si>
    <t>=NF($G498,"Entry No.")</t>
  </si>
  <si>
    <t>=NF(G498,"Source Type")</t>
  </si>
  <si>
    <t>=NF($G498,"Source No.")</t>
  </si>
  <si>
    <t>=IF($J498="Customer",NL("first",$J498,"Name","No.","@@"&amp;$K498),"")</t>
  </si>
  <si>
    <t>=IF(J498="vendor",NL("first",J498,"Name","No.","@@"&amp;K498),"")</t>
  </si>
  <si>
    <t>=IF($J498="Item",NL("first",$J498,"Description","No.","@@"&amp;$K498),"")</t>
  </si>
  <si>
    <t>=NL("Sum","Item Ledger Entry","Quantity","Entry Type","Purchase","Entry No.",I498,"Location Code",$L$7)</t>
  </si>
  <si>
    <t>=NL("Sum","Item Ledger Entry","Quantity","Entry Type","Sale","Entry No.",I498,"Location Code",$L$7)</t>
  </si>
  <si>
    <t>=NL("Sum","Item Ledger Entry","Quantity","Entry Type","Positive Adjmt.|Negative Adjmt.","Entry No.",I498,"Location Code",$L$7)</t>
  </si>
  <si>
    <t>=NL("Sum","Item Ledger Entry","Quantity","Entry Type","Transfer","Entry No.",I498,"Location Code",$L$7)</t>
  </si>
  <si>
    <t>=NL("Sum","Item Ledger Entry","Quantity","Entry Type","Consumption","Entry No.",I498,"Location Code",$L$7)</t>
  </si>
  <si>
    <t>=NL("Sum","Item Ledger Entry","Quantity","Entry Type","Output","Entry No.",I498,"Location Code",$L$7)</t>
  </si>
  <si>
    <t>=D498</t>
  </si>
  <si>
    <t>=NF($G499,"Posting Date")</t>
  </si>
  <si>
    <t>=NF($G499,"Entry No.")</t>
  </si>
  <si>
    <t>=NF(G499,"Source Type")</t>
  </si>
  <si>
    <t>=NF($G499,"Source No.")</t>
  </si>
  <si>
    <t>=IF($J499="Customer",NL("first",$J499,"Name","No.","@@"&amp;$K499),"")</t>
  </si>
  <si>
    <t>=IF(J499="vendor",NL("first",J499,"Name","No.","@@"&amp;K499),"")</t>
  </si>
  <si>
    <t>=IF($J499="Item",NL("first",$J499,"Description","No.","@@"&amp;$K499),"")</t>
  </si>
  <si>
    <t>=NL("Sum","Item Ledger Entry","Quantity","Entry Type","Purchase","Entry No.",I499,"Location Code",$L$7)</t>
  </si>
  <si>
    <t>=NL("Sum","Item Ledger Entry","Quantity","Entry Type","Sale","Entry No.",I499,"Location Code",$L$7)</t>
  </si>
  <si>
    <t>=NL("Sum","Item Ledger Entry","Quantity","Entry Type","Positive Adjmt.|Negative Adjmt.","Entry No.",I499,"Location Code",$L$7)</t>
  </si>
  <si>
    <t>=NL("Sum","Item Ledger Entry","Quantity","Entry Type","Transfer","Entry No.",I499,"Location Code",$L$7)</t>
  </si>
  <si>
    <t>=NL("Sum","Item Ledger Entry","Quantity","Entry Type","Consumption","Entry No.",I499,"Location Code",$L$7)</t>
  </si>
  <si>
    <t>=NL("Sum","Item Ledger Entry","Quantity","Entry Type","Output","Entry No.",I499,"Location Code",$L$7)</t>
  </si>
  <si>
    <t>=D499</t>
  </si>
  <si>
    <t>=NF($G500,"Posting Date")</t>
  </si>
  <si>
    <t>=NF($G500,"Entry No.")</t>
  </si>
  <si>
    <t>=NF(G500,"Source Type")</t>
  </si>
  <si>
    <t>=NF($G500,"Source No.")</t>
  </si>
  <si>
    <t>=IF($J500="Customer",NL("first",$J500,"Name","No.","@@"&amp;$K500),"")</t>
  </si>
  <si>
    <t>=IF(J500="vendor",NL("first",J500,"Name","No.","@@"&amp;K500),"")</t>
  </si>
  <si>
    <t>=IF($J500="Item",NL("first",$J500,"Description","No.","@@"&amp;$K500),"")</t>
  </si>
  <si>
    <t>=NL("Sum","Item Ledger Entry","Quantity","Entry Type","Purchase","Entry No.",I500,"Location Code",$L$7)</t>
  </si>
  <si>
    <t>=NL("Sum","Item Ledger Entry","Quantity","Entry Type","Sale","Entry No.",I500,"Location Code",$L$7)</t>
  </si>
  <si>
    <t>=NL("Sum","Item Ledger Entry","Quantity","Entry Type","Positive Adjmt.|Negative Adjmt.","Entry No.",I500,"Location Code",$L$7)</t>
  </si>
  <si>
    <t>=NL("Sum","Item Ledger Entry","Quantity","Entry Type","Transfer","Entry No.",I500,"Location Code",$L$7)</t>
  </si>
  <si>
    <t>=NL("Sum","Item Ledger Entry","Quantity","Entry Type","Consumption","Entry No.",I500,"Location Code",$L$7)</t>
  </si>
  <si>
    <t>=NL("Sum","Item Ledger Entry","Quantity","Entry Type","Output","Entry No.",I500,"Location Code",$L$7)</t>
  </si>
  <si>
    <t>=E503</t>
  </si>
  <si>
    <t>=NL("First","Item","Description","No.",$E503)</t>
  </si>
  <si>
    <t>=NL("First","Item","Base Unit of Measure","No.",$E503)</t>
  </si>
  <si>
    <t>=(SUBTOTAL(9,O504:O507))</t>
  </si>
  <si>
    <t>=(SUBTOTAL(9,P504:P507))</t>
  </si>
  <si>
    <t>=(SUBTOTAL(9,Q504:Q507))</t>
  </si>
  <si>
    <t>=(SUBTOTAL(9,R504:R507))</t>
  </si>
  <si>
    <t>=(SUBTOTAL(9,S504:S507))</t>
  </si>
  <si>
    <t>=(SUBTOTAL(9,T504:T507))</t>
  </si>
  <si>
    <t>=SUBTOTAL(9,O504:T507)</t>
  </si>
  <si>
    <t>=E509</t>
  </si>
  <si>
    <t>=NL("First","Item","Description","No.",$E509)</t>
  </si>
  <si>
    <t>=NL("First","Item","Base Unit of Measure","No.",$E509)</t>
  </si>
  <si>
    <t>=D513</t>
  </si>
  <si>
    <t>=IF($J514="Customer",NL("first",$J514,"Name","No.","@@"&amp;$K514),"")</t>
  </si>
  <si>
    <t>=IF(J514="vendor",NL("first",J514,"Name","No.","@@"&amp;K514),"")</t>
  </si>
  <si>
    <t>=IF($J514="Item",NL("first",$J514,"Description","No.","@@"&amp;$K514),"")</t>
  </si>
  <si>
    <t>=E517</t>
  </si>
  <si>
    <t>=NL("First","Item","Description","No.",$E517)</t>
  </si>
  <si>
    <t>=NL("First","Item","Base Unit of Measure","No.",$E517)</t>
  </si>
  <si>
    <t>=D520</t>
  </si>
  <si>
    <t>=IF($J521="Customer",NL("first",$J521,"Name","No.","@@"&amp;$K521),"")</t>
  </si>
  <si>
    <t>=IF(J521="vendor",NL("first",J521,"Name","No.","@@"&amp;K521),"")</t>
  </si>
  <si>
    <t>=IF($J521="Item",NL("first",$J521,"Description","No.","@@"&amp;$K521),"")</t>
  </si>
  <si>
    <t>=D521</t>
  </si>
  <si>
    <t>=IF($J522="Customer",NL("first",$J522,"Name","No.","@@"&amp;$K522),"")</t>
  </si>
  <si>
    <t>=IF(J522="vendor",NL("first",J522,"Name","No.","@@"&amp;K522),"")</t>
  </si>
  <si>
    <t>=IF($J522="Item",NL("first",$J522,"Description","No.","@@"&amp;$K522),"")</t>
  </si>
  <si>
    <t>=D522</t>
  </si>
  <si>
    <t>=IF($J523="Customer",NL("first",$J523,"Name","No.","@@"&amp;$K523),"")</t>
  </si>
  <si>
    <t>=IF(J523="vendor",NL("first",J523,"Name","No.","@@"&amp;K523),"")</t>
  </si>
  <si>
    <t>=IF($J523="Item",NL("first",$J523,"Description","No.","@@"&amp;$K523),"")</t>
  </si>
  <si>
    <t>=E530</t>
  </si>
  <si>
    <t>=NL("First","Item","Description","No.",$E530)</t>
  </si>
  <si>
    <t>=NL("First","Item","Base Unit of Measure","No.",$E530)</t>
  </si>
  <si>
    <t>=D530</t>
  </si>
  <si>
    <t>=IF($J531="Customer",NL("first",$J531,"Name","No.","@@"&amp;$K531),"")</t>
  </si>
  <si>
    <t>=IF(J531="vendor",NL("first",J531,"Name","No.","@@"&amp;K531),"")</t>
  </si>
  <si>
    <t>=IF($J531="Item",NL("first",$J531,"Description","No.","@@"&amp;$K531),"")</t>
  </si>
  <si>
    <t>=D531</t>
  </si>
  <si>
    <t>=IF($J532="Customer",NL("first",$J532,"Name","No.","@@"&amp;$K532),"")</t>
  </si>
  <si>
    <t>=IF(J532="vendor",NL("first",J532,"Name","No.","@@"&amp;K532),"")</t>
  </si>
  <si>
    <t>=IF($J532="Item",NL("first",$J532,"Description","No.","@@"&amp;$K532),"")</t>
  </si>
  <si>
    <t>=D536</t>
  </si>
  <si>
    <t>=IF($J537="Customer",NL("first",$J537,"Name","No.","@@"&amp;$K537),"")</t>
  </si>
  <si>
    <t>=IF(J537="vendor",NL("first",J537,"Name","No.","@@"&amp;K537),"")</t>
  </si>
  <si>
    <t>=IF($J537="Item",NL("first",$J537,"Description","No.","@@"&amp;$K537),"")</t>
  </si>
  <si>
    <t>=D537</t>
  </si>
  <si>
    <t>=IF($J538="Customer",NL("first",$J538,"Name","No.","@@"&amp;$K538),"")</t>
  </si>
  <si>
    <t>=IF(J538="vendor",NL("first",J538,"Name","No.","@@"&amp;K538),"")</t>
  </si>
  <si>
    <t>=IF($J538="Item",NL("first",$J538,"Description","No.","@@"&amp;$K538),"")</t>
  </si>
  <si>
    <t>=D538</t>
  </si>
  <si>
    <t>=IF($J539="Customer",NL("first",$J539,"Name","No.","@@"&amp;$K539),"")</t>
  </si>
  <si>
    <t>=IF(J539="vendor",NL("first",J539,"Name","No.","@@"&amp;K539),"")</t>
  </si>
  <si>
    <t>=IF($J539="Item",NL("first",$J539,"Description","No.","@@"&amp;$K539),"")</t>
  </si>
  <si>
    <t>=E542</t>
  </si>
  <si>
    <t>=NL("First","Item","Description","No.",$E542)</t>
  </si>
  <si>
    <t>=NL("First","Item","Base Unit of Measure","No.",$E542)</t>
  </si>
  <si>
    <t>=D544</t>
  </si>
  <si>
    <t>=IF($J545="Customer",NL("first",$J545,"Name","No.","@@"&amp;$K545),"")</t>
  </si>
  <si>
    <t>=IF(J545="vendor",NL("first",J545,"Name","No.","@@"&amp;K545),"")</t>
  </si>
  <si>
    <t>=IF($J545="Item",NL("first",$J545,"Description","No.","@@"&amp;$K545),"")</t>
  </si>
  <si>
    <t>=D545</t>
  </si>
  <si>
    <t>=IF($J546="Customer",NL("first",$J546,"Name","No.","@@"&amp;$K546),"")</t>
  </si>
  <si>
    <t>=IF(J546="vendor",NL("first",J546,"Name","No.","@@"&amp;K546),"")</t>
  </si>
  <si>
    <t>=IF($J546="Item",NL("first",$J546,"Description","No.","@@"&amp;$K546),"")</t>
  </si>
  <si>
    <t>=D546</t>
  </si>
  <si>
    <t>=IF($J547="Customer",NL("first",$J547,"Name","No.","@@"&amp;$K547),"")</t>
  </si>
  <si>
    <t>=IF(J547="vendor",NL("first",J547,"Name","No.","@@"&amp;K547),"")</t>
  </si>
  <si>
    <t>=IF($J547="Item",NL("first",$J547,"Description","No.","@@"&amp;$K547),"")</t>
  </si>
  <si>
    <t>=E553</t>
  </si>
  <si>
    <t>=NL("First","Item","Description","No.",$E553)</t>
  </si>
  <si>
    <t>=NL("First","Item","Base Unit of Measure","No.",$E553)</t>
  </si>
  <si>
    <t>=D553</t>
  </si>
  <si>
    <t>=NL("Rows","Item Ledger Entry",,"+Posting Date",$L$5,"Item No.","@@"&amp;$D554,"Location Code",$L$7)</t>
  </si>
  <si>
    <t>=IF($J554="Customer",NL("first",$J554,"Name","No.","@@"&amp;$K554),"")</t>
  </si>
  <si>
    <t>=IF(J554="vendor",NL("first",J554,"Name","No.","@@"&amp;K554),"")</t>
  </si>
  <si>
    <t>=IF($J554="Item",NL("first",$J554,"Description","No.","@@"&amp;$K554),"")</t>
  </si>
  <si>
    <t>=D559</t>
  </si>
  <si>
    <t>=IF($J560="Customer",NL("first",$J560,"Name","No.","@@"&amp;$K560),"")</t>
  </si>
  <si>
    <t>=IF(J560="vendor",NL("first",J560,"Name","No.","@@"&amp;K560),"")</t>
  </si>
  <si>
    <t>=IF($J560="Item",NL("first",$J560,"Description","No.","@@"&amp;$K560),"")</t>
  </si>
  <si>
    <t>=D560</t>
  </si>
  <si>
    <t>=IF($J561="Customer",NL("first",$J561,"Name","No.","@@"&amp;$K561),"")</t>
  </si>
  <si>
    <t>=IF(J561="vendor",NL("first",J561,"Name","No.","@@"&amp;K561),"")</t>
  </si>
  <si>
    <t>=IF($J561="Item",NL("first",$J561,"Description","No.","@@"&amp;$K561),"")</t>
  </si>
  <si>
    <t>=D561</t>
  </si>
  <si>
    <t>=IF($J562="Customer",NL("first",$J562,"Name","No.","@@"&amp;$K562),"")</t>
  </si>
  <si>
    <t>=IF(J562="vendor",NL("first",J562,"Name","No.","@@"&amp;K562),"")</t>
  </si>
  <si>
    <t>=IF($J562="Item",NL("first",$J562,"Description","No.","@@"&amp;$K562),"")</t>
  </si>
  <si>
    <t>=E566</t>
  </si>
  <si>
    <t>=NL("First","Item","Description","No.",$E566)</t>
  </si>
  <si>
    <t>=NL("First","Item","Base Unit of Measure","No.",$E566)</t>
  </si>
  <si>
    <t>=D573</t>
  </si>
  <si>
    <t>=IF($J574="Customer",NL("first",$J574,"Name","No.","@@"&amp;$K574),"")</t>
  </si>
  <si>
    <t>=IF(J574="vendor",NL("first",J574,"Name","No.","@@"&amp;K574),"")</t>
  </si>
  <si>
    <t>=IF($J574="Item",NL("first",$J574,"Description","No.","@@"&amp;$K574),"")</t>
  </si>
  <si>
    <t>=D574</t>
  </si>
  <si>
    <t>=IF($J575="Customer",NL("first",$J575,"Name","No.","@@"&amp;$K575),"")</t>
  </si>
  <si>
    <t>=IF(J575="vendor",NL("first",J575,"Name","No.","@@"&amp;K575),"")</t>
  </si>
  <si>
    <t>=IF($J575="Item",NL("first",$J575,"Description","No.","@@"&amp;$K575),"")</t>
  </si>
  <si>
    <t>=D575</t>
  </si>
  <si>
    <t>=IF($J576="Customer",NL("first",$J576,"Name","No.","@@"&amp;$K576),"")</t>
  </si>
  <si>
    <t>=IF(J576="vendor",NL("first",J576,"Name","No.","@@"&amp;K576),"")</t>
  </si>
  <si>
    <t>=IF($J576="Item",NL("first",$J576,"Description","No.","@@"&amp;$K576),"")</t>
  </si>
  <si>
    <t>=D585</t>
  </si>
  <si>
    <t>=IF($J586="Customer",NL("first",$J586,"Name","No.","@@"&amp;$K586),"")</t>
  </si>
  <si>
    <t>=IF(J586="vendor",NL("first",J586,"Name","No.","@@"&amp;K586),"")</t>
  </si>
  <si>
    <t>=IF($J586="Item",NL("first",$J586,"Description","No.","@@"&amp;$K586),"")</t>
  </si>
  <si>
    <t>=D597</t>
  </si>
  <si>
    <t>=IF($J598="Customer",NL("first",$J598,"Name","No.","@@"&amp;$K598),"")</t>
  </si>
  <si>
    <t>=IF(J598="vendor",NL("first",J598,"Name","No.","@@"&amp;K598),"")</t>
  </si>
  <si>
    <t>=IF($J598="Item",NL("first",$J598,"Description","No.","@@"&amp;$K598),"")</t>
  </si>
  <si>
    <t>=D598</t>
  </si>
  <si>
    <t>=IF($J599="Customer",NL("first",$J599,"Name","No.","@@"&amp;$K599),"")</t>
  </si>
  <si>
    <t>=IF(J599="vendor",NL("first",J599,"Name","No.","@@"&amp;K599),"")</t>
  </si>
  <si>
    <t>=IF($J599="Item",NL("first",$J599,"Description","No.","@@"&amp;$K599),"")</t>
  </si>
  <si>
    <t>=E602</t>
  </si>
  <si>
    <t>=NL("First","Item","Description","No.",$E602)</t>
  </si>
  <si>
    <t>=NL("First","Item","Base Unit of Measure","No.",$E602)</t>
  </si>
  <si>
    <t>=D612</t>
  </si>
  <si>
    <t>=IF($J613="Customer",NL("first",$J613,"Name","No.","@@"&amp;$K613),"")</t>
  </si>
  <si>
    <t>=IF(J613="vendor",NL("first",J613,"Name","No.","@@"&amp;K613),"")</t>
  </si>
  <si>
    <t>=IF($J613="Item",NL("first",$J613,"Description","No.","@@"&amp;$K613),"")</t>
  </si>
  <si>
    <t>=D613</t>
  </si>
  <si>
    <t>=IF($J614="Customer",NL("first",$J614,"Name","No.","@@"&amp;$K614),"")</t>
  </si>
  <si>
    <t>=IF(J614="vendor",NL("first",J614,"Name","No.","@@"&amp;K614),"")</t>
  </si>
  <si>
    <t>=IF($J614="Item",NL("first",$J614,"Description","No.","@@"&amp;$K614),"")</t>
  </si>
  <si>
    <t>=D637</t>
  </si>
  <si>
    <t>=IF($J638="Customer",NL("first",$J638,"Name","No.","@@"&amp;$K638),"")</t>
  </si>
  <si>
    <t>=IF(J638="vendor",NL("first",J638,"Name","No.","@@"&amp;K638),"")</t>
  </si>
  <si>
    <t>=IF($J638="Item",NL("first",$J638,"Description","No.","@@"&amp;$K638),"")</t>
  </si>
  <si>
    <t>=D638</t>
  </si>
  <si>
    <t>=IF($J639="Customer",NL("first",$J639,"Name","No.","@@"&amp;$K639),"")</t>
  </si>
  <si>
    <t>=IF(J639="vendor",NL("first",J639,"Name","No.","@@"&amp;K639),"")</t>
  </si>
  <si>
    <t>=IF($J639="Item",NL("first",$J639,"Description","No.","@@"&amp;$K639),"")</t>
  </si>
  <si>
    <t>=D639</t>
  </si>
  <si>
    <t>=IF($J640="Customer",NL("first",$J640,"Name","No.","@@"&amp;$K640),"")</t>
  </si>
  <si>
    <t>=IF(J640="vendor",NL("first",J640,"Name","No.","@@"&amp;K640),"")</t>
  </si>
  <si>
    <t>=IF($J640="Item",NL("first",$J640,"Description","No.","@@"&amp;$K640),"")</t>
  </si>
  <si>
    <t>=D651</t>
  </si>
  <si>
    <t>=IF($J652="Customer",NL("first",$J652,"Name","No.","@@"&amp;$K652),"")</t>
  </si>
  <si>
    <t>=IF(J652="vendor",NL("first",J652,"Name","No.","@@"&amp;K652),"")</t>
  </si>
  <si>
    <t>=IF($J652="Item",NL("first",$J652,"Description","No.","@@"&amp;$K652),"")</t>
  </si>
  <si>
    <t>=D652</t>
  </si>
  <si>
    <t>=IF($J653="Customer",NL("first",$J653,"Name","No.","@@"&amp;$K653),"")</t>
  </si>
  <si>
    <t>=IF(J653="vendor",NL("first",J653,"Name","No.","@@"&amp;K653),"")</t>
  </si>
  <si>
    <t>=IF($J653="Item",NL("first",$J653,"Description","No.","@@"&amp;$K653),"")</t>
  </si>
  <si>
    <t>=D653</t>
  </si>
  <si>
    <t>=IF($J654="Customer",NL("first",$J654,"Name","No.","@@"&amp;$K654),"")</t>
  </si>
  <si>
    <t>=IF(J654="vendor",NL("first",J654,"Name","No.","@@"&amp;K654),"")</t>
  </si>
  <si>
    <t>=IF($J654="Item",NL("first",$J654,"Description","No.","@@"&amp;$K654),"")</t>
  </si>
  <si>
    <t>=D668</t>
  </si>
  <si>
    <t>=IF($J669="Customer",NL("first",$J669,"Name","No.","@@"&amp;$K669),"")</t>
  </si>
  <si>
    <t>=IF(J669="vendor",NL("first",J669,"Name","No.","@@"&amp;K669),"")</t>
  </si>
  <si>
    <t>=IF($J669="Item",NL("first",$J669,"Description","No.","@@"&amp;$K669),"")</t>
  </si>
  <si>
    <t>=D669</t>
  </si>
  <si>
    <t>=IF($J670="Customer",NL("first",$J670,"Name","No.","@@"&amp;$K670),"")</t>
  </si>
  <si>
    <t>=IF(J670="vendor",NL("first",J670,"Name","No.","@@"&amp;K670),"")</t>
  </si>
  <si>
    <t>=IF($J670="Item",NL("first",$J670,"Description","No.","@@"&amp;$K670),"")</t>
  </si>
  <si>
    <t>=D670</t>
  </si>
  <si>
    <t>=IF($J671="Customer",NL("first",$J671,"Name","No.","@@"&amp;$K671),"")</t>
  </si>
  <si>
    <t>=IF(J671="vendor",NL("first",J671,"Name","No.","@@"&amp;K671),"")</t>
  </si>
  <si>
    <t>=IF($J671="Item",NL("first",$J671,"Description","No.","@@"&amp;$K671),"")</t>
  </si>
  <si>
    <t>=D697</t>
  </si>
  <si>
    <t>=IF($J698="Customer",NL("first",$J698,"Name","No.","@@"&amp;$K698),"")</t>
  </si>
  <si>
    <t>=IF(J698="vendor",NL("first",J698,"Name","No.","@@"&amp;K698),"")</t>
  </si>
  <si>
    <t>=IF($J698="Item",NL("first",$J698,"Description","No.","@@"&amp;$K698),"")</t>
  </si>
  <si>
    <t>=D698</t>
  </si>
  <si>
    <t>=IF($J699="Customer",NL("first",$J699,"Name","No.","@@"&amp;$K699),"")</t>
  </si>
  <si>
    <t>=IF(J699="vendor",NL("first",J699,"Name","No.","@@"&amp;K699),"")</t>
  </si>
  <si>
    <t>=IF($J699="Item",NL("first",$J699,"Description","No.","@@"&amp;$K699),"")</t>
  </si>
  <si>
    <t>=D699</t>
  </si>
  <si>
    <t>=IF($J700="Customer",NL("first",$J700,"Name","No.","@@"&amp;$K700),"")</t>
  </si>
  <si>
    <t>=IF(J700="vendor",NL("first",J700,"Name","No.","@@"&amp;K700),"")</t>
  </si>
  <si>
    <t>=IF($J700="Item",NL("first",$J700,"Description","No.","@@"&amp;$K700),"")</t>
  </si>
  <si>
    <t>=D719</t>
  </si>
  <si>
    <t>=IF($J720="Customer",NL("first",$J720,"Name","No.","@@"&amp;$K720),"")</t>
  </si>
  <si>
    <t>=IF(J720="vendor",NL("first",J720,"Name","No.","@@"&amp;K720),"")</t>
  </si>
  <si>
    <t>=IF($J720="Item",NL("first",$J720,"Description","No.","@@"&amp;$K720),"")</t>
  </si>
  <si>
    <t>=D720</t>
  </si>
  <si>
    <t>=IF($J721="Customer",NL("first",$J721,"Name","No.","@@"&amp;$K721),"")</t>
  </si>
  <si>
    <t>=IF(J721="vendor",NL("first",J721,"Name","No.","@@"&amp;K721),"")</t>
  </si>
  <si>
    <t>=IF($J721="Item",NL("first",$J721,"Description","No.","@@"&amp;$K721),"")</t>
  </si>
  <si>
    <t>=D721</t>
  </si>
  <si>
    <t>=IF($J722="Customer",NL("first",$J722,"Name","No.","@@"&amp;$K722),"")</t>
  </si>
  <si>
    <t>=IF(J722="vendor",NL("first",J722,"Name","No.","@@"&amp;K722),"")</t>
  </si>
  <si>
    <t>=IF($J722="Item",NL("first",$J722,"Description","No.","@@"&amp;$K722),"")</t>
  </si>
  <si>
    <t>=E727</t>
  </si>
  <si>
    <t>=NL("First","Item","Description","No.",$E727)</t>
  </si>
  <si>
    <t>=NL("First","Item","Base Unit of Measure","No.",$E727)</t>
  </si>
  <si>
    <t>=NL("Rows","Item Ledger Entry",,"+Posting Date",$L$5,"Item No.","@@"&amp;$D728,"Location Code",$L$7)</t>
  </si>
  <si>
    <t>=D734</t>
  </si>
  <si>
    <t>=IF($J735="Customer",NL("first",$J735,"Name","No.","@@"&amp;$K735),"")</t>
  </si>
  <si>
    <t>=IF(J735="vendor",NL("first",J735,"Name","No.","@@"&amp;K735),"")</t>
  </si>
  <si>
    <t>=IF($J735="Item",NL("first",$J735,"Description","No.","@@"&amp;$K735),"")</t>
  </si>
  <si>
    <t>=D735</t>
  </si>
  <si>
    <t>=IF($J736="Customer",NL("first",$J736,"Name","No.","@@"&amp;$K736),"")</t>
  </si>
  <si>
    <t>=IF(J736="vendor",NL("first",J736,"Name","No.","@@"&amp;K736),"")</t>
  </si>
  <si>
    <t>=IF($J736="Item",NL("first",$J736,"Description","No.","@@"&amp;$K736),"")</t>
  </si>
  <si>
    <t>=D736</t>
  </si>
  <si>
    <t>=IF($J737="Customer",NL("first",$J737,"Name","No.","@@"&amp;$K737),"")</t>
  </si>
  <si>
    <t>=IF(J737="vendor",NL("first",J737,"Name","No.","@@"&amp;K737),"")</t>
  </si>
  <si>
    <t>=IF($J737="Item",NL("first",$J737,"Description","No.","@@"&amp;$K737),"")</t>
  </si>
  <si>
    <t>=E743</t>
  </si>
  <si>
    <t>=NL("First","Item","Description","No.",$E743)</t>
  </si>
  <si>
    <t>=NL("First","Item","Base Unit of Measure","No.",$E743)</t>
  </si>
  <si>
    <t>=D743</t>
  </si>
  <si>
    <t>=NL("Rows","Item Ledger Entry",,"+Posting Date",$L$5,"Item No.","@@"&amp;$D744,"Location Code",$L$7)</t>
  </si>
  <si>
    <t>=NF($G744,"Posting Date")</t>
  </si>
  <si>
    <t>=NF($G744,"Entry No.")</t>
  </si>
  <si>
    <t>=NF(G744,"Source Type")</t>
  </si>
  <si>
    <t>=NF($G744,"Source No.")</t>
  </si>
  <si>
    <t>=IF($J744="Customer",NL("first",$J744,"Name","No.","@@"&amp;$K744),"")</t>
  </si>
  <si>
    <t>=IF(J744="vendor",NL("first",J744,"Name","No.","@@"&amp;K744),"")</t>
  </si>
  <si>
    <t>=IF($J744="Item",NL("first",$J744,"Description","No.","@@"&amp;$K744),"")</t>
  </si>
  <si>
    <t>=NL("Sum","Item Ledger Entry","Quantity","Entry Type","Purchase","Entry No.",I744,"Location Code",$L$7)</t>
  </si>
  <si>
    <t>=NL("Sum","Item Ledger Entry","Quantity","Entry Type","Sale","Entry No.",I744,"Location Code",$L$7)</t>
  </si>
  <si>
    <t>=NL("Sum","Item Ledger Entry","Quantity","Entry Type","Positive Adjmt.|Negative Adjmt.","Entry No.",I744,"Location Code",$L$7)</t>
  </si>
  <si>
    <t>=NL("Sum","Item Ledger Entry","Quantity","Entry Type","Transfer","Entry No.",I744,"Location Code",$L$7)</t>
  </si>
  <si>
    <t>=NL("Sum","Item Ledger Entry","Quantity","Entry Type","Consumption","Entry No.",I744,"Location Code",$L$7)</t>
  </si>
  <si>
    <t>=NL("Sum","Item Ledger Entry","Quantity","Entry Type","Output","Entry No.",I744,"Location Code",$L$7)</t>
  </si>
  <si>
    <t>=E747</t>
  </si>
  <si>
    <t>=NL("First","Item","Description","No.",$E747)</t>
  </si>
  <si>
    <t>=NL("First","Item","Base Unit of Measure","No.",$E747)</t>
  </si>
  <si>
    <t>=D784</t>
  </si>
  <si>
    <t>=NF($G785,"Posting Date")</t>
  </si>
  <si>
    <t>=NF($G785,"Entry No.")</t>
  </si>
  <si>
    <t>=NF(G785,"Source Type")</t>
  </si>
  <si>
    <t>=NF($G785,"Source No.")</t>
  </si>
  <si>
    <t>=IF($J785="Customer",NL("first",$J785,"Name","No.","@@"&amp;$K785),"")</t>
  </si>
  <si>
    <t>=IF(J785="vendor",NL("first",J785,"Name","No.","@@"&amp;K785),"")</t>
  </si>
  <si>
    <t>=IF($J785="Item",NL("first",$J785,"Description","No.","@@"&amp;$K785),"")</t>
  </si>
  <si>
    <t>=NL("Sum","Item Ledger Entry","Quantity","Entry Type","Purchase","Entry No.",I785,"Location Code",$L$7)</t>
  </si>
  <si>
    <t>=NL("Sum","Item Ledger Entry","Quantity","Entry Type","Sale","Entry No.",I785,"Location Code",$L$7)</t>
  </si>
  <si>
    <t>=NL("Sum","Item Ledger Entry","Quantity","Entry Type","Positive Adjmt.|Negative Adjmt.","Entry No.",I785,"Location Code",$L$7)</t>
  </si>
  <si>
    <t>=NL("Sum","Item Ledger Entry","Quantity","Entry Type","Transfer","Entry No.",I785,"Location Code",$L$7)</t>
  </si>
  <si>
    <t>=NL("Sum","Item Ledger Entry","Quantity","Entry Type","Consumption","Entry No.",I785,"Location Code",$L$7)</t>
  </si>
  <si>
    <t>=NL("Sum","Item Ledger Entry","Quantity","Entry Type","Output","Entry No.",I785,"Location Code",$L$7)</t>
  </si>
  <si>
    <t>=D785</t>
  </si>
  <si>
    <t>=NF($G786,"Posting Date")</t>
  </si>
  <si>
    <t>=NF($G786,"Entry No.")</t>
  </si>
  <si>
    <t>=NF(G786,"Source Type")</t>
  </si>
  <si>
    <t>=NF($G786,"Source No.")</t>
  </si>
  <si>
    <t>=IF($J786="Customer",NL("first",$J786,"Name","No.","@@"&amp;$K786),"")</t>
  </si>
  <si>
    <t>=IF(J786="vendor",NL("first",J786,"Name","No.","@@"&amp;K786),"")</t>
  </si>
  <si>
    <t>=IF($J786="Item",NL("first",$J786,"Description","No.","@@"&amp;$K786),"")</t>
  </si>
  <si>
    <t>=NL("Sum","Item Ledger Entry","Quantity","Entry Type","Purchase","Entry No.",I786,"Location Code",$L$7)</t>
  </si>
  <si>
    <t>=NL("Sum","Item Ledger Entry","Quantity","Entry Type","Sale","Entry No.",I786,"Location Code",$L$7)</t>
  </si>
  <si>
    <t>=NL("Sum","Item Ledger Entry","Quantity","Entry Type","Positive Adjmt.|Negative Adjmt.","Entry No.",I786,"Location Code",$L$7)</t>
  </si>
  <si>
    <t>=NL("Sum","Item Ledger Entry","Quantity","Entry Type","Transfer","Entry No.",I786,"Location Code",$L$7)</t>
  </si>
  <si>
    <t>=NL("Sum","Item Ledger Entry","Quantity","Entry Type","Consumption","Entry No.",I786,"Location Code",$L$7)</t>
  </si>
  <si>
    <t>=NL("Sum","Item Ledger Entry","Quantity","Entry Type","Output","Entry No.",I786,"Location Code",$L$7)</t>
  </si>
  <si>
    <t>=D791</t>
  </si>
  <si>
    <t>=NF($G792,"Posting Date")</t>
  </si>
  <si>
    <t>=NF($G792,"Entry No.")</t>
  </si>
  <si>
    <t>=NF(G792,"Source Type")</t>
  </si>
  <si>
    <t>=NF($G792,"Source No.")</t>
  </si>
  <si>
    <t>=IF($J792="Customer",NL("first",$J792,"Name","No.","@@"&amp;$K792),"")</t>
  </si>
  <si>
    <t>=IF(J792="vendor",NL("first",J792,"Name","No.","@@"&amp;K792),"")</t>
  </si>
  <si>
    <t>=IF($J792="Item",NL("first",$J792,"Description","No.","@@"&amp;$K792),"")</t>
  </si>
  <si>
    <t>=NL("Sum","Item Ledger Entry","Quantity","Entry Type","Purchase","Entry No.",I792,"Location Code",$L$7)</t>
  </si>
  <si>
    <t>=NL("Sum","Item Ledger Entry","Quantity","Entry Type","Sale","Entry No.",I792,"Location Code",$L$7)</t>
  </si>
  <si>
    <t>=NL("Sum","Item Ledger Entry","Quantity","Entry Type","Positive Adjmt.|Negative Adjmt.","Entry No.",I792,"Location Code",$L$7)</t>
  </si>
  <si>
    <t>=NL("Sum","Item Ledger Entry","Quantity","Entry Type","Transfer","Entry No.",I792,"Location Code",$L$7)</t>
  </si>
  <si>
    <t>=NL("Sum","Item Ledger Entry","Quantity","Entry Type","Consumption","Entry No.",I792,"Location Code",$L$7)</t>
  </si>
  <si>
    <t>=NL("Sum","Item Ledger Entry","Quantity","Entry Type","Output","Entry No.",I792,"Location Code",$L$7)</t>
  </si>
  <si>
    <t>=D792</t>
  </si>
  <si>
    <t>=NF($G793,"Posting Date")</t>
  </si>
  <si>
    <t>=NF($G793,"Entry No.")</t>
  </si>
  <si>
    <t>=NF(G793,"Source Type")</t>
  </si>
  <si>
    <t>=NF($G793,"Source No.")</t>
  </si>
  <si>
    <t>=IF($J793="Customer",NL("first",$J793,"Name","No.","@@"&amp;$K793),"")</t>
  </si>
  <si>
    <t>=IF(J793="vendor",NL("first",J793,"Name","No.","@@"&amp;K793),"")</t>
  </si>
  <si>
    <t>=IF($J793="Item",NL("first",$J793,"Description","No.","@@"&amp;$K793),"")</t>
  </si>
  <si>
    <t>=NL("Sum","Item Ledger Entry","Quantity","Entry Type","Purchase","Entry No.",I793,"Location Code",$L$7)</t>
  </si>
  <si>
    <t>=NL("Sum","Item Ledger Entry","Quantity","Entry Type","Sale","Entry No.",I793,"Location Code",$L$7)</t>
  </si>
  <si>
    <t>=NL("Sum","Item Ledger Entry","Quantity","Entry Type","Positive Adjmt.|Negative Adjmt.","Entry No.",I793,"Location Code",$L$7)</t>
  </si>
  <si>
    <t>=NL("Sum","Item Ledger Entry","Quantity","Entry Type","Transfer","Entry No.",I793,"Location Code",$L$7)</t>
  </si>
  <si>
    <t>=NL("Sum","Item Ledger Entry","Quantity","Entry Type","Consumption","Entry No.",I793,"Location Code",$L$7)</t>
  </si>
  <si>
    <t>=NL("Sum","Item Ledger Entry","Quantity","Entry Type","Output","Entry No.",I793,"Location Code",$L$7)</t>
  </si>
  <si>
    <t>=D798</t>
  </si>
  <si>
    <t>=NF($G799,"Posting Date")</t>
  </si>
  <si>
    <t>=NF($G799,"Entry No.")</t>
  </si>
  <si>
    <t>=NF(G799,"Source Type")</t>
  </si>
  <si>
    <t>=NF($G799,"Source No.")</t>
  </si>
  <si>
    <t>=IF($J799="Customer",NL("first",$J799,"Name","No.","@@"&amp;$K799),"")</t>
  </si>
  <si>
    <t>=IF(J799="vendor",NL("first",J799,"Name","No.","@@"&amp;K799),"")</t>
  </si>
  <si>
    <t>=IF($J799="Item",NL("first",$J799,"Description","No.","@@"&amp;$K799),"")</t>
  </si>
  <si>
    <t>=NL("Sum","Item Ledger Entry","Quantity","Entry Type","Purchase","Entry No.",I799,"Location Code",$L$7)</t>
  </si>
  <si>
    <t>=NL("Sum","Item Ledger Entry","Quantity","Entry Type","Sale","Entry No.",I799,"Location Code",$L$7)</t>
  </si>
  <si>
    <t>=NL("Sum","Item Ledger Entry","Quantity","Entry Type","Positive Adjmt.|Negative Adjmt.","Entry No.",I799,"Location Code",$L$7)</t>
  </si>
  <si>
    <t>=NL("Sum","Item Ledger Entry","Quantity","Entry Type","Transfer","Entry No.",I799,"Location Code",$L$7)</t>
  </si>
  <si>
    <t>=NL("Sum","Item Ledger Entry","Quantity","Entry Type","Consumption","Entry No.",I799,"Location Code",$L$7)</t>
  </si>
  <si>
    <t>=NL("Sum","Item Ledger Entry","Quantity","Entry Type","Output","Entry No.",I799,"Location Code",$L$7)</t>
  </si>
  <si>
    <t>=D799</t>
  </si>
  <si>
    <t>=NF($G800,"Posting Date")</t>
  </si>
  <si>
    <t>=NF($G800,"Entry No.")</t>
  </si>
  <si>
    <t>=NF(G800,"Source Type")</t>
  </si>
  <si>
    <t>=NF($G800,"Source No.")</t>
  </si>
  <si>
    <t>=IF($J800="Customer",NL("first",$J800,"Name","No.","@@"&amp;$K800),"")</t>
  </si>
  <si>
    <t>=IF(J800="vendor",NL("first",J800,"Name","No.","@@"&amp;K800),"")</t>
  </si>
  <si>
    <t>=IF($J800="Item",NL("first",$J800,"Description","No.","@@"&amp;$K800),"")</t>
  </si>
  <si>
    <t>=NL("Sum","Item Ledger Entry","Quantity","Entry Type","Purchase","Entry No.",I800,"Location Code",$L$7)</t>
  </si>
  <si>
    <t>=NL("Sum","Item Ledger Entry","Quantity","Entry Type","Sale","Entry No.",I800,"Location Code",$L$7)</t>
  </si>
  <si>
    <t>=NL("Sum","Item Ledger Entry","Quantity","Entry Type","Positive Adjmt.|Negative Adjmt.","Entry No.",I800,"Location Code",$L$7)</t>
  </si>
  <si>
    <t>=NL("Sum","Item Ledger Entry","Quantity","Entry Type","Transfer","Entry No.",I800,"Location Code",$L$7)</t>
  </si>
  <si>
    <t>=NL("Sum","Item Ledger Entry","Quantity","Entry Type","Consumption","Entry No.",I800,"Location Code",$L$7)</t>
  </si>
  <si>
    <t>=NL("Sum","Item Ledger Entry","Quantity","Entry Type","Output","Entry No.",I800,"Location Code",$L$7)</t>
  </si>
  <si>
    <t>=D807</t>
  </si>
  <si>
    <t>=IF($J808="Customer",NL("first",$J808,"Name","No.","@@"&amp;$K808),"")</t>
  </si>
  <si>
    <t>=IF(J808="vendor",NL("first",J808,"Name","No.","@@"&amp;K808),"")</t>
  </si>
  <si>
    <t>=IF($J808="Item",NL("first",$J808,"Description","No.","@@"&amp;$K808),"")</t>
  </si>
  <si>
    <t>=D808</t>
  </si>
  <si>
    <t>=IF($J809="Customer",NL("first",$J809,"Name","No.","@@"&amp;$K809),"")</t>
  </si>
  <si>
    <t>=IF(J809="vendor",NL("first",J809,"Name","No.","@@"&amp;K809),"")</t>
  </si>
  <si>
    <t>=IF($J809="Item",NL("first",$J809,"Description","No.","@@"&amp;$K809),"")</t>
  </si>
  <si>
    <t>=D809</t>
  </si>
  <si>
    <t>=IF($J810="Customer",NL("first",$J810,"Name","No.","@@"&amp;$K810),"")</t>
  </si>
  <si>
    <t>=IF(J810="vendor",NL("first",J810,"Name","No.","@@"&amp;K810),"")</t>
  </si>
  <si>
    <t>=IF($J810="Item",NL("first",$J810,"Description","No.","@@"&amp;$K810),"")</t>
  </si>
  <si>
    <t>=D813</t>
  </si>
  <si>
    <t>=NF($G814,"Posting Date")</t>
  </si>
  <si>
    <t>=NF($G814,"Entry No.")</t>
  </si>
  <si>
    <t>=NF(G814,"Source Type")</t>
  </si>
  <si>
    <t>=NF($G814,"Source No.")</t>
  </si>
  <si>
    <t>=IF($J814="Customer",NL("first",$J814,"Name","No.","@@"&amp;$K814),"")</t>
  </si>
  <si>
    <t>=IF(J814="vendor",NL("first",J814,"Name","No.","@@"&amp;K814),"")</t>
  </si>
  <si>
    <t>=IF($J814="Item",NL("first",$J814,"Description","No.","@@"&amp;$K814),"")</t>
  </si>
  <si>
    <t>=NL("Sum","Item Ledger Entry","Quantity","Entry Type","Purchase","Entry No.",I814,"Location Code",$L$7)</t>
  </si>
  <si>
    <t>=NL("Sum","Item Ledger Entry","Quantity","Entry Type","Sale","Entry No.",I814,"Location Code",$L$7)</t>
  </si>
  <si>
    <t>=NL("Sum","Item Ledger Entry","Quantity","Entry Type","Positive Adjmt.|Negative Adjmt.","Entry No.",I814,"Location Code",$L$7)</t>
  </si>
  <si>
    <t>=NL("Sum","Item Ledger Entry","Quantity","Entry Type","Transfer","Entry No.",I814,"Location Code",$L$7)</t>
  </si>
  <si>
    <t>=NL("Sum","Item Ledger Entry","Quantity","Entry Type","Consumption","Entry No.",I814,"Location Code",$L$7)</t>
  </si>
  <si>
    <t>=NL("Sum","Item Ledger Entry","Quantity","Entry Type","Output","Entry No.",I814,"Location Code",$L$7)</t>
  </si>
  <si>
    <t>=E818</t>
  </si>
  <si>
    <t>=NL("First","Item","Description","No.",$E818)</t>
  </si>
  <si>
    <t>=NL("First","Item","Base Unit of Measure","No.",$E818)</t>
  </si>
  <si>
    <t>=NL("Rows","Item Ledger Entry",,"+Posting Date",$L$5,"Item No.","@@"&amp;$D819,"Location Code",$L$7)</t>
  </si>
  <si>
    <t>=D820</t>
  </si>
  <si>
    <t>=NF($G821,"Posting Date")</t>
  </si>
  <si>
    <t>=NF($G821,"Entry No.")</t>
  </si>
  <si>
    <t>=NF(G821,"Source Type")</t>
  </si>
  <si>
    <t>=NF($G821,"Source No.")</t>
  </si>
  <si>
    <t>=IF($J821="Customer",NL("first",$J821,"Name","No.","@@"&amp;$K821),"")</t>
  </si>
  <si>
    <t>=IF(J821="vendor",NL("first",J821,"Name","No.","@@"&amp;K821),"")</t>
  </si>
  <si>
    <t>=IF($J821="Item",NL("first",$J821,"Description","No.","@@"&amp;$K821),"")</t>
  </si>
  <si>
    <t>=NL("Sum","Item Ledger Entry","Quantity","Entry Type","Purchase","Entry No.",I821,"Location Code",$L$7)</t>
  </si>
  <si>
    <t>=NL("Sum","Item Ledger Entry","Quantity","Entry Type","Sale","Entry No.",I821,"Location Code",$L$7)</t>
  </si>
  <si>
    <t>=NL("Sum","Item Ledger Entry","Quantity","Entry Type","Positive Adjmt.|Negative Adjmt.","Entry No.",I821,"Location Code",$L$7)</t>
  </si>
  <si>
    <t>=NL("Sum","Item Ledger Entry","Quantity","Entry Type","Transfer","Entry No.",I821,"Location Code",$L$7)</t>
  </si>
  <si>
    <t>=NL("Sum","Item Ledger Entry","Quantity","Entry Type","Consumption","Entry No.",I821,"Location Code",$L$7)</t>
  </si>
  <si>
    <t>=NL("Sum","Item Ledger Entry","Quantity","Entry Type","Output","Entry No.",I821,"Location Code",$L$7)</t>
  </si>
  <si>
    <t>=D834</t>
  </si>
  <si>
    <t>=NF($G835,"Posting Date")</t>
  </si>
  <si>
    <t>=NF($G835,"Entry No.")</t>
  </si>
  <si>
    <t>=NF(G835,"Source Type")</t>
  </si>
  <si>
    <t>=NF($G835,"Source No.")</t>
  </si>
  <si>
    <t>=IF($J835="Customer",NL("first",$J835,"Name","No.","@@"&amp;$K835),"")</t>
  </si>
  <si>
    <t>=IF(J835="vendor",NL("first",J835,"Name","No.","@@"&amp;K835),"")</t>
  </si>
  <si>
    <t>=IF($J835="Item",NL("first",$J835,"Description","No.","@@"&amp;$K835),"")</t>
  </si>
  <si>
    <t>=NL("Sum","Item Ledger Entry","Quantity","Entry Type","Purchase","Entry No.",I835,"Location Code",$L$7)</t>
  </si>
  <si>
    <t>=NL("Sum","Item Ledger Entry","Quantity","Entry Type","Sale","Entry No.",I835,"Location Code",$L$7)</t>
  </si>
  <si>
    <t>=NL("Sum","Item Ledger Entry","Quantity","Entry Type","Positive Adjmt.|Negative Adjmt.","Entry No.",I835,"Location Code",$L$7)</t>
  </si>
  <si>
    <t>=NL("Sum","Item Ledger Entry","Quantity","Entry Type","Transfer","Entry No.",I835,"Location Code",$L$7)</t>
  </si>
  <si>
    <t>=NL("Sum","Item Ledger Entry","Quantity","Entry Type","Consumption","Entry No.",I835,"Location Code",$L$7)</t>
  </si>
  <si>
    <t>=NL("Sum","Item Ledger Entry","Quantity","Entry Type","Output","Entry No.",I835,"Location Code",$L$7)</t>
  </si>
  <si>
    <t>=D842</t>
  </si>
  <si>
    <t>=IF($J843="Customer",NL("first",$J843,"Name","No.","@@"&amp;$K843),"")</t>
  </si>
  <si>
    <t>=IF(J843="vendor",NL("first",J843,"Name","No.","@@"&amp;K843),"")</t>
  </si>
  <si>
    <t>=IF($J843="Item",NL("first",$J843,"Description","No.","@@"&amp;$K843),"")</t>
  </si>
  <si>
    <t>=D843</t>
  </si>
  <si>
    <t>=IF($J844="Customer",NL("first",$J844,"Name","No.","@@"&amp;$K844),"")</t>
  </si>
  <si>
    <t>=IF(J844="vendor",NL("first",J844,"Name","No.","@@"&amp;K844),"")</t>
  </si>
  <si>
    <t>=IF($J844="Item",NL("first",$J844,"Description","No.","@@"&amp;$K844),"")</t>
  </si>
  <si>
    <t>=E851</t>
  </si>
  <si>
    <t>=NL("First","Item","Description","No.",$E851)</t>
  </si>
  <si>
    <t>=NL("First","Item","Base Unit of Measure","No.",$E851)</t>
  </si>
  <si>
    <t>=D851</t>
  </si>
  <si>
    <t>=NL("Rows","Item Ledger Entry",,"+Posting Date",$L$5,"Item No.","@@"&amp;$D852,"Location Code",$L$7)</t>
  </si>
  <si>
    <t>=IF($J852="Customer",NL("first",$J852,"Name","No.","@@"&amp;$K852),"")</t>
  </si>
  <si>
    <t>=IF(J852="vendor",NL("first",J852,"Name","No.","@@"&amp;K852),"")</t>
  </si>
  <si>
    <t>=IF($J852="Item",NL("first",$J852,"Description","No.","@@"&amp;$K852),"")</t>
  </si>
  <si>
    <t>=D852</t>
  </si>
  <si>
    <t>=IF($J853="Customer",NL("first",$J853,"Name","No.","@@"&amp;$K853),"")</t>
  </si>
  <si>
    <t>=IF(J853="vendor",NL("first",J853,"Name","No.","@@"&amp;K853),"")</t>
  </si>
  <si>
    <t>=IF($J853="Item",NL("first",$J853,"Description","No.","@@"&amp;$K853),"")</t>
  </si>
  <si>
    <t>=D864</t>
  </si>
  <si>
    <t>=IF($J865="Customer",NL("first",$J865,"Name","No.","@@"&amp;$K865),"")</t>
  </si>
  <si>
    <t>=IF(J865="vendor",NL("first",J865,"Name","No.","@@"&amp;K865),"")</t>
  </si>
  <si>
    <t>=IF($J865="Item",NL("first",$J865,"Description","No.","@@"&amp;$K865),"")</t>
  </si>
  <si>
    <t>=D865</t>
  </si>
  <si>
    <t>=IF($J866="Customer",NL("first",$J866,"Name","No.","@@"&amp;$K866),"")</t>
  </si>
  <si>
    <t>=IF(J866="vendor",NL("first",J866,"Name","No.","@@"&amp;K866),"")</t>
  </si>
  <si>
    <t>=IF($J866="Item",NL("first",$J866,"Description","No.","@@"&amp;$K866),"")</t>
  </si>
  <si>
    <t>=D866</t>
  </si>
  <si>
    <t>=IF($J867="Customer",NL("first",$J867,"Name","No.","@@"&amp;$K867),"")</t>
  </si>
  <si>
    <t>=IF(J867="vendor",NL("first",J867,"Name","No.","@@"&amp;K867),"")</t>
  </si>
  <si>
    <t>=IF($J867="Item",NL("first",$J867,"Description","No.","@@"&amp;$K867),"")</t>
  </si>
  <si>
    <t>=E871</t>
  </si>
  <si>
    <t>=NL("First","Item","Description","No.",$E871)</t>
  </si>
  <si>
    <t>=NL("First","Item","Base Unit of Measure","No.",$E871)</t>
  </si>
  <si>
    <t>=D871</t>
  </si>
  <si>
    <t>=IF($J872="Customer",NL("first",$J872,"Name","No.","@@"&amp;$K872),"")</t>
  </si>
  <si>
    <t>=IF(J872="vendor",NL("first",J872,"Name","No.","@@"&amp;K872),"")</t>
  </si>
  <si>
    <t>=IF($J872="Item",NL("first",$J872,"Description","No.","@@"&amp;$K872),"")</t>
  </si>
  <si>
    <t>=D885</t>
  </si>
  <si>
    <t>=IF($J886="Customer",NL("first",$J886,"Name","No.","@@"&amp;$K886),"")</t>
  </si>
  <si>
    <t>=IF(J886="vendor",NL("first",J886,"Name","No.","@@"&amp;K886),"")</t>
  </si>
  <si>
    <t>=IF($J886="Item",NL("first",$J886,"Description","No.","@@"&amp;$K886),"")</t>
  </si>
  <si>
    <t>=D886</t>
  </si>
  <si>
    <t>=IF($J887="Customer",NL("first",$J887,"Name","No.","@@"&amp;$K887),"")</t>
  </si>
  <si>
    <t>=IF(J887="vendor",NL("first",J887,"Name","No.","@@"&amp;K887),"")</t>
  </si>
  <si>
    <t>=IF($J887="Item",NL("first",$J887,"Description","No.","@@"&amp;$K887),"")</t>
  </si>
  <si>
    <t>=D887</t>
  </si>
  <si>
    <t>=IF($J888="Customer",NL("first",$J888,"Name","No.","@@"&amp;$K888),"")</t>
  </si>
  <si>
    <t>=IF(J888="vendor",NL("first",J888,"Name","No.","@@"&amp;K888),"")</t>
  </si>
  <si>
    <t>=IF($J888="Item",NL("first",$J888,"Description","No.","@@"&amp;$K888),"")</t>
  </si>
  <si>
    <t>=D896</t>
  </si>
  <si>
    <t>=IF($J897="Customer",NL("first",$J897,"Name","No.","@@"&amp;$K897),"")</t>
  </si>
  <si>
    <t>=IF(J897="vendor",NL("first",J897,"Name","No.","@@"&amp;K897),"")</t>
  </si>
  <si>
    <t>=IF($J897="Item",NL("first",$J897,"Description","No.","@@"&amp;$K897),"")</t>
  </si>
  <si>
    <t>=D897</t>
  </si>
  <si>
    <t>=IF($J898="Customer",NL("first",$J898,"Name","No.","@@"&amp;$K898),"")</t>
  </si>
  <si>
    <t>=IF(J898="vendor",NL("first",J898,"Name","No.","@@"&amp;K898),"")</t>
  </si>
  <si>
    <t>=IF($J898="Item",NL("first",$J898,"Description","No.","@@"&amp;$K898),"")</t>
  </si>
  <si>
    <t>=D898</t>
  </si>
  <si>
    <t>=IF($J899="Customer",NL("first",$J899,"Name","No.","@@"&amp;$K899),"")</t>
  </si>
  <si>
    <t>=IF(J899="vendor",NL("first",J899,"Name","No.","@@"&amp;K899),"")</t>
  </si>
  <si>
    <t>=IF($J899="Item",NL("first",$J899,"Description","No.","@@"&amp;$K899),"")</t>
  </si>
  <si>
    <t>=D902</t>
  </si>
  <si>
    <t>=IF($J903="Customer",NL("first",$J903,"Name","No.","@@"&amp;$K903),"")</t>
  </si>
  <si>
    <t>=IF(J903="vendor",NL("first",J903,"Name","No.","@@"&amp;K903),"")</t>
  </si>
  <si>
    <t>=IF($J903="Item",NL("first",$J903,"Description","No.","@@"&amp;$K903),"")</t>
  </si>
  <si>
    <t>=D906</t>
  </si>
  <si>
    <t>=IF($J907="Customer",NL("first",$J907,"Name","No.","@@"&amp;$K907),"")</t>
  </si>
  <si>
    <t>=IF(J907="vendor",NL("first",J907,"Name","No.","@@"&amp;K907),"")</t>
  </si>
  <si>
    <t>=IF($J907="Item",NL("first",$J907,"Description","No.","@@"&amp;$K907),"")</t>
  </si>
  <si>
    <t>=D907</t>
  </si>
  <si>
    <t>=IF($J908="Customer",NL("first",$J908,"Name","No.","@@"&amp;$K908),"")</t>
  </si>
  <si>
    <t>=IF(J908="vendor",NL("first",J908,"Name","No.","@@"&amp;K908),"")</t>
  </si>
  <si>
    <t>=IF($J908="Item",NL("first",$J908,"Description","No.","@@"&amp;$K908),"")</t>
  </si>
  <si>
    <t>=D908</t>
  </si>
  <si>
    <t>=IF($J909="Customer",NL("first",$J909,"Name","No.","@@"&amp;$K909),"")</t>
  </si>
  <si>
    <t>=IF(J909="vendor",NL("first",J909,"Name","No.","@@"&amp;K909),"")</t>
  </si>
  <si>
    <t>=IF($J909="Item",NL("first",$J909,"Description","No.","@@"&amp;$K909),"")</t>
  </si>
  <si>
    <t>=D914</t>
  </si>
  <si>
    <t>=IF($J915="Customer",NL("first",$J915,"Name","No.","@@"&amp;$K915),"")</t>
  </si>
  <si>
    <t>=IF(J915="vendor",NL("first",J915,"Name","No.","@@"&amp;K915),"")</t>
  </si>
  <si>
    <t>=IF($J915="Item",NL("first",$J915,"Description","No.","@@"&amp;$K915),"")</t>
  </si>
  <si>
    <t>=D915</t>
  </si>
  <si>
    <t>=IF($J916="Customer",NL("first",$J916,"Name","No.","@@"&amp;$K916),"")</t>
  </si>
  <si>
    <t>=IF(J916="vendor",NL("first",J916,"Name","No.","@@"&amp;K916),"")</t>
  </si>
  <si>
    <t>=IF($J916="Item",NL("first",$J916,"Description","No.","@@"&amp;$K916),"")</t>
  </si>
  <si>
    <t>=D916</t>
  </si>
  <si>
    <t>=IF($J917="Customer",NL("first",$J917,"Name","No.","@@"&amp;$K917),"")</t>
  </si>
  <si>
    <t>=IF(J917="vendor",NL("first",J917,"Name","No.","@@"&amp;K917),"")</t>
  </si>
  <si>
    <t>=IF($J917="Item",NL("first",$J917,"Description","No.","@@"&amp;$K917),"")</t>
  </si>
  <si>
    <t>=D918</t>
  </si>
  <si>
    <t>=IF($J919="Customer",NL("first",$J919,"Name","No.","@@"&amp;$K919),"")</t>
  </si>
  <si>
    <t>=IF(J919="vendor",NL("first",J919,"Name","No.","@@"&amp;K919),"")</t>
  </si>
  <si>
    <t>=IF($J919="Item",NL("first",$J919,"Description","No.","@@"&amp;$K919),"")</t>
  </si>
  <si>
    <t>=D929</t>
  </si>
  <si>
    <t>=IF($J930="Customer",NL("first",$J930,"Name","No.","@@"&amp;$K930),"")</t>
  </si>
  <si>
    <t>=IF(J930="vendor",NL("first",J930,"Name","No.","@@"&amp;K930),"")</t>
  </si>
  <si>
    <t>=IF($J930="Item",NL("first",$J930,"Description","No.","@@"&amp;$K930),"")</t>
  </si>
  <si>
    <t>=D939</t>
  </si>
  <si>
    <t>=IF($J940="Customer",NL("first",$J940,"Name","No.","@@"&amp;$K940),"")</t>
  </si>
  <si>
    <t>=IF(J940="vendor",NL("first",J940,"Name","No.","@@"&amp;K940),"")</t>
  </si>
  <si>
    <t>=IF($J940="Item",NL("first",$J940,"Description","No.","@@"&amp;$K940),"")</t>
  </si>
  <si>
    <t>=D940</t>
  </si>
  <si>
    <t>=IF($J941="Customer",NL("first",$J941,"Name","No.","@@"&amp;$K941),"")</t>
  </si>
  <si>
    <t>=IF(J941="vendor",NL("first",J941,"Name","No.","@@"&amp;K941),"")</t>
  </si>
  <si>
    <t>=IF($J941="Item",NL("first",$J941,"Description","No.","@@"&amp;$K941),"")</t>
  </si>
  <si>
    <t>=D941</t>
  </si>
  <si>
    <t>=IF($J942="Customer",NL("first",$J942,"Name","No.","@@"&amp;$K942),"")</t>
  </si>
  <si>
    <t>=IF(J942="vendor",NL("first",J942,"Name","No.","@@"&amp;K942),"")</t>
  </si>
  <si>
    <t>=IF($J942="Item",NL("first",$J942,"Description","No.","@@"&amp;$K942),"")</t>
  </si>
  <si>
    <t>=D953</t>
  </si>
  <si>
    <t>=IF($J954="Customer",NL("first",$J954,"Name","No.","@@"&amp;$K954),"")</t>
  </si>
  <si>
    <t>=IF(J954="vendor",NL("first",J954,"Name","No.","@@"&amp;K954),"")</t>
  </si>
  <si>
    <t>=IF($J954="Item",NL("first",$J954,"Description","No.","@@"&amp;$K954),"")</t>
  </si>
  <si>
    <t>=D954</t>
  </si>
  <si>
    <t>=IF($J955="Customer",NL("first",$J955,"Name","No.","@@"&amp;$K955),"")</t>
  </si>
  <si>
    <t>=IF(J955="vendor",NL("first",J955,"Name","No.","@@"&amp;K955),"")</t>
  </si>
  <si>
    <t>=IF($J955="Item",NL("first",$J955,"Description","No.","@@"&amp;$K955),"")</t>
  </si>
  <si>
    <t>=D955</t>
  </si>
  <si>
    <t>=IF($J956="Customer",NL("first",$J956,"Name","No.","@@"&amp;$K956),"")</t>
  </si>
  <si>
    <t>=IF(J956="vendor",NL("first",J956,"Name","No.","@@"&amp;K956),"")</t>
  </si>
  <si>
    <t>=IF($J956="Item",NL("first",$J956,"Description","No.","@@"&amp;$K956),"")</t>
  </si>
  <si>
    <t>=D974</t>
  </si>
  <si>
    <t>=IF($J975="Customer",NL("first",$J975,"Name","No.","@@"&amp;$K975),"")</t>
  </si>
  <si>
    <t>=IF(J975="vendor",NL("first",J975,"Name","No.","@@"&amp;K975),"")</t>
  </si>
  <si>
    <t>=IF($J975="Item",NL("first",$J975,"Description","No.","@@"&amp;$K975),"")</t>
  </si>
  <si>
    <t>=D975</t>
  </si>
  <si>
    <t>=IF($J976="Customer",NL("first",$J976,"Name","No.","@@"&amp;$K976),"")</t>
  </si>
  <si>
    <t>=IF(J976="vendor",NL("first",J976,"Name","No.","@@"&amp;K976),"")</t>
  </si>
  <si>
    <t>=IF($J976="Item",NL("first",$J976,"Description","No.","@@"&amp;$K976),"")</t>
  </si>
  <si>
    <t>=D976</t>
  </si>
  <si>
    <t>=IF($J977="Customer",NL("first",$J977,"Name","No.","@@"&amp;$K977),"")</t>
  </si>
  <si>
    <t>=IF(J977="vendor",NL("first",J977,"Name","No.","@@"&amp;K977),"")</t>
  </si>
  <si>
    <t>=IF($J977="Item",NL("first",$J977,"Description","No.","@@"&amp;$K977),"")</t>
  </si>
  <si>
    <t>=D997</t>
  </si>
  <si>
    <t>=IF($J998="Customer",NL("first",$J998,"Name","No.","@@"&amp;$K998),"")</t>
  </si>
  <si>
    <t>=IF(J998="vendor",NL("first",J998,"Name","No.","@@"&amp;K998),"")</t>
  </si>
  <si>
    <t>=IF($J998="Item",NL("first",$J998,"Description","No.","@@"&amp;$K998),"")</t>
  </si>
  <si>
    <t>=D1020</t>
  </si>
  <si>
    <t>=IF($J1021="Customer",NL("first",$J1021,"Name","No.","@@"&amp;$K1021),"")</t>
  </si>
  <si>
    <t>=IF(J1021="vendor",NL("first",J1021,"Name","No.","@@"&amp;K1021),"")</t>
  </si>
  <si>
    <t>=IF($J1021="Item",NL("first",$J1021,"Description","No.","@@"&amp;$K1021),"")</t>
  </si>
  <si>
    <t>=D1021</t>
  </si>
  <si>
    <t>=IF($J1022="Customer",NL("first",$J1022,"Name","No.","@@"&amp;$K1022),"")</t>
  </si>
  <si>
    <t>=IF(J1022="vendor",NL("first",J1022,"Name","No.","@@"&amp;K1022),"")</t>
  </si>
  <si>
    <t>=IF($J1022="Item",NL("first",$J1022,"Description","No.","@@"&amp;$K1022),"")</t>
  </si>
  <si>
    <t>=D1028</t>
  </si>
  <si>
    <t>=IF($J1029="Customer",NL("first",$J1029,"Name","No.","@@"&amp;$K1029),"")</t>
  </si>
  <si>
    <t>=IF(J1029="vendor",NL("first",J1029,"Name","No.","@@"&amp;K1029),"")</t>
  </si>
  <si>
    <t>=IF($J1029="Item",NL("first",$J1029,"Description","No.","@@"&amp;$K1029),"")</t>
  </si>
  <si>
    <t>=D1029</t>
  </si>
  <si>
    <t>=IF($J1030="Customer",NL("first",$J1030,"Name","No.","@@"&amp;$K1030),"")</t>
  </si>
  <si>
    <t>=IF(J1030="vendor",NL("first",J1030,"Name","No.","@@"&amp;K1030),"")</t>
  </si>
  <si>
    <t>=IF($J1030="Item",NL("first",$J1030,"Description","No.","@@"&amp;$K1030),"")</t>
  </si>
  <si>
    <t>=D1030</t>
  </si>
  <si>
    <t>=IF($J1031="Customer",NL("first",$J1031,"Name","No.","@@"&amp;$K1031),"")</t>
  </si>
  <si>
    <t>=IF(J1031="vendor",NL("first",J1031,"Name","No.","@@"&amp;K1031),"")</t>
  </si>
  <si>
    <t>=IF($J1031="Item",NL("first",$J1031,"Description","No.","@@"&amp;$K1031),"")</t>
  </si>
  <si>
    <t>=D1041</t>
  </si>
  <si>
    <t>=IF($J1042="Customer",NL("first",$J1042,"Name","No.","@@"&amp;$K1042),"")</t>
  </si>
  <si>
    <t>=IF(J1042="vendor",NL("first",J1042,"Name","No.","@@"&amp;K1042),"")</t>
  </si>
  <si>
    <t>=IF($J1042="Item",NL("first",$J1042,"Description","No.","@@"&amp;$K1042),"")</t>
  </si>
  <si>
    <t>=D1042</t>
  </si>
  <si>
    <t>=IF($J1043="Customer",NL("first",$J1043,"Name","No.","@@"&amp;$K1043),"")</t>
  </si>
  <si>
    <t>=IF(J1043="vendor",NL("first",J1043,"Name","No.","@@"&amp;K1043),"")</t>
  </si>
  <si>
    <t>=IF($J1043="Item",NL("first",$J1043,"Description","No.","@@"&amp;$K1043),"")</t>
  </si>
  <si>
    <t>=D1043</t>
  </si>
  <si>
    <t>=IF($J1044="Customer",NL("first",$J1044,"Name","No.","@@"&amp;$K1044),"")</t>
  </si>
  <si>
    <t>=IF(J1044="vendor",NL("first",J1044,"Name","No.","@@"&amp;K1044),"")</t>
  </si>
  <si>
    <t>=IF($J1044="Item",NL("first",$J1044,"Description","No.","@@"&amp;$K1044),"")</t>
  </si>
  <si>
    <t>=D1050</t>
  </si>
  <si>
    <t>=IF($J1051="Customer",NL("first",$J1051,"Name","No.","@@"&amp;$K1051),"")</t>
  </si>
  <si>
    <t>=IF(J1051="vendor",NL("first",J1051,"Name","No.","@@"&amp;K1051),"")</t>
  </si>
  <si>
    <t>=IF($J1051="Item",NL("first",$J1051,"Description","No.","@@"&amp;$K1051),"")</t>
  </si>
  <si>
    <t>=D1051</t>
  </si>
  <si>
    <t>=IF($J1052="Customer",NL("first",$J1052,"Name","No.","@@"&amp;$K1052),"")</t>
  </si>
  <si>
    <t>=IF(J1052="vendor",NL("first",J1052,"Name","No.","@@"&amp;K1052),"")</t>
  </si>
  <si>
    <t>=IF($J1052="Item",NL("first",$J1052,"Description","No.","@@"&amp;$K1052),"")</t>
  </si>
  <si>
    <t>=D1052</t>
  </si>
  <si>
    <t>=IF($J1053="Customer",NL("first",$J1053,"Name","No.","@@"&amp;$K1053),"")</t>
  </si>
  <si>
    <t>=IF(J1053="vendor",NL("first",J1053,"Name","No.","@@"&amp;K1053),"")</t>
  </si>
  <si>
    <t>=IF($J1053="Item",NL("first",$J1053,"Description","No.","@@"&amp;$K1053),"")</t>
  </si>
  <si>
    <t>=D1059</t>
  </si>
  <si>
    <t>=IF($J1060="Customer",NL("first",$J1060,"Name","No.","@@"&amp;$K1060),"")</t>
  </si>
  <si>
    <t>=IF(J1060="vendor",NL("first",J1060,"Name","No.","@@"&amp;K1060),"")</t>
  </si>
  <si>
    <t>=IF($J1060="Item",NL("first",$J1060,"Description","No.","@@"&amp;$K1060),"")</t>
  </si>
  <si>
    <t>=D1060</t>
  </si>
  <si>
    <t>=IF($J1061="Customer",NL("first",$J1061,"Name","No.","@@"&amp;$K1061),"")</t>
  </si>
  <si>
    <t>=IF(J1061="vendor",NL("first",J1061,"Name","No.","@@"&amp;K1061),"")</t>
  </si>
  <si>
    <t>=IF($J1061="Item",NL("first",$J1061,"Description","No.","@@"&amp;$K1061),"")</t>
  </si>
  <si>
    <t>=D1077</t>
  </si>
  <si>
    <t>=NF($G1078,"Posting Date")</t>
  </si>
  <si>
    <t>=NF($G1078,"Entry No.")</t>
  </si>
  <si>
    <t>=NF(G1078,"Source Type")</t>
  </si>
  <si>
    <t>=NF($G1078,"Source No.")</t>
  </si>
  <si>
    <t>=IF($J1078="Customer",NL("first",$J1078,"Name","No.","@@"&amp;$K1078),"")</t>
  </si>
  <si>
    <t>=IF(J1078="vendor",NL("first",J1078,"Name","No.","@@"&amp;K1078),"")</t>
  </si>
  <si>
    <t>=IF($J1078="Item",NL("first",$J1078,"Description","No.","@@"&amp;$K1078),"")</t>
  </si>
  <si>
    <t>=NL("Sum","Item Ledger Entry","Quantity","Entry Type","Purchase","Entry No.",I1078,"Location Code",$L$7)</t>
  </si>
  <si>
    <t>=NL("Sum","Item Ledger Entry","Quantity","Entry Type","Sale","Entry No.",I1078,"Location Code",$L$7)</t>
  </si>
  <si>
    <t>=NL("Sum","Item Ledger Entry","Quantity","Entry Type","Positive Adjmt.|Negative Adjmt.","Entry No.",I1078,"Location Code",$L$7)</t>
  </si>
  <si>
    <t>=NL("Sum","Item Ledger Entry","Quantity","Entry Type","Transfer","Entry No.",I1078,"Location Code",$L$7)</t>
  </si>
  <si>
    <t>=NL("Sum","Item Ledger Entry","Quantity","Entry Type","Consumption","Entry No.",I1078,"Location Code",$L$7)</t>
  </si>
  <si>
    <t>=NL("Sum","Item Ledger Entry","Quantity","Entry Type","Output","Entry No.",I1078,"Location Code",$L$7)</t>
  </si>
  <si>
    <t>=D1078</t>
  </si>
  <si>
    <t>=NF($G1079,"Posting Date")</t>
  </si>
  <si>
    <t>=NF($G1079,"Entry No.")</t>
  </si>
  <si>
    <t>=NF(G1079,"Source Type")</t>
  </si>
  <si>
    <t>=NF($G1079,"Source No.")</t>
  </si>
  <si>
    <t>=IF($J1079="Customer",NL("first",$J1079,"Name","No.","@@"&amp;$K1079),"")</t>
  </si>
  <si>
    <t>=IF(J1079="vendor",NL("first",J1079,"Name","No.","@@"&amp;K1079),"")</t>
  </si>
  <si>
    <t>=IF($J1079="Item",NL("first",$J1079,"Description","No.","@@"&amp;$K1079),"")</t>
  </si>
  <si>
    <t>=NL("Sum","Item Ledger Entry","Quantity","Entry Type","Purchase","Entry No.",I1079,"Location Code",$L$7)</t>
  </si>
  <si>
    <t>=NL("Sum","Item Ledger Entry","Quantity","Entry Type","Sale","Entry No.",I1079,"Location Code",$L$7)</t>
  </si>
  <si>
    <t>=NL("Sum","Item Ledger Entry","Quantity","Entry Type","Positive Adjmt.|Negative Adjmt.","Entry No.",I1079,"Location Code",$L$7)</t>
  </si>
  <si>
    <t>=NL("Sum","Item Ledger Entry","Quantity","Entry Type","Transfer","Entry No.",I1079,"Location Code",$L$7)</t>
  </si>
  <si>
    <t>=NL("Sum","Item Ledger Entry","Quantity","Entry Type","Consumption","Entry No.",I1079,"Location Code",$L$7)</t>
  </si>
  <si>
    <t>=NL("Sum","Item Ledger Entry","Quantity","Entry Type","Output","Entry No.",I1079,"Location Code",$L$7)</t>
  </si>
  <si>
    <t>=D1079</t>
  </si>
  <si>
    <t>=NF($G1080,"Posting Date")</t>
  </si>
  <si>
    <t>=NF($G1080,"Entry No.")</t>
  </si>
  <si>
    <t>=NF(G1080,"Source Type")</t>
  </si>
  <si>
    <t>=NF($G1080,"Source No.")</t>
  </si>
  <si>
    <t>=IF($J1080="Customer",NL("first",$J1080,"Name","No.","@@"&amp;$K1080),"")</t>
  </si>
  <si>
    <t>=IF(J1080="vendor",NL("first",J1080,"Name","No.","@@"&amp;K1080),"")</t>
  </si>
  <si>
    <t>=IF($J1080="Item",NL("first",$J1080,"Description","No.","@@"&amp;$K1080),"")</t>
  </si>
  <si>
    <t>=NL("Sum","Item Ledger Entry","Quantity","Entry Type","Purchase","Entry No.",I1080,"Location Code",$L$7)</t>
  </si>
  <si>
    <t>=NL("Sum","Item Ledger Entry","Quantity","Entry Type","Sale","Entry No.",I1080,"Location Code",$L$7)</t>
  </si>
  <si>
    <t>=NL("Sum","Item Ledger Entry","Quantity","Entry Type","Positive Adjmt.|Negative Adjmt.","Entry No.",I1080,"Location Code",$L$7)</t>
  </si>
  <si>
    <t>=NL("Sum","Item Ledger Entry","Quantity","Entry Type","Transfer","Entry No.",I1080,"Location Code",$L$7)</t>
  </si>
  <si>
    <t>=NL("Sum","Item Ledger Entry","Quantity","Entry Type","Consumption","Entry No.",I1080,"Location Code",$L$7)</t>
  </si>
  <si>
    <t>=NL("Sum","Item Ledger Entry","Quantity","Entry Type","Output","Entry No.",I1080,"Location Code",$L$7)</t>
  </si>
  <si>
    <t>=NF($G1051,"Posting Date")</t>
  </si>
  <si>
    <t>=NF($G1052,"Posting Date")</t>
  </si>
  <si>
    <t>=NF($G1053,"Posting Date")</t>
  </si>
  <si>
    <t>=NF($G1060,"Posting Date")</t>
  </si>
  <si>
    <t>=NF($G1061,"Posting Date")</t>
  </si>
  <si>
    <t>=NF($G1051,"Entry No.")</t>
  </si>
  <si>
    <t>=NF($G1052,"Entry No.")</t>
  </si>
  <si>
    <t>=NF($G1053,"Entry No.")</t>
  </si>
  <si>
    <t>=NF($G1060,"Entry No.")</t>
  </si>
  <si>
    <t>=NF($G1061,"Entry No.")</t>
  </si>
  <si>
    <t>=NL("Sum","Item Ledger Entry","Quantity","Entry Type","Purchase","Entry No.",I1051,"Location Code",$L$7)</t>
  </si>
  <si>
    <t>=NL("Sum","Item Ledger Entry","Quantity","Entry Type","Purchase","Entry No.",I1052,"Location Code",$L$7)</t>
  </si>
  <si>
    <t>=NL("Sum","Item Ledger Entry","Quantity","Entry Type","Purchase","Entry No.",I1053,"Location Code",$L$7)</t>
  </si>
  <si>
    <t>=NL("Sum","Item Ledger Entry","Quantity","Entry Type","Purchase","Entry No.",I1060,"Location Code",$L$7)</t>
  </si>
  <si>
    <t>=NL("Sum","Item Ledger Entry","Quantity","Entry Type","Purchase","Entry No.",I1061,"Location Code",$L$7)</t>
  </si>
  <si>
    <t>=NL("Sum","Item Ledger Entry","Quantity","Entry Type","Sale","Entry No.",I1051,"Location Code",$L$7)</t>
  </si>
  <si>
    <t>=NL("Sum","Item Ledger Entry","Quantity","Entry Type","Sale","Entry No.",I1052,"Location Code",$L$7)</t>
  </si>
  <si>
    <t>=NL("Sum","Item Ledger Entry","Quantity","Entry Type","Sale","Entry No.",I1053,"Location Code",$L$7)</t>
  </si>
  <si>
    <t>=NL("Sum","Item Ledger Entry","Quantity","Entry Type","Sale","Entry No.",I1060,"Location Code",$L$7)</t>
  </si>
  <si>
    <t>=NL("Sum","Item Ledger Entry","Quantity","Entry Type","Sale","Entry No.",I1061,"Location Code",$L$7)</t>
  </si>
  <si>
    <t>=NL("Sum","Item Ledger Entry","Quantity","Entry Type","Positive Adjmt.|Negative Adjmt.","Entry No.",I1051,"Location Code",$L$7)</t>
  </si>
  <si>
    <t>=NL("Sum","Item Ledger Entry","Quantity","Entry Type","Positive Adjmt.|Negative Adjmt.","Entry No.",I1052,"Location Code",$L$7)</t>
  </si>
  <si>
    <t>=NL("Sum","Item Ledger Entry","Quantity","Entry Type","Positive Adjmt.|Negative Adjmt.","Entry No.",I1053,"Location Code",$L$7)</t>
  </si>
  <si>
    <t>=NL("Sum","Item Ledger Entry","Quantity","Entry Type","Positive Adjmt.|Negative Adjmt.","Entry No.",I1060,"Location Code",$L$7)</t>
  </si>
  <si>
    <t>=NL("Sum","Item Ledger Entry","Quantity","Entry Type","Positive Adjmt.|Negative Adjmt.","Entry No.",I1061,"Location Code",$L$7)</t>
  </si>
  <si>
    <t>=NL("Sum","Item Ledger Entry","Quantity","Entry Type","Transfer","Entry No.",I1051,"Location Code",$L$7)</t>
  </si>
  <si>
    <t>=NL("Sum","Item Ledger Entry","Quantity","Entry Type","Transfer","Entry No.",I1052,"Location Code",$L$7)</t>
  </si>
  <si>
    <t>=NL("Sum","Item Ledger Entry","Quantity","Entry Type","Transfer","Entry No.",I1053,"Location Code",$L$7)</t>
  </si>
  <si>
    <t>=NL("Sum","Item Ledger Entry","Quantity","Entry Type","Transfer","Entry No.",I1060,"Location Code",$L$7)</t>
  </si>
  <si>
    <t>=NL("Sum","Item Ledger Entry","Quantity","Entry Type","Transfer","Entry No.",I1061,"Location Code",$L$7)</t>
  </si>
  <si>
    <t>=NL("Sum","Item Ledger Entry","Quantity","Entry Type","Consumption","Entry No.",I1051,"Location Code",$L$7)</t>
  </si>
  <si>
    <t>=NL("Sum","Item Ledger Entry","Quantity","Entry Type","Consumption","Entry No.",I1052,"Location Code",$L$7)</t>
  </si>
  <si>
    <t>=NL("Sum","Item Ledger Entry","Quantity","Entry Type","Consumption","Entry No.",I1053,"Location Code",$L$7)</t>
  </si>
  <si>
    <t>=NL("Sum","Item Ledger Entry","Quantity","Entry Type","Consumption","Entry No.",I1060,"Location Code",$L$7)</t>
  </si>
  <si>
    <t>=NL("Sum","Item Ledger Entry","Quantity","Entry Type","Consumption","Entry No.",I1061,"Location Code",$L$7)</t>
  </si>
  <si>
    <t>=NL("Sum","Item Ledger Entry","Quantity","Entry Type","Output","Entry No.",I1051,"Location Code",$L$7)</t>
  </si>
  <si>
    <t>=NL("Sum","Item Ledger Entry","Quantity","Entry Type","Output","Entry No.",I1052,"Location Code",$L$7)</t>
  </si>
  <si>
    <t>=NL("Sum","Item Ledger Entry","Quantity","Entry Type","Output","Entry No.",I1053,"Location Code",$L$7)</t>
  </si>
  <si>
    <t>=NL("Sum","Item Ledger Entry","Quantity","Entry Type","Output","Entry No.",I1060,"Location Code",$L$7)</t>
  </si>
  <si>
    <t>=NL("Sum","Item Ledger Entry","Quantity","Entry Type","Output","Entry No.",I1061,"Location Code",$L$7)</t>
  </si>
  <si>
    <t>=NF(G1051,"Source Type")</t>
  </si>
  <si>
    <t>=NF(G1052,"Source Type")</t>
  </si>
  <si>
    <t>=NF(G1053,"Source Type")</t>
  </si>
  <si>
    <t>=NF(G1060,"Source Type")</t>
  </si>
  <si>
    <t>=NF(G1061,"Source Type")</t>
  </si>
  <si>
    <t>=NF($G1051,"Source No.")</t>
  </si>
  <si>
    <t>=NF($G1052,"Source No.")</t>
  </si>
  <si>
    <t>=NF($G1053,"Source No.")</t>
  </si>
  <si>
    <t>=NF($G1060,"Source No.")</t>
  </si>
  <si>
    <t>=NF($G1061,"Source No.")</t>
  </si>
  <si>
    <t>=NF($G1042,"Posting Date")</t>
  </si>
  <si>
    <t>=NF($G1043,"Posting Date")</t>
  </si>
  <si>
    <t>=NF($G1044,"Posting Date")</t>
  </si>
  <si>
    <t>=NF($G1042,"Entry No.")</t>
  </si>
  <si>
    <t>=NF($G1043,"Entry No.")</t>
  </si>
  <si>
    <t>=NF($G1044,"Entry No.")</t>
  </si>
  <si>
    <t>=NL("Sum","Item Ledger Entry","Quantity","Entry Type","Purchase","Entry No.",I1042,"Location Code",$L$7)</t>
  </si>
  <si>
    <t>=NL("Sum","Item Ledger Entry","Quantity","Entry Type","Purchase","Entry No.",I1043,"Location Code",$L$7)</t>
  </si>
  <si>
    <t>=NL("Sum","Item Ledger Entry","Quantity","Entry Type","Purchase","Entry No.",I1044,"Location Code",$L$7)</t>
  </si>
  <si>
    <t>=NL("Sum","Item Ledger Entry","Quantity","Entry Type","Sale","Entry No.",I1042,"Location Code",$L$7)</t>
  </si>
  <si>
    <t>=NL("Sum","Item Ledger Entry","Quantity","Entry Type","Sale","Entry No.",I1043,"Location Code",$L$7)</t>
  </si>
  <si>
    <t>=NL("Sum","Item Ledger Entry","Quantity","Entry Type","Sale","Entry No.",I1044,"Location Code",$L$7)</t>
  </si>
  <si>
    <t>=NL("Sum","Item Ledger Entry","Quantity","Entry Type","Positive Adjmt.|Negative Adjmt.","Entry No.",I1042,"Location Code",$L$7)</t>
  </si>
  <si>
    <t>=NL("Sum","Item Ledger Entry","Quantity","Entry Type","Positive Adjmt.|Negative Adjmt.","Entry No.",I1043,"Location Code",$L$7)</t>
  </si>
  <si>
    <t>=NL("Sum","Item Ledger Entry","Quantity","Entry Type","Positive Adjmt.|Negative Adjmt.","Entry No.",I1044,"Location Code",$L$7)</t>
  </si>
  <si>
    <t>=NL("Sum","Item Ledger Entry","Quantity","Entry Type","Transfer","Entry No.",I1042,"Location Code",$L$7)</t>
  </si>
  <si>
    <t>=NL("Sum","Item Ledger Entry","Quantity","Entry Type","Transfer","Entry No.",I1043,"Location Code",$L$7)</t>
  </si>
  <si>
    <t>=NL("Sum","Item Ledger Entry","Quantity","Entry Type","Transfer","Entry No.",I1044,"Location Code",$L$7)</t>
  </si>
  <si>
    <t>=NL("Sum","Item Ledger Entry","Quantity","Entry Type","Consumption","Entry No.",I1042,"Location Code",$L$7)</t>
  </si>
  <si>
    <t>=NL("Sum","Item Ledger Entry","Quantity","Entry Type","Consumption","Entry No.",I1043,"Location Code",$L$7)</t>
  </si>
  <si>
    <t>=NL("Sum","Item Ledger Entry","Quantity","Entry Type","Consumption","Entry No.",I1044,"Location Code",$L$7)</t>
  </si>
  <si>
    <t>=NL("Sum","Item Ledger Entry","Quantity","Entry Type","Output","Entry No.",I1042,"Location Code",$L$7)</t>
  </si>
  <si>
    <t>=NL("Sum","Item Ledger Entry","Quantity","Entry Type","Output","Entry No.",I1043,"Location Code",$L$7)</t>
  </si>
  <si>
    <t>=NL("Sum","Item Ledger Entry","Quantity","Entry Type","Output","Entry No.",I1044,"Location Code",$L$7)</t>
  </si>
  <si>
    <t>=NF(G1042,"Source Type")</t>
  </si>
  <si>
    <t>=NF(G1043,"Source Type")</t>
  </si>
  <si>
    <t>=NF(G1044,"Source Type")</t>
  </si>
  <si>
    <t>=NF($G1042,"Source No.")</t>
  </si>
  <si>
    <t>=NF($G1043,"Source No.")</t>
  </si>
  <si>
    <t>=NF($G1044,"Source No.")</t>
  </si>
  <si>
    <t>=NF($G1029,"Posting Date")</t>
  </si>
  <si>
    <t>=NF($G1030,"Posting Date")</t>
  </si>
  <si>
    <t>=NF($G1031,"Posting Date")</t>
  </si>
  <si>
    <t>=NF($G1029,"Entry No.")</t>
  </si>
  <si>
    <t>=NF($G1030,"Entry No.")</t>
  </si>
  <si>
    <t>=NF($G1031,"Entry No.")</t>
  </si>
  <si>
    <t>=NL("Sum","Item Ledger Entry","Quantity","Entry Type","Purchase","Entry No.",I1029,"Location Code",$L$7)</t>
  </si>
  <si>
    <t>=NL("Sum","Item Ledger Entry","Quantity","Entry Type","Purchase","Entry No.",I1030,"Location Code",$L$7)</t>
  </si>
  <si>
    <t>=NL("Sum","Item Ledger Entry","Quantity","Entry Type","Purchase","Entry No.",I1031,"Location Code",$L$7)</t>
  </si>
  <si>
    <t>=NL("Sum","Item Ledger Entry","Quantity","Entry Type","Sale","Entry No.",I1029,"Location Code",$L$7)</t>
  </si>
  <si>
    <t>=NL("Sum","Item Ledger Entry","Quantity","Entry Type","Sale","Entry No.",I1030,"Location Code",$L$7)</t>
  </si>
  <si>
    <t>=NL("Sum","Item Ledger Entry","Quantity","Entry Type","Sale","Entry No.",I1031,"Location Code",$L$7)</t>
  </si>
  <si>
    <t>=NL("Sum","Item Ledger Entry","Quantity","Entry Type","Positive Adjmt.|Negative Adjmt.","Entry No.",I1029,"Location Code",$L$7)</t>
  </si>
  <si>
    <t>=NL("Sum","Item Ledger Entry","Quantity","Entry Type","Positive Adjmt.|Negative Adjmt.","Entry No.",I1030,"Location Code",$L$7)</t>
  </si>
  <si>
    <t>=NL("Sum","Item Ledger Entry","Quantity","Entry Type","Positive Adjmt.|Negative Adjmt.","Entry No.",I1031,"Location Code",$L$7)</t>
  </si>
  <si>
    <t>=NL("Sum","Item Ledger Entry","Quantity","Entry Type","Transfer","Entry No.",I1029,"Location Code",$L$7)</t>
  </si>
  <si>
    <t>=NL("Sum","Item Ledger Entry","Quantity","Entry Type","Transfer","Entry No.",I1030,"Location Code",$L$7)</t>
  </si>
  <si>
    <t>=NL("Sum","Item Ledger Entry","Quantity","Entry Type","Transfer","Entry No.",I1031,"Location Code",$L$7)</t>
  </si>
  <si>
    <t>=NL("Sum","Item Ledger Entry","Quantity","Entry Type","Consumption","Entry No.",I1029,"Location Code",$L$7)</t>
  </si>
  <si>
    <t>=NL("Sum","Item Ledger Entry","Quantity","Entry Type","Consumption","Entry No.",I1030,"Location Code",$L$7)</t>
  </si>
  <si>
    <t>=NL("Sum","Item Ledger Entry","Quantity","Entry Type","Consumption","Entry No.",I1031,"Location Code",$L$7)</t>
  </si>
  <si>
    <t>=NL("Sum","Item Ledger Entry","Quantity","Entry Type","Output","Entry No.",I1029,"Location Code",$L$7)</t>
  </si>
  <si>
    <t>=NL("Sum","Item Ledger Entry","Quantity","Entry Type","Output","Entry No.",I1030,"Location Code",$L$7)</t>
  </si>
  <si>
    <t>=NL("Sum","Item Ledger Entry","Quantity","Entry Type","Output","Entry No.",I1031,"Location Code",$L$7)</t>
  </si>
  <si>
    <t>=NF(G1029,"Source Type")</t>
  </si>
  <si>
    <t>=NF(G1030,"Source Type")</t>
  </si>
  <si>
    <t>=NF(G1031,"Source Type")</t>
  </si>
  <si>
    <t>=NF($G1029,"Source No.")</t>
  </si>
  <si>
    <t>=NF($G1030,"Source No.")</t>
  </si>
  <si>
    <t>=NF($G1031,"Source No.")</t>
  </si>
  <si>
    <t>=NF($G1021,"Posting Date")</t>
  </si>
  <si>
    <t>=NF($G1022,"Posting Date")</t>
  </si>
  <si>
    <t>=NF($G1021,"Entry No.")</t>
  </si>
  <si>
    <t>=NF($G1022,"Entry No.")</t>
  </si>
  <si>
    <t>=NL("Sum","Item Ledger Entry","Quantity","Entry Type","Purchase","Entry No.",I1021,"Location Code",$L$7)</t>
  </si>
  <si>
    <t>=NL("Sum","Item Ledger Entry","Quantity","Entry Type","Purchase","Entry No.",I1022,"Location Code",$L$7)</t>
  </si>
  <si>
    <t>=NL("Sum","Item Ledger Entry","Quantity","Entry Type","Sale","Entry No.",I1021,"Location Code",$L$7)</t>
  </si>
  <si>
    <t>=NL("Sum","Item Ledger Entry","Quantity","Entry Type","Sale","Entry No.",I1022,"Location Code",$L$7)</t>
  </si>
  <si>
    <t>=NL("Sum","Item Ledger Entry","Quantity","Entry Type","Positive Adjmt.|Negative Adjmt.","Entry No.",I1021,"Location Code",$L$7)</t>
  </si>
  <si>
    <t>=NL("Sum","Item Ledger Entry","Quantity","Entry Type","Positive Adjmt.|Negative Adjmt.","Entry No.",I1022,"Location Code",$L$7)</t>
  </si>
  <si>
    <t>=NL("Sum","Item Ledger Entry","Quantity","Entry Type","Transfer","Entry No.",I1021,"Location Code",$L$7)</t>
  </si>
  <si>
    <t>=NL("Sum","Item Ledger Entry","Quantity","Entry Type","Transfer","Entry No.",I1022,"Location Code",$L$7)</t>
  </si>
  <si>
    <t>=NL("Sum","Item Ledger Entry","Quantity","Entry Type","Consumption","Entry No.",I1021,"Location Code",$L$7)</t>
  </si>
  <si>
    <t>=NL("Sum","Item Ledger Entry","Quantity","Entry Type","Consumption","Entry No.",I1022,"Location Code",$L$7)</t>
  </si>
  <si>
    <t>=NL("Sum","Item Ledger Entry","Quantity","Entry Type","Output","Entry No.",I1021,"Location Code",$L$7)</t>
  </si>
  <si>
    <t>=NL("Sum","Item Ledger Entry","Quantity","Entry Type","Output","Entry No.",I1022,"Location Code",$L$7)</t>
  </si>
  <si>
    <t>=NF(G1021,"Source Type")</t>
  </si>
  <si>
    <t>=NF(G1022,"Source Type")</t>
  </si>
  <si>
    <t>=NF($G1021,"Source No.")</t>
  </si>
  <si>
    <t>=NF($G1022,"Source No.")</t>
  </si>
  <si>
    <t>=NF($G998,"Posting Date")</t>
  </si>
  <si>
    <t>=NF($G998,"Entry No.")</t>
  </si>
  <si>
    <t>=NL("Sum","Item Ledger Entry","Quantity","Entry Type","Purchase","Entry No.",I998,"Location Code",$L$7)</t>
  </si>
  <si>
    <t>=NL("Sum","Item Ledger Entry","Quantity","Entry Type","Sale","Entry No.",I998,"Location Code",$L$7)</t>
  </si>
  <si>
    <t>=NL("Sum","Item Ledger Entry","Quantity","Entry Type","Positive Adjmt.|Negative Adjmt.","Entry No.",I998,"Location Code",$L$7)</t>
  </si>
  <si>
    <t>=NL("Sum","Item Ledger Entry","Quantity","Entry Type","Transfer","Entry No.",I998,"Location Code",$L$7)</t>
  </si>
  <si>
    <t>=NL("Sum","Item Ledger Entry","Quantity","Entry Type","Consumption","Entry No.",I998,"Location Code",$L$7)</t>
  </si>
  <si>
    <t>=NL("Sum","Item Ledger Entry","Quantity","Entry Type","Output","Entry No.",I998,"Location Code",$L$7)</t>
  </si>
  <si>
    <t>=NF(G998,"Source Type")</t>
  </si>
  <si>
    <t>=NF($G998,"Source No.")</t>
  </si>
  <si>
    <t>=NF($G975,"Posting Date")</t>
  </si>
  <si>
    <t>=NF($G976,"Posting Date")</t>
  </si>
  <si>
    <t>=NF($G977,"Posting Date")</t>
  </si>
  <si>
    <t>=NF($G975,"Entry No.")</t>
  </si>
  <si>
    <t>=NF($G976,"Entry No.")</t>
  </si>
  <si>
    <t>=NF($G977,"Entry No.")</t>
  </si>
  <si>
    <t>=NL("Sum","Item Ledger Entry","Quantity","Entry Type","Purchase","Entry No.",I975,"Location Code",$L$7)</t>
  </si>
  <si>
    <t>=NL("Sum","Item Ledger Entry","Quantity","Entry Type","Purchase","Entry No.",I976,"Location Code",$L$7)</t>
  </si>
  <si>
    <t>=NL("Sum","Item Ledger Entry","Quantity","Entry Type","Purchase","Entry No.",I977,"Location Code",$L$7)</t>
  </si>
  <si>
    <t>=NL("Sum","Item Ledger Entry","Quantity","Entry Type","Sale","Entry No.",I975,"Location Code",$L$7)</t>
  </si>
  <si>
    <t>=NL("Sum","Item Ledger Entry","Quantity","Entry Type","Sale","Entry No.",I976,"Location Code",$L$7)</t>
  </si>
  <si>
    <t>=NL("Sum","Item Ledger Entry","Quantity","Entry Type","Sale","Entry No.",I977,"Location Code",$L$7)</t>
  </si>
  <si>
    <t>=NL("Sum","Item Ledger Entry","Quantity","Entry Type","Positive Adjmt.|Negative Adjmt.","Entry No.",I975,"Location Code",$L$7)</t>
  </si>
  <si>
    <t>=NL("Sum","Item Ledger Entry","Quantity","Entry Type","Positive Adjmt.|Negative Adjmt.","Entry No.",I976,"Location Code",$L$7)</t>
  </si>
  <si>
    <t>=NL("Sum","Item Ledger Entry","Quantity","Entry Type","Positive Adjmt.|Negative Adjmt.","Entry No.",I977,"Location Code",$L$7)</t>
  </si>
  <si>
    <t>=NL("Sum","Item Ledger Entry","Quantity","Entry Type","Transfer","Entry No.",I975,"Location Code",$L$7)</t>
  </si>
  <si>
    <t>=NL("Sum","Item Ledger Entry","Quantity","Entry Type","Transfer","Entry No.",I976,"Location Code",$L$7)</t>
  </si>
  <si>
    <t>=NL("Sum","Item Ledger Entry","Quantity","Entry Type","Transfer","Entry No.",I977,"Location Code",$L$7)</t>
  </si>
  <si>
    <t>=NL("Sum","Item Ledger Entry","Quantity","Entry Type","Consumption","Entry No.",I975,"Location Code",$L$7)</t>
  </si>
  <si>
    <t>=NL("Sum","Item Ledger Entry","Quantity","Entry Type","Consumption","Entry No.",I976,"Location Code",$L$7)</t>
  </si>
  <si>
    <t>=NL("Sum","Item Ledger Entry","Quantity","Entry Type","Consumption","Entry No.",I977,"Location Code",$L$7)</t>
  </si>
  <si>
    <t>=NL("Sum","Item Ledger Entry","Quantity","Entry Type","Output","Entry No.",I975,"Location Code",$L$7)</t>
  </si>
  <si>
    <t>=NL("Sum","Item Ledger Entry","Quantity","Entry Type","Output","Entry No.",I976,"Location Code",$L$7)</t>
  </si>
  <si>
    <t>=NL("Sum","Item Ledger Entry","Quantity","Entry Type","Output","Entry No.",I977,"Location Code",$L$7)</t>
  </si>
  <si>
    <t>=NF(G975,"Source Type")</t>
  </si>
  <si>
    <t>=NF(G976,"Source Type")</t>
  </si>
  <si>
    <t>=NF(G977,"Source Type")</t>
  </si>
  <si>
    <t>=NF($G975,"Source No.")</t>
  </si>
  <si>
    <t>=NF($G976,"Source No.")</t>
  </si>
  <si>
    <t>=NF($G977,"Source No.")</t>
  </si>
  <si>
    <t>=NF($G954,"Posting Date")</t>
  </si>
  <si>
    <t>=NF($G955,"Posting Date")</t>
  </si>
  <si>
    <t>=NF($G956,"Posting Date")</t>
  </si>
  <si>
    <t>=NF($G954,"Entry No.")</t>
  </si>
  <si>
    <t>=NF($G955,"Entry No.")</t>
  </si>
  <si>
    <t>=NF($G956,"Entry No.")</t>
  </si>
  <si>
    <t>=NL("Sum","Item Ledger Entry","Quantity","Entry Type","Purchase","Entry No.",I954,"Location Code",$L$7)</t>
  </si>
  <si>
    <t>=NL("Sum","Item Ledger Entry","Quantity","Entry Type","Purchase","Entry No.",I955,"Location Code",$L$7)</t>
  </si>
  <si>
    <t>=NL("Sum","Item Ledger Entry","Quantity","Entry Type","Purchase","Entry No.",I956,"Location Code",$L$7)</t>
  </si>
  <si>
    <t>=NL("Sum","Item Ledger Entry","Quantity","Entry Type","Sale","Entry No.",I954,"Location Code",$L$7)</t>
  </si>
  <si>
    <t>=NL("Sum","Item Ledger Entry","Quantity","Entry Type","Sale","Entry No.",I955,"Location Code",$L$7)</t>
  </si>
  <si>
    <t>=NL("Sum","Item Ledger Entry","Quantity","Entry Type","Sale","Entry No.",I956,"Location Code",$L$7)</t>
  </si>
  <si>
    <t>=NL("Sum","Item Ledger Entry","Quantity","Entry Type","Positive Adjmt.|Negative Adjmt.","Entry No.",I954,"Location Code",$L$7)</t>
  </si>
  <si>
    <t>=NL("Sum","Item Ledger Entry","Quantity","Entry Type","Positive Adjmt.|Negative Adjmt.","Entry No.",I955,"Location Code",$L$7)</t>
  </si>
  <si>
    <t>=NL("Sum","Item Ledger Entry","Quantity","Entry Type","Positive Adjmt.|Negative Adjmt.","Entry No.",I956,"Location Code",$L$7)</t>
  </si>
  <si>
    <t>=NL("Sum","Item Ledger Entry","Quantity","Entry Type","Transfer","Entry No.",I954,"Location Code",$L$7)</t>
  </si>
  <si>
    <t>=NL("Sum","Item Ledger Entry","Quantity","Entry Type","Transfer","Entry No.",I955,"Location Code",$L$7)</t>
  </si>
  <si>
    <t>=NL("Sum","Item Ledger Entry","Quantity","Entry Type","Transfer","Entry No.",I956,"Location Code",$L$7)</t>
  </si>
  <si>
    <t>=NL("Sum","Item Ledger Entry","Quantity","Entry Type","Consumption","Entry No.",I954,"Location Code",$L$7)</t>
  </si>
  <si>
    <t>=NL("Sum","Item Ledger Entry","Quantity","Entry Type","Consumption","Entry No.",I955,"Location Code",$L$7)</t>
  </si>
  <si>
    <t>=NL("Sum","Item Ledger Entry","Quantity","Entry Type","Consumption","Entry No.",I956,"Location Code",$L$7)</t>
  </si>
  <si>
    <t>=NL("Sum","Item Ledger Entry","Quantity","Entry Type","Output","Entry No.",I954,"Location Code",$L$7)</t>
  </si>
  <si>
    <t>=NL("Sum","Item Ledger Entry","Quantity","Entry Type","Output","Entry No.",I955,"Location Code",$L$7)</t>
  </si>
  <si>
    <t>=NL("Sum","Item Ledger Entry","Quantity","Entry Type","Output","Entry No.",I956,"Location Code",$L$7)</t>
  </si>
  <si>
    <t>=NF(G954,"Source Type")</t>
  </si>
  <si>
    <t>=NF(G955,"Source Type")</t>
  </si>
  <si>
    <t>=NF(G956,"Source Type")</t>
  </si>
  <si>
    <t>=NF($G954,"Source No.")</t>
  </si>
  <si>
    <t>=NF($G955,"Source No.")</t>
  </si>
  <si>
    <t>=NF($G956,"Source No.")</t>
  </si>
  <si>
    <t>=NF($G940,"Posting Date")</t>
  </si>
  <si>
    <t>=NF($G941,"Posting Date")</t>
  </si>
  <si>
    <t>=NF($G942,"Posting Date")</t>
  </si>
  <si>
    <t>=NF($G940,"Entry No.")</t>
  </si>
  <si>
    <t>=NF($G941,"Entry No.")</t>
  </si>
  <si>
    <t>=NF($G942,"Entry No.")</t>
  </si>
  <si>
    <t>=NL("Sum","Item Ledger Entry","Quantity","Entry Type","Purchase","Entry No.",I940,"Location Code",$L$7)</t>
  </si>
  <si>
    <t>=NL("Sum","Item Ledger Entry","Quantity","Entry Type","Purchase","Entry No.",I941,"Location Code",$L$7)</t>
  </si>
  <si>
    <t>=NL("Sum","Item Ledger Entry","Quantity","Entry Type","Purchase","Entry No.",I942,"Location Code",$L$7)</t>
  </si>
  <si>
    <t>=NL("Sum","Item Ledger Entry","Quantity","Entry Type","Sale","Entry No.",I940,"Location Code",$L$7)</t>
  </si>
  <si>
    <t>=NL("Sum","Item Ledger Entry","Quantity","Entry Type","Sale","Entry No.",I941,"Location Code",$L$7)</t>
  </si>
  <si>
    <t>=NL("Sum","Item Ledger Entry","Quantity","Entry Type","Sale","Entry No.",I942,"Location Code",$L$7)</t>
  </si>
  <si>
    <t>=NL("Sum","Item Ledger Entry","Quantity","Entry Type","Positive Adjmt.|Negative Adjmt.","Entry No.",I940,"Location Code",$L$7)</t>
  </si>
  <si>
    <t>=NL("Sum","Item Ledger Entry","Quantity","Entry Type","Positive Adjmt.|Negative Adjmt.","Entry No.",I941,"Location Code",$L$7)</t>
  </si>
  <si>
    <t>=NL("Sum","Item Ledger Entry","Quantity","Entry Type","Positive Adjmt.|Negative Adjmt.","Entry No.",I942,"Location Code",$L$7)</t>
  </si>
  <si>
    <t>=NL("Sum","Item Ledger Entry","Quantity","Entry Type","Transfer","Entry No.",I940,"Location Code",$L$7)</t>
  </si>
  <si>
    <t>=NL("Sum","Item Ledger Entry","Quantity","Entry Type","Transfer","Entry No.",I941,"Location Code",$L$7)</t>
  </si>
  <si>
    <t>=NL("Sum","Item Ledger Entry","Quantity","Entry Type","Transfer","Entry No.",I942,"Location Code",$L$7)</t>
  </si>
  <si>
    <t>=NL("Sum","Item Ledger Entry","Quantity","Entry Type","Consumption","Entry No.",I940,"Location Code",$L$7)</t>
  </si>
  <si>
    <t>=NL("Sum","Item Ledger Entry","Quantity","Entry Type","Consumption","Entry No.",I941,"Location Code",$L$7)</t>
  </si>
  <si>
    <t>=NL("Sum","Item Ledger Entry","Quantity","Entry Type","Consumption","Entry No.",I942,"Location Code",$L$7)</t>
  </si>
  <si>
    <t>=NL("Sum","Item Ledger Entry","Quantity","Entry Type","Output","Entry No.",I940,"Location Code",$L$7)</t>
  </si>
  <si>
    <t>=NL("Sum","Item Ledger Entry","Quantity","Entry Type","Output","Entry No.",I941,"Location Code",$L$7)</t>
  </si>
  <si>
    <t>=NL("Sum","Item Ledger Entry","Quantity","Entry Type","Output","Entry No.",I942,"Location Code",$L$7)</t>
  </si>
  <si>
    <t>=NF(G940,"Source Type")</t>
  </si>
  <si>
    <t>=NF(G941,"Source Type")</t>
  </si>
  <si>
    <t>=NF(G942,"Source Type")</t>
  </si>
  <si>
    <t>=NF($G940,"Source No.")</t>
  </si>
  <si>
    <t>=NF($G941,"Source No.")</t>
  </si>
  <si>
    <t>=NF($G942,"Source No.")</t>
  </si>
  <si>
    <t>=NF($G930,"Posting Date")</t>
  </si>
  <si>
    <t>=NF($G930,"Entry No.")</t>
  </si>
  <si>
    <t>=NL("Sum","Item Ledger Entry","Quantity","Entry Type","Purchase","Entry No.",I930,"Location Code",$L$7)</t>
  </si>
  <si>
    <t>=NL("Sum","Item Ledger Entry","Quantity","Entry Type","Sale","Entry No.",I930,"Location Code",$L$7)</t>
  </si>
  <si>
    <t>=NL("Sum","Item Ledger Entry","Quantity","Entry Type","Positive Adjmt.|Negative Adjmt.","Entry No.",I930,"Location Code",$L$7)</t>
  </si>
  <si>
    <t>=NL("Sum","Item Ledger Entry","Quantity","Entry Type","Transfer","Entry No.",I930,"Location Code",$L$7)</t>
  </si>
  <si>
    <t>=NL("Sum","Item Ledger Entry","Quantity","Entry Type","Consumption","Entry No.",I930,"Location Code",$L$7)</t>
  </si>
  <si>
    <t>=NL("Sum","Item Ledger Entry","Quantity","Entry Type","Output","Entry No.",I930,"Location Code",$L$7)</t>
  </si>
  <si>
    <t>=NF(G930,"Source Type")</t>
  </si>
  <si>
    <t>=NF($G930,"Source No.")</t>
  </si>
  <si>
    <t>=NF($G915,"Posting Date")</t>
  </si>
  <si>
    <t>=NF($G916,"Posting Date")</t>
  </si>
  <si>
    <t>=NF($G917,"Posting Date")</t>
  </si>
  <si>
    <t>=NF($G919,"Posting Date")</t>
  </si>
  <si>
    <t>=NF($G915,"Entry No.")</t>
  </si>
  <si>
    <t>=NF($G916,"Entry No.")</t>
  </si>
  <si>
    <t>=NF($G917,"Entry No.")</t>
  </si>
  <si>
    <t>=NF($G919,"Entry No.")</t>
  </si>
  <si>
    <t>=NL("Sum","Item Ledger Entry","Quantity","Entry Type","Purchase","Entry No.",I915,"Location Code",$L$7)</t>
  </si>
  <si>
    <t>=NL("Sum","Item Ledger Entry","Quantity","Entry Type","Purchase","Entry No.",I916,"Location Code",$L$7)</t>
  </si>
  <si>
    <t>=NL("Sum","Item Ledger Entry","Quantity","Entry Type","Purchase","Entry No.",I917,"Location Code",$L$7)</t>
  </si>
  <si>
    <t>=NL("Sum","Item Ledger Entry","Quantity","Entry Type","Purchase","Entry No.",I919,"Location Code",$L$7)</t>
  </si>
  <si>
    <t>=NL("Sum","Item Ledger Entry","Quantity","Entry Type","Sale","Entry No.",I915,"Location Code",$L$7)</t>
  </si>
  <si>
    <t>=NL("Sum","Item Ledger Entry","Quantity","Entry Type","Sale","Entry No.",I916,"Location Code",$L$7)</t>
  </si>
  <si>
    <t>=NL("Sum","Item Ledger Entry","Quantity","Entry Type","Sale","Entry No.",I917,"Location Code",$L$7)</t>
  </si>
  <si>
    <t>=NL("Sum","Item Ledger Entry","Quantity","Entry Type","Sale","Entry No.",I919,"Location Code",$L$7)</t>
  </si>
  <si>
    <t>=NL("Sum","Item Ledger Entry","Quantity","Entry Type","Positive Adjmt.|Negative Adjmt.","Entry No.",I915,"Location Code",$L$7)</t>
  </si>
  <si>
    <t>=NL("Sum","Item Ledger Entry","Quantity","Entry Type","Positive Adjmt.|Negative Adjmt.","Entry No.",I916,"Location Code",$L$7)</t>
  </si>
  <si>
    <t>=NL("Sum","Item Ledger Entry","Quantity","Entry Type","Positive Adjmt.|Negative Adjmt.","Entry No.",I917,"Location Code",$L$7)</t>
  </si>
  <si>
    <t>=NL("Sum","Item Ledger Entry","Quantity","Entry Type","Positive Adjmt.|Negative Adjmt.","Entry No.",I919,"Location Code",$L$7)</t>
  </si>
  <si>
    <t>=NL("Sum","Item Ledger Entry","Quantity","Entry Type","Transfer","Entry No.",I915,"Location Code",$L$7)</t>
  </si>
  <si>
    <t>=NL("Sum","Item Ledger Entry","Quantity","Entry Type","Transfer","Entry No.",I916,"Location Code",$L$7)</t>
  </si>
  <si>
    <t>=NL("Sum","Item Ledger Entry","Quantity","Entry Type","Transfer","Entry No.",I917,"Location Code",$L$7)</t>
  </si>
  <si>
    <t>=NL("Sum","Item Ledger Entry","Quantity","Entry Type","Transfer","Entry No.",I919,"Location Code",$L$7)</t>
  </si>
  <si>
    <t>=NL("Sum","Item Ledger Entry","Quantity","Entry Type","Consumption","Entry No.",I915,"Location Code",$L$7)</t>
  </si>
  <si>
    <t>=NL("Sum","Item Ledger Entry","Quantity","Entry Type","Consumption","Entry No.",I916,"Location Code",$L$7)</t>
  </si>
  <si>
    <t>=NL("Sum","Item Ledger Entry","Quantity","Entry Type","Consumption","Entry No.",I917,"Location Code",$L$7)</t>
  </si>
  <si>
    <t>=NL("Sum","Item Ledger Entry","Quantity","Entry Type","Consumption","Entry No.",I919,"Location Code",$L$7)</t>
  </si>
  <si>
    <t>=NL("Sum","Item Ledger Entry","Quantity","Entry Type","Output","Entry No.",I915,"Location Code",$L$7)</t>
  </si>
  <si>
    <t>=NL("Sum","Item Ledger Entry","Quantity","Entry Type","Output","Entry No.",I916,"Location Code",$L$7)</t>
  </si>
  <si>
    <t>=NL("Sum","Item Ledger Entry","Quantity","Entry Type","Output","Entry No.",I917,"Location Code",$L$7)</t>
  </si>
  <si>
    <t>=NL("Sum","Item Ledger Entry","Quantity","Entry Type","Output","Entry No.",I919,"Location Code",$L$7)</t>
  </si>
  <si>
    <t>=NF(G915,"Source Type")</t>
  </si>
  <si>
    <t>=NF(G916,"Source Type")</t>
  </si>
  <si>
    <t>=NF(G917,"Source Type")</t>
  </si>
  <si>
    <t>=NF(G919,"Source Type")</t>
  </si>
  <si>
    <t>=NF($G915,"Source No.")</t>
  </si>
  <si>
    <t>=NF($G916,"Source No.")</t>
  </si>
  <si>
    <t>=NF($G917,"Source No.")</t>
  </si>
  <si>
    <t>=NF($G919,"Source No.")</t>
  </si>
  <si>
    <t>=NF($G903,"Posting Date")</t>
  </si>
  <si>
    <t>=NF($G907,"Posting Date")</t>
  </si>
  <si>
    <t>=NF($G908,"Posting Date")</t>
  </si>
  <si>
    <t>=NF($G909,"Posting Date")</t>
  </si>
  <si>
    <t>=NF($G903,"Entry No.")</t>
  </si>
  <si>
    <t>=NF($G907,"Entry No.")</t>
  </si>
  <si>
    <t>=NF($G908,"Entry No.")</t>
  </si>
  <si>
    <t>=NF($G909,"Entry No.")</t>
  </si>
  <si>
    <t>=NL("Sum","Item Ledger Entry","Quantity","Entry Type","Purchase","Entry No.",I903,"Location Code",$L$7)</t>
  </si>
  <si>
    <t>=NL("Sum","Item Ledger Entry","Quantity","Entry Type","Purchase","Entry No.",I907,"Location Code",$L$7)</t>
  </si>
  <si>
    <t>=NL("Sum","Item Ledger Entry","Quantity","Entry Type","Purchase","Entry No.",I908,"Location Code",$L$7)</t>
  </si>
  <si>
    <t>=NL("Sum","Item Ledger Entry","Quantity","Entry Type","Purchase","Entry No.",I909,"Location Code",$L$7)</t>
  </si>
  <si>
    <t>=NL("Sum","Item Ledger Entry","Quantity","Entry Type","Sale","Entry No.",I903,"Location Code",$L$7)</t>
  </si>
  <si>
    <t>=NL("Sum","Item Ledger Entry","Quantity","Entry Type","Sale","Entry No.",I907,"Location Code",$L$7)</t>
  </si>
  <si>
    <t>=NL("Sum","Item Ledger Entry","Quantity","Entry Type","Sale","Entry No.",I908,"Location Code",$L$7)</t>
  </si>
  <si>
    <t>=NL("Sum","Item Ledger Entry","Quantity","Entry Type","Sale","Entry No.",I909,"Location Code",$L$7)</t>
  </si>
  <si>
    <t>=NL("Sum","Item Ledger Entry","Quantity","Entry Type","Positive Adjmt.|Negative Adjmt.","Entry No.",I903,"Location Code",$L$7)</t>
  </si>
  <si>
    <t>=NL("Sum","Item Ledger Entry","Quantity","Entry Type","Positive Adjmt.|Negative Adjmt.","Entry No.",I907,"Location Code",$L$7)</t>
  </si>
  <si>
    <t>=NL("Sum","Item Ledger Entry","Quantity","Entry Type","Positive Adjmt.|Negative Adjmt.","Entry No.",I908,"Location Code",$L$7)</t>
  </si>
  <si>
    <t>=NL("Sum","Item Ledger Entry","Quantity","Entry Type","Positive Adjmt.|Negative Adjmt.","Entry No.",I909,"Location Code",$L$7)</t>
  </si>
  <si>
    <t>=NL("Sum","Item Ledger Entry","Quantity","Entry Type","Transfer","Entry No.",I903,"Location Code",$L$7)</t>
  </si>
  <si>
    <t>=NL("Sum","Item Ledger Entry","Quantity","Entry Type","Transfer","Entry No.",I907,"Location Code",$L$7)</t>
  </si>
  <si>
    <t>=NL("Sum","Item Ledger Entry","Quantity","Entry Type","Transfer","Entry No.",I908,"Location Code",$L$7)</t>
  </si>
  <si>
    <t>=NL("Sum","Item Ledger Entry","Quantity","Entry Type","Transfer","Entry No.",I909,"Location Code",$L$7)</t>
  </si>
  <si>
    <t>=NL("Sum","Item Ledger Entry","Quantity","Entry Type","Consumption","Entry No.",I903,"Location Code",$L$7)</t>
  </si>
  <si>
    <t>=NL("Sum","Item Ledger Entry","Quantity","Entry Type","Consumption","Entry No.",I907,"Location Code",$L$7)</t>
  </si>
  <si>
    <t>=NL("Sum","Item Ledger Entry","Quantity","Entry Type","Consumption","Entry No.",I908,"Location Code",$L$7)</t>
  </si>
  <si>
    <t>=NL("Sum","Item Ledger Entry","Quantity","Entry Type","Consumption","Entry No.",I909,"Location Code",$L$7)</t>
  </si>
  <si>
    <t>=NL("Sum","Item Ledger Entry","Quantity","Entry Type","Output","Entry No.",I903,"Location Code",$L$7)</t>
  </si>
  <si>
    <t>=NL("Sum","Item Ledger Entry","Quantity","Entry Type","Output","Entry No.",I907,"Location Code",$L$7)</t>
  </si>
  <si>
    <t>=NL("Sum","Item Ledger Entry","Quantity","Entry Type","Output","Entry No.",I908,"Location Code",$L$7)</t>
  </si>
  <si>
    <t>=NL("Sum","Item Ledger Entry","Quantity","Entry Type","Output","Entry No.",I909,"Location Code",$L$7)</t>
  </si>
  <si>
    <t>=NF(G903,"Source Type")</t>
  </si>
  <si>
    <t>=NF(G907,"Source Type")</t>
  </si>
  <si>
    <t>=NF(G908,"Source Type")</t>
  </si>
  <si>
    <t>=NF(G909,"Source Type")</t>
  </si>
  <si>
    <t>=NF($G903,"Source No.")</t>
  </si>
  <si>
    <t>=NF($G907,"Source No.")</t>
  </si>
  <si>
    <t>=NF($G908,"Source No.")</t>
  </si>
  <si>
    <t>=NF($G909,"Source No.")</t>
  </si>
  <si>
    <t>=NF($G897,"Posting Date")</t>
  </si>
  <si>
    <t>=NF($G898,"Posting Date")</t>
  </si>
  <si>
    <t>=NF($G899,"Posting Date")</t>
  </si>
  <si>
    <t>=NF($G897,"Entry No.")</t>
  </si>
  <si>
    <t>=NF($G898,"Entry No.")</t>
  </si>
  <si>
    <t>=NF($G899,"Entry No.")</t>
  </si>
  <si>
    <t>=NL("Sum","Item Ledger Entry","Quantity","Entry Type","Purchase","Entry No.",I897,"Location Code",$L$7)</t>
  </si>
  <si>
    <t>=NL("Sum","Item Ledger Entry","Quantity","Entry Type","Purchase","Entry No.",I898,"Location Code",$L$7)</t>
  </si>
  <si>
    <t>=NL("Sum","Item Ledger Entry","Quantity","Entry Type","Purchase","Entry No.",I899,"Location Code",$L$7)</t>
  </si>
  <si>
    <t>=NL("Sum","Item Ledger Entry","Quantity","Entry Type","Sale","Entry No.",I897,"Location Code",$L$7)</t>
  </si>
  <si>
    <t>=NL("Sum","Item Ledger Entry","Quantity","Entry Type","Sale","Entry No.",I898,"Location Code",$L$7)</t>
  </si>
  <si>
    <t>=NL("Sum","Item Ledger Entry","Quantity","Entry Type","Sale","Entry No.",I899,"Location Code",$L$7)</t>
  </si>
  <si>
    <t>=NL("Sum","Item Ledger Entry","Quantity","Entry Type","Positive Adjmt.|Negative Adjmt.","Entry No.",I897,"Location Code",$L$7)</t>
  </si>
  <si>
    <t>=NL("Sum","Item Ledger Entry","Quantity","Entry Type","Positive Adjmt.|Negative Adjmt.","Entry No.",I898,"Location Code",$L$7)</t>
  </si>
  <si>
    <t>=NL("Sum","Item Ledger Entry","Quantity","Entry Type","Positive Adjmt.|Negative Adjmt.","Entry No.",I899,"Location Code",$L$7)</t>
  </si>
  <si>
    <t>=NL("Sum","Item Ledger Entry","Quantity","Entry Type","Transfer","Entry No.",I897,"Location Code",$L$7)</t>
  </si>
  <si>
    <t>=NL("Sum","Item Ledger Entry","Quantity","Entry Type","Transfer","Entry No.",I898,"Location Code",$L$7)</t>
  </si>
  <si>
    <t>=NL("Sum","Item Ledger Entry","Quantity","Entry Type","Transfer","Entry No.",I899,"Location Code",$L$7)</t>
  </si>
  <si>
    <t>=NL("Sum","Item Ledger Entry","Quantity","Entry Type","Consumption","Entry No.",I897,"Location Code",$L$7)</t>
  </si>
  <si>
    <t>=NL("Sum","Item Ledger Entry","Quantity","Entry Type","Consumption","Entry No.",I898,"Location Code",$L$7)</t>
  </si>
  <si>
    <t>=NL("Sum","Item Ledger Entry","Quantity","Entry Type","Consumption","Entry No.",I899,"Location Code",$L$7)</t>
  </si>
  <si>
    <t>=NL("Sum","Item Ledger Entry","Quantity","Entry Type","Output","Entry No.",I897,"Location Code",$L$7)</t>
  </si>
  <si>
    <t>=NL("Sum","Item Ledger Entry","Quantity","Entry Type","Output","Entry No.",I898,"Location Code",$L$7)</t>
  </si>
  <si>
    <t>=NL("Sum","Item Ledger Entry","Quantity","Entry Type","Output","Entry No.",I899,"Location Code",$L$7)</t>
  </si>
  <si>
    <t>=NF(G897,"Source Type")</t>
  </si>
  <si>
    <t>=NF(G898,"Source Type")</t>
  </si>
  <si>
    <t>=NF(G899,"Source Type")</t>
  </si>
  <si>
    <t>=NF($G897,"Source No.")</t>
  </si>
  <si>
    <t>=NF($G898,"Source No.")</t>
  </si>
  <si>
    <t>=NF($G899,"Source No.")</t>
  </si>
  <si>
    <t>=NF($G886,"Posting Date")</t>
  </si>
  <si>
    <t>=NF($G887,"Posting Date")</t>
  </si>
  <si>
    <t>=NF($G888,"Posting Date")</t>
  </si>
  <si>
    <t>=NF($G886,"Entry No.")</t>
  </si>
  <si>
    <t>=NF($G887,"Entry No.")</t>
  </si>
  <si>
    <t>=NF($G888,"Entry No.")</t>
  </si>
  <si>
    <t>=NL("Sum","Item Ledger Entry","Quantity","Entry Type","Purchase","Entry No.",I886,"Location Code",$L$7)</t>
  </si>
  <si>
    <t>=NL("Sum","Item Ledger Entry","Quantity","Entry Type","Purchase","Entry No.",I887,"Location Code",$L$7)</t>
  </si>
  <si>
    <t>=NL("Sum","Item Ledger Entry","Quantity","Entry Type","Purchase","Entry No.",I888,"Location Code",$L$7)</t>
  </si>
  <si>
    <t>=NL("Sum","Item Ledger Entry","Quantity","Entry Type","Sale","Entry No.",I886,"Location Code",$L$7)</t>
  </si>
  <si>
    <t>=NL("Sum","Item Ledger Entry","Quantity","Entry Type","Sale","Entry No.",I887,"Location Code",$L$7)</t>
  </si>
  <si>
    <t>=NL("Sum","Item Ledger Entry","Quantity","Entry Type","Sale","Entry No.",I888,"Location Code",$L$7)</t>
  </si>
  <si>
    <t>=NL("Sum","Item Ledger Entry","Quantity","Entry Type","Positive Adjmt.|Negative Adjmt.","Entry No.",I886,"Location Code",$L$7)</t>
  </si>
  <si>
    <t>=NL("Sum","Item Ledger Entry","Quantity","Entry Type","Positive Adjmt.|Negative Adjmt.","Entry No.",I887,"Location Code",$L$7)</t>
  </si>
  <si>
    <t>=NL("Sum","Item Ledger Entry","Quantity","Entry Type","Positive Adjmt.|Negative Adjmt.","Entry No.",I888,"Location Code",$L$7)</t>
  </si>
  <si>
    <t>=NL("Sum","Item Ledger Entry","Quantity","Entry Type","Transfer","Entry No.",I886,"Location Code",$L$7)</t>
  </si>
  <si>
    <t>=NL("Sum","Item Ledger Entry","Quantity","Entry Type","Transfer","Entry No.",I887,"Location Code",$L$7)</t>
  </si>
  <si>
    <t>=NL("Sum","Item Ledger Entry","Quantity","Entry Type","Transfer","Entry No.",I888,"Location Code",$L$7)</t>
  </si>
  <si>
    <t>=NL("Sum","Item Ledger Entry","Quantity","Entry Type","Consumption","Entry No.",I886,"Location Code",$L$7)</t>
  </si>
  <si>
    <t>=NL("Sum","Item Ledger Entry","Quantity","Entry Type","Consumption","Entry No.",I887,"Location Code",$L$7)</t>
  </si>
  <si>
    <t>=NL("Sum","Item Ledger Entry","Quantity","Entry Type","Consumption","Entry No.",I888,"Location Code",$L$7)</t>
  </si>
  <si>
    <t>=NL("Sum","Item Ledger Entry","Quantity","Entry Type","Output","Entry No.",I886,"Location Code",$L$7)</t>
  </si>
  <si>
    <t>=NL("Sum","Item Ledger Entry","Quantity","Entry Type","Output","Entry No.",I887,"Location Code",$L$7)</t>
  </si>
  <si>
    <t>=NL("Sum","Item Ledger Entry","Quantity","Entry Type","Output","Entry No.",I888,"Location Code",$L$7)</t>
  </si>
  <si>
    <t>=NF(G886,"Source Type")</t>
  </si>
  <si>
    <t>=NF(G887,"Source Type")</t>
  </si>
  <si>
    <t>=NF(G888,"Source Type")</t>
  </si>
  <si>
    <t>=NF($G886,"Source No.")</t>
  </si>
  <si>
    <t>=NF($G887,"Source No.")</t>
  </si>
  <si>
    <t>=NF($G888,"Source No.")</t>
  </si>
  <si>
    <t>=NF($G872,"Posting Date")</t>
  </si>
  <si>
    <t>=NF($G872,"Entry No.")</t>
  </si>
  <si>
    <t>=NL("Sum","Item Ledger Entry","Quantity","Entry Type","Purchase","Entry No.",I872,"Location Code",$L$7)</t>
  </si>
  <si>
    <t>=NL("Sum","Item Ledger Entry","Quantity","Entry Type","Sale","Entry No.",I872,"Location Code",$L$7)</t>
  </si>
  <si>
    <t>=NL("Sum","Item Ledger Entry","Quantity","Entry Type","Positive Adjmt.|Negative Adjmt.","Entry No.",I872,"Location Code",$L$7)</t>
  </si>
  <si>
    <t>=NL("Sum","Item Ledger Entry","Quantity","Entry Type","Transfer","Entry No.",I872,"Location Code",$L$7)</t>
  </si>
  <si>
    <t>=NL("Sum","Item Ledger Entry","Quantity","Entry Type","Consumption","Entry No.",I872,"Location Code",$L$7)</t>
  </si>
  <si>
    <t>=NL("Sum","Item Ledger Entry","Quantity","Entry Type","Output","Entry No.",I872,"Location Code",$L$7)</t>
  </si>
  <si>
    <t>=NF(G872,"Source Type")</t>
  </si>
  <si>
    <t>=NF($G872,"Source No.")</t>
  </si>
  <si>
    <t>=NF($G865,"Posting Date")</t>
  </si>
  <si>
    <t>=NF($G866,"Posting Date")</t>
  </si>
  <si>
    <t>=NF($G867,"Posting Date")</t>
  </si>
  <si>
    <t>=NF($G865,"Entry No.")</t>
  </si>
  <si>
    <t>=NF($G866,"Entry No.")</t>
  </si>
  <si>
    <t>=NF($G867,"Entry No.")</t>
  </si>
  <si>
    <t>=NL("Sum","Item Ledger Entry","Quantity","Entry Type","Purchase","Entry No.",I865,"Location Code",$L$7)</t>
  </si>
  <si>
    <t>=NL("Sum","Item Ledger Entry","Quantity","Entry Type","Purchase","Entry No.",I866,"Location Code",$L$7)</t>
  </si>
  <si>
    <t>=NL("Sum","Item Ledger Entry","Quantity","Entry Type","Purchase","Entry No.",I867,"Location Code",$L$7)</t>
  </si>
  <si>
    <t>=NL("Sum","Item Ledger Entry","Quantity","Entry Type","Sale","Entry No.",I865,"Location Code",$L$7)</t>
  </si>
  <si>
    <t>=NL("Sum","Item Ledger Entry","Quantity","Entry Type","Sale","Entry No.",I866,"Location Code",$L$7)</t>
  </si>
  <si>
    <t>=NL("Sum","Item Ledger Entry","Quantity","Entry Type","Sale","Entry No.",I867,"Location Code",$L$7)</t>
  </si>
  <si>
    <t>=NL("Sum","Item Ledger Entry","Quantity","Entry Type","Positive Adjmt.|Negative Adjmt.","Entry No.",I865,"Location Code",$L$7)</t>
  </si>
  <si>
    <t>=NL("Sum","Item Ledger Entry","Quantity","Entry Type","Positive Adjmt.|Negative Adjmt.","Entry No.",I866,"Location Code",$L$7)</t>
  </si>
  <si>
    <t>=NL("Sum","Item Ledger Entry","Quantity","Entry Type","Positive Adjmt.|Negative Adjmt.","Entry No.",I867,"Location Code",$L$7)</t>
  </si>
  <si>
    <t>=NL("Sum","Item Ledger Entry","Quantity","Entry Type","Transfer","Entry No.",I865,"Location Code",$L$7)</t>
  </si>
  <si>
    <t>=NL("Sum","Item Ledger Entry","Quantity","Entry Type","Transfer","Entry No.",I866,"Location Code",$L$7)</t>
  </si>
  <si>
    <t>=NL("Sum","Item Ledger Entry","Quantity","Entry Type","Transfer","Entry No.",I867,"Location Code",$L$7)</t>
  </si>
  <si>
    <t>=NL("Sum","Item Ledger Entry","Quantity","Entry Type","Consumption","Entry No.",I865,"Location Code",$L$7)</t>
  </si>
  <si>
    <t>=NL("Sum","Item Ledger Entry","Quantity","Entry Type","Consumption","Entry No.",I866,"Location Code",$L$7)</t>
  </si>
  <si>
    <t>=NL("Sum","Item Ledger Entry","Quantity","Entry Type","Consumption","Entry No.",I867,"Location Code",$L$7)</t>
  </si>
  <si>
    <t>=NL("Sum","Item Ledger Entry","Quantity","Entry Type","Output","Entry No.",I865,"Location Code",$L$7)</t>
  </si>
  <si>
    <t>=NL("Sum","Item Ledger Entry","Quantity","Entry Type","Output","Entry No.",I866,"Location Code",$L$7)</t>
  </si>
  <si>
    <t>=NL("Sum","Item Ledger Entry","Quantity","Entry Type","Output","Entry No.",I867,"Location Code",$L$7)</t>
  </si>
  <si>
    <t>=NF(G865,"Source Type")</t>
  </si>
  <si>
    <t>=NF(G866,"Source Type")</t>
  </si>
  <si>
    <t>=NF(G867,"Source Type")</t>
  </si>
  <si>
    <t>=NF($G865,"Source No.")</t>
  </si>
  <si>
    <t>=NF($G866,"Source No.")</t>
  </si>
  <si>
    <t>=NF($G867,"Source No.")</t>
  </si>
  <si>
    <t>=NF($G852,"Posting Date")</t>
  </si>
  <si>
    <t>=NF($G853,"Posting Date")</t>
  </si>
  <si>
    <t>=NF($G852,"Entry No.")</t>
  </si>
  <si>
    <t>=NF($G853,"Entry No.")</t>
  </si>
  <si>
    <t>=NL("Sum","Item Ledger Entry","Quantity","Entry Type","Purchase","Entry No.",I852,"Location Code",$L$7)</t>
  </si>
  <si>
    <t>=NL("Sum","Item Ledger Entry","Quantity","Entry Type","Purchase","Entry No.",I853,"Location Code",$L$7)</t>
  </si>
  <si>
    <t>=NL("Sum","Item Ledger Entry","Quantity","Entry Type","Sale","Entry No.",I852,"Location Code",$L$7)</t>
  </si>
  <si>
    <t>=NL("Sum","Item Ledger Entry","Quantity","Entry Type","Sale","Entry No.",I853,"Location Code",$L$7)</t>
  </si>
  <si>
    <t>=NL("Sum","Item Ledger Entry","Quantity","Entry Type","Positive Adjmt.|Negative Adjmt.","Entry No.",I852,"Location Code",$L$7)</t>
  </si>
  <si>
    <t>=NL("Sum","Item Ledger Entry","Quantity","Entry Type","Positive Adjmt.|Negative Adjmt.","Entry No.",I853,"Location Code",$L$7)</t>
  </si>
  <si>
    <t>=NL("Sum","Item Ledger Entry","Quantity","Entry Type","Transfer","Entry No.",I852,"Location Code",$L$7)</t>
  </si>
  <si>
    <t>=NL("Sum","Item Ledger Entry","Quantity","Entry Type","Transfer","Entry No.",I853,"Location Code",$L$7)</t>
  </si>
  <si>
    <t>=NL("Sum","Item Ledger Entry","Quantity","Entry Type","Consumption","Entry No.",I852,"Location Code",$L$7)</t>
  </si>
  <si>
    <t>=NL("Sum","Item Ledger Entry","Quantity","Entry Type","Consumption","Entry No.",I853,"Location Code",$L$7)</t>
  </si>
  <si>
    <t>=NL("Sum","Item Ledger Entry","Quantity","Entry Type","Output","Entry No.",I852,"Location Code",$L$7)</t>
  </si>
  <si>
    <t>=NL("Sum","Item Ledger Entry","Quantity","Entry Type","Output","Entry No.",I853,"Location Code",$L$7)</t>
  </si>
  <si>
    <t>=NF(G852,"Source Type")</t>
  </si>
  <si>
    <t>=NF(G853,"Source Type")</t>
  </si>
  <si>
    <t>=NF($G852,"Source No.")</t>
  </si>
  <si>
    <t>=NF($G853,"Source No.")</t>
  </si>
  <si>
    <t>=NF($G843,"Posting Date")</t>
  </si>
  <si>
    <t>=NF($G844,"Posting Date")</t>
  </si>
  <si>
    <t>=NF($G843,"Entry No.")</t>
  </si>
  <si>
    <t>=NF($G844,"Entry No.")</t>
  </si>
  <si>
    <t>=NL("Sum","Item Ledger Entry","Quantity","Entry Type","Purchase","Entry No.",I843,"Location Code",$L$7)</t>
  </si>
  <si>
    <t>=NL("Sum","Item Ledger Entry","Quantity","Entry Type","Purchase","Entry No.",I844,"Location Code",$L$7)</t>
  </si>
  <si>
    <t>=NL("Sum","Item Ledger Entry","Quantity","Entry Type","Sale","Entry No.",I843,"Location Code",$L$7)</t>
  </si>
  <si>
    <t>=NL("Sum","Item Ledger Entry","Quantity","Entry Type","Sale","Entry No.",I844,"Location Code",$L$7)</t>
  </si>
  <si>
    <t>=NL("Sum","Item Ledger Entry","Quantity","Entry Type","Positive Adjmt.|Negative Adjmt.","Entry No.",I843,"Location Code",$L$7)</t>
  </si>
  <si>
    <t>=NL("Sum","Item Ledger Entry","Quantity","Entry Type","Positive Adjmt.|Negative Adjmt.","Entry No.",I844,"Location Code",$L$7)</t>
  </si>
  <si>
    <t>=NL("Sum","Item Ledger Entry","Quantity","Entry Type","Transfer","Entry No.",I843,"Location Code",$L$7)</t>
  </si>
  <si>
    <t>=NL("Sum","Item Ledger Entry","Quantity","Entry Type","Transfer","Entry No.",I844,"Location Code",$L$7)</t>
  </si>
  <si>
    <t>=NL("Sum","Item Ledger Entry","Quantity","Entry Type","Consumption","Entry No.",I843,"Location Code",$L$7)</t>
  </si>
  <si>
    <t>=NL("Sum","Item Ledger Entry","Quantity","Entry Type","Consumption","Entry No.",I844,"Location Code",$L$7)</t>
  </si>
  <si>
    <t>=NL("Sum","Item Ledger Entry","Quantity","Entry Type","Output","Entry No.",I843,"Location Code",$L$7)</t>
  </si>
  <si>
    <t>=NL("Sum","Item Ledger Entry","Quantity","Entry Type","Output","Entry No.",I844,"Location Code",$L$7)</t>
  </si>
  <si>
    <t>=NF(G843,"Source Type")</t>
  </si>
  <si>
    <t>=NF(G844,"Source Type")</t>
  </si>
  <si>
    <t>=NF($G843,"Source No.")</t>
  </si>
  <si>
    <t>=NF($G844,"Source No.")</t>
  </si>
  <si>
    <t>=NF($G808,"Posting Date")</t>
  </si>
  <si>
    <t>=NF($G809,"Posting Date")</t>
  </si>
  <si>
    <t>=NF($G810,"Posting Date")</t>
  </si>
  <si>
    <t>=NF($G808,"Entry No.")</t>
  </si>
  <si>
    <t>=NF($G809,"Entry No.")</t>
  </si>
  <si>
    <t>=NF($G810,"Entry No.")</t>
  </si>
  <si>
    <t>=NL("Sum","Item Ledger Entry","Quantity","Entry Type","Purchase","Entry No.",I808,"Location Code",$L$7)</t>
  </si>
  <si>
    <t>=NL("Sum","Item Ledger Entry","Quantity","Entry Type","Purchase","Entry No.",I809,"Location Code",$L$7)</t>
  </si>
  <si>
    <t>=NL("Sum","Item Ledger Entry","Quantity","Entry Type","Purchase","Entry No.",I810,"Location Code",$L$7)</t>
  </si>
  <si>
    <t>=NL("Sum","Item Ledger Entry","Quantity","Entry Type","Sale","Entry No.",I808,"Location Code",$L$7)</t>
  </si>
  <si>
    <t>=NL("Sum","Item Ledger Entry","Quantity","Entry Type","Sale","Entry No.",I809,"Location Code",$L$7)</t>
  </si>
  <si>
    <t>=NL("Sum","Item Ledger Entry","Quantity","Entry Type","Sale","Entry No.",I810,"Location Code",$L$7)</t>
  </si>
  <si>
    <t>=NL("Sum","Item Ledger Entry","Quantity","Entry Type","Positive Adjmt.|Negative Adjmt.","Entry No.",I808,"Location Code",$L$7)</t>
  </si>
  <si>
    <t>=NL("Sum","Item Ledger Entry","Quantity","Entry Type","Positive Adjmt.|Negative Adjmt.","Entry No.",I809,"Location Code",$L$7)</t>
  </si>
  <si>
    <t>=NL("Sum","Item Ledger Entry","Quantity","Entry Type","Positive Adjmt.|Negative Adjmt.","Entry No.",I810,"Location Code",$L$7)</t>
  </si>
  <si>
    <t>=NL("Sum","Item Ledger Entry","Quantity","Entry Type","Transfer","Entry No.",I808,"Location Code",$L$7)</t>
  </si>
  <si>
    <t>=NL("Sum","Item Ledger Entry","Quantity","Entry Type","Transfer","Entry No.",I809,"Location Code",$L$7)</t>
  </si>
  <si>
    <t>=NL("Sum","Item Ledger Entry","Quantity","Entry Type","Transfer","Entry No.",I810,"Location Code",$L$7)</t>
  </si>
  <si>
    <t>=NL("Sum","Item Ledger Entry","Quantity","Entry Type","Consumption","Entry No.",I808,"Location Code",$L$7)</t>
  </si>
  <si>
    <t>=NL("Sum","Item Ledger Entry","Quantity","Entry Type","Consumption","Entry No.",I809,"Location Code",$L$7)</t>
  </si>
  <si>
    <t>=NL("Sum","Item Ledger Entry","Quantity","Entry Type","Consumption","Entry No.",I810,"Location Code",$L$7)</t>
  </si>
  <si>
    <t>=NL("Sum","Item Ledger Entry","Quantity","Entry Type","Output","Entry No.",I808,"Location Code",$L$7)</t>
  </si>
  <si>
    <t>=NL("Sum","Item Ledger Entry","Quantity","Entry Type","Output","Entry No.",I809,"Location Code",$L$7)</t>
  </si>
  <si>
    <t>=NL("Sum","Item Ledger Entry","Quantity","Entry Type","Output","Entry No.",I810,"Location Code",$L$7)</t>
  </si>
  <si>
    <t>=NF(G808,"Source Type")</t>
  </si>
  <si>
    <t>=NF(G809,"Source Type")</t>
  </si>
  <si>
    <t>=NF(G810,"Source Type")</t>
  </si>
  <si>
    <t>=NF($G808,"Source No.")</t>
  </si>
  <si>
    <t>=NF($G809,"Source No.")</t>
  </si>
  <si>
    <t>=NF($G810,"Source No.")</t>
  </si>
  <si>
    <t>=NF($G735,"Posting Date")</t>
  </si>
  <si>
    <t>=NF($G736,"Posting Date")</t>
  </si>
  <si>
    <t>=NF($G737,"Posting Date")</t>
  </si>
  <si>
    <t>=NF($G735,"Entry No.")</t>
  </si>
  <si>
    <t>=NF($G736,"Entry No.")</t>
  </si>
  <si>
    <t>=NF($G737,"Entry No.")</t>
  </si>
  <si>
    <t>=NL("Sum","Item Ledger Entry","Quantity","Entry Type","Purchase","Entry No.",I736,"Location Code",$L$7)</t>
  </si>
  <si>
    <t>=NL("Sum","Item Ledger Entry","Quantity","Entry Type","Purchase","Entry No.",I737,"Location Code",$L$7)</t>
  </si>
  <si>
    <t>=NL("Sum","Item Ledger Entry","Quantity","Entry Type","Sale","Entry No.",I736,"Location Code",$L$7)</t>
  </si>
  <si>
    <t>=NL("Sum","Item Ledger Entry","Quantity","Entry Type","Sale","Entry No.",I737,"Location Code",$L$7)</t>
  </si>
  <si>
    <t>=NL("Sum","Item Ledger Entry","Quantity","Entry Type","Positive Adjmt.|Negative Adjmt.","Entry No.",I736,"Location Code",$L$7)</t>
  </si>
  <si>
    <t>=NL("Sum","Item Ledger Entry","Quantity","Entry Type","Positive Adjmt.|Negative Adjmt.","Entry No.",I737,"Location Code",$L$7)</t>
  </si>
  <si>
    <t>=NL("Sum","Item Ledger Entry","Quantity","Entry Type","Transfer","Entry No.",I736,"Location Code",$L$7)</t>
  </si>
  <si>
    <t>=NL("Sum","Item Ledger Entry","Quantity","Entry Type","Transfer","Entry No.",I737,"Location Code",$L$7)</t>
  </si>
  <si>
    <t>=NL("Sum","Item Ledger Entry","Quantity","Entry Type","Consumption","Entry No.",I736,"Location Code",$L$7)</t>
  </si>
  <si>
    <t>=NL("Sum","Item Ledger Entry","Quantity","Entry Type","Consumption","Entry No.",I737,"Location Code",$L$7)</t>
  </si>
  <si>
    <t>=NL("Sum","Item Ledger Entry","Quantity","Entry Type","Output","Entry No.",I736,"Location Code",$L$7)</t>
  </si>
  <si>
    <t>=NL("Sum","Item Ledger Entry","Quantity","Entry Type","Output","Entry No.",I737,"Location Code",$L$7)</t>
  </si>
  <si>
    <t>=NF(G735,"Source Type")</t>
  </si>
  <si>
    <t>=NF(G736,"Source Type")</t>
  </si>
  <si>
    <t>=NF(G737,"Source Type")</t>
  </si>
  <si>
    <t>=NF($G735,"Source No.")</t>
  </si>
  <si>
    <t>=NF($G736,"Source No.")</t>
  </si>
  <si>
    <t>=NF($G737,"Source No.")</t>
  </si>
  <si>
    <t>=NF($G720,"Posting Date")</t>
  </si>
  <si>
    <t>=NF($G721,"Posting Date")</t>
  </si>
  <si>
    <t>=NF($G722,"Posting Date")</t>
  </si>
  <si>
    <t>=NF($G720,"Entry No.")</t>
  </si>
  <si>
    <t>=NF($G721,"Entry No.")</t>
  </si>
  <si>
    <t>=NF($G722,"Entry No.")</t>
  </si>
  <si>
    <t>=NL("Sum","Item Ledger Entry","Quantity","Entry Type","Purchase","Entry No.",I720,"Location Code",$L$7)</t>
  </si>
  <si>
    <t>=NL("Sum","Item Ledger Entry","Quantity","Entry Type","Purchase","Entry No.",I721,"Location Code",$L$7)</t>
  </si>
  <si>
    <t>=NL("Sum","Item Ledger Entry","Quantity","Entry Type","Purchase","Entry No.",I722,"Location Code",$L$7)</t>
  </si>
  <si>
    <t>=NL("Sum","Item Ledger Entry","Quantity","Entry Type","Sale","Entry No.",I720,"Location Code",$L$7)</t>
  </si>
  <si>
    <t>=NL("Sum","Item Ledger Entry","Quantity","Entry Type","Sale","Entry No.",I721,"Location Code",$L$7)</t>
  </si>
  <si>
    <t>=NL("Sum","Item Ledger Entry","Quantity","Entry Type","Sale","Entry No.",I722,"Location Code",$L$7)</t>
  </si>
  <si>
    <t>=NL("Sum","Item Ledger Entry","Quantity","Entry Type","Positive Adjmt.|Negative Adjmt.","Entry No.",I720,"Location Code",$L$7)</t>
  </si>
  <si>
    <t>=NL("Sum","Item Ledger Entry","Quantity","Entry Type","Positive Adjmt.|Negative Adjmt.","Entry No.",I721,"Location Code",$L$7)</t>
  </si>
  <si>
    <t>=NL("Sum","Item Ledger Entry","Quantity","Entry Type","Positive Adjmt.|Negative Adjmt.","Entry No.",I722,"Location Code",$L$7)</t>
  </si>
  <si>
    <t>=NL("Sum","Item Ledger Entry","Quantity","Entry Type","Transfer","Entry No.",I720,"Location Code",$L$7)</t>
  </si>
  <si>
    <t>=NL("Sum","Item Ledger Entry","Quantity","Entry Type","Transfer","Entry No.",I721,"Location Code",$L$7)</t>
  </si>
  <si>
    <t>=NL("Sum","Item Ledger Entry","Quantity","Entry Type","Transfer","Entry No.",I722,"Location Code",$L$7)</t>
  </si>
  <si>
    <t>=NL("Sum","Item Ledger Entry","Quantity","Entry Type","Consumption","Entry No.",I720,"Location Code",$L$7)</t>
  </si>
  <si>
    <t>=NL("Sum","Item Ledger Entry","Quantity","Entry Type","Consumption","Entry No.",I721,"Location Code",$L$7)</t>
  </si>
  <si>
    <t>=NL("Sum","Item Ledger Entry","Quantity","Entry Type","Consumption","Entry No.",I722,"Location Code",$L$7)</t>
  </si>
  <si>
    <t>=NL("Sum","Item Ledger Entry","Quantity","Entry Type","Output","Entry No.",I720,"Location Code",$L$7)</t>
  </si>
  <si>
    <t>=NL("Sum","Item Ledger Entry","Quantity","Entry Type","Output","Entry No.",I721,"Location Code",$L$7)</t>
  </si>
  <si>
    <t>=NL("Sum","Item Ledger Entry","Quantity","Entry Type","Output","Entry No.",I722,"Location Code",$L$7)</t>
  </si>
  <si>
    <t>=NF(G720,"Source Type")</t>
  </si>
  <si>
    <t>=NF(G721,"Source Type")</t>
  </si>
  <si>
    <t>=NF(G722,"Source Type")</t>
  </si>
  <si>
    <t>=NF($G720,"Source No.")</t>
  </si>
  <si>
    <t>=NF($G721,"Source No.")</t>
  </si>
  <si>
    <t>=NF($G722,"Source No.")</t>
  </si>
  <si>
    <t>=NF($G698,"Posting Date")</t>
  </si>
  <si>
    <t>=NF($G699,"Posting Date")</t>
  </si>
  <si>
    <t>=NF($G700,"Posting Date")</t>
  </si>
  <si>
    <t>=NF($G698,"Entry No.")</t>
  </si>
  <si>
    <t>=NF($G699,"Entry No.")</t>
  </si>
  <si>
    <t>=NF($G700,"Entry No.")</t>
  </si>
  <si>
    <t>=NL("Sum","Item Ledger Entry","Quantity","Entry Type","Purchase","Entry No.",I698,"Location Code",$L$7)</t>
  </si>
  <si>
    <t>=NL("Sum","Item Ledger Entry","Quantity","Entry Type","Purchase","Entry No.",I699,"Location Code",$L$7)</t>
  </si>
  <si>
    <t>=NL("Sum","Item Ledger Entry","Quantity","Entry Type","Purchase","Entry No.",I700,"Location Code",$L$7)</t>
  </si>
  <si>
    <t>=NL("Sum","Item Ledger Entry","Quantity","Entry Type","Sale","Entry No.",I698,"Location Code",$L$7)</t>
  </si>
  <si>
    <t>=NL("Sum","Item Ledger Entry","Quantity","Entry Type","Sale","Entry No.",I699,"Location Code",$L$7)</t>
  </si>
  <si>
    <t>=NL("Sum","Item Ledger Entry","Quantity","Entry Type","Sale","Entry No.",I700,"Location Code",$L$7)</t>
  </si>
  <si>
    <t>=NL("Sum","Item Ledger Entry","Quantity","Entry Type","Positive Adjmt.|Negative Adjmt.","Entry No.",I698,"Location Code",$L$7)</t>
  </si>
  <si>
    <t>=NL("Sum","Item Ledger Entry","Quantity","Entry Type","Positive Adjmt.|Negative Adjmt.","Entry No.",I699,"Location Code",$L$7)</t>
  </si>
  <si>
    <t>=NL("Sum","Item Ledger Entry","Quantity","Entry Type","Positive Adjmt.|Negative Adjmt.","Entry No.",I700,"Location Code",$L$7)</t>
  </si>
  <si>
    <t>=NL("Sum","Item Ledger Entry","Quantity","Entry Type","Transfer","Entry No.",I698,"Location Code",$L$7)</t>
  </si>
  <si>
    <t>=NL("Sum","Item Ledger Entry","Quantity","Entry Type","Transfer","Entry No.",I699,"Location Code",$L$7)</t>
  </si>
  <si>
    <t>=NL("Sum","Item Ledger Entry","Quantity","Entry Type","Transfer","Entry No.",I700,"Location Code",$L$7)</t>
  </si>
  <si>
    <t>=NL("Sum","Item Ledger Entry","Quantity","Entry Type","Consumption","Entry No.",I698,"Location Code",$L$7)</t>
  </si>
  <si>
    <t>=NL("Sum","Item Ledger Entry","Quantity","Entry Type","Consumption","Entry No.",I699,"Location Code",$L$7)</t>
  </si>
  <si>
    <t>=NL("Sum","Item Ledger Entry","Quantity","Entry Type","Consumption","Entry No.",I700,"Location Code",$L$7)</t>
  </si>
  <si>
    <t>=NL("Sum","Item Ledger Entry","Quantity","Entry Type","Output","Entry No.",I698,"Location Code",$L$7)</t>
  </si>
  <si>
    <t>=NL("Sum","Item Ledger Entry","Quantity","Entry Type","Output","Entry No.",I699,"Location Code",$L$7)</t>
  </si>
  <si>
    <t>=NL("Sum","Item Ledger Entry","Quantity","Entry Type","Output","Entry No.",I700,"Location Code",$L$7)</t>
  </si>
  <si>
    <t>=NF(G698,"Source Type")</t>
  </si>
  <si>
    <t>=NF(G699,"Source Type")</t>
  </si>
  <si>
    <t>=NF(G700,"Source Type")</t>
  </si>
  <si>
    <t>=NF($G698,"Source No.")</t>
  </si>
  <si>
    <t>=NF($G699,"Source No.")</t>
  </si>
  <si>
    <t>=NF($G700,"Source No.")</t>
  </si>
  <si>
    <t>=NF($G669,"Posting Date")</t>
  </si>
  <si>
    <t>=NF($G670,"Posting Date")</t>
  </si>
  <si>
    <t>=NF($G671,"Posting Date")</t>
  </si>
  <si>
    <t>=NF($G669,"Entry No.")</t>
  </si>
  <si>
    <t>=NF($G670,"Entry No.")</t>
  </si>
  <si>
    <t>=NF($G671,"Entry No.")</t>
  </si>
  <si>
    <t>=NL("Sum","Item Ledger Entry","Quantity","Entry Type","Purchase","Entry No.",I669,"Location Code",$L$7)</t>
  </si>
  <si>
    <t>=NL("Sum","Item Ledger Entry","Quantity","Entry Type","Sale","Entry No.",I669,"Location Code",$L$7)</t>
  </si>
  <si>
    <t>=NL("Sum","Item Ledger Entry","Quantity","Entry Type","Positive Adjmt.|Negative Adjmt.","Entry No.",I669,"Location Code",$L$7)</t>
  </si>
  <si>
    <t>=NL("Sum","Item Ledger Entry","Quantity","Entry Type","Transfer","Entry No.",I669,"Location Code",$L$7)</t>
  </si>
  <si>
    <t>=NL("Sum","Item Ledger Entry","Quantity","Entry Type","Consumption","Entry No.",I669,"Location Code",$L$7)</t>
  </si>
  <si>
    <t>=NL("Sum","Item Ledger Entry","Quantity","Entry Type","Output","Entry No.",I669,"Location Code",$L$7)</t>
  </si>
  <si>
    <t>=NF(G669,"Source Type")</t>
  </si>
  <si>
    <t>=NF(G670,"Source Type")</t>
  </si>
  <si>
    <t>=NF(G671,"Source Type")</t>
  </si>
  <si>
    <t>=NF($G669,"Source No.")</t>
  </si>
  <si>
    <t>=NF($G670,"Source No.")</t>
  </si>
  <si>
    <t>=NF($G671,"Source No.")</t>
  </si>
  <si>
    <t>=NF($G652,"Posting Date")</t>
  </si>
  <si>
    <t>=NF($G653,"Posting Date")</t>
  </si>
  <si>
    <t>=NF($G654,"Posting Date")</t>
  </si>
  <si>
    <t>=NF($G652,"Entry No.")</t>
  </si>
  <si>
    <t>=NF($G653,"Entry No.")</t>
  </si>
  <si>
    <t>=NF($G654,"Entry No.")</t>
  </si>
  <si>
    <t>=NL("Sum","Item Ledger Entry","Quantity","Entry Type","Purchase","Entry No.",I654,"Location Code",$L$7)</t>
  </si>
  <si>
    <t>=NL("Sum","Item Ledger Entry","Quantity","Entry Type","Sale","Entry No.",I654,"Location Code",$L$7)</t>
  </si>
  <si>
    <t>=NL("Sum","Item Ledger Entry","Quantity","Entry Type","Positive Adjmt.|Negative Adjmt.","Entry No.",I654,"Location Code",$L$7)</t>
  </si>
  <si>
    <t>=NL("Sum","Item Ledger Entry","Quantity","Entry Type","Transfer","Entry No.",I654,"Location Code",$L$7)</t>
  </si>
  <si>
    <t>=NL("Sum","Item Ledger Entry","Quantity","Entry Type","Consumption","Entry No.",I654,"Location Code",$L$7)</t>
  </si>
  <si>
    <t>=NL("Sum","Item Ledger Entry","Quantity","Entry Type","Output","Entry No.",I654,"Location Code",$L$7)</t>
  </si>
  <si>
    <t>=NF(G652,"Source Type")</t>
  </si>
  <si>
    <t>=NF(G653,"Source Type")</t>
  </si>
  <si>
    <t>=NF(G654,"Source Type")</t>
  </si>
  <si>
    <t>=NF($G652,"Source No.")</t>
  </si>
  <si>
    <t>=NF($G653,"Source No.")</t>
  </si>
  <si>
    <t>=NF($G654,"Source No.")</t>
  </si>
  <si>
    <t>=NF($G638,"Posting Date")</t>
  </si>
  <si>
    <t>=NF($G639,"Posting Date")</t>
  </si>
  <si>
    <t>=NF($G640,"Posting Date")</t>
  </si>
  <si>
    <t>=NF($G638,"Entry No.")</t>
  </si>
  <si>
    <t>=NF($G639,"Entry No.")</t>
  </si>
  <si>
    <t>=NF($G640,"Entry No.")</t>
  </si>
  <si>
    <t>=NL("Sum","Item Ledger Entry","Quantity","Entry Type","Purchase","Entry No.",I638,"Location Code",$L$7)</t>
  </si>
  <si>
    <t>=NL("Sum","Item Ledger Entry","Quantity","Entry Type","Purchase","Entry No.",I639,"Location Code",$L$7)</t>
  </si>
  <si>
    <t>=NL("Sum","Item Ledger Entry","Quantity","Entry Type","Sale","Entry No.",I638,"Location Code",$L$7)</t>
  </si>
  <si>
    <t>=NL("Sum","Item Ledger Entry","Quantity","Entry Type","Sale","Entry No.",I639,"Location Code",$L$7)</t>
  </si>
  <si>
    <t>=NL("Sum","Item Ledger Entry","Quantity","Entry Type","Positive Adjmt.|Negative Adjmt.","Entry No.",I638,"Location Code",$L$7)</t>
  </si>
  <si>
    <t>=NL("Sum","Item Ledger Entry","Quantity","Entry Type","Positive Adjmt.|Negative Adjmt.","Entry No.",I639,"Location Code",$L$7)</t>
  </si>
  <si>
    <t>=NL("Sum","Item Ledger Entry","Quantity","Entry Type","Transfer","Entry No.",I638,"Location Code",$L$7)</t>
  </si>
  <si>
    <t>=NL("Sum","Item Ledger Entry","Quantity","Entry Type","Transfer","Entry No.",I639,"Location Code",$L$7)</t>
  </si>
  <si>
    <t>=NL("Sum","Item Ledger Entry","Quantity","Entry Type","Consumption","Entry No.",I638,"Location Code",$L$7)</t>
  </si>
  <si>
    <t>=NL("Sum","Item Ledger Entry","Quantity","Entry Type","Consumption","Entry No.",I639,"Location Code",$L$7)</t>
  </si>
  <si>
    <t>=NL("Sum","Item Ledger Entry","Quantity","Entry Type","Output","Entry No.",I638,"Location Code",$L$7)</t>
  </si>
  <si>
    <t>=NL("Sum","Item Ledger Entry","Quantity","Entry Type","Output","Entry No.",I639,"Location Code",$L$7)</t>
  </si>
  <si>
    <t>=NF(G638,"Source Type")</t>
  </si>
  <si>
    <t>=NF(G639,"Source Type")</t>
  </si>
  <si>
    <t>=NF(G640,"Source Type")</t>
  </si>
  <si>
    <t>=NF($G638,"Source No.")</t>
  </si>
  <si>
    <t>=NF($G639,"Source No.")</t>
  </si>
  <si>
    <t>=NF($G640,"Source No.")</t>
  </si>
  <si>
    <t>=NF($G613,"Posting Date")</t>
  </si>
  <si>
    <t>=NF($G614,"Posting Date")</t>
  </si>
  <si>
    <t>=NF($G613,"Entry No.")</t>
  </si>
  <si>
    <t>=NF($G614,"Entry No.")</t>
  </si>
  <si>
    <t>=NL("Sum","Item Ledger Entry","Quantity","Entry Type","Purchase","Entry No.",I613,"Location Code",$L$7)</t>
  </si>
  <si>
    <t>=NL("Sum","Item Ledger Entry","Quantity","Entry Type","Sale","Entry No.",I613,"Location Code",$L$7)</t>
  </si>
  <si>
    <t>=NL("Sum","Item Ledger Entry","Quantity","Entry Type","Positive Adjmt.|Negative Adjmt.","Entry No.",I613,"Location Code",$L$7)</t>
  </si>
  <si>
    <t>=NL("Sum","Item Ledger Entry","Quantity","Entry Type","Transfer","Entry No.",I613,"Location Code",$L$7)</t>
  </si>
  <si>
    <t>=NL("Sum","Item Ledger Entry","Quantity","Entry Type","Consumption","Entry No.",I613,"Location Code",$L$7)</t>
  </si>
  <si>
    <t>=NL("Sum","Item Ledger Entry","Quantity","Entry Type","Output","Entry No.",I613,"Location Code",$L$7)</t>
  </si>
  <si>
    <t>=NF(G613,"Source Type")</t>
  </si>
  <si>
    <t>=NF(G614,"Source Type")</t>
  </si>
  <si>
    <t>=NF($G613,"Source No.")</t>
  </si>
  <si>
    <t>=NF($G614,"Source No.")</t>
  </si>
  <si>
    <t>=NF($G598,"Posting Date")</t>
  </si>
  <si>
    <t>=NF($G599,"Posting Date")</t>
  </si>
  <si>
    <t>=NF($G598,"Entry No.")</t>
  </si>
  <si>
    <t>=NF($G599,"Entry No.")</t>
  </si>
  <si>
    <t>=NL("Sum","Item Ledger Entry","Quantity","Entry Type","Purchase","Entry No.",I598,"Location Code",$L$7)</t>
  </si>
  <si>
    <t>=NL("Sum","Item Ledger Entry","Quantity","Entry Type","Purchase","Entry No.",I599,"Location Code",$L$7)</t>
  </si>
  <si>
    <t>=NL("Sum","Item Ledger Entry","Quantity","Entry Type","Sale","Entry No.",I598,"Location Code",$L$7)</t>
  </si>
  <si>
    <t>=NL("Sum","Item Ledger Entry","Quantity","Entry Type","Sale","Entry No.",I599,"Location Code",$L$7)</t>
  </si>
  <si>
    <t>=NL("Sum","Item Ledger Entry","Quantity","Entry Type","Positive Adjmt.|Negative Adjmt.","Entry No.",I598,"Location Code",$L$7)</t>
  </si>
  <si>
    <t>=NL("Sum","Item Ledger Entry","Quantity","Entry Type","Positive Adjmt.|Negative Adjmt.","Entry No.",I599,"Location Code",$L$7)</t>
  </si>
  <si>
    <t>=NL("Sum","Item Ledger Entry","Quantity","Entry Type","Transfer","Entry No.",I598,"Location Code",$L$7)</t>
  </si>
  <si>
    <t>=NL("Sum","Item Ledger Entry","Quantity","Entry Type","Transfer","Entry No.",I599,"Location Code",$L$7)</t>
  </si>
  <si>
    <t>=NL("Sum","Item Ledger Entry","Quantity","Entry Type","Consumption","Entry No.",I598,"Location Code",$L$7)</t>
  </si>
  <si>
    <t>=NL("Sum","Item Ledger Entry","Quantity","Entry Type","Consumption","Entry No.",I599,"Location Code",$L$7)</t>
  </si>
  <si>
    <t>=NL("Sum","Item Ledger Entry","Quantity","Entry Type","Output","Entry No.",I598,"Location Code",$L$7)</t>
  </si>
  <si>
    <t>=NL("Sum","Item Ledger Entry","Quantity","Entry Type","Output","Entry No.",I599,"Location Code",$L$7)</t>
  </si>
  <si>
    <t>=NF(G598,"Source Type")</t>
  </si>
  <si>
    <t>=NF(G599,"Source Type")</t>
  </si>
  <si>
    <t>=NF($G598,"Source No.")</t>
  </si>
  <si>
    <t>=NF($G599,"Source No.")</t>
  </si>
  <si>
    <t>=NF($G586,"Posting Date")</t>
  </si>
  <si>
    <t>=NF($G586,"Entry No.")</t>
  </si>
  <si>
    <t>=NL("Sum","Item Ledger Entry","Quantity","Entry Type","Purchase","Entry No.",I586,"Location Code",$L$7)</t>
  </si>
  <si>
    <t>=NL("Sum","Item Ledger Entry","Quantity","Entry Type","Sale","Entry No.",I586,"Location Code",$L$7)</t>
  </si>
  <si>
    <t>=NL("Sum","Item Ledger Entry","Quantity","Entry Type","Positive Adjmt.|Negative Adjmt.","Entry No.",I586,"Location Code",$L$7)</t>
  </si>
  <si>
    <t>=NL("Sum","Item Ledger Entry","Quantity","Entry Type","Transfer","Entry No.",I586,"Location Code",$L$7)</t>
  </si>
  <si>
    <t>=NL("Sum","Item Ledger Entry","Quantity","Entry Type","Consumption","Entry No.",I586,"Location Code",$L$7)</t>
  </si>
  <si>
    <t>=NL("Sum","Item Ledger Entry","Quantity","Entry Type","Output","Entry No.",I586,"Location Code",$L$7)</t>
  </si>
  <si>
    <t>=NF(G586,"Source Type")</t>
  </si>
  <si>
    <t>=NF($G586,"Source No.")</t>
  </si>
  <si>
    <t>=NF($G574,"Posting Date")</t>
  </si>
  <si>
    <t>=NF($G575,"Posting Date")</t>
  </si>
  <si>
    <t>=NF($G576,"Posting Date")</t>
  </si>
  <si>
    <t>=NF($G574,"Entry No.")</t>
  </si>
  <si>
    <t>=NF($G575,"Entry No.")</t>
  </si>
  <si>
    <t>=NF($G576,"Entry No.")</t>
  </si>
  <si>
    <t>=NL("Sum","Item Ledger Entry","Quantity","Entry Type","Purchase","Entry No.",I574,"Location Code",$L$7)</t>
  </si>
  <si>
    <t>=NL("Sum","Item Ledger Entry","Quantity","Entry Type","Purchase","Entry No.",I575,"Location Code",$L$7)</t>
  </si>
  <si>
    <t>=NL("Sum","Item Ledger Entry","Quantity","Entry Type","Sale","Entry No.",I574,"Location Code",$L$7)</t>
  </si>
  <si>
    <t>=NL("Sum","Item Ledger Entry","Quantity","Entry Type","Sale","Entry No.",I575,"Location Code",$L$7)</t>
  </si>
  <si>
    <t>=NL("Sum","Item Ledger Entry","Quantity","Entry Type","Positive Adjmt.|Negative Adjmt.","Entry No.",I574,"Location Code",$L$7)</t>
  </si>
  <si>
    <t>=NL("Sum","Item Ledger Entry","Quantity","Entry Type","Positive Adjmt.|Negative Adjmt.","Entry No.",I575,"Location Code",$L$7)</t>
  </si>
  <si>
    <t>=NL("Sum","Item Ledger Entry","Quantity","Entry Type","Transfer","Entry No.",I574,"Location Code",$L$7)</t>
  </si>
  <si>
    <t>=NL("Sum","Item Ledger Entry","Quantity","Entry Type","Transfer","Entry No.",I575,"Location Code",$L$7)</t>
  </si>
  <si>
    <t>=NL("Sum","Item Ledger Entry","Quantity","Entry Type","Consumption","Entry No.",I574,"Location Code",$L$7)</t>
  </si>
  <si>
    <t>=NL("Sum","Item Ledger Entry","Quantity","Entry Type","Consumption","Entry No.",I575,"Location Code",$L$7)</t>
  </si>
  <si>
    <t>=NL("Sum","Item Ledger Entry","Quantity","Entry Type","Output","Entry No.",I574,"Location Code",$L$7)</t>
  </si>
  <si>
    <t>=NL("Sum","Item Ledger Entry","Quantity","Entry Type","Output","Entry No.",I575,"Location Code",$L$7)</t>
  </si>
  <si>
    <t>=NF(G574,"Source Type")</t>
  </si>
  <si>
    <t>=NF(G575,"Source Type")</t>
  </si>
  <si>
    <t>=NF(G576,"Source Type")</t>
  </si>
  <si>
    <t>=NF($G574,"Source No.")</t>
  </si>
  <si>
    <t>=NF($G575,"Source No.")</t>
  </si>
  <si>
    <t>=NF($G576,"Source No.")</t>
  </si>
  <si>
    <t>=NF($G554,"Posting Date")</t>
  </si>
  <si>
    <t>=NF($G560,"Posting Date")</t>
  </si>
  <si>
    <t>=NF($G561,"Posting Date")</t>
  </si>
  <si>
    <t>=NF($G562,"Posting Date")</t>
  </si>
  <si>
    <t>=NF($G554,"Entry No.")</t>
  </si>
  <si>
    <t>=NF($G560,"Entry No.")</t>
  </si>
  <si>
    <t>=NF($G561,"Entry No.")</t>
  </si>
  <si>
    <t>=NF($G562,"Entry No.")</t>
  </si>
  <si>
    <t>=NL("Sum","Item Ledger Entry","Quantity","Entry Type","Purchase","Entry No.",I554,"Location Code",$L$7)</t>
  </si>
  <si>
    <t>=NL("Sum","Item Ledger Entry","Quantity","Entry Type","Purchase","Entry No.",I560,"Location Code",$L$7)</t>
  </si>
  <si>
    <t>=NL("Sum","Item Ledger Entry","Quantity","Entry Type","Purchase","Entry No.",I561,"Location Code",$L$7)</t>
  </si>
  <si>
    <t>=NL("Sum","Item Ledger Entry","Quantity","Entry Type","Sale","Entry No.",I554,"Location Code",$L$7)</t>
  </si>
  <si>
    <t>=NL("Sum","Item Ledger Entry","Quantity","Entry Type","Sale","Entry No.",I560,"Location Code",$L$7)</t>
  </si>
  <si>
    <t>=NL("Sum","Item Ledger Entry","Quantity","Entry Type","Sale","Entry No.",I561,"Location Code",$L$7)</t>
  </si>
  <si>
    <t>=NL("Sum","Item Ledger Entry","Quantity","Entry Type","Positive Adjmt.|Negative Adjmt.","Entry No.",I554,"Location Code",$L$7)</t>
  </si>
  <si>
    <t>=NL("Sum","Item Ledger Entry","Quantity","Entry Type","Positive Adjmt.|Negative Adjmt.","Entry No.",I560,"Location Code",$L$7)</t>
  </si>
  <si>
    <t>=NL("Sum","Item Ledger Entry","Quantity","Entry Type","Positive Adjmt.|Negative Adjmt.","Entry No.",I561,"Location Code",$L$7)</t>
  </si>
  <si>
    <t>=NL("Sum","Item Ledger Entry","Quantity","Entry Type","Transfer","Entry No.",I554,"Location Code",$L$7)</t>
  </si>
  <si>
    <t>=NL("Sum","Item Ledger Entry","Quantity","Entry Type","Transfer","Entry No.",I560,"Location Code",$L$7)</t>
  </si>
  <si>
    <t>=NL("Sum","Item Ledger Entry","Quantity","Entry Type","Transfer","Entry No.",I561,"Location Code",$L$7)</t>
  </si>
  <si>
    <t>=NL("Sum","Item Ledger Entry","Quantity","Entry Type","Consumption","Entry No.",I554,"Location Code",$L$7)</t>
  </si>
  <si>
    <t>=NL("Sum","Item Ledger Entry","Quantity","Entry Type","Consumption","Entry No.",I560,"Location Code",$L$7)</t>
  </si>
  <si>
    <t>=NL("Sum","Item Ledger Entry","Quantity","Entry Type","Consumption","Entry No.",I561,"Location Code",$L$7)</t>
  </si>
  <si>
    <t>=NL("Sum","Item Ledger Entry","Quantity","Entry Type","Output","Entry No.",I554,"Location Code",$L$7)</t>
  </si>
  <si>
    <t>=NL("Sum","Item Ledger Entry","Quantity","Entry Type","Output","Entry No.",I560,"Location Code",$L$7)</t>
  </si>
  <si>
    <t>=NL("Sum","Item Ledger Entry","Quantity","Entry Type","Output","Entry No.",I561,"Location Code",$L$7)</t>
  </si>
  <si>
    <t>=NF(G554,"Source Type")</t>
  </si>
  <si>
    <t>=NF(G560,"Source Type")</t>
  </si>
  <si>
    <t>=NF(G561,"Source Type")</t>
  </si>
  <si>
    <t>=NF(G562,"Source Type")</t>
  </si>
  <si>
    <t>=NF($G554,"Source No.")</t>
  </si>
  <si>
    <t>=NF($G560,"Source No.")</t>
  </si>
  <si>
    <t>=NF($G561,"Source No.")</t>
  </si>
  <si>
    <t>=NF($G562,"Source No.")</t>
  </si>
  <si>
    <t>=NF($G545,"Posting Date")</t>
  </si>
  <si>
    <t>=NF($G546,"Posting Date")</t>
  </si>
  <si>
    <t>=NF($G547,"Posting Date")</t>
  </si>
  <si>
    <t>=NF($G545,"Entry No.")</t>
  </si>
  <si>
    <t>=NF($G546,"Entry No.")</t>
  </si>
  <si>
    <t>=NF($G547,"Entry No.")</t>
  </si>
  <si>
    <t>=NL("Sum","Item Ledger Entry","Quantity","Entry Type","Purchase","Entry No.",I545,"Location Code",$L$7)</t>
  </si>
  <si>
    <t>=NL("Sum","Item Ledger Entry","Quantity","Entry Type","Purchase","Entry No.",I546,"Location Code",$L$7)</t>
  </si>
  <si>
    <t>=NL("Sum","Item Ledger Entry","Quantity","Entry Type","Purchase","Entry No.",I547,"Location Code",$L$7)</t>
  </si>
  <si>
    <t>=NL("Sum","Item Ledger Entry","Quantity","Entry Type","Sale","Entry No.",I545,"Location Code",$L$7)</t>
  </si>
  <si>
    <t>=NL("Sum","Item Ledger Entry","Quantity","Entry Type","Sale","Entry No.",I546,"Location Code",$L$7)</t>
  </si>
  <si>
    <t>=NL("Sum","Item Ledger Entry","Quantity","Entry Type","Sale","Entry No.",I547,"Location Code",$L$7)</t>
  </si>
  <si>
    <t>=NL("Sum","Item Ledger Entry","Quantity","Entry Type","Positive Adjmt.|Negative Adjmt.","Entry No.",I545,"Location Code",$L$7)</t>
  </si>
  <si>
    <t>=NL("Sum","Item Ledger Entry","Quantity","Entry Type","Positive Adjmt.|Negative Adjmt.","Entry No.",I546,"Location Code",$L$7)</t>
  </si>
  <si>
    <t>=NL("Sum","Item Ledger Entry","Quantity","Entry Type","Positive Adjmt.|Negative Adjmt.","Entry No.",I547,"Location Code",$L$7)</t>
  </si>
  <si>
    <t>=NL("Sum","Item Ledger Entry","Quantity","Entry Type","Transfer","Entry No.",I545,"Location Code",$L$7)</t>
  </si>
  <si>
    <t>=NL("Sum","Item Ledger Entry","Quantity","Entry Type","Transfer","Entry No.",I546,"Location Code",$L$7)</t>
  </si>
  <si>
    <t>=NL("Sum","Item Ledger Entry","Quantity","Entry Type","Transfer","Entry No.",I547,"Location Code",$L$7)</t>
  </si>
  <si>
    <t>=NL("Sum","Item Ledger Entry","Quantity","Entry Type","Consumption","Entry No.",I545,"Location Code",$L$7)</t>
  </si>
  <si>
    <t>=NL("Sum","Item Ledger Entry","Quantity","Entry Type","Consumption","Entry No.",I546,"Location Code",$L$7)</t>
  </si>
  <si>
    <t>=NL("Sum","Item Ledger Entry","Quantity","Entry Type","Consumption","Entry No.",I547,"Location Code",$L$7)</t>
  </si>
  <si>
    <t>=NL("Sum","Item Ledger Entry","Quantity","Entry Type","Output","Entry No.",I545,"Location Code",$L$7)</t>
  </si>
  <si>
    <t>=NL("Sum","Item Ledger Entry","Quantity","Entry Type","Output","Entry No.",I546,"Location Code",$L$7)</t>
  </si>
  <si>
    <t>=NL("Sum","Item Ledger Entry","Quantity","Entry Type","Output","Entry No.",I547,"Location Code",$L$7)</t>
  </si>
  <si>
    <t>=NF(G545,"Source Type")</t>
  </si>
  <si>
    <t>=NF(G546,"Source Type")</t>
  </si>
  <si>
    <t>=NF(G547,"Source Type")</t>
  </si>
  <si>
    <t>=NF($G545,"Source No.")</t>
  </si>
  <si>
    <t>=NF($G546,"Source No.")</t>
  </si>
  <si>
    <t>=NF($G547,"Source No.")</t>
  </si>
  <si>
    <t>=NF($G531,"Posting Date")</t>
  </si>
  <si>
    <t>=NF($G532,"Posting Date")</t>
  </si>
  <si>
    <t>=NF($G537,"Posting Date")</t>
  </si>
  <si>
    <t>=NF($G538,"Posting Date")</t>
  </si>
  <si>
    <t>=NF($G539,"Posting Date")</t>
  </si>
  <si>
    <t>=NF($G531,"Entry No.")</t>
  </si>
  <si>
    <t>=NF($G532,"Entry No.")</t>
  </si>
  <si>
    <t>=NF($G537,"Entry No.")</t>
  </si>
  <si>
    <t>=NF($G538,"Entry No.")</t>
  </si>
  <si>
    <t>=NF($G539,"Entry No.")</t>
  </si>
  <si>
    <t>=NL("Sum","Item Ledger Entry","Quantity","Entry Type","Purchase","Entry No.",I531,"Location Code",$L$7)</t>
  </si>
  <si>
    <t>=NL("Sum","Item Ledger Entry","Quantity","Entry Type","Purchase","Entry No.",I532,"Location Code",$L$7)</t>
  </si>
  <si>
    <t>=NL("Sum","Item Ledger Entry","Quantity","Entry Type","Purchase","Entry No.",I537,"Location Code",$L$7)</t>
  </si>
  <si>
    <t>=NL("Sum","Item Ledger Entry","Quantity","Entry Type","Purchase","Entry No.",I538,"Location Code",$L$7)</t>
  </si>
  <si>
    <t>=NL("Sum","Item Ledger Entry","Quantity","Entry Type","Purchase","Entry No.",I539,"Location Code",$L$7)</t>
  </si>
  <si>
    <t>=NL("Sum","Item Ledger Entry","Quantity","Entry Type","Sale","Entry No.",I531,"Location Code",$L$7)</t>
  </si>
  <si>
    <t>=NL("Sum","Item Ledger Entry","Quantity","Entry Type","Sale","Entry No.",I532,"Location Code",$L$7)</t>
  </si>
  <si>
    <t>=NL("Sum","Item Ledger Entry","Quantity","Entry Type","Sale","Entry No.",I537,"Location Code",$L$7)</t>
  </si>
  <si>
    <t>=NL("Sum","Item Ledger Entry","Quantity","Entry Type","Sale","Entry No.",I538,"Location Code",$L$7)</t>
  </si>
  <si>
    <t>=NL("Sum","Item Ledger Entry","Quantity","Entry Type","Sale","Entry No.",I539,"Location Code",$L$7)</t>
  </si>
  <si>
    <t>=NL("Sum","Item Ledger Entry","Quantity","Entry Type","Positive Adjmt.|Negative Adjmt.","Entry No.",I531,"Location Code",$L$7)</t>
  </si>
  <si>
    <t>=NL("Sum","Item Ledger Entry","Quantity","Entry Type","Positive Adjmt.|Negative Adjmt.","Entry No.",I532,"Location Code",$L$7)</t>
  </si>
  <si>
    <t>=NL("Sum","Item Ledger Entry","Quantity","Entry Type","Positive Adjmt.|Negative Adjmt.","Entry No.",I537,"Location Code",$L$7)</t>
  </si>
  <si>
    <t>=NL("Sum","Item Ledger Entry","Quantity","Entry Type","Positive Adjmt.|Negative Adjmt.","Entry No.",I538,"Location Code",$L$7)</t>
  </si>
  <si>
    <t>=NL("Sum","Item Ledger Entry","Quantity","Entry Type","Positive Adjmt.|Negative Adjmt.","Entry No.",I539,"Location Code",$L$7)</t>
  </si>
  <si>
    <t>=NL("Sum","Item Ledger Entry","Quantity","Entry Type","Transfer","Entry No.",I531,"Location Code",$L$7)</t>
  </si>
  <si>
    <t>=NL("Sum","Item Ledger Entry","Quantity","Entry Type","Transfer","Entry No.",I532,"Location Code",$L$7)</t>
  </si>
  <si>
    <t>=NL("Sum","Item Ledger Entry","Quantity","Entry Type","Transfer","Entry No.",I537,"Location Code",$L$7)</t>
  </si>
  <si>
    <t>=NL("Sum","Item Ledger Entry","Quantity","Entry Type","Transfer","Entry No.",I538,"Location Code",$L$7)</t>
  </si>
  <si>
    <t>=NL("Sum","Item Ledger Entry","Quantity","Entry Type","Transfer","Entry No.",I539,"Location Code",$L$7)</t>
  </si>
  <si>
    <t>=NL("Sum","Item Ledger Entry","Quantity","Entry Type","Consumption","Entry No.",I531,"Location Code",$L$7)</t>
  </si>
  <si>
    <t>=NL("Sum","Item Ledger Entry","Quantity","Entry Type","Consumption","Entry No.",I532,"Location Code",$L$7)</t>
  </si>
  <si>
    <t>=NL("Sum","Item Ledger Entry","Quantity","Entry Type","Consumption","Entry No.",I537,"Location Code",$L$7)</t>
  </si>
  <si>
    <t>=NL("Sum","Item Ledger Entry","Quantity","Entry Type","Consumption","Entry No.",I538,"Location Code",$L$7)</t>
  </si>
  <si>
    <t>=NL("Sum","Item Ledger Entry","Quantity","Entry Type","Consumption","Entry No.",I539,"Location Code",$L$7)</t>
  </si>
  <si>
    <t>=NL("Sum","Item Ledger Entry","Quantity","Entry Type","Output","Entry No.",I531,"Location Code",$L$7)</t>
  </si>
  <si>
    <t>=NL("Sum","Item Ledger Entry","Quantity","Entry Type","Output","Entry No.",I532,"Location Code",$L$7)</t>
  </si>
  <si>
    <t>=NL("Sum","Item Ledger Entry","Quantity","Entry Type","Output","Entry No.",I537,"Location Code",$L$7)</t>
  </si>
  <si>
    <t>=NL("Sum","Item Ledger Entry","Quantity","Entry Type","Output","Entry No.",I538,"Location Code",$L$7)</t>
  </si>
  <si>
    <t>=NL("Sum","Item Ledger Entry","Quantity","Entry Type","Output","Entry No.",I539,"Location Code",$L$7)</t>
  </si>
  <si>
    <t>=NF(G531,"Source Type")</t>
  </si>
  <si>
    <t>=NF(G532,"Source Type")</t>
  </si>
  <si>
    <t>=NF(G537,"Source Type")</t>
  </si>
  <si>
    <t>=NF(G538,"Source Type")</t>
  </si>
  <si>
    <t>=NF(G539,"Source Type")</t>
  </si>
  <si>
    <t>=NF($G531,"Source No.")</t>
  </si>
  <si>
    <t>=NF($G532,"Source No.")</t>
  </si>
  <si>
    <t>=NF($G537,"Source No.")</t>
  </si>
  <si>
    <t>=NF($G538,"Source No.")</t>
  </si>
  <si>
    <t>=NF($G539,"Source No.")</t>
  </si>
  <si>
    <t>=NF($G521,"Posting Date")</t>
  </si>
  <si>
    <t>=NF($G522,"Posting Date")</t>
  </si>
  <si>
    <t>=NF($G523,"Posting Date")</t>
  </si>
  <si>
    <t>=NF($G521,"Entry No.")</t>
  </si>
  <si>
    <t>=NF($G522,"Entry No.")</t>
  </si>
  <si>
    <t>=NF($G523,"Entry No.")</t>
  </si>
  <si>
    <t>=NL("Sum","Item Ledger Entry","Quantity","Entry Type","Purchase","Entry No.",I521,"Location Code",$L$7)</t>
  </si>
  <si>
    <t>=NL("Sum","Item Ledger Entry","Quantity","Entry Type","Purchase","Entry No.",I522,"Location Code",$L$7)</t>
  </si>
  <si>
    <t>=NL("Sum","Item Ledger Entry","Quantity","Entry Type","Purchase","Entry No.",I523,"Location Code",$L$7)</t>
  </si>
  <si>
    <t>=NL("Sum","Item Ledger Entry","Quantity","Entry Type","Sale","Entry No.",I521,"Location Code",$L$7)</t>
  </si>
  <si>
    <t>=NL("Sum","Item Ledger Entry","Quantity","Entry Type","Sale","Entry No.",I522,"Location Code",$L$7)</t>
  </si>
  <si>
    <t>=NL("Sum","Item Ledger Entry","Quantity","Entry Type","Sale","Entry No.",I523,"Location Code",$L$7)</t>
  </si>
  <si>
    <t>=NL("Sum","Item Ledger Entry","Quantity","Entry Type","Positive Adjmt.|Negative Adjmt.","Entry No.",I521,"Location Code",$L$7)</t>
  </si>
  <si>
    <t>=NL("Sum","Item Ledger Entry","Quantity","Entry Type","Positive Adjmt.|Negative Adjmt.","Entry No.",I522,"Location Code",$L$7)</t>
  </si>
  <si>
    <t>=NL("Sum","Item Ledger Entry","Quantity","Entry Type","Positive Adjmt.|Negative Adjmt.","Entry No.",I523,"Location Code",$L$7)</t>
  </si>
  <si>
    <t>=NL("Sum","Item Ledger Entry","Quantity","Entry Type","Transfer","Entry No.",I521,"Location Code",$L$7)</t>
  </si>
  <si>
    <t>=NL("Sum","Item Ledger Entry","Quantity","Entry Type","Transfer","Entry No.",I522,"Location Code",$L$7)</t>
  </si>
  <si>
    <t>=NL("Sum","Item Ledger Entry","Quantity","Entry Type","Transfer","Entry No.",I523,"Location Code",$L$7)</t>
  </si>
  <si>
    <t>=NL("Sum","Item Ledger Entry","Quantity","Entry Type","Consumption","Entry No.",I521,"Location Code",$L$7)</t>
  </si>
  <si>
    <t>=NL("Sum","Item Ledger Entry","Quantity","Entry Type","Consumption","Entry No.",I522,"Location Code",$L$7)</t>
  </si>
  <si>
    <t>=NL("Sum","Item Ledger Entry","Quantity","Entry Type","Consumption","Entry No.",I523,"Location Code",$L$7)</t>
  </si>
  <si>
    <t>=NL("Sum","Item Ledger Entry","Quantity","Entry Type","Output","Entry No.",I521,"Location Code",$L$7)</t>
  </si>
  <si>
    <t>=NL("Sum","Item Ledger Entry","Quantity","Entry Type","Output","Entry No.",I522,"Location Code",$L$7)</t>
  </si>
  <si>
    <t>=NL("Sum","Item Ledger Entry","Quantity","Entry Type","Output","Entry No.",I523,"Location Code",$L$7)</t>
  </si>
  <si>
    <t>=NF(G521,"Source Type")</t>
  </si>
  <si>
    <t>=NF(G522,"Source Type")</t>
  </si>
  <si>
    <t>=NF(G523,"Source Type")</t>
  </si>
  <si>
    <t>=NF($G521,"Source No.")</t>
  </si>
  <si>
    <t>=NF($G522,"Source No.")</t>
  </si>
  <si>
    <t>=NF($G523,"Source No.")</t>
  </si>
  <si>
    <t>=NF($G514,"Posting Date")</t>
  </si>
  <si>
    <t>=NF($G514,"Entry No.")</t>
  </si>
  <si>
    <t>=NL("Sum","Item Ledger Entry","Quantity","Entry Type","Purchase","Entry No.",I513,"Location Code",$L$7)</t>
  </si>
  <si>
    <t>=NL("Sum","Item Ledger Entry","Quantity","Entry Type","Sale","Entry No.",I513,"Location Code",$L$7)</t>
  </si>
  <si>
    <t>=NL("Sum","Item Ledger Entry","Quantity","Entry Type","Positive Adjmt.|Negative Adjmt.","Entry No.",I513,"Location Code",$L$7)</t>
  </si>
  <si>
    <t>=NL("Sum","Item Ledger Entry","Quantity","Entry Type","Transfer","Entry No.",I513,"Location Code",$L$7)</t>
  </si>
  <si>
    <t>=NL("Sum","Item Ledger Entry","Quantity","Entry Type","Consumption","Entry No.",I513,"Location Code",$L$7)</t>
  </si>
  <si>
    <t>=NL("Sum","Item Ledger Entry","Quantity","Entry Type","Output","Entry No.",I513,"Location Code",$L$7)</t>
  </si>
  <si>
    <t>=NF(G514,"Source Type")</t>
  </si>
  <si>
    <t>=NF($G514,"Source No.")</t>
  </si>
  <si>
    <t>=NF($G486,"Posting Date")</t>
  </si>
  <si>
    <t>=NF($G486,"Entry No.")</t>
  </si>
  <si>
    <t>=NL("Sum","Item Ledger Entry","Quantity","Entry Type","Purchase","Entry No.",I484,"Location Code",$L$7)</t>
  </si>
  <si>
    <t>=NL("Sum","Item Ledger Entry","Quantity","Entry Type","Purchase","Entry No.",I485,"Location Code",$L$7)</t>
  </si>
  <si>
    <t>=NL("Sum","Item Ledger Entry","Quantity","Entry Type","Purchase","Entry No.",I486,"Location Code",$L$7)</t>
  </si>
  <si>
    <t>=NL("Sum","Item Ledger Entry","Quantity","Entry Type","Sale","Entry No.",I484,"Location Code",$L$7)</t>
  </si>
  <si>
    <t>=NL("Sum","Item Ledger Entry","Quantity","Entry Type","Sale","Entry No.",I485,"Location Code",$L$7)</t>
  </si>
  <si>
    <t>=NL("Sum","Item Ledger Entry","Quantity","Entry Type","Sale","Entry No.",I486,"Location Code",$L$7)</t>
  </si>
  <si>
    <t>=NL("Sum","Item Ledger Entry","Quantity","Entry Type","Positive Adjmt.|Negative Adjmt.","Entry No.",I484,"Location Code",$L$7)</t>
  </si>
  <si>
    <t>=NL("Sum","Item Ledger Entry","Quantity","Entry Type","Positive Adjmt.|Negative Adjmt.","Entry No.",I485,"Location Code",$L$7)</t>
  </si>
  <si>
    <t>=NL("Sum","Item Ledger Entry","Quantity","Entry Type","Positive Adjmt.|Negative Adjmt.","Entry No.",I486,"Location Code",$L$7)</t>
  </si>
  <si>
    <t>=NL("Sum","Item Ledger Entry","Quantity","Entry Type","Transfer","Entry No.",I484,"Location Code",$L$7)</t>
  </si>
  <si>
    <t>=NL("Sum","Item Ledger Entry","Quantity","Entry Type","Transfer","Entry No.",I485,"Location Code",$L$7)</t>
  </si>
  <si>
    <t>=NL("Sum","Item Ledger Entry","Quantity","Entry Type","Transfer","Entry No.",I486,"Location Code",$L$7)</t>
  </si>
  <si>
    <t>=NL("Sum","Item Ledger Entry","Quantity","Entry Type","Consumption","Entry No.",I484,"Location Code",$L$7)</t>
  </si>
  <si>
    <t>=NL("Sum","Item Ledger Entry","Quantity","Entry Type","Consumption","Entry No.",I485,"Location Code",$L$7)</t>
  </si>
  <si>
    <t>=NL("Sum","Item Ledger Entry","Quantity","Entry Type","Consumption","Entry No.",I486,"Location Code",$L$7)</t>
  </si>
  <si>
    <t>=NL("Sum","Item Ledger Entry","Quantity","Entry Type","Output","Entry No.",I484,"Location Code",$L$7)</t>
  </si>
  <si>
    <t>=NL("Sum","Item Ledger Entry","Quantity","Entry Type","Output","Entry No.",I485,"Location Code",$L$7)</t>
  </si>
  <si>
    <t>=NL("Sum","Item Ledger Entry","Quantity","Entry Type","Output","Entry No.",I486,"Location Code",$L$7)</t>
  </si>
  <si>
    <t>=NF(G486,"Source Type")</t>
  </si>
  <si>
    <t>=NF($G486,"Source No.")</t>
  </si>
  <si>
    <t>=NF($G473,"Posting Date")</t>
  </si>
  <si>
    <t>=NF($G473,"Entry No.")</t>
  </si>
  <si>
    <t>=NL("Sum","Item Ledger Entry","Quantity","Entry Type","Purchase","Entry No.",I473,"Location Code",$L$7)</t>
  </si>
  <si>
    <t>=NL("Sum","Item Ledger Entry","Quantity","Entry Type","Purchase","Entry No.",I474,"Location Code",$L$7)</t>
  </si>
  <si>
    <t>=NL("Sum","Item Ledger Entry","Quantity","Entry Type","Purchase","Entry No.",I475,"Location Code",$L$7)</t>
  </si>
  <si>
    <t>=NL("Sum","Item Ledger Entry","Quantity","Entry Type","Sale","Entry No.",I473,"Location Code",$L$7)</t>
  </si>
  <si>
    <t>=NL("Sum","Item Ledger Entry","Quantity","Entry Type","Sale","Entry No.",I474,"Location Code",$L$7)</t>
  </si>
  <si>
    <t>=NL("Sum","Item Ledger Entry","Quantity","Entry Type","Sale","Entry No.",I475,"Location Code",$L$7)</t>
  </si>
  <si>
    <t>=NL("Sum","Item Ledger Entry","Quantity","Entry Type","Positive Adjmt.|Negative Adjmt.","Entry No.",I473,"Location Code",$L$7)</t>
  </si>
  <si>
    <t>=NL("Sum","Item Ledger Entry","Quantity","Entry Type","Positive Adjmt.|Negative Adjmt.","Entry No.",I474,"Location Code",$L$7)</t>
  </si>
  <si>
    <t>=NL("Sum","Item Ledger Entry","Quantity","Entry Type","Positive Adjmt.|Negative Adjmt.","Entry No.",I475,"Location Code",$L$7)</t>
  </si>
  <si>
    <t>=NL("Sum","Item Ledger Entry","Quantity","Entry Type","Transfer","Entry No.",I473,"Location Code",$L$7)</t>
  </si>
  <si>
    <t>=NL("Sum","Item Ledger Entry","Quantity","Entry Type","Transfer","Entry No.",I474,"Location Code",$L$7)</t>
  </si>
  <si>
    <t>=NL("Sum","Item Ledger Entry","Quantity","Entry Type","Transfer","Entry No.",I475,"Location Code",$L$7)</t>
  </si>
  <si>
    <t>=NL("Sum","Item Ledger Entry","Quantity","Entry Type","Consumption","Entry No.",I473,"Location Code",$L$7)</t>
  </si>
  <si>
    <t>=NL("Sum","Item Ledger Entry","Quantity","Entry Type","Consumption","Entry No.",I474,"Location Code",$L$7)</t>
  </si>
  <si>
    <t>=NL("Sum","Item Ledger Entry","Quantity","Entry Type","Consumption","Entry No.",I475,"Location Code",$L$7)</t>
  </si>
  <si>
    <t>=NL("Sum","Item Ledger Entry","Quantity","Entry Type","Output","Entry No.",I473,"Location Code",$L$7)</t>
  </si>
  <si>
    <t>=NL("Sum","Item Ledger Entry","Quantity","Entry Type","Output","Entry No.",I474,"Location Code",$L$7)</t>
  </si>
  <si>
    <t>=NL("Sum","Item Ledger Entry","Quantity","Entry Type","Output","Entry No.",I475,"Location Code",$L$7)</t>
  </si>
  <si>
    <t>=NF(G473,"Source Type")</t>
  </si>
  <si>
    <t>=NF($G473,"Source No.")</t>
  </si>
  <si>
    <t>=NF($G458,"Posting Date")</t>
  </si>
  <si>
    <t>=NF($G462,"Posting Date")</t>
  </si>
  <si>
    <t>=NF($G464,"Posting Date")</t>
  </si>
  <si>
    <t>=NF($G466,"Posting Date")</t>
  </si>
  <si>
    <t>=NF($G458,"Entry No.")</t>
  </si>
  <si>
    <t>=NF($G462,"Entry No.")</t>
  </si>
  <si>
    <t>=NF($G464,"Entry No.")</t>
  </si>
  <si>
    <t>=NF($G466,"Entry No.")</t>
  </si>
  <si>
    <t>=NL("Sum","Item Ledger Entry","Quantity","Entry Type","Purchase","Entry No.",I458,"Location Code",$L$7)</t>
  </si>
  <si>
    <t>=NL("Sum","Item Ledger Entry","Quantity","Entry Type","Purchase","Entry No.",I460,"Location Code",$L$7)</t>
  </si>
  <si>
    <t>=NL("Sum","Item Ledger Entry","Quantity","Entry Type","Purchase","Entry No.",I461,"Location Code",$L$7)</t>
  </si>
  <si>
    <t>=NL("Sum","Item Ledger Entry","Quantity","Entry Type","Purchase","Entry No.",I462,"Location Code",$L$7)</t>
  </si>
  <si>
    <t>=NL("Sum","Item Ledger Entry","Quantity","Entry Type","Purchase","Entry No.",I464,"Location Code",$L$7)</t>
  </si>
  <si>
    <t>=NL("Sum","Item Ledger Entry","Quantity","Entry Type","Sale","Entry No.",I458,"Location Code",$L$7)</t>
  </si>
  <si>
    <t>=NL("Sum","Item Ledger Entry","Quantity","Entry Type","Sale","Entry No.",I460,"Location Code",$L$7)</t>
  </si>
  <si>
    <t>=NL("Sum","Item Ledger Entry","Quantity","Entry Type","Sale","Entry No.",I461,"Location Code",$L$7)</t>
  </si>
  <si>
    <t>=NL("Sum","Item Ledger Entry","Quantity","Entry Type","Sale","Entry No.",I462,"Location Code",$L$7)</t>
  </si>
  <si>
    <t>=NL("Sum","Item Ledger Entry","Quantity","Entry Type","Sale","Entry No.",I464,"Location Code",$L$7)</t>
  </si>
  <si>
    <t>=NL("Sum","Item Ledger Entry","Quantity","Entry Type","Positive Adjmt.|Negative Adjmt.","Entry No.",I458,"Location Code",$L$7)</t>
  </si>
  <si>
    <t>=NL("Sum","Item Ledger Entry","Quantity","Entry Type","Positive Adjmt.|Negative Adjmt.","Entry No.",I460,"Location Code",$L$7)</t>
  </si>
  <si>
    <t>=NL("Sum","Item Ledger Entry","Quantity","Entry Type","Positive Adjmt.|Negative Adjmt.","Entry No.",I461,"Location Code",$L$7)</t>
  </si>
  <si>
    <t>=NL("Sum","Item Ledger Entry","Quantity","Entry Type","Positive Adjmt.|Negative Adjmt.","Entry No.",I462,"Location Code",$L$7)</t>
  </si>
  <si>
    <t>=NL("Sum","Item Ledger Entry","Quantity","Entry Type","Positive Adjmt.|Negative Adjmt.","Entry No.",I464,"Location Code",$L$7)</t>
  </si>
  <si>
    <t>=NL("Sum","Item Ledger Entry","Quantity","Entry Type","Transfer","Entry No.",I458,"Location Code",$L$7)</t>
  </si>
  <si>
    <t>=NL("Sum","Item Ledger Entry","Quantity","Entry Type","Transfer","Entry No.",I460,"Location Code",$L$7)</t>
  </si>
  <si>
    <t>=NL("Sum","Item Ledger Entry","Quantity","Entry Type","Transfer","Entry No.",I461,"Location Code",$L$7)</t>
  </si>
  <si>
    <t>=NL("Sum","Item Ledger Entry","Quantity","Entry Type","Transfer","Entry No.",I462,"Location Code",$L$7)</t>
  </si>
  <si>
    <t>=NL("Sum","Item Ledger Entry","Quantity","Entry Type","Transfer","Entry No.",I464,"Location Code",$L$7)</t>
  </si>
  <si>
    <t>=NL("Sum","Item Ledger Entry","Quantity","Entry Type","Consumption","Entry No.",I458,"Location Code",$L$7)</t>
  </si>
  <si>
    <t>=NL("Sum","Item Ledger Entry","Quantity","Entry Type","Consumption","Entry No.",I460,"Location Code",$L$7)</t>
  </si>
  <si>
    <t>=NL("Sum","Item Ledger Entry","Quantity","Entry Type","Consumption","Entry No.",I461,"Location Code",$L$7)</t>
  </si>
  <si>
    <t>=NL("Sum","Item Ledger Entry","Quantity","Entry Type","Consumption","Entry No.",I462,"Location Code",$L$7)</t>
  </si>
  <si>
    <t>=NL("Sum","Item Ledger Entry","Quantity","Entry Type","Consumption","Entry No.",I464,"Location Code",$L$7)</t>
  </si>
  <si>
    <t>=NL("Sum","Item Ledger Entry","Quantity","Entry Type","Output","Entry No.",I458,"Location Code",$L$7)</t>
  </si>
  <si>
    <t>=NL("Sum","Item Ledger Entry","Quantity","Entry Type","Output","Entry No.",I460,"Location Code",$L$7)</t>
  </si>
  <si>
    <t>=NL("Sum","Item Ledger Entry","Quantity","Entry Type","Output","Entry No.",I461,"Location Code",$L$7)</t>
  </si>
  <si>
    <t>=NL("Sum","Item Ledger Entry","Quantity","Entry Type","Output","Entry No.",I462,"Location Code",$L$7)</t>
  </si>
  <si>
    <t>=NL("Sum","Item Ledger Entry","Quantity","Entry Type","Output","Entry No.",I464,"Location Code",$L$7)</t>
  </si>
  <si>
    <t>=NF(G458,"Source Type")</t>
  </si>
  <si>
    <t>=NF(G462,"Source Type")</t>
  </si>
  <si>
    <t>=NF(G464,"Source Type")</t>
  </si>
  <si>
    <t>=NF(G466,"Source Type")</t>
  </si>
  <si>
    <t>=NF($G458,"Source No.")</t>
  </si>
  <si>
    <t>=NF($G462,"Source No.")</t>
  </si>
  <si>
    <t>=NF($G464,"Source No.")</t>
  </si>
  <si>
    <t>=NF($G466,"Source No.")</t>
  </si>
  <si>
    <t>=NL("Sum","Item Ledger Entry","Quantity","Entry Type","Purchase","Entry No.",I427,"Location Code",$L$7)</t>
  </si>
  <si>
    <t>=NL("Sum","Item Ledger Entry","Quantity","Entry Type","Purchase","Entry No.",I428,"Location Code",$L$7)</t>
  </si>
  <si>
    <t>=NL("Sum","Item Ledger Entry","Quantity","Entry Type","Sale","Entry No.",I427,"Location Code",$L$7)</t>
  </si>
  <si>
    <t>=NL("Sum","Item Ledger Entry","Quantity","Entry Type","Sale","Entry No.",I428,"Location Code",$L$7)</t>
  </si>
  <si>
    <t>=NL("Sum","Item Ledger Entry","Quantity","Entry Type","Positive Adjmt.|Negative Adjmt.","Entry No.",I427,"Location Code",$L$7)</t>
  </si>
  <si>
    <t>=NL("Sum","Item Ledger Entry","Quantity","Entry Type","Positive Adjmt.|Negative Adjmt.","Entry No.",I428,"Location Code",$L$7)</t>
  </si>
  <si>
    <t>=NL("Sum","Item Ledger Entry","Quantity","Entry Type","Transfer","Entry No.",I427,"Location Code",$L$7)</t>
  </si>
  <si>
    <t>=NL("Sum","Item Ledger Entry","Quantity","Entry Type","Transfer","Entry No.",I428,"Location Code",$L$7)</t>
  </si>
  <si>
    <t>=NL("Sum","Item Ledger Entry","Quantity","Entry Type","Consumption","Entry No.",I427,"Location Code",$L$7)</t>
  </si>
  <si>
    <t>=NL("Sum","Item Ledger Entry","Quantity","Entry Type","Consumption","Entry No.",I428,"Location Code",$L$7)</t>
  </si>
  <si>
    <t>=NL("Sum","Item Ledger Entry","Quantity","Entry Type","Output","Entry No.",I427,"Location Code",$L$7)</t>
  </si>
  <si>
    <t>=NL("Sum","Item Ledger Entry","Quantity","Entry Type","Output","Entry No.",I428,"Location Code",$L$7)</t>
  </si>
  <si>
    <t>=NF($G407,"Posting Date")</t>
  </si>
  <si>
    <t>=NF($G413,"Posting Date")</t>
  </si>
  <si>
    <t>=NF($G407,"Entry No.")</t>
  </si>
  <si>
    <t>=NF($G413,"Entry No.")</t>
  </si>
  <si>
    <t>=NL("Sum","Item Ledger Entry","Quantity","Entry Type","Purchase","Entry No.",I411,"Location Code",$L$7)</t>
  </si>
  <si>
    <t>=NL("Sum","Item Ledger Entry","Quantity","Entry Type","Purchase","Entry No.",I412,"Location Code",$L$7)</t>
  </si>
  <si>
    <t>=NL("Sum","Item Ledger Entry","Quantity","Entry Type","Purchase","Entry No.",I413,"Location Code",$L$7)</t>
  </si>
  <si>
    <t>=NL("Sum","Item Ledger Entry","Quantity","Entry Type","Sale","Entry No.",I411,"Location Code",$L$7)</t>
  </si>
  <si>
    <t>=NL("Sum","Item Ledger Entry","Quantity","Entry Type","Sale","Entry No.",I412,"Location Code",$L$7)</t>
  </si>
  <si>
    <t>=NL("Sum","Item Ledger Entry","Quantity","Entry Type","Sale","Entry No.",I413,"Location Code",$L$7)</t>
  </si>
  <si>
    <t>=NL("Sum","Item Ledger Entry","Quantity","Entry Type","Positive Adjmt.|Negative Adjmt.","Entry No.",I411,"Location Code",$L$7)</t>
  </si>
  <si>
    <t>=NL("Sum","Item Ledger Entry","Quantity","Entry Type","Positive Adjmt.|Negative Adjmt.","Entry No.",I412,"Location Code",$L$7)</t>
  </si>
  <si>
    <t>=NL("Sum","Item Ledger Entry","Quantity","Entry Type","Positive Adjmt.|Negative Adjmt.","Entry No.",I413,"Location Code",$L$7)</t>
  </si>
  <si>
    <t>=NL("Sum","Item Ledger Entry","Quantity","Entry Type","Transfer","Entry No.",I411,"Location Code",$L$7)</t>
  </si>
  <si>
    <t>=NL("Sum","Item Ledger Entry","Quantity","Entry Type","Transfer","Entry No.",I412,"Location Code",$L$7)</t>
  </si>
  <si>
    <t>=NL("Sum","Item Ledger Entry","Quantity","Entry Type","Transfer","Entry No.",I413,"Location Code",$L$7)</t>
  </si>
  <si>
    <t>=NL("Sum","Item Ledger Entry","Quantity","Entry Type","Consumption","Entry No.",I411,"Location Code",$L$7)</t>
  </si>
  <si>
    <t>=NL("Sum","Item Ledger Entry","Quantity","Entry Type","Consumption","Entry No.",I412,"Location Code",$L$7)</t>
  </si>
  <si>
    <t>=NL("Sum","Item Ledger Entry","Quantity","Entry Type","Consumption","Entry No.",I413,"Location Code",$L$7)</t>
  </si>
  <si>
    <t>=NL("Sum","Item Ledger Entry","Quantity","Entry Type","Output","Entry No.",I411,"Location Code",$L$7)</t>
  </si>
  <si>
    <t>=NL("Sum","Item Ledger Entry","Quantity","Entry Type","Output","Entry No.",I412,"Location Code",$L$7)</t>
  </si>
  <si>
    <t>=NL("Sum","Item Ledger Entry","Quantity","Entry Type","Output","Entry No.",I413,"Location Code",$L$7)</t>
  </si>
  <si>
    <t>=NF(G407,"Source Type")</t>
  </si>
  <si>
    <t>=NF(G413,"Source Type")</t>
  </si>
  <si>
    <t>=NF($G407,"Source No.")</t>
  </si>
  <si>
    <t>=NF($G413,"Source No.")</t>
  </si>
  <si>
    <t>=NL("Sum","Item Ledger Entry","Quantity","Entry Type","Purchase","Entry No.",I365,"Location Code",$L$7)</t>
  </si>
  <si>
    <t>=NL("Sum","Item Ledger Entry","Quantity","Entry Type","Sale","Entry No.",I365,"Location Code",$L$7)</t>
  </si>
  <si>
    <t>=NL("Sum","Item Ledger Entry","Quantity","Entry Type","Positive Adjmt.|Negative Adjmt.","Entry No.",I365,"Location Code",$L$7)</t>
  </si>
  <si>
    <t>=NL("Sum","Item Ledger Entry","Quantity","Entry Type","Transfer","Entry No.",I365,"Location Code",$L$7)</t>
  </si>
  <si>
    <t>=NL("Sum","Item Ledger Entry","Quantity","Entry Type","Consumption","Entry No.",I365,"Location Code",$L$7)</t>
  </si>
  <si>
    <t>=NL("Sum","Item Ledger Entry","Quantity","Entry Type","Output","Entry No.",I365,"Location Code",$L$7)</t>
  </si>
  <si>
    <t>=NL("Sum","Item Ledger Entry","Quantity","Entry Type","Purchase","Entry No.",I349,"Location Code",$L$7)</t>
  </si>
  <si>
    <t>=NL("Sum","Item Ledger Entry","Quantity","Entry Type","Purchase","Entry No.",I350,"Location Code",$L$7)</t>
  </si>
  <si>
    <t>=NL("Sum","Item Ledger Entry","Quantity","Entry Type","Sale","Entry No.",I349,"Location Code",$L$7)</t>
  </si>
  <si>
    <t>=NL("Sum","Item Ledger Entry","Quantity","Entry Type","Sale","Entry No.",I350,"Location Code",$L$7)</t>
  </si>
  <si>
    <t>=NL("Sum","Item Ledger Entry","Quantity","Entry Type","Positive Adjmt.|Negative Adjmt.","Entry No.",I349,"Location Code",$L$7)</t>
  </si>
  <si>
    <t>=NL("Sum","Item Ledger Entry","Quantity","Entry Type","Positive Adjmt.|Negative Adjmt.","Entry No.",I350,"Location Code",$L$7)</t>
  </si>
  <si>
    <t>=NL("Sum","Item Ledger Entry","Quantity","Entry Type","Transfer","Entry No.",I349,"Location Code",$L$7)</t>
  </si>
  <si>
    <t>=NL("Sum","Item Ledger Entry","Quantity","Entry Type","Transfer","Entry No.",I350,"Location Code",$L$7)</t>
  </si>
  <si>
    <t>=NL("Sum","Item Ledger Entry","Quantity","Entry Type","Consumption","Entry No.",I349,"Location Code",$L$7)</t>
  </si>
  <si>
    <t>=NL("Sum","Item Ledger Entry","Quantity","Entry Type","Consumption","Entry No.",I350,"Location Code",$L$7)</t>
  </si>
  <si>
    <t>=NL("Sum","Item Ledger Entry","Quantity","Entry Type","Output","Entry No.",I349,"Location Code",$L$7)</t>
  </si>
  <si>
    <t>=NL("Sum","Item Ledger Entry","Quantity","Entry Type","Output","Entry No.",I350,"Location Code",$L$7)</t>
  </si>
  <si>
    <t>=NL("Sum","Item Ledger Entry","Quantity","Entry Type","Purchase","Entry No.",I323,"Location Code",$L$7)</t>
  </si>
  <si>
    <t>=NL("Sum","Item Ledger Entry","Quantity","Entry Type","Purchase","Entry No.",I324,"Location Code",$L$7)</t>
  </si>
  <si>
    <t>=NL("Sum","Item Ledger Entry","Quantity","Entry Type","Purchase","Entry No.",I325,"Location Code",$L$7)</t>
  </si>
  <si>
    <t>=NL("Sum","Item Ledger Entry","Quantity","Entry Type","Sale","Entry No.",I323,"Location Code",$L$7)</t>
  </si>
  <si>
    <t>=NL("Sum","Item Ledger Entry","Quantity","Entry Type","Sale","Entry No.",I324,"Location Code",$L$7)</t>
  </si>
  <si>
    <t>=NL("Sum","Item Ledger Entry","Quantity","Entry Type","Sale","Entry No.",I325,"Location Code",$L$7)</t>
  </si>
  <si>
    <t>=NL("Sum","Item Ledger Entry","Quantity","Entry Type","Positive Adjmt.|Negative Adjmt.","Entry No.",I323,"Location Code",$L$7)</t>
  </si>
  <si>
    <t>=NL("Sum","Item Ledger Entry","Quantity","Entry Type","Positive Adjmt.|Negative Adjmt.","Entry No.",I324,"Location Code",$L$7)</t>
  </si>
  <si>
    <t>=NL("Sum","Item Ledger Entry","Quantity","Entry Type","Positive Adjmt.|Negative Adjmt.","Entry No.",I325,"Location Code",$L$7)</t>
  </si>
  <si>
    <t>=NL("Sum","Item Ledger Entry","Quantity","Entry Type","Transfer","Entry No.",I323,"Location Code",$L$7)</t>
  </si>
  <si>
    <t>=NL("Sum","Item Ledger Entry","Quantity","Entry Type","Transfer","Entry No.",I324,"Location Code",$L$7)</t>
  </si>
  <si>
    <t>=NL("Sum","Item Ledger Entry","Quantity","Entry Type","Transfer","Entry No.",I325,"Location Code",$L$7)</t>
  </si>
  <si>
    <t>=NL("Sum","Item Ledger Entry","Quantity","Entry Type","Consumption","Entry No.",I323,"Location Code",$L$7)</t>
  </si>
  <si>
    <t>=NL("Sum","Item Ledger Entry","Quantity","Entry Type","Consumption","Entry No.",I324,"Location Code",$L$7)</t>
  </si>
  <si>
    <t>=NL("Sum","Item Ledger Entry","Quantity","Entry Type","Consumption","Entry No.",I325,"Location Code",$L$7)</t>
  </si>
  <si>
    <t>=NL("Sum","Item Ledger Entry","Quantity","Entry Type","Output","Entry No.",I323,"Location Code",$L$7)</t>
  </si>
  <si>
    <t>=NL("Sum","Item Ledger Entry","Quantity","Entry Type","Output","Entry No.",I324,"Location Code",$L$7)</t>
  </si>
  <si>
    <t>=NL("Sum","Item Ledger Entry","Quantity","Entry Type","Output","Entry No.",I325,"Location Code",$L$7)</t>
  </si>
  <si>
    <t>=NL("Sum","Item Ledger Entry","Quantity","Entry Type","Purchase","Entry No.",I316,"Location Code",$L$7)</t>
  </si>
  <si>
    <t>=NL("Sum","Item Ledger Entry","Quantity","Entry Type","Sale","Entry No.",I316,"Location Code",$L$7)</t>
  </si>
  <si>
    <t>=NL("Sum","Item Ledger Entry","Quantity","Entry Type","Positive Adjmt.|Negative Adjmt.","Entry No.",I316,"Location Code",$L$7)</t>
  </si>
  <si>
    <t>=NL("Sum","Item Ledger Entry","Quantity","Entry Type","Transfer","Entry No.",I316,"Location Code",$L$7)</t>
  </si>
  <si>
    <t>=NL("Sum","Item Ledger Entry","Quantity","Entry Type","Consumption","Entry No.",I316,"Location Code",$L$7)</t>
  </si>
  <si>
    <t>=NL("Sum","Item Ledger Entry","Quantity","Entry Type","Output","Entry No.",I316,"Location Code",$L$7)</t>
  </si>
  <si>
    <t>=NF($G308,"Posting Date")</t>
  </si>
  <si>
    <t>=NF($G308,"Entry No.")</t>
  </si>
  <si>
    <t>=NL("Sum","Item Ledger Entry","Quantity","Entry Type","Purchase","Entry No.",I307,"Location Code",$L$7)</t>
  </si>
  <si>
    <t>=NL("Sum","Item Ledger Entry","Quantity","Entry Type","Purchase","Entry No.",I308,"Location Code",$L$7)</t>
  </si>
  <si>
    <t>=NL("Sum","Item Ledger Entry","Quantity","Entry Type","Sale","Entry No.",I307,"Location Code",$L$7)</t>
  </si>
  <si>
    <t>=NL("Sum","Item Ledger Entry","Quantity","Entry Type","Sale","Entry No.",I308,"Location Code",$L$7)</t>
  </si>
  <si>
    <t>=NL("Sum","Item Ledger Entry","Quantity","Entry Type","Positive Adjmt.|Negative Adjmt.","Entry No.",I307,"Location Code",$L$7)</t>
  </si>
  <si>
    <t>=NL("Sum","Item Ledger Entry","Quantity","Entry Type","Positive Adjmt.|Negative Adjmt.","Entry No.",I308,"Location Code",$L$7)</t>
  </si>
  <si>
    <t>=NL("Sum","Item Ledger Entry","Quantity","Entry Type","Transfer","Entry No.",I307,"Location Code",$L$7)</t>
  </si>
  <si>
    <t>=NL("Sum","Item Ledger Entry","Quantity","Entry Type","Transfer","Entry No.",I308,"Location Code",$L$7)</t>
  </si>
  <si>
    <t>=NL("Sum","Item Ledger Entry","Quantity","Entry Type","Consumption","Entry No.",I307,"Location Code",$L$7)</t>
  </si>
  <si>
    <t>=NL("Sum","Item Ledger Entry","Quantity","Entry Type","Consumption","Entry No.",I308,"Location Code",$L$7)</t>
  </si>
  <si>
    <t>=NL("Sum","Item Ledger Entry","Quantity","Entry Type","Output","Entry No.",I307,"Location Code",$L$7)</t>
  </si>
  <si>
    <t>=NL("Sum","Item Ledger Entry","Quantity","Entry Type","Output","Entry No.",I308,"Location Code",$L$7)</t>
  </si>
  <si>
    <t>=NF(G308,"Source Type")</t>
  </si>
  <si>
    <t>=NF($G308,"Source No.")</t>
  </si>
  <si>
    <t>=NF($G274,"Posting Date")</t>
  </si>
  <si>
    <t>=NF($G274,"Entry No.")</t>
  </si>
  <si>
    <t>=NL("Sum","Item Ledger Entry","Quantity","Entry Type","Purchase","Entry No.",I272,"Location Code",$L$7)</t>
  </si>
  <si>
    <t>=NL("Sum","Item Ledger Entry","Quantity","Entry Type","Purchase","Entry No.",I273,"Location Code",$L$7)</t>
  </si>
  <si>
    <t>=NL("Sum","Item Ledger Entry","Quantity","Entry Type","Purchase","Entry No.",I274,"Location Code",$L$7)</t>
  </si>
  <si>
    <t>=NL("Sum","Item Ledger Entry","Quantity","Entry Type","Sale","Entry No.",I272,"Location Code",$L$7)</t>
  </si>
  <si>
    <t>=NL("Sum","Item Ledger Entry","Quantity","Entry Type","Sale","Entry No.",I273,"Location Code",$L$7)</t>
  </si>
  <si>
    <t>=NL("Sum","Item Ledger Entry","Quantity","Entry Type","Sale","Entry No.",I274,"Location Code",$L$7)</t>
  </si>
  <si>
    <t>=NL("Sum","Item Ledger Entry","Quantity","Entry Type","Positive Adjmt.|Negative Adjmt.","Entry No.",I272,"Location Code",$L$7)</t>
  </si>
  <si>
    <t>=NL("Sum","Item Ledger Entry","Quantity","Entry Type","Positive Adjmt.|Negative Adjmt.","Entry No.",I273,"Location Code",$L$7)</t>
  </si>
  <si>
    <t>=NL("Sum","Item Ledger Entry","Quantity","Entry Type","Positive Adjmt.|Negative Adjmt.","Entry No.",I274,"Location Code",$L$7)</t>
  </si>
  <si>
    <t>=NL("Sum","Item Ledger Entry","Quantity","Entry Type","Transfer","Entry No.",I272,"Location Code",$L$7)</t>
  </si>
  <si>
    <t>=NL("Sum","Item Ledger Entry","Quantity","Entry Type","Transfer","Entry No.",I273,"Location Code",$L$7)</t>
  </si>
  <si>
    <t>=NL("Sum","Item Ledger Entry","Quantity","Entry Type","Transfer","Entry No.",I274,"Location Code",$L$7)</t>
  </si>
  <si>
    <t>=NL("Sum","Item Ledger Entry","Quantity","Entry Type","Consumption","Entry No.",I272,"Location Code",$L$7)</t>
  </si>
  <si>
    <t>=NL("Sum","Item Ledger Entry","Quantity","Entry Type","Consumption","Entry No.",I273,"Location Code",$L$7)</t>
  </si>
  <si>
    <t>=NL("Sum","Item Ledger Entry","Quantity","Entry Type","Consumption","Entry No.",I274,"Location Code",$L$7)</t>
  </si>
  <si>
    <t>=NL("Sum","Item Ledger Entry","Quantity","Entry Type","Output","Entry No.",I272,"Location Code",$L$7)</t>
  </si>
  <si>
    <t>=NL("Sum","Item Ledger Entry","Quantity","Entry Type","Output","Entry No.",I273,"Location Code",$L$7)</t>
  </si>
  <si>
    <t>=NL("Sum","Item Ledger Entry","Quantity","Entry Type","Output","Entry No.",I274,"Location Code",$L$7)</t>
  </si>
  <si>
    <t>=NF(G274,"Source Type")</t>
  </si>
  <si>
    <t>=NF($G274,"Source No.")</t>
  </si>
  <si>
    <t>=NL("Sum","Item Ledger Entry","Quantity","Entry Type","Purchase","Entry No.",I261,"Location Code",$L$7)</t>
  </si>
  <si>
    <t>=NL("Sum","Item Ledger Entry","Quantity","Entry Type","Purchase","Entry No.",I262,"Location Code",$L$7)</t>
  </si>
  <si>
    <t>=NL("Sum","Item Ledger Entry","Quantity","Entry Type","Purchase","Entry No.",I263,"Location Code",$L$7)</t>
  </si>
  <si>
    <t>=NL("Sum","Item Ledger Entry","Quantity","Entry Type","Sale","Entry No.",I261,"Location Code",$L$7)</t>
  </si>
  <si>
    <t>=NL("Sum","Item Ledger Entry","Quantity","Entry Type","Sale","Entry No.",I262,"Location Code",$L$7)</t>
  </si>
  <si>
    <t>=NL("Sum","Item Ledger Entry","Quantity","Entry Type","Sale","Entry No.",I263,"Location Code",$L$7)</t>
  </si>
  <si>
    <t>=NL("Sum","Item Ledger Entry","Quantity","Entry Type","Positive Adjmt.|Negative Adjmt.","Entry No.",I261,"Location Code",$L$7)</t>
  </si>
  <si>
    <t>=NL("Sum","Item Ledger Entry","Quantity","Entry Type","Positive Adjmt.|Negative Adjmt.","Entry No.",I262,"Location Code",$L$7)</t>
  </si>
  <si>
    <t>=NL("Sum","Item Ledger Entry","Quantity","Entry Type","Positive Adjmt.|Negative Adjmt.","Entry No.",I263,"Location Code",$L$7)</t>
  </si>
  <si>
    <t>=NL("Sum","Item Ledger Entry","Quantity","Entry Type","Transfer","Entry No.",I261,"Location Code",$L$7)</t>
  </si>
  <si>
    <t>=NL("Sum","Item Ledger Entry","Quantity","Entry Type","Transfer","Entry No.",I262,"Location Code",$L$7)</t>
  </si>
  <si>
    <t>=NL("Sum","Item Ledger Entry","Quantity","Entry Type","Transfer","Entry No.",I263,"Location Code",$L$7)</t>
  </si>
  <si>
    <t>=NL("Sum","Item Ledger Entry","Quantity","Entry Type","Consumption","Entry No.",I261,"Location Code",$L$7)</t>
  </si>
  <si>
    <t>=NL("Sum","Item Ledger Entry","Quantity","Entry Type","Consumption","Entry No.",I262,"Location Code",$L$7)</t>
  </si>
  <si>
    <t>=NL("Sum","Item Ledger Entry","Quantity","Entry Type","Consumption","Entry No.",I263,"Location Code",$L$7)</t>
  </si>
  <si>
    <t>=NL("Sum","Item Ledger Entry","Quantity","Entry Type","Output","Entry No.",I261,"Location Code",$L$7)</t>
  </si>
  <si>
    <t>=NL("Sum","Item Ledger Entry","Quantity","Entry Type","Output","Entry No.",I262,"Location Code",$L$7)</t>
  </si>
  <si>
    <t>=NL("Sum","Item Ledger Entry","Quantity","Entry Type","Output","Entry No.",I263,"Location Code",$L$7)</t>
  </si>
  <si>
    <t>=NL("Sum","Item Ledger Entry","Quantity","Entry Type","Purchase","Entry No.",I233,"Location Code",$L$7)</t>
  </si>
  <si>
    <t>=NL("Sum","Item Ledger Entry","Quantity","Entry Type","Purchase","Entry No.",I234,"Location Code",$L$7)</t>
  </si>
  <si>
    <t>=NL("Sum","Item Ledger Entry","Quantity","Entry Type","Sale","Entry No.",I233,"Location Code",$L$7)</t>
  </si>
  <si>
    <t>=NL("Sum","Item Ledger Entry","Quantity","Entry Type","Sale","Entry No.",I234,"Location Code",$L$7)</t>
  </si>
  <si>
    <t>=NL("Sum","Item Ledger Entry","Quantity","Entry Type","Positive Adjmt.|Negative Adjmt.","Entry No.",I233,"Location Code",$L$7)</t>
  </si>
  <si>
    <t>=NL("Sum","Item Ledger Entry","Quantity","Entry Type","Positive Adjmt.|Negative Adjmt.","Entry No.",I234,"Location Code",$L$7)</t>
  </si>
  <si>
    <t>=NL("Sum","Item Ledger Entry","Quantity","Entry Type","Transfer","Entry No.",I233,"Location Code",$L$7)</t>
  </si>
  <si>
    <t>=NL("Sum","Item Ledger Entry","Quantity","Entry Type","Transfer","Entry No.",I234,"Location Code",$L$7)</t>
  </si>
  <si>
    <t>=NL("Sum","Item Ledger Entry","Quantity","Entry Type","Consumption","Entry No.",I233,"Location Code",$L$7)</t>
  </si>
  <si>
    <t>=NL("Sum","Item Ledger Entry","Quantity","Entry Type","Consumption","Entry No.",I234,"Location Code",$L$7)</t>
  </si>
  <si>
    <t>=NL("Sum","Item Ledger Entry","Quantity","Entry Type","Output","Entry No.",I233,"Location Code",$L$7)</t>
  </si>
  <si>
    <t>=NL("Sum","Item Ledger Entry","Quantity","Entry Type","Output","Entry No.",I234,"Location Code",$L$7)</t>
  </si>
  <si>
    <t>=NL("Sum","Item Ledger Entry","Quantity","Entry Type","Purchase","Entry No.",I220,"Location Code",$L$7)</t>
  </si>
  <si>
    <t>=NL("Sum","Item Ledger Entry","Quantity","Entry Type","Purchase","Entry No.",I221,"Location Code",$L$7)</t>
  </si>
  <si>
    <t>=NL("Sum","Item Ledger Entry","Quantity","Entry Type","Purchase","Entry No.",I222,"Location Code",$L$7)</t>
  </si>
  <si>
    <t>=NL("Sum","Item Ledger Entry","Quantity","Entry Type","Sale","Entry No.",I220,"Location Code",$L$7)</t>
  </si>
  <si>
    <t>=NL("Sum","Item Ledger Entry","Quantity","Entry Type","Sale","Entry No.",I221,"Location Code",$L$7)</t>
  </si>
  <si>
    <t>=NL("Sum","Item Ledger Entry","Quantity","Entry Type","Sale","Entry No.",I222,"Location Code",$L$7)</t>
  </si>
  <si>
    <t>=NL("Sum","Item Ledger Entry","Quantity","Entry Type","Positive Adjmt.|Negative Adjmt.","Entry No.",I220,"Location Code",$L$7)</t>
  </si>
  <si>
    <t>=NL("Sum","Item Ledger Entry","Quantity","Entry Type","Positive Adjmt.|Negative Adjmt.","Entry No.",I221,"Location Code",$L$7)</t>
  </si>
  <si>
    <t>=NL("Sum","Item Ledger Entry","Quantity","Entry Type","Positive Adjmt.|Negative Adjmt.","Entry No.",I222,"Location Code",$L$7)</t>
  </si>
  <si>
    <t>=NL("Sum","Item Ledger Entry","Quantity","Entry Type","Transfer","Entry No.",I220,"Location Code",$L$7)</t>
  </si>
  <si>
    <t>=NL("Sum","Item Ledger Entry","Quantity","Entry Type","Transfer","Entry No.",I221,"Location Code",$L$7)</t>
  </si>
  <si>
    <t>=NL("Sum","Item Ledger Entry","Quantity","Entry Type","Transfer","Entry No.",I222,"Location Code",$L$7)</t>
  </si>
  <si>
    <t>=NL("Sum","Item Ledger Entry","Quantity","Entry Type","Consumption","Entry No.",I220,"Location Code",$L$7)</t>
  </si>
  <si>
    <t>=NL("Sum","Item Ledger Entry","Quantity","Entry Type","Consumption","Entry No.",I221,"Location Code",$L$7)</t>
  </si>
  <si>
    <t>=NL("Sum","Item Ledger Entry","Quantity","Entry Type","Consumption","Entry No.",I222,"Location Code",$L$7)</t>
  </si>
  <si>
    <t>=NL("Sum","Item Ledger Entry","Quantity","Entry Type","Output","Entry No.",I220,"Location Code",$L$7)</t>
  </si>
  <si>
    <t>=NL("Sum","Item Ledger Entry","Quantity","Entry Type","Output","Entry No.",I221,"Location Code",$L$7)</t>
  </si>
  <si>
    <t>=NL("Sum","Item Ledger Entry","Quantity","Entry Type","Output","Entry No.",I222,"Location Code",$L$7)</t>
  </si>
  <si>
    <t>=NL("Sum","Item Ledger Entry","Quantity","Entry Type","Purchase","Entry No.",I203,"Location Code",$L$7)</t>
  </si>
  <si>
    <t>=NL("Sum","Item Ledger Entry","Quantity","Entry Type","Purchase","Entry No.",I204,"Location Code",$L$7)</t>
  </si>
  <si>
    <t>=NL("Sum","Item Ledger Entry","Quantity","Entry Type","Purchase","Entry No.",I207,"Location Code",$L$7)</t>
  </si>
  <si>
    <t>=NL("Sum","Item Ledger Entry","Quantity","Entry Type","Purchase","Entry No.",I208,"Location Code",$L$7)</t>
  </si>
  <si>
    <t>=NL("Sum","Item Ledger Entry","Quantity","Entry Type","Purchase","Entry No.",I209,"Location Code",$L$7)</t>
  </si>
  <si>
    <t>=NL("Sum","Item Ledger Entry","Quantity","Entry Type","Sale","Entry No.",I203,"Location Code",$L$7)</t>
  </si>
  <si>
    <t>=NL("Sum","Item Ledger Entry","Quantity","Entry Type","Sale","Entry No.",I204,"Location Code",$L$7)</t>
  </si>
  <si>
    <t>=NL("Sum","Item Ledger Entry","Quantity","Entry Type","Sale","Entry No.",I207,"Location Code",$L$7)</t>
  </si>
  <si>
    <t>=NL("Sum","Item Ledger Entry","Quantity","Entry Type","Sale","Entry No.",I208,"Location Code",$L$7)</t>
  </si>
  <si>
    <t>=NL("Sum","Item Ledger Entry","Quantity","Entry Type","Sale","Entry No.",I209,"Location Code",$L$7)</t>
  </si>
  <si>
    <t>=NL("Sum","Item Ledger Entry","Quantity","Entry Type","Positive Adjmt.|Negative Adjmt.","Entry No.",I203,"Location Code",$L$7)</t>
  </si>
  <si>
    <t>=NL("Sum","Item Ledger Entry","Quantity","Entry Type","Positive Adjmt.|Negative Adjmt.","Entry No.",I204,"Location Code",$L$7)</t>
  </si>
  <si>
    <t>=NL("Sum","Item Ledger Entry","Quantity","Entry Type","Positive Adjmt.|Negative Adjmt.","Entry No.",I207,"Location Code",$L$7)</t>
  </si>
  <si>
    <t>=NL("Sum","Item Ledger Entry","Quantity","Entry Type","Positive Adjmt.|Negative Adjmt.","Entry No.",I208,"Location Code",$L$7)</t>
  </si>
  <si>
    <t>=NL("Sum","Item Ledger Entry","Quantity","Entry Type","Positive Adjmt.|Negative Adjmt.","Entry No.",I209,"Location Code",$L$7)</t>
  </si>
  <si>
    <t>=NL("Sum","Item Ledger Entry","Quantity","Entry Type","Transfer","Entry No.",I203,"Location Code",$L$7)</t>
  </si>
  <si>
    <t>=NL("Sum","Item Ledger Entry","Quantity","Entry Type","Transfer","Entry No.",I204,"Location Code",$L$7)</t>
  </si>
  <si>
    <t>=NL("Sum","Item Ledger Entry","Quantity","Entry Type","Transfer","Entry No.",I207,"Location Code",$L$7)</t>
  </si>
  <si>
    <t>=NL("Sum","Item Ledger Entry","Quantity","Entry Type","Transfer","Entry No.",I208,"Location Code",$L$7)</t>
  </si>
  <si>
    <t>=NL("Sum","Item Ledger Entry","Quantity","Entry Type","Transfer","Entry No.",I209,"Location Code",$L$7)</t>
  </si>
  <si>
    <t>=NL("Sum","Item Ledger Entry","Quantity","Entry Type","Consumption","Entry No.",I203,"Location Code",$L$7)</t>
  </si>
  <si>
    <t>=NL("Sum","Item Ledger Entry","Quantity","Entry Type","Consumption","Entry No.",I204,"Location Code",$L$7)</t>
  </si>
  <si>
    <t>=NL("Sum","Item Ledger Entry","Quantity","Entry Type","Consumption","Entry No.",I207,"Location Code",$L$7)</t>
  </si>
  <si>
    <t>=NL("Sum","Item Ledger Entry","Quantity","Entry Type","Consumption","Entry No.",I208,"Location Code",$L$7)</t>
  </si>
  <si>
    <t>=NL("Sum","Item Ledger Entry","Quantity","Entry Type","Consumption","Entry No.",I209,"Location Code",$L$7)</t>
  </si>
  <si>
    <t>=NL("Sum","Item Ledger Entry","Quantity","Entry Type","Output","Entry No.",I203,"Location Code",$L$7)</t>
  </si>
  <si>
    <t>=NL("Sum","Item Ledger Entry","Quantity","Entry Type","Output","Entry No.",I204,"Location Code",$L$7)</t>
  </si>
  <si>
    <t>=NL("Sum","Item Ledger Entry","Quantity","Entry Type","Output","Entry No.",I207,"Location Code",$L$7)</t>
  </si>
  <si>
    <t>=NL("Sum","Item Ledger Entry","Quantity","Entry Type","Output","Entry No.",I208,"Location Code",$L$7)</t>
  </si>
  <si>
    <t>=NL("Sum","Item Ledger Entry","Quantity","Entry Type","Output","Entry No.",I209,"Location Code",$L$7)</t>
  </si>
  <si>
    <t>=NL("Sum","Item Ledger Entry","Quantity","Entry Type","Purchase","Entry No.",I177,"Location Code",$L$7)</t>
  </si>
  <si>
    <t>=NL("Sum","Item Ledger Entry","Quantity","Entry Type","Sale","Entry No.",I177,"Location Code",$L$7)</t>
  </si>
  <si>
    <t>=NL("Sum","Item Ledger Entry","Quantity","Entry Type","Positive Adjmt.|Negative Adjmt.","Entry No.",I177,"Location Code",$L$7)</t>
  </si>
  <si>
    <t>=NL("Sum","Item Ledger Entry","Quantity","Entry Type","Transfer","Entry No.",I177,"Location Code",$L$7)</t>
  </si>
  <si>
    <t>=NL("Sum","Item Ledger Entry","Quantity","Entry Type","Consumption","Entry No.",I177,"Location Code",$L$7)</t>
  </si>
  <si>
    <t>=NL("Sum","Item Ledger Entry","Quantity","Entry Type","Output","Entry No.",I177,"Location Code",$L$7)</t>
  </si>
  <si>
    <t>=NL("Sum","Item Ledger Entry","Quantity","Entry Type","Purchase","Entry No.",I165,"Location Code",$L$7)</t>
  </si>
  <si>
    <t>=NL("Sum","Item Ledger Entry","Quantity","Entry Type","Purchase","Entry No.",I166,"Location Code",$L$7)</t>
  </si>
  <si>
    <t>=NL("Sum","Item Ledger Entry","Quantity","Entry Type","Sale","Entry No.",I165,"Location Code",$L$7)</t>
  </si>
  <si>
    <t>=NL("Sum","Item Ledger Entry","Quantity","Entry Type","Sale","Entry No.",I166,"Location Code",$L$7)</t>
  </si>
  <si>
    <t>=NL("Sum","Item Ledger Entry","Quantity","Entry Type","Positive Adjmt.|Negative Adjmt.","Entry No.",I165,"Location Code",$L$7)</t>
  </si>
  <si>
    <t>=NL("Sum","Item Ledger Entry","Quantity","Entry Type","Positive Adjmt.|Negative Adjmt.","Entry No.",I166,"Location Code",$L$7)</t>
  </si>
  <si>
    <t>=NL("Sum","Item Ledger Entry","Quantity","Entry Type","Transfer","Entry No.",I165,"Location Code",$L$7)</t>
  </si>
  <si>
    <t>=NL("Sum","Item Ledger Entry","Quantity","Entry Type","Transfer","Entry No.",I166,"Location Code",$L$7)</t>
  </si>
  <si>
    <t>=NL("Sum","Item Ledger Entry","Quantity","Entry Type","Consumption","Entry No.",I165,"Location Code",$L$7)</t>
  </si>
  <si>
    <t>=NL("Sum","Item Ledger Entry","Quantity","Entry Type","Consumption","Entry No.",I166,"Location Code",$L$7)</t>
  </si>
  <si>
    <t>=NL("Sum","Item Ledger Entry","Quantity","Entry Type","Output","Entry No.",I165,"Location Code",$L$7)</t>
  </si>
  <si>
    <t>=NL("Sum","Item Ledger Entry","Quantity","Entry Type","Output","Entry No.",I166,"Location Code",$L$7)</t>
  </si>
  <si>
    <t>=NL("Sum","Item Ledger Entry","Quantity","Entry Type","Purchase","Entry No.",I154,"Location Code",$L$7)</t>
  </si>
  <si>
    <t>=NL("Sum","Item Ledger Entry","Quantity","Entry Type","Purchase","Entry No.",I155,"Location Code",$L$7)</t>
  </si>
  <si>
    <t>=NL("Sum","Item Ledger Entry","Quantity","Entry Type","Sale","Entry No.",I154,"Location Code",$L$7)</t>
  </si>
  <si>
    <t>=NL("Sum","Item Ledger Entry","Quantity","Entry Type","Sale","Entry No.",I155,"Location Code",$L$7)</t>
  </si>
  <si>
    <t>=NL("Sum","Item Ledger Entry","Quantity","Entry Type","Positive Adjmt.|Negative Adjmt.","Entry No.",I154,"Location Code",$L$7)</t>
  </si>
  <si>
    <t>=NL("Sum","Item Ledger Entry","Quantity","Entry Type","Positive Adjmt.|Negative Adjmt.","Entry No.",I155,"Location Code",$L$7)</t>
  </si>
  <si>
    <t>=NL("Sum","Item Ledger Entry","Quantity","Entry Type","Transfer","Entry No.",I154,"Location Code",$L$7)</t>
  </si>
  <si>
    <t>=NL("Sum","Item Ledger Entry","Quantity","Entry Type","Transfer","Entry No.",I155,"Location Code",$L$7)</t>
  </si>
  <si>
    <t>=NL("Sum","Item Ledger Entry","Quantity","Entry Type","Consumption","Entry No.",I154,"Location Code",$L$7)</t>
  </si>
  <si>
    <t>=NL("Sum","Item Ledger Entry","Quantity","Entry Type","Consumption","Entry No.",I155,"Location Code",$L$7)</t>
  </si>
  <si>
    <t>=NL("Sum","Item Ledger Entry","Quantity","Entry Type","Output","Entry No.",I154,"Location Code",$L$7)</t>
  </si>
  <si>
    <t>=NL("Sum","Item Ledger Entry","Quantity","Entry Type","Output","Entry No.",I155,"Location Code",$L$7)</t>
  </si>
  <si>
    <t>=NL("Sum","Item Ledger Entry","Quantity","Entry Type","Purchase","Entry No.",I143,"Location Code",$L$7)</t>
  </si>
  <si>
    <t>=NL("Sum","Item Ledger Entry","Quantity","Entry Type","Purchase","Entry No.",I144,"Location Code",$L$7)</t>
  </si>
  <si>
    <t>=NL("Sum","Item Ledger Entry","Quantity","Entry Type","Purchase","Entry No.",I145,"Location Code",$L$7)</t>
  </si>
  <si>
    <t>=NL("Sum","Item Ledger Entry","Quantity","Entry Type","Sale","Entry No.",I143,"Location Code",$L$7)</t>
  </si>
  <si>
    <t>=NL("Sum","Item Ledger Entry","Quantity","Entry Type","Sale","Entry No.",I144,"Location Code",$L$7)</t>
  </si>
  <si>
    <t>=NL("Sum","Item Ledger Entry","Quantity","Entry Type","Sale","Entry No.",I145,"Location Code",$L$7)</t>
  </si>
  <si>
    <t>=NL("Sum","Item Ledger Entry","Quantity","Entry Type","Positive Adjmt.|Negative Adjmt.","Entry No.",I143,"Location Code",$L$7)</t>
  </si>
  <si>
    <t>=NL("Sum","Item Ledger Entry","Quantity","Entry Type","Positive Adjmt.|Negative Adjmt.","Entry No.",I144,"Location Code",$L$7)</t>
  </si>
  <si>
    <t>=NL("Sum","Item Ledger Entry","Quantity","Entry Type","Positive Adjmt.|Negative Adjmt.","Entry No.",I145,"Location Code",$L$7)</t>
  </si>
  <si>
    <t>=NL("Sum","Item Ledger Entry","Quantity","Entry Type","Transfer","Entry No.",I143,"Location Code",$L$7)</t>
  </si>
  <si>
    <t>=NL("Sum","Item Ledger Entry","Quantity","Entry Type","Transfer","Entry No.",I144,"Location Code",$L$7)</t>
  </si>
  <si>
    <t>=NL("Sum","Item Ledger Entry","Quantity","Entry Type","Transfer","Entry No.",I145,"Location Code",$L$7)</t>
  </si>
  <si>
    <t>=NL("Sum","Item Ledger Entry","Quantity","Entry Type","Consumption","Entry No.",I143,"Location Code",$L$7)</t>
  </si>
  <si>
    <t>=NL("Sum","Item Ledger Entry","Quantity","Entry Type","Consumption","Entry No.",I144,"Location Code",$L$7)</t>
  </si>
  <si>
    <t>=NL("Sum","Item Ledger Entry","Quantity","Entry Type","Consumption","Entry No.",I145,"Location Code",$L$7)</t>
  </si>
  <si>
    <t>=NL("Sum","Item Ledger Entry","Quantity","Entry Type","Output","Entry No.",I143,"Location Code",$L$7)</t>
  </si>
  <si>
    <t>=NL("Sum","Item Ledger Entry","Quantity","Entry Type","Output","Entry No.",I144,"Location Code",$L$7)</t>
  </si>
  <si>
    <t>=NL("Sum","Item Ledger Entry","Quantity","Entry Type","Output","Entry No.",I145,"Location Code",$L$7)</t>
  </si>
  <si>
    <t>=NL("Sum","Item Ledger Entry","Quantity","Entry Type","Purchase","Entry No.",I135,"Location Code",$L$7)</t>
  </si>
  <si>
    <t>=NL("Sum","Item Ledger Entry","Quantity","Entry Type","Purchase","Entry No.",I136,"Location Code",$L$7)</t>
  </si>
  <si>
    <t>=NL("Sum","Item Ledger Entry","Quantity","Entry Type","Sale","Entry No.",I135,"Location Code",$L$7)</t>
  </si>
  <si>
    <t>=NL("Sum","Item Ledger Entry","Quantity","Entry Type","Sale","Entry No.",I136,"Location Code",$L$7)</t>
  </si>
  <si>
    <t>=NL("Sum","Item Ledger Entry","Quantity","Entry Type","Positive Adjmt.|Negative Adjmt.","Entry No.",I135,"Location Code",$L$7)</t>
  </si>
  <si>
    <t>=NL("Sum","Item Ledger Entry","Quantity","Entry Type","Positive Adjmt.|Negative Adjmt.","Entry No.",I136,"Location Code",$L$7)</t>
  </si>
  <si>
    <t>=NL("Sum","Item Ledger Entry","Quantity","Entry Type","Transfer","Entry No.",I135,"Location Code",$L$7)</t>
  </si>
  <si>
    <t>=NL("Sum","Item Ledger Entry","Quantity","Entry Type","Transfer","Entry No.",I136,"Location Code",$L$7)</t>
  </si>
  <si>
    <t>=NL("Sum","Item Ledger Entry","Quantity","Entry Type","Consumption","Entry No.",I135,"Location Code",$L$7)</t>
  </si>
  <si>
    <t>=NL("Sum","Item Ledger Entry","Quantity","Entry Type","Consumption","Entry No.",I136,"Location Code",$L$7)</t>
  </si>
  <si>
    <t>=NL("Sum","Item Ledger Entry","Quantity","Entry Type","Output","Entry No.",I135,"Location Code",$L$7)</t>
  </si>
  <si>
    <t>=NL("Sum","Item Ledger Entry","Quantity","Entry Type","Output","Entry No.",I136,"Location Code",$L$7)</t>
  </si>
  <si>
    <t>=NL("Sum","Item Ledger Entry","Quantity","Entry Type","Purchase","Entry No.",I114,"Location Code",$L$7)</t>
  </si>
  <si>
    <t>=NL("Sum","Item Ledger Entry","Quantity","Entry Type","Sale","Entry No.",I114,"Location Code",$L$7)</t>
  </si>
  <si>
    <t>=NL("Sum","Item Ledger Entry","Quantity","Entry Type","Positive Adjmt.|Negative Adjmt.","Entry No.",I114,"Location Code",$L$7)</t>
  </si>
  <si>
    <t>=NL("Sum","Item Ledger Entry","Quantity","Entry Type","Transfer","Entry No.",I114,"Location Code",$L$7)</t>
  </si>
  <si>
    <t>=NL("Sum","Item Ledger Entry","Quantity","Entry Type","Consumption","Entry No.",I114,"Location Code",$L$7)</t>
  </si>
  <si>
    <t>=NL("Sum","Item Ledger Entry","Quantity","Entry Type","Output","Entry No.",I114,"Location Code",$L$7)</t>
  </si>
  <si>
    <t>=NF($G109,"Posting Date")</t>
  </si>
  <si>
    <t>=NF($G109,"Entry No.")</t>
  </si>
  <si>
    <t>=NL("Sum","Item Ledger Entry","Quantity","Entry Type","Purchase","Entry No.",I110,"Location Code",$L$7)</t>
  </si>
  <si>
    <t>=NL("Sum","Item Ledger Entry","Quantity","Entry Type","Sale","Entry No.",I110,"Location Code",$L$7)</t>
  </si>
  <si>
    <t>=NL("Sum","Item Ledger Entry","Quantity","Entry Type","Positive Adjmt.|Negative Adjmt.","Entry No.",I110,"Location Code",$L$7)</t>
  </si>
  <si>
    <t>=NL("Sum","Item Ledger Entry","Quantity","Entry Type","Transfer","Entry No.",I110,"Location Code",$L$7)</t>
  </si>
  <si>
    <t>=NL("Sum","Item Ledger Entry","Quantity","Entry Type","Consumption","Entry No.",I110,"Location Code",$L$7)</t>
  </si>
  <si>
    <t>=NL("Sum","Item Ledger Entry","Quantity","Entry Type","Output","Entry No.",I110,"Location Code",$L$7)</t>
  </si>
  <si>
    <t>=NF(G109,"Source Type")</t>
  </si>
  <si>
    <t>=NF($G109,"Source No.")</t>
  </si>
  <si>
    <t>=NF($G93,"Posting Date")</t>
  </si>
  <si>
    <t>=NF($G93,"Entry No.")</t>
  </si>
  <si>
    <t>=NL("Sum","Item Ledger Entry","Quantity","Entry Type","Purchase","Entry No.",I93,"Location Code",$L$7)</t>
  </si>
  <si>
    <t>=NL("Sum","Item Ledger Entry","Quantity","Entry Type","Purchase","Entry No.",I94,"Location Code",$L$7)</t>
  </si>
  <si>
    <t>=NL("Sum","Item Ledger Entry","Quantity","Entry Type","Purchase","Entry No.",I95,"Location Code",$L$7)</t>
  </si>
  <si>
    <t>=NL("Sum","Item Ledger Entry","Quantity","Entry Type","Sale","Entry No.",I93,"Location Code",$L$7)</t>
  </si>
  <si>
    <t>=NL("Sum","Item Ledger Entry","Quantity","Entry Type","Sale","Entry No.",I94,"Location Code",$L$7)</t>
  </si>
  <si>
    <t>=NL("Sum","Item Ledger Entry","Quantity","Entry Type","Sale","Entry No.",I95,"Location Code",$L$7)</t>
  </si>
  <si>
    <t>=NL("Sum","Item Ledger Entry","Quantity","Entry Type","Positive Adjmt.|Negative Adjmt.","Entry No.",I93,"Location Code",$L$7)</t>
  </si>
  <si>
    <t>=NL("Sum","Item Ledger Entry","Quantity","Entry Type","Positive Adjmt.|Negative Adjmt.","Entry No.",I94,"Location Code",$L$7)</t>
  </si>
  <si>
    <t>=NL("Sum","Item Ledger Entry","Quantity","Entry Type","Positive Adjmt.|Negative Adjmt.","Entry No.",I95,"Location Code",$L$7)</t>
  </si>
  <si>
    <t>=NL("Sum","Item Ledger Entry","Quantity","Entry Type","Transfer","Entry No.",I93,"Location Code",$L$7)</t>
  </si>
  <si>
    <t>=NL("Sum","Item Ledger Entry","Quantity","Entry Type","Transfer","Entry No.",I94,"Location Code",$L$7)</t>
  </si>
  <si>
    <t>=NL("Sum","Item Ledger Entry","Quantity","Entry Type","Transfer","Entry No.",I95,"Location Code",$L$7)</t>
  </si>
  <si>
    <t>=NL("Sum","Item Ledger Entry","Quantity","Entry Type","Consumption","Entry No.",I93,"Location Code",$L$7)</t>
  </si>
  <si>
    <t>=NL("Sum","Item Ledger Entry","Quantity","Entry Type","Consumption","Entry No.",I94,"Location Code",$L$7)</t>
  </si>
  <si>
    <t>=NL("Sum","Item Ledger Entry","Quantity","Entry Type","Consumption","Entry No.",I95,"Location Code",$L$7)</t>
  </si>
  <si>
    <t>=NL("Sum","Item Ledger Entry","Quantity","Entry Type","Output","Entry No.",I93,"Location Code",$L$7)</t>
  </si>
  <si>
    <t>=NL("Sum","Item Ledger Entry","Quantity","Entry Type","Output","Entry No.",I94,"Location Code",$L$7)</t>
  </si>
  <si>
    <t>=NL("Sum","Item Ledger Entry","Quantity","Entry Type","Output","Entry No.",I95,"Location Code",$L$7)</t>
  </si>
  <si>
    <t>=NF(G93,"Source Type")</t>
  </si>
  <si>
    <t>=NF($G93,"Source No.")</t>
  </si>
  <si>
    <t>=NL("Sum","Item Ledger Entry","Quantity","Entry Type","Purchase","Entry No.",I66,"Location Code",$L$7)</t>
  </si>
  <si>
    <t>=NL("Sum","Item Ledger Entry","Quantity","Entry Type","Purchase","Entry No.",I67,"Location Code",$L$7)</t>
  </si>
  <si>
    <t>=NL("Sum","Item Ledger Entry","Quantity","Entry Type","Purchase","Entry No.",I68,"Location Code",$L$7)</t>
  </si>
  <si>
    <t>=NL("Sum","Item Ledger Entry","Quantity","Entry Type","Sale","Entry No.",I66,"Location Code",$L$7)</t>
  </si>
  <si>
    <t>=NL("Sum","Item Ledger Entry","Quantity","Entry Type","Sale","Entry No.",I67,"Location Code",$L$7)</t>
  </si>
  <si>
    <t>=NL("Sum","Item Ledger Entry","Quantity","Entry Type","Sale","Entry No.",I68,"Location Code",$L$7)</t>
  </si>
  <si>
    <t>=NL("Sum","Item Ledger Entry","Quantity","Entry Type","Positive Adjmt.|Negative Adjmt.","Entry No.",I66,"Location Code",$L$7)</t>
  </si>
  <si>
    <t>=NL("Sum","Item Ledger Entry","Quantity","Entry Type","Positive Adjmt.|Negative Adjmt.","Entry No.",I67,"Location Code",$L$7)</t>
  </si>
  <si>
    <t>=NL("Sum","Item Ledger Entry","Quantity","Entry Type","Positive Adjmt.|Negative Adjmt.","Entry No.",I68,"Location Code",$L$7)</t>
  </si>
  <si>
    <t>=NL("Sum","Item Ledger Entry","Quantity","Entry Type","Transfer","Entry No.",I66,"Location Code",$L$7)</t>
  </si>
  <si>
    <t>=NL("Sum","Item Ledger Entry","Quantity","Entry Type","Transfer","Entry No.",I67,"Location Code",$L$7)</t>
  </si>
  <si>
    <t>=NL("Sum","Item Ledger Entry","Quantity","Entry Type","Transfer","Entry No.",I68,"Location Code",$L$7)</t>
  </si>
  <si>
    <t>=NL("Sum","Item Ledger Entry","Quantity","Entry Type","Consumption","Entry No.",I66,"Location Code",$L$7)</t>
  </si>
  <si>
    <t>=NL("Sum","Item Ledger Entry","Quantity","Entry Type","Consumption","Entry No.",I67,"Location Code",$L$7)</t>
  </si>
  <si>
    <t>=NL("Sum","Item Ledger Entry","Quantity","Entry Type","Consumption","Entry No.",I68,"Location Code",$L$7)</t>
  </si>
  <si>
    <t>=NL("Sum","Item Ledger Entry","Quantity","Entry Type","Output","Entry No.",I66,"Location Code",$L$7)</t>
  </si>
  <si>
    <t>=NL("Sum","Item Ledger Entry","Quantity","Entry Type","Output","Entry No.",I67,"Location Code",$L$7)</t>
  </si>
  <si>
    <t>=NL("Sum","Item Ledger Entry","Quantity","Entry Type","Output","Entry No.",I68,"Location Code",$L$7)</t>
  </si>
  <si>
    <t>=NL("Sum","Item Ledger Entry","Quantity","Entry Type","Purchase","Entry No.",I55,"Location Code",$L$7)</t>
  </si>
  <si>
    <t>=NL("Sum","Item Ledger Entry","Quantity","Entry Type","Purchase","Entry No.",I56,"Location Code",$L$7)</t>
  </si>
  <si>
    <t>=NL("Sum","Item Ledger Entry","Quantity","Entry Type","Purchase","Entry No.",I57,"Location Code",$L$7)</t>
  </si>
  <si>
    <t>=NL("Sum","Item Ledger Entry","Quantity","Entry Type","Sale","Entry No.",I55,"Location Code",$L$7)</t>
  </si>
  <si>
    <t>=NL("Sum","Item Ledger Entry","Quantity","Entry Type","Sale","Entry No.",I56,"Location Code",$L$7)</t>
  </si>
  <si>
    <t>=NL("Sum","Item Ledger Entry","Quantity","Entry Type","Sale","Entry No.",I57,"Location Code",$L$7)</t>
  </si>
  <si>
    <t>=NL("Sum","Item Ledger Entry","Quantity","Entry Type","Positive Adjmt.|Negative Adjmt.","Entry No.",I55,"Location Code",$L$7)</t>
  </si>
  <si>
    <t>=NL("Sum","Item Ledger Entry","Quantity","Entry Type","Positive Adjmt.|Negative Adjmt.","Entry No.",I56,"Location Code",$L$7)</t>
  </si>
  <si>
    <t>=NL("Sum","Item Ledger Entry","Quantity","Entry Type","Positive Adjmt.|Negative Adjmt.","Entry No.",I57,"Location Code",$L$7)</t>
  </si>
  <si>
    <t>=NL("Sum","Item Ledger Entry","Quantity","Entry Type","Transfer","Entry No.",I55,"Location Code",$L$7)</t>
  </si>
  <si>
    <t>=NL("Sum","Item Ledger Entry","Quantity","Entry Type","Transfer","Entry No.",I56,"Location Code",$L$7)</t>
  </si>
  <si>
    <t>=NL("Sum","Item Ledger Entry","Quantity","Entry Type","Transfer","Entry No.",I57,"Location Code",$L$7)</t>
  </si>
  <si>
    <t>=NL("Sum","Item Ledger Entry","Quantity","Entry Type","Consumption","Entry No.",I55,"Location Code",$L$7)</t>
  </si>
  <si>
    <t>=NL("Sum","Item Ledger Entry","Quantity","Entry Type","Consumption","Entry No.",I56,"Location Code",$L$7)</t>
  </si>
  <si>
    <t>=NL("Sum","Item Ledger Entry","Quantity","Entry Type","Consumption","Entry No.",I57,"Location Code",$L$7)</t>
  </si>
  <si>
    <t>=NL("Sum","Item Ledger Entry","Quantity","Entry Type","Output","Entry No.",I55,"Location Code",$L$7)</t>
  </si>
  <si>
    <t>=NL("Sum","Item Ledger Entry","Quantity","Entry Type","Output","Entry No.",I56,"Location Code",$L$7)</t>
  </si>
  <si>
    <t>=NL("Sum","Item Ledger Entry","Quantity","Entry Type","Output","Entry No.",I57,"Location Code",$L$7)</t>
  </si>
  <si>
    <t>=NL("Sum","Item Ledger Entry","Quantity","Entry Type","Purchase","Entry No.",I28,"Location Code",$L$7)</t>
  </si>
  <si>
    <t>=NL("Sum","Item Ledger Entry","Quantity","Entry Type","Sale","Entry No.",I28,"Location Code",$L$7)</t>
  </si>
  <si>
    <t>=NL("Sum","Item Ledger Entry","Quantity","Entry Type","Positive Adjmt.|Negative Adjmt.","Entry No.",I28,"Location Code",$L$7)</t>
  </si>
  <si>
    <t>=NL("Sum","Item Ledger Entry","Quantity","Entry Type","Transfer","Entry No.",I28,"Location Code",$L$7)</t>
  </si>
  <si>
    <t>=NL("Sum","Item Ledger Entry","Quantity","Entry Type","Consumption","Entry No.",I28,"Location Code",$L$7)</t>
  </si>
  <si>
    <t>=NL("Sum","Item Ledger Entry","Quantity","Entry Type","Output","Entry No.",I28,"Location Code",$L$7)</t>
  </si>
  <si>
    <t>=(SUBTOTAL(9,O21:O23))</t>
  </si>
  <si>
    <t>=(SUBTOTAL(9,P21:P23))</t>
  </si>
  <si>
    <t>=(SUBTOTAL(9,Q21:Q23))</t>
  </si>
  <si>
    <t>=(SUBTOTAL(9,R21:R23))</t>
  </si>
  <si>
    <t>=(SUBTOTAL(9,S21:S23))</t>
  </si>
  <si>
    <t>=(SUBTOTAL(9,T21:T23))</t>
  </si>
  <si>
    <t>=SUBTOTAL(9,O21:T23)</t>
  </si>
  <si>
    <t>=(SUBTOTAL(9,O34:O35))</t>
  </si>
  <si>
    <t>=(SUBTOTAL(9,P34:P35))</t>
  </si>
  <si>
    <t>=(SUBTOTAL(9,Q34:Q35))</t>
  </si>
  <si>
    <t>=(SUBTOTAL(9,R34:R35))</t>
  </si>
  <si>
    <t>=(SUBTOTAL(9,S34:S35))</t>
  </si>
  <si>
    <t>=(SUBTOTAL(9,T34:T35))</t>
  </si>
  <si>
    <t>=SUBTOTAL(9,O34:T35)</t>
  </si>
  <si>
    <t>=(SUBTOTAL(9,O46:O48))</t>
  </si>
  <si>
    <t>=(SUBTOTAL(9,P46:P48))</t>
  </si>
  <si>
    <t>=(SUBTOTAL(9,Q46:Q48))</t>
  </si>
  <si>
    <t>=(SUBTOTAL(9,R46:R48))</t>
  </si>
  <si>
    <t>=(SUBTOTAL(9,S46:S48))</t>
  </si>
  <si>
    <t>=(SUBTOTAL(9,T46:T48))</t>
  </si>
  <si>
    <t>=SUBTOTAL(9,O46:T48)</t>
  </si>
  <si>
    <t>=E50</t>
  </si>
  <si>
    <t>=NL("First","Item","Description","No.",$E50)</t>
  </si>
  <si>
    <t>=NL("First","Item","Base Unit of Measure","No.",$E50)</t>
  </si>
  <si>
    <t>=NL("Rows","Item Ledger Entry",,"+Posting Date",$L$5,"Item No.","@@"&amp;$D51,"Location Code","@@"&amp;$E$6)</t>
  </si>
  <si>
    <t>=(SUBTOTAL(9,O55:O57))</t>
  </si>
  <si>
    <t>=(SUBTOTAL(9,P55:P57))</t>
  </si>
  <si>
    <t>=(SUBTOTAL(9,Q55:Q57))</t>
  </si>
  <si>
    <t>=(SUBTOTAL(9,R55:R57))</t>
  </si>
  <si>
    <t>=(SUBTOTAL(9,S55:S57))</t>
  </si>
  <si>
    <t>=(SUBTOTAL(9,T55:T57))</t>
  </si>
  <si>
    <t>=SUBTOTAL(9,O55:T57)</t>
  </si>
  <si>
    <t>=E59</t>
  </si>
  <si>
    <t>=NL("First","Item","Description","No.",$E59)</t>
  </si>
  <si>
    <t>=NL("First","Item","Base Unit of Measure","No.",$E59)</t>
  </si>
  <si>
    <t>=NL("Rows","Item Ledger Entry",,"+Posting Date",$L$5,"Item No.","@@"&amp;$D60,"Location Code","@@"&amp;$E$6)</t>
  </si>
  <si>
    <t>=NL("Sum","Item Ledger Entry","Quantity","Entry Type","Purchase","Entry No.",I60,"Location Code","@@"&amp;$E$6)</t>
  </si>
  <si>
    <t>=NL("Sum","Item Ledger Entry","Quantity","Entry Type","Sale","Entry No.",I60,"Location Code","@@"&amp;$E$6)</t>
  </si>
  <si>
    <t>=NL("Sum","Item Ledger Entry","Quantity","Entry Type","Positive Adjmt.|Negative Adjmt.","Entry No.",I60,"Location Code","@@"&amp;$E$6)</t>
  </si>
  <si>
    <t>=NL("Sum","Item Ledger Entry","Quantity","Entry Type","Transfer","Entry No.",I60,"Location Code","@@"&amp;$E$6)</t>
  </si>
  <si>
    <t>=NL("Sum","Item Ledger Entry","Quantity","Entry Type","Consumption","Entry No.",I60,"Location Code","@@"&amp;$E$6)</t>
  </si>
  <si>
    <t>=NL("Sum","Item Ledger Entry","Quantity","Entry Type","Output","Entry No.",I60,"Location Code","@@"&amp;$E$6)</t>
  </si>
  <si>
    <t>=NL("Rows","Item Ledger Entry",,"+Posting Date",$L$5,"Item No.","@@"&amp;$D64,"Location Code","@@"&amp;$E$6)</t>
  </si>
  <si>
    <t>=NL("Sum","Item Ledger Entry","Quantity","Entry Type","Purchase","Entry No.",I69,"Location Code","@@"&amp;$E$6)</t>
  </si>
  <si>
    <t>=NL("Sum","Item Ledger Entry","Quantity","Entry Type","Sale","Entry No.",I69,"Location Code","@@"&amp;$E$6)</t>
  </si>
  <si>
    <t>=NL("Sum","Item Ledger Entry","Quantity","Entry Type","Positive Adjmt.|Negative Adjmt.","Entry No.",I69,"Location Code","@@"&amp;$E$6)</t>
  </si>
  <si>
    <t>=NL("Sum","Item Ledger Entry","Quantity","Entry Type","Transfer","Entry No.",I69,"Location Code","@@"&amp;$E$6)</t>
  </si>
  <si>
    <t>=NL("Sum","Item Ledger Entry","Quantity","Entry Type","Consumption","Entry No.",I69,"Location Code","@@"&amp;$E$6)</t>
  </si>
  <si>
    <t>=NL("Sum","Item Ledger Entry","Quantity","Entry Type","Output","Entry No.",I69,"Location Code","@@"&amp;$E$6)</t>
  </si>
  <si>
    <t>=E72</t>
  </si>
  <si>
    <t>=NL("First","Item","Description","No.",$E72)</t>
  </si>
  <si>
    <t>=NL("First","Item","Base Unit of Measure","No.",$E72)</t>
  </si>
  <si>
    <t>=(SUBTOTAL(9,O73:O74))</t>
  </si>
  <si>
    <t>=(SUBTOTAL(9,P73:P74))</t>
  </si>
  <si>
    <t>=(SUBTOTAL(9,Q73:Q74))</t>
  </si>
  <si>
    <t>=(SUBTOTAL(9,R73:R74))</t>
  </si>
  <si>
    <t>=(SUBTOTAL(9,S73:S74))</t>
  </si>
  <si>
    <t>=(SUBTOTAL(9,T73:T74))</t>
  </si>
  <si>
    <t>=SUBTOTAL(9,O73:T74)</t>
  </si>
  <si>
    <t>=NL("Rows","Item Ledger Entry",,"+Posting Date",$L$5,"Item No.","@@"&amp;$D73,"Location Code","@@"&amp;$E$6)</t>
  </si>
  <si>
    <t>=E76</t>
  </si>
  <si>
    <t>=NL("First","Item","Description","No.",$E76)</t>
  </si>
  <si>
    <t>=NL("First","Item","Base Unit of Measure","No.",$E76)</t>
  </si>
  <si>
    <t>=(SUBTOTAL(9,O77:O78))</t>
  </si>
  <si>
    <t>=(SUBTOTAL(9,P77:P78))</t>
  </si>
  <si>
    <t>=(SUBTOTAL(9,Q77:Q78))</t>
  </si>
  <si>
    <t>=(SUBTOTAL(9,R77:R78))</t>
  </si>
  <si>
    <t>=(SUBTOTAL(9,S77:S78))</t>
  </si>
  <si>
    <t>=(SUBTOTAL(9,T77:T78))</t>
  </si>
  <si>
    <t>=SUBTOTAL(9,O77:T78)</t>
  </si>
  <si>
    <t>=D76</t>
  </si>
  <si>
    <t>=NL("Rows","Item Ledger Entry",,"+Posting Date",$L$5,"Item No.","@@"&amp;$D77,"Location Code","@@"&amp;$E$6)</t>
  </si>
  <si>
    <t>=NF($G77,"Posting Date")</t>
  </si>
  <si>
    <t>=NF($G77,"Entry No.")</t>
  </si>
  <si>
    <t>=NF(G77,"Source Type")</t>
  </si>
  <si>
    <t>=NF($G77,"Source No.")</t>
  </si>
  <si>
    <t>=IF($J77="Customer",NL("first",$J77,"Name","No.","@@"&amp;$K77),"")</t>
  </si>
  <si>
    <t>=IF(J77="vendor",NL("first",J77,"Name","No.","@@"&amp;K77),"")</t>
  </si>
  <si>
    <t>=IF($J77="Item",NL("first",$J77,"Description","No.","@@"&amp;$K77),"")</t>
  </si>
  <si>
    <t>=NL("Sum","Item Ledger Entry","Quantity","Entry Type","Purchase","Entry No.",I77,"Location Code","@@"&amp;$E$6)</t>
  </si>
  <si>
    <t>=NL("Sum","Item Ledger Entry","Quantity","Entry Type","Sale","Entry No.",I77,"Location Code","@@"&amp;$E$6)</t>
  </si>
  <si>
    <t>=NL("Sum","Item Ledger Entry","Quantity","Entry Type","Positive Adjmt.|Negative Adjmt.","Entry No.",I77,"Location Code","@@"&amp;$E$6)</t>
  </si>
  <si>
    <t>=NL("Sum","Item Ledger Entry","Quantity","Entry Type","Transfer","Entry No.",I77,"Location Code","@@"&amp;$E$6)</t>
  </si>
  <si>
    <t>=NL("Sum","Item Ledger Entry","Quantity","Entry Type","Consumption","Entry No.",I77,"Location Code","@@"&amp;$E$6)</t>
  </si>
  <si>
    <t>=NL("Sum","Item Ledger Entry","Quantity","Entry Type","Output","Entry No.",I77,"Location Code","@@"&amp;$E$6)</t>
  </si>
  <si>
    <t>=E80</t>
  </si>
  <si>
    <t>=NL("First","Item","Description","No.",$E80)</t>
  </si>
  <si>
    <t>=NL("First","Item","Base Unit of Measure","No.",$E80)</t>
  </si>
  <si>
    <t>=(SUBTOTAL(9,O81:O82))</t>
  </si>
  <si>
    <t>=(SUBTOTAL(9,P81:P82))</t>
  </si>
  <si>
    <t>=(SUBTOTAL(9,Q81:Q82))</t>
  </si>
  <si>
    <t>=(SUBTOTAL(9,R81:R82))</t>
  </si>
  <si>
    <t>=(SUBTOTAL(9,S81:S82))</t>
  </si>
  <si>
    <t>=(SUBTOTAL(9,T81:T82))</t>
  </si>
  <si>
    <t>=SUBTOTAL(9,O81:T82)</t>
  </si>
  <si>
    <t>=NL("Rows","Item Ledger Entry",,"+Posting Date",$L$5,"Item No.","@@"&amp;$D81,"Location Code","@@"&amp;$E$6)</t>
  </si>
  <si>
    <t>=(SUBTOTAL(9,O99:O101))</t>
  </si>
  <si>
    <t>=(SUBTOTAL(9,P99:P101))</t>
  </si>
  <si>
    <t>=(SUBTOTAL(9,Q99:Q101))</t>
  </si>
  <si>
    <t>=(SUBTOTAL(9,R99:R101))</t>
  </si>
  <si>
    <t>=(SUBTOTAL(9,S99:S101))</t>
  </si>
  <si>
    <t>=(SUBTOTAL(9,T99:T101))</t>
  </si>
  <si>
    <t>=SUBTOTAL(9,O99:T101)</t>
  </si>
  <si>
    <t>=E108</t>
  </si>
  <si>
    <t>=NL("First","Item","Description","No.",$E108)</t>
  </si>
  <si>
    <t>=NL("First","Item","Base Unit of Measure","No.",$E108)</t>
  </si>
  <si>
    <t>=NL("Rows","Item Ledger Entry",,"+Posting Date",$L$5,"Item No.","@@"&amp;$D109,"Location Code","@@"&amp;$E$6)</t>
  </si>
  <si>
    <t>=NL("Sum","Item Ledger Entry","Quantity","Entry Type","Purchase","Entry No.",I109,"Location Code","@@"&amp;$E$6)</t>
  </si>
  <si>
    <t>=NL("Sum","Item Ledger Entry","Quantity","Entry Type","Sale","Entry No.",I109,"Location Code","@@"&amp;$E$6)</t>
  </si>
  <si>
    <t>=NL("Sum","Item Ledger Entry","Quantity","Entry Type","Positive Adjmt.|Negative Adjmt.","Entry No.",I109,"Location Code","@@"&amp;$E$6)</t>
  </si>
  <si>
    <t>=NL("Sum","Item Ledger Entry","Quantity","Entry Type","Transfer","Entry No.",I109,"Location Code","@@"&amp;$E$6)</t>
  </si>
  <si>
    <t>=NL("Sum","Item Ledger Entry","Quantity","Entry Type","Consumption","Entry No.",I109,"Location Code","@@"&amp;$E$6)</t>
  </si>
  <si>
    <t>=NL("Sum","Item Ledger Entry","Quantity","Entry Type","Output","Entry No.",I109,"Location Code","@@"&amp;$E$6)</t>
  </si>
  <si>
    <t>=(SUBTOTAL(9,O137:O139))</t>
  </si>
  <si>
    <t>=(SUBTOTAL(9,P137:P139))</t>
  </si>
  <si>
    <t>=(SUBTOTAL(9,Q137:Q139))</t>
  </si>
  <si>
    <t>=(SUBTOTAL(9,R137:R139))</t>
  </si>
  <si>
    <t>=(SUBTOTAL(9,S137:S139))</t>
  </si>
  <si>
    <t>=(SUBTOTAL(9,T137:T139))</t>
  </si>
  <si>
    <t>=SUBTOTAL(9,O137:T139)</t>
  </si>
  <si>
    <t>=(SUBTOTAL(9,O158:O159))</t>
  </si>
  <si>
    <t>=(SUBTOTAL(9,P158:P159))</t>
  </si>
  <si>
    <t>=(SUBTOTAL(9,Q158:Q159))</t>
  </si>
  <si>
    <t>=(SUBTOTAL(9,R158:R159))</t>
  </si>
  <si>
    <t>=(SUBTOTAL(9,S158:S159))</t>
  </si>
  <si>
    <t>=(SUBTOTAL(9,T158:T159))</t>
  </si>
  <si>
    <t>=SUBTOTAL(9,O158:T159)</t>
  </si>
  <si>
    <t>=E161</t>
  </si>
  <si>
    <t>=NL("First","Item","Description","No.",$E161)</t>
  </si>
  <si>
    <t>=NL("First","Item","Base Unit of Measure","No.",$E161)</t>
  </si>
  <si>
    <t>=(SUBTOTAL(9,O162:O163))</t>
  </si>
  <si>
    <t>=(SUBTOTAL(9,P162:P163))</t>
  </si>
  <si>
    <t>=(SUBTOTAL(9,Q162:Q163))</t>
  </si>
  <si>
    <t>=(SUBTOTAL(9,R162:R163))</t>
  </si>
  <si>
    <t>=(SUBTOTAL(9,S162:S163))</t>
  </si>
  <si>
    <t>=(SUBTOTAL(9,T162:T163))</t>
  </si>
  <si>
    <t>=SUBTOTAL(9,O162:T163)</t>
  </si>
  <si>
    <t>=NL("Rows","Item Ledger Entry",,"+Posting Date",$L$5,"Item No.","@@"&amp;$D162,"Location Code","@@"&amp;$E$6)</t>
  </si>
  <si>
    <t>=NL("Sum","Item Ledger Entry","Quantity","Entry Type","Purchase","Entry No.",I162,"Location Code","@@"&amp;$E$6)</t>
  </si>
  <si>
    <t>=NL("Sum","Item Ledger Entry","Quantity","Entry Type","Sale","Entry No.",I162,"Location Code","@@"&amp;$E$6)</t>
  </si>
  <si>
    <t>=NL("Sum","Item Ledger Entry","Quantity","Entry Type","Positive Adjmt.|Negative Adjmt.","Entry No.",I162,"Location Code","@@"&amp;$E$6)</t>
  </si>
  <si>
    <t>=NL("Sum","Item Ledger Entry","Quantity","Entry Type","Transfer","Entry No.",I162,"Location Code","@@"&amp;$E$6)</t>
  </si>
  <si>
    <t>=NL("Sum","Item Ledger Entry","Quantity","Entry Type","Consumption","Entry No.",I162,"Location Code","@@"&amp;$E$6)</t>
  </si>
  <si>
    <t>=NL("Sum","Item Ledger Entry","Quantity","Entry Type","Output","Entry No.",I162,"Location Code","@@"&amp;$E$6)</t>
  </si>
  <si>
    <t>=E165</t>
  </si>
  <si>
    <t>=NL("First","Item","Description","No.",$E165)</t>
  </si>
  <si>
    <t>=NL("First","Item","Base Unit of Measure","No.",$E165)</t>
  </si>
  <si>
    <t>=(SUBTOTAL(9,O166:O167))</t>
  </si>
  <si>
    <t>=(SUBTOTAL(9,P166:P167))</t>
  </si>
  <si>
    <t>=(SUBTOTAL(9,Q166:Q167))</t>
  </si>
  <si>
    <t>=(SUBTOTAL(9,R166:R167))</t>
  </si>
  <si>
    <t>=(SUBTOTAL(9,S166:S167))</t>
  </si>
  <si>
    <t>=(SUBTOTAL(9,T166:T167))</t>
  </si>
  <si>
    <t>=SUBTOTAL(9,O166:T167)</t>
  </si>
  <si>
    <t>=NL("Rows","Item Ledger Entry",,"+Posting Date",$L$5,"Item No.","@@"&amp;$D166,"Location Code","@@"&amp;$E$6)</t>
  </si>
  <si>
    <t>=(SUBTOTAL(9,O170:O171))</t>
  </si>
  <si>
    <t>=(SUBTOTAL(9,P170:P171))</t>
  </si>
  <si>
    <t>=(SUBTOTAL(9,Q170:Q171))</t>
  </si>
  <si>
    <t>=(SUBTOTAL(9,R170:R171))</t>
  </si>
  <si>
    <t>=(SUBTOTAL(9,S170:S171))</t>
  </si>
  <si>
    <t>=(SUBTOTAL(9,T170:T171))</t>
  </si>
  <si>
    <t>=SUBTOTAL(9,O170:T171)</t>
  </si>
  <si>
    <t>=E173</t>
  </si>
  <si>
    <t>=NL("First","Item","Description","No.",$E173)</t>
  </si>
  <si>
    <t>=NL("First","Item","Base Unit of Measure","No.",$E173)</t>
  </si>
  <si>
    <t>=NL("Rows","Item Ledger Entry",,"+Posting Date",$L$5,"Item No.","@@"&amp;$D174,"Location Code","@@"&amp;$E$6)</t>
  </si>
  <si>
    <t>=(SUBTOTAL(9,O178:O180))</t>
  </si>
  <si>
    <t>=(SUBTOTAL(9,P178:P180))</t>
  </si>
  <si>
    <t>=(SUBTOTAL(9,Q178:Q180))</t>
  </si>
  <si>
    <t>=(SUBTOTAL(9,R178:R180))</t>
  </si>
  <si>
    <t>=(SUBTOTAL(9,S178:S180))</t>
  </si>
  <si>
    <t>=(SUBTOTAL(9,T178:T180))</t>
  </si>
  <si>
    <t>=SUBTOTAL(9,O178:T180)</t>
  </si>
  <si>
    <t>=(SUBTOTAL(9,O183:O184))</t>
  </si>
  <si>
    <t>=(SUBTOTAL(9,P183:P184))</t>
  </si>
  <si>
    <t>=(SUBTOTAL(9,Q183:Q184))</t>
  </si>
  <si>
    <t>=(SUBTOTAL(9,R183:R184))</t>
  </si>
  <si>
    <t>=(SUBTOTAL(9,S183:S184))</t>
  </si>
  <si>
    <t>=(SUBTOTAL(9,T183:T184))</t>
  </si>
  <si>
    <t>=SUBTOTAL(9,O183:T184)</t>
  </si>
  <si>
    <t>=E186</t>
  </si>
  <si>
    <t>=NL("First","Item","Description","No.",$E186)</t>
  </si>
  <si>
    <t>=NL("First","Item","Base Unit of Measure","No.",$E186)</t>
  </si>
  <si>
    <t>=(SUBTOTAL(9,O187:O188))</t>
  </si>
  <si>
    <t>=(SUBTOTAL(9,P187:P188))</t>
  </si>
  <si>
    <t>=(SUBTOTAL(9,Q187:Q188))</t>
  </si>
  <si>
    <t>=(SUBTOTAL(9,R187:R188))</t>
  </si>
  <si>
    <t>=(SUBTOTAL(9,S187:S188))</t>
  </si>
  <si>
    <t>=(SUBTOTAL(9,T187:T188))</t>
  </si>
  <si>
    <t>=SUBTOTAL(9,O187:T188)</t>
  </si>
  <si>
    <t>=NL("Rows","Item Ledger Entry",,"+Posting Date",$L$5,"Item No.","@@"&amp;$D187,"Location Code","@@"&amp;$E$6)</t>
  </si>
  <si>
    <t>=(SUBTOTAL(9,O196:O197))</t>
  </si>
  <si>
    <t>=(SUBTOTAL(9,P196:P197))</t>
  </si>
  <si>
    <t>=(SUBTOTAL(9,Q196:Q197))</t>
  </si>
  <si>
    <t>=(SUBTOTAL(9,R196:R197))</t>
  </si>
  <si>
    <t>=(SUBTOTAL(9,S196:S197))</t>
  </si>
  <si>
    <t>=(SUBTOTAL(9,T196:T197))</t>
  </si>
  <si>
    <t>=SUBTOTAL(9,O196:T197)</t>
  </si>
  <si>
    <t>=E199</t>
  </si>
  <si>
    <t>=NL("First","Item","Description","No.",$E199)</t>
  </si>
  <si>
    <t>=NL("First","Item","Base Unit of Measure","No.",$E199)</t>
  </si>
  <si>
    <t>=NL("Rows","Item Ledger Entry",,"+Posting Date",$L$5,"Item No.","@@"&amp;$D200,"Location Code","@@"&amp;$E$6)</t>
  </si>
  <si>
    <t>=NL("Sum","Item Ledger Entry","Quantity","Entry Type","Purchase","Entry No.",I200,"Location Code","@@"&amp;$E$6)</t>
  </si>
  <si>
    <t>=NL("Sum","Item Ledger Entry","Quantity","Entry Type","Sale","Entry No.",I200,"Location Code","@@"&amp;$E$6)</t>
  </si>
  <si>
    <t>=NL("Sum","Item Ledger Entry","Quantity","Entry Type","Positive Adjmt.|Negative Adjmt.","Entry No.",I200,"Location Code","@@"&amp;$E$6)</t>
  </si>
  <si>
    <t>=NL("Sum","Item Ledger Entry","Quantity","Entry Type","Transfer","Entry No.",I200,"Location Code","@@"&amp;$E$6)</t>
  </si>
  <si>
    <t>=NL("Sum","Item Ledger Entry","Quantity","Entry Type","Consumption","Entry No.",I200,"Location Code","@@"&amp;$E$6)</t>
  </si>
  <si>
    <t>=NL("Sum","Item Ledger Entry","Quantity","Entry Type","Output","Entry No.",I200,"Location Code","@@"&amp;$E$6)</t>
  </si>
  <si>
    <t>=(SUBTOTAL(9,O210:O211))</t>
  </si>
  <si>
    <t>=(SUBTOTAL(9,P210:P211))</t>
  </si>
  <si>
    <t>=(SUBTOTAL(9,Q210:Q211))</t>
  </si>
  <si>
    <t>=(SUBTOTAL(9,R210:R211))</t>
  </si>
  <si>
    <t>=(SUBTOTAL(9,S210:S211))</t>
  </si>
  <si>
    <t>=(SUBTOTAL(9,T210:T211))</t>
  </si>
  <si>
    <t>=SUBTOTAL(9,O210:T211)</t>
  </si>
  <si>
    <t>=NL("Rows","Item Ledger Entry",,"+Posting Date",$L$5,"Item No.","@@"&amp;$D210,"Location Code","@@"&amp;$E$6)</t>
  </si>
  <si>
    <t>=(SUBTOTAL(9,O214:O215))</t>
  </si>
  <si>
    <t>=(SUBTOTAL(9,P214:P215))</t>
  </si>
  <si>
    <t>=(SUBTOTAL(9,Q214:Q215))</t>
  </si>
  <si>
    <t>=(SUBTOTAL(9,R214:R215))</t>
  </si>
  <si>
    <t>=(SUBTOTAL(9,S214:S215))</t>
  </si>
  <si>
    <t>=(SUBTOTAL(9,T214:T215))</t>
  </si>
  <si>
    <t>=SUBTOTAL(9,O214:T215)</t>
  </si>
  <si>
    <t>=E217</t>
  </si>
  <si>
    <t>=NL("First","Item","Description","No.",$E217)</t>
  </si>
  <si>
    <t>=NL("First","Item","Base Unit of Measure","No.",$E217)</t>
  </si>
  <si>
    <t>=(SUBTOTAL(9,O218:O219))</t>
  </si>
  <si>
    <t>=(SUBTOTAL(9,P218:P219))</t>
  </si>
  <si>
    <t>=(SUBTOTAL(9,Q218:Q219))</t>
  </si>
  <si>
    <t>=(SUBTOTAL(9,R218:R219))</t>
  </si>
  <si>
    <t>=(SUBTOTAL(9,S218:S219))</t>
  </si>
  <si>
    <t>=(SUBTOTAL(9,T218:T219))</t>
  </si>
  <si>
    <t>=SUBTOTAL(9,O218:T219)</t>
  </si>
  <si>
    <t>=NL("Rows","Item Ledger Entry",,"+Posting Date",$L$5,"Item No.","@@"&amp;$D218,"Location Code","@@"&amp;$E$6)</t>
  </si>
  <si>
    <t>=(SUBTOTAL(9,O222:O223))</t>
  </si>
  <si>
    <t>=(SUBTOTAL(9,P222:P223))</t>
  </si>
  <si>
    <t>=(SUBTOTAL(9,Q222:Q223))</t>
  </si>
  <si>
    <t>=(SUBTOTAL(9,R222:R223))</t>
  </si>
  <si>
    <t>=(SUBTOTAL(9,S222:S223))</t>
  </si>
  <si>
    <t>=(SUBTOTAL(9,T222:T223))</t>
  </si>
  <si>
    <t>=SUBTOTAL(9,O222:T223)</t>
  </si>
  <si>
    <t>=NL("Rows","Item Ledger Entry",,"+Posting Date",$L$5,"Item No.","@@"&amp;$D226,"Location Code","@@"&amp;$E$6)</t>
  </si>
  <si>
    <t>=(SUBTOTAL(9,O236:O238))</t>
  </si>
  <si>
    <t>=(SUBTOTAL(9,P236:P238))</t>
  </si>
  <si>
    <t>=(SUBTOTAL(9,Q236:Q238))</t>
  </si>
  <si>
    <t>=(SUBTOTAL(9,R236:R238))</t>
  </si>
  <si>
    <t>=(SUBTOTAL(9,S236:S238))</t>
  </si>
  <si>
    <t>=(SUBTOTAL(9,T236:T238))</t>
  </si>
  <si>
    <t>=SUBTOTAL(9,O236:T238)</t>
  </si>
  <si>
    <t>=NL("Rows","Item Ledger Entry",,"+Posting Date",$L$5,"Item No.","@@"&amp;$D236,"Location Code","@@"&amp;$E$6)</t>
  </si>
  <si>
    <t>=NL("Sum","Item Ledger Entry","Quantity","Entry Type","Purchase","Entry No.",I236,"Location Code","@@"&amp;$E$6)</t>
  </si>
  <si>
    <t>=NL("Sum","Item Ledger Entry","Quantity","Entry Type","Sale","Entry No.",I236,"Location Code","@@"&amp;$E$6)</t>
  </si>
  <si>
    <t>=NL("Sum","Item Ledger Entry","Quantity","Entry Type","Positive Adjmt.|Negative Adjmt.","Entry No.",I236,"Location Code","@@"&amp;$E$6)</t>
  </si>
  <si>
    <t>=NL("Sum","Item Ledger Entry","Quantity","Entry Type","Transfer","Entry No.",I236,"Location Code","@@"&amp;$E$6)</t>
  </si>
  <si>
    <t>=NL("Sum","Item Ledger Entry","Quantity","Entry Type","Consumption","Entry No.",I236,"Location Code","@@"&amp;$E$6)</t>
  </si>
  <si>
    <t>=NL("Sum","Item Ledger Entry","Quantity","Entry Type","Output","Entry No.",I236,"Location Code","@@"&amp;$E$6)</t>
  </si>
  <si>
    <t>=E240</t>
  </si>
  <si>
    <t>=NL("First","Item","Description","No.",$E240)</t>
  </si>
  <si>
    <t>=NL("First","Item","Base Unit of Measure","No.",$E240)</t>
  </si>
  <si>
    <t>=(SUBTOTAL(9,O241:O242))</t>
  </si>
  <si>
    <t>=(SUBTOTAL(9,P241:P242))</t>
  </si>
  <si>
    <t>=(SUBTOTAL(9,Q241:Q242))</t>
  </si>
  <si>
    <t>=(SUBTOTAL(9,R241:R242))</t>
  </si>
  <si>
    <t>=(SUBTOTAL(9,S241:S242))</t>
  </si>
  <si>
    <t>=(SUBTOTAL(9,T241:T242))</t>
  </si>
  <si>
    <t>=SUBTOTAL(9,O241:T242)</t>
  </si>
  <si>
    <t>=NL("Rows","Item Ledger Entry",,"+Posting Date",$L$5,"Item No.","@@"&amp;$D241,"Location Code","@@"&amp;$E$6)</t>
  </si>
  <si>
    <t>=NL("Sum","Item Ledger Entry","Quantity","Entry Type","Purchase","Entry No.",I241,"Location Code","@@"&amp;$E$6)</t>
  </si>
  <si>
    <t>=NL("Sum","Item Ledger Entry","Quantity","Entry Type","Sale","Entry No.",I241,"Location Code","@@"&amp;$E$6)</t>
  </si>
  <si>
    <t>=NL("Sum","Item Ledger Entry","Quantity","Entry Type","Positive Adjmt.|Negative Adjmt.","Entry No.",I241,"Location Code","@@"&amp;$E$6)</t>
  </si>
  <si>
    <t>=NL("Sum","Item Ledger Entry","Quantity","Entry Type","Transfer","Entry No.",I241,"Location Code","@@"&amp;$E$6)</t>
  </si>
  <si>
    <t>=NL("Sum","Item Ledger Entry","Quantity","Entry Type","Consumption","Entry No.",I241,"Location Code","@@"&amp;$E$6)</t>
  </si>
  <si>
    <t>=NL("Sum","Item Ledger Entry","Quantity","Entry Type","Output","Entry No.",I241,"Location Code","@@"&amp;$E$6)</t>
  </si>
  <si>
    <t>=E244</t>
  </si>
  <si>
    <t>=NL("First","Item","Description","No.",$E244)</t>
  </si>
  <si>
    <t>=NL("First","Item","Base Unit of Measure","No.",$E244)</t>
  </si>
  <si>
    <t>=NL("Rows","Item Ledger Entry",,"+Posting Date",$L$5,"Item No.","@@"&amp;$D245,"Location Code","@@"&amp;$E$6)</t>
  </si>
  <si>
    <t>=NL("Sum","Item Ledger Entry","Quantity","Entry Type","Purchase","Entry No.",I260,"Location Code","@@"&amp;$E$6)</t>
  </si>
  <si>
    <t>=NL("Sum","Item Ledger Entry","Quantity","Entry Type","Sale","Entry No.",I260,"Location Code","@@"&amp;$E$6)</t>
  </si>
  <si>
    <t>=NL("Sum","Item Ledger Entry","Quantity","Entry Type","Positive Adjmt.|Negative Adjmt.","Entry No.",I260,"Location Code","@@"&amp;$E$6)</t>
  </si>
  <si>
    <t>=NL("Sum","Item Ledger Entry","Quantity","Entry Type","Transfer","Entry No.",I260,"Location Code","@@"&amp;$E$6)</t>
  </si>
  <si>
    <t>=NL("Sum","Item Ledger Entry","Quantity","Entry Type","Consumption","Entry No.",I260,"Location Code","@@"&amp;$E$6)</t>
  </si>
  <si>
    <t>=NL("Sum","Item Ledger Entry","Quantity","Entry Type","Output","Entry No.",I260,"Location Code","@@"&amp;$E$6)</t>
  </si>
  <si>
    <t>=(SUBTOTAL(9,O264:O265))</t>
  </si>
  <si>
    <t>=(SUBTOTAL(9,P264:P265))</t>
  </si>
  <si>
    <t>=(SUBTOTAL(9,Q264:Q265))</t>
  </si>
  <si>
    <t>=(SUBTOTAL(9,R264:R265))</t>
  </si>
  <si>
    <t>=(SUBTOTAL(9,S264:S265))</t>
  </si>
  <si>
    <t>=(SUBTOTAL(9,T264:T265))</t>
  </si>
  <si>
    <t>=SUBTOTAL(9,O264:T265)</t>
  </si>
  <si>
    <t>=NL("Rows","Item Ledger Entry",,"+Posting Date",$L$5,"Item No.","@@"&amp;$D264,"Location Code","@@"&amp;$E$6)</t>
  </si>
  <si>
    <t>=NL("Sum","Item Ledger Entry","Quantity","Entry Type","Purchase","Entry No.",I264,"Location Code","@@"&amp;$E$6)</t>
  </si>
  <si>
    <t>=NL("Sum","Item Ledger Entry","Quantity","Entry Type","Sale","Entry No.",I264,"Location Code","@@"&amp;$E$6)</t>
  </si>
  <si>
    <t>=NL("Sum","Item Ledger Entry","Quantity","Entry Type","Positive Adjmt.|Negative Adjmt.","Entry No.",I264,"Location Code","@@"&amp;$E$6)</t>
  </si>
  <si>
    <t>=NL("Sum","Item Ledger Entry","Quantity","Entry Type","Transfer","Entry No.",I264,"Location Code","@@"&amp;$E$6)</t>
  </si>
  <si>
    <t>=NL("Sum","Item Ledger Entry","Quantity","Entry Type","Consumption","Entry No.",I264,"Location Code","@@"&amp;$E$6)</t>
  </si>
  <si>
    <t>=NL("Sum","Item Ledger Entry","Quantity","Entry Type","Output","Entry No.",I264,"Location Code","@@"&amp;$E$6)</t>
  </si>
  <si>
    <t>=E267</t>
  </si>
  <si>
    <t>=NL("First","Item","Description","No.",$E267)</t>
  </si>
  <si>
    <t>=NL("First","Item","Base Unit of Measure","No.",$E267)</t>
  </si>
  <si>
    <t>=(SUBTOTAL(9,O268:O269))</t>
  </si>
  <si>
    <t>=(SUBTOTAL(9,P268:P269))</t>
  </si>
  <si>
    <t>=(SUBTOTAL(9,Q268:Q269))</t>
  </si>
  <si>
    <t>=(SUBTOTAL(9,R268:R269))</t>
  </si>
  <si>
    <t>=(SUBTOTAL(9,S268:S269))</t>
  </si>
  <si>
    <t>=(SUBTOTAL(9,T268:T269))</t>
  </si>
  <si>
    <t>=SUBTOTAL(9,O268:T269)</t>
  </si>
  <si>
    <t>=NL("Rows","Item Ledger Entry",,"+Posting Date",$L$5,"Item No.","@@"&amp;$D268,"Location Code","@@"&amp;$E$6)</t>
  </si>
  <si>
    <t>=(SUBTOTAL(9,O272:O273))</t>
  </si>
  <si>
    <t>=(SUBTOTAL(9,P272:P273))</t>
  </si>
  <si>
    <t>=(SUBTOTAL(9,Q272:Q273))</t>
  </si>
  <si>
    <t>=(SUBTOTAL(9,R272:R273))</t>
  </si>
  <si>
    <t>=(SUBTOTAL(9,S272:S273))</t>
  </si>
  <si>
    <t>=(SUBTOTAL(9,T272:T273))</t>
  </si>
  <si>
    <t>=SUBTOTAL(9,O272:T273)</t>
  </si>
  <si>
    <t>=(SUBTOTAL(9,O288:O290))</t>
  </si>
  <si>
    <t>=(SUBTOTAL(9,P288:P290))</t>
  </si>
  <si>
    <t>=(SUBTOTAL(9,Q288:Q290))</t>
  </si>
  <si>
    <t>=(SUBTOTAL(9,R288:R290))</t>
  </si>
  <si>
    <t>=(SUBTOTAL(9,S288:S290))</t>
  </si>
  <si>
    <t>=(SUBTOTAL(9,T288:T290))</t>
  </si>
  <si>
    <t>=SUBTOTAL(9,O288:T290)</t>
  </si>
  <si>
    <t>=NL("Rows","Item Ledger Entry",,"+Posting Date",$L$5,"Item No.","@@"&amp;$D302,"Location Code","@@"&amp;$E$6)</t>
  </si>
  <si>
    <t>=E324</t>
  </si>
  <si>
    <t>=NL("First","Item","Description","No.",$E324)</t>
  </si>
  <si>
    <t>=NL("First","Item","Base Unit of Measure","No.",$E324)</t>
  </si>
  <si>
    <t>=NL("Rows","Item Ledger Entry",,"+Posting Date",$L$5,"Item No.","@@"&amp;$D325,"Location Code","@@"&amp;$E$6)</t>
  </si>
  <si>
    <t>=E333</t>
  </si>
  <si>
    <t>=NL("First","Item","Description","No.",$E333)</t>
  </si>
  <si>
    <t>=NL("First","Item","Base Unit of Measure","No.",$E333)</t>
  </si>
  <si>
    <t>=NL("Rows","Item Ledger Entry",,"+Posting Date",$L$5,"Item No.","@@"&amp;$D334,"Location Code","@@"&amp;$E$6)</t>
  </si>
  <si>
    <t>=NL("Sum","Item Ledger Entry","Quantity","Entry Type","Purchase","Entry No.",I334,"Location Code","@@"&amp;$E$6)</t>
  </si>
  <si>
    <t>=NL("Sum","Item Ledger Entry","Quantity","Entry Type","Sale","Entry No.",I334,"Location Code","@@"&amp;$E$6)</t>
  </si>
  <si>
    <t>=NL("Sum","Item Ledger Entry","Quantity","Entry Type","Positive Adjmt.|Negative Adjmt.","Entry No.",I334,"Location Code","@@"&amp;$E$6)</t>
  </si>
  <si>
    <t>=NL("Sum","Item Ledger Entry","Quantity","Entry Type","Transfer","Entry No.",I334,"Location Code","@@"&amp;$E$6)</t>
  </si>
  <si>
    <t>=NL("Sum","Item Ledger Entry","Quantity","Entry Type","Consumption","Entry No.",I334,"Location Code","@@"&amp;$E$6)</t>
  </si>
  <si>
    <t>=NL("Sum","Item Ledger Entry","Quantity","Entry Type","Output","Entry No.",I334,"Location Code","@@"&amp;$E$6)</t>
  </si>
  <si>
    <t>=E338</t>
  </si>
  <si>
    <t>=NL("First","Item","Description","No.",$E338)</t>
  </si>
  <si>
    <t>=NL("First","Item","Base Unit of Measure","No.",$E338)</t>
  </si>
  <si>
    <t>=NL("Rows","Item Ledger Entry",,"+Posting Date",$L$5,"Item No.","@@"&amp;$D339,"Location Code","@@"&amp;$E$6)</t>
  </si>
  <si>
    <t>=NL("Sum","Item Ledger Entry","Quantity","Entry Type","Purchase","Entry No.",I339,"Location Code","@@"&amp;$E$6)</t>
  </si>
  <si>
    <t>=NL("Sum","Item Ledger Entry","Quantity","Entry Type","Sale","Entry No.",I339,"Location Code","@@"&amp;$E$6)</t>
  </si>
  <si>
    <t>=NL("Sum","Item Ledger Entry","Quantity","Entry Type","Positive Adjmt.|Negative Adjmt.","Entry No.",I339,"Location Code","@@"&amp;$E$6)</t>
  </si>
  <si>
    <t>=NL("Sum","Item Ledger Entry","Quantity","Entry Type","Transfer","Entry No.",I339,"Location Code","@@"&amp;$E$6)</t>
  </si>
  <si>
    <t>=NL("Sum","Item Ledger Entry","Quantity","Entry Type","Consumption","Entry No.",I339,"Location Code","@@"&amp;$E$6)</t>
  </si>
  <si>
    <t>=NL("Sum","Item Ledger Entry","Quantity","Entry Type","Output","Entry No.",I339,"Location Code","@@"&amp;$E$6)</t>
  </si>
  <si>
    <t>=NL("Sum","Item Ledger Entry","Quantity","Entry Type","Purchase","Entry No.",I344,"Location Code","@@"&amp;$E$6)</t>
  </si>
  <si>
    <t>=NL("Sum","Item Ledger Entry","Quantity","Entry Type","Sale","Entry No.",I344,"Location Code","@@"&amp;$E$6)</t>
  </si>
  <si>
    <t>=NL("Sum","Item Ledger Entry","Quantity","Entry Type","Positive Adjmt.|Negative Adjmt.","Entry No.",I344,"Location Code","@@"&amp;$E$6)</t>
  </si>
  <si>
    <t>=NL("Sum","Item Ledger Entry","Quantity","Entry Type","Transfer","Entry No.",I344,"Location Code","@@"&amp;$E$6)</t>
  </si>
  <si>
    <t>=NL("Sum","Item Ledger Entry","Quantity","Entry Type","Consumption","Entry No.",I344,"Location Code","@@"&amp;$E$6)</t>
  </si>
  <si>
    <t>=NL("Sum","Item Ledger Entry","Quantity","Entry Type","Output","Entry No.",I344,"Location Code","@@"&amp;$E$6)</t>
  </si>
  <si>
    <t>=E347</t>
  </si>
  <si>
    <t>=NL("First","Item","Description","No.",$E347)</t>
  </si>
  <si>
    <t>=NL("First","Item","Base Unit of Measure","No.",$E347)</t>
  </si>
  <si>
    <t>=(SUBTOTAL(9,O348:O350))</t>
  </si>
  <si>
    <t>=(SUBTOTAL(9,P348:P350))</t>
  </si>
  <si>
    <t>=(SUBTOTAL(9,Q348:Q350))</t>
  </si>
  <si>
    <t>=(SUBTOTAL(9,R348:R350))</t>
  </si>
  <si>
    <t>=(SUBTOTAL(9,S348:S350))</t>
  </si>
  <si>
    <t>=(SUBTOTAL(9,T348:T350))</t>
  </si>
  <si>
    <t>=SUBTOTAL(9,O348:T350)</t>
  </si>
  <si>
    <t>=NL("Rows","Item Ledger Entry",,"+Posting Date",$L$5,"Item No.","@@"&amp;$D348,"Location Code","@@"&amp;$E$6)</t>
  </si>
  <si>
    <t>=E366</t>
  </si>
  <si>
    <t>=NL("First","Item","Description","No.",$E366)</t>
  </si>
  <si>
    <t>=NL("First","Item","Base Unit of Measure","No.",$E366)</t>
  </si>
  <si>
    <t>=NL("Rows","Item Ledger Entry",,"+Posting Date",$L$5,"Item No.","@@"&amp;$D367,"Location Code","@@"&amp;$E$6)</t>
  </si>
  <si>
    <t>=NL("Sum","Item Ledger Entry","Quantity","Entry Type","Purchase","Entry No.",I377,"Location Code","@@"&amp;$E$6)</t>
  </si>
  <si>
    <t>=NL("Sum","Item Ledger Entry","Quantity","Entry Type","Sale","Entry No.",I377,"Location Code","@@"&amp;$E$6)</t>
  </si>
  <si>
    <t>=NL("Sum","Item Ledger Entry","Quantity","Entry Type","Positive Adjmt.|Negative Adjmt.","Entry No.",I377,"Location Code","@@"&amp;$E$6)</t>
  </si>
  <si>
    <t>=NL("Sum","Item Ledger Entry","Quantity","Entry Type","Transfer","Entry No.",I377,"Location Code","@@"&amp;$E$6)</t>
  </si>
  <si>
    <t>=NL("Sum","Item Ledger Entry","Quantity","Entry Type","Consumption","Entry No.",I377,"Location Code","@@"&amp;$E$6)</t>
  </si>
  <si>
    <t>=NL("Sum","Item Ledger Entry","Quantity","Entry Type","Output","Entry No.",I377,"Location Code","@@"&amp;$E$6)</t>
  </si>
  <si>
    <t>=NL("Sum","Item Ledger Entry","Quantity","Entry Type","Purchase","Entry No.",I382,"Location Code","@@"&amp;$E$6)</t>
  </si>
  <si>
    <t>=NL("Sum","Item Ledger Entry","Quantity","Entry Type","Sale","Entry No.",I382,"Location Code","@@"&amp;$E$6)</t>
  </si>
  <si>
    <t>=NL("Sum","Item Ledger Entry","Quantity","Entry Type","Positive Adjmt.|Negative Adjmt.","Entry No.",I382,"Location Code","@@"&amp;$E$6)</t>
  </si>
  <si>
    <t>=NL("Sum","Item Ledger Entry","Quantity","Entry Type","Transfer","Entry No.",I382,"Location Code","@@"&amp;$E$6)</t>
  </si>
  <si>
    <t>=NL("Sum","Item Ledger Entry","Quantity","Entry Type","Consumption","Entry No.",I382,"Location Code","@@"&amp;$E$6)</t>
  </si>
  <si>
    <t>=NL("Sum","Item Ledger Entry","Quantity","Entry Type","Output","Entry No.",I382,"Location Code","@@"&amp;$E$6)</t>
  </si>
  <si>
    <t>=NL("Sum","Item Ledger Entry","Quantity","Entry Type","Purchase","Entry No.",I386,"Location Code","@@"&amp;$E$6)</t>
  </si>
  <si>
    <t>=NL("Sum","Item Ledger Entry","Quantity","Entry Type","Sale","Entry No.",I386,"Location Code","@@"&amp;$E$6)</t>
  </si>
  <si>
    <t>=NL("Sum","Item Ledger Entry","Quantity","Entry Type","Positive Adjmt.|Negative Adjmt.","Entry No.",I386,"Location Code","@@"&amp;$E$6)</t>
  </si>
  <si>
    <t>=NL("Sum","Item Ledger Entry","Quantity","Entry Type","Transfer","Entry No.",I386,"Location Code","@@"&amp;$E$6)</t>
  </si>
  <si>
    <t>=NL("Sum","Item Ledger Entry","Quantity","Entry Type","Consumption","Entry No.",I386,"Location Code","@@"&amp;$E$6)</t>
  </si>
  <si>
    <t>=NL("Sum","Item Ledger Entry","Quantity","Entry Type","Output","Entry No.",I386,"Location Code","@@"&amp;$E$6)</t>
  </si>
  <si>
    <t>=(SUBTOTAL(9,O42:O44))</t>
  </si>
  <si>
    <t>=(SUBTOTAL(9,P42:P44))</t>
  </si>
  <si>
    <t>=(SUBTOTAL(9,Q42:Q44))</t>
  </si>
  <si>
    <t>=(SUBTOTAL(9,R42:R44))</t>
  </si>
  <si>
    <t>=(SUBTOTAL(9,S42:S44))</t>
  </si>
  <si>
    <t>=(SUBTOTAL(9,T42:T44))</t>
  </si>
  <si>
    <t>=SUBTOTAL(9,O42:T44)</t>
  </si>
  <si>
    <t>=NL("Sum","Item Ledger Entry","Quantity","Entry Type","Purchase","Entry No.",I93,"Location Code","@@"&amp;$E$6)</t>
  </si>
  <si>
    <t>=NL("Sum","Item Ledger Entry","Quantity","Entry Type","Sale","Entry No.",I93,"Location Code","@@"&amp;$E$6)</t>
  </si>
  <si>
    <t>=NL("Sum","Item Ledger Entry","Quantity","Entry Type","Positive Adjmt.|Negative Adjmt.","Entry No.",I93,"Location Code","@@"&amp;$E$6)</t>
  </si>
  <si>
    <t>=NL("Sum","Item Ledger Entry","Quantity","Entry Type","Transfer","Entry No.",I93,"Location Code","@@"&amp;$E$6)</t>
  </si>
  <si>
    <t>=NL("Sum","Item Ledger Entry","Quantity","Entry Type","Consumption","Entry No.",I93,"Location Code","@@"&amp;$E$6)</t>
  </si>
  <si>
    <t>=NL("Sum","Item Ledger Entry","Quantity","Entry Type","Output","Entry No.",I93,"Location Code","@@"&amp;$E$6)</t>
  </si>
  <si>
    <t>=E96</t>
  </si>
  <si>
    <t>=NL("First","Item","Description","No.",$E96)</t>
  </si>
  <si>
    <t>=NL("First","Item","Base Unit of Measure","No.",$E96)</t>
  </si>
  <si>
    <t>=NL("Rows","Item Ledger Entry",,"+Posting Date",$L$5,"Item No.","@@"&amp;$D97,"Location Code","@@"&amp;$E$6)</t>
  </si>
  <si>
    <t>=D112</t>
  </si>
  <si>
    <t>=NF($G113,"Posting Date")</t>
  </si>
  <si>
    <t>=NF($G113,"Entry No.")</t>
  </si>
  <si>
    <t>=NF(G113,"Source Type")</t>
  </si>
  <si>
    <t>=NF($G113,"Source No.")</t>
  </si>
  <si>
    <t>=IF($J113="Customer",NL("first",$J113,"Name","No.","@@"&amp;$K113),"")</t>
  </si>
  <si>
    <t>=IF(J113="vendor",NL("first",J113,"Name","No.","@@"&amp;K113),"")</t>
  </si>
  <si>
    <t>=IF($J113="Item",NL("first",$J113,"Description","No.","@@"&amp;$K113),"")</t>
  </si>
  <si>
    <t>=NL("Sum","Item Ledger Entry","Quantity","Entry Type","Purchase","Entry No.",I113,"Location Code","@@"&amp;$E$6)</t>
  </si>
  <si>
    <t>=NL("Sum","Item Ledger Entry","Quantity","Entry Type","Sale","Entry No.",I113,"Location Code","@@"&amp;$E$6)</t>
  </si>
  <si>
    <t>=NL("Sum","Item Ledger Entry","Quantity","Entry Type","Positive Adjmt.|Negative Adjmt.","Entry No.",I113,"Location Code","@@"&amp;$E$6)</t>
  </si>
  <si>
    <t>=NL("Sum","Item Ledger Entry","Quantity","Entry Type","Transfer","Entry No.",I113,"Location Code","@@"&amp;$E$6)</t>
  </si>
  <si>
    <t>=NL("Sum","Item Ledger Entry","Quantity","Entry Type","Consumption","Entry No.",I113,"Location Code","@@"&amp;$E$6)</t>
  </si>
  <si>
    <t>=NL("Sum","Item Ledger Entry","Quantity","Entry Type","Output","Entry No.",I113,"Location Code","@@"&amp;$E$6)</t>
  </si>
  <si>
    <t>=(SUBTOTAL(9,O121:O123))</t>
  </si>
  <si>
    <t>=(SUBTOTAL(9,P121:P123))</t>
  </si>
  <si>
    <t>=(SUBTOTAL(9,Q121:Q123))</t>
  </si>
  <si>
    <t>=(SUBTOTAL(9,R121:R123))</t>
  </si>
  <si>
    <t>=(SUBTOTAL(9,S121:S123))</t>
  </si>
  <si>
    <t>=(SUBTOTAL(9,T121:T123))</t>
  </si>
  <si>
    <t>=SUBTOTAL(9,O121:T123)</t>
  </si>
  <si>
    <t>=E125</t>
  </si>
  <si>
    <t>=NL("First","Item","Description","No.",$E125)</t>
  </si>
  <si>
    <t>=NL("First","Item","Base Unit of Measure","No.",$E125)</t>
  </si>
  <si>
    <t>=NL("Rows","Item Ledger Entry",,"+Posting Date",$L$5,"Item No.","@@"&amp;$D126,"Location Code","@@"&amp;$E$6)</t>
  </si>
  <si>
    <t>=NL("Sum","Item Ledger Entry","Quantity","Entry Type","Purchase","Entry No.",I126,"Location Code","@@"&amp;$E$6)</t>
  </si>
  <si>
    <t>=NL("Sum","Item Ledger Entry","Quantity","Entry Type","Sale","Entry No.",I126,"Location Code","@@"&amp;$E$6)</t>
  </si>
  <si>
    <t>=NL("Sum","Item Ledger Entry","Quantity","Entry Type","Positive Adjmt.|Negative Adjmt.","Entry No.",I126,"Location Code","@@"&amp;$E$6)</t>
  </si>
  <si>
    <t>=NL("Sum","Item Ledger Entry","Quantity","Entry Type","Transfer","Entry No.",I126,"Location Code","@@"&amp;$E$6)</t>
  </si>
  <si>
    <t>=NL("Sum","Item Ledger Entry","Quantity","Entry Type","Consumption","Entry No.",I126,"Location Code","@@"&amp;$E$6)</t>
  </si>
  <si>
    <t>=NL("Sum","Item Ledger Entry","Quantity","Entry Type","Output","Entry No.",I126,"Location Code","@@"&amp;$E$6)</t>
  </si>
  <si>
    <t>=E194</t>
  </si>
  <si>
    <t>=NL("First","Item","Description","No.",$E194)</t>
  </si>
  <si>
    <t>=NL("First","Item","Base Unit of Measure","No.",$E194)</t>
  </si>
  <si>
    <t>=NL("Rows","Item Ledger Entry",,"+Posting Date",$L$5,"Item No.","@@"&amp;$D195,"Location Code","@@"&amp;$E$6)</t>
  </si>
  <si>
    <t>=NL("Sum","Item Ledger Entry","Quantity","Entry Type","Purchase","Entry No.",I195,"Location Code","@@"&amp;$E$6)</t>
  </si>
  <si>
    <t>=NL("Sum","Item Ledger Entry","Quantity","Entry Type","Sale","Entry No.",I195,"Location Code","@@"&amp;$E$6)</t>
  </si>
  <si>
    <t>=NL("Sum","Item Ledger Entry","Quantity","Entry Type","Positive Adjmt.|Negative Adjmt.","Entry No.",I195,"Location Code","@@"&amp;$E$6)</t>
  </si>
  <si>
    <t>=NL("Sum","Item Ledger Entry","Quantity","Entry Type","Transfer","Entry No.",I195,"Location Code","@@"&amp;$E$6)</t>
  </si>
  <si>
    <t>=NL("Sum","Item Ledger Entry","Quantity","Entry Type","Consumption","Entry No.",I195,"Location Code","@@"&amp;$E$6)</t>
  </si>
  <si>
    <t>=NL("Sum","Item Ledger Entry","Quantity","Entry Type","Output","Entry No.",I195,"Location Code","@@"&amp;$E$6)</t>
  </si>
  <si>
    <t>=E203</t>
  </si>
  <si>
    <t>=NL("First","Item","Description","No.",$E203)</t>
  </si>
  <si>
    <t>=NL("First","Item","Base Unit of Measure","No.",$E203)</t>
  </si>
  <si>
    <t>=NL("Rows","Item Ledger Entry",,"+Posting Date",$L$5,"Item No.","@@"&amp;$D204,"Location Code","@@"&amp;$E$6)</t>
  </si>
  <si>
    <t>=(SUBTOTAL(9,O235:O237))</t>
  </si>
  <si>
    <t>=(SUBTOTAL(9,P235:P237))</t>
  </si>
  <si>
    <t>=(SUBTOTAL(9,Q235:Q237))</t>
  </si>
  <si>
    <t>=(SUBTOTAL(9,R235:R237))</t>
  </si>
  <si>
    <t>=(SUBTOTAL(9,S235:S237))</t>
  </si>
  <si>
    <t>=(SUBTOTAL(9,T235:T237))</t>
  </si>
  <si>
    <t>=SUBTOTAL(9,O235:T237)</t>
  </si>
  <si>
    <t>=E239</t>
  </si>
  <si>
    <t>=NL("First","Item","Description","No.",$E239)</t>
  </si>
  <si>
    <t>=NL("First","Item","Base Unit of Measure","No.",$E239)</t>
  </si>
  <si>
    <t>=(SUBTOTAL(9,O240:O241))</t>
  </si>
  <si>
    <t>=(SUBTOTAL(9,P240:P241))</t>
  </si>
  <si>
    <t>=(SUBTOTAL(9,Q240:Q241))</t>
  </si>
  <si>
    <t>=(SUBTOTAL(9,R240:R241))</t>
  </si>
  <si>
    <t>=(SUBTOTAL(9,S240:S241))</t>
  </si>
  <si>
    <t>=(SUBTOTAL(9,T240:T241))</t>
  </si>
  <si>
    <t>=SUBTOTAL(9,O240:T241)</t>
  </si>
  <si>
    <t>=NL("Rows","Item Ledger Entry",,"+Posting Date",$L$5,"Item No.","@@"&amp;$D240,"Location Code","@@"&amp;$E$6)</t>
  </si>
  <si>
    <t>=NL("Sum","Item Ledger Entry","Quantity","Entry Type","Purchase","Entry No.",I240,"Location Code","@@"&amp;$E$6)</t>
  </si>
  <si>
    <t>=NL("Sum","Item Ledger Entry","Quantity","Entry Type","Sale","Entry No.",I240,"Location Code","@@"&amp;$E$6)</t>
  </si>
  <si>
    <t>=NL("Sum","Item Ledger Entry","Quantity","Entry Type","Positive Adjmt.|Negative Adjmt.","Entry No.",I240,"Location Code","@@"&amp;$E$6)</t>
  </si>
  <si>
    <t>=NL("Sum","Item Ledger Entry","Quantity","Entry Type","Transfer","Entry No.",I240,"Location Code","@@"&amp;$E$6)</t>
  </si>
  <si>
    <t>=NL("Sum","Item Ledger Entry","Quantity","Entry Type","Consumption","Entry No.",I240,"Location Code","@@"&amp;$E$6)</t>
  </si>
  <si>
    <t>=NL("Sum","Item Ledger Entry","Quantity","Entry Type","Output","Entry No.",I240,"Location Code","@@"&amp;$E$6)</t>
  </si>
  <si>
    <t>=E243</t>
  </si>
  <si>
    <t>=NL("First","Item","Description","No.",$E243)</t>
  </si>
  <si>
    <t>=NL("First","Item","Base Unit of Measure","No.",$E243)</t>
  </si>
  <si>
    <t>=NL("Rows","Item Ledger Entry",,"+Posting Date",$L$5,"Item No.","@@"&amp;$D244,"Location Code","@@"&amp;$E$6)</t>
  </si>
  <si>
    <t>=E264</t>
  </si>
  <si>
    <t>=NL("First","Item","Description","No.",$E264)</t>
  </si>
  <si>
    <t>=NL("First","Item","Base Unit of Measure","No.",$E264)</t>
  </si>
  <si>
    <t>=NL("Rows","Item Ledger Entry",,"+Posting Date",$L$5,"Item No.","@@"&amp;$D265,"Location Code","@@"&amp;$E$6)</t>
  </si>
  <si>
    <t>=NL("Sum","Item Ledger Entry","Quantity","Entry Type","Purchase","Entry No.",I265,"Location Code","@@"&amp;$E$6)</t>
  </si>
  <si>
    <t>=NL("Sum","Item Ledger Entry","Quantity","Entry Type","Sale","Entry No.",I265,"Location Code","@@"&amp;$E$6)</t>
  </si>
  <si>
    <t>=NL("Sum","Item Ledger Entry","Quantity","Entry Type","Positive Adjmt.|Negative Adjmt.","Entry No.",I265,"Location Code","@@"&amp;$E$6)</t>
  </si>
  <si>
    <t>=NL("Sum","Item Ledger Entry","Quantity","Entry Type","Transfer","Entry No.",I265,"Location Code","@@"&amp;$E$6)</t>
  </si>
  <si>
    <t>=NL("Sum","Item Ledger Entry","Quantity","Entry Type","Consumption","Entry No.",I265,"Location Code","@@"&amp;$E$6)</t>
  </si>
  <si>
    <t>=NL("Sum","Item Ledger Entry","Quantity","Entry Type","Output","Entry No.",I265,"Location Code","@@"&amp;$E$6)</t>
  </si>
  <si>
    <t>=D285</t>
  </si>
  <si>
    <t>=NF($G286,"Posting Date")</t>
  </si>
  <si>
    <t>=NF($G286,"Entry No.")</t>
  </si>
  <si>
    <t>=NF(G286,"Source Type")</t>
  </si>
  <si>
    <t>=NF($G286,"Source No.")</t>
  </si>
  <si>
    <t>=IF($J286="Customer",NL("first",$J286,"Name","No.","@@"&amp;$K286),"")</t>
  </si>
  <si>
    <t>=IF(J286="vendor",NL("first",J286,"Name","No.","@@"&amp;K286),"")</t>
  </si>
  <si>
    <t>=IF($J286="Item",NL("first",$J286,"Description","No.","@@"&amp;$K286),"")</t>
  </si>
  <si>
    <t>=NL("Sum","Item Ledger Entry","Quantity","Entry Type","Purchase","Entry No.",I286,"Location Code","@@"&amp;$E$6)</t>
  </si>
  <si>
    <t>=NL("Sum","Item Ledger Entry","Quantity","Entry Type","Sale","Entry No.",I286,"Location Code","@@"&amp;$E$6)</t>
  </si>
  <si>
    <t>=NL("Sum","Item Ledger Entry","Quantity","Entry Type","Positive Adjmt.|Negative Adjmt.","Entry No.",I286,"Location Code","@@"&amp;$E$6)</t>
  </si>
  <si>
    <t>=NL("Sum","Item Ledger Entry","Quantity","Entry Type","Transfer","Entry No.",I286,"Location Code","@@"&amp;$E$6)</t>
  </si>
  <si>
    <t>=NL("Sum","Item Ledger Entry","Quantity","Entry Type","Consumption","Entry No.",I286,"Location Code","@@"&amp;$E$6)</t>
  </si>
  <si>
    <t>=NL("Sum","Item Ledger Entry","Quantity","Entry Type","Output","Entry No.",I286,"Location Code","@@"&amp;$E$6)</t>
  </si>
  <si>
    <t>=(SUBTOTAL(9,O292:O294))</t>
  </si>
  <si>
    <t>=(SUBTOTAL(9,P292:P294))</t>
  </si>
  <si>
    <t>=(SUBTOTAL(9,Q292:Q294))</t>
  </si>
  <si>
    <t>=(SUBTOTAL(9,R292:R294))</t>
  </si>
  <si>
    <t>=(SUBTOTAL(9,S292:S294))</t>
  </si>
  <si>
    <t>=(SUBTOTAL(9,T292:T294))</t>
  </si>
  <si>
    <t>=SUBTOTAL(9,O292:T294)</t>
  </si>
  <si>
    <t>=(SUBTOTAL(9,O301:O302))</t>
  </si>
  <si>
    <t>=(SUBTOTAL(9,P301:P302))</t>
  </si>
  <si>
    <t>=(SUBTOTAL(9,Q301:Q302))</t>
  </si>
  <si>
    <t>=(SUBTOTAL(9,R301:R302))</t>
  </si>
  <si>
    <t>=(SUBTOTAL(9,S301:S302))</t>
  </si>
  <si>
    <t>=(SUBTOTAL(9,T301:T302))</t>
  </si>
  <si>
    <t>=SUBTOTAL(9,O301:T302)</t>
  </si>
  <si>
    <t>=E304</t>
  </si>
  <si>
    <t>=NL("First","Item","Description","No.",$E304)</t>
  </si>
  <si>
    <t>=NL("First","Item","Base Unit of Measure","No.",$E304)</t>
  </si>
  <si>
    <t>=(SUBTOTAL(9,O305:O306))</t>
  </si>
  <si>
    <t>=(SUBTOTAL(9,P305:P306))</t>
  </si>
  <si>
    <t>=(SUBTOTAL(9,Q305:Q306))</t>
  </si>
  <si>
    <t>=(SUBTOTAL(9,R305:R306))</t>
  </si>
  <si>
    <t>=(SUBTOTAL(9,S305:S306))</t>
  </si>
  <si>
    <t>=(SUBTOTAL(9,T305:T306))</t>
  </si>
  <si>
    <t>=SUBTOTAL(9,O305:T306)</t>
  </si>
  <si>
    <t>=NL("Rows","Item Ledger Entry",,"+Posting Date",$L$5,"Item No.","@@"&amp;$D305,"Location Code","@@"&amp;$E$6)</t>
  </si>
  <si>
    <t>=(SUBTOTAL(9,O313:O314))</t>
  </si>
  <si>
    <t>=(SUBTOTAL(9,P313:P314))</t>
  </si>
  <si>
    <t>=(SUBTOTAL(9,Q313:Q314))</t>
  </si>
  <si>
    <t>=(SUBTOTAL(9,R313:R314))</t>
  </si>
  <si>
    <t>=(SUBTOTAL(9,S313:S314))</t>
  </si>
  <si>
    <t>=(SUBTOTAL(9,T313:T314))</t>
  </si>
  <si>
    <t>=SUBTOTAL(9,O313:T314)</t>
  </si>
  <si>
    <t>=(SUBTOTAL(9,O317:O318))</t>
  </si>
  <si>
    <t>=(SUBTOTAL(9,P317:P318))</t>
  </si>
  <si>
    <t>=(SUBTOTAL(9,Q317:Q318))</t>
  </si>
  <si>
    <t>=(SUBTOTAL(9,R317:R318))</t>
  </si>
  <si>
    <t>=(SUBTOTAL(9,S317:S318))</t>
  </si>
  <si>
    <t>=(SUBTOTAL(9,T317:T318))</t>
  </si>
  <si>
    <t>=SUBTOTAL(9,O317:T318)</t>
  </si>
  <si>
    <t>=E320</t>
  </si>
  <si>
    <t>=NL("First","Item","Description","No.",$E320)</t>
  </si>
  <si>
    <t>=NL("First","Item","Base Unit of Measure","No.",$E320)</t>
  </si>
  <si>
    <t>=NL("Rows","Item Ledger Entry",,"+Posting Date",$L$5,"Item No.","@@"&amp;$D321,"Location Code","@@"&amp;$E$6)</t>
  </si>
  <si>
    <t>=E329</t>
  </si>
  <si>
    <t>=NL("First","Item","Description","No.",$E329)</t>
  </si>
  <si>
    <t>=NL("First","Item","Base Unit of Measure","No.",$E329)</t>
  </si>
  <si>
    <t>=NL("Rows","Item Ledger Entry",,"+Posting Date",$L$5,"Item No.","@@"&amp;$D330,"Location Code","@@"&amp;$E$6)</t>
  </si>
  <si>
    <t>=E337</t>
  </si>
  <si>
    <t>=NL("First","Item","Description","No.",$E337)</t>
  </si>
  <si>
    <t>=NL("First","Item","Base Unit of Measure","No.",$E337)</t>
  </si>
  <si>
    <t>=NL("Rows","Item Ledger Entry",,"+Posting Date",$L$5,"Item No.","@@"&amp;$D338,"Location Code","@@"&amp;$E$6)</t>
  </si>
  <si>
    <t>=E364</t>
  </si>
  <si>
    <t>=NL("First","Item","Description","No.",$E364)</t>
  </si>
  <si>
    <t>=NL("First","Item","Base Unit of Measure","No.",$E364)</t>
  </si>
  <si>
    <t>=(SUBTOTAL(9,O365:O367))</t>
  </si>
  <si>
    <t>=(SUBTOTAL(9,P365:P367))</t>
  </si>
  <si>
    <t>=(SUBTOTAL(9,Q365:Q367))</t>
  </si>
  <si>
    <t>=(SUBTOTAL(9,R365:R367))</t>
  </si>
  <si>
    <t>=(SUBTOTAL(9,S365:S367))</t>
  </si>
  <si>
    <t>=(SUBTOTAL(9,T365:T367))</t>
  </si>
  <si>
    <t>=SUBTOTAL(9,O365:T367)</t>
  </si>
  <si>
    <t>=NL("Rows","Item Ledger Entry",,"+Posting Date",$L$5,"Item No.","@@"&amp;$D365,"Location Code","@@"&amp;$E$6)</t>
  </si>
  <si>
    <t>=E369</t>
  </si>
  <si>
    <t>=NL("First","Item","Description","No.",$E369)</t>
  </si>
  <si>
    <t>=NL("First","Item","Base Unit of Measure","No.",$E369)</t>
  </si>
  <si>
    <t>=NL("Rows","Item Ledger Entry",,"+Posting Date",$L$5,"Item No.","@@"&amp;$D370,"Location Code","@@"&amp;$E$6)</t>
  </si>
  <si>
    <t>=D405</t>
  </si>
  <si>
    <t>=NF($G406,"Posting Date")</t>
  </si>
  <si>
    <t>=NF($G406,"Entry No.")</t>
  </si>
  <si>
    <t>=NF(G406,"Source Type")</t>
  </si>
  <si>
    <t>=NF($G406,"Source No.")</t>
  </si>
  <si>
    <t>=IF($J406="Customer",NL("first",$J406,"Name","No.","@@"&amp;$K406),"")</t>
  </si>
  <si>
    <t>=IF(J406="vendor",NL("first",J406,"Name","No.","@@"&amp;K406),"")</t>
  </si>
  <si>
    <t>=IF($J406="Item",NL("first",$J406,"Description","No.","@@"&amp;$K406),"")</t>
  </si>
  <si>
    <t>=NL("Sum","Item Ledger Entry","Quantity","Entry Type","Purchase","Entry No.",I406,"Location Code","@@"&amp;$E$6)</t>
  </si>
  <si>
    <t>=NL("Sum","Item Ledger Entry","Quantity","Entry Type","Sale","Entry No.",I406,"Location Code","@@"&amp;$E$6)</t>
  </si>
  <si>
    <t>=NL("Sum","Item Ledger Entry","Quantity","Entry Type","Positive Adjmt.|Negative Adjmt.","Entry No.",I406,"Location Code","@@"&amp;$E$6)</t>
  </si>
  <si>
    <t>=NL("Sum","Item Ledger Entry","Quantity","Entry Type","Transfer","Entry No.",I406,"Location Code","@@"&amp;$E$6)</t>
  </si>
  <si>
    <t>=NL("Sum","Item Ledger Entry","Quantity","Entry Type","Consumption","Entry No.",I406,"Location Code","@@"&amp;$E$6)</t>
  </si>
  <si>
    <t>=NL("Sum","Item Ledger Entry","Quantity","Entry Type","Output","Entry No.",I406,"Location Code","@@"&amp;$E$6)</t>
  </si>
  <si>
    <t>=NL("Rows","Item Ledger Entry",,"+Posting Date",$L$5,"Item No.","@@"&amp;$D414,"Location Code","@@"&amp;$E$6)</t>
  </si>
  <si>
    <t>=NL("Sum","Item Ledger Entry","Quantity","Entry Type","Purchase","Entry No.",I414,"Location Code","@@"&amp;$E$6)</t>
  </si>
  <si>
    <t>=NL("Sum","Item Ledger Entry","Quantity","Entry Type","Sale","Entry No.",I414,"Location Code","@@"&amp;$E$6)</t>
  </si>
  <si>
    <t>=NL("Sum","Item Ledger Entry","Quantity","Entry Type","Positive Adjmt.|Negative Adjmt.","Entry No.",I414,"Location Code","@@"&amp;$E$6)</t>
  </si>
  <si>
    <t>=NL("Sum","Item Ledger Entry","Quantity","Entry Type","Transfer","Entry No.",I414,"Location Code","@@"&amp;$E$6)</t>
  </si>
  <si>
    <t>=NL("Sum","Item Ledger Entry","Quantity","Entry Type","Consumption","Entry No.",I414,"Location Code","@@"&amp;$E$6)</t>
  </si>
  <si>
    <t>=NL("Sum","Item Ledger Entry","Quantity","Entry Type","Output","Entry No.",I414,"Location Code","@@"&amp;$E$6)</t>
  </si>
  <si>
    <t>=NL("Sum","Item Ledger Entry","Quantity","Entry Type","Purchase","Entry No.",I415,"Location Code","@@"&amp;$E$6)</t>
  </si>
  <si>
    <t>=NL("Sum","Item Ledger Entry","Quantity","Entry Type","Sale","Entry No.",I415,"Location Code","@@"&amp;$E$6)</t>
  </si>
  <si>
    <t>=NL("Sum","Item Ledger Entry","Quantity","Entry Type","Positive Adjmt.|Negative Adjmt.","Entry No.",I415,"Location Code","@@"&amp;$E$6)</t>
  </si>
  <si>
    <t>=NL("Sum","Item Ledger Entry","Quantity","Entry Type","Transfer","Entry No.",I415,"Location Code","@@"&amp;$E$6)</t>
  </si>
  <si>
    <t>=NL("Sum","Item Ledger Entry","Quantity","Entry Type","Consumption","Entry No.",I415,"Location Code","@@"&amp;$E$6)</t>
  </si>
  <si>
    <t>=NL("Sum","Item Ledger Entry","Quantity","Entry Type","Output","Entry No.",I415,"Location Code","@@"&amp;$E$6)</t>
  </si>
  <si>
    <t>=D418</t>
  </si>
  <si>
    <t>=NF($G419,"Posting Date")</t>
  </si>
  <si>
    <t>=NF($G419,"Entry No.")</t>
  </si>
  <si>
    <t>=NF(G419,"Source Type")</t>
  </si>
  <si>
    <t>=NF($G419,"Source No.")</t>
  </si>
  <si>
    <t>=IF($J419="Customer",NL("first",$J419,"Name","No.","@@"&amp;$K419),"")</t>
  </si>
  <si>
    <t>=IF(J419="vendor",NL("first",J419,"Name","No.","@@"&amp;K419),"")</t>
  </si>
  <si>
    <t>=IF($J419="Item",NL("first",$J419,"Description","No.","@@"&amp;$K419),"")</t>
  </si>
  <si>
    <t>=NL("Sum","Item Ledger Entry","Quantity","Entry Type","Purchase","Entry No.",I419,"Location Code","@@"&amp;$E$6)</t>
  </si>
  <si>
    <t>=NL("Sum","Item Ledger Entry","Quantity","Entry Type","Sale","Entry No.",I419,"Location Code","@@"&amp;$E$6)</t>
  </si>
  <si>
    <t>=NL("Sum","Item Ledger Entry","Quantity","Entry Type","Positive Adjmt.|Negative Adjmt.","Entry No.",I419,"Location Code","@@"&amp;$E$6)</t>
  </si>
  <si>
    <t>=NL("Sum","Item Ledger Entry","Quantity","Entry Type","Transfer","Entry No.",I419,"Location Code","@@"&amp;$E$6)</t>
  </si>
  <si>
    <t>=NL("Sum","Item Ledger Entry","Quantity","Entry Type","Consumption","Entry No.",I419,"Location Code","@@"&amp;$E$6)</t>
  </si>
  <si>
    <t>=NL("Sum","Item Ledger Entry","Quantity","Entry Type","Output","Entry No.",I419,"Location Code","@@"&amp;$E$6)</t>
  </si>
  <si>
    <t>=E422</t>
  </si>
  <si>
    <t>=NL("First","Item","Description","No.",$E422)</t>
  </si>
  <si>
    <t>=NL("First","Item","Base Unit of Measure","No.",$E422)</t>
  </si>
  <si>
    <t>=NL("Rows","Item Ledger Entry",,"+Posting Date",$L$5,"Item No.","@@"&amp;$D423,"Location Code","@@"&amp;$E$6)</t>
  </si>
  <si>
    <t>=NL("Sum","Item Ledger Entry","Quantity","Entry Type","Purchase","Entry No.",I423,"Location Code","@@"&amp;$E$6)</t>
  </si>
  <si>
    <t>=NL("Sum","Item Ledger Entry","Quantity","Entry Type","Sale","Entry No.",I423,"Location Code","@@"&amp;$E$6)</t>
  </si>
  <si>
    <t>=NL("Sum","Item Ledger Entry","Quantity","Entry Type","Positive Adjmt.|Negative Adjmt.","Entry No.",I423,"Location Code","@@"&amp;$E$6)</t>
  </si>
  <si>
    <t>=NL("Sum","Item Ledger Entry","Quantity","Entry Type","Transfer","Entry No.",I423,"Location Code","@@"&amp;$E$6)</t>
  </si>
  <si>
    <t>=NL("Sum","Item Ledger Entry","Quantity","Entry Type","Consumption","Entry No.",I423,"Location Code","@@"&amp;$E$6)</t>
  </si>
  <si>
    <t>=NL("Sum","Item Ledger Entry","Quantity","Entry Type","Output","Entry No.",I423,"Location Code","@@"&amp;$E$6)</t>
  </si>
  <si>
    <t>=E431</t>
  </si>
  <si>
    <t>=NL("First","Item","Description","No.",$E431)</t>
  </si>
  <si>
    <t>=NL("First","Item","Base Unit of Measure","No.",$E431)</t>
  </si>
  <si>
    <t>=(SUBTOTAL(9,O432:O433))</t>
  </si>
  <si>
    <t>=(SUBTOTAL(9,P432:P433))</t>
  </si>
  <si>
    <t>=(SUBTOTAL(9,Q432:Q433))</t>
  </si>
  <si>
    <t>=(SUBTOTAL(9,R432:R433))</t>
  </si>
  <si>
    <t>=(SUBTOTAL(9,S432:S433))</t>
  </si>
  <si>
    <t>=(SUBTOTAL(9,T432:T433))</t>
  </si>
  <si>
    <t>=SUBTOTAL(9,O432:T433)</t>
  </si>
  <si>
    <t>=D431</t>
  </si>
  <si>
    <t>=NL("Rows","Item Ledger Entry",,"+Posting Date",$L$5,"Item No.","@@"&amp;$D432,"Location Code","@@"&amp;$E$6)</t>
  </si>
  <si>
    <t>=NF($G432,"Posting Date")</t>
  </si>
  <si>
    <t>=NF($G432,"Entry No.")</t>
  </si>
  <si>
    <t>=NF(G432,"Source Type")</t>
  </si>
  <si>
    <t>=NF($G432,"Source No.")</t>
  </si>
  <si>
    <t>=IF($J432="Customer",NL("first",$J432,"Name","No.","@@"&amp;$K432),"")</t>
  </si>
  <si>
    <t>=IF(J432="vendor",NL("first",J432,"Name","No.","@@"&amp;K432),"")</t>
  </si>
  <si>
    <t>=IF($J432="Item",NL("first",$J432,"Description","No.","@@"&amp;$K432),"")</t>
  </si>
  <si>
    <t>=NL("Sum","Item Ledger Entry","Quantity","Entry Type","Purchase","Entry No.",I432,"Location Code","@@"&amp;$E$6)</t>
  </si>
  <si>
    <t>=NL("Sum","Item Ledger Entry","Quantity","Entry Type","Sale","Entry No.",I432,"Location Code","@@"&amp;$E$6)</t>
  </si>
  <si>
    <t>=NL("Sum","Item Ledger Entry","Quantity","Entry Type","Positive Adjmt.|Negative Adjmt.","Entry No.",I432,"Location Code","@@"&amp;$E$6)</t>
  </si>
  <si>
    <t>=NL("Sum","Item Ledger Entry","Quantity","Entry Type","Transfer","Entry No.",I432,"Location Code","@@"&amp;$E$6)</t>
  </si>
  <si>
    <t>=NL("Sum","Item Ledger Entry","Quantity","Entry Type","Consumption","Entry No.",I432,"Location Code","@@"&amp;$E$6)</t>
  </si>
  <si>
    <t>=NL("Sum","Item Ledger Entry","Quantity","Entry Type","Output","Entry No.",I432,"Location Code","@@"&amp;$E$6)</t>
  </si>
  <si>
    <t>=E435</t>
  </si>
  <si>
    <t>=NL("First","Item","Description","No.",$E435)</t>
  </si>
  <si>
    <t>=NL("First","Item","Base Unit of Measure","No.",$E435)</t>
  </si>
  <si>
    <t>=(SUBTOTAL(9,O436:O437))</t>
  </si>
  <si>
    <t>=(SUBTOTAL(9,P436:P437))</t>
  </si>
  <si>
    <t>=(SUBTOTAL(9,Q436:Q437))</t>
  </si>
  <si>
    <t>=(SUBTOTAL(9,R436:R437))</t>
  </si>
  <si>
    <t>=(SUBTOTAL(9,S436:S437))</t>
  </si>
  <si>
    <t>=(SUBTOTAL(9,T436:T437))</t>
  </si>
  <si>
    <t>=SUBTOTAL(9,O436:T437)</t>
  </si>
  <si>
    <t>=NL("Rows","Item Ledger Entry",,"+Posting Date",$L$5,"Item No.","@@"&amp;$D436,"Location Code","@@"&amp;$E$6)</t>
  </si>
  <si>
    <t>=NL("Sum","Item Ledger Entry","Quantity","Entry Type","Purchase","Entry No.",I436,"Location Code","@@"&amp;$E$6)</t>
  </si>
  <si>
    <t>=NL("Sum","Item Ledger Entry","Quantity","Entry Type","Sale","Entry No.",I436,"Location Code","@@"&amp;$E$6)</t>
  </si>
  <si>
    <t>=NL("Sum","Item Ledger Entry","Quantity","Entry Type","Positive Adjmt.|Negative Adjmt.","Entry No.",I436,"Location Code","@@"&amp;$E$6)</t>
  </si>
  <si>
    <t>=NL("Sum","Item Ledger Entry","Quantity","Entry Type","Transfer","Entry No.",I436,"Location Code","@@"&amp;$E$6)</t>
  </si>
  <si>
    <t>=NL("Sum","Item Ledger Entry","Quantity","Entry Type","Consumption","Entry No.",I436,"Location Code","@@"&amp;$E$6)</t>
  </si>
  <si>
    <t>=NL("Sum","Item Ledger Entry","Quantity","Entry Type","Output","Entry No.",I436,"Location Code","@@"&amp;$E$6)</t>
  </si>
  <si>
    <t>=E439</t>
  </si>
  <si>
    <t>=NL("First","Item","Description","No.",$E439)</t>
  </si>
  <si>
    <t>=NL("First","Item","Base Unit of Measure","No.",$E439)</t>
  </si>
  <si>
    <t>=(SUBTOTAL(9,O440:O441))</t>
  </si>
  <si>
    <t>=(SUBTOTAL(9,P440:P441))</t>
  </si>
  <si>
    <t>=(SUBTOTAL(9,Q440:Q441))</t>
  </si>
  <si>
    <t>=(SUBTOTAL(9,R440:R441))</t>
  </si>
  <si>
    <t>=(SUBTOTAL(9,S440:S441))</t>
  </si>
  <si>
    <t>=(SUBTOTAL(9,T440:T441))</t>
  </si>
  <si>
    <t>=SUBTOTAL(9,O440:T441)</t>
  </si>
  <si>
    <t>=NL("Rows","Item Ledger Entry",,"+Posting Date",$L$5,"Item No.","@@"&amp;$D440,"Location Code","@@"&amp;$E$6)</t>
  </si>
  <si>
    <t>=NL("Sum","Item Ledger Entry","Quantity","Entry Type","Purchase","Entry No.",I440,"Location Code","@@"&amp;$E$6)</t>
  </si>
  <si>
    <t>=NL("Sum","Item Ledger Entry","Quantity","Entry Type","Sale","Entry No.",I440,"Location Code","@@"&amp;$E$6)</t>
  </si>
  <si>
    <t>=NL("Sum","Item Ledger Entry","Quantity","Entry Type","Positive Adjmt.|Negative Adjmt.","Entry No.",I440,"Location Code","@@"&amp;$E$6)</t>
  </si>
  <si>
    <t>=NL("Sum","Item Ledger Entry","Quantity","Entry Type","Transfer","Entry No.",I440,"Location Code","@@"&amp;$E$6)</t>
  </si>
  <si>
    <t>=NL("Sum","Item Ledger Entry","Quantity","Entry Type","Consumption","Entry No.",I440,"Location Code","@@"&amp;$E$6)</t>
  </si>
  <si>
    <t>=NL("Sum","Item Ledger Entry","Quantity","Entry Type","Output","Entry No.",I440,"Location Code","@@"&amp;$E$6)</t>
  </si>
  <si>
    <t>=E443</t>
  </si>
  <si>
    <t>=NL("First","Item","Description","No.",$E443)</t>
  </si>
  <si>
    <t>=NL("First","Item","Base Unit of Measure","No.",$E443)</t>
  </si>
  <si>
    <t>=NL("Rows","Item Ledger Entry",,"+Posting Date",$L$5,"Item No.","@@"&amp;$D444,"Location Code","@@"&amp;$E$6)</t>
  </si>
  <si>
    <t>=NL("Sum","Item Ledger Entry","Quantity","Entry Type","Purchase","Entry No.",I444,"Location Code","@@"&amp;$E$6)</t>
  </si>
  <si>
    <t>=NL("Sum","Item Ledger Entry","Quantity","Entry Type","Sale","Entry No.",I444,"Location Code","@@"&amp;$E$6)</t>
  </si>
  <si>
    <t>=NL("Sum","Item Ledger Entry","Quantity","Entry Type","Positive Adjmt.|Negative Adjmt.","Entry No.",I444,"Location Code","@@"&amp;$E$6)</t>
  </si>
  <si>
    <t>=NL("Sum","Item Ledger Entry","Quantity","Entry Type","Transfer","Entry No.",I444,"Location Code","@@"&amp;$E$6)</t>
  </si>
  <si>
    <t>=NL("Sum","Item Ledger Entry","Quantity","Entry Type","Consumption","Entry No.",I444,"Location Code","@@"&amp;$E$6)</t>
  </si>
  <si>
    <t>=NL("Sum","Item Ledger Entry","Quantity","Entry Type","Output","Entry No.",I444,"Location Code","@@"&amp;$E$6)</t>
  </si>
  <si>
    <t>=NL("Sum","Item Ledger Entry","Quantity","Entry Type","Purchase","Entry No.",I445,"Location Code","@@"&amp;$E$6)</t>
  </si>
  <si>
    <t>=NL("Sum","Item Ledger Entry","Quantity","Entry Type","Sale","Entry No.",I445,"Location Code","@@"&amp;$E$6)</t>
  </si>
  <si>
    <t>=NL("Sum","Item Ledger Entry","Quantity","Entry Type","Positive Adjmt.|Negative Adjmt.","Entry No.",I445,"Location Code","@@"&amp;$E$6)</t>
  </si>
  <si>
    <t>=NL("Sum","Item Ledger Entry","Quantity","Entry Type","Transfer","Entry No.",I445,"Location Code","@@"&amp;$E$6)</t>
  </si>
  <si>
    <t>=NL("Sum","Item Ledger Entry","Quantity","Entry Type","Consumption","Entry No.",I445,"Location Code","@@"&amp;$E$6)</t>
  </si>
  <si>
    <t>=NL("Sum","Item Ledger Entry","Quantity","Entry Type","Output","Entry No.",I445,"Location Code","@@"&amp;$E$6)</t>
  </si>
  <si>
    <t>=NL("Sum","Item Ledger Entry","Quantity","Entry Type","Purchase","Entry No.",I453,"Location Code","@@"&amp;$E$6)</t>
  </si>
  <si>
    <t>=NL("Sum","Item Ledger Entry","Quantity","Entry Type","Sale","Entry No.",I453,"Location Code","@@"&amp;$E$6)</t>
  </si>
  <si>
    <t>=NL("Sum","Item Ledger Entry","Quantity","Entry Type","Positive Adjmt.|Negative Adjmt.","Entry No.",I453,"Location Code","@@"&amp;$E$6)</t>
  </si>
  <si>
    <t>=NL("Sum","Item Ledger Entry","Quantity","Entry Type","Transfer","Entry No.",I453,"Location Code","@@"&amp;$E$6)</t>
  </si>
  <si>
    <t>=NL("Sum","Item Ledger Entry","Quantity","Entry Type","Consumption","Entry No.",I453,"Location Code","@@"&amp;$E$6)</t>
  </si>
  <si>
    <t>=NL("Sum","Item Ledger Entry","Quantity","Entry Type","Output","Entry No.",I453,"Location Code","@@"&amp;$E$6)</t>
  </si>
  <si>
    <t>=D456</t>
  </si>
  <si>
    <t>=NF($G457,"Posting Date")</t>
  </si>
  <si>
    <t>=NF($G457,"Entry No.")</t>
  </si>
  <si>
    <t>=NF(G457,"Source Type")</t>
  </si>
  <si>
    <t>=NF($G457,"Source No.")</t>
  </si>
  <si>
    <t>=IF($J457="Customer",NL("first",$J457,"Name","No.","@@"&amp;$K457),"")</t>
  </si>
  <si>
    <t>=IF(J457="vendor",NL("first",J457,"Name","No.","@@"&amp;K457),"")</t>
  </si>
  <si>
    <t>=IF($J457="Item",NL("first",$J457,"Description","No.","@@"&amp;$K457),"")</t>
  </si>
  <si>
    <t>=NL("Sum","Item Ledger Entry","Quantity","Entry Type","Purchase","Entry No.",I457,"Location Code","@@"&amp;$E$6)</t>
  </si>
  <si>
    <t>=NL("Sum","Item Ledger Entry","Quantity","Entry Type","Sale","Entry No.",I457,"Location Code","@@"&amp;$E$6)</t>
  </si>
  <si>
    <t>=NL("Sum","Item Ledger Entry","Quantity","Entry Type","Positive Adjmt.|Negative Adjmt.","Entry No.",I457,"Location Code","@@"&amp;$E$6)</t>
  </si>
  <si>
    <t>=NL("Sum","Item Ledger Entry","Quantity","Entry Type","Transfer","Entry No.",I457,"Location Code","@@"&amp;$E$6)</t>
  </si>
  <si>
    <t>=NL("Sum","Item Ledger Entry","Quantity","Entry Type","Consumption","Entry No.",I457,"Location Code","@@"&amp;$E$6)</t>
  </si>
  <si>
    <t>=NL("Sum","Item Ledger Entry","Quantity","Entry Type","Output","Entry No.",I457,"Location Code","@@"&amp;$E$6)</t>
  </si>
  <si>
    <t>=(SUBTOTAL(9,O83:O85))</t>
  </si>
  <si>
    <t>=(SUBTOTAL(9,P83:P85))</t>
  </si>
  <si>
    <t>=(SUBTOTAL(9,Q83:Q85))</t>
  </si>
  <si>
    <t>=(SUBTOTAL(9,R83:R85))</t>
  </si>
  <si>
    <t>=(SUBTOTAL(9,S83:S85))</t>
  </si>
  <si>
    <t>=(SUBTOTAL(9,T83:T85))</t>
  </si>
  <si>
    <t>=SUBTOTAL(9,O83:T85)</t>
  </si>
  <si>
    <t>=(SUBTOTAL(9,O97:O98))</t>
  </si>
  <si>
    <t>=(SUBTOTAL(9,P97:P98))</t>
  </si>
  <si>
    <t>=(SUBTOTAL(9,Q97:Q98))</t>
  </si>
  <si>
    <t>=(SUBTOTAL(9,R97:R98))</t>
  </si>
  <si>
    <t>=(SUBTOTAL(9,S97:S98))</t>
  </si>
  <si>
    <t>=(SUBTOTAL(9,T97:T98))</t>
  </si>
  <si>
    <t>=SUBTOTAL(9,O97:T98)</t>
  </si>
  <si>
    <t>=(SUBTOTAL(9,O101:O102))</t>
  </si>
  <si>
    <t>=(SUBTOTAL(9,P101:P102))</t>
  </si>
  <si>
    <t>=(SUBTOTAL(9,Q101:Q102))</t>
  </si>
  <si>
    <t>=(SUBTOTAL(9,R101:R102))</t>
  </si>
  <si>
    <t>=(SUBTOTAL(9,S101:S102))</t>
  </si>
  <si>
    <t>=(SUBTOTAL(9,T101:T102))</t>
  </si>
  <si>
    <t>=SUBTOTAL(9,O101:T102)</t>
  </si>
  <si>
    <t>=NL("Sum","Item Ledger Entry","Quantity","Entry Type","Purchase","Entry No.",I118,"Location Code","@@"&amp;$E$6)</t>
  </si>
  <si>
    <t>=NL("Sum","Item Ledger Entry","Quantity","Entry Type","Sale","Entry No.",I118,"Location Code","@@"&amp;$E$6)</t>
  </si>
  <si>
    <t>=NL("Sum","Item Ledger Entry","Quantity","Entry Type","Positive Adjmt.|Negative Adjmt.","Entry No.",I118,"Location Code","@@"&amp;$E$6)</t>
  </si>
  <si>
    <t>=NL("Sum","Item Ledger Entry","Quantity","Entry Type","Transfer","Entry No.",I118,"Location Code","@@"&amp;$E$6)</t>
  </si>
  <si>
    <t>=NL("Sum","Item Ledger Entry","Quantity","Entry Type","Consumption","Entry No.",I118,"Location Code","@@"&amp;$E$6)</t>
  </si>
  <si>
    <t>=NL("Sum","Item Ledger Entry","Quantity","Entry Type","Output","Entry No.",I118,"Location Code","@@"&amp;$E$6)</t>
  </si>
  <si>
    <t>=E143</t>
  </si>
  <si>
    <t>=NL("First","Item","Description","No.",$E143)</t>
  </si>
  <si>
    <t>=NL("First","Item","Base Unit of Measure","No.",$E143)</t>
  </si>
  <si>
    <t>=NL("Rows","Item Ledger Entry",,"+Posting Date",$L$5,"Item No.","@@"&amp;$D144,"Location Code","@@"&amp;$E$6)</t>
  </si>
  <si>
    <t>=NL("Sum","Item Ledger Entry","Quantity","Entry Type","Purchase","Entry No.",I148,"Location Code","@@"&amp;$E$6)</t>
  </si>
  <si>
    <t>=NL("Sum","Item Ledger Entry","Quantity","Entry Type","Sale","Entry No.",I148,"Location Code","@@"&amp;$E$6)</t>
  </si>
  <si>
    <t>=NL("Sum","Item Ledger Entry","Quantity","Entry Type","Positive Adjmt.|Negative Adjmt.","Entry No.",I148,"Location Code","@@"&amp;$E$6)</t>
  </si>
  <si>
    <t>=NL("Sum","Item Ledger Entry","Quantity","Entry Type","Transfer","Entry No.",I148,"Location Code","@@"&amp;$E$6)</t>
  </si>
  <si>
    <t>=NL("Sum","Item Ledger Entry","Quantity","Entry Type","Consumption","Entry No.",I148,"Location Code","@@"&amp;$E$6)</t>
  </si>
  <si>
    <t>=NL("Sum","Item Ledger Entry","Quantity","Entry Type","Output","Entry No.",I148,"Location Code","@@"&amp;$E$6)</t>
  </si>
  <si>
    <t>=(SUBTOTAL(9,O192:O193))</t>
  </si>
  <si>
    <t>=(SUBTOTAL(9,P192:P193))</t>
  </si>
  <si>
    <t>=(SUBTOTAL(9,Q192:Q193))</t>
  </si>
  <si>
    <t>=(SUBTOTAL(9,R192:R193))</t>
  </si>
  <si>
    <t>=(SUBTOTAL(9,S192:S193))</t>
  </si>
  <si>
    <t>=(SUBTOTAL(9,T192:T193))</t>
  </si>
  <si>
    <t>=SUBTOTAL(9,O192:T193)</t>
  </si>
  <si>
    <t>=(SUBTOTAL(9,O200:O203))</t>
  </si>
  <si>
    <t>=(SUBTOTAL(9,P200:P203))</t>
  </si>
  <si>
    <t>=(SUBTOTAL(9,Q200:Q203))</t>
  </si>
  <si>
    <t>=(SUBTOTAL(9,R200:R203))</t>
  </si>
  <si>
    <t>=(SUBTOTAL(9,S200:S203))</t>
  </si>
  <si>
    <t>=(SUBTOTAL(9,T200:T203))</t>
  </si>
  <si>
    <t>=SUBTOTAL(9,O200:T203)</t>
  </si>
  <si>
    <t>=(SUBTOTAL(9,O206:O207))</t>
  </si>
  <si>
    <t>=(SUBTOTAL(9,P206:P207))</t>
  </si>
  <si>
    <t>=(SUBTOTAL(9,Q206:Q207))</t>
  </si>
  <si>
    <t>=(SUBTOTAL(9,R206:R207))</t>
  </si>
  <si>
    <t>=(SUBTOTAL(9,S206:S207))</t>
  </si>
  <si>
    <t>=(SUBTOTAL(9,T206:T207))</t>
  </si>
  <si>
    <t>=SUBTOTAL(9,O206:T207)</t>
  </si>
  <si>
    <t>=(SUBTOTAL(9,O239:O241))</t>
  </si>
  <si>
    <t>=(SUBTOTAL(9,P239:P241))</t>
  </si>
  <si>
    <t>=(SUBTOTAL(9,Q239:Q241))</t>
  </si>
  <si>
    <t>=(SUBTOTAL(9,R239:R241))</t>
  </si>
  <si>
    <t>=(SUBTOTAL(9,S239:S241))</t>
  </si>
  <si>
    <t>=(SUBTOTAL(9,T239:T241))</t>
  </si>
  <si>
    <t>=SUBTOTAL(9,O239:T241)</t>
  </si>
  <si>
    <t>=E259</t>
  </si>
  <si>
    <t>=NL("First","Item","Description","No.",$E259)</t>
  </si>
  <si>
    <t>=NL("First","Item","Base Unit of Measure","No.",$E259)</t>
  </si>
  <si>
    <t>=(SUBTOTAL(9,O260:O262))</t>
  </si>
  <si>
    <t>=(SUBTOTAL(9,P260:P262))</t>
  </si>
  <si>
    <t>=(SUBTOTAL(9,Q260:Q262))</t>
  </si>
  <si>
    <t>=(SUBTOTAL(9,R260:R262))</t>
  </si>
  <si>
    <t>=(SUBTOTAL(9,S260:S262))</t>
  </si>
  <si>
    <t>=(SUBTOTAL(9,T260:T262))</t>
  </si>
  <si>
    <t>=SUBTOTAL(9,O260:T262)</t>
  </si>
  <si>
    <t>=NL("Rows","Item Ledger Entry",,"+Posting Date",$L$5,"Item No.","@@"&amp;$D260,"Location Code","@@"&amp;$E$6)</t>
  </si>
  <si>
    <t>=E290</t>
  </si>
  <si>
    <t>=NL("First","Item","Description","No.",$E290)</t>
  </si>
  <si>
    <t>=NL("First","Item","Base Unit of Measure","No.",$E290)</t>
  </si>
  <si>
    <t>=NL("Rows","Item Ledger Entry",,"+Posting Date",$L$5,"Item No.","@@"&amp;$D291,"Location Code","@@"&amp;$E$6)</t>
  </si>
  <si>
    <t>=NL("Sum","Item Ledger Entry","Quantity","Entry Type","Purchase","Entry No.",I291,"Location Code","@@"&amp;$E$6)</t>
  </si>
  <si>
    <t>=NL("Sum","Item Ledger Entry","Quantity","Entry Type","Sale","Entry No.",I291,"Location Code","@@"&amp;$E$6)</t>
  </si>
  <si>
    <t>=NL("Sum","Item Ledger Entry","Quantity","Entry Type","Positive Adjmt.|Negative Adjmt.","Entry No.",I291,"Location Code","@@"&amp;$E$6)</t>
  </si>
  <si>
    <t>=NL("Sum","Item Ledger Entry","Quantity","Entry Type","Transfer","Entry No.",I291,"Location Code","@@"&amp;$E$6)</t>
  </si>
  <si>
    <t>=NL("Sum","Item Ledger Entry","Quantity","Entry Type","Consumption","Entry No.",I291,"Location Code","@@"&amp;$E$6)</t>
  </si>
  <si>
    <t>=NL("Sum","Item Ledger Entry","Quantity","Entry Type","Output","Entry No.",I291,"Location Code","@@"&amp;$E$6)</t>
  </si>
  <si>
    <t>=(SUBTOTAL(9,O330:O332))</t>
  </si>
  <si>
    <t>=(SUBTOTAL(9,P330:P332))</t>
  </si>
  <si>
    <t>=(SUBTOTAL(9,Q330:Q332))</t>
  </si>
  <si>
    <t>=(SUBTOTAL(9,R330:R332))</t>
  </si>
  <si>
    <t>=(SUBTOTAL(9,S330:S332))</t>
  </si>
  <si>
    <t>=(SUBTOTAL(9,T330:T332))</t>
  </si>
  <si>
    <t>=SUBTOTAL(9,O330:T332)</t>
  </si>
  <si>
    <t>=E348</t>
  </si>
  <si>
    <t>=NL("First","Item","Description","No.",$E348)</t>
  </si>
  <si>
    <t>=NL("First","Item","Base Unit of Measure","No.",$E348)</t>
  </si>
  <si>
    <t>=NL("Rows","Item Ledger Entry",,"+Posting Date",$L$5,"Item No.","@@"&amp;$D349,"Location Code","@@"&amp;$E$6)</t>
  </si>
  <si>
    <t>=(SUBTOTAL(9,O122:O123))</t>
  </si>
  <si>
    <t>=(SUBTOTAL(9,P122:P123))</t>
  </si>
  <si>
    <t>=(SUBTOTAL(9,Q122:Q123))</t>
  </si>
  <si>
    <t>=(SUBTOTAL(9,R122:R123))</t>
  </si>
  <si>
    <t>=(SUBTOTAL(9,S122:S123))</t>
  </si>
  <si>
    <t>=(SUBTOTAL(9,T122:T123))</t>
  </si>
  <si>
    <t>=SUBTOTAL(9,O122:T123)</t>
  </si>
  <si>
    <t>=NL("Rows","Item Ledger Entry",,"+Posting Date",$L$5,"Item No.","@@"&amp;$D122,"Location Code","@@"&amp;$E$6)</t>
  </si>
  <si>
    <t>=(SUBTOTAL(9,O126:O127))</t>
  </si>
  <si>
    <t>=(SUBTOTAL(9,P126:P127))</t>
  </si>
  <si>
    <t>=(SUBTOTAL(9,Q126:Q127))</t>
  </si>
  <si>
    <t>=(SUBTOTAL(9,R126:R127))</t>
  </si>
  <si>
    <t>=(SUBTOTAL(9,S126:S127))</t>
  </si>
  <si>
    <t>=(SUBTOTAL(9,T126:T127))</t>
  </si>
  <si>
    <t>=SUBTOTAL(9,O126:T127)</t>
  </si>
  <si>
    <t>=(SUBTOTAL(9,O130:O131))</t>
  </si>
  <si>
    <t>=(SUBTOTAL(9,P130:P131))</t>
  </si>
  <si>
    <t>=(SUBTOTAL(9,Q130:Q131))</t>
  </si>
  <si>
    <t>=(SUBTOTAL(9,R130:R131))</t>
  </si>
  <si>
    <t>=(SUBTOTAL(9,S130:S131))</t>
  </si>
  <si>
    <t>=(SUBTOTAL(9,T130:T131))</t>
  </si>
  <si>
    <t>=SUBTOTAL(9,O130:T131)</t>
  </si>
  <si>
    <t>=NL("Rows","Item Ledger Entry",,"+Posting Date",$L$5,"Item No.","@@"&amp;$D130,"Location Code","@@"&amp;$E$6)</t>
  </si>
  <si>
    <t>=(SUBTOTAL(9,O138:O140))</t>
  </si>
  <si>
    <t>=(SUBTOTAL(9,P138:P140))</t>
  </si>
  <si>
    <t>=(SUBTOTAL(9,Q138:Q140))</t>
  </si>
  <si>
    <t>=(SUBTOTAL(9,R138:R140))</t>
  </si>
  <si>
    <t>=(SUBTOTAL(9,S138:S140))</t>
  </si>
  <si>
    <t>=(SUBTOTAL(9,T138:T140))</t>
  </si>
  <si>
    <t>=SUBTOTAL(9,O138:T140)</t>
  </si>
  <si>
    <t>=(SUBTOTAL(9,O175:O177))</t>
  </si>
  <si>
    <t>=(SUBTOTAL(9,P175:P177))</t>
  </si>
  <si>
    <t>=(SUBTOTAL(9,Q175:Q177))</t>
  </si>
  <si>
    <t>=(SUBTOTAL(9,R175:R177))</t>
  </si>
  <si>
    <t>=(SUBTOTAL(9,S175:S177))</t>
  </si>
  <si>
    <t>=(SUBTOTAL(9,T175:T177))</t>
  </si>
  <si>
    <t>=SUBTOTAL(9,O175:T177)</t>
  </si>
  <si>
    <t>=E179</t>
  </si>
  <si>
    <t>=NL("First","Item","Description","No.",$E179)</t>
  </si>
  <si>
    <t>=NL("First","Item","Base Unit of Measure","No.",$E179)</t>
  </si>
  <si>
    <t>=(SUBTOTAL(9,O180:O181))</t>
  </si>
  <si>
    <t>=(SUBTOTAL(9,P180:P181))</t>
  </si>
  <si>
    <t>=(SUBTOTAL(9,Q180:Q181))</t>
  </si>
  <si>
    <t>=(SUBTOTAL(9,R180:R181))</t>
  </si>
  <si>
    <t>=(SUBTOTAL(9,S180:S181))</t>
  </si>
  <si>
    <t>=(SUBTOTAL(9,T180:T181))</t>
  </si>
  <si>
    <t>=SUBTOTAL(9,O180:T181)</t>
  </si>
  <si>
    <t>=NL("Rows","Item Ledger Entry",,"+Posting Date",$L$5,"Item No.","@@"&amp;$D180,"Location Code","@@"&amp;$E$6)</t>
  </si>
  <si>
    <t>=(SUBTOTAL(9,O184:O186))</t>
  </si>
  <si>
    <t>=(SUBTOTAL(9,P184:P186))</t>
  </si>
  <si>
    <t>=(SUBTOTAL(9,Q184:Q186))</t>
  </si>
  <si>
    <t>=(SUBTOTAL(9,R184:R186))</t>
  </si>
  <si>
    <t>=(SUBTOTAL(9,S184:S186))</t>
  </si>
  <si>
    <t>=(SUBTOTAL(9,T184:T186))</t>
  </si>
  <si>
    <t>=SUBTOTAL(9,O184:T186)</t>
  </si>
  <si>
    <t>=E214</t>
  </si>
  <si>
    <t>=NL("First","Item","Description","No.",$E214)</t>
  </si>
  <si>
    <t>=NL("First","Item","Base Unit of Measure","No.",$E214)</t>
  </si>
  <si>
    <t>=(SUBTOTAL(9,O215:O217))</t>
  </si>
  <si>
    <t>=(SUBTOTAL(9,P215:P217))</t>
  </si>
  <si>
    <t>=(SUBTOTAL(9,Q215:Q217))</t>
  </si>
  <si>
    <t>=(SUBTOTAL(9,R215:R217))</t>
  </si>
  <si>
    <t>=(SUBTOTAL(9,S215:S217))</t>
  </si>
  <si>
    <t>=(SUBTOTAL(9,T215:T217))</t>
  </si>
  <si>
    <t>=SUBTOTAL(9,O215:T217)</t>
  </si>
  <si>
    <t>=NL("Rows","Item Ledger Entry",,"+Posting Date",$L$5,"Item No.","@@"&amp;$D215,"Location Code","@@"&amp;$E$6)</t>
  </si>
  <si>
    <t>=(SUBTOTAL(9,O269:O271))</t>
  </si>
  <si>
    <t>=(SUBTOTAL(9,P269:P271))</t>
  </si>
  <si>
    <t>=(SUBTOTAL(9,Q269:Q271))</t>
  </si>
  <si>
    <t>=(SUBTOTAL(9,R269:R271))</t>
  </si>
  <si>
    <t>=(SUBTOTAL(9,S269:S271))</t>
  </si>
  <si>
    <t>=(SUBTOTAL(9,T269:T271))</t>
  </si>
  <si>
    <t>=SUBTOTAL(9,O269:T271)</t>
  </si>
  <si>
    <t>=NL("Rows","Item Ledger Entry",,"+Posting Date",$L$5,"Item No.","@@"&amp;$D269,"Location Code","@@"&amp;$E$6)</t>
  </si>
  <si>
    <t>=NL("Sum","Item Ledger Entry","Quantity","Entry Type","Purchase","Entry No.",I269,"Location Code","@@"&amp;$E$6)</t>
  </si>
  <si>
    <t>=NL("Sum","Item Ledger Entry","Quantity","Entry Type","Sale","Entry No.",I269,"Location Code","@@"&amp;$E$6)</t>
  </si>
  <si>
    <t>=NL("Sum","Item Ledger Entry","Quantity","Entry Type","Positive Adjmt.|Negative Adjmt.","Entry No.",I269,"Location Code","@@"&amp;$E$6)</t>
  </si>
  <si>
    <t>=NL("Sum","Item Ledger Entry","Quantity","Entry Type","Transfer","Entry No.",I269,"Location Code","@@"&amp;$E$6)</t>
  </si>
  <si>
    <t>=NL("Sum","Item Ledger Entry","Quantity","Entry Type","Consumption","Entry No.",I269,"Location Code","@@"&amp;$E$6)</t>
  </si>
  <si>
    <t>=NL("Sum","Item Ledger Entry","Quantity","Entry Type","Output","Entry No.",I269,"Location Code","@@"&amp;$E$6)</t>
  </si>
  <si>
    <t>=E273</t>
  </si>
  <si>
    <t>=NL("First","Item","Description","No.",$E273)</t>
  </si>
  <si>
    <t>=NL("First","Item","Base Unit of Measure","No.",$E273)</t>
  </si>
  <si>
    <t>=NL("Rows","Item Ledger Entry",,"+Posting Date",$L$5,"Item No.","@@"&amp;$D274,"Location Code","@@"&amp;$E$6)</t>
  </si>
  <si>
    <t>=NL("Sum","Item Ledger Entry","Quantity","Entry Type","Purchase","Entry No.",I274,"Location Code","@@"&amp;$E$6)</t>
  </si>
  <si>
    <t>=NL("Sum","Item Ledger Entry","Quantity","Entry Type","Sale","Entry No.",I274,"Location Code","@@"&amp;$E$6)</t>
  </si>
  <si>
    <t>=NL("Sum","Item Ledger Entry","Quantity","Entry Type","Positive Adjmt.|Negative Adjmt.","Entry No.",I274,"Location Code","@@"&amp;$E$6)</t>
  </si>
  <si>
    <t>=NL("Sum","Item Ledger Entry","Quantity","Entry Type","Transfer","Entry No.",I274,"Location Code","@@"&amp;$E$6)</t>
  </si>
  <si>
    <t>=NL("Sum","Item Ledger Entry","Quantity","Entry Type","Consumption","Entry No.",I274,"Location Code","@@"&amp;$E$6)</t>
  </si>
  <si>
    <t>=NL("Sum","Item Ledger Entry","Quantity","Entry Type","Output","Entry No.",I274,"Location Code","@@"&amp;$E$6)</t>
  </si>
  <si>
    <t>=E277</t>
  </si>
  <si>
    <t>=NL("First","Item","Description","No.",$E277)</t>
  </si>
  <si>
    <t>=NL("First","Item","Base Unit of Measure","No.",$E277)</t>
  </si>
  <si>
    <t>=NL("Rows","Item Ledger Entry",,"+Posting Date",$L$5,"Item No.","@@"&amp;$D278,"Location Code","@@"&amp;$E$6)</t>
  </si>
  <si>
    <t>=E289</t>
  </si>
  <si>
    <t>=NL("First","Item","Description","No.",$E289)</t>
  </si>
  <si>
    <t>=NL("First","Item","Base Unit of Measure","No.",$E289)</t>
  </si>
  <si>
    <t>=NL("Rows","Item Ledger Entry",,"+Posting Date",$L$5,"Item No.","@@"&amp;$D290,"Location Code","@@"&amp;$E$6)</t>
  </si>
  <si>
    <t>=NL("Sum","Item Ledger Entry","Quantity","Entry Type","Purchase","Entry No.",I290,"Location Code","@@"&amp;$E$6)</t>
  </si>
  <si>
    <t>=NL("Sum","Item Ledger Entry","Quantity","Entry Type","Sale","Entry No.",I290,"Location Code","@@"&amp;$E$6)</t>
  </si>
  <si>
    <t>=NL("Sum","Item Ledger Entry","Quantity","Entry Type","Positive Adjmt.|Negative Adjmt.","Entry No.",I290,"Location Code","@@"&amp;$E$6)</t>
  </si>
  <si>
    <t>=NL("Sum","Item Ledger Entry","Quantity","Entry Type","Transfer","Entry No.",I290,"Location Code","@@"&amp;$E$6)</t>
  </si>
  <si>
    <t>=NL("Sum","Item Ledger Entry","Quantity","Entry Type","Consumption","Entry No.",I290,"Location Code","@@"&amp;$E$6)</t>
  </si>
  <si>
    <t>=NL("Sum","Item Ledger Entry","Quantity","Entry Type","Output","Entry No.",I290,"Location Code","@@"&amp;$E$6)</t>
  </si>
  <si>
    <t>=E293</t>
  </si>
  <si>
    <t>=NL("First","Item","Description","No.",$E293)</t>
  </si>
  <si>
    <t>=NL("First","Item","Base Unit of Measure","No.",$E293)</t>
  </si>
  <si>
    <t>=NL("Rows","Item Ledger Entry",,"+Posting Date",$L$5,"Item No.","@@"&amp;$D294,"Location Code","@@"&amp;$E$6)</t>
  </si>
  <si>
    <t>=E323</t>
  </si>
  <si>
    <t>=NL("First","Item","Description","No.",$E323)</t>
  </si>
  <si>
    <t>=NL("First","Item","Base Unit of Measure","No.",$E323)</t>
  </si>
  <si>
    <t>=(SUBTOTAL(9,O324:O325))</t>
  </si>
  <si>
    <t>=(SUBTOTAL(9,P324:P325))</t>
  </si>
  <si>
    <t>=(SUBTOTAL(9,Q324:Q325))</t>
  </si>
  <si>
    <t>=(SUBTOTAL(9,R324:R325))</t>
  </si>
  <si>
    <t>=(SUBTOTAL(9,S324:S325))</t>
  </si>
  <si>
    <t>=(SUBTOTAL(9,T324:T325))</t>
  </si>
  <si>
    <t>=SUBTOTAL(9,O324:T325)</t>
  </si>
  <si>
    <t>=NL("Rows","Item Ledger Entry",,"+Posting Date",$L$5,"Item No.","@@"&amp;$D324,"Location Code","@@"&amp;$E$6)</t>
  </si>
  <si>
    <t>=E327</t>
  </si>
  <si>
    <t>=NL("First","Item","Description","No.",$E327)</t>
  </si>
  <si>
    <t>=NL("First","Item","Base Unit of Measure","No.",$E327)</t>
  </si>
  <si>
    <t>=NL("Rows","Item Ledger Entry",,"+Posting Date",$L$5,"Item No.","@@"&amp;$D328,"Location Code","@@"&amp;$E$6)</t>
  </si>
  <si>
    <t>=NL("Rows","Item Ledger Entry",,"+Posting Date",$L$5,"Item No.","@@"&amp;$D333,"Location Code","@@"&amp;$E$6)</t>
  </si>
  <si>
    <t>=NL("Sum","Item Ledger Entry","Quantity","Entry Type","Purchase","Entry No.",I333,"Location Code","@@"&amp;$E$6)</t>
  </si>
  <si>
    <t>=NL("Sum","Item Ledger Entry","Quantity","Entry Type","Sale","Entry No.",I333,"Location Code","@@"&amp;$E$6)</t>
  </si>
  <si>
    <t>=NL("Sum","Item Ledger Entry","Quantity","Entry Type","Positive Adjmt.|Negative Adjmt.","Entry No.",I333,"Location Code","@@"&amp;$E$6)</t>
  </si>
  <si>
    <t>=NL("Sum","Item Ledger Entry","Quantity","Entry Type","Transfer","Entry No.",I333,"Location Code","@@"&amp;$E$6)</t>
  </si>
  <si>
    <t>=NL("Sum","Item Ledger Entry","Quantity","Entry Type","Consumption","Entry No.",I333,"Location Code","@@"&amp;$E$6)</t>
  </si>
  <si>
    <t>=NL("Sum","Item Ledger Entry","Quantity","Entry Type","Output","Entry No.",I333,"Location Code","@@"&amp;$E$6)</t>
  </si>
  <si>
    <t>=E343</t>
  </si>
  <si>
    <t>=NL("First","Item","Description","No.",$E343)</t>
  </si>
  <si>
    <t>=NL("First","Item","Base Unit of Measure","No.",$E343)</t>
  </si>
  <si>
    <t>=(SUBTOTAL(9,O344:O345))</t>
  </si>
  <si>
    <t>=(SUBTOTAL(9,P344:P345))</t>
  </si>
  <si>
    <t>=(SUBTOTAL(9,Q344:Q345))</t>
  </si>
  <si>
    <t>=(SUBTOTAL(9,R344:R345))</t>
  </si>
  <si>
    <t>=(SUBTOTAL(9,S344:S345))</t>
  </si>
  <si>
    <t>=(SUBTOTAL(9,T344:T345))</t>
  </si>
  <si>
    <t>=SUBTOTAL(9,O344:T345)</t>
  </si>
  <si>
    <t>=NL("Rows","Item Ledger Entry",,"+Posting Date",$L$5,"Item No.","@@"&amp;$D344,"Location Code","@@"&amp;$E$6)</t>
  </si>
  <si>
    <t>=E383</t>
  </si>
  <si>
    <t>=NL("First","Item","Description","No.",$E383)</t>
  </si>
  <si>
    <t>=NL("First","Item","Base Unit of Measure","No.",$E383)</t>
  </si>
  <si>
    <t>=NL("Rows","Item Ledger Entry",,"+Posting Date",$L$5,"Item No.","@@"&amp;$D384,"Location Code","@@"&amp;$E$6)</t>
  </si>
  <si>
    <t>=NL("Sum","Item Ledger Entry","Quantity","Entry Type","Purchase","Entry No.",I384,"Location Code","@@"&amp;$E$6)</t>
  </si>
  <si>
    <t>=NL("Sum","Item Ledger Entry","Quantity","Entry Type","Sale","Entry No.",I384,"Location Code","@@"&amp;$E$6)</t>
  </si>
  <si>
    <t>=NL("Sum","Item Ledger Entry","Quantity","Entry Type","Positive Adjmt.|Negative Adjmt.","Entry No.",I384,"Location Code","@@"&amp;$E$6)</t>
  </si>
  <si>
    <t>=NL("Sum","Item Ledger Entry","Quantity","Entry Type","Transfer","Entry No.",I384,"Location Code","@@"&amp;$E$6)</t>
  </si>
  <si>
    <t>=NL("Sum","Item Ledger Entry","Quantity","Entry Type","Consumption","Entry No.",I384,"Location Code","@@"&amp;$E$6)</t>
  </si>
  <si>
    <t>=NL("Sum","Item Ledger Entry","Quantity","Entry Type","Output","Entry No.",I384,"Location Code","@@"&amp;$E$6)</t>
  </si>
  <si>
    <t>=NL("Rows","Item Ledger Entry",,"+Posting Date",$L$5,"Item No.","@@"&amp;$D390,"Location Code","@@"&amp;$E$6)</t>
  </si>
  <si>
    <t>=(SUBTOTAL(9,O394:O395))</t>
  </si>
  <si>
    <t>=(SUBTOTAL(9,P394:P395))</t>
  </si>
  <si>
    <t>=(SUBTOTAL(9,Q394:Q395))</t>
  </si>
  <si>
    <t>=(SUBTOTAL(9,R394:R395))</t>
  </si>
  <si>
    <t>=(SUBTOTAL(9,S394:S395))</t>
  </si>
  <si>
    <t>=(SUBTOTAL(9,T394:T395))</t>
  </si>
  <si>
    <t>=SUBTOTAL(9,O394:T395)</t>
  </si>
  <si>
    <t>=NL("Rows","Item Ledger Entry",,"+Posting Date",$L$5,"Item No.","@@"&amp;$D69,"Location Code","@@"&amp;$E$6)</t>
  </si>
  <si>
    <t>=(SUBTOTAL(9,O75:O76))</t>
  </si>
  <si>
    <t>=(SUBTOTAL(9,P75:P76))</t>
  </si>
  <si>
    <t>=(SUBTOTAL(9,Q75:Q76))</t>
  </si>
  <si>
    <t>=(SUBTOTAL(9,R75:R76))</t>
  </si>
  <si>
    <t>=(SUBTOTAL(9,S75:S76))</t>
  </si>
  <si>
    <t>=(SUBTOTAL(9,T75:T76))</t>
  </si>
  <si>
    <t>=SUBTOTAL(9,O75:T76)</t>
  </si>
  <si>
    <t>=E112</t>
  </si>
  <si>
    <t>=NL("First","Item","Description","No.",$E112)</t>
  </si>
  <si>
    <t>=NL("First","Item","Base Unit of Measure","No.",$E112)</t>
  </si>
  <si>
    <t>=NL("Rows","Item Ledger Entry",,"+Posting Date",$L$5,"Item No.","@@"&amp;$D113,"Location Code","@@"&amp;$E$6)</t>
  </si>
  <si>
    <t>=(SUBTOTAL(9,O187:O189))</t>
  </si>
  <si>
    <t>=(SUBTOTAL(9,P187:P189))</t>
  </si>
  <si>
    <t>=(SUBTOTAL(9,Q187:Q189))</t>
  </si>
  <si>
    <t>=(SUBTOTAL(9,R187:R189))</t>
  </si>
  <si>
    <t>=(SUBTOTAL(9,S187:S189))</t>
  </si>
  <si>
    <t>=(SUBTOTAL(9,T187:T189))</t>
  </si>
  <si>
    <t>=SUBTOTAL(9,O187:T189)</t>
  </si>
  <si>
    <t>=(SUBTOTAL(9,O225:O227))</t>
  </si>
  <si>
    <t>=(SUBTOTAL(9,P225:P227))</t>
  </si>
  <si>
    <t>=(SUBTOTAL(9,Q225:Q227))</t>
  </si>
  <si>
    <t>=(SUBTOTAL(9,R225:R227))</t>
  </si>
  <si>
    <t>=(SUBTOTAL(9,S225:S227))</t>
  </si>
  <si>
    <t>=(SUBTOTAL(9,T225:T227))</t>
  </si>
  <si>
    <t>=SUBTOTAL(9,O225:T227)</t>
  </si>
  <si>
    <t>=E229</t>
  </si>
  <si>
    <t>=NL("First","Item","Description","No.",$E229)</t>
  </si>
  <si>
    <t>=NL("First","Item","Base Unit of Measure","No.",$E229)</t>
  </si>
  <si>
    <t>=(SUBTOTAL(9,O230:O231))</t>
  </si>
  <si>
    <t>=(SUBTOTAL(9,P230:P231))</t>
  </si>
  <si>
    <t>=(SUBTOTAL(9,Q230:Q231))</t>
  </si>
  <si>
    <t>=(SUBTOTAL(9,R230:R231))</t>
  </si>
  <si>
    <t>=(SUBTOTAL(9,S230:S231))</t>
  </si>
  <si>
    <t>=(SUBTOTAL(9,T230:T231))</t>
  </si>
  <si>
    <t>=SUBTOTAL(9,O230:T231)</t>
  </si>
  <si>
    <t>=NL("Rows","Item Ledger Entry",,"+Posting Date",$L$5,"Item No.","@@"&amp;$D230,"Location Code","@@"&amp;$E$6)</t>
  </si>
  <si>
    <t>=NL("Sum","Item Ledger Entry","Quantity","Entry Type","Purchase","Entry No.",I230,"Location Code","@@"&amp;$E$6)</t>
  </si>
  <si>
    <t>=NL("Sum","Item Ledger Entry","Quantity","Entry Type","Sale","Entry No.",I230,"Location Code","@@"&amp;$E$6)</t>
  </si>
  <si>
    <t>=NL("Sum","Item Ledger Entry","Quantity","Entry Type","Positive Adjmt.|Negative Adjmt.","Entry No.",I230,"Location Code","@@"&amp;$E$6)</t>
  </si>
  <si>
    <t>=NL("Sum","Item Ledger Entry","Quantity","Entry Type","Transfer","Entry No.",I230,"Location Code","@@"&amp;$E$6)</t>
  </si>
  <si>
    <t>=NL("Sum","Item Ledger Entry","Quantity","Entry Type","Consumption","Entry No.",I230,"Location Code","@@"&amp;$E$6)</t>
  </si>
  <si>
    <t>=NL("Sum","Item Ledger Entry","Quantity","Entry Type","Output","Entry No.",I230,"Location Code","@@"&amp;$E$6)</t>
  </si>
  <si>
    <t>=E233</t>
  </si>
  <si>
    <t>=NL("First","Item","Description","No.",$E233)</t>
  </si>
  <si>
    <t>=NL("First","Item","Base Unit of Measure","No.",$E233)</t>
  </si>
  <si>
    <t>=(SUBTOTAL(9,O234:O235))</t>
  </si>
  <si>
    <t>=(SUBTOTAL(9,P234:P235))</t>
  </si>
  <si>
    <t>=(SUBTOTAL(9,Q234:Q235))</t>
  </si>
  <si>
    <t>=(SUBTOTAL(9,R234:R235))</t>
  </si>
  <si>
    <t>=(SUBTOTAL(9,S234:S235))</t>
  </si>
  <si>
    <t>=(SUBTOTAL(9,T234:T235))</t>
  </si>
  <si>
    <t>=SUBTOTAL(9,O234:T235)</t>
  </si>
  <si>
    <t>=NL("Rows","Item Ledger Entry",,"+Posting Date",$L$5,"Item No.","@@"&amp;$D234,"Location Code","@@"&amp;$E$6)</t>
  </si>
  <si>
    <t>=(SUBTOTAL(9,O314:O315))</t>
  </si>
  <si>
    <t>=(SUBTOTAL(9,P314:P315))</t>
  </si>
  <si>
    <t>=(SUBTOTAL(9,Q314:Q315))</t>
  </si>
  <si>
    <t>=(SUBTOTAL(9,R314:R315))</t>
  </si>
  <si>
    <t>=(SUBTOTAL(9,S314:S315))</t>
  </si>
  <si>
    <t>=(SUBTOTAL(9,T314:T315))</t>
  </si>
  <si>
    <t>=SUBTOTAL(9,O314:T315)</t>
  </si>
  <si>
    <t>Getting Help</t>
  </si>
  <si>
    <t>Auto+Hide+Values</t>
  </si>
  <si>
    <t>Modifying this report</t>
  </si>
  <si>
    <t>This report can be modified by entering into design mode from the Jet tab.</t>
  </si>
  <si>
    <t xml:space="preserve">Reports are updated to the latest released version possible. If you have an older version of Jet some report features may not work properly. Please upgrade to the latest version of the Jet Excel Add-in. </t>
  </si>
  <si>
    <t>If you have questions about this or any other sample report, please email samplereports@jetglobal.com</t>
  </si>
  <si>
    <r>
      <t xml:space="preserve">The Jet Help Center is the launch pad for all support destinations. Search our </t>
    </r>
    <r>
      <rPr>
        <b/>
        <sz val="10"/>
        <color theme="1"/>
        <rFont val="Segoe UI"/>
        <family val="2"/>
      </rPr>
      <t>knowledgebase</t>
    </r>
    <r>
      <rPr>
        <sz val="10"/>
        <color theme="1"/>
        <rFont val="Segoe UI"/>
        <family val="2"/>
      </rPr>
      <t xml:space="preserve"> for product documentation and installation, troubleshooting, and how-to articles; post questions and join discussions with the Jet Reports </t>
    </r>
    <r>
      <rPr>
        <b/>
        <sz val="10"/>
        <color theme="1"/>
        <rFont val="Segoe UI"/>
        <family val="2"/>
      </rPr>
      <t>community;</t>
    </r>
    <r>
      <rPr>
        <sz val="10"/>
        <color theme="1"/>
        <rFont val="Segoe UI"/>
        <family val="2"/>
      </rPr>
      <t xml:space="preserve"> or submit a request to our awesome </t>
    </r>
    <r>
      <rPr>
        <b/>
        <sz val="10"/>
        <color theme="1"/>
        <rFont val="Segoe UI"/>
        <family val="2"/>
      </rPr>
      <t>support</t>
    </r>
    <r>
      <rPr>
        <sz val="10"/>
        <color theme="1"/>
        <rFont val="Segoe UI"/>
        <family val="2"/>
      </rPr>
      <t xml:space="preserve"> team who will get back to you swiftly.</t>
    </r>
  </si>
  <si>
    <t>Click here for the Jet Help Center</t>
  </si>
  <si>
    <t>For additional reports or customizations for your reports please contact Jet services at services@jetglobal.com.</t>
  </si>
  <si>
    <t>Click here to email Jet Global Services</t>
  </si>
  <si>
    <t>For training, see our website for more information.</t>
  </si>
  <si>
    <t>Click here to go to Jet Global contact page</t>
  </si>
  <si>
    <t>To contact a sales representative, send an email to sales.us@jetglobal.com.</t>
  </si>
  <si>
    <t>Click here to email Jet Global sales</t>
  </si>
  <si>
    <t>Disclaimer</t>
  </si>
  <si>
    <t>All reports are built as examples only. Reports are working reports that will return data from your database if you have configured Jet Reports properly in Excel. Reports may work differently on your database. Reports were tested on the Microsoft Dynamics NAV2015 JetCorp Demo Database. Reports will display different results depending on your database.</t>
  </si>
  <si>
    <t xml:space="preserve">2018 Jet Global Data Technologies, Inc. </t>
  </si>
  <si>
    <t>This report provides info about Item Movement with a separate sheet for each location.  The data is being pulled from the Item Ledger Entry Table.
Dates used in filtering must be formatted to the same format used in NAV.</t>
  </si>
  <si>
    <t>="1/1/2019..1/12/2019"</t>
  </si>
  <si>
    <t>Auto+Hide+Hidesheet+Formulas=Sheet2,Sheet3+FormulasOnly</t>
  </si>
  <si>
    <t>Auto+Hide+Values+Formulas=Sheet4,Sheet5+FormulasOnly</t>
  </si>
  <si>
    <t>Auto+Hide+Values+Formulas=Sheet6,Sheet7+FormulasOnly</t>
  </si>
  <si>
    <t>Auto+Hide+Hidesheet+Formulas=Sheet15,Sheet2,Sheet3</t>
  </si>
  <si>
    <t>Auto+Hide+Hidesheet+Formulas=Sheet15,Sheet2,Sheet3+FormulasOnly</t>
  </si>
  <si>
    <t>Auto+Hide+Values+Formulas=Sheet16,Sheet4,Sheet5</t>
  </si>
  <si>
    <t>=(SUBTOTAL(9,O13:O20))</t>
  </si>
  <si>
    <t>=(SUBTOTAL(9,P13:P20))</t>
  </si>
  <si>
    <t>=(SUBTOTAL(9,Q13:Q20))</t>
  </si>
  <si>
    <t>=(SUBTOTAL(9,R13:R20))</t>
  </si>
  <si>
    <t>=(SUBTOTAL(9,S13:S20))</t>
  </si>
  <si>
    <t>=(SUBTOTAL(9,T13:T20))</t>
  </si>
  <si>
    <t>=SUBTOTAL(9,O13:T20)</t>
  </si>
  <si>
    <t>="""NAV Direct"",""CRONUS JetCorp USA"",""32"",""1"",""166353"""</t>
  </si>
  <si>
    <t>="""NAV Direct"",""CRONUS JetCorp USA"",""32"",""1"",""166372"""</t>
  </si>
  <si>
    <t>=D15</t>
  </si>
  <si>
    <t>="""NAV Direct"",""CRONUS JetCorp USA"",""32"",""1"",""166419"""</t>
  </si>
  <si>
    <t>=IF($J16="Customer",NL("first",$J16,"Name","No.","@@"&amp;$K16),"")</t>
  </si>
  <si>
    <t>=IF(J16="vendor",NL("first",J16,"Name","No.","@@"&amp;K16),"")</t>
  </si>
  <si>
    <t>=IF($J16="Item",NL("first",$J16,"Description","No.","@@"&amp;$K16),"")</t>
  </si>
  <si>
    <t>="""NAV Direct"",""CRONUS JetCorp USA"",""32"",""1"",""7561"""</t>
  </si>
  <si>
    <t>="""NAV Direct"",""CRONUS JetCorp USA"",""32"",""1"",""12457"""</t>
  </si>
  <si>
    <t>="""NAV Direct"",""CRONUS JetCorp USA"",""32"",""1"",""3907"""</t>
  </si>
  <si>
    <t>=(SUBTOTAL(9,O23:O38))</t>
  </si>
  <si>
    <t>=(SUBTOTAL(9,P23:P38))</t>
  </si>
  <si>
    <t>=(SUBTOTAL(9,Q23:Q38))</t>
  </si>
  <si>
    <t>=(SUBTOTAL(9,R23:R38))</t>
  </si>
  <si>
    <t>=(SUBTOTAL(9,S23:S38))</t>
  </si>
  <si>
    <t>=(SUBTOTAL(9,T23:T38))</t>
  </si>
  <si>
    <t>=SUBTOTAL(9,O23:T38)</t>
  </si>
  <si>
    <t>=NL("Rows","Item Ledger Entry",,"+Posting Date",$L$5,"Item No.","@@"&amp;$D23,"Location Code",$L$7)</t>
  </si>
  <si>
    <t>="""NAV Direct"",""CRONUS JetCorp USA"",""32"",""1"",""166352"""</t>
  </si>
  <si>
    <t>="""NAV Direct"",""CRONUS JetCorp USA"",""32"",""1"",""166371"""</t>
  </si>
  <si>
    <t>="""NAV Direct"",""CRONUS JetCorp USA"",""32"",""1"",""166389"""</t>
  </si>
  <si>
    <t>="""NAV Direct"",""CRONUS JetCorp USA"",""32"",""1"",""166401"""</t>
  </si>
  <si>
    <t>="""NAV Direct"",""CRONUS JetCorp USA"",""32"",""1"",""166418"""</t>
  </si>
  <si>
    <t>="""NAV Direct"",""CRONUS JetCorp USA"",""32"",""1"",""34319"""</t>
  </si>
  <si>
    <t>="""NAV Direct"",""CRONUS JetCorp USA"",""32"",""1"",""10220"""</t>
  </si>
  <si>
    <t>="""NAV Direct"",""CRONUS JetCorp USA"",""32"",""1"",""12460"""</t>
  </si>
  <si>
    <t>="""NAV Direct"",""CRONUS JetCorp USA"",""32"",""1"",""118070"""</t>
  </si>
  <si>
    <t>="""NAV Direct"",""CRONUS JetCorp USA"",""32"",""1"",""118084"""</t>
  </si>
  <si>
    <t>="""NAV Direct"",""CRONUS JetCorp USA"",""32"",""1"",""25251"""</t>
  </si>
  <si>
    <t>="""NAV Direct"",""CRONUS JetCorp USA"",""32"",""1"",""20385"""</t>
  </si>
  <si>
    <t>="""NAV Direct"",""CRONUS JetCorp USA"",""32"",""1"",""124548"""</t>
  </si>
  <si>
    <t>="""NAV Direct"",""CRONUS JetCorp USA"",""32"",""1"",""36489"""</t>
  </si>
  <si>
    <t>=(SUBTOTAL(9,O41:O59))</t>
  </si>
  <si>
    <t>=(SUBTOTAL(9,P41:P59))</t>
  </si>
  <si>
    <t>=(SUBTOTAL(9,Q41:Q59))</t>
  </si>
  <si>
    <t>=(SUBTOTAL(9,R41:R59))</t>
  </si>
  <si>
    <t>=(SUBTOTAL(9,S41:S59))</t>
  </si>
  <si>
    <t>=(SUBTOTAL(9,T41:T59))</t>
  </si>
  <si>
    <t>=SUBTOTAL(9,O41:T59)</t>
  </si>
  <si>
    <t>=NL("Rows","Item Ledger Entry",,"+Posting Date",$L$5,"Item No.","@@"&amp;$D41,"Location Code",$L$7)</t>
  </si>
  <si>
    <t>="""NAV Direct"",""CRONUS JetCorp USA"",""32"",""1"",""166351"""</t>
  </si>
  <si>
    <t>="""NAV Direct"",""CRONUS JetCorp USA"",""32"",""1"",""166370"""</t>
  </si>
  <si>
    <t>="""NAV Direct"",""CRONUS JetCorp USA"",""32"",""1"",""166388"""</t>
  </si>
  <si>
    <t>="""NAV Direct"",""CRONUS JetCorp USA"",""32"",""1"",""166400"""</t>
  </si>
  <si>
    <t>="""NAV Direct"",""CRONUS JetCorp USA"",""32"",""1"",""166417"""</t>
  </si>
  <si>
    <t>="""NAV Direct"",""CRONUS JetCorp USA"",""32"",""1"",""114271"""</t>
  </si>
  <si>
    <t>="""NAV Direct"",""CRONUS JetCorp USA"",""32"",""1"",""132508"""</t>
  </si>
  <si>
    <t>="""NAV Direct"",""CRONUS JetCorp USA"",""32"",""1"",""25233"""</t>
  </si>
  <si>
    <t>="""NAV Direct"",""CRONUS JetCorp USA"",""32"",""1"",""38072"""</t>
  </si>
  <si>
    <t>="""NAV Direct"",""CRONUS JetCorp USA"",""32"",""1"",""114282"""</t>
  </si>
  <si>
    <t>="""NAV Direct"",""CRONUS JetCorp USA"",""32"",""1"",""116381"""</t>
  </si>
  <si>
    <t>="""NAV Direct"",""CRONUS JetCorp USA"",""32"",""1"",""135816"""</t>
  </si>
  <si>
    <t>="""NAV Direct"",""CRONUS JetCorp USA"",""32"",""1"",""3919"""</t>
  </si>
  <si>
    <t>="""NAV Direct"",""CRONUS JetCorp USA"",""32"",""1"",""36477"""</t>
  </si>
  <si>
    <t>="""NAV Direct"",""CRONUS JetCorp USA"",""32"",""1"",""25267"""</t>
  </si>
  <si>
    <t>="""NAV Direct"",""CRONUS JetCorp USA"",""32"",""1"",""38084"""</t>
  </si>
  <si>
    <t>="""NAV Direct"",""CRONUS JetCorp USA"",""32"",""1"",""138723"""</t>
  </si>
  <si>
    <t>=(SUBTOTAL(9,O62:O85))</t>
  </si>
  <si>
    <t>=(SUBTOTAL(9,P62:P85))</t>
  </si>
  <si>
    <t>=(SUBTOTAL(9,Q62:Q85))</t>
  </si>
  <si>
    <t>=(SUBTOTAL(9,R62:R85))</t>
  </si>
  <si>
    <t>=(SUBTOTAL(9,S62:S85))</t>
  </si>
  <si>
    <t>=(SUBTOTAL(9,T62:T85))</t>
  </si>
  <si>
    <t>=SUBTOTAL(9,O62:T85)</t>
  </si>
  <si>
    <t>=NL("Rows","Item Ledger Entry",,"+Posting Date",$L$5,"Item No.","@@"&amp;$D62,"Location Code",$L$7)</t>
  </si>
  <si>
    <t>="""NAV Direct"",""CRONUS JetCorp USA"",""32"",""1"",""166350"""</t>
  </si>
  <si>
    <t>="""NAV Direct"",""CRONUS JetCorp USA"",""32"",""1"",""166369"""</t>
  </si>
  <si>
    <t>="""NAV Direct"",""CRONUS JetCorp USA"",""32"",""1"",""166387"""</t>
  </si>
  <si>
    <t>="""NAV Direct"",""CRONUS JetCorp USA"",""32"",""1"",""166399"""</t>
  </si>
  <si>
    <t>="""NAV Direct"",""CRONUS JetCorp USA"",""32"",""1"",""166416"""</t>
  </si>
  <si>
    <t>="""NAV Direct"",""CRONUS JetCorp USA"",""32"",""1"",""166428"""</t>
  </si>
  <si>
    <t>="""NAV Direct"",""CRONUS JetCorp USA"",""32"",""1"",""34318"""</t>
  </si>
  <si>
    <t>="""NAV Direct"",""CRONUS JetCorp USA"",""32"",""1"",""124508"""</t>
  </si>
  <si>
    <t>="""NAV Direct"",""CRONUS JetCorp USA"",""32"",""1"",""128858"""</t>
  </si>
  <si>
    <t>="""NAV Direct"",""CRONUS JetCorp USA"",""32"",""1"",""3913"""</t>
  </si>
  <si>
    <t>="""NAV Direct"",""CRONUS JetCorp USA"",""32"",""1"",""111279"""</t>
  </si>
  <si>
    <t>="""NAV Direct"",""CRONUS JetCorp USA"",""32"",""1"",""20377"""</t>
  </si>
  <si>
    <t>="""NAV Direct"",""CRONUS JetCorp USA"",""32"",""1"",""34307"""</t>
  </si>
  <si>
    <t>="""NAV Direct"",""CRONUS JetCorp USA"",""32"",""1"",""135814"""</t>
  </si>
  <si>
    <t>="""NAV Direct"",""CRONUS JetCorp USA"",""32"",""1"",""36475"""</t>
  </si>
  <si>
    <t>="""NAV Direct"",""CRONUS JetCorp USA"",""32"",""1"",""128883"""</t>
  </si>
  <si>
    <t>="""NAV Direct"",""CRONUS JetCorp USA"",""32"",""1"",""7573"""</t>
  </si>
  <si>
    <t>="""NAV Direct"",""CRONUS JetCorp USA"",""32"",""1"",""7583"""</t>
  </si>
  <si>
    <t>="""NAV Direct"",""CRONUS JetCorp USA"",""32"",""1"",""25260"""</t>
  </si>
  <si>
    <t>="""NAV Direct"",""CRONUS JetCorp USA"",""32"",""1"",""7564"""</t>
  </si>
  <si>
    <t>="""NAV Direct"",""CRONUS JetCorp USA"",""32"",""1"",""20395"""</t>
  </si>
  <si>
    <t>="""NAV Direct"",""CRONUS JetCorp USA"",""32"",""1"",""138722"""</t>
  </si>
  <si>
    <t>=(SUBTOTAL(9,O88:O107))</t>
  </si>
  <si>
    <t>=(SUBTOTAL(9,P88:P107))</t>
  </si>
  <si>
    <t>=(SUBTOTAL(9,Q88:Q107))</t>
  </si>
  <si>
    <t>=(SUBTOTAL(9,R88:R107))</t>
  </si>
  <si>
    <t>=(SUBTOTAL(9,S88:S107))</t>
  </si>
  <si>
    <t>=(SUBTOTAL(9,T88:T107))</t>
  </si>
  <si>
    <t>=SUBTOTAL(9,O88:T107)</t>
  </si>
  <si>
    <t>=NL("Rows","Item Ledger Entry",,"+Posting Date",$L$5,"Item No.","@@"&amp;$D88,"Location Code",$L$7)</t>
  </si>
  <si>
    <t>=D88</t>
  </si>
  <si>
    <t>="""NAV Direct"",""CRONUS JetCorp USA"",""32"",""1"",""166349"""</t>
  </si>
  <si>
    <t>=IF($J89="Customer",NL("first",$J89,"Name","No.","@@"&amp;$K89),"")</t>
  </si>
  <si>
    <t>=IF(J89="vendor",NL("first",J89,"Name","No.","@@"&amp;K89),"")</t>
  </si>
  <si>
    <t>=IF($J89="Item",NL("first",$J89,"Description","No.","@@"&amp;$K89),"")</t>
  </si>
  <si>
    <t>="""NAV Direct"",""CRONUS JetCorp USA"",""32"",""1"",""166368"""</t>
  </si>
  <si>
    <t>="""NAV Direct"",""CRONUS JetCorp USA"",""32"",""1"",""166386"""</t>
  </si>
  <si>
    <t>="""NAV Direct"",""CRONUS JetCorp USA"",""32"",""1"",""166398"""</t>
  </si>
  <si>
    <t>="""NAV Direct"",""CRONUS JetCorp USA"",""32"",""1"",""166415"""</t>
  </si>
  <si>
    <t>="""NAV Direct"",""CRONUS JetCorp USA"",""32"",""1"",""166427"""</t>
  </si>
  <si>
    <t>="""NAV Direct"",""CRONUS JetCorp USA"",""32"",""1"",""20330"""</t>
  </si>
  <si>
    <t>="""NAV Direct"",""CRONUS JetCorp USA"",""32"",""1"",""25250"""</t>
  </si>
  <si>
    <t>="""NAV Direct"",""CRONUS JetCorp USA"",""32"",""1"",""111301"""</t>
  </si>
  <si>
    <t>="""NAV Direct"",""CRONUS JetCorp USA"",""32"",""1"",""114275"""</t>
  </si>
  <si>
    <t>="""NAV Direct"",""CRONUS JetCorp USA"",""32"",""1"",""20408"""</t>
  </si>
  <si>
    <t>="""NAV Direct"",""CRONUS JetCorp USA"",""32"",""1"",""34327"""</t>
  </si>
  <si>
    <t>="""NAV Direct"",""CRONUS JetCorp USA"",""32"",""1"",""124582"""</t>
  </si>
  <si>
    <t>="""NAV Direct"",""CRONUS JetCorp USA"",""32"",""1"",""128882"""</t>
  </si>
  <si>
    <t>="""NAV Direct"",""CRONUS JetCorp USA"",""32"",""1"",""7570"""</t>
  </si>
  <si>
    <t>="""NAV Direct"",""CRONUS JetCorp USA"",""32"",""1"",""38085"""</t>
  </si>
  <si>
    <t>="""NAV Direct"",""CRONUS JetCorp USA"",""32"",""1"",""114289"""</t>
  </si>
  <si>
    <t>="""NAV Direct"",""CRONUS JetCorp USA"",""32"",""1"",""132518"""</t>
  </si>
  <si>
    <t>=(SUBTOTAL(9,O110:O125))</t>
  </si>
  <si>
    <t>=(SUBTOTAL(9,P110:P125))</t>
  </si>
  <si>
    <t>=(SUBTOTAL(9,Q110:Q125))</t>
  </si>
  <si>
    <t>=(SUBTOTAL(9,R110:R125))</t>
  </si>
  <si>
    <t>=(SUBTOTAL(9,S110:S125))</t>
  </si>
  <si>
    <t>=(SUBTOTAL(9,T110:T125))</t>
  </si>
  <si>
    <t>=SUBTOTAL(9,O110:T125)</t>
  </si>
  <si>
    <t>=NL("Rows","Item Ledger Entry",,"+Posting Date",$L$5,"Item No.","@@"&amp;$D110,"Location Code",$L$7)</t>
  </si>
  <si>
    <t>="""NAV Direct"",""CRONUS JetCorp USA"",""32"",""1"",""166348"""</t>
  </si>
  <si>
    <t>="""NAV Direct"",""CRONUS JetCorp USA"",""32"",""1"",""166367"""</t>
  </si>
  <si>
    <t>="""NAV Direct"",""CRONUS JetCorp USA"",""32"",""1"",""166385"""</t>
  </si>
  <si>
    <t>="""NAV Direct"",""CRONUS JetCorp USA"",""32"",""1"",""166414"""</t>
  </si>
  <si>
    <t>="""NAV Direct"",""CRONUS JetCorp USA"",""32"",""1"",""3891"""</t>
  </si>
  <si>
    <t>="""NAV Direct"",""CRONUS JetCorp USA"",""32"",""1"",""12454"""</t>
  </si>
  <si>
    <t>="""NAV Direct"",""CRONUS JetCorp USA"",""32"",""1"",""111293"""</t>
  </si>
  <si>
    <t>="""NAV Direct"",""CRONUS JetCorp USA"",""32"",""1"",""10227"""</t>
  </si>
  <si>
    <t>="""NAV Direct"",""CRONUS JetCorp USA"",""32"",""1"",""15150"""</t>
  </si>
  <si>
    <t>="""NAV Direct"",""CRONUS JetCorp USA"",""32"",""1"",""118088"""</t>
  </si>
  <si>
    <t>="""NAV Direct"",""CRONUS JetCorp USA"",""32"",""1"",""116376"""</t>
  </si>
  <si>
    <t>="""NAV Direct"",""CRONUS JetCorp USA"",""32"",""1"",""114288"""</t>
  </si>
  <si>
    <t>="""NAV Direct"",""CRONUS JetCorp USA"",""32"",""1"",""114281"""</t>
  </si>
  <si>
    <t>="""NAV Direct"",""CRONUS JetCorp USA"",""32"",""1"",""10234"""</t>
  </si>
  <si>
    <t>=(SUBTOTAL(9,O128:O138))</t>
  </si>
  <si>
    <t>=(SUBTOTAL(9,P128:P138))</t>
  </si>
  <si>
    <t>=(SUBTOTAL(9,Q128:Q138))</t>
  </si>
  <si>
    <t>=(SUBTOTAL(9,R128:R138))</t>
  </si>
  <si>
    <t>=(SUBTOTAL(9,S128:S138))</t>
  </si>
  <si>
    <t>=(SUBTOTAL(9,T128:T138))</t>
  </si>
  <si>
    <t>=SUBTOTAL(9,O128:T138)</t>
  </si>
  <si>
    <t>=NL("Rows","Item Ledger Entry",,"+Posting Date",$L$5,"Item No.","@@"&amp;$D128,"Location Code",$L$7)</t>
  </si>
  <si>
    <t>="""NAV Direct"",""CRONUS JetCorp USA"",""32"",""1"",""166366"""</t>
  </si>
  <si>
    <t>="""NAV Direct"",""CRONUS JetCorp USA"",""32"",""1"",""166384"""</t>
  </si>
  <si>
    <t>="""NAV Direct"",""CRONUS JetCorp USA"",""32"",""1"",""166413"""</t>
  </si>
  <si>
    <t>="""NAV Direct"",""CRONUS JetCorp USA"",""32"",""1"",""7562"""</t>
  </si>
  <si>
    <t>="""NAV Direct"",""CRONUS JetCorp USA"",""32"",""1"",""114266"""</t>
  </si>
  <si>
    <t>="""NAV Direct"",""CRONUS JetCorp USA"",""32"",""1"",""118073"""</t>
  </si>
  <si>
    <t>="""NAV Direct"",""CRONUS JetCorp USA"",""32"",""1"",""3914"""</t>
  </si>
  <si>
    <t>="""NAV Direct"",""CRONUS JetCorp USA"",""32"",""1"",""116373"""</t>
  </si>
  <si>
    <t>="""NAV Direct"",""CRONUS JetCorp USA"",""32"",""1"",""7567"""</t>
  </si>
  <si>
    <t>=(SUBTOTAL(9,O141:O151))</t>
  </si>
  <si>
    <t>=(SUBTOTAL(9,P141:P151))</t>
  </si>
  <si>
    <t>=(SUBTOTAL(9,Q141:Q151))</t>
  </si>
  <si>
    <t>=(SUBTOTAL(9,R141:R151))</t>
  </si>
  <si>
    <t>=(SUBTOTAL(9,S141:S151))</t>
  </si>
  <si>
    <t>=(SUBTOTAL(9,T141:T151))</t>
  </si>
  <si>
    <t>=SUBTOTAL(9,O141:T151)</t>
  </si>
  <si>
    <t>=NL("Rows","Item Ledger Entry",,"+Posting Date",$L$5,"Item No.","@@"&amp;$D141,"Location Code",$L$7)</t>
  </si>
  <si>
    <t>="""NAV Direct"",""CRONUS JetCorp USA"",""32"",""1"",""166365"""</t>
  </si>
  <si>
    <t>="""NAV Direct"",""CRONUS JetCorp USA"",""32"",""1"",""166383"""</t>
  </si>
  <si>
    <t>="""NAV Direct"",""CRONUS JetCorp USA"",""32"",""1"",""166412"""</t>
  </si>
  <si>
    <t>="""NAV Direct"",""CRONUS JetCorp USA"",""32"",""1"",""10219"""</t>
  </si>
  <si>
    <t>="""NAV Direct"",""CRONUS JetCorp USA"",""32"",""1"",""15153"""</t>
  </si>
  <si>
    <t>=D146</t>
  </si>
  <si>
    <t>="""NAV Direct"",""CRONUS JetCorp USA"",""32"",""1"",""118081"""</t>
  </si>
  <si>
    <t>=IF($J147="Customer",NL("first",$J147,"Name","No.","@@"&amp;$K147),"")</t>
  </si>
  <si>
    <t>=IF(J147="vendor",NL("first",J147,"Name","No.","@@"&amp;K147),"")</t>
  </si>
  <si>
    <t>=IF($J147="Item",NL("first",$J147,"Description","No.","@@"&amp;$K147),"")</t>
  </si>
  <si>
    <t>="""NAV Direct"",""CRONUS JetCorp USA"",""32"",""1"",""111304"""</t>
  </si>
  <si>
    <t>="""NAV Direct"",""CRONUS JetCorp USA"",""32"",""1"",""116378"""</t>
  </si>
  <si>
    <t>="""NAV Direct"",""CRONUS JetCorp USA"",""32"",""1"",""7568"""</t>
  </si>
  <si>
    <t>=(SUBTOTAL(9,O154:O162))</t>
  </si>
  <si>
    <t>=(SUBTOTAL(9,P154:P162))</t>
  </si>
  <si>
    <t>=(SUBTOTAL(9,Q154:Q162))</t>
  </si>
  <si>
    <t>=(SUBTOTAL(9,R154:R162))</t>
  </si>
  <si>
    <t>=(SUBTOTAL(9,S154:S162))</t>
  </si>
  <si>
    <t>=(SUBTOTAL(9,T154:T162))</t>
  </si>
  <si>
    <t>=SUBTOTAL(9,O154:T162)</t>
  </si>
  <si>
    <t>=NL("Rows","Item Ledger Entry",,"+Posting Date",$L$5,"Item No.","@@"&amp;$D154,"Location Code",$L$7)</t>
  </si>
  <si>
    <t>="""NAV Direct"",""CRONUS JetCorp USA"",""32"",""1"",""166345"""</t>
  </si>
  <si>
    <t>=D155</t>
  </si>
  <si>
    <t>="""NAV Direct"",""CRONUS JetCorp USA"",""32"",""1"",""166364"""</t>
  </si>
  <si>
    <t>=IF($J156="Customer",NL("first",$J156,"Name","No.","@@"&amp;$K156),"")</t>
  </si>
  <si>
    <t>=IF(J156="vendor",NL("first",J156,"Name","No.","@@"&amp;K156),"")</t>
  </si>
  <si>
    <t>=IF($J156="Item",NL("first",$J156,"Description","No.","@@"&amp;$K156),"")</t>
  </si>
  <si>
    <t>="""NAV Direct"",""CRONUS JetCorp USA"",""32"",""1"",""166382"""</t>
  </si>
  <si>
    <t>="""NAV Direct"",""CRONUS JetCorp USA"",""32"",""1"",""166411"""</t>
  </si>
  <si>
    <t>="""NAV Direct"",""CRONUS JetCorp USA"",""32"",""1"",""3885"""</t>
  </si>
  <si>
    <t>="""NAV Direct"",""CRONUS JetCorp USA"",""32"",""1"",""15147"""</t>
  </si>
  <si>
    <t>="""NAV Direct"",""CRONUS JetCorp USA"",""32"",""1"",""10230"""</t>
  </si>
  <si>
    <t>=(SUBTOTAL(9,O165:O174))</t>
  </si>
  <si>
    <t>=(SUBTOTAL(9,P165:P174))</t>
  </si>
  <si>
    <t>=(SUBTOTAL(9,Q165:Q174))</t>
  </si>
  <si>
    <t>=(SUBTOTAL(9,R165:R174))</t>
  </si>
  <si>
    <t>=(SUBTOTAL(9,S165:S174))</t>
  </si>
  <si>
    <t>=(SUBTOTAL(9,T165:T174))</t>
  </si>
  <si>
    <t>=SUBTOTAL(9,O165:T174)</t>
  </si>
  <si>
    <t>=NL("Rows","Item Ledger Entry",,"+Posting Date",$L$5,"Item No.","@@"&amp;$D165,"Location Code",$L$7)</t>
  </si>
  <si>
    <t>="""NAV Direct"",""CRONUS JetCorp USA"",""32"",""1"",""166344"""</t>
  </si>
  <si>
    <t>="""NAV Direct"",""CRONUS JetCorp USA"",""32"",""1"",""166363"""</t>
  </si>
  <si>
    <t>=D167</t>
  </si>
  <si>
    <t>="""NAV Direct"",""CRONUS JetCorp USA"",""32"",""1"",""15151"""</t>
  </si>
  <si>
    <t>=IF($J168="Customer",NL("first",$J168,"Name","No.","@@"&amp;$K168),"")</t>
  </si>
  <si>
    <t>=IF(J168="vendor",NL("first",J168,"Name","No.","@@"&amp;K168),"")</t>
  </si>
  <si>
    <t>=IF($J168="Item",NL("first",$J168,"Description","No.","@@"&amp;$K168),"")</t>
  </si>
  <si>
    <t>="""NAV Direct"",""CRONUS JetCorp USA"",""32"",""1"",""118080"""</t>
  </si>
  <si>
    <t>="""NAV Direct"",""CRONUS JetCorp USA"",""32"",""1"",""3909"""</t>
  </si>
  <si>
    <t>="""NAV Direct"",""CRONUS JetCorp USA"",""32"",""1"",""116370"""</t>
  </si>
  <si>
    <t>="""NAV Direct"",""CRONUS JetCorp USA"",""32"",""1"",""3897"""</t>
  </si>
  <si>
    <t>="""NAV Direct"",""CRONUS JetCorp USA"",""32"",""1"",""3927"""</t>
  </si>
  <si>
    <t>=E176</t>
  </si>
  <si>
    <t>=NL("First","Item","Description","No.",$E176)</t>
  </si>
  <si>
    <t>=NL("First","Item","Base Unit of Measure","No.",$E176)</t>
  </si>
  <si>
    <t>=(SUBTOTAL(9,O177:O185))</t>
  </si>
  <si>
    <t>=(SUBTOTAL(9,P177:P185))</t>
  </si>
  <si>
    <t>=(SUBTOTAL(9,Q177:Q185))</t>
  </si>
  <si>
    <t>=(SUBTOTAL(9,R177:R185))</t>
  </si>
  <si>
    <t>=(SUBTOTAL(9,S177:S185))</t>
  </si>
  <si>
    <t>=(SUBTOTAL(9,T177:T185))</t>
  </si>
  <si>
    <t>=SUBTOTAL(9,O177:T185)</t>
  </si>
  <si>
    <t>=NL("Rows","Item Ledger Entry",,"+Posting Date",$L$5,"Item No.","@@"&amp;$D177,"Location Code",$L$7)</t>
  </si>
  <si>
    <t>="""NAV Direct"",""CRONUS JetCorp USA"",""32"",""1"",""166778"""</t>
  </si>
  <si>
    <t>="""NAV Direct"",""CRONUS JetCorp USA"",""32"",""1"",""166785"""</t>
  </si>
  <si>
    <t>="""NAV Direct"",""CRONUS JetCorp USA"",""32"",""1"",""166799"""</t>
  </si>
  <si>
    <t>="""NAV Direct"",""CRONUS JetCorp USA"",""32"",""1"",""128866"""</t>
  </si>
  <si>
    <t>="""NAV Direct"",""CRONUS JetCorp USA"",""32"",""1"",""30049"""</t>
  </si>
  <si>
    <t>="""NAV Direct"",""CRONUS JetCorp USA"",""32"",""1"",""30106"""</t>
  </si>
  <si>
    <t>="""NAV Direct"",""CRONUS JetCorp USA"",""32"",""1"",""34331"""</t>
  </si>
  <si>
    <t>=E187</t>
  </si>
  <si>
    <t>="C100017"</t>
  </si>
  <si>
    <t>=NL("First","Item","Description","No.",$E187)</t>
  </si>
  <si>
    <t>=NL("First","Item","Base Unit of Measure","No.",$E187)</t>
  </si>
  <si>
    <t>=(SUBTOTAL(9,O188:O200))</t>
  </si>
  <si>
    <t>=(SUBTOTAL(9,P188:P200))</t>
  </si>
  <si>
    <t>=(SUBTOTAL(9,Q188:Q200))</t>
  </si>
  <si>
    <t>=(SUBTOTAL(9,R188:R200))</t>
  </si>
  <si>
    <t>=(SUBTOTAL(9,S188:S200))</t>
  </si>
  <si>
    <t>=(SUBTOTAL(9,T188:T200))</t>
  </si>
  <si>
    <t>=SUBTOTAL(9,O188:T200)</t>
  </si>
  <si>
    <t>=NL("Rows","Item Ledger Entry",,"+Posting Date",$L$5,"Item No.","@@"&amp;$D188,"Location Code",$L$7)</t>
  </si>
  <si>
    <t>="""NAV Direct"",""CRONUS JetCorp USA"",""32"",""1"",""166747"""</t>
  </si>
  <si>
    <t>="""NAV Direct"",""CRONUS JetCorp USA"",""32"",""1"",""166762"""</t>
  </si>
  <si>
    <t>="""NAV Direct"",""CRONUS JetCorp USA"",""32"",""1"",""166777"""</t>
  </si>
  <si>
    <t>="""NAV Direct"",""CRONUS JetCorp USA"",""32"",""1"",""166798"""</t>
  </si>
  <si>
    <t>="""NAV Direct"",""CRONUS JetCorp USA"",""32"",""1"",""20363"""</t>
  </si>
  <si>
    <t>="""NAV Direct"",""CRONUS JetCorp USA"",""32"",""1"",""30027"""</t>
  </si>
  <si>
    <t>="""NAV Direct"",""CRONUS JetCorp USA"",""32"",""1"",""124521"""</t>
  </si>
  <si>
    <t>="""NAV Direct"",""CRONUS JetCorp USA"",""32"",""1"",""135815"""</t>
  </si>
  <si>
    <t>="""NAV Direct"",""CRONUS JetCorp USA"",""32"",""1"",""20411"""</t>
  </si>
  <si>
    <t>="""NAV Direct"",""CRONUS JetCorp USA"",""32"",""1"",""36476"""</t>
  </si>
  <si>
    <t>="""NAV Direct"",""CRONUS JetCorp USA"",""32"",""1"",""20396"""</t>
  </si>
  <si>
    <t>=E202</t>
  </si>
  <si>
    <t>=NL("First","Item","Description","No.",$E202)</t>
  </si>
  <si>
    <t>=NL("First","Item","Base Unit of Measure","No.",$E202)</t>
  </si>
  <si>
    <t>=(SUBTOTAL(9,O203:O212))</t>
  </si>
  <si>
    <t>=(SUBTOTAL(9,P203:P212))</t>
  </si>
  <si>
    <t>=(SUBTOTAL(9,Q203:Q212))</t>
  </si>
  <si>
    <t>=(SUBTOTAL(9,R203:R212))</t>
  </si>
  <si>
    <t>=(SUBTOTAL(9,S203:S212))</t>
  </si>
  <si>
    <t>=(SUBTOTAL(9,T203:T212))</t>
  </si>
  <si>
    <t>=SUBTOTAL(9,O203:T212)</t>
  </si>
  <si>
    <t>=NL("Rows","Item Ledger Entry",,"+Posting Date",$L$5,"Item No.","@@"&amp;$D203,"Location Code",$L$7)</t>
  </si>
  <si>
    <t>="""NAV Direct"",""CRONUS JetCorp USA"",""32"",""1"",""166746"""</t>
  </si>
  <si>
    <t>="""NAV Direct"",""CRONUS JetCorp USA"",""32"",""1"",""166761"""</t>
  </si>
  <si>
    <t>="""NAV Direct"",""CRONUS JetCorp USA"",""32"",""1"",""166776"""</t>
  </si>
  <si>
    <t>="""NAV Direct"",""CRONUS JetCorp USA"",""32"",""1"",""128862"""</t>
  </si>
  <si>
    <t>="""NAV Direct"",""CRONUS JetCorp USA"",""32"",""1"",""30056"""</t>
  </si>
  <si>
    <t>="""NAV Direct"",""CRONUS JetCorp USA"",""32"",""1"",""20347"""</t>
  </si>
  <si>
    <t>="""NAV Direct"",""CRONUS JetCorp USA"",""32"",""1"",""30117"""</t>
  </si>
  <si>
    <t>="""NAV Direct"",""CRONUS JetCorp USA"",""32"",""1"",""25273"""</t>
  </si>
  <si>
    <t>=(SUBTOTAL(9,O215:O228))</t>
  </si>
  <si>
    <t>=(SUBTOTAL(9,P215:P228))</t>
  </si>
  <si>
    <t>=(SUBTOTAL(9,Q215:Q228))</t>
  </si>
  <si>
    <t>=(SUBTOTAL(9,R215:R228))</t>
  </si>
  <si>
    <t>=(SUBTOTAL(9,S215:S228))</t>
  </si>
  <si>
    <t>=(SUBTOTAL(9,T215:T228))</t>
  </si>
  <si>
    <t>=SUBTOTAL(9,O215:T228)</t>
  </si>
  <si>
    <t>=NL("Rows","Item Ledger Entry",,"+Posting Date",$L$5,"Item No.","@@"&amp;$D215,"Location Code",$L$7)</t>
  </si>
  <si>
    <t>="""NAV Direct"",""CRONUS JetCorp USA"",""32"",""1"",""166760"""</t>
  </si>
  <si>
    <t>="""NAV Direct"",""CRONUS JetCorp USA"",""32"",""1"",""166775"""</t>
  </si>
  <si>
    <t>="""NAV Direct"",""CRONUS JetCorp USA"",""32"",""1"",""166784"""</t>
  </si>
  <si>
    <t>="""NAV Direct"",""CRONUS JetCorp USA"",""32"",""1"",""166797"""</t>
  </si>
  <si>
    <t>="""NAV Direct"",""CRONUS JetCorp USA"",""32"",""1"",""128848"""</t>
  </si>
  <si>
    <t>="""NAV Direct"",""CRONUS JetCorp USA"",""32"",""1"",""34310"""</t>
  </si>
  <si>
    <t>="""NAV Direct"",""CRONUS JetCorp USA"",""32"",""1"",""30044"""</t>
  </si>
  <si>
    <t>="""NAV Direct"",""CRONUS JetCorp USA"",""32"",""1"",""30055"""</t>
  </si>
  <si>
    <t>=D223</t>
  </si>
  <si>
    <t>="""NAV Direct"",""CRONUS JetCorp USA"",""32"",""1"",""30101"""</t>
  </si>
  <si>
    <t>=IF($J224="Customer",NL("first",$J224,"Name","No.","@@"&amp;$K224),"")</t>
  </si>
  <si>
    <t>=IF(J224="vendor",NL("first",J224,"Name","No.","@@"&amp;K224),"")</t>
  </si>
  <si>
    <t>=IF($J224="Item",NL("first",$J224,"Description","No.","@@"&amp;$K224),"")</t>
  </si>
  <si>
    <t>="""NAV Direct"",""CRONUS JetCorp USA"",""32"",""1"",""124584"""</t>
  </si>
  <si>
    <t>="""NAV Direct"",""CRONUS JetCorp USA"",""32"",""1"",""128884"""</t>
  </si>
  <si>
    <t>="""NAV Direct"",""CRONUS JetCorp USA"",""32"",""1"",""132519"""</t>
  </si>
  <si>
    <t>=(SUBTOTAL(9,O231:O243))</t>
  </si>
  <si>
    <t>=(SUBTOTAL(9,P231:P243))</t>
  </si>
  <si>
    <t>=(SUBTOTAL(9,Q231:Q243))</t>
  </si>
  <si>
    <t>=(SUBTOTAL(9,R231:R243))</t>
  </si>
  <si>
    <t>=(SUBTOTAL(9,S231:S243))</t>
  </si>
  <si>
    <t>=(SUBTOTAL(9,T231:T243))</t>
  </si>
  <si>
    <t>=SUBTOTAL(9,O231:T243)</t>
  </si>
  <si>
    <t>=NL("Rows","Item Ledger Entry",,"+Posting Date",$L$5,"Item No.","@@"&amp;$D231,"Location Code",$L$7)</t>
  </si>
  <si>
    <t>="""NAV Direct"",""CRONUS JetCorp USA"",""32"",""1"",""166759"""</t>
  </si>
  <si>
    <t>="""NAV Direct"",""CRONUS JetCorp USA"",""32"",""1"",""166774"""</t>
  </si>
  <si>
    <t>="""NAV Direct"",""CRONUS JetCorp USA"",""32"",""1"",""166796"""</t>
  </si>
  <si>
    <t>="""NAV Direct"",""CRONUS JetCorp USA"",""32"",""1"",""124513"""</t>
  </si>
  <si>
    <t>="""NAV Direct"",""CRONUS JetCorp USA"",""32"",""1"",""38080"""</t>
  </si>
  <si>
    <t>="""NAV Direct"",""CRONUS JetCorp USA"",""32"",""1"",""128872"""</t>
  </si>
  <si>
    <t>="""NAV Direct"",""CRONUS JetCorp USA"",""32"",""1"",""30046"""</t>
  </si>
  <si>
    <t>="""NAV Direct"",""CRONUS JetCorp USA"",""32"",""1"",""30103"""</t>
  </si>
  <si>
    <t>="""NAV Direct"",""CRONUS JetCorp USA"",""32"",""1"",""124583"""</t>
  </si>
  <si>
    <t>="""NAV Direct"",""CRONUS JetCorp USA"",""32"",""1"",""25263"""</t>
  </si>
  <si>
    <t>="""NAV Direct"",""CRONUS JetCorp USA"",""32"",""1"",""38092"""</t>
  </si>
  <si>
    <t>=(SUBTOTAL(9,O246:O258))</t>
  </si>
  <si>
    <t>=(SUBTOTAL(9,P246:P258))</t>
  </si>
  <si>
    <t>=(SUBTOTAL(9,Q246:Q258))</t>
  </si>
  <si>
    <t>=(SUBTOTAL(9,R246:R258))</t>
  </si>
  <si>
    <t>=(SUBTOTAL(9,S246:S258))</t>
  </si>
  <si>
    <t>=(SUBTOTAL(9,T246:T258))</t>
  </si>
  <si>
    <t>=SUBTOTAL(9,O246:T258)</t>
  </si>
  <si>
    <t>=NL("Rows","Item Ledger Entry",,"+Posting Date",$L$5,"Item No.","@@"&amp;$D246,"Location Code",$L$7)</t>
  </si>
  <si>
    <t>="""NAV Direct"",""CRONUS JetCorp USA"",""32"",""1"",""166744"""</t>
  </si>
  <si>
    <t>="""NAV Direct"",""CRONUS JetCorp USA"",""32"",""1"",""166758"""</t>
  </si>
  <si>
    <t>="""NAV Direct"",""CRONUS JetCorp USA"",""32"",""1"",""166773"""</t>
  </si>
  <si>
    <t>="""NAV Direct"",""CRONUS JetCorp USA"",""32"",""1"",""166783"""</t>
  </si>
  <si>
    <t>="""NAV Direct"",""CRONUS JetCorp USA"",""32"",""1"",""166795"""</t>
  </si>
  <si>
    <t>="""NAV Direct"",""CRONUS JetCorp USA"",""32"",""1"",""20366"""</t>
  </si>
  <si>
    <t>="""NAV Direct"",""CRONUS JetCorp USA"",""32"",""1"",""124517"""</t>
  </si>
  <si>
    <t>="""NAV Direct"",""CRONUS JetCorp USA"",""32"",""1"",""30029"""</t>
  </si>
  <si>
    <t>="""NAV Direct"",""CRONUS JetCorp USA"",""32"",""1"",""128865"""</t>
  </si>
  <si>
    <t>="""NAV Direct"",""CRONUS JetCorp USA"",""32"",""1"",""30104"""</t>
  </si>
  <si>
    <t>="""NAV Direct"",""CRONUS JetCorp USA"",""32"",""1"",""36482"""</t>
  </si>
  <si>
    <t>=(SUBTOTAL(9,O261:O280))</t>
  </si>
  <si>
    <t>=(SUBTOTAL(9,P261:P280))</t>
  </si>
  <si>
    <t>=(SUBTOTAL(9,Q261:Q280))</t>
  </si>
  <si>
    <t>=(SUBTOTAL(9,R261:R280))</t>
  </si>
  <si>
    <t>=(SUBTOTAL(9,S261:S280))</t>
  </si>
  <si>
    <t>=(SUBTOTAL(9,T261:T280))</t>
  </si>
  <si>
    <t>=SUBTOTAL(9,O261:T280)</t>
  </si>
  <si>
    <t>="""NAV Direct"",""CRONUS JetCorp USA"",""32"",""1"",""167088"""</t>
  </si>
  <si>
    <t>="""NAV Direct"",""CRONUS JetCorp USA"",""32"",""1"",""167125"""</t>
  </si>
  <si>
    <t>="""NAV Direct"",""CRONUS JetCorp USA"",""32"",""1"",""167145"""</t>
  </si>
  <si>
    <t>="""NAV Direct"",""CRONUS JetCorp USA"",""32"",""1"",""167152"""</t>
  </si>
  <si>
    <t>="""NAV Direct"",""CRONUS JetCorp USA"",""32"",""1"",""167168"""</t>
  </si>
  <si>
    <t>=D266</t>
  </si>
  <si>
    <t>="""NAV Direct"",""CRONUS JetCorp USA"",""32"",""1"",""167175"""</t>
  </si>
  <si>
    <t>=IF($J267="Customer",NL("first",$J267,"Name","No.","@@"&amp;$K267),"")</t>
  </si>
  <si>
    <t>=IF(J267="vendor",NL("first",J267,"Name","No.","@@"&amp;K267),"")</t>
  </si>
  <si>
    <t>=IF($J267="Item",NL("first",$J267,"Description","No.","@@"&amp;$K267),"")</t>
  </si>
  <si>
    <t>="""NAV Direct"",""CRONUS JetCorp USA"",""32"",""1"",""124515"""</t>
  </si>
  <si>
    <t>="""NAV Direct"",""CRONUS JetCorp USA"",""32"",""1"",""132510"""</t>
  </si>
  <si>
    <t>="""NAV Direct"",""CRONUS JetCorp USA"",""32"",""1"",""25241"""</t>
  </si>
  <si>
    <t>="""NAV Direct"",""CRONUS JetCorp USA"",""32"",""1"",""38079"""</t>
  </si>
  <si>
    <t>="""NAV Direct"",""CRONUS JetCorp USA"",""32"",""1"",""20338"""</t>
  </si>
  <si>
    <t>="""NAV Direct"",""CRONUS JetCorp USA"",""32"",""1"",""20382"""</t>
  </si>
  <si>
    <t>="""NAV Direct"",""CRONUS JetCorp USA"",""32"",""1"",""36486"""</t>
  </si>
  <si>
    <t>="""NAV Direct"",""CRONUS JetCorp USA"",""32"",""1"",""25270"""</t>
  </si>
  <si>
    <t>="""NAV Direct"",""CRONUS JetCorp USA"",""32"",""1"",""25286"""</t>
  </si>
  <si>
    <t>="""NAV Direct"",""CRONUS JetCorp USA"",""32"",""1"",""38094"""</t>
  </si>
  <si>
    <t>="""NAV Direct"",""CRONUS JetCorp USA"",""32"",""1"",""132522"""</t>
  </si>
  <si>
    <t>="""NAV Direct"",""CRONUS JetCorp USA"",""32"",""1"",""138726"""</t>
  </si>
  <si>
    <t>=(SUBTOTAL(9,O283:O299))</t>
  </si>
  <si>
    <t>=(SUBTOTAL(9,P283:P299))</t>
  </si>
  <si>
    <t>=(SUBTOTAL(9,Q283:Q299))</t>
  </si>
  <si>
    <t>=(SUBTOTAL(9,R283:R299))</t>
  </si>
  <si>
    <t>=(SUBTOTAL(9,S283:S299))</t>
  </si>
  <si>
    <t>=(SUBTOTAL(9,T283:T299))</t>
  </si>
  <si>
    <t>=SUBTOTAL(9,O283:T299)</t>
  </si>
  <si>
    <t>=NL("Rows","Item Ledger Entry",,"+Posting Date",$L$5,"Item No.","@@"&amp;$D283,"Location Code",$L$7)</t>
  </si>
  <si>
    <t>="""NAV Direct"",""CRONUS JetCorp USA"",""32"",""1"",""167087"""</t>
  </si>
  <si>
    <t>="""NAV Direct"",""CRONUS JetCorp USA"",""32"",""1"",""167105"""</t>
  </si>
  <si>
    <t>="""NAV Direct"",""CRONUS JetCorp USA"",""32"",""1"",""167124"""</t>
  </si>
  <si>
    <t>="""NAV Direct"",""CRONUS JetCorp USA"",""32"",""1"",""167144"""</t>
  </si>
  <si>
    <t>="""NAV Direct"",""CRONUS JetCorp USA"",""32"",""1"",""167167"""</t>
  </si>
  <si>
    <t>="""NAV Direct"",""CRONUS JetCorp USA"",""32"",""1"",""167174"""</t>
  </si>
  <si>
    <t>="""NAV Direct"",""CRONUS JetCorp USA"",""32"",""1"",""20375"""</t>
  </si>
  <si>
    <t>="""NAV Direct"",""CRONUS JetCorp USA"",""32"",""1"",""34324"""</t>
  </si>
  <si>
    <t>="""NAV Direct"",""CRONUS JetCorp USA"",""32"",""1"",""25243"""</t>
  </si>
  <si>
    <t>="""NAV Direct"",""CRONUS JetCorp USA"",""32"",""1"",""20393"""</t>
  </si>
  <si>
    <t>="""NAV Direct"",""CRONUS JetCorp USA"",""32"",""1"",""34335"""</t>
  </si>
  <si>
    <t>="""NAV Direct"",""CRONUS JetCorp USA"",""32"",""1"",""64612"""</t>
  </si>
  <si>
    <t>="""NAV Direct"",""CRONUS JetCorp USA"",""32"",""1"",""38096"""</t>
  </si>
  <si>
    <t>="""NAV Direct"",""CRONUS JetCorp USA"",""32"",""1"",""132523"""</t>
  </si>
  <si>
    <t>="""NAV Direct"",""CRONUS JetCorp USA"",""32"",""1"",""138729"""</t>
  </si>
  <si>
    <t>=(SUBTOTAL(9,O302:O313))</t>
  </si>
  <si>
    <t>=(SUBTOTAL(9,P302:P313))</t>
  </si>
  <si>
    <t>=(SUBTOTAL(9,Q302:Q313))</t>
  </si>
  <si>
    <t>=(SUBTOTAL(9,R302:R313))</t>
  </si>
  <si>
    <t>=(SUBTOTAL(9,S302:S313))</t>
  </si>
  <si>
    <t>=(SUBTOTAL(9,T302:T313))</t>
  </si>
  <si>
    <t>=SUBTOTAL(9,O302:T313)</t>
  </si>
  <si>
    <t>="""NAV Direct"",""CRONUS JetCorp USA"",""32"",""1"",""167104"""</t>
  </si>
  <si>
    <t>="""NAV Direct"",""CRONUS JetCorp USA"",""32"",""1"",""167143"""</t>
  </si>
  <si>
    <t>="""NAV Direct"",""CRONUS JetCorp USA"",""32"",""1"",""167166"""</t>
  </si>
  <si>
    <t>="""NAV Direct"",""CRONUS JetCorp USA"",""32"",""1"",""20335"""</t>
  </si>
  <si>
    <t>="""NAV Direct"",""CRONUS JetCorp USA"",""32"",""1"",""34312"""</t>
  </si>
  <si>
    <t>="""NAV Direct"",""CRONUS JetCorp USA"",""32"",""1"",""124556"""</t>
  </si>
  <si>
    <t>="""NAV Direct"",""CRONUS JetCorp USA"",""32"",""1"",""30060"""</t>
  </si>
  <si>
    <t>="""NAV Direct"",""CRONUS JetCorp USA"",""32"",""1"",""124526"""</t>
  </si>
  <si>
    <t>="""NAV Direct"",""CRONUS JetCorp USA"",""32"",""1"",""30110"""</t>
  </si>
  <si>
    <t>="""NAV Direct"",""CRONUS JetCorp USA"",""32"",""1"",""34341"""</t>
  </si>
  <si>
    <t>=E315</t>
  </si>
  <si>
    <t>=NL("First","Item","Description","No.",$E315)</t>
  </si>
  <si>
    <t>=NL("First","Item","Base Unit of Measure","No.",$E315)</t>
  </si>
  <si>
    <t>=(SUBTOTAL(9,O316:O338))</t>
  </si>
  <si>
    <t>=(SUBTOTAL(9,P316:P338))</t>
  </si>
  <si>
    <t>=(SUBTOTAL(9,Q316:Q338))</t>
  </si>
  <si>
    <t>=(SUBTOTAL(9,R316:R338))</t>
  </si>
  <si>
    <t>=(SUBTOTAL(9,S316:S338))</t>
  </si>
  <si>
    <t>=(SUBTOTAL(9,T316:T338))</t>
  </si>
  <si>
    <t>=SUBTOTAL(9,O316:T338)</t>
  </si>
  <si>
    <t>=NL("Rows","Item Ledger Entry",,"+Posting Date",$L$5,"Item No.","@@"&amp;$D316,"Location Code",$L$7)</t>
  </si>
  <si>
    <t>="""NAV Direct"",""CRONUS JetCorp USA"",""32"",""1"",""167103"""</t>
  </si>
  <si>
    <t>=D317</t>
  </si>
  <si>
    <t>="""NAV Direct"",""CRONUS JetCorp USA"",""32"",""1"",""167109"""</t>
  </si>
  <si>
    <t>=IF($J318="Customer",NL("first",$J318,"Name","No.","@@"&amp;$K318),"")</t>
  </si>
  <si>
    <t>=IF(J318="vendor",NL("first",J318,"Name","No.","@@"&amp;K318),"")</t>
  </si>
  <si>
    <t>=IF($J318="Item",NL("first",$J318,"Description","No.","@@"&amp;$K318),"")</t>
  </si>
  <si>
    <t>="""NAV Direct"",""CRONUS JetCorp USA"",""32"",""1"",""167123"""</t>
  </si>
  <si>
    <t>="""NAV Direct"",""CRONUS JetCorp USA"",""32"",""1"",""167142"""</t>
  </si>
  <si>
    <t>="""NAV Direct"",""CRONUS JetCorp USA"",""32"",""1"",""167151"""</t>
  </si>
  <si>
    <t>="""NAV Direct"",""CRONUS JetCorp USA"",""32"",""1"",""167165"""</t>
  </si>
  <si>
    <t>="""NAV Direct"",""CRONUS JetCorp USA"",""32"",""1"",""167173"""</t>
  </si>
  <si>
    <t>="""NAV Direct"",""CRONUS JetCorp USA"",""32"",""1"",""64578"""</t>
  </si>
  <si>
    <t>="""NAV Direct"",""CRONUS JetCorp USA"",""32"",""1"",""34325"""</t>
  </si>
  <si>
    <t>="""NAV Direct"",""CRONUS JetCorp USA"",""32"",""1"",""78855"""</t>
  </si>
  <si>
    <t>=D326</t>
  </si>
  <si>
    <t>="""NAV Direct"",""CRONUS JetCorp USA"",""32"",""1"",""132512"""</t>
  </si>
  <si>
    <t>=IF($J327="Customer",NL("first",$J327,"Name","No.","@@"&amp;$K327),"")</t>
  </si>
  <si>
    <t>=IF(J327="vendor",NL("first",J327,"Name","No.","@@"&amp;K327),"")</t>
  </si>
  <si>
    <t>=IF($J327="Item",NL("first",$J327,"Description","No.","@@"&amp;$K327),"")</t>
  </si>
  <si>
    <t>="""NAV Direct"",""CRONUS JetCorp USA"",""32"",""1"",""20340"""</t>
  </si>
  <si>
    <t>="""NAV Direct"",""CRONUS JetCorp USA"",""32"",""1"",""25256"""</t>
  </si>
  <si>
    <t>="""NAV Direct"",""CRONUS JetCorp USA"",""32"",""1"",""44519"""</t>
  </si>
  <si>
    <t>="""NAV Direct"",""CRONUS JetCorp USA"",""32"",""1"",""30065"""</t>
  </si>
  <si>
    <t>="""NAV Direct"",""CRONUS JetCorp USA"",""32"",""1"",""54693"""</t>
  </si>
  <si>
    <t>="""NAV Direct"",""CRONUS JetCorp USA"",""32"",""1"",""36483"""</t>
  </si>
  <si>
    <t>="""NAV Direct"",""CRONUS JetCorp USA"",""32"",""1"",""64618"""</t>
  </si>
  <si>
    <t>="""NAV Direct"",""CRONUS JetCorp USA"",""32"",""1"",""78899"""</t>
  </si>
  <si>
    <t>="""NAV Direct"",""CRONUS JetCorp USA"",""32"",""1"",""132527"""</t>
  </si>
  <si>
    <t>="""NAV Direct"",""CRONUS JetCorp USA"",""32"",""1"",""158197"""</t>
  </si>
  <si>
    <t>=E340</t>
  </si>
  <si>
    <t>=NL("First","Item","Description","No.",$E340)</t>
  </si>
  <si>
    <t>=NL("First","Item","Base Unit of Measure","No.",$E340)</t>
  </si>
  <si>
    <t>=(SUBTOTAL(9,O341:O367))</t>
  </si>
  <si>
    <t>=(SUBTOTAL(9,P341:P367))</t>
  </si>
  <si>
    <t>=(SUBTOTAL(9,Q341:Q367))</t>
  </si>
  <si>
    <t>=(SUBTOTAL(9,R341:R367))</t>
  </si>
  <si>
    <t>=(SUBTOTAL(9,S341:S367))</t>
  </si>
  <si>
    <t>=(SUBTOTAL(9,T341:T367))</t>
  </si>
  <si>
    <t>=SUBTOTAL(9,O341:T367)</t>
  </si>
  <si>
    <t>=NL("Rows","Item Ledger Entry",,"+Posting Date",$L$5,"Item No.","@@"&amp;$D341,"Location Code",$L$7)</t>
  </si>
  <si>
    <t>="""NAV Direct"",""CRONUS JetCorp USA"",""32"",""1"",""167084"""</t>
  </si>
  <si>
    <t>="""NAV Direct"",""CRONUS JetCorp USA"",""32"",""1"",""167102"""</t>
  </si>
  <si>
    <t>="""NAV Direct"",""CRONUS JetCorp USA"",""32"",""1"",""167122"""</t>
  </si>
  <si>
    <t>="""NAV Direct"",""CRONUS JetCorp USA"",""32"",""1"",""167141"""</t>
  </si>
  <si>
    <t>="""NAV Direct"",""CRONUS JetCorp USA"",""32"",""1"",""167150"""</t>
  </si>
  <si>
    <t>="""NAV Direct"",""CRONUS JetCorp USA"",""32"",""1"",""167164"""</t>
  </si>
  <si>
    <t>="""NAV Direct"",""CRONUS JetCorp USA"",""32"",""1"",""167172"""</t>
  </si>
  <si>
    <t>="""NAV Direct"",""CRONUS JetCorp USA"",""32"",""1"",""20372"""</t>
  </si>
  <si>
    <t>="""NAV Direct"",""CRONUS JetCorp USA"",""32"",""1"",""124519"""</t>
  </si>
  <si>
    <t>="""NAV Direct"",""CRONUS JetCorp USA"",""32"",""1"",""132511"""</t>
  </si>
  <si>
    <t>=D351</t>
  </si>
  <si>
    <t>="""NAV Direct"",""CRONUS JetCorp USA"",""32"",""1"",""25245"""</t>
  </si>
  <si>
    <t>=IF($J352="Customer",NL("first",$J352,"Name","No.","@@"&amp;$K352),"")</t>
  </si>
  <si>
    <t>=IF(J352="vendor",NL("first",J352,"Name","No.","@@"&amp;K352),"")</t>
  </si>
  <si>
    <t>=IF($J352="Item",NL("first",$J352,"Description","No.","@@"&amp;$K352),"")</t>
  </si>
  <si>
    <t>="""NAV Direct"",""CRONUS JetCorp USA"",""32"",""1"",""38081"""</t>
  </si>
  <si>
    <t>="""NAV Direct"",""CRONUS JetCorp USA"",""32"",""1"",""128855"""</t>
  </si>
  <si>
    <t>="""NAV Direct"",""CRONUS JetCorp USA"",""32"",""1"",""44459"""</t>
  </si>
  <si>
    <t>="""NAV Direct"",""CRONUS JetCorp USA"",""32"",""1"",""128876"""</t>
  </si>
  <si>
    <t>="""NAV Direct"",""CRONUS JetCorp USA"",""32"",""1"",""20387"""</t>
  </si>
  <si>
    <t>="""NAV Direct"",""CRONUS JetCorp USA"",""32"",""1"",""44518"""</t>
  </si>
  <si>
    <t>="""NAV Direct"",""CRONUS JetCorp USA"",""32"",""1"",""30059"""</t>
  </si>
  <si>
    <t>="""NAV Direct"",""CRONUS JetCorp USA"",""32"",""1"",""124530"""</t>
  </si>
  <si>
    <t>="""NAV Direct"",""CRONUS JetCorp USA"",""32"",""1"",""30105"""</t>
  </si>
  <si>
    <t>="""NAV Direct"",""CRONUS JetCorp USA"",""32"",""1"",""34334"""</t>
  </si>
  <si>
    <t>="""NAV Direct"",""CRONUS JetCorp USA"",""32"",""1"",""153182"""</t>
  </si>
  <si>
    <t>="""NAV Direct"",""CRONUS JetCorp USA"",""32"",""1"",""20403"""</t>
  </si>
  <si>
    <t>="""NAV Direct"",""CRONUS JetCorp USA"",""32"",""1"",""25293"""</t>
  </si>
  <si>
    <t>="""NAV Direct"",""CRONUS JetCorp USA"",""32"",""1"",""158196"""</t>
  </si>
  <si>
    <t>=(SUBTOTAL(9,O370:O381))</t>
  </si>
  <si>
    <t>=(SUBTOTAL(9,P370:P381))</t>
  </si>
  <si>
    <t>=(SUBTOTAL(9,Q370:Q381))</t>
  </si>
  <si>
    <t>=(SUBTOTAL(9,R370:R381))</t>
  </si>
  <si>
    <t>=(SUBTOTAL(9,S370:S381))</t>
  </si>
  <si>
    <t>=(SUBTOTAL(9,T370:T381))</t>
  </si>
  <si>
    <t>=SUBTOTAL(9,O370:T381)</t>
  </si>
  <si>
    <t>=NL("Rows","Item Ledger Entry",,"+Posting Date",$L$5,"Item No.","@@"&amp;$D370,"Location Code",$L$7)</t>
  </si>
  <si>
    <t>="""NAV Direct"",""CRONUS JetCorp USA"",""32"",""1"",""167121"""</t>
  </si>
  <si>
    <t>=D371</t>
  </si>
  <si>
    <t>="""NAV Direct"",""CRONUS JetCorp USA"",""32"",""1"",""167140"""</t>
  </si>
  <si>
    <t>=IF($J372="Customer",NL("first",$J372,"Name","No.","@@"&amp;$K372),"")</t>
  </si>
  <si>
    <t>=IF(J372="vendor",NL("first",J372,"Name","No.","@@"&amp;K372),"")</t>
  </si>
  <si>
    <t>=IF($J372="Item",NL("first",$J372,"Description","No.","@@"&amp;$K372),"")</t>
  </si>
  <si>
    <t>=D372</t>
  </si>
  <si>
    <t>="""NAV Direct"",""CRONUS JetCorp USA"",""32"",""1"",""128849"""</t>
  </si>
  <si>
    <t>=IF($J373="Customer",NL("first",$J373,"Name","No.","@@"&amp;$K373),"")</t>
  </si>
  <si>
    <t>=IF(J373="vendor",NL("first",J373,"Name","No.","@@"&amp;K373),"")</t>
  </si>
  <si>
    <t>=IF($J373="Item",NL("first",$J373,"Description","No.","@@"&amp;$K373),"")</t>
  </si>
  <si>
    <t>=D373</t>
  </si>
  <si>
    <t>="""NAV Direct"",""CRONUS JetCorp USA"",""32"",""1"",""20380"""</t>
  </si>
  <si>
    <t>=IF($J374="Customer",NL("first",$J374,"Name","No.","@@"&amp;$K374),"")</t>
  </si>
  <si>
    <t>=IF(J374="vendor",NL("first",J374,"Name","No.","@@"&amp;K374),"")</t>
  </si>
  <si>
    <t>=IF($J374="Item",NL("first",$J374,"Description","No.","@@"&amp;$K374),"")</t>
  </si>
  <si>
    <t>="""NAV Direct"",""CRONUS JetCorp USA"",""32"",""1"",""124538"""</t>
  </si>
  <si>
    <t>="""NAV Direct"",""CRONUS JetCorp USA"",""32"",""1"",""30048"""</t>
  </si>
  <si>
    <t>="""NAV Direct"",""CRONUS JetCorp USA"",""32"",""1"",""20354"""</t>
  </si>
  <si>
    <t>="""NAV Direct"",""CRONUS JetCorp USA"",""32"",""1"",""124587"""</t>
  </si>
  <si>
    <t>="""NAV Direct"",""CRONUS JetCorp USA"",""32"",""1"",""25287"""</t>
  </si>
  <si>
    <t>="""NAV Direct"",""CRONUS JetCorp USA"",""32"",""1"",""138725"""</t>
  </si>
  <si>
    <t>=(SUBTOTAL(9,O384:O406))</t>
  </si>
  <si>
    <t>=(SUBTOTAL(9,P384:P406))</t>
  </si>
  <si>
    <t>=(SUBTOTAL(9,Q384:Q406))</t>
  </si>
  <si>
    <t>=(SUBTOTAL(9,R384:R406))</t>
  </si>
  <si>
    <t>=(SUBTOTAL(9,S384:S406))</t>
  </si>
  <si>
    <t>=(SUBTOTAL(9,T384:T406))</t>
  </si>
  <si>
    <t>=SUBTOTAL(9,O384:T406)</t>
  </si>
  <si>
    <t>=NL("Rows","Item Ledger Entry",,"+Posting Date",$L$5,"Item No.","@@"&amp;$D384,"Location Code",$L$7)</t>
  </si>
  <si>
    <t>="""NAV Direct"",""CRONUS JetCorp USA"",""32"",""1"",""167100"""</t>
  </si>
  <si>
    <t>="""NAV Direct"",""CRONUS JetCorp USA"",""32"",""1"",""167120"""</t>
  </si>
  <si>
    <t>=D386</t>
  </si>
  <si>
    <t>="""NAV Direct"",""CRONUS JetCorp USA"",""32"",""1"",""167139"""</t>
  </si>
  <si>
    <t>=IF($J387="Customer",NL("first",$J387,"Name","No.","@@"&amp;$K387),"")</t>
  </si>
  <si>
    <t>=IF(J387="vendor",NL("first",J387,"Name","No.","@@"&amp;K387),"")</t>
  </si>
  <si>
    <t>=IF($J387="Item",NL("first",$J387,"Description","No.","@@"&amp;$K387),"")</t>
  </si>
  <si>
    <t>=D387</t>
  </si>
  <si>
    <t>="""NAV Direct"",""CRONUS JetCorp USA"",""32"",""1"",""167163"""</t>
  </si>
  <si>
    <t>=IF($J388="Customer",NL("first",$J388,"Name","No.","@@"&amp;$K388),"")</t>
  </si>
  <si>
    <t>=IF(J388="vendor",NL("first",J388,"Name","No.","@@"&amp;K388),"")</t>
  </si>
  <si>
    <t>=IF($J388="Item",NL("first",$J388,"Description","No.","@@"&amp;$K388),"")</t>
  </si>
  <si>
    <t>="""NAV Direct"",""CRONUS JetCorp USA"",""32"",""1"",""167171"""</t>
  </si>
  <si>
    <t>="""NAV Direct"",""CRONUS JetCorp USA"",""32"",""1"",""25239"""</t>
  </si>
  <si>
    <t>="""NAV Direct"",""CRONUS JetCorp USA"",""32"",""1"",""78879"""</t>
  </si>
  <si>
    <t>=D391</t>
  </si>
  <si>
    <t>="""NAV Direct"",""CRONUS JetCorp USA"",""32"",""1"",""158690"""</t>
  </si>
  <si>
    <t>=IF($J392="Customer",NL("first",$J392,"Name","No.","@@"&amp;$K392),"")</t>
  </si>
  <si>
    <t>=IF(J392="vendor",NL("first",J392,"Name","No.","@@"&amp;K392),"")</t>
  </si>
  <si>
    <t>=IF($J392="Item",NL("first",$J392,"Description","No.","@@"&amp;$K392),"")</t>
  </si>
  <si>
    <t>="""NAV Direct"",""CRONUS JetCorp USA"",""32"",""1"",""44462"""</t>
  </si>
  <si>
    <t>="""NAV Direct"",""CRONUS JetCorp USA"",""32"",""1"",""20386"""</t>
  </si>
  <si>
    <t>="""NAV Direct"",""CRONUS JetCorp USA"",""32"",""1"",""124550"""</t>
  </si>
  <si>
    <t>="""NAV Direct"",""CRONUS JetCorp USA"",""32"",""1"",""54694"""</t>
  </si>
  <si>
    <t>="""NAV Direct"",""CRONUS JetCorp USA"",""32"",""1"",""78886"""</t>
  </si>
  <si>
    <t>="""NAV Direct"",""CRONUS JetCorp USA"",""32"",""1"",""124527"""</t>
  </si>
  <si>
    <t>=D398</t>
  </si>
  <si>
    <t>="""NAV Direct"",""CRONUS JetCorp USA"",""32"",""1"",""30111"""</t>
  </si>
  <si>
    <t>=IF($J399="Customer",NL("first",$J399,"Name","No.","@@"&amp;$K399),"")</t>
  </si>
  <si>
    <t>=IF(J399="vendor",NL("first",J399,"Name","No.","@@"&amp;K399),"")</t>
  </si>
  <si>
    <t>=IF($J399="Item",NL("first",$J399,"Description","No.","@@"&amp;$K399),"")</t>
  </si>
  <si>
    <t>=D399</t>
  </si>
  <si>
    <t>="""NAV Direct"",""CRONUS JetCorp USA"",""32"",""1"",""34337"""</t>
  </si>
  <si>
    <t>=IF($J400="Customer",NL("first",$J400,"Name","No.","@@"&amp;$K400),"")</t>
  </si>
  <si>
    <t>=IF(J400="vendor",NL("first",J400,"Name","No.","@@"&amp;K400),"")</t>
  </si>
  <si>
    <t>=IF($J400="Item",NL("first",$J400,"Description","No.","@@"&amp;$K400),"")</t>
  </si>
  <si>
    <t>=D400</t>
  </si>
  <si>
    <t>="""NAV Direct"",""CRONUS JetCorp USA"",""32"",""1"",""64621"""</t>
  </si>
  <si>
    <t>=IF($J401="Customer",NL("first",$J401,"Name","No.","@@"&amp;$K401),"")</t>
  </si>
  <si>
    <t>=IF(J401="vendor",NL("first",J401,"Name","No.","@@"&amp;K401),"")</t>
  </si>
  <si>
    <t>=IF($J401="Item",NL("first",$J401,"Description","No.","@@"&amp;$K401),"")</t>
  </si>
  <si>
    <t>="""NAV Direct"",""CRONUS JetCorp USA"",""32"",""1"",""128885"""</t>
  </si>
  <si>
    <t>="""NAV Direct"",""CRONUS JetCorp USA"",""32"",""1"",""38093"""</t>
  </si>
  <si>
    <t>=D403</t>
  </si>
  <si>
    <t>="""NAV Direct"",""CRONUS JetCorp USA"",""32"",""1"",""132529"""</t>
  </si>
  <si>
    <t>=IF($J404="Customer",NL("first",$J404,"Name","No.","@@"&amp;$K404),"")</t>
  </si>
  <si>
    <t>=IF(J404="vendor",NL("first",J404,"Name","No.","@@"&amp;K404),"")</t>
  </si>
  <si>
    <t>=IF($J404="Item",NL("first",$J404,"Description","No.","@@"&amp;$K404),"")</t>
  </si>
  <si>
    <t>=D404</t>
  </si>
  <si>
    <t>="""NAV Direct"",""CRONUS JetCorp USA"",""32"",""1"",""138735"""</t>
  </si>
  <si>
    <t>=IF($J405="Customer",NL("first",$J405,"Name","No.","@@"&amp;$K405),"")</t>
  </si>
  <si>
    <t>=IF(J405="vendor",NL("first",J405,"Name","No.","@@"&amp;K405),"")</t>
  </si>
  <si>
    <t>=IF($J405="Item",NL("first",$J405,"Description","No.","@@"&amp;$K405),"")</t>
  </si>
  <si>
    <t>=E408</t>
  </si>
  <si>
    <t>=NL("First","Item","Description","No.",$E408)</t>
  </si>
  <si>
    <t>=NL("First","Item","Base Unit of Measure","No.",$E408)</t>
  </si>
  <si>
    <t>=(SUBTOTAL(9,O409:O429))</t>
  </si>
  <si>
    <t>=(SUBTOTAL(9,P409:P429))</t>
  </si>
  <si>
    <t>=(SUBTOTAL(9,Q409:Q429))</t>
  </si>
  <si>
    <t>=(SUBTOTAL(9,R409:R429))</t>
  </si>
  <si>
    <t>=(SUBTOTAL(9,S409:S429))</t>
  </si>
  <si>
    <t>=(SUBTOTAL(9,T409:T429))</t>
  </si>
  <si>
    <t>=SUBTOTAL(9,O409:T429)</t>
  </si>
  <si>
    <t>=NL("Rows","Item Ledger Entry",,"+Posting Date",$L$5,"Item No.","@@"&amp;$D409,"Location Code",$L$7)</t>
  </si>
  <si>
    <t>="""NAV Direct"",""CRONUS JetCorp USA"",""32"",""1"",""167082"""</t>
  </si>
  <si>
    <t>="""NAV Direct"",""CRONUS JetCorp USA"",""32"",""1"",""167099"""</t>
  </si>
  <si>
    <t>="""NAV Direct"",""CRONUS JetCorp USA"",""32"",""1"",""167119"""</t>
  </si>
  <si>
    <t>="""NAV Direct"",""CRONUS JetCorp USA"",""32"",""1"",""167138"""</t>
  </si>
  <si>
    <t>="""NAV Direct"",""CRONUS JetCorp USA"",""32"",""1"",""167162"""</t>
  </si>
  <si>
    <t>="""NAV Direct"",""CRONUS JetCorp USA"",""32"",""1"",""20371"""</t>
  </si>
  <si>
    <t>=D415</t>
  </si>
  <si>
    <t>="""NAV Direct"",""CRONUS JetCorp USA"",""32"",""1"",""25240"""</t>
  </si>
  <si>
    <t>=IF($J416="Customer",NL("first",$J416,"Name","No.","@@"&amp;$K416),"")</t>
  </si>
  <si>
    <t>=IF(J416="vendor",NL("first",J416,"Name","No.","@@"&amp;K416),"")</t>
  </si>
  <si>
    <t>=IF($J416="Item",NL("first",$J416,"Description","No.","@@"&amp;$K416),"")</t>
  </si>
  <si>
    <t>="""NAV Direct"",""CRONUS JetCorp USA"",""32"",""1"",""30035"""</t>
  </si>
  <si>
    <t>=D417</t>
  </si>
  <si>
    <t>="""NAV Direct"",""CRONUS JetCorp USA"",""32"",""1"",""128860"""</t>
  </si>
  <si>
    <t>=IF($J418="Customer",NL("first",$J418,"Name","No.","@@"&amp;$K418),"")</t>
  </si>
  <si>
    <t>=IF(J418="vendor",NL("first",J418,"Name","No.","@@"&amp;K418),"")</t>
  </si>
  <si>
    <t>=IF($J418="Item",NL("first",$J418,"Description","No.","@@"&amp;$K418),"")</t>
  </si>
  <si>
    <t>="""NAV Direct"",""CRONUS JetCorp USA"",""32"",""1"",""44468"""</t>
  </si>
  <si>
    <t>=D419</t>
  </si>
  <si>
    <t>="""NAV Direct"",""CRONUS JetCorp USA"",""32"",""1"",""54724"""</t>
  </si>
  <si>
    <t>=IF($J420="Customer",NL("first",$J420,"Name","No.","@@"&amp;$K420),"")</t>
  </si>
  <si>
    <t>=IF(J420="vendor",NL("first",J420,"Name","No.","@@"&amp;K420),"")</t>
  </si>
  <si>
    <t>=IF($J420="Item",NL("first",$J420,"Description","No.","@@"&amp;$K420),"")</t>
  </si>
  <si>
    <t>="""NAV Direct"",""CRONUS JetCorp USA"",""32"",""1"",""44517"""</t>
  </si>
  <si>
    <t>=D421</t>
  </si>
  <si>
    <t>="""NAV Direct"",""CRONUS JetCorp USA"",""32"",""1"",""54698"""</t>
  </si>
  <si>
    <t>=IF($J422="Customer",NL("first",$J422,"Name","No.","@@"&amp;$K422),"")</t>
  </si>
  <si>
    <t>=IF(J422="vendor",NL("first",J422,"Name","No.","@@"&amp;K422),"")</t>
  </si>
  <si>
    <t>=IF($J422="Item",NL("first",$J422,"Description","No.","@@"&amp;$K422),"")</t>
  </si>
  <si>
    <t>="""NAV Direct"",""CRONUS JetCorp USA"",""32"",""1"",""20362"""</t>
  </si>
  <si>
    <t>=D423</t>
  </si>
  <si>
    <t>="""NAV Direct"",""CRONUS JetCorp USA"",""32"",""1"",""30116"""</t>
  </si>
  <si>
    <t>=IF($J424="Customer",NL("first",$J424,"Name","No.","@@"&amp;$K424),"")</t>
  </si>
  <si>
    <t>=IF(J424="vendor",NL("first",J424,"Name","No.","@@"&amp;K424),"")</t>
  </si>
  <si>
    <t>=IF($J424="Item",NL("first",$J424,"Description","No.","@@"&amp;$K424),"")</t>
  </si>
  <si>
    <t>="""NAV Direct"",""CRONUS JetCorp USA"",""32"",""1"",""36481"""</t>
  </si>
  <si>
    <t>="""NAV Direct"",""CRONUS JetCorp USA"",""32"",""1"",""124585"""</t>
  </si>
  <si>
    <t>="""NAV Direct"",""CRONUS JetCorp USA"",""32"",""1"",""25269"""</t>
  </si>
  <si>
    <t>="""NAV Direct"",""CRONUS JetCorp USA"",""32"",""1"",""20401"""</t>
  </si>
  <si>
    <t>=(SUBTOTAL(9,O432:O448))</t>
  </si>
  <si>
    <t>=(SUBTOTAL(9,P432:P448))</t>
  </si>
  <si>
    <t>=(SUBTOTAL(9,Q432:Q448))</t>
  </si>
  <si>
    <t>=(SUBTOTAL(9,R432:R448))</t>
  </si>
  <si>
    <t>=(SUBTOTAL(9,S432:S448))</t>
  </si>
  <si>
    <t>=(SUBTOTAL(9,T432:T448))</t>
  </si>
  <si>
    <t>=SUBTOTAL(9,O432:T448)</t>
  </si>
  <si>
    <t>=NL("Rows","Item Ledger Entry",,"+Posting Date",$L$5,"Item No.","@@"&amp;$D432,"Location Code",$L$7)</t>
  </si>
  <si>
    <t>=D432</t>
  </si>
  <si>
    <t>="""NAV Direct"",""CRONUS JetCorp USA"",""32"",""1"",""167098"""</t>
  </si>
  <si>
    <t>=IF($J433="Customer",NL("first",$J433,"Name","No.","@@"&amp;$K433),"")</t>
  </si>
  <si>
    <t>=IF(J433="vendor",NL("first",J433,"Name","No.","@@"&amp;K433),"")</t>
  </si>
  <si>
    <t>=IF($J433="Item",NL("first",$J433,"Description","No.","@@"&amp;$K433),"")</t>
  </si>
  <si>
    <t>="""NAV Direct"",""CRONUS JetCorp USA"",""32"",""1"",""167108"""</t>
  </si>
  <si>
    <t>="""NAV Direct"",""CRONUS JetCorp USA"",""32"",""1"",""167118"""</t>
  </si>
  <si>
    <t>="""NAV Direct"",""CRONUS JetCorp USA"",""32"",""1"",""167137"""</t>
  </si>
  <si>
    <t>=D436</t>
  </si>
  <si>
    <t>="""NAV Direct"",""CRONUS JetCorp USA"",""32"",""1"",""167161"""</t>
  </si>
  <si>
    <t>=IF($J437="Customer",NL("first",$J437,"Name","No.","@@"&amp;$K437),"")</t>
  </si>
  <si>
    <t>=IF(J437="vendor",NL("first",J437,"Name","No.","@@"&amp;K437),"")</t>
  </si>
  <si>
    <t>=IF($J437="Item",NL("first",$J437,"Description","No.","@@"&amp;$K437),"")</t>
  </si>
  <si>
    <t>=D437</t>
  </si>
  <si>
    <t>="""NAV Direct"",""CRONUS JetCorp USA"",""32"",""1"",""78838"""</t>
  </si>
  <si>
    <t>=IF($J438="Customer",NL("first",$J438,"Name","No.","@@"&amp;$K438),"")</t>
  </si>
  <si>
    <t>=IF(J438="vendor",NL("first",J438,"Name","No.","@@"&amp;K438),"")</t>
  </si>
  <si>
    <t>=IF($J438="Item",NL("first",$J438,"Description","No.","@@"&amp;$K438),"")</t>
  </si>
  <si>
    <t>="""NAV Direct"",""CRONUS JetCorp USA"",""32"",""1"",""30032"""</t>
  </si>
  <si>
    <t>="""NAV Direct"",""CRONUS JetCorp USA"",""32"",""1"",""38075"""</t>
  </si>
  <si>
    <t>="""NAV Direct"",""CRONUS JetCorp USA"",""32"",""1"",""72510"""</t>
  </si>
  <si>
    <t>=D441</t>
  </si>
  <si>
    <t>="""NAV Direct"",""CRONUS JetCorp USA"",""32"",""1"",""78875"""</t>
  </si>
  <si>
    <t>=IF($J442="Customer",NL("first",$J442,"Name","No.","@@"&amp;$K442),"")</t>
  </si>
  <si>
    <t>=IF(J442="vendor",NL("first",J442,"Name","No.","@@"&amp;K442),"")</t>
  </si>
  <si>
    <t>=IF($J442="Item",NL("first",$J442,"Description","No.","@@"&amp;$K442),"")</t>
  </si>
  <si>
    <t>=D442</t>
  </si>
  <si>
    <t>="""NAV Direct"",""CRONUS JetCorp USA"",""32"",""1"",""128853"""</t>
  </si>
  <si>
    <t>=IF($J443="Customer",NL("first",$J443,"Name","No.","@@"&amp;$K443),"")</t>
  </si>
  <si>
    <t>=IF(J443="vendor",NL("first",J443,"Name","No.","@@"&amp;K443),"")</t>
  </si>
  <si>
    <t>=IF($J443="Item",NL("first",$J443,"Description","No.","@@"&amp;$K443),"")</t>
  </si>
  <si>
    <t>="""NAV Direct"",""CRONUS JetCorp USA"",""32"",""1"",""54720"""</t>
  </si>
  <si>
    <t>="""NAV Direct"",""CRONUS JetCorp USA"",""32"",""1"",""54692"""</t>
  </si>
  <si>
    <t>="""NAV Direct"",""CRONUS JetCorp USA"",""32"",""1"",""34342"""</t>
  </si>
  <si>
    <t>="""NAV Direct"",""CRONUS JetCorp USA"",""32"",""1"",""25268"""</t>
  </si>
  <si>
    <t>=E450</t>
  </si>
  <si>
    <t>=NL("First","Item","Description","No.",$E450)</t>
  </si>
  <si>
    <t>=NL("First","Item","Base Unit of Measure","No.",$E450)</t>
  </si>
  <si>
    <t>=(SUBTOTAL(9,O451:O465))</t>
  </si>
  <si>
    <t>=(SUBTOTAL(9,P451:P465))</t>
  </si>
  <si>
    <t>=(SUBTOTAL(9,Q451:Q465))</t>
  </si>
  <si>
    <t>=(SUBTOTAL(9,R451:R465))</t>
  </si>
  <si>
    <t>=(SUBTOTAL(9,S451:S465))</t>
  </si>
  <si>
    <t>=(SUBTOTAL(9,T451:T465))</t>
  </si>
  <si>
    <t>=SUBTOTAL(9,O451:T465)</t>
  </si>
  <si>
    <t>=D450</t>
  </si>
  <si>
    <t>=NL("Rows","Item Ledger Entry",,"+Posting Date",$L$5,"Item No.","@@"&amp;$D451,"Location Code",$L$7)</t>
  </si>
  <si>
    <t>=IF($J451="Customer",NL("first",$J451,"Name","No.","@@"&amp;$K451),"")</t>
  </si>
  <si>
    <t>=IF(J451="vendor",NL("first",J451,"Name","No.","@@"&amp;K451),"")</t>
  </si>
  <si>
    <t>=IF($J451="Item",NL("first",$J451,"Description","No.","@@"&amp;$K451),"")</t>
  </si>
  <si>
    <t>="""NAV Direct"",""CRONUS JetCorp USA"",""32"",""1"",""167523"""</t>
  </si>
  <si>
    <t>="""NAV Direct"",""CRONUS JetCorp USA"",""32"",""1"",""167541"""</t>
  </si>
  <si>
    <t>="""NAV Direct"",""CRONUS JetCorp USA"",""32"",""1"",""167568"""</t>
  </si>
  <si>
    <t>=D454</t>
  </si>
  <si>
    <t>="""NAV Direct"",""CRONUS JetCorp USA"",""32"",""1"",""167586"""</t>
  </si>
  <si>
    <t>=IF($J455="Customer",NL("first",$J455,"Name","No.","@@"&amp;$K455),"")</t>
  </si>
  <si>
    <t>=IF(J455="vendor",NL("first",J455,"Name","No.","@@"&amp;K455),"")</t>
  </si>
  <si>
    <t>=IF($J455="Item",NL("first",$J455,"Description","No.","@@"&amp;$K455),"")</t>
  </si>
  <si>
    <t>=D455</t>
  </si>
  <si>
    <t>="""NAV Direct"",""CRONUS JetCorp USA"",""32"",""1"",""167616"""</t>
  </si>
  <si>
    <t>=IF($J456="Customer",NL("first",$J456,"Name","No.","@@"&amp;$K456),"")</t>
  </si>
  <si>
    <t>=IF(J456="vendor",NL("first",J456,"Name","No.","@@"&amp;K456),"")</t>
  </si>
  <si>
    <t>=IF($J456="Item",NL("first",$J456,"Description","No.","@@"&amp;$K456),"")</t>
  </si>
  <si>
    <t>="""NAV Direct"",""CRONUS JetCorp USA"",""32"",""1"",""20364"""</t>
  </si>
  <si>
    <t>="""NAV Direct"",""CRONUS JetCorp USA"",""32"",""1"",""7555"""</t>
  </si>
  <si>
    <t>="""NAV Direct"",""CRONUS JetCorp USA"",""32"",""1"",""120180"""</t>
  </si>
  <si>
    <t>="""NAV Direct"",""CRONUS JetCorp USA"",""32"",""1"",""12465"""</t>
  </si>
  <si>
    <t>="""NAV Direct"",""CRONUS JetCorp USA"",""32"",""1"",""38073"""</t>
  </si>
  <si>
    <t>="""NAV Direct"",""CRONUS JetCorp USA"",""32"",""1"",""128850"""</t>
  </si>
  <si>
    <t>="""NAV Direct"",""CRONUS JetCorp USA"",""32"",""1"",""124523"""</t>
  </si>
  <si>
    <t>="""NAV Direct"",""CRONUS JetCorp USA"",""32"",""1"",""20346"""</t>
  </si>
  <si>
    <t>=E467</t>
  </si>
  <si>
    <t>=NL("First","Item","Description","No.",$E467)</t>
  </si>
  <si>
    <t>=NL("First","Item","Base Unit of Measure","No.",$E467)</t>
  </si>
  <si>
    <t>=(SUBTOTAL(9,O468:O492))</t>
  </si>
  <si>
    <t>=(SUBTOTAL(9,P468:P492))</t>
  </si>
  <si>
    <t>=(SUBTOTAL(9,Q468:Q492))</t>
  </si>
  <si>
    <t>=(SUBTOTAL(9,R468:R492))</t>
  </si>
  <si>
    <t>=(SUBTOTAL(9,S468:S492))</t>
  </si>
  <si>
    <t>=(SUBTOTAL(9,T468:T492))</t>
  </si>
  <si>
    <t>=SUBTOTAL(9,O468:T492)</t>
  </si>
  <si>
    <t>=NL("Rows","Item Ledger Entry",,"+Posting Date",$L$5,"Item No.","@@"&amp;$D468,"Location Code",$L$7)</t>
  </si>
  <si>
    <t>="""NAV Direct"",""CRONUS JetCorp USA"",""32"",""1"",""167540"""</t>
  </si>
  <si>
    <t>=D469</t>
  </si>
  <si>
    <t>="""NAV Direct"",""CRONUS JetCorp USA"",""32"",""1"",""167567"""</t>
  </si>
  <si>
    <t>=IF($J470="Customer",NL("first",$J470,"Name","No.","@@"&amp;$K470),"")</t>
  </si>
  <si>
    <t>=IF(J470="vendor",NL("first",J470,"Name","No.","@@"&amp;K470),"")</t>
  </si>
  <si>
    <t>=IF($J470="Item",NL("first",$J470,"Description","No.","@@"&amp;$K470),"")</t>
  </si>
  <si>
    <t>=D470</t>
  </si>
  <si>
    <t>="""NAV Direct"",""CRONUS JetCorp USA"",""32"",""1"",""167585"""</t>
  </si>
  <si>
    <t>=IF($J471="Customer",NL("first",$J471,"Name","No.","@@"&amp;$K471),"")</t>
  </si>
  <si>
    <t>=IF(J471="vendor",NL("first",J471,"Name","No.","@@"&amp;K471),"")</t>
  </si>
  <si>
    <t>=IF($J471="Item",NL("first",$J471,"Description","No.","@@"&amp;$K471),"")</t>
  </si>
  <si>
    <t>=D471</t>
  </si>
  <si>
    <t>="""NAV Direct"",""CRONUS JetCorp USA"",""32"",""1"",""167615"""</t>
  </si>
  <si>
    <t>=IF($J472="Customer",NL("first",$J472,"Name","No.","@@"&amp;$K472),"")</t>
  </si>
  <si>
    <t>=IF(J472="vendor",NL("first",J472,"Name","No.","@@"&amp;K472),"")</t>
  </si>
  <si>
    <t>=IF($J472="Item",NL("first",$J472,"Description","No.","@@"&amp;$K472),"")</t>
  </si>
  <si>
    <t>="""NAV Direct"",""CRONUS JetCorp USA"",""32"",""1"",""7559"""</t>
  </si>
  <si>
    <t>="""NAV Direct"",""CRONUS JetCorp USA"",""32"",""1"",""12453"""</t>
  </si>
  <si>
    <t>="""NAV Direct"",""CRONUS JetCorp USA"",""32"",""1"",""111296"""</t>
  </si>
  <si>
    <t>="""NAV Direct"",""CRONUS JetCorp USA"",""32"",""1"",""132509"""</t>
  </si>
  <si>
    <t>="""NAV Direct"",""CRONUS JetCorp USA"",""32"",""1"",""118072"""</t>
  </si>
  <si>
    <t>=D477</t>
  </si>
  <si>
    <t>="""NAV Direct"",""CRONUS JetCorp USA"",""32"",""1"",""20331"""</t>
  </si>
  <si>
    <t>=IF($J478="Customer",NL("first",$J478,"Name","No.","@@"&amp;$K478),"")</t>
  </si>
  <si>
    <t>=IF(J478="vendor",NL("first",J478,"Name","No.","@@"&amp;K478),"")</t>
  </si>
  <si>
    <t>=IF($J478="Item",NL("first",$J478,"Description","No.","@@"&amp;$K478),"")</t>
  </si>
  <si>
    <t>=D478</t>
  </si>
  <si>
    <t>="""NAV Direct"",""CRONUS JetCorp USA"",""32"",""1"",""111313"""</t>
  </si>
  <si>
    <t>=IF($J479="Customer",NL("first",$J479,"Name","No.","@@"&amp;$K479),"")</t>
  </si>
  <si>
    <t>=IF(J479="vendor",NL("first",J479,"Name","No.","@@"&amp;K479),"")</t>
  </si>
  <si>
    <t>=IF($J479="Item",NL("first",$J479,"Description","No.","@@"&amp;$K479),"")</t>
  </si>
  <si>
    <t>=D479</t>
  </si>
  <si>
    <t>="""NAV Direct"",""CRONUS JetCorp USA"",""32"",""1"",""128868"""</t>
  </si>
  <si>
    <t>=IF($J480="Customer",NL("first",$J480,"Name","No.","@@"&amp;$K480),"")</t>
  </si>
  <si>
    <t>=IF(J480="vendor",NL("first",J480,"Name","No.","@@"&amp;K480),"")</t>
  </si>
  <si>
    <t>=IF($J480="Item",NL("first",$J480,"Description","No.","@@"&amp;$K480),"")</t>
  </si>
  <si>
    <t>="""NAV Direct"",""CRONUS JetCorp USA"",""32"",""1"",""3899"""</t>
  </si>
  <si>
    <t>="""NAV Direct"",""CRONUS JetCorp USA"",""32"",""1"",""124544"""</t>
  </si>
  <si>
    <t>="""NAV Direct"",""CRONUS JetCorp USA"",""32"",""1"",""120191"""</t>
  </si>
  <si>
    <t>="""NAV Direct"",""CRONUS JetCorp USA"",""32"",""1"",""30108"""</t>
  </si>
  <si>
    <t>="""NAV Direct"",""CRONUS JetCorp USA"",""32"",""1"",""34338"""</t>
  </si>
  <si>
    <t>="""NAV Direct"",""CRONUS JetCorp USA"",""32"",""1"",""36484"""</t>
  </si>
  <si>
    <t>=D486</t>
  </si>
  <si>
    <t>="""NAV Direct"",""CRONUS JetCorp USA"",""32"",""1"",""7589"""</t>
  </si>
  <si>
    <t>=IF($J487="Customer",NL("first",$J487,"Name","No.","@@"&amp;$K487),"")</t>
  </si>
  <si>
    <t>=IF(J487="vendor",NL("first",J487,"Name","No.","@@"&amp;K487),"")</t>
  </si>
  <si>
    <t>=IF($J487="Item",NL("first",$J487,"Description","No.","@@"&amp;$K487),"")</t>
  </si>
  <si>
    <t>=D487</t>
  </si>
  <si>
    <t>="""NAV Direct"",""CRONUS JetCorp USA"",""32"",""1"",""25262"""</t>
  </si>
  <si>
    <t>=IF($J488="Customer",NL("first",$J488,"Name","No.","@@"&amp;$K488),"")</t>
  </si>
  <si>
    <t>=IF(J488="vendor",NL("first",J488,"Name","No.","@@"&amp;K488),"")</t>
  </si>
  <si>
    <t>=IF($J488="Item",NL("first",$J488,"Description","No.","@@"&amp;$K488),"")</t>
  </si>
  <si>
    <t>=D488</t>
  </si>
  <si>
    <t>="""NAV Direct"",""CRONUS JetCorp USA"",""32"",""1"",""25297"""</t>
  </si>
  <si>
    <t>=IF($J489="Customer",NL("first",$J489,"Name","No.","@@"&amp;$K489),"")</t>
  </si>
  <si>
    <t>=IF(J489="vendor",NL("first",J489,"Name","No.","@@"&amp;K489),"")</t>
  </si>
  <si>
    <t>=IF($J489="Item",NL("first",$J489,"Description","No.","@@"&amp;$K489),"")</t>
  </si>
  <si>
    <t>="""NAV Direct"",""CRONUS JetCorp USA"",""32"",""1"",""132530"""</t>
  </si>
  <si>
    <t>="""NAV Direct"",""CRONUS JetCorp USA"",""32"",""1"",""138724"""</t>
  </si>
  <si>
    <t>=E494</t>
  </si>
  <si>
    <t>=NL("First","Item","Description","No.",$E494)</t>
  </si>
  <si>
    <t>=NL("First","Item","Base Unit of Measure","No.",$E494)</t>
  </si>
  <si>
    <t>=(SUBTOTAL(9,O495:O514))</t>
  </si>
  <si>
    <t>=(SUBTOTAL(9,P495:P514))</t>
  </si>
  <si>
    <t>=(SUBTOTAL(9,Q495:Q514))</t>
  </si>
  <si>
    <t>=(SUBTOTAL(9,R495:R514))</t>
  </si>
  <si>
    <t>=(SUBTOTAL(9,S495:S514))</t>
  </si>
  <si>
    <t>=(SUBTOTAL(9,T495:T514))</t>
  </si>
  <si>
    <t>=SUBTOTAL(9,O495:T514)</t>
  </si>
  <si>
    <t>=D494</t>
  </si>
  <si>
    <t>=NL("Rows","Item Ledger Entry",,"+Posting Date",$L$5,"Item No.","@@"&amp;$D495,"Location Code",$L$7)</t>
  </si>
  <si>
    <t>=IF($J495="Customer",NL("first",$J495,"Name","No.","@@"&amp;$K495),"")</t>
  </si>
  <si>
    <t>=IF(J495="vendor",NL("first",J495,"Name","No.","@@"&amp;K495),"")</t>
  </si>
  <si>
    <t>=IF($J495="Item",NL("first",$J495,"Description","No.","@@"&amp;$K495),"")</t>
  </si>
  <si>
    <t>=D495</t>
  </si>
  <si>
    <t>="""NAV Direct"",""CRONUS JetCorp USA"",""32"",""1"",""167539"""</t>
  </si>
  <si>
    <t>=IF($J496="Customer",NL("first",$J496,"Name","No.","@@"&amp;$K496),"")</t>
  </si>
  <si>
    <t>=IF(J496="vendor",NL("first",J496,"Name","No.","@@"&amp;K496),"")</t>
  </si>
  <si>
    <t>=IF($J496="Item",NL("first",$J496,"Description","No.","@@"&amp;$K496),"")</t>
  </si>
  <si>
    <t>="""NAV Direct"",""CRONUS JetCorp USA"",""32"",""1"",""167548"""</t>
  </si>
  <si>
    <t>="""NAV Direct"",""CRONUS JetCorp USA"",""32"",""1"",""167566"""</t>
  </si>
  <si>
    <t>="""NAV Direct"",""CRONUS JetCorp USA"",""32"",""1"",""167584"""</t>
  </si>
  <si>
    <t>="""NAV Direct"",""CRONUS JetCorp USA"",""32"",""1"",""167614"""</t>
  </si>
  <si>
    <t>=D500</t>
  </si>
  <si>
    <t>="""NAV Direct"",""CRONUS JetCorp USA"",""32"",""1"",""153171"""</t>
  </si>
  <si>
    <t>=IF($J501="Customer",NL("first",$J501,"Name","No.","@@"&amp;$K501),"")</t>
  </si>
  <si>
    <t>=IF(J501="vendor",NL("first",J501,"Name","No.","@@"&amp;K501),"")</t>
  </si>
  <si>
    <t>=IF($J501="Item",NL("first",$J501,"Description","No.","@@"&amp;$K501),"")</t>
  </si>
  <si>
    <t>=D501</t>
  </si>
  <si>
    <t>="""NAV Direct"",""CRONUS JetCorp USA"",""32"",""1"",""12466"""</t>
  </si>
  <si>
    <t>=IF($J502="Customer",NL("first",$J502,"Name","No.","@@"&amp;$K502),"")</t>
  </si>
  <si>
    <t>=IF(J502="vendor",NL("first",J502,"Name","No.","@@"&amp;K502),"")</t>
  </si>
  <si>
    <t>=IF($J502="Item",NL("first",$J502,"Description","No.","@@"&amp;$K502),"")</t>
  </si>
  <si>
    <t>=D502</t>
  </si>
  <si>
    <t>="""NAV Direct"",""CRONUS JetCorp USA"",""32"",""1"",""72509"""</t>
  </si>
  <si>
    <t>=IF($J503="Customer",NL("first",$J503,"Name","No.","@@"&amp;$K503),"")</t>
  </si>
  <si>
    <t>=IF(J503="vendor",NL("first",J503,"Name","No.","@@"&amp;K503),"")</t>
  </si>
  <si>
    <t>=IF($J503="Item",NL("first",$J503,"Description","No.","@@"&amp;$K503),"")</t>
  </si>
  <si>
    <t>="""NAV Direct"",""CRONUS JetCorp USA"",""32"",""1"",""78874"""</t>
  </si>
  <si>
    <t>="""NAV Direct"",""CRONUS JetCorp USA"",""32"",""1"",""118085"""</t>
  </si>
  <si>
    <t>="""NAV Direct"",""CRONUS JetCorp USA"",""32"",""1"",""111284"""</t>
  </si>
  <si>
    <t>=D506</t>
  </si>
  <si>
    <t>="""NAV Direct"",""CRONUS JetCorp USA"",""32"",""1"",""44511"""</t>
  </si>
  <si>
    <t>=IF($J507="Customer",NL("first",$J507,"Name","No.","@@"&amp;$K507),"")</t>
  </si>
  <si>
    <t>=IF(J507="vendor",NL("first",J507,"Name","No.","@@"&amp;K507),"")</t>
  </si>
  <si>
    <t>=IF($J507="Item",NL("first",$J507,"Description","No.","@@"&amp;$K507),"")</t>
  </si>
  <si>
    <t>=D507</t>
  </si>
  <si>
    <t>="""NAV Direct"",""CRONUS JetCorp USA"",""32"",""1"",""120193"""</t>
  </si>
  <si>
    <t>=IF($J508="Customer",NL("first",$J508,"Name","No.","@@"&amp;$K508),"")</t>
  </si>
  <si>
    <t>=IF(J508="vendor",NL("first",J508,"Name","No.","@@"&amp;K508),"")</t>
  </si>
  <si>
    <t>=IF($J508="Item",NL("first",$J508,"Description","No.","@@"&amp;$K508),"")</t>
  </si>
  <si>
    <t>=D508</t>
  </si>
  <si>
    <t>="""NAV Direct"",""CRONUS JetCorp USA"",""32"",""1"",""64614"""</t>
  </si>
  <si>
    <t>=IF($J509="Customer",NL("first",$J509,"Name","No.","@@"&amp;$K509),"")</t>
  </si>
  <si>
    <t>=IF(J509="vendor",NL("first",J509,"Name","No.","@@"&amp;K509),"")</t>
  </si>
  <si>
    <t>=IF($J509="Item",NL("first",$J509,"Description","No.","@@"&amp;$K509),"")</t>
  </si>
  <si>
    <t>="""NAV Direct"",""CRONUS JetCorp USA"",""32"",""1"",""78904"""</t>
  </si>
  <si>
    <t>="""NAV Direct"",""CRONUS JetCorp USA"",""32"",""1"",""153180"""</t>
  </si>
  <si>
    <t>="""NAV Direct"",""CRONUS JetCorp USA"",""32"",""1"",""7591"""</t>
  </si>
  <si>
    <t>="""NAV Direct"",""CRONUS JetCorp USA"",""32"",""1"",""114293"""</t>
  </si>
  <si>
    <t>=E516</t>
  </si>
  <si>
    <t>=NL("First","Item","Description","No.",$E516)</t>
  </si>
  <si>
    <t>=NL("First","Item","Base Unit of Measure","No.",$E516)</t>
  </si>
  <si>
    <t>=(SUBTOTAL(9,O517:O525))</t>
  </si>
  <si>
    <t>=(SUBTOTAL(9,P517:P525))</t>
  </si>
  <si>
    <t>=(SUBTOTAL(9,Q517:Q525))</t>
  </si>
  <si>
    <t>=(SUBTOTAL(9,R517:R525))</t>
  </si>
  <si>
    <t>=(SUBTOTAL(9,S517:S525))</t>
  </si>
  <si>
    <t>=(SUBTOTAL(9,T517:T525))</t>
  </si>
  <si>
    <t>=SUBTOTAL(9,O517:T525)</t>
  </si>
  <si>
    <t>=D516</t>
  </si>
  <si>
    <t>=NL("Rows","Item Ledger Entry",,"+Posting Date",$L$5,"Item No.","@@"&amp;$D517,"Location Code",$L$7)</t>
  </si>
  <si>
    <t>=IF($J517="Customer",NL("first",$J517,"Name","No.","@@"&amp;$K517),"")</t>
  </si>
  <si>
    <t>=IF(J517="vendor",NL("first",J517,"Name","No.","@@"&amp;K517),"")</t>
  </si>
  <si>
    <t>=IF($J517="Item",NL("first",$J517,"Description","No.","@@"&amp;$K517),"")</t>
  </si>
  <si>
    <t>="""NAV Direct"",""CRONUS JetCorp USA"",""32"",""1"",""167538"""</t>
  </si>
  <si>
    <t>="""NAV Direct"",""CRONUS JetCorp USA"",""32"",""1"",""167565"""</t>
  </si>
  <si>
    <t>="""NAV Direct"",""CRONUS JetCorp USA"",""32"",""1"",""167613"""</t>
  </si>
  <si>
    <t>="""NAV Direct"",""CRONUS JetCorp USA"",""32"",""1"",""10222"""</t>
  </si>
  <si>
    <t>="""NAV Direct"",""CRONUS JetCorp USA"",""32"",""1"",""118075"""</t>
  </si>
  <si>
    <t>="""NAV Direct"",""CRONUS JetCorp USA"",""32"",""1"",""116375"""</t>
  </si>
  <si>
    <t>="""NAV Direct"",""CRONUS JetCorp USA"",""32"",""1"",""114291"""</t>
  </si>
  <si>
    <t>=E527</t>
  </si>
  <si>
    <t>=NL("First","Item","Description","No.",$E527)</t>
  </si>
  <si>
    <t>=NL("First","Item","Base Unit of Measure","No.",$E527)</t>
  </si>
  <si>
    <t>=(SUBTOTAL(9,O528:O551))</t>
  </si>
  <si>
    <t>=(SUBTOTAL(9,P528:P551))</t>
  </si>
  <si>
    <t>=(SUBTOTAL(9,Q528:Q551))</t>
  </si>
  <si>
    <t>=(SUBTOTAL(9,R528:R551))</t>
  </si>
  <si>
    <t>=(SUBTOTAL(9,S528:S551))</t>
  </si>
  <si>
    <t>=(SUBTOTAL(9,T528:T551))</t>
  </si>
  <si>
    <t>=SUBTOTAL(9,O528:T551)</t>
  </si>
  <si>
    <t>=D527</t>
  </si>
  <si>
    <t>=NL("Rows","Item Ledger Entry",,"+Posting Date",$L$5,"Item No.","@@"&amp;$D528,"Location Code",$L$7)</t>
  </si>
  <si>
    <t>=IF($J528="Customer",NL("first",$J528,"Name","No.","@@"&amp;$K528),"")</t>
  </si>
  <si>
    <t>=IF(J528="vendor",NL("first",J528,"Name","No.","@@"&amp;K528),"")</t>
  </si>
  <si>
    <t>=IF($J528="Item",NL("first",$J528,"Description","No.","@@"&amp;$K528),"")</t>
  </si>
  <si>
    <t>=D528</t>
  </si>
  <si>
    <t>="""NAV Direct"",""CRONUS JetCorp USA"",""32"",""1"",""167564"""</t>
  </si>
  <si>
    <t>=IF($J529="Customer",NL("first",$J529,"Name","No.","@@"&amp;$K529),"")</t>
  </si>
  <si>
    <t>=IF(J529="vendor",NL("first",J529,"Name","No.","@@"&amp;K529),"")</t>
  </si>
  <si>
    <t>=IF($J529="Item",NL("first",$J529,"Description","No.","@@"&amp;$K529),"")</t>
  </si>
  <si>
    <t>=D529</t>
  </si>
  <si>
    <t>="""NAV Direct"",""CRONUS JetCorp USA"",""32"",""1"",""167583"""</t>
  </si>
  <si>
    <t>=IF($J530="Customer",NL("first",$J530,"Name","No.","@@"&amp;$K530),"")</t>
  </si>
  <si>
    <t>=IF(J530="vendor",NL("first",J530,"Name","No.","@@"&amp;K530),"")</t>
  </si>
  <si>
    <t>=IF($J530="Item",NL("first",$J530,"Description","No.","@@"&amp;$K530),"")</t>
  </si>
  <si>
    <t>="""NAV Direct"",""CRONUS JetCorp USA"",""32"",""1"",""167596"""</t>
  </si>
  <si>
    <t>="""NAV Direct"",""CRONUS JetCorp USA"",""32"",""1"",""167612"""</t>
  </si>
  <si>
    <t>="""NAV Direct"",""CRONUS JetCorp USA"",""32"",""1"",""167623"""</t>
  </si>
  <si>
    <t>="""NAV Direct"",""CRONUS JetCorp USA"",""32"",""1"",""3888"""</t>
  </si>
  <si>
    <t>="""NAV Direct"",""CRONUS JetCorp USA"",""32"",""1"",""147994"""</t>
  </si>
  <si>
    <t>="""NAV Direct"",""CRONUS JetCorp USA"",""32"",""1"",""153197"""</t>
  </si>
  <si>
    <t>="""NAV Direct"",""CRONUS JetCorp USA"",""32"",""1"",""111299"""</t>
  </si>
  <si>
    <t>="""NAV Direct"",""CRONUS JetCorp USA"",""32"",""1"",""153166"""</t>
  </si>
  <si>
    <t>="""NAV Direct"",""CRONUS JetCorp USA"",""32"",""1"",""10226"""</t>
  </si>
  <si>
    <t>=D539</t>
  </si>
  <si>
    <t>="""NAV Direct"",""CRONUS JetCorp USA"",""32"",""1"",""118086"""</t>
  </si>
  <si>
    <t>=IF($J540="Customer",NL("first",$J540,"Name","No.","@@"&amp;$K540),"")</t>
  </si>
  <si>
    <t>=IF(J540="vendor",NL("first",J540,"Name","No.","@@"&amp;K540),"")</t>
  </si>
  <si>
    <t>=IF($J540="Item",NL("first",$J540,"Description","No.","@@"&amp;$K540),"")</t>
  </si>
  <si>
    <t>=D540</t>
  </si>
  <si>
    <t>="""NAV Direct"",""CRONUS JetCorp USA"",""32"",""1"",""3915"""</t>
  </si>
  <si>
    <t>=IF($J541="Customer",NL("first",$J541,"Name","No.","@@"&amp;$K541),"")</t>
  </si>
  <si>
    <t>=IF(J541="vendor",NL("first",J541,"Name","No.","@@"&amp;K541),"")</t>
  </si>
  <si>
    <t>=IF($J541="Item",NL("first",$J541,"Description","No.","@@"&amp;$K541),"")</t>
  </si>
  <si>
    <t>=D541</t>
  </si>
  <si>
    <t>="""NAV Direct"",""CRONUS JetCorp USA"",""32"",""1"",""54727"""</t>
  </si>
  <si>
    <t>=IF($J542="Customer",NL("first",$J542,"Name","No.","@@"&amp;$K542),"")</t>
  </si>
  <si>
    <t>=IF(J542="vendor",NL("first",J542,"Name","No.","@@"&amp;K542),"")</t>
  </si>
  <si>
    <t>=IF($J542="Item",NL("first",$J542,"Description","No.","@@"&amp;$K542),"")</t>
  </si>
  <si>
    <t>="""NAV Direct"",""CRONUS JetCorp USA"",""32"",""1"",""111306"""</t>
  </si>
  <si>
    <t>="""NAV Direct"",""CRONUS JetCorp USA"",""32"",""1"",""3905"""</t>
  </si>
  <si>
    <t>="""NAV Direct"",""CRONUS JetCorp USA"",""32"",""1"",""44520"""</t>
  </si>
  <si>
    <t>="""NAV Direct"",""CRONUS JetCorp USA"",""32"",""1"",""54699"""</t>
  </si>
  <si>
    <t>="""NAV Direct"",""CRONUS JetCorp USA"",""32"",""1"",""114279"""</t>
  </si>
  <si>
    <t>="""NAV Direct"",""CRONUS JetCorp USA"",""32"",""1"",""7588"""</t>
  </si>
  <si>
    <t>="""NAV Direct"",""CRONUS JetCorp USA"",""32"",""1"",""10235"""</t>
  </si>
  <si>
    <t>="""NAV Direct"",""CRONUS JetCorp USA"",""32"",""1"",""114295"""</t>
  </si>
  <si>
    <t>=(SUBTOTAL(9,O554:O562))</t>
  </si>
  <si>
    <t>=(SUBTOTAL(9,P554:P562))</t>
  </si>
  <si>
    <t>=(SUBTOTAL(9,Q554:Q562))</t>
  </si>
  <si>
    <t>=(SUBTOTAL(9,R554:R562))</t>
  </si>
  <si>
    <t>=(SUBTOTAL(9,S554:S562))</t>
  </si>
  <si>
    <t>=(SUBTOTAL(9,T554:T562))</t>
  </si>
  <si>
    <t>=SUBTOTAL(9,O554:T562)</t>
  </si>
  <si>
    <t>="""NAV Direct"",""CRONUS JetCorp USA"",""32"",""1"",""167563"""</t>
  </si>
  <si>
    <t>="""NAV Direct"",""CRONUS JetCorp USA"",""32"",""1"",""167582"""</t>
  </si>
  <si>
    <t>="""NAV Direct"",""CRONUS JetCorp USA"",""32"",""1"",""167611"""</t>
  </si>
  <si>
    <t>="""NAV Direct"",""CRONUS JetCorp USA"",""32"",""1"",""118078"""</t>
  </si>
  <si>
    <t>="""NAV Direct"",""CRONUS JetCorp USA"",""32"",""1"",""111316"""</t>
  </si>
  <si>
    <t>="""NAV Direct"",""CRONUS JetCorp USA"",""32"",""1"",""3902"""</t>
  </si>
  <si>
    <t>="""NAV Direct"",""CRONUS JetCorp USA"",""32"",""1"",""7576"""</t>
  </si>
  <si>
    <t>=E564</t>
  </si>
  <si>
    <t>=NL("First","Item","Description","No.",$E564)</t>
  </si>
  <si>
    <t>=NL("First","Item","Base Unit of Measure","No.",$E564)</t>
  </si>
  <si>
    <t>=(SUBTOTAL(9,O565:O576))</t>
  </si>
  <si>
    <t>=(SUBTOTAL(9,P565:P576))</t>
  </si>
  <si>
    <t>=(SUBTOTAL(9,Q565:Q576))</t>
  </si>
  <si>
    <t>=(SUBTOTAL(9,R565:R576))</t>
  </si>
  <si>
    <t>=(SUBTOTAL(9,S565:S576))</t>
  </si>
  <si>
    <t>=(SUBTOTAL(9,T565:T576))</t>
  </si>
  <si>
    <t>=SUBTOTAL(9,O565:T576)</t>
  </si>
  <si>
    <t>=D564</t>
  </si>
  <si>
    <t>=NL("Rows","Item Ledger Entry",,"+Posting Date",$L$5,"Item No.","@@"&amp;$D565,"Location Code",$L$7)</t>
  </si>
  <si>
    <t>=IF($J565="Customer",NL("first",$J565,"Name","No.","@@"&amp;$K565),"")</t>
  </si>
  <si>
    <t>=IF(J565="vendor",NL("first",J565,"Name","No.","@@"&amp;K565),"")</t>
  </si>
  <si>
    <t>=IF($J565="Item",NL("first",$J565,"Description","No.","@@"&amp;$K565),"")</t>
  </si>
  <si>
    <t>=D565</t>
  </si>
  <si>
    <t>="""NAV Direct"",""CRONUS JetCorp USA"",""32"",""1"",""167562"""</t>
  </si>
  <si>
    <t>=IF($J566="Customer",NL("first",$J566,"Name","No.","@@"&amp;$K566),"")</t>
  </si>
  <si>
    <t>=IF(J566="vendor",NL("first",J566,"Name","No.","@@"&amp;K566),"")</t>
  </si>
  <si>
    <t>=IF($J566="Item",NL("first",$J566,"Description","No.","@@"&amp;$K566),"")</t>
  </si>
  <si>
    <t>="""NAV Direct"",""CRONUS JetCorp USA"",""32"",""1"",""167581"""</t>
  </si>
  <si>
    <t>="""NAV Direct"",""CRONUS JetCorp USA"",""32"",""1"",""167610"""</t>
  </si>
  <si>
    <t>="""NAV Direct"",""CRONUS JetCorp USA"",""32"",""1"",""3886"""</t>
  </si>
  <si>
    <t>="""NAV Direct"",""CRONUS JetCorp USA"",""32"",""1"",""7558"""</t>
  </si>
  <si>
    <t>="""NAV Direct"",""CRONUS JetCorp USA"",""32"",""1"",""114274"""</t>
  </si>
  <si>
    <t>="""NAV Direct"",""CRONUS JetCorp USA"",""32"",""1"",""111281"""</t>
  </si>
  <si>
    <t>="""NAV Direct"",""CRONUS JetCorp USA"",""32"",""1"",""7577"""</t>
  </si>
  <si>
    <t>="""NAV Direct"",""CRONUS JetCorp USA"",""32"",""1"",""10231"""</t>
  </si>
  <si>
    <t>="""NAV Direct"",""CRONUS JetCorp USA"",""32"",""1"",""114290"""</t>
  </si>
  <si>
    <t>=E578</t>
  </si>
  <si>
    <t>=NL("First","Item","Description","No.",$E578)</t>
  </si>
  <si>
    <t>=NL("First","Item","Base Unit of Measure","No.",$E578)</t>
  </si>
  <si>
    <t>=(SUBTOTAL(9,O579:O590))</t>
  </si>
  <si>
    <t>=(SUBTOTAL(9,P579:P590))</t>
  </si>
  <si>
    <t>=(SUBTOTAL(9,Q579:Q590))</t>
  </si>
  <si>
    <t>=(SUBTOTAL(9,R579:R590))</t>
  </si>
  <si>
    <t>=(SUBTOTAL(9,S579:S590))</t>
  </si>
  <si>
    <t>=(SUBTOTAL(9,T579:T590))</t>
  </si>
  <si>
    <t>=SUBTOTAL(9,O579:T590)</t>
  </si>
  <si>
    <t>=D578</t>
  </si>
  <si>
    <t>=NL("Rows","Item Ledger Entry",,"+Posting Date",$L$5,"Item No.","@@"&amp;$D579,"Location Code",$L$7)</t>
  </si>
  <si>
    <t>=IF($J579="Customer",NL("first",$J579,"Name","No.","@@"&amp;$K579),"")</t>
  </si>
  <si>
    <t>=IF(J579="vendor",NL("first",J579,"Name","No.","@@"&amp;K579),"")</t>
  </si>
  <si>
    <t>=IF($J579="Item",NL("first",$J579,"Description","No.","@@"&amp;$K579),"")</t>
  </si>
  <si>
    <t>="""NAV Direct"",""CRONUS JetCorp USA"",""32"",""1"",""168019"""</t>
  </si>
  <si>
    <t>="""NAV Direct"",""CRONUS JetCorp USA"",""32"",""1"",""168036"""</t>
  </si>
  <si>
    <t>="""NAV Direct"",""CRONUS JetCorp USA"",""32"",""1"",""168056"""</t>
  </si>
  <si>
    <t>="""NAV Direct"",""CRONUS JetCorp USA"",""32"",""1"",""120182"""</t>
  </si>
  <si>
    <t>="""NAV Direct"",""CRONUS JetCorp USA"",""32"",""1"",""111297"""</t>
  </si>
  <si>
    <t>="""NAV Direct"",""CRONUS JetCorp USA"",""32"",""1"",""114272"""</t>
  </si>
  <si>
    <t>="""NAV Direct"",""CRONUS JetCorp USA"",""32"",""1"",""111303"""</t>
  </si>
  <si>
    <t>=D586</t>
  </si>
  <si>
    <t>="""NAV Direct"",""CRONUS JetCorp USA"",""32"",""1"",""3904"""</t>
  </si>
  <si>
    <t>=IF($J587="Customer",NL("first",$J587,"Name","No.","@@"&amp;$K587),"")</t>
  </si>
  <si>
    <t>=IF(J587="vendor",NL("first",J587,"Name","No.","@@"&amp;K587),"")</t>
  </si>
  <si>
    <t>=IF($J587="Item",NL("first",$J587,"Description","No.","@@"&amp;$K587),"")</t>
  </si>
  <si>
    <t>=D587</t>
  </si>
  <si>
    <t>="""NAV Direct"",""CRONUS JetCorp USA"",""32"",""1"",""114284"""</t>
  </si>
  <si>
    <t>=IF($J588="Customer",NL("first",$J588,"Name","No.","@@"&amp;$K588),"")</t>
  </si>
  <si>
    <t>=IF(J588="vendor",NL("first",J588,"Name","No.","@@"&amp;K588),"")</t>
  </si>
  <si>
    <t>=IF($J588="Item",NL("first",$J588,"Description","No.","@@"&amp;$K588),"")</t>
  </si>
  <si>
    <t>=D588</t>
  </si>
  <si>
    <t>="""NAV Direct"",""CRONUS JetCorp USA"",""32"",""1"",""3922"""</t>
  </si>
  <si>
    <t>=IF($J589="Customer",NL("first",$J589,"Name","No.","@@"&amp;$K589),"")</t>
  </si>
  <si>
    <t>=IF(J589="vendor",NL("first",J589,"Name","No.","@@"&amp;K589),"")</t>
  </si>
  <si>
    <t>=IF($J589="Item",NL("first",$J589,"Description","No.","@@"&amp;$K589),"")</t>
  </si>
  <si>
    <t>=E592</t>
  </si>
  <si>
    <t>=NL("First","Item","Description","No.",$E592)</t>
  </si>
  <si>
    <t>=NL("First","Item","Base Unit of Measure","No.",$E592)</t>
  </si>
  <si>
    <t>=(SUBTOTAL(9,O593:O602))</t>
  </si>
  <si>
    <t>=(SUBTOTAL(9,P593:P602))</t>
  </si>
  <si>
    <t>=(SUBTOTAL(9,Q593:Q602))</t>
  </si>
  <si>
    <t>=(SUBTOTAL(9,R593:R602))</t>
  </si>
  <si>
    <t>=(SUBTOTAL(9,S593:S602))</t>
  </si>
  <si>
    <t>=(SUBTOTAL(9,T593:T602))</t>
  </si>
  <si>
    <t>=SUBTOTAL(9,O593:T602)</t>
  </si>
  <si>
    <t>=NL("Rows","Item Ledger Entry",,"+Posting Date",$L$5,"Item No.","@@"&amp;$D593,"Location Code",$L$7)</t>
  </si>
  <si>
    <t>="""NAV Direct"",""CRONUS JetCorp USA"",""32"",""1"",""168035"""</t>
  </si>
  <si>
    <t>="""NAV Direct"",""CRONUS JetCorp USA"",""32"",""1"",""7560"""</t>
  </si>
  <si>
    <t>="""NAV Direct"",""CRONUS JetCorp USA"",""32"",""1"",""111290"""</t>
  </si>
  <si>
    <t>="""NAV Direct"",""CRONUS JetCorp USA"",""32"",""1"",""114273"""</t>
  </si>
  <si>
    <t>="""NAV Direct"",""CRONUS JetCorp USA"",""32"",""1"",""10225"""</t>
  </si>
  <si>
    <t>="""NAV Direct"",""CRONUS JetCorp USA"",""32"",""1"",""118071"""</t>
  </si>
  <si>
    <t>=D599</t>
  </si>
  <si>
    <t>="""NAV Direct"",""CRONUS JetCorp USA"",""32"",""1"",""7579"""</t>
  </si>
  <si>
    <t>=IF($J600="Customer",NL("first",$J600,"Name","No.","@@"&amp;$K600),"")</t>
  </si>
  <si>
    <t>=IF(J600="vendor",NL("first",J600,"Name","No.","@@"&amp;K600),"")</t>
  </si>
  <si>
    <t>=IF($J600="Item",NL("first",$J600,"Description","No.","@@"&amp;$K600),"")</t>
  </si>
  <si>
    <t>=D600</t>
  </si>
  <si>
    <t>="""NAV Direct"",""CRONUS JetCorp USA"",""32"",""1"",""114292"""</t>
  </si>
  <si>
    <t>=IF($J601="Customer",NL("first",$J601,"Name","No.","@@"&amp;$K601),"")</t>
  </si>
  <si>
    <t>=IF(J601="vendor",NL("first",J601,"Name","No.","@@"&amp;K601),"")</t>
  </si>
  <si>
    <t>=IF($J601="Item",NL("first",$J601,"Description","No.","@@"&amp;$K601),"")</t>
  </si>
  <si>
    <t>=E604</t>
  </si>
  <si>
    <t>=NL("First","Item","Description","No.",$E604)</t>
  </si>
  <si>
    <t>=NL("First","Item","Base Unit of Measure","No.",$E604)</t>
  </si>
  <si>
    <t>=(SUBTOTAL(9,O605:O614))</t>
  </si>
  <si>
    <t>=(SUBTOTAL(9,P605:P614))</t>
  </si>
  <si>
    <t>=(SUBTOTAL(9,Q605:Q614))</t>
  </si>
  <si>
    <t>=(SUBTOTAL(9,R605:R614))</t>
  </si>
  <si>
    <t>=(SUBTOTAL(9,S605:S614))</t>
  </si>
  <si>
    <t>=(SUBTOTAL(9,T605:T614))</t>
  </si>
  <si>
    <t>=SUBTOTAL(9,O605:T614)</t>
  </si>
  <si>
    <t>=NL("Rows","Item Ledger Entry",,"+Posting Date",$L$5,"Item No.","@@"&amp;$D605,"Location Code",$L$7)</t>
  </si>
  <si>
    <t>="""NAV Direct"",""CRONUS JetCorp USA"",""32"",""1"",""168034"""</t>
  </si>
  <si>
    <t>="""NAV Direct"",""CRONUS JetCorp USA"",""32"",""1"",""3884"""</t>
  </si>
  <si>
    <t>="""NAV Direct"",""CRONUS JetCorp USA"",""32"",""1"",""120181"""</t>
  </si>
  <si>
    <t>="""NAV Direct"",""CRONUS JetCorp USA"",""32"",""1"",""111287"""</t>
  </si>
  <si>
    <t>="""NAV Direct"",""CRONUS JetCorp USA"",""32"",""1"",""114268"""</t>
  </si>
  <si>
    <t>="""NAV Direct"",""CRONUS JetCorp USA"",""32"",""1"",""111310"""</t>
  </si>
  <si>
    <t>="""NAV Direct"",""CRONUS JetCorp USA"",""32"",""1"",""116371"""</t>
  </si>
  <si>
    <t>="""NAV Direct"",""CRONUS JetCorp USA"",""32"",""1"",""7578"""</t>
  </si>
  <si>
    <t>=E616</t>
  </si>
  <si>
    <t>=NL("First","Item","Description","No.",$E616)</t>
  </si>
  <si>
    <t>=NL("First","Item","Base Unit of Measure","No.",$E616)</t>
  </si>
  <si>
    <t>=(SUBTOTAL(9,O617:O628))</t>
  </si>
  <si>
    <t>=(SUBTOTAL(9,P617:P628))</t>
  </si>
  <si>
    <t>=(SUBTOTAL(9,Q617:Q628))</t>
  </si>
  <si>
    <t>=(SUBTOTAL(9,R617:R628))</t>
  </si>
  <si>
    <t>=(SUBTOTAL(9,S617:S628))</t>
  </si>
  <si>
    <t>=(SUBTOTAL(9,T617:T628))</t>
  </si>
  <si>
    <t>=SUBTOTAL(9,O617:T628)</t>
  </si>
  <si>
    <t>=D616</t>
  </si>
  <si>
    <t>=NL("Rows","Item Ledger Entry",,"+Posting Date",$L$5,"Item No.","@@"&amp;$D617,"Location Code",$L$7)</t>
  </si>
  <si>
    <t>=IF($J617="Customer",NL("first",$J617,"Name","No.","@@"&amp;$K617),"")</t>
  </si>
  <si>
    <t>=IF(J617="vendor",NL("first",J617,"Name","No.","@@"&amp;K617),"")</t>
  </si>
  <si>
    <t>=IF($J617="Item",NL("first",$J617,"Description","No.","@@"&amp;$K617),"")</t>
  </si>
  <si>
    <t>="""NAV Direct"",""CRONUS JetCorp USA"",""32"",""1"",""168016"""</t>
  </si>
  <si>
    <t>="""NAV Direct"",""CRONUS JetCorp USA"",""32"",""1"",""168033"""</t>
  </si>
  <si>
    <t>="""NAV Direct"",""CRONUS JetCorp USA"",""32"",""1"",""168055"""</t>
  </si>
  <si>
    <t>="""NAV Direct"",""CRONUS JetCorp USA"",""32"",""1"",""15148"""</t>
  </si>
  <si>
    <t>="""NAV Direct"",""CRONUS JetCorp USA"",""32"",""1"",""118077"""</t>
  </si>
  <si>
    <t>="""NAV Direct"",""CRONUS JetCorp USA"",""32"",""1"",""3911"""</t>
  </si>
  <si>
    <t>="""NAV Direct"",""CRONUS JetCorp USA"",""32"",""1"",""111285"""</t>
  </si>
  <si>
    <t>="""NAV Direct"",""CRONUS JetCorp USA"",""32"",""1"",""111315"""</t>
  </si>
  <si>
    <t>="""NAV Direct"",""CRONUS JetCorp USA"",""32"",""1"",""3920"""</t>
  </si>
  <si>
    <t>=D626</t>
  </si>
  <si>
    <t>="""NAV Direct"",""CRONUS JetCorp USA"",""32"",""1"",""7565"""</t>
  </si>
  <si>
    <t>=IF($J627="Customer",NL("first",$J627,"Name","No.","@@"&amp;$K627),"")</t>
  </si>
  <si>
    <t>=IF(J627="vendor",NL("first",J627,"Name","No.","@@"&amp;K627),"")</t>
  </si>
  <si>
    <t>=IF($J627="Item",NL("first",$J627,"Description","No.","@@"&amp;$K627),"")</t>
  </si>
  <si>
    <t>=E630</t>
  </si>
  <si>
    <t>=NL("First","Item","Description","No.",$E630)</t>
  </si>
  <si>
    <t>=NL("First","Item","Base Unit of Measure","No.",$E630)</t>
  </si>
  <si>
    <t>=(SUBTOTAL(9,O631:O640))</t>
  </si>
  <si>
    <t>=(SUBTOTAL(9,P631:P640))</t>
  </si>
  <si>
    <t>=(SUBTOTAL(9,Q631:Q640))</t>
  </si>
  <si>
    <t>=(SUBTOTAL(9,R631:R640))</t>
  </si>
  <si>
    <t>=(SUBTOTAL(9,S631:S640))</t>
  </si>
  <si>
    <t>=(SUBTOTAL(9,T631:T640))</t>
  </si>
  <si>
    <t>=SUBTOTAL(9,O631:T640)</t>
  </si>
  <si>
    <t>=NL("Rows","Item Ledger Entry",,"+Posting Date",$L$5,"Item No.","@@"&amp;$D631,"Location Code",$L$7)</t>
  </si>
  <si>
    <t>="""NAV Direct"",""CRONUS JetCorp USA"",""32"",""1"",""168015"""</t>
  </si>
  <si>
    <t>="""NAV Direct"",""CRONUS JetCorp USA"",""32"",""1"",""168020"""</t>
  </si>
  <si>
    <t>="""NAV Direct"",""CRONUS JetCorp USA"",""32"",""1"",""168041"""</t>
  </si>
  <si>
    <t>="""NAV Direct"",""CRONUS JetCorp USA"",""32"",""1"",""168054"""</t>
  </si>
  <si>
    <t>="""NAV Direct"",""CRONUS JetCorp USA"",""32"",""1"",""64581"""</t>
  </si>
  <si>
    <t>="""NAV Direct"",""CRONUS JetCorp USA"",""32"",""1"",""72517"""</t>
  </si>
  <si>
    <t>="""NAV Direct"",""CRONUS JetCorp USA"",""32"",""1"",""78881"""</t>
  </si>
  <si>
    <t>="""NAV Direct"",""CRONUS JetCorp USA"",""32"",""1"",""44526"""</t>
  </si>
  <si>
    <t>=E642</t>
  </si>
  <si>
    <t>=NL("First","Item","Description","No.",$E642)</t>
  </si>
  <si>
    <t>=NL("First","Item","Base Unit of Measure","No.",$E642)</t>
  </si>
  <si>
    <t>=(SUBTOTAL(9,O643:O651))</t>
  </si>
  <si>
    <t>=(SUBTOTAL(9,P643:P651))</t>
  </si>
  <si>
    <t>=(SUBTOTAL(9,Q643:Q651))</t>
  </si>
  <si>
    <t>=(SUBTOTAL(9,R643:R651))</t>
  </si>
  <si>
    <t>=(SUBTOTAL(9,S643:S651))</t>
  </si>
  <si>
    <t>=(SUBTOTAL(9,T643:T651))</t>
  </si>
  <si>
    <t>=SUBTOTAL(9,O643:T651)</t>
  </si>
  <si>
    <t>=D642</t>
  </si>
  <si>
    <t>=NL("Rows","Item Ledger Entry",,"+Posting Date",$L$5,"Item No.","@@"&amp;$D643,"Location Code",$L$7)</t>
  </si>
  <si>
    <t>=IF($J643="Customer",NL("first",$J643,"Name","No.","@@"&amp;$K643),"")</t>
  </si>
  <si>
    <t>=IF(J643="vendor",NL("first",J643,"Name","No.","@@"&amp;K643),"")</t>
  </si>
  <si>
    <t>=IF($J643="Item",NL("first",$J643,"Description","No.","@@"&amp;$K643),"")</t>
  </si>
  <si>
    <t>=D643</t>
  </si>
  <si>
    <t>="""NAV Direct"",""CRONUS JetCorp USA"",""32"",""1"",""168053"""</t>
  </si>
  <si>
    <t>=IF($J644="Customer",NL("first",$J644,"Name","No.","@@"&amp;$K644),"")</t>
  </si>
  <si>
    <t>=IF(J644="vendor",NL("first",J644,"Name","No.","@@"&amp;K644),"")</t>
  </si>
  <si>
    <t>=IF($J644="Item",NL("first",$J644,"Description","No.","@@"&amp;$K644),"")</t>
  </si>
  <si>
    <t>=D644</t>
  </si>
  <si>
    <t>="""NAV Direct"",""CRONUS JetCorp USA"",""32"",""1"",""3889"""</t>
  </si>
  <si>
    <t>=IF($J645="Customer",NL("first",$J645,"Name","No.","@@"&amp;$K645),"")</t>
  </si>
  <si>
    <t>=IF(J645="vendor",NL("first",J645,"Name","No.","@@"&amp;K645),"")</t>
  </si>
  <si>
    <t>=IF($J645="Item",NL("first",$J645,"Description","No.","@@"&amp;$K645),"")</t>
  </si>
  <si>
    <t>="""NAV Direct"",""CRONUS JetCorp USA"",""32"",""1"",""12455"""</t>
  </si>
  <si>
    <t>="""NAV Direct"",""CRONUS JetCorp USA"",""32"",""1"",""111291"""</t>
  </si>
  <si>
    <t>="""NAV Direct"",""CRONUS JetCorp USA"",""32"",""1"",""111277"""</t>
  </si>
  <si>
    <t>="""NAV Direct"",""CRONUS JetCorp USA"",""32"",""1"",""114287"""</t>
  </si>
  <si>
    <t>="""NAV Direct"",""CRONUS JetCorp USA"",""32"",""1"",""116377"""</t>
  </si>
  <si>
    <t>=E653</t>
  </si>
  <si>
    <t>=NL("First","Item","Description","No.",$E653)</t>
  </si>
  <si>
    <t>=NL("First","Item","Base Unit of Measure","No.",$E653)</t>
  </si>
  <si>
    <t>=(SUBTOTAL(9,O654:O670))</t>
  </si>
  <si>
    <t>=(SUBTOTAL(9,P654:P670))</t>
  </si>
  <si>
    <t>=(SUBTOTAL(9,Q654:Q670))</t>
  </si>
  <si>
    <t>=(SUBTOTAL(9,R654:R670))</t>
  </si>
  <si>
    <t>=(SUBTOTAL(9,S654:S670))</t>
  </si>
  <si>
    <t>=(SUBTOTAL(9,T654:T670))</t>
  </si>
  <si>
    <t>=SUBTOTAL(9,O654:T670)</t>
  </si>
  <si>
    <t>=NL("Rows","Item Ledger Entry",,"+Posting Date",$L$5,"Item No.","@@"&amp;$D654,"Location Code",$L$7)</t>
  </si>
  <si>
    <t>="""NAV Direct"",""CRONUS JetCorp USA"",""32"",""1"",""168014"""</t>
  </si>
  <si>
    <t>="""NAV Direct"",""CRONUS JetCorp USA"",""32"",""1"",""168031"""</t>
  </si>
  <si>
    <t>="""NAV Direct"",""CRONUS JetCorp USA"",""32"",""1"",""168040"""</t>
  </si>
  <si>
    <t>="""NAV Direct"",""CRONUS JetCorp USA"",""32"",""1"",""168052"""</t>
  </si>
  <si>
    <t>="""NAV Direct"",""CRONUS JetCorp USA"",""32"",""1"",""3890"""</t>
  </si>
  <si>
    <t>="""NAV Direct"",""CRONUS JetCorp USA"",""32"",""1"",""120184"""</t>
  </si>
  <si>
    <t>=D660</t>
  </si>
  <si>
    <t>="""NAV Direct"",""CRONUS JetCorp USA"",""32"",""1"",""153196"""</t>
  </si>
  <si>
    <t>=IF($J661="Customer",NL("first",$J661,"Name","No.","@@"&amp;$K661),"")</t>
  </si>
  <si>
    <t>=IF(J661="vendor",NL("first",J661,"Name","No.","@@"&amp;K661),"")</t>
  </si>
  <si>
    <t>=IF($J661="Item",NL("first",$J661,"Description","No.","@@"&amp;$K661),"")</t>
  </si>
  <si>
    <t>=D661</t>
  </si>
  <si>
    <t>="""NAV Direct"",""CRONUS JetCorp USA"",""32"",""1"",""111300"""</t>
  </si>
  <si>
    <t>=IF($J662="Customer",NL("first",$J662,"Name","No.","@@"&amp;$K662),"")</t>
  </si>
  <si>
    <t>=IF(J662="vendor",NL("first",J662,"Name","No.","@@"&amp;K662),"")</t>
  </si>
  <si>
    <t>=IF($J662="Item",NL("first",$J662,"Description","No.","@@"&amp;$K662),"")</t>
  </si>
  <si>
    <t>=D662</t>
  </si>
  <si>
    <t>="""NAV Direct"",""CRONUS JetCorp USA"",""32"",""1"",""15152"""</t>
  </si>
  <si>
    <t>=IF($J663="Customer",NL("first",$J663,"Name","No.","@@"&amp;$K663),"")</t>
  </si>
  <si>
    <t>=IF(J663="vendor",NL("first",J663,"Name","No.","@@"&amp;K663),"")</t>
  </si>
  <si>
    <t>=IF($J663="Item",NL("first",$J663,"Description","No.","@@"&amp;$K663),"")</t>
  </si>
  <si>
    <t>="""NAV Direct"",""CRONUS JetCorp USA"",""32"",""1"",""118083"""</t>
  </si>
  <si>
    <t>="""NAV Direct"",""CRONUS JetCorp USA"",""32"",""1"",""111314"""</t>
  </si>
  <si>
    <t>="""NAV Direct"",""CRONUS JetCorp USA"",""32"",""1"",""44512"""</t>
  </si>
  <si>
    <t>="""NAV Direct"",""CRONUS JetCorp USA"",""32"",""1"",""114285"""</t>
  </si>
  <si>
    <t>="""NAV Direct"",""CRONUS JetCorp USA"",""32"",""1"",""120192"""</t>
  </si>
  <si>
    <t>="""NAV Direct"",""CRONUS JetCorp USA"",""32"",""1"",""7580"""</t>
  </si>
  <si>
    <t>=E672</t>
  </si>
  <si>
    <t>=NL("First","Item","Description","No.",$E672)</t>
  </si>
  <si>
    <t>=NL("First","Item","Base Unit of Measure","No.",$E672)</t>
  </si>
  <si>
    <t>=(SUBTOTAL(9,O673:O680))</t>
  </si>
  <si>
    <t>=(SUBTOTAL(9,P673:P680))</t>
  </si>
  <si>
    <t>=(SUBTOTAL(9,Q673:Q680))</t>
  </si>
  <si>
    <t>=(SUBTOTAL(9,R673:R680))</t>
  </si>
  <si>
    <t>=(SUBTOTAL(9,S673:S680))</t>
  </si>
  <si>
    <t>=(SUBTOTAL(9,T673:T680))</t>
  </si>
  <si>
    <t>=SUBTOTAL(9,O673:T680)</t>
  </si>
  <si>
    <t>=NL("Rows","Item Ledger Entry",,"+Posting Date",$L$5,"Item No.","@@"&amp;$D673,"Location Code",$L$7)</t>
  </si>
  <si>
    <t>=D673</t>
  </si>
  <si>
    <t>="""NAV Direct"",""CRONUS JetCorp USA"",""32"",""1"",""168013"""</t>
  </si>
  <si>
    <t>=IF($J674="Customer",NL("first",$J674,"Name","No.","@@"&amp;$K674),"")</t>
  </si>
  <si>
    <t>=IF(J674="vendor",NL("first",J674,"Name","No.","@@"&amp;K674),"")</t>
  </si>
  <si>
    <t>=IF($J674="Item",NL("first",$J674,"Description","No.","@@"&amp;$K674),"")</t>
  </si>
  <si>
    <t>=D674</t>
  </si>
  <si>
    <t>="""NAV Direct"",""CRONUS JetCorp USA"",""32"",""1"",""168030"""</t>
  </si>
  <si>
    <t>=IF($J675="Customer",NL("first",$J675,"Name","No.","@@"&amp;$K675),"")</t>
  </si>
  <si>
    <t>=IF(J675="vendor",NL("first",J675,"Name","No.","@@"&amp;K675),"")</t>
  </si>
  <si>
    <t>=IF($J675="Item",NL("first",$J675,"Description","No.","@@"&amp;$K675),"")</t>
  </si>
  <si>
    <t>=D675</t>
  </si>
  <si>
    <t>="""NAV Direct"",""CRONUS JetCorp USA"",""32"",""1"",""111278"""</t>
  </si>
  <si>
    <t>=IF($J676="Customer",NL("first",$J676,"Name","No.","@@"&amp;$K676),"")</t>
  </si>
  <si>
    <t>=IF(J676="vendor",NL("first",J676,"Name","No.","@@"&amp;K676),"")</t>
  </si>
  <si>
    <t>=IF($J676="Item",NL("first",$J676,"Description","No.","@@"&amp;$K676),"")</t>
  </si>
  <si>
    <t>="""NAV Direct"",""CRONUS JetCorp USA"",""32"",""1"",""3896"""</t>
  </si>
  <si>
    <t>="""NAV Direct"",""CRONUS JetCorp USA"",""32"",""1"",""120189"""</t>
  </si>
  <si>
    <t>="""NAV Direct"",""CRONUS JetCorp USA"",""32"",""1"",""3917"""</t>
  </si>
  <si>
    <t>=E682</t>
  </si>
  <si>
    <t>=NL("First","Item","Description","No.",$E682)</t>
  </si>
  <si>
    <t>=NL("First","Item","Base Unit of Measure","No.",$E682)</t>
  </si>
  <si>
    <t>=(SUBTOTAL(9,O683:O692))</t>
  </si>
  <si>
    <t>=(SUBTOTAL(9,P683:P692))</t>
  </si>
  <si>
    <t>=(SUBTOTAL(9,Q683:Q692))</t>
  </si>
  <si>
    <t>=(SUBTOTAL(9,R683:R692))</t>
  </si>
  <si>
    <t>=(SUBTOTAL(9,S683:S692))</t>
  </si>
  <si>
    <t>=(SUBTOTAL(9,T683:T692))</t>
  </si>
  <si>
    <t>=SUBTOTAL(9,O683:T692)</t>
  </si>
  <si>
    <t>=D682</t>
  </si>
  <si>
    <t>=NL("Rows","Item Ledger Entry",,"+Posting Date",$L$5,"Item No.","@@"&amp;$D683,"Location Code",$L$7)</t>
  </si>
  <si>
    <t>=IF($J683="Customer",NL("first",$J683,"Name","No.","@@"&amp;$K683),"")</t>
  </si>
  <si>
    <t>=IF(J683="vendor",NL("first",J683,"Name","No.","@@"&amp;K683),"")</t>
  </si>
  <si>
    <t>=IF($J683="Item",NL("first",$J683,"Description","No.","@@"&amp;$K683),"")</t>
  </si>
  <si>
    <t>="""NAV Direct"",""CRONUS JetCorp USA"",""32"",""1"",""168029"""</t>
  </si>
  <si>
    <t>="""NAV Direct"",""CRONUS JetCorp USA"",""32"",""1"",""168039"""</t>
  </si>
  <si>
    <t>="""NAV Direct"",""CRONUS JetCorp USA"",""32"",""1"",""7556"""</t>
  </si>
  <si>
    <t>="""NAV Direct"",""CRONUS JetCorp USA"",""32"",""1"",""120183"""</t>
  </si>
  <si>
    <t>="""NAV Direct"",""CRONUS JetCorp USA"",""32"",""1"",""15154"""</t>
  </si>
  <si>
    <t>="""NAV Direct"",""CRONUS JetCorp USA"",""32"",""1"",""3912"""</t>
  </si>
  <si>
    <t>="""NAV Direct"",""CRONUS JetCorp USA"",""32"",""1"",""114277"""</t>
  </si>
  <si>
    <t>="""NAV Direct"",""CRONUS JetCorp USA"",""32"",""1"",""7574"""</t>
  </si>
  <si>
    <t>=E694</t>
  </si>
  <si>
    <t>=NL("First","Item","Description","No.",$E694)</t>
  </si>
  <si>
    <t>=NL("First","Item","Base Unit of Measure","No.",$E694)</t>
  </si>
  <si>
    <t>=(SUBTOTAL(9,O695:O703))</t>
  </si>
  <si>
    <t>=(SUBTOTAL(9,P695:P703))</t>
  </si>
  <si>
    <t>=(SUBTOTAL(9,Q695:Q703))</t>
  </si>
  <si>
    <t>=(SUBTOTAL(9,R695:R703))</t>
  </si>
  <si>
    <t>=(SUBTOTAL(9,S695:S703))</t>
  </si>
  <si>
    <t>=(SUBTOTAL(9,T695:T703))</t>
  </si>
  <si>
    <t>=SUBTOTAL(9,O695:T703)</t>
  </si>
  <si>
    <t>=D694</t>
  </si>
  <si>
    <t>=NL("Rows","Item Ledger Entry",,"+Posting Date",$L$5,"Item No.","@@"&amp;$D695,"Location Code",$L$7)</t>
  </si>
  <si>
    <t>=IF($J695="Customer",NL("first",$J695,"Name","No.","@@"&amp;$K695),"")</t>
  </si>
  <si>
    <t>=IF(J695="vendor",NL("first",J695,"Name","No.","@@"&amp;K695),"")</t>
  </si>
  <si>
    <t>=IF($J695="Item",NL("first",$J695,"Description","No.","@@"&amp;$K695),"")</t>
  </si>
  <si>
    <t>=D695</t>
  </si>
  <si>
    <t>="""NAV Direct"",""CRONUS JetCorp USA"",""32"",""1"",""168011"""</t>
  </si>
  <si>
    <t>=IF($J696="Customer",NL("first",$J696,"Name","No.","@@"&amp;$K696),"")</t>
  </si>
  <si>
    <t>=IF(J696="vendor",NL("first",J696,"Name","No.","@@"&amp;K696),"")</t>
  </si>
  <si>
    <t>=IF($J696="Item",NL("first",$J696,"Description","No.","@@"&amp;$K696),"")</t>
  </si>
  <si>
    <t>=D696</t>
  </si>
  <si>
    <t>="""NAV Direct"",""CRONUS JetCorp USA"",""32"",""1"",""168028"""</t>
  </si>
  <si>
    <t>=IF($J697="Customer",NL("first",$J697,"Name","No.","@@"&amp;$K697),"")</t>
  </si>
  <si>
    <t>=IF(J697="vendor",NL("first",J697,"Name","No.","@@"&amp;K697),"")</t>
  </si>
  <si>
    <t>=IF($J697="Item",NL("first",$J697,"Description","No.","@@"&amp;$K697),"")</t>
  </si>
  <si>
    <t>="""NAV Direct"",""CRONUS JetCorp USA"",""32"",""1"",""168051"""</t>
  </si>
  <si>
    <t>="""NAV Direct"",""CRONUS JetCorp USA"",""32"",""1"",""12462"""</t>
  </si>
  <si>
    <t>="""NAV Direct"",""CRONUS JetCorp USA"",""32"",""1"",""111282"""</t>
  </si>
  <si>
    <t>="""NAV Direct"",""CRONUS JetCorp USA"",""32"",""1"",""111311"""</t>
  </si>
  <si>
    <t>="""NAV Direct"",""CRONUS JetCorp USA"",""32"",""1"",""7566"""</t>
  </si>
  <si>
    <t>=E705</t>
  </si>
  <si>
    <t>=NL("First","Item","Description","No.",$E705)</t>
  </si>
  <si>
    <t>=NL("First","Item","Base Unit of Measure","No.",$E705)</t>
  </si>
  <si>
    <t>=(SUBTOTAL(9,O706:O716))</t>
  </si>
  <si>
    <t>=(SUBTOTAL(9,P706:P716))</t>
  </si>
  <si>
    <t>=(SUBTOTAL(9,Q706:Q716))</t>
  </si>
  <si>
    <t>=(SUBTOTAL(9,R706:R716))</t>
  </si>
  <si>
    <t>=(SUBTOTAL(9,S706:S716))</t>
  </si>
  <si>
    <t>=(SUBTOTAL(9,T706:T716))</t>
  </si>
  <si>
    <t>=SUBTOTAL(9,O706:T716)</t>
  </si>
  <si>
    <t>=NL("Rows","Item Ledger Entry",,"+Posting Date",$L$5,"Item No.","@@"&amp;$D706,"Location Code",$L$7)</t>
  </si>
  <si>
    <t>=D706</t>
  </si>
  <si>
    <t>="""NAV Direct"",""CRONUS JetCorp USA"",""32"",""1"",""168027"""</t>
  </si>
  <si>
    <t>=IF($J707="Customer",NL("first",$J707,"Name","No.","@@"&amp;$K707),"")</t>
  </si>
  <si>
    <t>=IF(J707="vendor",NL("first",J707,"Name","No.","@@"&amp;K707),"")</t>
  </si>
  <si>
    <t>=IF($J707="Item",NL("first",$J707,"Description","No.","@@"&amp;$K707),"")</t>
  </si>
  <si>
    <t>=D707</t>
  </si>
  <si>
    <t>="""NAV Direct"",""CRONUS JetCorp USA"",""32"",""1"",""168038"""</t>
  </si>
  <si>
    <t>=IF($J708="Customer",NL("first",$J708,"Name","No.","@@"&amp;$K708),"")</t>
  </si>
  <si>
    <t>=IF(J708="vendor",NL("first",J708,"Name","No.","@@"&amp;K708),"")</t>
  </si>
  <si>
    <t>=IF($J708="Item",NL("first",$J708,"Description","No.","@@"&amp;$K708),"")</t>
  </si>
  <si>
    <t>=D708</t>
  </si>
  <si>
    <t>="""NAV Direct"",""CRONUS JetCorp USA"",""32"",""1"",""168050"""</t>
  </si>
  <si>
    <t>=IF($J709="Customer",NL("first",$J709,"Name","No.","@@"&amp;$K709),"")</t>
  </si>
  <si>
    <t>=IF(J709="vendor",NL("first",J709,"Name","No.","@@"&amp;K709),"")</t>
  </si>
  <si>
    <t>=IF($J709="Item",NL("first",$J709,"Description","No.","@@"&amp;$K709),"")</t>
  </si>
  <si>
    <t>="""NAV Direct"",""CRONUS JetCorp USA"",""32"",""1"",""7557"""</t>
  </si>
  <si>
    <t>="""NAV Direct"",""CRONUS JetCorp USA"",""32"",""1"",""111295"""</t>
  </si>
  <si>
    <t>="""NAV Direct"",""CRONUS JetCorp USA"",""32"",""1"",""12459"""</t>
  </si>
  <si>
    <t>="""NAV Direct"",""CRONUS JetCorp USA"",""32"",""1"",""3903"""</t>
  </si>
  <si>
    <t>="""NAV Direct"",""CRONUS JetCorp USA"",""32"",""1"",""120190"""</t>
  </si>
  <si>
    <t>="""NAV Direct"",""CRONUS JetCorp USA"",""32"",""1"",""7575"""</t>
  </si>
  <si>
    <t>=E718</t>
  </si>
  <si>
    <t>=NL("First","Item","Description","No.",$E718)</t>
  </si>
  <si>
    <t>=NL("First","Item","Base Unit of Measure","No.",$E718)</t>
  </si>
  <si>
    <t>=(SUBTOTAL(9,O719:O725))</t>
  </si>
  <si>
    <t>=(SUBTOTAL(9,P719:P725))</t>
  </si>
  <si>
    <t>=(SUBTOTAL(9,Q719:Q725))</t>
  </si>
  <si>
    <t>=(SUBTOTAL(9,R719:R725))</t>
  </si>
  <si>
    <t>=(SUBTOTAL(9,S719:S725))</t>
  </si>
  <si>
    <t>=(SUBTOTAL(9,T719:T725))</t>
  </si>
  <si>
    <t>=SUBTOTAL(9,O719:T725)</t>
  </si>
  <si>
    <t>=D718</t>
  </si>
  <si>
    <t>=NL("Rows","Item Ledger Entry",,"+Posting Date",$L$5,"Item No.","@@"&amp;$D719,"Location Code",$L$7)</t>
  </si>
  <si>
    <t>=IF($J719="Customer",NL("first",$J719,"Name","No.","@@"&amp;$K719),"")</t>
  </si>
  <si>
    <t>=IF(J719="vendor",NL("first",J719,"Name","No.","@@"&amp;K719),"")</t>
  </si>
  <si>
    <t>=IF($J719="Item",NL("first",$J719,"Description","No.","@@"&amp;$K719),"")</t>
  </si>
  <si>
    <t>="""NAV Direct"",""CRONUS JetCorp USA"",""32"",""1"",""168026"""</t>
  </si>
  <si>
    <t>="""NAV Direct"",""CRONUS JetCorp USA"",""32"",""1"",""111289"""</t>
  </si>
  <si>
    <t>="""NAV Direct"",""CRONUS JetCorp USA"",""32"",""1"",""111280"""</t>
  </si>
  <si>
    <t>="""NAV Direct"",""CRONUS JetCorp USA"",""32"",""1"",""116380"""</t>
  </si>
  <si>
    <t>="""NAV Direct"",""CRONUS JetCorp USA"",""32"",""1"",""120187"""</t>
  </si>
  <si>
    <t>=(SUBTOTAL(9,O728:O733))</t>
  </si>
  <si>
    <t>=(SUBTOTAL(9,P728:P733))</t>
  </si>
  <si>
    <t>=(SUBTOTAL(9,Q728:Q733))</t>
  </si>
  <si>
    <t>=(SUBTOTAL(9,R728:R733))</t>
  </si>
  <si>
    <t>=(SUBTOTAL(9,S728:S733))</t>
  </si>
  <si>
    <t>=(SUBTOTAL(9,T728:T733))</t>
  </si>
  <si>
    <t>=SUBTOTAL(9,O728:T733)</t>
  </si>
  <si>
    <t>="""NAV Direct"",""CRONUS JetCorp USA"",""32"",""1"",""168025"""</t>
  </si>
  <si>
    <t>="""NAV Direct"",""CRONUS JetCorp USA"",""32"",""1"",""168049"""</t>
  </si>
  <si>
    <t>=D730</t>
  </si>
  <si>
    <t>="""NAV Direct"",""CRONUS JetCorp USA"",""32"",""1"",""12456"""</t>
  </si>
  <si>
    <t>=IF($J731="Customer",NL("first",$J731,"Name","No.","@@"&amp;$K731),"")</t>
  </si>
  <si>
    <t>=IF(J731="vendor",NL("first",J731,"Name","No.","@@"&amp;K731),"")</t>
  </si>
  <si>
    <t>=IF($J731="Item",NL("first",$J731,"Description","No.","@@"&amp;$K731),"")</t>
  </si>
  <si>
    <t>=D731</t>
  </si>
  <si>
    <t>="""NAV Direct"",""CRONUS JetCorp USA"",""32"",""1"",""7590"""</t>
  </si>
  <si>
    <t>=IF($J732="Customer",NL("first",$J732,"Name","No.","@@"&amp;$K732),"")</t>
  </si>
  <si>
    <t>=IF(J732="vendor",NL("first",J732,"Name","No.","@@"&amp;K732),"")</t>
  </si>
  <si>
    <t>=IF($J732="Item",NL("first",$J732,"Description","No.","@@"&amp;$K732),"")</t>
  </si>
  <si>
    <t>=E735</t>
  </si>
  <si>
    <t>=NL("First","Item","Description","No.",$E735)</t>
  </si>
  <si>
    <t>=NL("First","Item","Base Unit of Measure","No.",$E735)</t>
  </si>
  <si>
    <t>=(SUBTOTAL(9,O736:O741))</t>
  </si>
  <si>
    <t>=(SUBTOTAL(9,P736:P741))</t>
  </si>
  <si>
    <t>=(SUBTOTAL(9,Q736:Q741))</t>
  </si>
  <si>
    <t>=(SUBTOTAL(9,R736:R741))</t>
  </si>
  <si>
    <t>=(SUBTOTAL(9,S736:S741))</t>
  </si>
  <si>
    <t>=(SUBTOTAL(9,T736:T741))</t>
  </si>
  <si>
    <t>=SUBTOTAL(9,O736:T741)</t>
  </si>
  <si>
    <t>=NL("Rows","Item Ledger Entry",,"+Posting Date",$L$5,"Item No.","@@"&amp;$D736,"Location Code",$L$7)</t>
  </si>
  <si>
    <t>="""NAV Direct"",""CRONUS JetCorp USA"",""32"",""1"",""168048"""</t>
  </si>
  <si>
    <t>="""NAV Direct"",""CRONUS JetCorp USA"",""32"",""1"",""12450"""</t>
  </si>
  <si>
    <t>="""NAV Direct"",""CRONUS JetCorp USA"",""32"",""1"",""114265"""</t>
  </si>
  <si>
    <t>="""NAV Direct"",""CRONUS JetCorp USA"",""32"",""1"",""111309"""</t>
  </si>
  <si>
    <t>=(SUBTOTAL(9,O744:O749))</t>
  </si>
  <si>
    <t>=(SUBTOTAL(9,P744:P749))</t>
  </si>
  <si>
    <t>=(SUBTOTAL(9,Q744:Q749))</t>
  </si>
  <si>
    <t>=(SUBTOTAL(9,R744:R749))</t>
  </si>
  <si>
    <t>=(SUBTOTAL(9,S744:S749))</t>
  </si>
  <si>
    <t>=(SUBTOTAL(9,T744:T749))</t>
  </si>
  <si>
    <t>=SUBTOTAL(9,O744:T749)</t>
  </si>
  <si>
    <t>=D744</t>
  </si>
  <si>
    <t>="""NAV Direct"",""CRONUS JetCorp USA"",""32"",""1"",""168023"""</t>
  </si>
  <si>
    <t>=IF($J745="Customer",NL("first",$J745,"Name","No.","@@"&amp;$K745),"")</t>
  </si>
  <si>
    <t>=IF(J745="vendor",NL("first",J745,"Name","No.","@@"&amp;K745),"")</t>
  </si>
  <si>
    <t>=IF($J745="Item",NL("first",$J745,"Description","No.","@@"&amp;$K745),"")</t>
  </si>
  <si>
    <t>=D745</t>
  </si>
  <si>
    <t>="""NAV Direct"",""CRONUS JetCorp USA"",""32"",""1"",""168047"""</t>
  </si>
  <si>
    <t>=IF($J746="Customer",NL("first",$J746,"Name","No.","@@"&amp;$K746),"")</t>
  </si>
  <si>
    <t>=IF(J746="vendor",NL("first",J746,"Name","No.","@@"&amp;K746),"")</t>
  </si>
  <si>
    <t>=IF($J746="Item",NL("first",$J746,"Description","No.","@@"&amp;$K746),"")</t>
  </si>
  <si>
    <t>=D746</t>
  </si>
  <si>
    <t>="""NAV Direct"",""CRONUS JetCorp USA"",""32"",""1"",""10218"""</t>
  </si>
  <si>
    <t>=IF($J747="Customer",NL("first",$J747,"Name","No.","@@"&amp;$K747),"")</t>
  </si>
  <si>
    <t>=IF(J747="vendor",NL("first",J747,"Name","No.","@@"&amp;K747),"")</t>
  </si>
  <si>
    <t>=IF($J747="Item",NL("first",$J747,"Description","No.","@@"&amp;$K747),"")</t>
  </si>
  <si>
    <t>="""NAV Direct"",""CRONUS JetCorp USA"",""32"",""1"",""118069"""</t>
  </si>
  <si>
    <t>=E751</t>
  </si>
  <si>
    <t>=NL("First","Item","Description","No.",$E751)</t>
  </si>
  <si>
    <t>=NL("First","Item","Base Unit of Measure","No.",$E751)</t>
  </si>
  <si>
    <t>=(SUBTOTAL(9,O752:O762))</t>
  </si>
  <si>
    <t>=(SUBTOTAL(9,P752:P762))</t>
  </si>
  <si>
    <t>=(SUBTOTAL(9,Q752:Q762))</t>
  </si>
  <si>
    <t>=(SUBTOTAL(9,R752:R762))</t>
  </si>
  <si>
    <t>=(SUBTOTAL(9,S752:S762))</t>
  </si>
  <si>
    <t>=(SUBTOTAL(9,T752:T762))</t>
  </si>
  <si>
    <t>=SUBTOTAL(9,O752:T762)</t>
  </si>
  <si>
    <t>=NL("Rows","Item Ledger Entry",,"+Posting Date",$L$5,"Item No.","@@"&amp;$D752,"Location Code",$L$7)</t>
  </si>
  <si>
    <t>=D752</t>
  </si>
  <si>
    <t>="""NAV Direct"",""CRONUS JetCorp USA"",""32"",""1"",""168008"""</t>
  </si>
  <si>
    <t>=IF($J753="Customer",NL("first",$J753,"Name","No.","@@"&amp;$K753),"")</t>
  </si>
  <si>
    <t>=IF(J753="vendor",NL("first",J753,"Name","No.","@@"&amp;K753),"")</t>
  </si>
  <si>
    <t>=IF($J753="Item",NL("first",$J753,"Description","No.","@@"&amp;$K753),"")</t>
  </si>
  <si>
    <t>=D753</t>
  </si>
  <si>
    <t>="""NAV Direct"",""CRONUS JetCorp USA"",""32"",""1"",""168046"""</t>
  </si>
  <si>
    <t>=IF($J754="Customer",NL("first",$J754,"Name","No.","@@"&amp;$K754),"")</t>
  </si>
  <si>
    <t>=IF(J754="vendor",NL("first",J754,"Name","No.","@@"&amp;K754),"")</t>
  </si>
  <si>
    <t>=IF($J754="Item",NL("first",$J754,"Description","No.","@@"&amp;$K754),"")</t>
  </si>
  <si>
    <t>=D754</t>
  </si>
  <si>
    <t>="""NAV Direct"",""CRONUS JetCorp USA"",""32"",""1"",""3887"""</t>
  </si>
  <si>
    <t>=IF($J755="Customer",NL("first",$J755,"Name","No.","@@"&amp;$K755),"")</t>
  </si>
  <si>
    <t>=IF(J755="vendor",NL("first",J755,"Name","No.","@@"&amp;K755),"")</t>
  </si>
  <si>
    <t>=IF($J755="Item",NL("first",$J755,"Description","No.","@@"&amp;$K755),"")</t>
  </si>
  <si>
    <t>="""NAV Direct"",""CRONUS JetCorp USA"",""32"",""1"",""116372"""</t>
  </si>
  <si>
    <t>="""NAV Direct"",""CRONUS JetCorp USA"",""32"",""1"",""3901"""</t>
  </si>
  <si>
    <t>="""NAV Direct"",""CRONUS JetCorp USA"",""32"",""1"",""116379"""</t>
  </si>
  <si>
    <t>=D758</t>
  </si>
  <si>
    <t>="""NAV Direct"",""CRONUS JetCorp USA"",""32"",""1"",""3923"""</t>
  </si>
  <si>
    <t>=IF($J759="Customer",NL("first",$J759,"Name","No.","@@"&amp;$K759),"")</t>
  </si>
  <si>
    <t>=IF(J759="vendor",NL("first",J759,"Name","No.","@@"&amp;K759),"")</t>
  </si>
  <si>
    <t>=IF($J759="Item",NL("first",$J759,"Description","No.","@@"&amp;$K759),"")</t>
  </si>
  <si>
    <t>=D759</t>
  </si>
  <si>
    <t>="""NAV Direct"",""CRONUS JetCorp USA"",""32"",""1"",""7584"""</t>
  </si>
  <si>
    <t>=IF($J760="Customer",NL("first",$J760,"Name","No.","@@"&amp;$K760),"")</t>
  </si>
  <si>
    <t>=IF(J760="vendor",NL("first",J760,"Name","No.","@@"&amp;K760),"")</t>
  </si>
  <si>
    <t>=IF($J760="Item",NL("first",$J760,"Description","No.","@@"&amp;$K760),"")</t>
  </si>
  <si>
    <t>=D760</t>
  </si>
  <si>
    <t>="""NAV Direct"",""CRONUS JetCorp USA"",""32"",""1"",""10229"""</t>
  </si>
  <si>
    <t>=IF($J761="Customer",NL("first",$J761,"Name","No.","@@"&amp;$K761),"")</t>
  </si>
  <si>
    <t>=IF(J761="vendor",NL("first",J761,"Name","No.","@@"&amp;K761),"")</t>
  </si>
  <si>
    <t>=IF($J761="Item",NL("first",$J761,"Description","No.","@@"&amp;$K761),"")</t>
  </si>
  <si>
    <t>=E764</t>
  </si>
  <si>
    <t>=NL("First","Item","Description","No.",$E764)</t>
  </si>
  <si>
    <t>=NL("First","Item","Base Unit of Measure","No.",$E764)</t>
  </si>
  <si>
    <t>=(SUBTOTAL(9,O765:O778))</t>
  </si>
  <si>
    <t>=(SUBTOTAL(9,P765:P778))</t>
  </si>
  <si>
    <t>=(SUBTOTAL(9,Q765:Q778))</t>
  </si>
  <si>
    <t>=(SUBTOTAL(9,R765:R778))</t>
  </si>
  <si>
    <t>=(SUBTOTAL(9,S765:S778))</t>
  </si>
  <si>
    <t>=(SUBTOTAL(9,T765:T778))</t>
  </si>
  <si>
    <t>=SUBTOTAL(9,O765:T778)</t>
  </si>
  <si>
    <t>=D764</t>
  </si>
  <si>
    <t>=NL("Rows","Item Ledger Entry",,"+Posting Date",$L$5,"Item No.","@@"&amp;$D765,"Location Code",$L$7)</t>
  </si>
  <si>
    <t>=IF($J765="Customer",NL("first",$J765,"Name","No.","@@"&amp;$K765),"")</t>
  </si>
  <si>
    <t>=IF(J765="vendor",NL("first",J765,"Name","No.","@@"&amp;K765),"")</t>
  </si>
  <si>
    <t>=IF($J765="Item",NL("first",$J765,"Description","No.","@@"&amp;$K765),"")</t>
  </si>
  <si>
    <t>=D765</t>
  </si>
  <si>
    <t>="""NAV Direct"",""CRONUS JetCorp USA"",""32"",""1"",""168007"""</t>
  </si>
  <si>
    <t>=IF($J766="Customer",NL("first",$J766,"Name","No.","@@"&amp;$K766),"")</t>
  </si>
  <si>
    <t>=IF(J766="vendor",NL("first",J766,"Name","No.","@@"&amp;K766),"")</t>
  </si>
  <si>
    <t>=IF($J766="Item",NL("first",$J766,"Description","No.","@@"&amp;$K766),"")</t>
  </si>
  <si>
    <t>=D766</t>
  </si>
  <si>
    <t>="""NAV Direct"",""CRONUS JetCorp USA"",""32"",""1"",""168022"""</t>
  </si>
  <si>
    <t>=IF($J767="Customer",NL("first",$J767,"Name","No.","@@"&amp;$K767),"")</t>
  </si>
  <si>
    <t>=IF(J767="vendor",NL("first",J767,"Name","No.","@@"&amp;K767),"")</t>
  </si>
  <si>
    <t>=IF($J767="Item",NL("first",$J767,"Description","No.","@@"&amp;$K767),"")</t>
  </si>
  <si>
    <t>="""NAV Direct"",""CRONUS JetCorp USA"",""32"",""1"",""168045"""</t>
  </si>
  <si>
    <t>="""NAV Direct"",""CRONUS JetCorp USA"",""32"",""1"",""114267"""</t>
  </si>
  <si>
    <t>="""NAV Direct"",""CRONUS JetCorp USA"",""32"",""1"",""10224"""</t>
  </si>
  <si>
    <t>="""NAV Direct"",""CRONUS JetCorp USA"",""32"",""1"",""12458"""</t>
  </si>
  <si>
    <t>="""NAV Direct"",""CRONUS JetCorp USA"",""32"",""1"",""118076"""</t>
  </si>
  <si>
    <t>="""NAV Direct"",""CRONUS JetCorp USA"",""32"",""1"",""3908"""</t>
  </si>
  <si>
    <t>=D773</t>
  </si>
  <si>
    <t>="""NAV Direct"",""CRONUS JetCorp USA"",""32"",""1"",""114283"""</t>
  </si>
  <si>
    <t>=IF($J774="Customer",NL("first",$J774,"Name","No.","@@"&amp;$K774),"")</t>
  </si>
  <si>
    <t>=IF(J774="vendor",NL("first",J774,"Name","No.","@@"&amp;K774),"")</t>
  </si>
  <si>
    <t>=IF($J774="Item",NL("first",$J774,"Description","No.","@@"&amp;$K774),"")</t>
  </si>
  <si>
    <t>=D774</t>
  </si>
  <si>
    <t>="""NAV Direct"",""CRONUS JetCorp USA"",""32"",""1"",""114276"""</t>
  </si>
  <si>
    <t>=IF($J775="Customer",NL("first",$J775,"Name","No.","@@"&amp;$K775),"")</t>
  </si>
  <si>
    <t>=IF(J775="vendor",NL("first",J775,"Name","No.","@@"&amp;K775),"")</t>
  </si>
  <si>
    <t>=IF($J775="Item",NL("first",$J775,"Description","No.","@@"&amp;$K775),"")</t>
  </si>
  <si>
    <t>=D775</t>
  </si>
  <si>
    <t>="""NAV Direct"",""CRONUS JetCorp USA"",""32"",""1"",""3918"""</t>
  </si>
  <si>
    <t>=IF($J776="Customer",NL("first",$J776,"Name","No.","@@"&amp;$K776),"")</t>
  </si>
  <si>
    <t>=IF(J776="vendor",NL("first",J776,"Name","No.","@@"&amp;K776),"")</t>
  </si>
  <si>
    <t>=IF($J776="Item",NL("first",$J776,"Description","No.","@@"&amp;$K776),"")</t>
  </si>
  <si>
    <t>="""NAV Direct"",""CRONUS JetCorp USA"",""32"",""1"",""7586"""</t>
  </si>
  <si>
    <t>=E780</t>
  </si>
  <si>
    <t>=NL("First","Item","Description","No.",$E780)</t>
  </si>
  <si>
    <t>=NL("First","Item","Base Unit of Measure","No.",$E780)</t>
  </si>
  <si>
    <t>=(SUBTOTAL(9,O781:O794))</t>
  </si>
  <si>
    <t>=(SUBTOTAL(9,P781:P794))</t>
  </si>
  <si>
    <t>=(SUBTOTAL(9,Q781:Q794))</t>
  </si>
  <si>
    <t>=(SUBTOTAL(9,R781:R794))</t>
  </si>
  <si>
    <t>=(SUBTOTAL(9,S781:S794))</t>
  </si>
  <si>
    <t>=(SUBTOTAL(9,T781:T794))</t>
  </si>
  <si>
    <t>=SUBTOTAL(9,O781:T794)</t>
  </si>
  <si>
    <t>=NL("Rows","Item Ledger Entry",,"+Posting Date",$L$5,"Item No.","@@"&amp;$D781,"Location Code",$L$7)</t>
  </si>
  <si>
    <t>=D781</t>
  </si>
  <si>
    <t>="""NAV Direct"",""CRONUS JetCorp USA"",""32"",""1"",""168021"""</t>
  </si>
  <si>
    <t>=IF($J782="Customer",NL("first",$J782,"Name","No.","@@"&amp;$K782),"")</t>
  </si>
  <si>
    <t>=IF(J782="vendor",NL("first",J782,"Name","No.","@@"&amp;K782),"")</t>
  </si>
  <si>
    <t>=IF($J782="Item",NL("first",$J782,"Description","No.","@@"&amp;$K782),"")</t>
  </si>
  <si>
    <t>=D782</t>
  </si>
  <si>
    <t>="""NAV Direct"",""CRONUS JetCorp USA"",""32"",""1"",""168044"""</t>
  </si>
  <si>
    <t>=IF($J783="Customer",NL("first",$J783,"Name","No.","@@"&amp;$K783),"")</t>
  </si>
  <si>
    <t>=IF(J783="vendor",NL("first",J783,"Name","No.","@@"&amp;K783),"")</t>
  </si>
  <si>
    <t>=IF($J783="Item",NL("first",$J783,"Description","No.","@@"&amp;$K783),"")</t>
  </si>
  <si>
    <t>=D783</t>
  </si>
  <si>
    <t>="""NAV Direct"",""CRONUS JetCorp USA"",""32"",""1"",""12451"""</t>
  </si>
  <si>
    <t>=IF($J784="Customer",NL("first",$J784,"Name","No.","@@"&amp;$K784),"")</t>
  </si>
  <si>
    <t>=IF(J784="vendor",NL("first",J784,"Name","No.","@@"&amp;K784),"")</t>
  </si>
  <si>
    <t>=IF($J784="Item",NL("first",$J784,"Description","No.","@@"&amp;$K784),"")</t>
  </si>
  <si>
    <t>="""NAV Direct"",""CRONUS JetCorp USA"",""32"",""1"",""111288"""</t>
  </si>
  <si>
    <t>="""NAV Direct"",""CRONUS JetCorp USA"",""32"",""1"",""10223"""</t>
  </si>
  <si>
    <t>="""NAV Direct"",""CRONUS JetCorp USA"",""32"",""1"",""15149"""</t>
  </si>
  <si>
    <t>="""NAV Direct"",""CRONUS JetCorp USA"",""32"",""1"",""118074"""</t>
  </si>
  <si>
    <t>=D788</t>
  </si>
  <si>
    <t>="""NAV Direct"",""CRONUS JetCorp USA"",""32"",""1"",""111302"""</t>
  </si>
  <si>
    <t>=IF($J789="Customer",NL("first",$J789,"Name","No.","@@"&amp;$K789),"")</t>
  </si>
  <si>
    <t>=IF(J789="vendor",NL("first",J789,"Name","No.","@@"&amp;K789),"")</t>
  </si>
  <si>
    <t>=IF($J789="Item",NL("first",$J789,"Description","No.","@@"&amp;$K789),"")</t>
  </si>
  <si>
    <t>=D789</t>
  </si>
  <si>
    <t>="""NAV Direct"",""CRONUS JetCorp USA"",""32"",""1"",""3895"""</t>
  </si>
  <si>
    <t>=IF($J790="Customer",NL("first",$J790,"Name","No.","@@"&amp;$K790),"")</t>
  </si>
  <si>
    <t>=IF(J790="vendor",NL("first",J790,"Name","No.","@@"&amp;K790),"")</t>
  </si>
  <si>
    <t>=IF($J790="Item",NL("first",$J790,"Description","No.","@@"&amp;$K790),"")</t>
  </si>
  <si>
    <t>=D790</t>
  </si>
  <si>
    <t>="""NAV Direct"",""CRONUS JetCorp USA"",""32"",""1"",""120188"""</t>
  </si>
  <si>
    <t>=IF($J791="Customer",NL("first",$J791,"Name","No.","@@"&amp;$K791),"")</t>
  </si>
  <si>
    <t>=IF(J791="vendor",NL("first",J791,"Name","No.","@@"&amp;K791),"")</t>
  </si>
  <si>
    <t>=IF($J791="Item",NL("first",$J791,"Description","No.","@@"&amp;$K791),"")</t>
  </si>
  <si>
    <t>="""NAV Direct"",""CRONUS JetCorp USA"",""32"",""1"",""7587"""</t>
  </si>
  <si>
    <t>="""NAV Direct"",""CRONUS JetCorp USA"",""32"",""1"",""10233"""</t>
  </si>
  <si>
    <t>=E796</t>
  </si>
  <si>
    <t>=NL("First","Item","Description","No.",$E796)</t>
  </si>
  <si>
    <t>=NL("First","Item","Base Unit of Measure","No.",$E796)</t>
  </si>
  <si>
    <t>=(SUBTOTAL(9,O797:O804))</t>
  </si>
  <si>
    <t>=(SUBTOTAL(9,P797:P804))</t>
  </si>
  <si>
    <t>=(SUBTOTAL(9,Q797:Q804))</t>
  </si>
  <si>
    <t>=(SUBTOTAL(9,R797:R804))</t>
  </si>
  <si>
    <t>=(SUBTOTAL(9,S797:S804))</t>
  </si>
  <si>
    <t>=(SUBTOTAL(9,T797:T804))</t>
  </si>
  <si>
    <t>=SUBTOTAL(9,O797:T804)</t>
  </si>
  <si>
    <t>=D796</t>
  </si>
  <si>
    <t>=NL("Rows","Item Ledger Entry",,"+Posting Date",$L$5,"Item No.","@@"&amp;$D797,"Location Code",$L$7)</t>
  </si>
  <si>
    <t>=IF($J797="Customer",NL("first",$J797,"Name","No.","@@"&amp;$K797),"")</t>
  </si>
  <si>
    <t>=IF(J797="vendor",NL("first",J797,"Name","No.","@@"&amp;K797),"")</t>
  </si>
  <si>
    <t>=IF($J797="Item",NL("first",$J797,"Description","No.","@@"&amp;$K797),"")</t>
  </si>
  <si>
    <t>=D797</t>
  </si>
  <si>
    <t>="""NAV Direct"",""CRONUS JetCorp USA"",""32"",""1"",""168331"""</t>
  </si>
  <si>
    <t>=IF($J798="Customer",NL("first",$J798,"Name","No.","@@"&amp;$K798),"")</t>
  </si>
  <si>
    <t>=IF(J798="vendor",NL("first",J798,"Name","No.","@@"&amp;K798),"")</t>
  </si>
  <si>
    <t>=IF($J798="Item",NL("first",$J798,"Description","No.","@@"&amp;$K798),"")</t>
  </si>
  <si>
    <t>="""NAV Direct"",""CRONUS JetCorp USA"",""32"",""1"",""168345"""</t>
  </si>
  <si>
    <t>="""NAV Direct"",""CRONUS JetCorp USA"",""32"",""1"",""168360"""</t>
  </si>
  <si>
    <t>=D800</t>
  </si>
  <si>
    <t>="""NAV Direct"",""CRONUS JetCorp USA"",""32"",""1"",""153190"""</t>
  </si>
  <si>
    <t>=IF($J801="Customer",NL("first",$J801,"Name","No.","@@"&amp;$K801),"")</t>
  </si>
  <si>
    <t>=IF(J801="vendor",NL("first",J801,"Name","No.","@@"&amp;K801),"")</t>
  </si>
  <si>
    <t>=IF($J801="Item",NL("first",$J801,"Description","No.","@@"&amp;$K801),"")</t>
  </si>
  <si>
    <t>=D801</t>
  </si>
  <si>
    <t>="""NAV Direct"",""CRONUS JetCorp USA"",""32"",""1"",""78844"""</t>
  </si>
  <si>
    <t>=IF($J802="Customer",NL("first",$J802,"Name","No.","@@"&amp;$K802),"")</t>
  </si>
  <si>
    <t>=IF(J802="vendor",NL("first",J802,"Name","No.","@@"&amp;K802),"")</t>
  </si>
  <si>
    <t>=IF($J802="Item",NL("first",$J802,"Description","No.","@@"&amp;$K802),"")</t>
  </si>
  <si>
    <t>=D802</t>
  </si>
  <si>
    <t>="""NAV Direct"",""CRONUS JetCorp USA"",""32"",""1"",""64593"""</t>
  </si>
  <si>
    <t>=IF($J803="Customer",NL("first",$J803,"Name","No.","@@"&amp;$K803),"")</t>
  </si>
  <si>
    <t>=IF(J803="vendor",NL("first",J803,"Name","No.","@@"&amp;K803),"")</t>
  </si>
  <si>
    <t>=IF($J803="Item",NL("first",$J803,"Description","No.","@@"&amp;$K803),"")</t>
  </si>
  <si>
    <t>=E806</t>
  </si>
  <si>
    <t>=NL("First","Item","Description","No.",$E806)</t>
  </si>
  <si>
    <t>=NL("First","Item","Base Unit of Measure","No.",$E806)</t>
  </si>
  <si>
    <t>=(SUBTOTAL(9,O807:O816))</t>
  </si>
  <si>
    <t>=(SUBTOTAL(9,P807:P816))</t>
  </si>
  <si>
    <t>=(SUBTOTAL(9,Q807:Q816))</t>
  </si>
  <si>
    <t>=(SUBTOTAL(9,R807:R816))</t>
  </si>
  <si>
    <t>=(SUBTOTAL(9,S807:S816))</t>
  </si>
  <si>
    <t>=(SUBTOTAL(9,T807:T816))</t>
  </si>
  <si>
    <t>=SUBTOTAL(9,O807:T816)</t>
  </si>
  <si>
    <t>=NL("Rows","Item Ledger Entry",,"+Posting Date",$L$5,"Item No.","@@"&amp;$D807,"Location Code",$L$7)</t>
  </si>
  <si>
    <t>="""NAV Direct"",""CRONUS JetCorp USA"",""32"",""1"",""168646"""</t>
  </si>
  <si>
    <t>="""NAV Direct"",""CRONUS JetCorp USA"",""32"",""1"",""168670"""</t>
  </si>
  <si>
    <t>="""NAV Direct"",""CRONUS JetCorp USA"",""32"",""1"",""168682"""</t>
  </si>
  <si>
    <t>=D810</t>
  </si>
  <si>
    <t>="""NAV Direct"",""CRONUS JetCorp USA"",""32"",""1"",""64586"""</t>
  </si>
  <si>
    <t>=IF($J811="Customer",NL("first",$J811,"Name","No.","@@"&amp;$K811),"")</t>
  </si>
  <si>
    <t>=IF(J811="vendor",NL("first",J811,"Name","No.","@@"&amp;K811),"")</t>
  </si>
  <si>
    <t>=IF($J811="Item",NL("first",$J811,"Description","No.","@@"&amp;$K811),"")</t>
  </si>
  <si>
    <t>=D811</t>
  </si>
  <si>
    <t>="""NAV Direct"",""CRONUS JetCorp USA"",""32"",""1"",""44482"""</t>
  </si>
  <si>
    <t>=IF($J812="Customer",NL("first",$J812,"Name","No.","@@"&amp;$K812),"")</t>
  </si>
  <si>
    <t>=IF(J812="vendor",NL("first",J812,"Name","No.","@@"&amp;K812),"")</t>
  </si>
  <si>
    <t>=IF($J812="Item",NL("first",$J812,"Description","No.","@@"&amp;$K812),"")</t>
  </si>
  <si>
    <t>=D812</t>
  </si>
  <si>
    <t>="""NAV Direct"",""CRONUS JetCorp USA"",""32"",""1"",""64602"""</t>
  </si>
  <si>
    <t>=IF($J813="Customer",NL("first",$J813,"Name","No.","@@"&amp;$K813),"")</t>
  </si>
  <si>
    <t>=IF(J813="vendor",NL("first",J813,"Name","No.","@@"&amp;K813),"")</t>
  </si>
  <si>
    <t>=IF($J813="Item",NL("first",$J813,"Description","No.","@@"&amp;$K813),"")</t>
  </si>
  <si>
    <t>="""NAV Direct"",""CRONUS JetCorp USA"",""32"",""1"",""64629"""</t>
  </si>
  <si>
    <t>="""NAV Direct"",""CRONUS JetCorp USA"",""32"",""1"",""78902"""</t>
  </si>
  <si>
    <t>=(SUBTOTAL(9,O819:O827))</t>
  </si>
  <si>
    <t>=(SUBTOTAL(9,P819:P827))</t>
  </si>
  <si>
    <t>=(SUBTOTAL(9,Q819:Q827))</t>
  </si>
  <si>
    <t>=(SUBTOTAL(9,R819:R827))</t>
  </si>
  <si>
    <t>=(SUBTOTAL(9,S819:S827))</t>
  </si>
  <si>
    <t>=(SUBTOTAL(9,T819:T827))</t>
  </si>
  <si>
    <t>=SUBTOTAL(9,O819:T827)</t>
  </si>
  <si>
    <t>="""NAV Direct"",""CRONUS JetCorp USA"",""32"",""1"",""168645"""</t>
  </si>
  <si>
    <t>="""NAV Direct"",""CRONUS JetCorp USA"",""32"",""1"",""168652"""</t>
  </si>
  <si>
    <t>=D821</t>
  </si>
  <si>
    <t>="""NAV Direct"",""CRONUS JetCorp USA"",""32"",""1"",""168669"""</t>
  </si>
  <si>
    <t>=IF($J822="Customer",NL("first",$J822,"Name","No.","@@"&amp;$K822),"")</t>
  </si>
  <si>
    <t>=IF(J822="vendor",NL("first",J822,"Name","No.","@@"&amp;K822),"")</t>
  </si>
  <si>
    <t>=IF($J822="Item",NL("first",$J822,"Description","No.","@@"&amp;$K822),"")</t>
  </si>
  <si>
    <t>=D822</t>
  </si>
  <si>
    <t>="""NAV Direct"",""CRONUS JetCorp USA"",""32"",""1"",""168681"""</t>
  </si>
  <si>
    <t>=IF($J823="Customer",NL("first",$J823,"Name","No.","@@"&amp;$K823),"")</t>
  </si>
  <si>
    <t>=IF(J823="vendor",NL("first",J823,"Name","No.","@@"&amp;K823),"")</t>
  </si>
  <si>
    <t>=IF($J823="Item",NL("first",$J823,"Description","No.","@@"&amp;$K823),"")</t>
  </si>
  <si>
    <t>=D823</t>
  </si>
  <si>
    <t>="""NAV Direct"",""CRONUS JetCorp USA"",""32"",""1"",""72521"""</t>
  </si>
  <si>
    <t>=IF($J824="Customer",NL("first",$J824,"Name","No.","@@"&amp;$K824),"")</t>
  </si>
  <si>
    <t>=IF(J824="vendor",NL("first",J824,"Name","No.","@@"&amp;K824),"")</t>
  </si>
  <si>
    <t>=IF($J824="Item",NL("first",$J824,"Description","No.","@@"&amp;$K824),"")</t>
  </si>
  <si>
    <t>="""NAV Direct"",""CRONUS JetCorp USA"",""32"",""1"",""54736"""</t>
  </si>
  <si>
    <t>="""NAV Direct"",""CRONUS JetCorp USA"",""32"",""1"",""159981"""</t>
  </si>
  <si>
    <t>=(SUBTOTAL(9,O830:O836))</t>
  </si>
  <si>
    <t>=(SUBTOTAL(9,P830:P836))</t>
  </si>
  <si>
    <t>=(SUBTOTAL(9,Q830:Q836))</t>
  </si>
  <si>
    <t>=(SUBTOTAL(9,R830:R836))</t>
  </si>
  <si>
    <t>=(SUBTOTAL(9,S830:S836))</t>
  </si>
  <si>
    <t>=(SUBTOTAL(9,T830:T836))</t>
  </si>
  <si>
    <t>=SUBTOTAL(9,O830:T836)</t>
  </si>
  <si>
    <t>="""NAV Direct"",""CRONUS JetCorp USA"",""32"",""1"",""168644"""</t>
  </si>
  <si>
    <t>=D831</t>
  </si>
  <si>
    <t>="""NAV Direct"",""CRONUS JetCorp USA"",""32"",""1"",""168651"""</t>
  </si>
  <si>
    <t>=IF($J832="Customer",NL("first",$J832,"Name","No.","@@"&amp;$K832),"")</t>
  </si>
  <si>
    <t>=IF(J832="vendor",NL("first",J832,"Name","No.","@@"&amp;K832),"")</t>
  </si>
  <si>
    <t>=IF($J832="Item",NL("first",$J832,"Description","No.","@@"&amp;$K832),"")</t>
  </si>
  <si>
    <t>=D832</t>
  </si>
  <si>
    <t>="""NAV Direct"",""CRONUS JetCorp USA"",""32"",""1"",""168668"""</t>
  </si>
  <si>
    <t>=IF($J833="Customer",NL("first",$J833,"Name","No.","@@"&amp;$K833),"")</t>
  </si>
  <si>
    <t>=IF(J833="vendor",NL("first",J833,"Name","No.","@@"&amp;K833),"")</t>
  </si>
  <si>
    <t>=IF($J833="Item",NL("first",$J833,"Description","No.","@@"&amp;$K833),"")</t>
  </si>
  <si>
    <t>=D833</t>
  </si>
  <si>
    <t>="""NAV Direct"",""CRONUS JetCorp USA"",""32"",""1"",""64584"""</t>
  </si>
  <si>
    <t>=IF($J834="Customer",NL("first",$J834,"Name","No.","@@"&amp;$K834),"")</t>
  </si>
  <si>
    <t>=IF(J834="vendor",NL("first",J834,"Name","No.","@@"&amp;K834),"")</t>
  </si>
  <si>
    <t>=IF($J834="Item",NL("first",$J834,"Description","No.","@@"&amp;$K834),"")</t>
  </si>
  <si>
    <t>="""NAV Direct"",""CRONUS JetCorp USA"",""32"",""1"",""159984"""</t>
  </si>
  <si>
    <t>=E838</t>
  </si>
  <si>
    <t>=NL("First","Item","Description","No.",$E838)</t>
  </si>
  <si>
    <t>=NL("First","Item","Base Unit of Measure","No.",$E838)</t>
  </si>
  <si>
    <t>=(SUBTOTAL(9,O839:O849))</t>
  </si>
  <si>
    <t>=(SUBTOTAL(9,P839:P849))</t>
  </si>
  <si>
    <t>=(SUBTOTAL(9,Q839:Q849))</t>
  </si>
  <si>
    <t>=(SUBTOTAL(9,R839:R849))</t>
  </si>
  <si>
    <t>=(SUBTOTAL(9,S839:S849))</t>
  </si>
  <si>
    <t>=(SUBTOTAL(9,T839:T849))</t>
  </si>
  <si>
    <t>=SUBTOTAL(9,O839:T849)</t>
  </si>
  <si>
    <t>=D838</t>
  </si>
  <si>
    <t>=NL("Rows","Item Ledger Entry",,"+Posting Date",$L$5,"Item No.","@@"&amp;$D839,"Location Code",$L$7)</t>
  </si>
  <si>
    <t>=IF($J839="Customer",NL("first",$J839,"Name","No.","@@"&amp;$K839),"")</t>
  </si>
  <si>
    <t>=IF(J839="vendor",NL("first",J839,"Name","No.","@@"&amp;K839),"")</t>
  </si>
  <si>
    <t>=IF($J839="Item",NL("first",$J839,"Description","No.","@@"&amp;$K839),"")</t>
  </si>
  <si>
    <t>="""NAV Direct"",""CRONUS JetCorp USA"",""32"",""1"",""168643"""</t>
  </si>
  <si>
    <t>="""NAV Direct"",""CRONUS JetCorp USA"",""32"",""1"",""168667"""</t>
  </si>
  <si>
    <t>="""NAV Direct"",""CRONUS JetCorp USA"",""32"",""1"",""168680"""</t>
  </si>
  <si>
    <t>="""NAV Direct"",""CRONUS JetCorp USA"",""32"",""1"",""147993"""</t>
  </si>
  <si>
    <t>="""NAV Direct"",""CRONUS JetCorp USA"",""32"",""1"",""72512"""</t>
  </si>
  <si>
    <t>=D844</t>
  </si>
  <si>
    <t>="""NAV Direct"",""CRONUS JetCorp USA"",""32"",""1"",""44466"""</t>
  </si>
  <si>
    <t>=IF($J845="Customer",NL("first",$J845,"Name","No.","@@"&amp;$K845),"")</t>
  </si>
  <si>
    <t>=IF(J845="vendor",NL("first",J845,"Name","No.","@@"&amp;K845),"")</t>
  </si>
  <si>
    <t>=IF($J845="Item",NL("first",$J845,"Description","No.","@@"&amp;$K845),"")</t>
  </si>
  <si>
    <t>=D845</t>
  </si>
  <si>
    <t>="""NAV Direct"",""CRONUS JetCorp USA"",""32"",""1"",""54697"""</t>
  </si>
  <si>
    <t>=IF($J846="Customer",NL("first",$J846,"Name","No.","@@"&amp;$K846),"")</t>
  </si>
  <si>
    <t>=IF(J846="vendor",NL("first",J846,"Name","No.","@@"&amp;K846),"")</t>
  </si>
  <si>
    <t>=IF($J846="Item",NL("first",$J846,"Description","No.","@@"&amp;$K846),"")</t>
  </si>
  <si>
    <t>=D846</t>
  </si>
  <si>
    <t>="""NAV Direct"",""CRONUS JetCorp USA"",""32"",""1"",""64616"""</t>
  </si>
  <si>
    <t>=IF($J847="Customer",NL("first",$J847,"Name","No.","@@"&amp;$K847),"")</t>
  </si>
  <si>
    <t>=IF(J847="vendor",NL("first",J847,"Name","No.","@@"&amp;K847),"")</t>
  </si>
  <si>
    <t>=IF($J847="Item",NL("first",$J847,"Description","No.","@@"&amp;$K847),"")</t>
  </si>
  <si>
    <t>="""NAV Direct"",""CRONUS JetCorp USA"",""32"",""1"",""78865"""</t>
  </si>
  <si>
    <t>="C100067"</t>
  </si>
  <si>
    <t>=(SUBTOTAL(9,O852:O856))</t>
  </si>
  <si>
    <t>=(SUBTOTAL(9,P852:P856))</t>
  </si>
  <si>
    <t>=(SUBTOTAL(9,Q852:Q856))</t>
  </si>
  <si>
    <t>=(SUBTOTAL(9,R852:R856))</t>
  </si>
  <si>
    <t>=(SUBTOTAL(9,S852:S856))</t>
  </si>
  <si>
    <t>=(SUBTOTAL(9,T852:T856))</t>
  </si>
  <si>
    <t>=SUBTOTAL(9,O852:T856)</t>
  </si>
  <si>
    <t>="""NAV Direct"",""CRONUS JetCorp USA"",""32"",""1"",""168642"""</t>
  </si>
  <si>
    <t>="""NAV Direct"",""CRONUS JetCorp USA"",""32"",""1"",""168666"""</t>
  </si>
  <si>
    <t>="""NAV Direct"",""CRONUS JetCorp USA"",""32"",""1"",""78837"""</t>
  </si>
  <si>
    <t>=E858</t>
  </si>
  <si>
    <t>=NL("First","Item","Description","No.",$E858)</t>
  </si>
  <si>
    <t>=NL("First","Item","Base Unit of Measure","No.",$E858)</t>
  </si>
  <si>
    <t>=(SUBTOTAL(9,O859:O881))</t>
  </si>
  <si>
    <t>=(SUBTOTAL(9,P859:P881))</t>
  </si>
  <si>
    <t>=(SUBTOTAL(9,Q859:Q881))</t>
  </si>
  <si>
    <t>=(SUBTOTAL(9,R859:R881))</t>
  </si>
  <si>
    <t>=(SUBTOTAL(9,S859:S881))</t>
  </si>
  <si>
    <t>=(SUBTOTAL(9,T859:T881))</t>
  </si>
  <si>
    <t>=SUBTOTAL(9,O859:T881)</t>
  </si>
  <si>
    <t>=D858</t>
  </si>
  <si>
    <t>=NL("Rows","Item Ledger Entry",,"+Posting Date",$L$5,"Item No.","@@"&amp;$D859,"Location Code",$L$7)</t>
  </si>
  <si>
    <t>=IF($J859="Customer",NL("first",$J859,"Name","No.","@@"&amp;$K859),"")</t>
  </si>
  <si>
    <t>=IF(J859="vendor",NL("first",J859,"Name","No.","@@"&amp;K859),"")</t>
  </si>
  <si>
    <t>=IF($J859="Item",NL("first",$J859,"Description","No.","@@"&amp;$K859),"")</t>
  </si>
  <si>
    <t>=D859</t>
  </si>
  <si>
    <t>="""NAV Direct"",""CRONUS JetCorp USA"",""32"",""1"",""166743"""</t>
  </si>
  <si>
    <t>=IF($J860="Customer",NL("first",$J860,"Name","No.","@@"&amp;$K860),"")</t>
  </si>
  <si>
    <t>=IF(J860="vendor",NL("first",J860,"Name","No.","@@"&amp;K860),"")</t>
  </si>
  <si>
    <t>=IF($J860="Item",NL("first",$J860,"Description","No.","@@"&amp;$K860),"")</t>
  </si>
  <si>
    <t>=D860</t>
  </si>
  <si>
    <t>="""NAV Direct"",""CRONUS JetCorp USA"",""32"",""1"",""166755"""</t>
  </si>
  <si>
    <t>=IF($J861="Customer",NL("first",$J861,"Name","No.","@@"&amp;$K861),"")</t>
  </si>
  <si>
    <t>=IF(J861="vendor",NL("first",J861,"Name","No.","@@"&amp;K861),"")</t>
  </si>
  <si>
    <t>=IF($J861="Item",NL("first",$J861,"Description","No.","@@"&amp;$K861),"")</t>
  </si>
  <si>
    <t>="""NAV Direct"",""CRONUS JetCorp USA"",""32"",""1"",""166757"""</t>
  </si>
  <si>
    <t>="""NAV Direct"",""CRONUS JetCorp USA"",""32"",""1"",""166772"""</t>
  </si>
  <si>
    <t>="""NAV Direct"",""CRONUS JetCorp USA"",""32"",""1"",""166794"""</t>
  </si>
  <si>
    <t>="""NAV Direct"",""CRONUS JetCorp USA"",""32"",""1"",""166803"""</t>
  </si>
  <si>
    <t>="""NAV Direct"",""CRONUS JetCorp USA"",""32"",""1"",""64580"""</t>
  </si>
  <si>
    <t>="""NAV Direct"",""CRONUS JetCorp USA"",""32"",""1"",""153193"""</t>
  </si>
  <si>
    <t>="""NAV Direct"",""CRONUS JetCorp USA"",""32"",""1"",""25248"""</t>
  </si>
  <si>
    <t>=D868</t>
  </si>
  <si>
    <t>="""NAV Direct"",""CRONUS JetCorp USA"",""32"",""1"",""30043"""</t>
  </si>
  <si>
    <t>=IF($J869="Customer",NL("first",$J869,"Name","No.","@@"&amp;$K869),"")</t>
  </si>
  <si>
    <t>=IF(J869="vendor",NL("first",J869,"Name","No.","@@"&amp;K869),"")</t>
  </si>
  <si>
    <t>=IF($J869="Item",NL("first",$J869,"Description","No.","@@"&amp;$K869),"")</t>
  </si>
  <si>
    <t>=D869</t>
  </si>
  <si>
    <t>="""NAV Direct"",""CRONUS JetCorp USA"",""32"",""1"",""38078"""</t>
  </si>
  <si>
    <t>=IF($J870="Customer",NL("first",$J870,"Name","No.","@@"&amp;$K870),"")</t>
  </si>
  <si>
    <t>=IF(J870="vendor",NL("first",J870,"Name","No.","@@"&amp;K870),"")</t>
  </si>
  <si>
    <t>=IF($J870="Item",NL("first",$J870,"Description","No.","@@"&amp;$K870),"")</t>
  </si>
  <si>
    <t>=D870</t>
  </si>
  <si>
    <t>="""NAV Direct"",""CRONUS JetCorp USA"",""32"",""1"",""44472"""</t>
  </si>
  <si>
    <t>=IF($J871="Customer",NL("first",$J871,"Name","No.","@@"&amp;$K871),"")</t>
  </si>
  <si>
    <t>=IF(J871="vendor",NL("first",J871,"Name","No.","@@"&amp;K871),"")</t>
  </si>
  <si>
    <t>=IF($J871="Item",NL("first",$J871,"Description","No.","@@"&amp;$K871),"")</t>
  </si>
  <si>
    <t>="""NAV Direct"",""CRONUS JetCorp USA"",""32"",""1"",""142553"""</t>
  </si>
  <si>
    <t>="""NAV Direct"",""CRONUS JetCorp USA"",""32"",""1"",""20391"""</t>
  </si>
  <si>
    <t>="""NAV Direct"",""CRONUS JetCorp USA"",""32"",""1"",""30051"""</t>
  </si>
  <si>
    <t>="""NAV Direct"",""CRONUS JetCorp USA"",""32"",""1"",""30063"""</t>
  </si>
  <si>
    <t>="""NAV Direct"",""CRONUS JetCorp USA"",""32"",""1"",""124533"""</t>
  </si>
  <si>
    <t>="""NAV Direct"",""CRONUS JetCorp USA"",""32"",""1"",""25272"""</t>
  </si>
  <si>
    <t>="""NAV Direct"",""CRONUS JetCorp USA"",""32"",""1"",""20407"""</t>
  </si>
  <si>
    <t>="""NAV Direct"",""CRONUS JetCorp USA"",""32"",""1"",""25296"""</t>
  </si>
  <si>
    <t>="""NAV Direct"",""CRONUS JetCorp USA"",""32"",""1"",""38089"""</t>
  </si>
  <si>
    <t>=E883</t>
  </si>
  <si>
    <t>=NL("First","Item","Description","No.",$E883)</t>
  </si>
  <si>
    <t>=NL("First","Item","Base Unit of Measure","No.",$E883)</t>
  </si>
  <si>
    <t>=(SUBTOTAL(9,O884:O893))</t>
  </si>
  <si>
    <t>=(SUBTOTAL(9,P884:P893))</t>
  </si>
  <si>
    <t>=(SUBTOTAL(9,Q884:Q893))</t>
  </si>
  <si>
    <t>=(SUBTOTAL(9,R884:R893))</t>
  </si>
  <si>
    <t>=(SUBTOTAL(9,S884:S893))</t>
  </si>
  <si>
    <t>=(SUBTOTAL(9,T884:T893))</t>
  </si>
  <si>
    <t>=SUBTOTAL(9,O884:T893)</t>
  </si>
  <si>
    <t>=D883</t>
  </si>
  <si>
    <t>=NL("Rows","Item Ledger Entry",,"+Posting Date",$L$5,"Item No.","@@"&amp;$D884,"Location Code",$L$7)</t>
  </si>
  <si>
    <t>=IF($J884="Customer",NL("first",$J884,"Name","No.","@@"&amp;$K884),"")</t>
  </si>
  <si>
    <t>=IF(J884="vendor",NL("first",J884,"Name","No.","@@"&amp;K884),"")</t>
  </si>
  <si>
    <t>=IF($J884="Item",NL("first",$J884,"Description","No.","@@"&amp;$K884),"")</t>
  </si>
  <si>
    <t>="""NAV Direct"",""CRONUS JetCorp USA"",""32"",""1"",""166754"""</t>
  </si>
  <si>
    <t>="""NAV Direct"",""CRONUS JetCorp USA"",""32"",""1"",""166771"""</t>
  </si>
  <si>
    <t>="""NAV Direct"",""CRONUS JetCorp USA"",""32"",""1"",""166793"""</t>
  </si>
  <si>
    <t>="""NAV Direct"",""CRONUS JetCorp USA"",""32"",""1"",""72515"""</t>
  </si>
  <si>
    <t>="""NAV Direct"",""CRONUS JetCorp USA"",""32"",""1"",""54729"""</t>
  </si>
  <si>
    <t>="""NAV Direct"",""CRONUS JetCorp USA"",""32"",""1"",""64599"""</t>
  </si>
  <si>
    <t>="""NAV Direct"",""CRONUS JetCorp USA"",""32"",""1"",""54709"""</t>
  </si>
  <si>
    <t>=D891</t>
  </si>
  <si>
    <t>="""NAV Direct"",""CRONUS JetCorp USA"",""32"",""1"",""78909"""</t>
  </si>
  <si>
    <t>=IF($J892="Customer",NL("first",$J892,"Name","No.","@@"&amp;$K892),"")</t>
  </si>
  <si>
    <t>=IF(J892="vendor",NL("first",J892,"Name","No.","@@"&amp;K892),"")</t>
  </si>
  <si>
    <t>=IF($J892="Item",NL("first",$J892,"Description","No.","@@"&amp;$K892),"")</t>
  </si>
  <si>
    <t>=E895</t>
  </si>
  <si>
    <t>=NL("First","Item","Description","No.",$E895)</t>
  </si>
  <si>
    <t>=NL("First","Item","Base Unit of Measure","No.",$E895)</t>
  </si>
  <si>
    <t>=(SUBTOTAL(9,O896:O904))</t>
  </si>
  <si>
    <t>=(SUBTOTAL(9,P896:P904))</t>
  </si>
  <si>
    <t>=(SUBTOTAL(9,Q896:Q904))</t>
  </si>
  <si>
    <t>=(SUBTOTAL(9,R896:R904))</t>
  </si>
  <si>
    <t>=(SUBTOTAL(9,S896:S904))</t>
  </si>
  <si>
    <t>=(SUBTOTAL(9,T896:T904))</t>
  </si>
  <si>
    <t>=SUBTOTAL(9,O896:T904)</t>
  </si>
  <si>
    <t>=NL("Rows","Item Ledger Entry",,"+Posting Date",$L$5,"Item No.","@@"&amp;$D896,"Location Code",$L$7)</t>
  </si>
  <si>
    <t>="""NAV Direct"",""CRONUS JetCorp USA"",""32"",""1"",""166753"""</t>
  </si>
  <si>
    <t>="""NAV Direct"",""CRONUS JetCorp USA"",""32"",""1"",""166770"""</t>
  </si>
  <si>
    <t>="""NAV Direct"",""CRONUS JetCorp USA"",""32"",""1"",""166792"""</t>
  </si>
  <si>
    <t>=D899</t>
  </si>
  <si>
    <t>="""NAV Direct"",""CRONUS JetCorp USA"",""32"",""1"",""44460"""</t>
  </si>
  <si>
    <t>=IF($J900="Customer",NL("first",$J900,"Name","No.","@@"&amp;$K900),"")</t>
  </si>
  <si>
    <t>=IF(J900="vendor",NL("first",J900,"Name","No.","@@"&amp;K900),"")</t>
  </si>
  <si>
    <t>=IF($J900="Item",NL("first",$J900,"Description","No.","@@"&amp;$K900),"")</t>
  </si>
  <si>
    <t>=D900</t>
  </si>
  <si>
    <t>="""NAV Direct"",""CRONUS JetCorp USA"",""32"",""1"",""54726"""</t>
  </si>
  <si>
    <t>=IF($J901="Customer",NL("first",$J901,"Name","No.","@@"&amp;$K901),"")</t>
  </si>
  <si>
    <t>=IF(J901="vendor",NL("first",J901,"Name","No.","@@"&amp;K901),"")</t>
  </si>
  <si>
    <t>=IF($J901="Item",NL("first",$J901,"Description","No.","@@"&amp;$K901),"")</t>
  </si>
  <si>
    <t>=D901</t>
  </si>
  <si>
    <t>="""NAV Direct"",""CRONUS JetCorp USA"",""32"",""1"",""44533"""</t>
  </si>
  <si>
    <t>=IF($J902="Customer",NL("first",$J902,"Name","No.","@@"&amp;$K902),"")</t>
  </si>
  <si>
    <t>=IF(J902="vendor",NL("first",J902,"Name","No.","@@"&amp;K902),"")</t>
  </si>
  <si>
    <t>=IF($J902="Item",NL("first",$J902,"Description","No.","@@"&amp;$K902),"")</t>
  </si>
  <si>
    <t>="""NAV Direct"",""CRONUS JetCorp USA"",""32"",""1"",""78898"""</t>
  </si>
  <si>
    <t>=E906</t>
  </si>
  <si>
    <t>=NL("First","Item","Description","No.",$E906)</t>
  </si>
  <si>
    <t>=NL("First","Item","Base Unit of Measure","No.",$E906)</t>
  </si>
  <si>
    <t>=(SUBTOTAL(9,O907:O921))</t>
  </si>
  <si>
    <t>=(SUBTOTAL(9,P907:P921))</t>
  </si>
  <si>
    <t>=(SUBTOTAL(9,Q907:Q921))</t>
  </si>
  <si>
    <t>=(SUBTOTAL(9,R907:R921))</t>
  </si>
  <si>
    <t>=(SUBTOTAL(9,S907:S921))</t>
  </si>
  <si>
    <t>=(SUBTOTAL(9,T907:T921))</t>
  </si>
  <si>
    <t>=SUBTOTAL(9,O907:T921)</t>
  </si>
  <si>
    <t>=NL("Rows","Item Ledger Entry",,"+Posting Date",$L$5,"Item No.","@@"&amp;$D907,"Location Code",$L$7)</t>
  </si>
  <si>
    <t>="""NAV Direct"",""CRONUS JetCorp USA"",""32"",""1"",""166741"""</t>
  </si>
  <si>
    <t>="""NAV Direct"",""CRONUS JetCorp USA"",""32"",""1"",""166769"""</t>
  </si>
  <si>
    <t>="""NAV Direct"",""CRONUS JetCorp USA"",""32"",""1"",""166782"""</t>
  </si>
  <si>
    <t>="""NAV Direct"",""CRONUS JetCorp USA"",""32"",""1"",""166791"""</t>
  </si>
  <si>
    <t>=D911</t>
  </si>
  <si>
    <t>="""NAV Direct"",""CRONUS JetCorp USA"",""32"",""1"",""64582"""</t>
  </si>
  <si>
    <t>=IF($J912="Customer",NL("first",$J912,"Name","No.","@@"&amp;$K912),"")</t>
  </si>
  <si>
    <t>=IF(J912="vendor",NL("first",J912,"Name","No.","@@"&amp;K912),"")</t>
  </si>
  <si>
    <t>=IF($J912="Item",NL("first",$J912,"Description","No.","@@"&amp;$K912),"")</t>
  </si>
  <si>
    <t>=D912</t>
  </si>
  <si>
    <t>="""NAV Direct"",""CRONUS JetCorp USA"",""32"",""1"",""78845"""</t>
  </si>
  <si>
    <t>=IF($J913="Customer",NL("first",$J913,"Name","No.","@@"&amp;$K913),"")</t>
  </si>
  <si>
    <t>=IF(J913="vendor",NL("first",J913,"Name","No.","@@"&amp;K913),"")</t>
  </si>
  <si>
    <t>=IF($J913="Item",NL("first",$J913,"Description","No.","@@"&amp;$K913),"")</t>
  </si>
  <si>
    <t>=D913</t>
  </si>
  <si>
    <t>="""NAV Direct"",""CRONUS JetCorp USA"",""32"",""1"",""78882"""</t>
  </si>
  <si>
    <t>=IF($J914="Customer",NL("first",$J914,"Name","No.","@@"&amp;$K914),"")</t>
  </si>
  <si>
    <t>=IF(J914="vendor",NL("first",J914,"Name","No.","@@"&amp;K914),"")</t>
  </si>
  <si>
    <t>=IF($J914="Item",NL("first",$J914,"Description","No.","@@"&amp;$K914),"")</t>
  </si>
  <si>
    <t>="""NAV Direct"",""CRONUS JetCorp USA"",""32"",""1"",""44471"""</t>
  </si>
  <si>
    <t>="""NAV Direct"",""CRONUS JetCorp USA"",""32"",""1"",""54723"""</t>
  </si>
  <si>
    <t>="""NAV Direct"",""CRONUS JetCorp USA"",""32"",""1"",""44514"""</t>
  </si>
  <si>
    <t>="""NAV Direct"",""CRONUS JetCorp USA"",""32"",""1"",""64620"""</t>
  </si>
  <si>
    <t>="""NAV Direct"",""CRONUS JetCorp USA"",""32"",""1"",""153183"""</t>
  </si>
  <si>
    <t>=D919</t>
  </si>
  <si>
    <t>="""NAV Direct"",""CRONUS JetCorp USA"",""32"",""1"",""78866"""</t>
  </si>
  <si>
    <t>=IF($J920="Customer",NL("first",$J920,"Name","No.","@@"&amp;$K920),"")</t>
  </si>
  <si>
    <t>=IF(J920="vendor",NL("first",J920,"Name","No.","@@"&amp;K920),"")</t>
  </si>
  <si>
    <t>=IF($J920="Item",NL("first",$J920,"Description","No.","@@"&amp;$K920),"")</t>
  </si>
  <si>
    <t>=E923</t>
  </si>
  <si>
    <t>=NL("First","Item","Description","No.",$E923)</t>
  </si>
  <si>
    <t>=NL("First","Item","Base Unit of Measure","No.",$E923)</t>
  </si>
  <si>
    <t>=(SUBTOTAL(9,O924:O932))</t>
  </si>
  <si>
    <t>=(SUBTOTAL(9,P924:P932))</t>
  </si>
  <si>
    <t>=(SUBTOTAL(9,Q924:Q932))</t>
  </si>
  <si>
    <t>=(SUBTOTAL(9,R924:R932))</t>
  </si>
  <si>
    <t>=(SUBTOTAL(9,S924:S932))</t>
  </si>
  <si>
    <t>=(SUBTOTAL(9,T924:T932))</t>
  </si>
  <si>
    <t>=SUBTOTAL(9,O924:T932)</t>
  </si>
  <si>
    <t>=NL("Rows","Item Ledger Entry",,"+Posting Date",$L$5,"Item No.","@@"&amp;$D924,"Location Code",$L$7)</t>
  </si>
  <si>
    <t>="""NAV Direct"",""CRONUS JetCorp USA"",""32"",""1"",""166768"""</t>
  </si>
  <si>
    <t>="""NAV Direct"",""CRONUS JetCorp USA"",""32"",""1"",""153198"""</t>
  </si>
  <si>
    <t>="""NAV Direct"",""CRONUS JetCorp USA"",""32"",""1"",""153168"""</t>
  </si>
  <si>
    <t>="""NAV Direct"",""CRONUS JetCorp USA"",""32"",""1"",""142551"""</t>
  </si>
  <si>
    <t>="""NAV Direct"",""CRONUS JetCorp USA"",""32"",""1"",""44525"""</t>
  </si>
  <si>
    <t>="""NAV Direct"",""CRONUS JetCorp USA"",""32"",""1"",""54701"""</t>
  </si>
  <si>
    <t>=D930</t>
  </si>
  <si>
    <t>="""NAV Direct"",""CRONUS JetCorp USA"",""32"",""1"",""78890"""</t>
  </si>
  <si>
    <t>=IF($J931="Customer",NL("first",$J931,"Name","No.","@@"&amp;$K931),"")</t>
  </si>
  <si>
    <t>=IF(J931="vendor",NL("first",J931,"Name","No.","@@"&amp;K931),"")</t>
  </si>
  <si>
    <t>=IF($J931="Item",NL("first",$J931,"Description","No.","@@"&amp;$K931),"")</t>
  </si>
  <si>
    <t>=E934</t>
  </si>
  <si>
    <t>=NL("First","Item","Description","No.",$E934)</t>
  </si>
  <si>
    <t>=NL("First","Item","Base Unit of Measure","No.",$E934)</t>
  </si>
  <si>
    <t>=(SUBTOTAL(9,O935:O950))</t>
  </si>
  <si>
    <t>=(SUBTOTAL(9,P935:P950))</t>
  </si>
  <si>
    <t>=(SUBTOTAL(9,Q935:Q950))</t>
  </si>
  <si>
    <t>=(SUBTOTAL(9,R935:R950))</t>
  </si>
  <si>
    <t>=(SUBTOTAL(9,S935:S950))</t>
  </si>
  <si>
    <t>=(SUBTOTAL(9,T935:T950))</t>
  </si>
  <si>
    <t>=SUBTOTAL(9,O935:T950)</t>
  </si>
  <si>
    <t>=NL("Rows","Item Ledger Entry",,"+Posting Date",$L$5,"Item No.","@@"&amp;$D935,"Location Code",$L$7)</t>
  </si>
  <si>
    <t>="""NAV Direct"",""CRONUS JetCorp USA"",""32"",""1"",""166752"""</t>
  </si>
  <si>
    <t>="""NAV Direct"",""CRONUS JetCorp USA"",""32"",""1"",""166767"""</t>
  </si>
  <si>
    <t>="""NAV Direct"",""CRONUS JetCorp USA"",""32"",""1"",""166790"""</t>
  </si>
  <si>
    <t>="""NAV Direct"",""CRONUS JetCorp USA"",""32"",""1"",""166802"""</t>
  </si>
  <si>
    <t>="""NAV Direct"",""CRONUS JetCorp USA"",""32"",""1"",""147996"""</t>
  </si>
  <si>
    <t>="""NAV Direct"",""CRONUS JetCorp USA"",""32"",""1"",""153200"""</t>
  </si>
  <si>
    <t>="""NAV Direct"",""CRONUS JetCorp USA"",""32"",""1"",""78858"""</t>
  </si>
  <si>
    <t>="""NAV Direct"",""CRONUS JetCorp USA"",""32"",""1"",""153176"""</t>
  </si>
  <si>
    <t>=D943</t>
  </si>
  <si>
    <t>="""NAV Direct"",""CRONUS JetCorp USA"",""32"",""1"",""44484"""</t>
  </si>
  <si>
    <t>=IF($J944="Customer",NL("first",$J944,"Name","No.","@@"&amp;$K944),"")</t>
  </si>
  <si>
    <t>=IF(J944="vendor",NL("first",J944,"Name","No.","@@"&amp;K944),"")</t>
  </si>
  <si>
    <t>=IF($J944="Item",NL("first",$J944,"Description","No.","@@"&amp;$K944),"")</t>
  </si>
  <si>
    <t>=D944</t>
  </si>
  <si>
    <t>="""NAV Direct"",""CRONUS JetCorp USA"",""32"",""1"",""54745"""</t>
  </si>
  <si>
    <t>=IF($J945="Customer",NL("first",$J945,"Name","No.","@@"&amp;$K945),"")</t>
  </si>
  <si>
    <t>=IF(J945="vendor",NL("first",J945,"Name","No.","@@"&amp;K945),"")</t>
  </si>
  <si>
    <t>=IF($J945="Item",NL("first",$J945,"Description","No.","@@"&amp;$K945),"")</t>
  </si>
  <si>
    <t>=D945</t>
  </si>
  <si>
    <t>="""NAV Direct"",""CRONUS JetCorp USA"",""32"",""1"",""64611"""</t>
  </si>
  <si>
    <t>=IF($J946="Customer",NL("first",$J946,"Name","No.","@@"&amp;$K946),"")</t>
  </si>
  <si>
    <t>=IF(J946="vendor",NL("first",J946,"Name","No.","@@"&amp;K946),"")</t>
  </si>
  <si>
    <t>=IF($J946="Item",NL("first",$J946,"Description","No.","@@"&amp;$K946),"")</t>
  </si>
  <si>
    <t>="""NAV Direct"",""CRONUS JetCorp USA"",""32"",""1"",""44538"""</t>
  </si>
  <si>
    <t>="""NAV Direct"",""CRONUS JetCorp USA"",""32"",""1"",""159983"""</t>
  </si>
  <si>
    <t>="""NAV Direct"",""CRONUS JetCorp USA"",""32"",""1"",""159988"""</t>
  </si>
  <si>
    <t>=E952</t>
  </si>
  <si>
    <t>=NL("First","Item","Description","No.",$E952)</t>
  </si>
  <si>
    <t>=NL("First","Item","Base Unit of Measure","No.",$E952)</t>
  </si>
  <si>
    <t>=(SUBTOTAL(9,O953:O966))</t>
  </si>
  <si>
    <t>=(SUBTOTAL(9,P953:P966))</t>
  </si>
  <si>
    <t>=(SUBTOTAL(9,Q953:Q966))</t>
  </si>
  <si>
    <t>=(SUBTOTAL(9,R953:R966))</t>
  </si>
  <si>
    <t>=(SUBTOTAL(9,S953:S966))</t>
  </si>
  <si>
    <t>=(SUBTOTAL(9,T953:T966))</t>
  </si>
  <si>
    <t>=SUBTOTAL(9,O953:T966)</t>
  </si>
  <si>
    <t>=D952</t>
  </si>
  <si>
    <t>=NL("Rows","Item Ledger Entry",,"+Posting Date",$L$5,"Item No.","@@"&amp;$D953,"Location Code",$L$7)</t>
  </si>
  <si>
    <t>=IF($J953="Customer",NL("first",$J953,"Name","No.","@@"&amp;$K953),"")</t>
  </si>
  <si>
    <t>=IF(J953="vendor",NL("first",J953,"Name","No.","@@"&amp;K953),"")</t>
  </si>
  <si>
    <t>=IF($J953="Item",NL("first",$J953,"Description","No.","@@"&amp;$K953),"")</t>
  </si>
  <si>
    <t>="""NAV Direct"",""CRONUS JetCorp USA"",""32"",""1"",""166751"""</t>
  </si>
  <si>
    <t>="""NAV Direct"",""CRONUS JetCorp USA"",""32"",""1"",""166766"""</t>
  </si>
  <si>
    <t>="""NAV Direct"",""CRONUS JetCorp USA"",""32"",""1"",""166789"""</t>
  </si>
  <si>
    <t>="""NAV Direct"",""CRONUS JetCorp USA"",""32"",""1"",""64589"""</t>
  </si>
  <si>
    <t>="""NAV Direct"",""CRONUS JetCorp USA"",""32"",""1"",""78853"""</t>
  </si>
  <si>
    <t>="""NAV Direct"",""CRONUS JetCorp USA"",""32"",""1"",""72526"""</t>
  </si>
  <si>
    <t>="""NAV Direct"",""CRONUS JetCorp USA"",""32"",""1"",""78884"""</t>
  </si>
  <si>
    <t>="""NAV Direct"",""CRONUS JetCorp USA"",""32"",""1"",""54741"""</t>
  </si>
  <si>
    <t>=D961</t>
  </si>
  <si>
    <t>="""NAV Direct"",""CRONUS JetCorp USA"",""32"",""1"",""44542"""</t>
  </si>
  <si>
    <t>=IF($J962="Customer",NL("first",$J962,"Name","No.","@@"&amp;$K962),"")</t>
  </si>
  <si>
    <t>=IF(J962="vendor",NL("first",J962,"Name","No.","@@"&amp;K962),"")</t>
  </si>
  <si>
    <t>=IF($J962="Item",NL("first",$J962,"Description","No.","@@"&amp;$K962),"")</t>
  </si>
  <si>
    <t>=D962</t>
  </si>
  <si>
    <t>="""NAV Direct"",""CRONUS JetCorp USA"",""32"",""1"",""54711"""</t>
  </si>
  <si>
    <t>=IF($J963="Customer",NL("first",$J963,"Name","No.","@@"&amp;$K963),"")</t>
  </si>
  <si>
    <t>=IF(J963="vendor",NL("first",J963,"Name","No.","@@"&amp;K963),"")</t>
  </si>
  <si>
    <t>=IF($J963="Item",NL("first",$J963,"Description","No.","@@"&amp;$K963),"")</t>
  </si>
  <si>
    <t>=D963</t>
  </si>
  <si>
    <t>="""NAV Direct"",""CRONUS JetCorp USA"",""32"",""1"",""159120"""</t>
  </si>
  <si>
    <t>=IF($J964="Customer",NL("first",$J964,"Name","No.","@@"&amp;$K964),"")</t>
  </si>
  <si>
    <t>=IF(J964="vendor",NL("first",J964,"Name","No.","@@"&amp;K964),"")</t>
  </si>
  <si>
    <t>=IF($J964="Item",NL("first",$J964,"Description","No.","@@"&amp;$K964),"")</t>
  </si>
  <si>
    <t>="""NAV Direct"",""CRONUS JetCorp USA"",""32"",""1"",""78905"""</t>
  </si>
  <si>
    <t>=E968</t>
  </si>
  <si>
    <t>=NL("First","Item","Description","No.",$E968)</t>
  </si>
  <si>
    <t>=NL("First","Item","Base Unit of Measure","No.",$E968)</t>
  </si>
  <si>
    <t>=(SUBTOTAL(9,O969:O981))</t>
  </si>
  <si>
    <t>=(SUBTOTAL(9,P969:P981))</t>
  </si>
  <si>
    <t>=(SUBTOTAL(9,Q969:Q981))</t>
  </si>
  <si>
    <t>=(SUBTOTAL(9,R969:R981))</t>
  </si>
  <si>
    <t>=(SUBTOTAL(9,S969:S981))</t>
  </si>
  <si>
    <t>=(SUBTOTAL(9,T969:T981))</t>
  </si>
  <si>
    <t>=SUBTOTAL(9,O969:T981)</t>
  </si>
  <si>
    <t>=NL("Rows","Item Ledger Entry",,"+Posting Date",$L$5,"Item No.","@@"&amp;$D969,"Location Code",$L$7)</t>
  </si>
  <si>
    <t>=D969</t>
  </si>
  <si>
    <t>="""NAV Direct"",""CRONUS JetCorp USA"",""32"",""1"",""166765"""</t>
  </si>
  <si>
    <t>=IF($J970="Customer",NL("first",$J970,"Name","No.","@@"&amp;$K970),"")</t>
  </si>
  <si>
    <t>=IF(J970="vendor",NL("first",J970,"Name","No.","@@"&amp;K970),"")</t>
  </si>
  <si>
    <t>=IF($J970="Item",NL("first",$J970,"Description","No.","@@"&amp;$K970),"")</t>
  </si>
  <si>
    <t>=D970</t>
  </si>
  <si>
    <t>="""NAV Direct"",""CRONUS JetCorp USA"",""32"",""1"",""166781"""</t>
  </si>
  <si>
    <t>=IF($J971="Customer",NL("first",$J971,"Name","No.","@@"&amp;$K971),"")</t>
  </si>
  <si>
    <t>=IF(J971="vendor",NL("first",J971,"Name","No.","@@"&amp;K971),"")</t>
  </si>
  <si>
    <t>=IF($J971="Item",NL("first",$J971,"Description","No.","@@"&amp;$K971),"")</t>
  </si>
  <si>
    <t>=D971</t>
  </si>
  <si>
    <t>="""NAV Direct"",""CRONUS JetCorp USA"",""32"",""1"",""166788"""</t>
  </si>
  <si>
    <t>=IF($J972="Customer",NL("first",$J972,"Name","No.","@@"&amp;$K972),"")</t>
  </si>
  <si>
    <t>=IF(J972="vendor",NL("first",J972,"Name","No.","@@"&amp;K972),"")</t>
  </si>
  <si>
    <t>=IF($J972="Item",NL("first",$J972,"Description","No.","@@"&amp;$K972),"")</t>
  </si>
  <si>
    <t>="""NAV Direct"",""CRONUS JetCorp USA"",""32"",""1"",""166801"""</t>
  </si>
  <si>
    <t>="""NAV Direct"",""CRONUS JetCorp USA"",""32"",""1"",""147995"""</t>
  </si>
  <si>
    <t>="""NAV Direct"",""CRONUS JetCorp USA"",""32"",""1"",""153173"""</t>
  </si>
  <si>
    <t>="""NAV Direct"",""CRONUS JetCorp USA"",""32"",""1"",""72528"""</t>
  </si>
  <si>
    <t>="""NAV Direct"",""CRONUS JetCorp USA"",""32"",""1"",""44539"""</t>
  </si>
  <si>
    <t>="""NAV Direct"",""CRONUS JetCorp USA"",""32"",""1"",""54714"""</t>
  </si>
  <si>
    <t>=D978</t>
  </si>
  <si>
    <t>="""NAV Direct"",""CRONUS JetCorp USA"",""32"",""1"",""64631"""</t>
  </si>
  <si>
    <t>=IF($J979="Customer",NL("first",$J979,"Name","No.","@@"&amp;$K979),"")</t>
  </si>
  <si>
    <t>=IF(J979="vendor",NL("first",J979,"Name","No.","@@"&amp;K979),"")</t>
  </si>
  <si>
    <t>=IF($J979="Item",NL("first",$J979,"Description","No.","@@"&amp;$K979),"")</t>
  </si>
  <si>
    <t>=D979</t>
  </si>
  <si>
    <t>="""NAV Direct"",""CRONUS JetCorp USA"",""32"",""1"",""78908"""</t>
  </si>
  <si>
    <t>=IF($J980="Customer",NL("first",$J980,"Name","No.","@@"&amp;$K980),"")</t>
  </si>
  <si>
    <t>=IF(J980="vendor",NL("first",J980,"Name","No.","@@"&amp;K980),"")</t>
  </si>
  <si>
    <t>=IF($J980="Item",NL("first",$J980,"Description","No.","@@"&amp;$K980),"")</t>
  </si>
  <si>
    <t>=E983</t>
  </si>
  <si>
    <t>=NL("First","Item","Description","No.",$E983)</t>
  </si>
  <si>
    <t>=NL("First","Item","Base Unit of Measure","No.",$E983)</t>
  </si>
  <si>
    <t>=(SUBTOTAL(9,O984:O1000))</t>
  </si>
  <si>
    <t>=(SUBTOTAL(9,P984:P1000))</t>
  </si>
  <si>
    <t>=(SUBTOTAL(9,Q984:Q1000))</t>
  </si>
  <si>
    <t>=(SUBTOTAL(9,R984:R1000))</t>
  </si>
  <si>
    <t>=(SUBTOTAL(9,S984:S1000))</t>
  </si>
  <si>
    <t>=(SUBTOTAL(9,T984:T1000))</t>
  </si>
  <si>
    <t>=SUBTOTAL(9,O984:T1000)</t>
  </si>
  <si>
    <t>=NL("Rows","Item Ledger Entry",,"+Posting Date",$L$5,"Item No.","@@"&amp;$D984,"Location Code",$L$7)</t>
  </si>
  <si>
    <t>="""NAV Direct"",""CRONUS JetCorp USA"",""32"",""1"",""166736"""</t>
  </si>
  <si>
    <t>="""NAV Direct"",""CRONUS JetCorp USA"",""32"",""1"",""166750"""</t>
  </si>
  <si>
    <t>=D986</t>
  </si>
  <si>
    <t>="""NAV Direct"",""CRONUS JetCorp USA"",""32"",""1"",""166756"""</t>
  </si>
  <si>
    <t>=IF($J987="Customer",NL("first",$J987,"Name","No.","@@"&amp;$K987),"")</t>
  </si>
  <si>
    <t>=IF(J987="vendor",NL("first",J987,"Name","No.","@@"&amp;K987),"")</t>
  </si>
  <si>
    <t>=IF($J987="Item",NL("first",$J987,"Description","No.","@@"&amp;$K987),"")</t>
  </si>
  <si>
    <t>=D987</t>
  </si>
  <si>
    <t>="""NAV Direct"",""CRONUS JetCorp USA"",""32"",""1"",""166764"""</t>
  </si>
  <si>
    <t>=IF($J988="Customer",NL("first",$J988,"Name","No.","@@"&amp;$K988),"")</t>
  </si>
  <si>
    <t>=IF(J988="vendor",NL("first",J988,"Name","No.","@@"&amp;K988),"")</t>
  </si>
  <si>
    <t>=IF($J988="Item",NL("first",$J988,"Description","No.","@@"&amp;$K988),"")</t>
  </si>
  <si>
    <t>=D988</t>
  </si>
  <si>
    <t>="""NAV Direct"",""CRONUS JetCorp USA"",""32"",""1"",""166780"""</t>
  </si>
  <si>
    <t>=IF($J989="Customer",NL("first",$J989,"Name","No.","@@"&amp;$K989),"")</t>
  </si>
  <si>
    <t>=IF(J989="vendor",NL("first",J989,"Name","No.","@@"&amp;K989),"")</t>
  </si>
  <si>
    <t>=IF($J989="Item",NL("first",$J989,"Description","No.","@@"&amp;$K989),"")</t>
  </si>
  <si>
    <t>="""NAV Direct"",""CRONUS JetCorp USA"",""32"",""1"",""166787"""</t>
  </si>
  <si>
    <t>="""NAV Direct"",""CRONUS JetCorp USA"",""32"",""1"",""54744"""</t>
  </si>
  <si>
    <t>="""NAV Direct"",""CRONUS JetCorp USA"",""32"",""1"",""64608"""</t>
  </si>
  <si>
    <t>="""NAV Direct"",""CRONUS JetCorp USA"",""32"",""1"",""142555"""</t>
  </si>
  <si>
    <t>="""NAV Direct"",""CRONUS JetCorp USA"",""32"",""1"",""54713"""</t>
  </si>
  <si>
    <t>=D994</t>
  </si>
  <si>
    <t>="""NAV Direct"",""CRONUS JetCorp USA"",""32"",""1"",""78895"""</t>
  </si>
  <si>
    <t>=IF($J995="Customer",NL("first",$J995,"Name","No.","@@"&amp;$K995),"")</t>
  </si>
  <si>
    <t>=IF(J995="vendor",NL("first",J995,"Name","No.","@@"&amp;K995),"")</t>
  </si>
  <si>
    <t>=IF($J995="Item",NL("first",$J995,"Description","No.","@@"&amp;$K995),"")</t>
  </si>
  <si>
    <t>=D995</t>
  </si>
  <si>
    <t>="""NAV Direct"",""CRONUS JetCorp USA"",""32"",""1"",""159982"""</t>
  </si>
  <si>
    <t>=IF($J996="Customer",NL("first",$J996,"Name","No.","@@"&amp;$K996),"")</t>
  </si>
  <si>
    <t>=IF(J996="vendor",NL("first",J996,"Name","No.","@@"&amp;K996),"")</t>
  </si>
  <si>
    <t>=IF($J996="Item",NL("first",$J996,"Description","No.","@@"&amp;$K996),"")</t>
  </si>
  <si>
    <t>=D996</t>
  </si>
  <si>
    <t>="""NAV Direct"",""CRONUS JetCorp USA"",""32"",""1"",""64630"""</t>
  </si>
  <si>
    <t>=IF($J997="Customer",NL("first",$J997,"Name","No.","@@"&amp;$K997),"")</t>
  </si>
  <si>
    <t>=IF(J997="vendor",NL("first",J997,"Name","No.","@@"&amp;K997),"")</t>
  </si>
  <si>
    <t>=IF($J997="Item",NL("first",$J997,"Description","No.","@@"&amp;$K997),"")</t>
  </si>
  <si>
    <t>="""NAV Direct"",""CRONUS JetCorp USA"",""32"",""1"",""78907"""</t>
  </si>
  <si>
    <t>="""NAV Direct"",""CRONUS JetCorp USA"",""32"",""1"",""153187"""</t>
  </si>
  <si>
    <t>=E1002</t>
  </si>
  <si>
    <t>=NL("First","Item","Description","No.",$E1002)</t>
  </si>
  <si>
    <t>=NL("First","Item","Base Unit of Measure","No.",$E1002)</t>
  </si>
  <si>
    <t>=(SUBTOTAL(9,O1003:O1018))</t>
  </si>
  <si>
    <t>=(SUBTOTAL(9,P1003:P1018))</t>
  </si>
  <si>
    <t>=(SUBTOTAL(9,Q1003:Q1018))</t>
  </si>
  <si>
    <t>=(SUBTOTAL(9,R1003:R1018))</t>
  </si>
  <si>
    <t>=(SUBTOTAL(9,S1003:S1018))</t>
  </si>
  <si>
    <t>=(SUBTOTAL(9,T1003:T1018))</t>
  </si>
  <si>
    <t>=SUBTOTAL(9,O1003:T1018)</t>
  </si>
  <si>
    <t>=NL("Rows","Item Ledger Entry",,"+Posting Date",$L$5,"Item No.","@@"&amp;$D1003,"Location Code",$L$7)</t>
  </si>
  <si>
    <t>="""NAV Direct"",""CRONUS JetCorp USA"",""32"",""1"",""166749"""</t>
  </si>
  <si>
    <t>="""NAV Direct"",""CRONUS JetCorp USA"",""32"",""1"",""166763"""</t>
  </si>
  <si>
    <t>="""NAV Direct"",""CRONUS JetCorp USA"",""32"",""1"",""166779"""</t>
  </si>
  <si>
    <t>=D1006</t>
  </si>
  <si>
    <t>="""NAV Direct"",""CRONUS JetCorp USA"",""32"",""1"",""166786"""</t>
  </si>
  <si>
    <t>=IF($J1007="Customer",NL("first",$J1007,"Name","No.","@@"&amp;$K1007),"")</t>
  </si>
  <si>
    <t>=IF(J1007="vendor",NL("first",J1007,"Name","No.","@@"&amp;K1007),"")</t>
  </si>
  <si>
    <t>=IF($J1007="Item",NL("first",$J1007,"Description","No.","@@"&amp;$K1007),"")</t>
  </si>
  <si>
    <t>=D1007</t>
  </si>
  <si>
    <t>="""NAV Direct"",""CRONUS JetCorp USA"",""32"",""1"",""166800"""</t>
  </si>
  <si>
    <t>=IF($J1008="Customer",NL("first",$J1008,"Name","No.","@@"&amp;$K1008),"")</t>
  </si>
  <si>
    <t>=IF(J1008="vendor",NL("first",J1008,"Name","No.","@@"&amp;K1008),"")</t>
  </si>
  <si>
    <t>=IF($J1008="Item",NL("first",$J1008,"Description","No.","@@"&amp;$K1008),"")</t>
  </si>
  <si>
    <t>=D1008</t>
  </si>
  <si>
    <t>="""NAV Direct"",""CRONUS JetCorp USA"",""32"",""1"",""64590"""</t>
  </si>
  <si>
    <t>=IF($J1009="Customer",NL("first",$J1009,"Name","No.","@@"&amp;$K1009),"")</t>
  </si>
  <si>
    <t>=IF(J1009="vendor",NL("first",J1009,"Name","No.","@@"&amp;K1009),"")</t>
  </si>
  <si>
    <t>=IF($J1009="Item",NL("first",$J1009,"Description","No.","@@"&amp;$K1009),"")</t>
  </si>
  <si>
    <t>="""NAV Direct"",""CRONUS JetCorp USA"",""32"",""1"",""78854"""</t>
  </si>
  <si>
    <t>="""NAV Direct"",""CRONUS JetCorp USA"",""32"",""1"",""72527"""</t>
  </si>
  <si>
    <t>="""NAV Direct"",""CRONUS JetCorp USA"",""32"",""1"",""64606"""</t>
  </si>
  <si>
    <t>="""NAV Direct"",""CRONUS JetCorp USA"",""32"",""1"",""44537"""</t>
  </si>
  <si>
    <t>=D1013</t>
  </si>
  <si>
    <t>="""NAV Direct"",""CRONUS JetCorp USA"",""32"",""1"",""54712"""</t>
  </si>
  <si>
    <t>=IF($J1014="Customer",NL("first",$J1014,"Name","No.","@@"&amp;$K1014),"")</t>
  </si>
  <si>
    <t>=IF(J1014="vendor",NL("first",J1014,"Name","No.","@@"&amp;K1014),"")</t>
  </si>
  <si>
    <t>=IF($J1014="Item",NL("first",$J1014,"Description","No.","@@"&amp;$K1014),"")</t>
  </si>
  <si>
    <t>=D1014</t>
  </si>
  <si>
    <t>="""NAV Direct"",""CRONUS JetCorp USA"",""32"",""1"",""78892"""</t>
  </si>
  <si>
    <t>=IF($J1015="Customer",NL("first",$J1015,"Name","No.","@@"&amp;$K1015),"")</t>
  </si>
  <si>
    <t>=IF(J1015="vendor",NL("first",J1015,"Name","No.","@@"&amp;K1015),"")</t>
  </si>
  <si>
    <t>=IF($J1015="Item",NL("first",$J1015,"Description","No.","@@"&amp;$K1015),"")</t>
  </si>
  <si>
    <t>=D1015</t>
  </si>
  <si>
    <t>="""NAV Direct"",""CRONUS JetCorp USA"",""32"",""1"",""64627"""</t>
  </si>
  <si>
    <t>=IF($J1016="Customer",NL("first",$J1016,"Name","No.","@@"&amp;$K1016),"")</t>
  </si>
  <si>
    <t>=IF(J1016="vendor",NL("first",J1016,"Name","No.","@@"&amp;K1016),"")</t>
  </si>
  <si>
    <t>=IF($J1016="Item",NL("first",$J1016,"Description","No.","@@"&amp;$K1016),"")</t>
  </si>
  <si>
    <t>="""NAV Direct"",""CRONUS JetCorp USA"",""32"",""1"",""78869"""</t>
  </si>
  <si>
    <t>=E1020</t>
  </si>
  <si>
    <t>=NL("First","Item","Description","No.",$E1020)</t>
  </si>
  <si>
    <t>=NL("First","Item","Base Unit of Measure","No.",$E1020)</t>
  </si>
  <si>
    <t>=(SUBTOTAL(9,O1021:O1047))</t>
  </si>
  <si>
    <t>=(SUBTOTAL(9,P1021:P1047))</t>
  </si>
  <si>
    <t>=(SUBTOTAL(9,Q1021:Q1047))</t>
  </si>
  <si>
    <t>=(SUBTOTAL(9,R1021:R1047))</t>
  </si>
  <si>
    <t>=(SUBTOTAL(9,S1021:S1047))</t>
  </si>
  <si>
    <t>=(SUBTOTAL(9,T1021:T1047))</t>
  </si>
  <si>
    <t>=SUBTOTAL(9,O1021:T1047)</t>
  </si>
  <si>
    <t>=NL("Rows","Item Ledger Entry",,"+Posting Date",$L$5,"Item No.","@@"&amp;$D1021,"Location Code",$L$7)</t>
  </si>
  <si>
    <t>="""NAV Direct"",""CRONUS JetCorp USA"",""32"",""1"",""167097"""</t>
  </si>
  <si>
    <t>=D1022</t>
  </si>
  <si>
    <t>="""NAV Direct"",""CRONUS JetCorp USA"",""32"",""1"",""167136"""</t>
  </si>
  <si>
    <t>=IF($J1023="Customer",NL("first",$J1023,"Name","No.","@@"&amp;$K1023),"")</t>
  </si>
  <si>
    <t>=IF(J1023="vendor",NL("first",J1023,"Name","No.","@@"&amp;K1023),"")</t>
  </si>
  <si>
    <t>=IF($J1023="Item",NL("first",$J1023,"Description","No.","@@"&amp;$K1023),"")</t>
  </si>
  <si>
    <t>=D1023</t>
  </si>
  <si>
    <t>="""NAV Direct"",""CRONUS JetCorp USA"",""32"",""1"",""167149"""</t>
  </si>
  <si>
    <t>=IF($J1024="Customer",NL("first",$J1024,"Name","No.","@@"&amp;$K1024),"")</t>
  </si>
  <si>
    <t>=IF(J1024="vendor",NL("first",J1024,"Name","No.","@@"&amp;K1024),"")</t>
  </si>
  <si>
    <t>=IF($J1024="Item",NL("first",$J1024,"Description","No.","@@"&amp;$K1024),"")</t>
  </si>
  <si>
    <t>=D1024</t>
  </si>
  <si>
    <t>="""NAV Direct"",""CRONUS JetCorp USA"",""32"",""1"",""167160"""</t>
  </si>
  <si>
    <t>=IF($J1025="Customer",NL("first",$J1025,"Name","No.","@@"&amp;$K1025),"")</t>
  </si>
  <si>
    <t>=IF(J1025="vendor",NL("first",J1025,"Name","No.","@@"&amp;K1025),"")</t>
  </si>
  <si>
    <t>=IF($J1025="Item",NL("first",$J1025,"Description","No.","@@"&amp;$K1025),"")</t>
  </si>
  <si>
    <t>="""NAV Direct"",""CRONUS JetCorp USA"",""32"",""1"",""167170"""</t>
  </si>
  <si>
    <t>="""NAV Direct"",""CRONUS JetCorp USA"",""32"",""1"",""64588"""</t>
  </si>
  <si>
    <t>="""NAV Direct"",""CRONUS JetCorp USA"",""32"",""1"",""124518"""</t>
  </si>
  <si>
    <t>="""NAV Direct"",""CRONUS JetCorp USA"",""32"",""1"",""30039"""</t>
  </si>
  <si>
    <t>="""NAV Direct"",""CRONUS JetCorp USA"",""32"",""1"",""20344"""</t>
  </si>
  <si>
    <t>="""NAV Direct"",""CRONUS JetCorp USA"",""32"",""1"",""25258"""</t>
  </si>
  <si>
    <t>="""NAV Direct"",""CRONUS JetCorp USA"",""32"",""1"",""44475"""</t>
  </si>
  <si>
    <t>="""NAV Direct"",""CRONUS JetCorp USA"",""32"",""1"",""54739"""</t>
  </si>
  <si>
    <t>=D1033</t>
  </si>
  <si>
    <t>="""NAV Direct"",""CRONUS JetCorp USA"",""32"",""1"",""64603"""</t>
  </si>
  <si>
    <t>=IF($J1034="Customer",NL("first",$J1034,"Name","No.","@@"&amp;$K1034),"")</t>
  </si>
  <si>
    <t>=IF(J1034="vendor",NL("first",J1034,"Name","No.","@@"&amp;K1034),"")</t>
  </si>
  <si>
    <t>=IF($J1034="Item",NL("first",$J1034,"Description","No.","@@"&amp;$K1034),"")</t>
  </si>
  <si>
    <t>=D1034</t>
  </si>
  <si>
    <t>="""NAV Direct"",""CRONUS JetCorp USA"",""32"",""1"",""128877"""</t>
  </si>
  <si>
    <t>=IF($J1035="Customer",NL("first",$J1035,"Name","No.","@@"&amp;$K1035),"")</t>
  </si>
  <si>
    <t>=IF(J1035="vendor",NL("first",J1035,"Name","No.","@@"&amp;K1035),"")</t>
  </si>
  <si>
    <t>=IF($J1035="Item",NL("first",$J1035,"Description","No.","@@"&amp;$K1035),"")</t>
  </si>
  <si>
    <t>=D1035</t>
  </si>
  <si>
    <t>="""NAV Direct"",""CRONUS JetCorp USA"",""32"",""1"",""142557"""</t>
  </si>
  <si>
    <t>=IF($J1036="Customer",NL("first",$J1036,"Name","No.","@@"&amp;$K1036),"")</t>
  </si>
  <si>
    <t>=IF(J1036="vendor",NL("first",J1036,"Name","No.","@@"&amp;K1036),"")</t>
  </si>
  <si>
    <t>=IF($J1036="Item",NL("first",$J1036,"Description","No.","@@"&amp;$K1036),"")</t>
  </si>
  <si>
    <t>="""NAV Direct"",""CRONUS JetCorp USA"",""32"",""1"",""20392"""</t>
  </si>
  <si>
    <t>="""NAV Direct"",""CRONUS JetCorp USA"",""32"",""1"",""124555"""</t>
  </si>
  <si>
    <t>="""NAV Direct"",""CRONUS JetCorp USA"",""32"",""1"",""54707"""</t>
  </si>
  <si>
    <t>="""NAV Direct"",""CRONUS JetCorp USA"",""32"",""1"",""20360"""</t>
  </si>
  <si>
    <t>="""NAV Direct"",""CRONUS JetCorp USA"",""32"",""1"",""20412"""</t>
  </si>
  <si>
    <t>="""NAV Direct"",""CRONUS JetCorp USA"",""32"",""1"",""34344"""</t>
  </si>
  <si>
    <t>="""NAV Direct"",""CRONUS JetCorp USA"",""32"",""1"",""64623"""</t>
  </si>
  <si>
    <t>="""NAV Direct"",""CRONUS JetCorp USA"",""32"",""1"",""25278"""</t>
  </si>
  <si>
    <t>=D1044</t>
  </si>
  <si>
    <t>="""NAV Direct"",""CRONUS JetCorp USA"",""32"",""1"",""38097"""</t>
  </si>
  <si>
    <t>=IF($J1045="Customer",NL("first",$J1045,"Name","No.","@@"&amp;$K1045),"")</t>
  </si>
  <si>
    <t>=IF(J1045="vendor",NL("first",J1045,"Name","No.","@@"&amp;K1045),"")</t>
  </si>
  <si>
    <t>=IF($J1045="Item",NL("first",$J1045,"Description","No.","@@"&amp;$K1045),"")</t>
  </si>
  <si>
    <t>=D1045</t>
  </si>
  <si>
    <t>="""NAV Direct"",""CRONUS JetCorp USA"",""32"",""1"",""138737"""</t>
  </si>
  <si>
    <t>=IF($J1046="Customer",NL("first",$J1046,"Name","No.","@@"&amp;$K1046),"")</t>
  </si>
  <si>
    <t>=IF(J1046="vendor",NL("first",J1046,"Name","No.","@@"&amp;K1046),"")</t>
  </si>
  <si>
    <t>=IF($J1046="Item",NL("first",$J1046,"Description","No.","@@"&amp;$K1046),"")</t>
  </si>
  <si>
    <t>=E1049</t>
  </si>
  <si>
    <t>=NL("First","Item","Description","No.",$E1049)</t>
  </si>
  <si>
    <t>=NL("First","Item","Base Unit of Measure","No.",$E1049)</t>
  </si>
  <si>
    <t>=(SUBTOTAL(9,O1050:O1071))</t>
  </si>
  <si>
    <t>=(SUBTOTAL(9,P1050:P1071))</t>
  </si>
  <si>
    <t>=(SUBTOTAL(9,Q1050:Q1071))</t>
  </si>
  <si>
    <t>=(SUBTOTAL(9,R1050:R1071))</t>
  </si>
  <si>
    <t>=(SUBTOTAL(9,S1050:S1071))</t>
  </si>
  <si>
    <t>=(SUBTOTAL(9,T1050:T1071))</t>
  </si>
  <si>
    <t>=SUBTOTAL(9,O1050:T1071)</t>
  </si>
  <si>
    <t>=NL("Rows","Item Ledger Entry",,"+Posting Date",$L$5,"Item No.","@@"&amp;$D1050,"Location Code",$L$7)</t>
  </si>
  <si>
    <t>="""NAV Direct"",""CRONUS JetCorp USA"",""32"",""1"",""167535"""</t>
  </si>
  <si>
    <t>="""NAV Direct"",""CRONUS JetCorp USA"",""32"",""1"",""167547"""</t>
  </si>
  <si>
    <t>="""NAV Direct"",""CRONUS JetCorp USA"",""32"",""1"",""167561"""</t>
  </si>
  <si>
    <t>="""NAV Direct"",""CRONUS JetCorp USA"",""32"",""1"",""167580"""</t>
  </si>
  <si>
    <t>="""NAV Direct"",""CRONUS JetCorp USA"",""32"",""1"",""167595"""</t>
  </si>
  <si>
    <t>="""NAV Direct"",""CRONUS JetCorp USA"",""32"",""1"",""167609"""</t>
  </si>
  <si>
    <t>="""NAV Direct"",""CRONUS JetCorp USA"",""32"",""1"",""64577"""</t>
  </si>
  <si>
    <t>="""NAV Direct"",""CRONUS JetCorp USA"",""32"",""1"",""34321"""</t>
  </si>
  <si>
    <t>="""NAV Direct"",""CRONUS JetCorp USA"",""32"",""1"",""128879"""</t>
  </si>
  <si>
    <t>="""NAV Direct"",""CRONUS JetCorp USA"",""32"",""1"",""44515"""</t>
  </si>
  <si>
    <t>="""NAV Direct"",""CRONUS JetCorp USA"",""32"",""1"",""124546"""</t>
  </si>
  <si>
    <t>=D1061</t>
  </si>
  <si>
    <t>="""NAV Direct"",""CRONUS JetCorp USA"",""32"",""1"",""20361"""</t>
  </si>
  <si>
    <t>=IF($J1062="Customer",NL("first",$J1062,"Name","No.","@@"&amp;$K1062),"")</t>
  </si>
  <si>
    <t>=IF(J1062="vendor",NL("first",J1062,"Name","No.","@@"&amp;K1062),"")</t>
  </si>
  <si>
    <t>=IF($J1062="Item",NL("first",$J1062,"Description","No.","@@"&amp;$K1062),"")</t>
  </si>
  <si>
    <t>=D1062</t>
  </si>
  <si>
    <t>="""NAV Direct"",""CRONUS JetCorp USA"",""32"",""1"",""30115"""</t>
  </si>
  <si>
    <t>=IF($J1063="Customer",NL("first",$J1063,"Name","No.","@@"&amp;$K1063),"")</t>
  </si>
  <si>
    <t>=IF(J1063="vendor",NL("first",J1063,"Name","No.","@@"&amp;K1063),"")</t>
  </si>
  <si>
    <t>=IF($J1063="Item",NL("first",$J1063,"Description","No.","@@"&amp;$K1063),"")</t>
  </si>
  <si>
    <t>=D1063</t>
  </si>
  <si>
    <t>="""NAV Direct"",""CRONUS JetCorp USA"",""32"",""1"",""34332"""</t>
  </si>
  <si>
    <t>=IF($J1064="Customer",NL("first",$J1064,"Name","No.","@@"&amp;$K1064),"")</t>
  </si>
  <si>
    <t>=IF(J1064="vendor",NL("first",J1064,"Name","No.","@@"&amp;K1064),"")</t>
  </si>
  <si>
    <t>=IF($J1064="Item",NL("first",$J1064,"Description","No.","@@"&amp;$K1064),"")</t>
  </si>
  <si>
    <t>="""NAV Direct"",""CRONUS JetCorp USA"",""32"",""1"",""36479"""</t>
  </si>
  <si>
    <t>="""NAV Direct"",""CRONUS JetCorp USA"",""32"",""1"",""124596"""</t>
  </si>
  <si>
    <t>="""NAV Direct"",""CRONUS JetCorp USA"",""32"",""1"",""153181"""</t>
  </si>
  <si>
    <t>=D1067</t>
  </si>
  <si>
    <t>="""NAV Direct"",""CRONUS JetCorp USA"",""32"",""1"",""25292"""</t>
  </si>
  <si>
    <t>=IF($J1068="Customer",NL("first",$J1068,"Name","No.","@@"&amp;$K1068),"")</t>
  </si>
  <si>
    <t>=IF(J1068="vendor",NL("first",J1068,"Name","No.","@@"&amp;K1068),"")</t>
  </si>
  <si>
    <t>=IF($J1068="Item",NL("first",$J1068,"Description","No.","@@"&amp;$K1068),"")</t>
  </si>
  <si>
    <t>=D1068</t>
  </si>
  <si>
    <t>="""NAV Direct"",""CRONUS JetCorp USA"",""32"",""1"",""132525"""</t>
  </si>
  <si>
    <t>=IF($J1069="Customer",NL("first",$J1069,"Name","No.","@@"&amp;$K1069),"")</t>
  </si>
  <si>
    <t>=IF(J1069="vendor",NL("first",J1069,"Name","No.","@@"&amp;K1069),"")</t>
  </si>
  <si>
    <t>=IF($J1069="Item",NL("first",$J1069,"Description","No.","@@"&amp;$K1069),"")</t>
  </si>
  <si>
    <t>=D1069</t>
  </si>
  <si>
    <t>="""NAV Direct"",""CRONUS JetCorp USA"",""32"",""1"",""138736"""</t>
  </si>
  <si>
    <t>=IF($J1070="Customer",NL("first",$J1070,"Name","No.","@@"&amp;$K1070),"")</t>
  </si>
  <si>
    <t>=IF(J1070="vendor",NL("first",J1070,"Name","No.","@@"&amp;K1070),"")</t>
  </si>
  <si>
    <t>=IF($J1070="Item",NL("first",$J1070,"Description","No.","@@"&amp;$K1070),"")</t>
  </si>
  <si>
    <t>=E1073</t>
  </si>
  <si>
    <t>=NL("First","Item","Description","No.",$E1073)</t>
  </si>
  <si>
    <t>=NL("First","Item","Base Unit of Measure","No.",$E1073)</t>
  </si>
  <si>
    <t>=(SUBTOTAL(9,O1074:O1088))</t>
  </si>
  <si>
    <t>=(SUBTOTAL(9,P1074:P1088))</t>
  </si>
  <si>
    <t>=(SUBTOTAL(9,Q1074:Q1088))</t>
  </si>
  <si>
    <t>=(SUBTOTAL(9,R1074:R1088))</t>
  </si>
  <si>
    <t>=(SUBTOTAL(9,S1074:S1088))</t>
  </si>
  <si>
    <t>=(SUBTOTAL(9,T1074:T1088))</t>
  </si>
  <si>
    <t>=SUBTOTAL(9,O1074:T1088)</t>
  </si>
  <si>
    <t>=NL("Rows","Item Ledger Entry",,"+Posting Date",$L$5,"Item No.","@@"&amp;$D1074,"Location Code",$L$7)</t>
  </si>
  <si>
    <t>=D1074</t>
  </si>
  <si>
    <t>="""NAV Direct"",""CRONUS JetCorp USA"",""32"",""1"",""167534"""</t>
  </si>
  <si>
    <t>=IF($J1075="Customer",NL("first",$J1075,"Name","No.","@@"&amp;$K1075),"")</t>
  </si>
  <si>
    <t>=IF(J1075="vendor",NL("first",J1075,"Name","No.","@@"&amp;K1075),"")</t>
  </si>
  <si>
    <t>=IF($J1075="Item",NL("first",$J1075,"Description","No.","@@"&amp;$K1075),"")</t>
  </si>
  <si>
    <t>=D1075</t>
  </si>
  <si>
    <t>="""NAV Direct"",""CRONUS JetCorp USA"",""32"",""1"",""167546"""</t>
  </si>
  <si>
    <t>=IF($J1076="Customer",NL("first",$J1076,"Name","No.","@@"&amp;$K1076),"")</t>
  </si>
  <si>
    <t>=IF(J1076="vendor",NL("first",J1076,"Name","No.","@@"&amp;K1076),"")</t>
  </si>
  <si>
    <t>=IF($J1076="Item",NL("first",$J1076,"Description","No.","@@"&amp;$K1076),"")</t>
  </si>
  <si>
    <t>=D1076</t>
  </si>
  <si>
    <t>="""NAV Direct"",""CRONUS JetCorp USA"",""32"",""1"",""167560"""</t>
  </si>
  <si>
    <t>=IF($J1077="Customer",NL("first",$J1077,"Name","No.","@@"&amp;$K1077),"")</t>
  </si>
  <si>
    <t>=IF(J1077="vendor",NL("first",J1077,"Name","No.","@@"&amp;K1077),"")</t>
  </si>
  <si>
    <t>=IF($J1077="Item",NL("first",$J1077,"Description","No.","@@"&amp;$K1077),"")</t>
  </si>
  <si>
    <t>="""NAV Direct"",""CRONUS JetCorp USA"",""32"",""1"",""167579"""</t>
  </si>
  <si>
    <t>="""NAV Direct"",""CRONUS JetCorp USA"",""32"",""1"",""167608"""</t>
  </si>
  <si>
    <t>="""NAV Direct"",""CRONUS JetCorp USA"",""32"",""1"",""72514"""</t>
  </si>
  <si>
    <t>=D1080</t>
  </si>
  <si>
    <t>="""NAV Direct"",""CRONUS JetCorp USA"",""32"",""1"",""142550"""</t>
  </si>
  <si>
    <t>=IF($J1081="Customer",NL("first",$J1081,"Name","No.","@@"&amp;$K1081),"")</t>
  </si>
  <si>
    <t>=IF(J1081="vendor",NL("first",J1081,"Name","No.","@@"&amp;K1081),"")</t>
  </si>
  <si>
    <t>=IF($J1081="Item",NL("first",$J1081,"Description","No.","@@"&amp;$K1081),"")</t>
  </si>
  <si>
    <t>=D1081</t>
  </si>
  <si>
    <t>="""NAV Direct"",""CRONUS JetCorp USA"",""32"",""1"",""124549"""</t>
  </si>
  <si>
    <t>=IF($J1082="Customer",NL("first",$J1082,"Name","No.","@@"&amp;$K1082),"")</t>
  </si>
  <si>
    <t>=IF(J1082="vendor",NL("first",J1082,"Name","No.","@@"&amp;K1082),"")</t>
  </si>
  <si>
    <t>=IF($J1082="Item",NL("first",$J1082,"Description","No.","@@"&amp;$K1082),"")</t>
  </si>
  <si>
    <t>=D1082</t>
  </si>
  <si>
    <t>="""NAV Direct"",""CRONUS JetCorp USA"",""32"",""1"",""124531"""</t>
  </si>
  <si>
    <t>=IF($J1083="Customer",NL("first",$J1083,"Name","No.","@@"&amp;$K1083),"")</t>
  </si>
  <si>
    <t>=IF(J1083="vendor",NL("first",J1083,"Name","No.","@@"&amp;K1083),"")</t>
  </si>
  <si>
    <t>=IF($J1083="Item",NL("first",$J1083,"Description","No.","@@"&amp;$K1083),"")</t>
  </si>
  <si>
    <t>="""NAV Direct"",""CRONUS JetCorp USA"",""32"",""1"",""64619"""</t>
  </si>
  <si>
    <t>="""NAV Direct"",""CRONUS JetCorp USA"",""32"",""1"",""38095"""</t>
  </si>
  <si>
    <t>="""NAV Direct"",""CRONUS JetCorp USA"",""32"",""1"",""132528"""</t>
  </si>
  <si>
    <t>="""NAV Direct"",""CRONUS JetCorp USA"",""32"",""1"",""138727"""</t>
  </si>
  <si>
    <t>=E1090</t>
  </si>
  <si>
    <t>=NL("First","Item","Description","No.",$E1090)</t>
  </si>
  <si>
    <t>=NL("First","Item","Base Unit of Measure","No.",$E1090)</t>
  </si>
  <si>
    <t>=(SUBTOTAL(9,O1091:O1113))</t>
  </si>
  <si>
    <t>=(SUBTOTAL(9,P1091:P1113))</t>
  </si>
  <si>
    <t>=(SUBTOTAL(9,Q1091:Q1113))</t>
  </si>
  <si>
    <t>=(SUBTOTAL(9,R1091:R1113))</t>
  </si>
  <si>
    <t>=(SUBTOTAL(9,S1091:S1113))</t>
  </si>
  <si>
    <t>=(SUBTOTAL(9,T1091:T1113))</t>
  </si>
  <si>
    <t>=SUBTOTAL(9,O1091:T1113)</t>
  </si>
  <si>
    <t>=D1090</t>
  </si>
  <si>
    <t>=NL("Rows","Item Ledger Entry",,"+Posting Date",$L$5,"Item No.","@@"&amp;$D1091,"Location Code",$L$7)</t>
  </si>
  <si>
    <t>=IF($J1091="Customer",NL("first",$J1091,"Name","No.","@@"&amp;$K1091),"")</t>
  </si>
  <si>
    <t>=IF(J1091="vendor",NL("first",J1091,"Name","No.","@@"&amp;K1091),"")</t>
  </si>
  <si>
    <t>=IF($J1091="Item",NL("first",$J1091,"Description","No.","@@"&amp;$K1091),"")</t>
  </si>
  <si>
    <t>=D1091</t>
  </si>
  <si>
    <t>="""NAV Direct"",""CRONUS JetCorp USA"",""32"",""1"",""167533"""</t>
  </si>
  <si>
    <t>=IF($J1092="Customer",NL("first",$J1092,"Name","No.","@@"&amp;$K1092),"")</t>
  </si>
  <si>
    <t>=IF(J1092="vendor",NL("first",J1092,"Name","No.","@@"&amp;K1092),"")</t>
  </si>
  <si>
    <t>=IF($J1092="Item",NL("first",$J1092,"Description","No.","@@"&amp;$K1092),"")</t>
  </si>
  <si>
    <t>=D1092</t>
  </si>
  <si>
    <t>="""NAV Direct"",""CRONUS JetCorp USA"",""32"",""1"",""167545"""</t>
  </si>
  <si>
    <t>=IF($J1093="Customer",NL("first",$J1093,"Name","No.","@@"&amp;$K1093),"")</t>
  </si>
  <si>
    <t>=IF(J1093="vendor",NL("first",J1093,"Name","No.","@@"&amp;K1093),"")</t>
  </si>
  <si>
    <t>=IF($J1093="Item",NL("first",$J1093,"Description","No.","@@"&amp;$K1093),"")</t>
  </si>
  <si>
    <t>=D1093</t>
  </si>
  <si>
    <t>="""NAV Direct"",""CRONUS JetCorp USA"",""32"",""1"",""167559"""</t>
  </si>
  <si>
    <t>=IF($J1094="Customer",NL("first",$J1094,"Name","No.","@@"&amp;$K1094),"")</t>
  </si>
  <si>
    <t>=IF(J1094="vendor",NL("first",J1094,"Name","No.","@@"&amp;K1094),"")</t>
  </si>
  <si>
    <t>=IF($J1094="Item",NL("first",$J1094,"Description","No.","@@"&amp;$K1094),"")</t>
  </si>
  <si>
    <t>=D1094</t>
  </si>
  <si>
    <t>="""NAV Direct"",""CRONUS JetCorp USA"",""32"",""1"",""167578"""</t>
  </si>
  <si>
    <t>=IF($J1095="Customer",NL("first",$J1095,"Name","No.","@@"&amp;$K1095),"")</t>
  </si>
  <si>
    <t>=IF(J1095="vendor",NL("first",J1095,"Name","No.","@@"&amp;K1095),"")</t>
  </si>
  <si>
    <t>=IF($J1095="Item",NL("first",$J1095,"Description","No.","@@"&amp;$K1095),"")</t>
  </si>
  <si>
    <t>=D1095</t>
  </si>
  <si>
    <t>="""NAV Direct"",""CRONUS JetCorp USA"",""32"",""1"",""167594"""</t>
  </si>
  <si>
    <t>=IF($J1096="Customer",NL("first",$J1096,"Name","No.","@@"&amp;$K1096),"")</t>
  </si>
  <si>
    <t>=IF(J1096="vendor",NL("first",J1096,"Name","No.","@@"&amp;K1096),"")</t>
  </si>
  <si>
    <t>=IF($J1096="Item",NL("first",$J1096,"Description","No.","@@"&amp;$K1096),"")</t>
  </si>
  <si>
    <t>=D1096</t>
  </si>
  <si>
    <t>="""NAV Direct"",""CRONUS JetCorp USA"",""32"",""1"",""167607"""</t>
  </si>
  <si>
    <t>=IF($J1097="Customer",NL("first",$J1097,"Name","No.","@@"&amp;$K1097),"")</t>
  </si>
  <si>
    <t>=IF(J1097="vendor",NL("first",J1097,"Name","No.","@@"&amp;K1097),"")</t>
  </si>
  <si>
    <t>=IF($J1097="Item",NL("first",$J1097,"Description","No.","@@"&amp;$K1097),"")</t>
  </si>
  <si>
    <t>=D1097</t>
  </si>
  <si>
    <t>="""NAV Direct"",""CRONUS JetCorp USA"",""32"",""1"",""167622"""</t>
  </si>
  <si>
    <t>=IF($J1098="Customer",NL("first",$J1098,"Name","No.","@@"&amp;$K1098),"")</t>
  </si>
  <si>
    <t>=IF(J1098="vendor",NL("first",J1098,"Name","No.","@@"&amp;K1098),"")</t>
  </si>
  <si>
    <t>=IF($J1098="Item",NL("first",$J1098,"Description","No.","@@"&amp;$K1098),"")</t>
  </si>
  <si>
    <t>=D1098</t>
  </si>
  <si>
    <t>="""NAV Direct"",""CRONUS JetCorp USA"",""32"",""1"",""78834"""</t>
  </si>
  <si>
    <t>=IF($J1099="Customer",NL("first",$J1099,"Name","No.","@@"&amp;$K1099),"")</t>
  </si>
  <si>
    <t>=IF(J1099="vendor",NL("first",J1099,"Name","No.","@@"&amp;K1099),"")</t>
  </si>
  <si>
    <t>=IF($J1099="Item",NL("first",$J1099,"Description","No.","@@"&amp;$K1099),"")</t>
  </si>
  <si>
    <t>=D1099</t>
  </si>
  <si>
    <t>="""NAV Direct"",""CRONUS JetCorp USA"",""32"",""1"",""147990"""</t>
  </si>
  <si>
    <t>=IF($J1100="Customer",NL("first",$J1100,"Name","No.","@@"&amp;$K1100),"")</t>
  </si>
  <si>
    <t>=IF(J1100="vendor",NL("first",J1100,"Name","No.","@@"&amp;K1100),"")</t>
  </si>
  <si>
    <t>=IF($J1100="Item",NL("first",$J1100,"Description","No.","@@"&amp;$K1100),"")</t>
  </si>
  <si>
    <t>=D1100</t>
  </si>
  <si>
    <t>="""NAV Direct"",""CRONUS JetCorp USA"",""32"",""1"",""78847"""</t>
  </si>
  <si>
    <t>=IF($J1101="Customer",NL("first",$J1101,"Name","No.","@@"&amp;$K1101),"")</t>
  </si>
  <si>
    <t>=IF(J1101="vendor",NL("first",J1101,"Name","No.","@@"&amp;K1101),"")</t>
  </si>
  <si>
    <t>=IF($J1101="Item",NL("first",$J1101,"Description","No.","@@"&amp;$K1101),"")</t>
  </si>
  <si>
    <t>=D1101</t>
  </si>
  <si>
    <t>="""NAV Direct"",""CRONUS JetCorp USA"",""32"",""1"",""132513"""</t>
  </si>
  <si>
    <t>=IF($J1102="Customer",NL("first",$J1102,"Name","No.","@@"&amp;$K1102),"")</t>
  </si>
  <si>
    <t>=IF(J1102="vendor",NL("first",J1102,"Name","No.","@@"&amp;K1102),"")</t>
  </si>
  <si>
    <t>=IF($J1102="Item",NL("first",$J1102,"Description","No.","@@"&amp;$K1102),"")</t>
  </si>
  <si>
    <t>=D1102</t>
  </si>
  <si>
    <t>="""NAV Direct"",""CRONUS JetCorp USA"",""32"",""1"",""30037"""</t>
  </si>
  <si>
    <t>=IF($J1103="Customer",NL("first",$J1103,"Name","No.","@@"&amp;$K1103),"")</t>
  </si>
  <si>
    <t>=IF(J1103="vendor",NL("first",J1103,"Name","No.","@@"&amp;K1103),"")</t>
  </si>
  <si>
    <t>=IF($J1103="Item",NL("first",$J1103,"Description","No.","@@"&amp;$K1103),"")</t>
  </si>
  <si>
    <t>=D1103</t>
  </si>
  <si>
    <t>="""NAV Direct"",""CRONUS JetCorp USA"",""32"",""1"",""38082"""</t>
  </si>
  <si>
    <t>=IF($J1104="Customer",NL("first",$J1104,"Name","No.","@@"&amp;$K1104),"")</t>
  </si>
  <si>
    <t>=IF(J1104="vendor",NL("first",J1104,"Name","No.","@@"&amp;K1104),"")</t>
  </si>
  <si>
    <t>=IF($J1104="Item",NL("first",$J1104,"Description","No.","@@"&amp;$K1104),"")</t>
  </si>
  <si>
    <t>=D1104</t>
  </si>
  <si>
    <t>="""NAV Direct"",""CRONUS JetCorp USA"",""32"",""1"",""64595"""</t>
  </si>
  <si>
    <t>=IF($J1105="Customer",NL("first",$J1105,"Name","No.","@@"&amp;$K1105),"")</t>
  </si>
  <si>
    <t>=IF(J1105="vendor",NL("first",J1105,"Name","No.","@@"&amp;K1105),"")</t>
  </si>
  <si>
    <t>=IF($J1105="Item",NL("first",$J1105,"Description","No.","@@"&amp;$K1105),"")</t>
  </si>
  <si>
    <t>=D1105</t>
  </si>
  <si>
    <t>="""NAV Direct"",""CRONUS JetCorp USA"",""32"",""1"",""20389"""</t>
  </si>
  <si>
    <t>=IF($J1106="Customer",NL("first",$J1106,"Name","No.","@@"&amp;$K1106),"")</t>
  </si>
  <si>
    <t>=IF(J1106="vendor",NL("first",J1106,"Name","No.","@@"&amp;K1106),"")</t>
  </si>
  <si>
    <t>=IF($J1106="Item",NL("first",$J1106,"Description","No.","@@"&amp;$K1106),"")</t>
  </si>
  <si>
    <t>=D1106</t>
  </si>
  <si>
    <t>="""NAV Direct"",""CRONUS JetCorp USA"",""32"",""1"",""44524"""</t>
  </si>
  <si>
    <t>=IF($J1107="Customer",NL("first",$J1107,"Name","No.","@@"&amp;$K1107),"")</t>
  </si>
  <si>
    <t>=IF(J1107="vendor",NL("first",J1107,"Name","No.","@@"&amp;K1107),"")</t>
  </si>
  <si>
    <t>=IF($J1107="Item",NL("first",$J1107,"Description","No.","@@"&amp;$K1107),"")</t>
  </si>
  <si>
    <t>=D1107</t>
  </si>
  <si>
    <t>="""NAV Direct"",""CRONUS JetCorp USA"",""32"",""1"",""124532"""</t>
  </si>
  <si>
    <t>=IF($J1108="Customer",NL("first",$J1108,"Name","No.","@@"&amp;$K1108),"")</t>
  </si>
  <si>
    <t>=IF(J1108="vendor",NL("first",J1108,"Name","No.","@@"&amp;K1108),"")</t>
  </si>
  <si>
    <t>=IF($J1108="Item",NL("first",$J1108,"Description","No.","@@"&amp;$K1108),"")</t>
  </si>
  <si>
    <t>=D1108</t>
  </si>
  <si>
    <t>="""NAV Direct"",""CRONUS JetCorp USA"",""32"",""1"",""135823"""</t>
  </si>
  <si>
    <t>=IF($J1109="Customer",NL("first",$J1109,"Name","No.","@@"&amp;$K1109),"")</t>
  </si>
  <si>
    <t>=IF(J1109="vendor",NL("first",J1109,"Name","No.","@@"&amp;K1109),"")</t>
  </si>
  <si>
    <t>=IF($J1109="Item",NL("first",$J1109,"Description","No.","@@"&amp;$K1109),"")</t>
  </si>
  <si>
    <t>=D1109</t>
  </si>
  <si>
    <t>="""NAV Direct"",""CRONUS JetCorp USA"",""32"",""1"",""159985"""</t>
  </si>
  <si>
    <t>=IF($J1110="Customer",NL("first",$J1110,"Name","No.","@@"&amp;$K1110),"")</t>
  </si>
  <si>
    <t>=IF(J1110="vendor",NL("first",J1110,"Name","No.","@@"&amp;K1110),"")</t>
  </si>
  <si>
    <t>=IF($J1110="Item",NL("first",$J1110,"Description","No.","@@"&amp;$K1110),"")</t>
  </si>
  <si>
    <t>=D1110</t>
  </si>
  <si>
    <t>="""NAV Direct"",""CRONUS JetCorp USA"",""32"",""1"",""25294"""</t>
  </si>
  <si>
    <t>=IF($J1111="Customer",NL("first",$J1111,"Name","No.","@@"&amp;$K1111),"")</t>
  </si>
  <si>
    <t>=IF(J1111="vendor",NL("first",J1111,"Name","No.","@@"&amp;K1111),"")</t>
  </si>
  <si>
    <t>=IF($J1111="Item",NL("first",$J1111,"Description","No.","@@"&amp;$K1111),"")</t>
  </si>
  <si>
    <t>=D1111</t>
  </si>
  <si>
    <t>="""NAV Direct"",""CRONUS JetCorp USA"",""32"",""1"",""138728"""</t>
  </si>
  <si>
    <t>=IF($J1112="Customer",NL("first",$J1112,"Name","No.","@@"&amp;$K1112),"")</t>
  </si>
  <si>
    <t>=IF(J1112="vendor",NL("first",J1112,"Name","No.","@@"&amp;K1112),"")</t>
  </si>
  <si>
    <t>=IF($J1112="Item",NL("first",$J1112,"Description","No.","@@"&amp;$K1112),"")</t>
  </si>
  <si>
    <t>=E1115</t>
  </si>
  <si>
    <t>=NL("First","Item","Description","No.",$E1115)</t>
  </si>
  <si>
    <t>=NL("First","Item","Base Unit of Measure","No.",$E1115)</t>
  </si>
  <si>
    <t>=(SUBTOTAL(9,O1116:O1135))</t>
  </si>
  <si>
    <t>=(SUBTOTAL(9,P1116:P1135))</t>
  </si>
  <si>
    <t>=(SUBTOTAL(9,Q1116:Q1135))</t>
  </si>
  <si>
    <t>=(SUBTOTAL(9,R1116:R1135))</t>
  </si>
  <si>
    <t>=(SUBTOTAL(9,S1116:S1135))</t>
  </si>
  <si>
    <t>=(SUBTOTAL(9,T1116:T1135))</t>
  </si>
  <si>
    <t>=SUBTOTAL(9,O1116:T1135)</t>
  </si>
  <si>
    <t>=D1115</t>
  </si>
  <si>
    <t>=NL("Rows","Item Ledger Entry",,"+Posting Date",$L$5,"Item No.","@@"&amp;$D1116,"Location Code",$L$7)</t>
  </si>
  <si>
    <t>=IF($J1116="Customer",NL("first",$J1116,"Name","No.","@@"&amp;$K1116),"")</t>
  </si>
  <si>
    <t>=IF(J1116="vendor",NL("first",J1116,"Name","No.","@@"&amp;K1116),"")</t>
  </si>
  <si>
    <t>=IF($J1116="Item",NL("first",$J1116,"Description","No.","@@"&amp;$K1116),"")</t>
  </si>
  <si>
    <t>=D1116</t>
  </si>
  <si>
    <t>="""NAV Direct"",""CRONUS JetCorp USA"",""32"",""1"",""167558"""</t>
  </si>
  <si>
    <t>=IF($J1117="Customer",NL("first",$J1117,"Name","No.","@@"&amp;$K1117),"")</t>
  </si>
  <si>
    <t>=IF(J1117="vendor",NL("first",J1117,"Name","No.","@@"&amp;K1117),"")</t>
  </si>
  <si>
    <t>=IF($J1117="Item",NL("first",$J1117,"Description","No.","@@"&amp;$K1117),"")</t>
  </si>
  <si>
    <t>=D1117</t>
  </si>
  <si>
    <t>="""NAV Direct"",""CRONUS JetCorp USA"",""32"",""1"",""167577"""</t>
  </si>
  <si>
    <t>=IF($J1118="Customer",NL("first",$J1118,"Name","No.","@@"&amp;$K1118),"")</t>
  </si>
  <si>
    <t>=IF(J1118="vendor",NL("first",J1118,"Name","No.","@@"&amp;K1118),"")</t>
  </si>
  <si>
    <t>=IF($J1118="Item",NL("first",$J1118,"Description","No.","@@"&amp;$K1118),"")</t>
  </si>
  <si>
    <t>=D1118</t>
  </si>
  <si>
    <t>="""NAV Direct"",""CRONUS JetCorp USA"",""32"",""1"",""167593"""</t>
  </si>
  <si>
    <t>=IF($J1119="Customer",NL("first",$J1119,"Name","No.","@@"&amp;$K1119),"")</t>
  </si>
  <si>
    <t>=IF(J1119="vendor",NL("first",J1119,"Name","No.","@@"&amp;K1119),"")</t>
  </si>
  <si>
    <t>=IF($J1119="Item",NL("first",$J1119,"Description","No.","@@"&amp;$K1119),"")</t>
  </si>
  <si>
    <t>=D1119</t>
  </si>
  <si>
    <t>="""NAV Direct"",""CRONUS JetCorp USA"",""32"",""1"",""167606"""</t>
  </si>
  <si>
    <t>=IF($J1120="Customer",NL("first",$J1120,"Name","No.","@@"&amp;$K1120),"")</t>
  </si>
  <si>
    <t>=IF(J1120="vendor",NL("first",J1120,"Name","No.","@@"&amp;K1120),"")</t>
  </si>
  <si>
    <t>=IF($J1120="Item",NL("first",$J1120,"Description","No.","@@"&amp;$K1120),"")</t>
  </si>
  <si>
    <t>=D1120</t>
  </si>
  <si>
    <t>="""NAV Direct"",""CRONUS JetCorp USA"",""32"",""1"",""20374"""</t>
  </si>
  <si>
    <t>=IF($J1121="Customer",NL("first",$J1121,"Name","No.","@@"&amp;$K1121),"")</t>
  </si>
  <si>
    <t>=IF(J1121="vendor",NL("first",J1121,"Name","No.","@@"&amp;K1121),"")</t>
  </si>
  <si>
    <t>=IF($J1121="Item",NL("first",$J1121,"Description","No.","@@"&amp;$K1121),"")</t>
  </si>
  <si>
    <t>=D1121</t>
  </si>
  <si>
    <t>="""NAV Direct"",""CRONUS JetCorp USA"",""32"",""1"",""78842"""</t>
  </si>
  <si>
    <t>=IF($J1122="Customer",NL("first",$J1122,"Name","No.","@@"&amp;$K1122),"")</t>
  </si>
  <si>
    <t>=IF(J1122="vendor",NL("first",J1122,"Name","No.","@@"&amp;K1122),"")</t>
  </si>
  <si>
    <t>=IF($J1122="Item",NL("first",$J1122,"Description","No.","@@"&amp;$K1122),"")</t>
  </si>
  <si>
    <t>=D1122</t>
  </si>
  <si>
    <t>="""NAV Direct"",""CRONUS JetCorp USA"",""32"",""1"",""64579"""</t>
  </si>
  <si>
    <t>=IF($J1123="Customer",NL("first",$J1123,"Name","No.","@@"&amp;$K1123),"")</t>
  </si>
  <si>
    <t>=IF(J1123="vendor",NL("first",J1123,"Name","No.","@@"&amp;K1123),"")</t>
  </si>
  <si>
    <t>=IF($J1123="Item",NL("first",$J1123,"Description","No.","@@"&amp;$K1123),"")</t>
  </si>
  <si>
    <t>=D1123</t>
  </si>
  <si>
    <t>="""NAV Direct"",""CRONUS JetCorp USA"",""32"",""1"",""34323"""</t>
  </si>
  <si>
    <t>=IF($J1124="Customer",NL("first",$J1124,"Name","No.","@@"&amp;$K1124),"")</t>
  </si>
  <si>
    <t>=IF(J1124="vendor",NL("first",J1124,"Name","No.","@@"&amp;K1124),"")</t>
  </si>
  <si>
    <t>=IF($J1124="Item",NL("first",$J1124,"Description","No.","@@"&amp;$K1124),"")</t>
  </si>
  <si>
    <t>=D1124</t>
  </si>
  <si>
    <t>="""NAV Direct"",""CRONUS JetCorp USA"",""32"",""1"",""38083"""</t>
  </si>
  <si>
    <t>=IF($J1125="Customer",NL("first",$J1125,"Name","No.","@@"&amp;$K1125),"")</t>
  </si>
  <si>
    <t>=IF(J1125="vendor",NL("first",J1125,"Name","No.","@@"&amp;K1125),"")</t>
  </si>
  <si>
    <t>=IF($J1125="Item",NL("first",$J1125,"Description","No.","@@"&amp;$K1125),"")</t>
  </si>
  <si>
    <t>=D1125</t>
  </si>
  <si>
    <t>="""NAV Direct"",""CRONUS JetCorp USA"",""32"",""1"",""78880"""</t>
  </si>
  <si>
    <t>=IF($J1126="Customer",NL("first",$J1126,"Name","No.","@@"&amp;$K1126),"")</t>
  </si>
  <si>
    <t>=IF(J1126="vendor",NL("first",J1126,"Name","No.","@@"&amp;K1126),"")</t>
  </si>
  <si>
    <t>=IF($J1126="Item",NL("first",$J1126,"Description","No.","@@"&amp;$K1126),"")</t>
  </si>
  <si>
    <t>=D1126</t>
  </si>
  <si>
    <t>="""NAV Direct"",""CRONUS JetCorp USA"",""32"",""1"",""124558"""</t>
  </si>
  <si>
    <t>=IF($J1127="Customer",NL("first",$J1127,"Name","No.","@@"&amp;$K1127),"")</t>
  </si>
  <si>
    <t>=IF(J1127="vendor",NL("first",J1127,"Name","No.","@@"&amp;K1127),"")</t>
  </si>
  <si>
    <t>=IF($J1127="Item",NL("first",$J1127,"Description","No.","@@"&amp;$K1127),"")</t>
  </si>
  <si>
    <t>=D1127</t>
  </si>
  <si>
    <t>="""NAV Direct"",""CRONUS JetCorp USA"",""32"",""1"",""54703"""</t>
  </si>
  <si>
    <t>=IF($J1128="Customer",NL("first",$J1128,"Name","No.","@@"&amp;$K1128),"")</t>
  </si>
  <si>
    <t>=IF(J1128="vendor",NL("first",J1128,"Name","No.","@@"&amp;K1128),"")</t>
  </si>
  <si>
    <t>=IF($J1128="Item",NL("first",$J1128,"Description","No.","@@"&amp;$K1128),"")</t>
  </si>
  <si>
    <t>=D1128</t>
  </si>
  <si>
    <t>="""NAV Direct"",""CRONUS JetCorp USA"",""32"",""1"",""78888"""</t>
  </si>
  <si>
    <t>=IF($J1129="Customer",NL("first",$J1129,"Name","No.","@@"&amp;$K1129),"")</t>
  </si>
  <si>
    <t>=IF(J1129="vendor",NL("first",J1129,"Name","No.","@@"&amp;K1129),"")</t>
  </si>
  <si>
    <t>=IF($J1129="Item",NL("first",$J1129,"Description","No.","@@"&amp;$K1129),"")</t>
  </si>
  <si>
    <t>=D1129</t>
  </si>
  <si>
    <t>="""NAV Direct"",""CRONUS JetCorp USA"",""32"",""1"",""34336"""</t>
  </si>
  <si>
    <t>=IF($J1130="Customer",NL("first",$J1130,"Name","No.","@@"&amp;$K1130),"")</t>
  </si>
  <si>
    <t>=IF(J1130="vendor",NL("first",J1130,"Name","No.","@@"&amp;K1130),"")</t>
  </si>
  <si>
    <t>=IF($J1130="Item",NL("first",$J1130,"Description","No.","@@"&amp;$K1130),"")</t>
  </si>
  <si>
    <t>=D1130</t>
  </si>
  <si>
    <t>="""NAV Direct"",""CRONUS JetCorp USA"",""32"",""1"",""78868"""</t>
  </si>
  <si>
    <t>=IF($J1131="Customer",NL("first",$J1131,"Name","No.","@@"&amp;$K1131),"")</t>
  </si>
  <si>
    <t>=IF(J1131="vendor",NL("first",J1131,"Name","No.","@@"&amp;K1131),"")</t>
  </si>
  <si>
    <t>=IF($J1131="Item",NL("first",$J1131,"Description","No.","@@"&amp;$K1131),"")</t>
  </si>
  <si>
    <t>=D1131</t>
  </si>
  <si>
    <t>="""NAV Direct"",""CRONUS JetCorp USA"",""32"",""1"",""25290"""</t>
  </si>
  <si>
    <t>=IF($J1132="Customer",NL("first",$J1132,"Name","No.","@@"&amp;$K1132),"")</t>
  </si>
  <si>
    <t>=IF(J1132="vendor",NL("first",J1132,"Name","No.","@@"&amp;K1132),"")</t>
  </si>
  <si>
    <t>=IF($J1132="Item",NL("first",$J1132,"Description","No.","@@"&amp;$K1132),"")</t>
  </si>
  <si>
    <t>=D1132</t>
  </si>
  <si>
    <t>="""NAV Direct"",""CRONUS JetCorp USA"",""32"",""1"",""38088"""</t>
  </si>
  <si>
    <t>=IF($J1133="Customer",NL("first",$J1133,"Name","No.","@@"&amp;$K1133),"")</t>
  </si>
  <si>
    <t>=IF(J1133="vendor",NL("first",J1133,"Name","No.","@@"&amp;K1133),"")</t>
  </si>
  <si>
    <t>=IF($J1133="Item",NL("first",$J1133,"Description","No.","@@"&amp;$K1133),"")</t>
  </si>
  <si>
    <t>=D1133</t>
  </si>
  <si>
    <t>="""NAV Direct"",""CRONUS JetCorp USA"",""32"",""1"",""138730"""</t>
  </si>
  <si>
    <t>=IF($J1134="Customer",NL("first",$J1134,"Name","No.","@@"&amp;$K1134),"")</t>
  </si>
  <si>
    <t>=IF(J1134="vendor",NL("first",J1134,"Name","No.","@@"&amp;K1134),"")</t>
  </si>
  <si>
    <t>=IF($J1134="Item",NL("first",$J1134,"Description","No.","@@"&amp;$K1134),"")</t>
  </si>
  <si>
    <t>=E1137</t>
  </si>
  <si>
    <t>=NL("First","Item","Description","No.",$E1137)</t>
  </si>
  <si>
    <t>=NL("First","Item","Base Unit of Measure","No.",$E1137)</t>
  </si>
  <si>
    <t>=(SUBTOTAL(9,O1138:O1161))</t>
  </si>
  <si>
    <t>=(SUBTOTAL(9,P1138:P1161))</t>
  </si>
  <si>
    <t>=(SUBTOTAL(9,Q1138:Q1161))</t>
  </si>
  <si>
    <t>=(SUBTOTAL(9,R1138:R1161))</t>
  </si>
  <si>
    <t>=(SUBTOTAL(9,S1138:S1161))</t>
  </si>
  <si>
    <t>=(SUBTOTAL(9,T1138:T1161))</t>
  </si>
  <si>
    <t>=SUBTOTAL(9,O1138:T1161)</t>
  </si>
  <si>
    <t>=D1137</t>
  </si>
  <si>
    <t>=NL("Rows","Item Ledger Entry",,"+Posting Date",$L$5,"Item No.","@@"&amp;$D1138,"Location Code",$L$7)</t>
  </si>
  <si>
    <t>=IF($J1138="Customer",NL("first",$J1138,"Name","No.","@@"&amp;$K1138),"")</t>
  </si>
  <si>
    <t>=IF(J1138="vendor",NL("first",J1138,"Name","No.","@@"&amp;K1138),"")</t>
  </si>
  <si>
    <t>=IF($J1138="Item",NL("first",$J1138,"Description","No.","@@"&amp;$K1138),"")</t>
  </si>
  <si>
    <t>=D1138</t>
  </si>
  <si>
    <t>="""NAV Direct"",""CRONUS JetCorp USA"",""32"",""1"",""167514"""</t>
  </si>
  <si>
    <t>=IF($J1139="Customer",NL("first",$J1139,"Name","No.","@@"&amp;$K1139),"")</t>
  </si>
  <si>
    <t>=IF(J1139="vendor",NL("first",J1139,"Name","No.","@@"&amp;K1139),"")</t>
  </si>
  <si>
    <t>=IF($J1139="Item",NL("first",$J1139,"Description","No.","@@"&amp;$K1139),"")</t>
  </si>
  <si>
    <t>=D1139</t>
  </si>
  <si>
    <t>="""NAV Direct"",""CRONUS JetCorp USA"",""32"",""1"",""167532"""</t>
  </si>
  <si>
    <t>=IF($J1140="Customer",NL("first",$J1140,"Name","No.","@@"&amp;$K1140),"")</t>
  </si>
  <si>
    <t>=IF(J1140="vendor",NL("first",J1140,"Name","No.","@@"&amp;K1140),"")</t>
  </si>
  <si>
    <t>=IF($J1140="Item",NL("first",$J1140,"Description","No.","@@"&amp;$K1140),"")</t>
  </si>
  <si>
    <t>=D1140</t>
  </si>
  <si>
    <t>="""NAV Direct"",""CRONUS JetCorp USA"",""32"",""1"",""167557"""</t>
  </si>
  <si>
    <t>=IF($J1141="Customer",NL("first",$J1141,"Name","No.","@@"&amp;$K1141),"")</t>
  </si>
  <si>
    <t>=IF(J1141="vendor",NL("first",J1141,"Name","No.","@@"&amp;K1141),"")</t>
  </si>
  <si>
    <t>=IF($J1141="Item",NL("first",$J1141,"Description","No.","@@"&amp;$K1141),"")</t>
  </si>
  <si>
    <t>=D1141</t>
  </si>
  <si>
    <t>="""NAV Direct"",""CRONUS JetCorp USA"",""32"",""1"",""167576"""</t>
  </si>
  <si>
    <t>=IF($J1142="Customer",NL("first",$J1142,"Name","No.","@@"&amp;$K1142),"")</t>
  </si>
  <si>
    <t>=IF(J1142="vendor",NL("first",J1142,"Name","No.","@@"&amp;K1142),"")</t>
  </si>
  <si>
    <t>=IF($J1142="Item",NL("first",$J1142,"Description","No.","@@"&amp;$K1142),"")</t>
  </si>
  <si>
    <t>=D1142</t>
  </si>
  <si>
    <t>="""NAV Direct"",""CRONUS JetCorp USA"",""32"",""1"",""167592"""</t>
  </si>
  <si>
    <t>=IF($J1143="Customer",NL("first",$J1143,"Name","No.","@@"&amp;$K1143),"")</t>
  </si>
  <si>
    <t>=IF(J1143="vendor",NL("first",J1143,"Name","No.","@@"&amp;K1143),"")</t>
  </si>
  <si>
    <t>=IF($J1143="Item",NL("first",$J1143,"Description","No.","@@"&amp;$K1143),"")</t>
  </si>
  <si>
    <t>=D1143</t>
  </si>
  <si>
    <t>="""NAV Direct"",""CRONUS JetCorp USA"",""32"",""1"",""167605"""</t>
  </si>
  <si>
    <t>=IF($J1144="Customer",NL("first",$J1144,"Name","No.","@@"&amp;$K1144),"")</t>
  </si>
  <si>
    <t>=IF(J1144="vendor",NL("first",J1144,"Name","No.","@@"&amp;K1144),"")</t>
  </si>
  <si>
    <t>=IF($J1144="Item",NL("first",$J1144,"Description","No.","@@"&amp;$K1144),"")</t>
  </si>
  <si>
    <t>=D1144</t>
  </si>
  <si>
    <t>="""NAV Direct"",""CRONUS JetCorp USA"",""32"",""1"",""167621"""</t>
  </si>
  <si>
    <t>=IF($J1145="Customer",NL("first",$J1145,"Name","No.","@@"&amp;$K1145),"")</t>
  </si>
  <si>
    <t>=IF(J1145="vendor",NL("first",J1145,"Name","No.","@@"&amp;K1145),"")</t>
  </si>
  <si>
    <t>=IF($J1145="Item",NL("first",$J1145,"Description","No.","@@"&amp;$K1145),"")</t>
  </si>
  <si>
    <t>=D1145</t>
  </si>
  <si>
    <t>="""NAV Direct"",""CRONUS JetCorp USA"",""32"",""1"",""78846"""</t>
  </si>
  <si>
    <t>=IF($J1146="Customer",NL("first",$J1146,"Name","No.","@@"&amp;$K1146),"")</t>
  </si>
  <si>
    <t>=IF(J1146="vendor",NL("first",J1146,"Name","No.","@@"&amp;K1146),"")</t>
  </si>
  <si>
    <t>=IF($J1146="Item",NL("first",$J1146,"Description","No.","@@"&amp;$K1146),"")</t>
  </si>
  <si>
    <t>=D1146</t>
  </si>
  <si>
    <t>="""NAV Direct"",""CRONUS JetCorp USA"",""32"",""1"",""25242"""</t>
  </si>
  <si>
    <t>=IF($J1147="Customer",NL("first",$J1147,"Name","No.","@@"&amp;$K1147),"")</t>
  </si>
  <si>
    <t>=IF(J1147="vendor",NL("first",J1147,"Name","No.","@@"&amp;K1147),"")</t>
  </si>
  <si>
    <t>=IF($J1147="Item",NL("first",$J1147,"Description","No.","@@"&amp;$K1147),"")</t>
  </si>
  <si>
    <t>=D1147</t>
  </si>
  <si>
    <t>="""NAV Direct"",""CRONUS JetCorp USA"",""32"",""1"",""30036"""</t>
  </si>
  <si>
    <t>=IF($J1148="Customer",NL("first",$J1148,"Name","No.","@@"&amp;$K1148),"")</t>
  </si>
  <si>
    <t>=IF(J1148="vendor",NL("first",J1148,"Name","No.","@@"&amp;K1148),"")</t>
  </si>
  <si>
    <t>=IF($J1148="Item",NL("first",$J1148,"Description","No.","@@"&amp;$K1148),"")</t>
  </si>
  <si>
    <t>=D1148</t>
  </si>
  <si>
    <t>="""NAV Direct"",""CRONUS JetCorp USA"",""32"",""1"",""20339"""</t>
  </si>
  <si>
    <t>=IF($J1149="Customer",NL("first",$J1149,"Name","No.","@@"&amp;$K1149),"")</t>
  </si>
  <si>
    <t>=IF(J1149="vendor",NL("first",J1149,"Name","No.","@@"&amp;K1149),"")</t>
  </si>
  <si>
    <t>=IF($J1149="Item",NL("first",$J1149,"Description","No.","@@"&amp;$K1149),"")</t>
  </si>
  <si>
    <t>=D1149</t>
  </si>
  <si>
    <t>="""NAV Direct"",""CRONUS JetCorp USA"",""32"",""1"",""44483"""</t>
  </si>
  <si>
    <t>=IF($J1150="Customer",NL("first",$J1150,"Name","No.","@@"&amp;$K1150),"")</t>
  </si>
  <si>
    <t>=IF(J1150="vendor",NL("first",J1150,"Name","No.","@@"&amp;K1150),"")</t>
  </si>
  <si>
    <t>=IF($J1150="Item",NL("first",$J1150,"Description","No.","@@"&amp;$K1150),"")</t>
  </si>
  <si>
    <t>=D1150</t>
  </si>
  <si>
    <t>="""NAV Direct"",""CRONUS JetCorp USA"",""32"",""1"",""128875"""</t>
  </si>
  <si>
    <t>=IF($J1151="Customer",NL("first",$J1151,"Name","No.","@@"&amp;$K1151),"")</t>
  </si>
  <si>
    <t>=IF(J1151="vendor",NL("first",J1151,"Name","No.","@@"&amp;K1151),"")</t>
  </si>
  <si>
    <t>=IF($J1151="Item",NL("first",$J1151,"Description","No.","@@"&amp;$K1151),"")</t>
  </si>
  <si>
    <t>=D1151</t>
  </si>
  <si>
    <t>="""NAV Direct"",""CRONUS JetCorp USA"",""32"",""1"",""20388"""</t>
  </si>
  <si>
    <t>=IF($J1152="Customer",NL("first",$J1152,"Name","No.","@@"&amp;$K1152),"")</t>
  </si>
  <si>
    <t>=IF(J1152="vendor",NL("first",J1152,"Name","No.","@@"&amp;K1152),"")</t>
  </si>
  <si>
    <t>=IF($J1152="Item",NL("first",$J1152,"Description","No.","@@"&amp;$K1152),"")</t>
  </si>
  <si>
    <t>=D1152</t>
  </si>
  <si>
    <t>="""NAV Direct"",""CRONUS JetCorp USA"",""32"",""1"",""124547"""</t>
  </si>
  <si>
    <t>=IF($J1153="Customer",NL("first",$J1153,"Name","No.","@@"&amp;$K1153),"")</t>
  </si>
  <si>
    <t>=IF(J1153="vendor",NL("first",J1153,"Name","No.","@@"&amp;K1153),"")</t>
  </si>
  <si>
    <t>=IF($J1153="Item",NL("first",$J1153,"Description","No.","@@"&amp;$K1153),"")</t>
  </si>
  <si>
    <t>=D1153</t>
  </si>
  <si>
    <t>="""NAV Direct"",""CRONUS JetCorp USA"",""32"",""1"",""124529"""</t>
  </si>
  <si>
    <t>=IF($J1154="Customer",NL("first",$J1154,"Name","No.","@@"&amp;$K1154),"")</t>
  </si>
  <si>
    <t>=IF(J1154="vendor",NL("first",J1154,"Name","No.","@@"&amp;K1154),"")</t>
  </si>
  <si>
    <t>=IF($J1154="Item",NL("first",$J1154,"Description","No.","@@"&amp;$K1154),"")</t>
  </si>
  <si>
    <t>=D1154</t>
  </si>
  <si>
    <t>="""NAV Direct"",""CRONUS JetCorp USA"",""32"",""1"",""135822"""</t>
  </si>
  <si>
    <t>=IF($J1155="Customer",NL("first",$J1155,"Name","No.","@@"&amp;$K1155),"")</t>
  </si>
  <si>
    <t>=IF(J1155="vendor",NL("first",J1155,"Name","No.","@@"&amp;K1155),"")</t>
  </si>
  <si>
    <t>=IF($J1155="Item",NL("first",$J1155,"Description","No.","@@"&amp;$K1155),"")</t>
  </si>
  <si>
    <t>=D1155</t>
  </si>
  <si>
    <t>="""NAV Direct"",""CRONUS JetCorp USA"",""32"",""1"",""20357"""</t>
  </si>
  <si>
    <t>=IF($J1156="Customer",NL("first",$J1156,"Name","No.","@@"&amp;$K1156),"")</t>
  </si>
  <si>
    <t>=IF(J1156="vendor",NL("first",J1156,"Name","No.","@@"&amp;K1156),"")</t>
  </si>
  <si>
    <t>=IF($J1156="Item",NL("first",$J1156,"Description","No.","@@"&amp;$K1156),"")</t>
  </si>
  <si>
    <t>=D1156</t>
  </si>
  <si>
    <t>="""NAV Direct"",""CRONUS JetCorp USA"",""32"",""1"",""20416"""</t>
  </si>
  <si>
    <t>=IF($J1157="Customer",NL("first",$J1157,"Name","No.","@@"&amp;$K1157),"")</t>
  </si>
  <si>
    <t>=IF(J1157="vendor",NL("first",J1157,"Name","No.","@@"&amp;K1157),"")</t>
  </si>
  <si>
    <t>=IF($J1157="Item",NL("first",$J1157,"Description","No.","@@"&amp;$K1157),"")</t>
  </si>
  <si>
    <t>=D1157</t>
  </si>
  <si>
    <t>="""NAV Direct"",""CRONUS JetCorp USA"",""32"",""1"",""36485"""</t>
  </si>
  <si>
    <t>=IF($J1158="Customer",NL("first",$J1158,"Name","No.","@@"&amp;$K1158),"")</t>
  </si>
  <si>
    <t>=IF(J1158="vendor",NL("first",J1158,"Name","No.","@@"&amp;K1158),"")</t>
  </si>
  <si>
    <t>=IF($J1158="Item",NL("first",$J1158,"Description","No.","@@"&amp;$K1158),"")</t>
  </si>
  <si>
    <t>=D1158</t>
  </si>
  <si>
    <t>="""NAV Direct"",""CRONUS JetCorp USA"",""32"",""1"",""64617"""</t>
  </si>
  <si>
    <t>=IF($J1159="Customer",NL("first",$J1159,"Name","No.","@@"&amp;$K1159),"")</t>
  </si>
  <si>
    <t>=IF(J1159="vendor",NL("first",J1159,"Name","No.","@@"&amp;K1159),"")</t>
  </si>
  <si>
    <t>=IF($J1159="Item",NL("first",$J1159,"Description","No.","@@"&amp;$K1159),"")</t>
  </si>
  <si>
    <t>=D1159</t>
  </si>
  <si>
    <t>="""NAV Direct"",""CRONUS JetCorp USA"",""32"",""1"",""124593"""</t>
  </si>
  <si>
    <t>=IF($J1160="Customer",NL("first",$J1160,"Name","No.","@@"&amp;$K1160),"")</t>
  </si>
  <si>
    <t>=IF(J1160="vendor",NL("first",J1160,"Name","No.","@@"&amp;K1160),"")</t>
  </si>
  <si>
    <t>=IF($J1160="Item",NL("first",$J1160,"Description","No.","@@"&amp;$K1160),"")</t>
  </si>
  <si>
    <t>=E1163</t>
  </si>
  <si>
    <t>=NL("First","Item","Description","No.",$E1163)</t>
  </si>
  <si>
    <t>=NL("First","Item","Base Unit of Measure","No.",$E1163)</t>
  </si>
  <si>
    <t>=(SUBTOTAL(9,O1164:O1185))</t>
  </si>
  <si>
    <t>=(SUBTOTAL(9,P1164:P1185))</t>
  </si>
  <si>
    <t>=(SUBTOTAL(9,Q1164:Q1185))</t>
  </si>
  <si>
    <t>=(SUBTOTAL(9,R1164:R1185))</t>
  </si>
  <si>
    <t>=(SUBTOTAL(9,S1164:S1185))</t>
  </si>
  <si>
    <t>=(SUBTOTAL(9,T1164:T1185))</t>
  </si>
  <si>
    <t>=SUBTOTAL(9,O1164:T1185)</t>
  </si>
  <si>
    <t>=D1163</t>
  </si>
  <si>
    <t>=NL("Rows","Item Ledger Entry",,"+Posting Date",$L$5,"Item No.","@@"&amp;$D1164,"Location Code",$L$7)</t>
  </si>
  <si>
    <t>=IF($J1164="Customer",NL("first",$J1164,"Name","No.","@@"&amp;$K1164),"")</t>
  </si>
  <si>
    <t>=IF(J1164="vendor",NL("first",J1164,"Name","No.","@@"&amp;K1164),"")</t>
  </si>
  <si>
    <t>=IF($J1164="Item",NL("first",$J1164,"Description","No.","@@"&amp;$K1164),"")</t>
  </si>
  <si>
    <t>=D1164</t>
  </si>
  <si>
    <t>="""NAV Direct"",""CRONUS JetCorp USA"",""32"",""1"",""167531"""</t>
  </si>
  <si>
    <t>=IF($J1165="Customer",NL("first",$J1165,"Name","No.","@@"&amp;$K1165),"")</t>
  </si>
  <si>
    <t>=IF(J1165="vendor",NL("first",J1165,"Name","No.","@@"&amp;K1165),"")</t>
  </si>
  <si>
    <t>=IF($J1165="Item",NL("first",$J1165,"Description","No.","@@"&amp;$K1165),"")</t>
  </si>
  <si>
    <t>=D1165</t>
  </si>
  <si>
    <t>="""NAV Direct"",""CRONUS JetCorp USA"",""32"",""1"",""167556"""</t>
  </si>
  <si>
    <t>=IF($J1166="Customer",NL("first",$J1166,"Name","No.","@@"&amp;$K1166),"")</t>
  </si>
  <si>
    <t>=IF(J1166="vendor",NL("first",J1166,"Name","No.","@@"&amp;K1166),"")</t>
  </si>
  <si>
    <t>=IF($J1166="Item",NL("first",$J1166,"Description","No.","@@"&amp;$K1166),"")</t>
  </si>
  <si>
    <t>=D1166</t>
  </si>
  <si>
    <t>="""NAV Direct"",""CRONUS JetCorp USA"",""32"",""1"",""167575"""</t>
  </si>
  <si>
    <t>=IF($J1167="Customer",NL("first",$J1167,"Name","No.","@@"&amp;$K1167),"")</t>
  </si>
  <si>
    <t>=IF(J1167="vendor",NL("first",J1167,"Name","No.","@@"&amp;K1167),"")</t>
  </si>
  <si>
    <t>=IF($J1167="Item",NL("first",$J1167,"Description","No.","@@"&amp;$K1167),"")</t>
  </si>
  <si>
    <t>=D1167</t>
  </si>
  <si>
    <t>="""NAV Direct"",""CRONUS JetCorp USA"",""32"",""1"",""167591"""</t>
  </si>
  <si>
    <t>=IF($J1168="Customer",NL("first",$J1168,"Name","No.","@@"&amp;$K1168),"")</t>
  </si>
  <si>
    <t>=IF(J1168="vendor",NL("first",J1168,"Name","No.","@@"&amp;K1168),"")</t>
  </si>
  <si>
    <t>=IF($J1168="Item",NL("first",$J1168,"Description","No.","@@"&amp;$K1168),"")</t>
  </si>
  <si>
    <t>=D1168</t>
  </si>
  <si>
    <t>="""NAV Direct"",""CRONUS JetCorp USA"",""32"",""1"",""167604"""</t>
  </si>
  <si>
    <t>=IF($J1169="Customer",NL("first",$J1169,"Name","No.","@@"&amp;$K1169),"")</t>
  </si>
  <si>
    <t>=IF(J1169="vendor",NL("first",J1169,"Name","No.","@@"&amp;K1169),"")</t>
  </si>
  <si>
    <t>=IF($J1169="Item",NL("first",$J1169,"Description","No.","@@"&amp;$K1169),"")</t>
  </si>
  <si>
    <t>=D1169</t>
  </si>
  <si>
    <t>="""NAV Direct"",""CRONUS JetCorp USA"",""32"",""1"",""167620"""</t>
  </si>
  <si>
    <t>=IF($J1170="Customer",NL("first",$J1170,"Name","No.","@@"&amp;$K1170),"")</t>
  </si>
  <si>
    <t>=IF(J1170="vendor",NL("first",J1170,"Name","No.","@@"&amp;K1170),"")</t>
  </si>
  <si>
    <t>=IF($J1170="Item",NL("first",$J1170,"Description","No.","@@"&amp;$K1170),"")</t>
  </si>
  <si>
    <t>=D1170</t>
  </si>
  <si>
    <t>="""NAV Direct"",""CRONUS JetCorp USA"",""32"",""1"",""132516"""</t>
  </si>
  <si>
    <t>=IF($J1171="Customer",NL("first",$J1171,"Name","No.","@@"&amp;$K1171),"")</t>
  </si>
  <si>
    <t>=IF(J1171="vendor",NL("first",J1171,"Name","No.","@@"&amp;K1171),"")</t>
  </si>
  <si>
    <t>=IF($J1171="Item",NL("first",$J1171,"Description","No.","@@"&amp;$K1171),"")</t>
  </si>
  <si>
    <t>=D1171</t>
  </si>
  <si>
    <t>="""NAV Direct"",""CRONUS JetCorp USA"",""32"",""1"",""153169"""</t>
  </si>
  <si>
    <t>=IF($J1172="Customer",NL("first",$J1172,"Name","No.","@@"&amp;$K1172),"")</t>
  </si>
  <si>
    <t>=IF(J1172="vendor",NL("first",J1172,"Name","No.","@@"&amp;K1172),"")</t>
  </si>
  <si>
    <t>=IF($J1172="Item",NL("first",$J1172,"Description","No.","@@"&amp;$K1172),"")</t>
  </si>
  <si>
    <t>=D1172</t>
  </si>
  <si>
    <t>="""NAV Direct"",""CRONUS JetCorp USA"",""32"",""1"",""30041"""</t>
  </si>
  <si>
    <t>=IF($J1173="Customer",NL("first",$J1173,"Name","No.","@@"&amp;$K1173),"")</t>
  </si>
  <si>
    <t>=IF(J1173="vendor",NL("first",J1173,"Name","No.","@@"&amp;K1173),"")</t>
  </si>
  <si>
    <t>=IF($J1173="Item",NL("first",$J1173,"Description","No.","@@"&amp;$K1173),"")</t>
  </si>
  <si>
    <t>=D1173</t>
  </si>
  <si>
    <t>="""NAV Direct"",""CRONUS JetCorp USA"",""32"",""1"",""72519"""</t>
  </si>
  <si>
    <t>=IF($J1174="Customer",NL("first",$J1174,"Name","No.","@@"&amp;$K1174),"")</t>
  </si>
  <si>
    <t>=IF(J1174="vendor",NL("first",J1174,"Name","No.","@@"&amp;K1174),"")</t>
  </si>
  <si>
    <t>=IF($J1174="Item",NL("first",$J1174,"Description","No.","@@"&amp;$K1174),"")</t>
  </si>
  <si>
    <t>=D1174</t>
  </si>
  <si>
    <t>="""NAV Direct"",""CRONUS JetCorp USA"",""32"",""1"",""54733"""</t>
  </si>
  <si>
    <t>=IF($J1175="Customer",NL("first",$J1175,"Name","No.","@@"&amp;$K1175),"")</t>
  </si>
  <si>
    <t>=IF(J1175="vendor",NL("first",J1175,"Name","No.","@@"&amp;K1175),"")</t>
  </si>
  <si>
    <t>=IF($J1175="Item",NL("first",$J1175,"Description","No.","@@"&amp;$K1175),"")</t>
  </si>
  <si>
    <t>=D1175</t>
  </si>
  <si>
    <t>="""NAV Direct"",""CRONUS JetCorp USA"",""32"",""1"",""34313"""</t>
  </si>
  <si>
    <t>=IF($J1176="Customer",NL("first",$J1176,"Name","No.","@@"&amp;$K1176),"")</t>
  </si>
  <si>
    <t>=IF(J1176="vendor",NL("first",J1176,"Name","No.","@@"&amp;K1176),"")</t>
  </si>
  <si>
    <t>=IF($J1176="Item",NL("first",$J1176,"Description","No.","@@"&amp;$K1176),"")</t>
  </si>
  <si>
    <t>=D1176</t>
  </si>
  <si>
    <t>="""NAV Direct"",""CRONUS JetCorp USA"",""32"",""1"",""44530"""</t>
  </si>
  <si>
    <t>=IF($J1177="Customer",NL("first",$J1177,"Name","No.","@@"&amp;$K1177),"")</t>
  </si>
  <si>
    <t>=IF(J1177="vendor",NL("first",J1177,"Name","No.","@@"&amp;K1177),"")</t>
  </si>
  <si>
    <t>=IF($J1177="Item",NL("first",$J1177,"Description","No.","@@"&amp;$K1177),"")</t>
  </si>
  <si>
    <t>=D1177</t>
  </si>
  <si>
    <t>="""NAV Direct"",""CRONUS JetCorp USA"",""32"",""1"",""124554"""</t>
  </si>
  <si>
    <t>=IF($J1178="Customer",NL("first",$J1178,"Name","No.","@@"&amp;$K1178),"")</t>
  </si>
  <si>
    <t>=IF(J1178="vendor",NL("first",J1178,"Name","No.","@@"&amp;K1178),"")</t>
  </si>
  <si>
    <t>=IF($J1178="Item",NL("first",$J1178,"Description","No.","@@"&amp;$K1178),"")</t>
  </si>
  <si>
    <t>=D1178</t>
  </si>
  <si>
    <t>="""NAV Direct"",""CRONUS JetCorp USA"",""32"",""1"",""30064"""</t>
  </si>
  <si>
    <t>=IF($J1179="Customer",NL("first",$J1179,"Name","No.","@@"&amp;$K1179),"")</t>
  </si>
  <si>
    <t>=IF(J1179="vendor",NL("first",J1179,"Name","No.","@@"&amp;K1179),"")</t>
  </si>
  <si>
    <t>=IF($J1179="Item",NL("first",$J1179,"Description","No.","@@"&amp;$K1179),"")</t>
  </si>
  <si>
    <t>=D1179</t>
  </si>
  <si>
    <t>="""NAV Direct"",""CRONUS JetCorp USA"",""32"",""1"",""124535"""</t>
  </si>
  <si>
    <t>=IF($J1180="Customer",NL("first",$J1180,"Name","No.","@@"&amp;$K1180),"")</t>
  </si>
  <si>
    <t>=IF(J1180="vendor",NL("first",J1180,"Name","No.","@@"&amp;K1180),"")</t>
  </si>
  <si>
    <t>=IF($J1180="Item",NL("first",$J1180,"Description","No.","@@"&amp;$K1180),"")</t>
  </si>
  <si>
    <t>=D1180</t>
  </si>
  <si>
    <t>="""NAV Direct"",""CRONUS JetCorp USA"",""32"",""1"",""135818"""</t>
  </si>
  <si>
    <t>=IF($J1181="Customer",NL("first",$J1181,"Name","No.","@@"&amp;$K1181),"")</t>
  </si>
  <si>
    <t>=IF(J1181="vendor",NL("first",J1181,"Name","No.","@@"&amp;K1181),"")</t>
  </si>
  <si>
    <t>=IF($J1181="Item",NL("first",$J1181,"Description","No.","@@"&amp;$K1181),"")</t>
  </si>
  <si>
    <t>=D1181</t>
  </si>
  <si>
    <t>="""NAV Direct"",""CRONUS JetCorp USA"",""32"",""1"",""64624"""</t>
  </si>
  <si>
    <t>=IF($J1182="Customer",NL("first",$J1182,"Name","No.","@@"&amp;$K1182),"")</t>
  </si>
  <si>
    <t>=IF(J1182="vendor",NL("first",J1182,"Name","No.","@@"&amp;K1182),"")</t>
  </si>
  <si>
    <t>=IF($J1182="Item",NL("first",$J1182,"Description","No.","@@"&amp;$K1182),"")</t>
  </si>
  <si>
    <t>=D1182</t>
  </si>
  <si>
    <t>="""NAV Direct"",""CRONUS JetCorp USA"",""32"",""1"",""124595"""</t>
  </si>
  <si>
    <t>=IF($J1183="Customer",NL("first",$J1183,"Name","No.","@@"&amp;$K1183),"")</t>
  </si>
  <si>
    <t>=IF(J1183="vendor",NL("first",J1183,"Name","No.","@@"&amp;K1183),"")</t>
  </si>
  <si>
    <t>=IF($J1183="Item",NL("first",$J1183,"Description","No.","@@"&amp;$K1183),"")</t>
  </si>
  <si>
    <t>=D1183</t>
  </si>
  <si>
    <t>="""NAV Direct"",""CRONUS JetCorp USA"",""32"",""1"",""132526"""</t>
  </si>
  <si>
    <t>=IF($J1184="Customer",NL("first",$J1184,"Name","No.","@@"&amp;$K1184),"")</t>
  </si>
  <si>
    <t>=IF(J1184="vendor",NL("first",J1184,"Name","No.","@@"&amp;K1184),"")</t>
  </si>
  <si>
    <t>=IF($J1184="Item",NL("first",$J1184,"Description","No.","@@"&amp;$K1184),"")</t>
  </si>
  <si>
    <t>=E1187</t>
  </si>
  <si>
    <t>=NL("First","Item","Description","No.",$E1187)</t>
  </si>
  <si>
    <t>=NL("First","Item","Base Unit of Measure","No.",$E1187)</t>
  </si>
  <si>
    <t>=(SUBTOTAL(9,O1188:O1230))</t>
  </si>
  <si>
    <t>=(SUBTOTAL(9,P1188:P1230))</t>
  </si>
  <si>
    <t>=(SUBTOTAL(9,Q1188:Q1230))</t>
  </si>
  <si>
    <t>=(SUBTOTAL(9,R1188:R1230))</t>
  </si>
  <si>
    <t>=(SUBTOTAL(9,S1188:S1230))</t>
  </si>
  <si>
    <t>=(SUBTOTAL(9,T1188:T1230))</t>
  </si>
  <si>
    <t>=SUBTOTAL(9,O1188:T1230)</t>
  </si>
  <si>
    <t>=D1187</t>
  </si>
  <si>
    <t>=NL("Rows","Item Ledger Entry",,"+Posting Date",$L$5,"Item No.","@@"&amp;$D1188,"Location Code",$L$7)</t>
  </si>
  <si>
    <t>=IF($J1188="Customer",NL("first",$J1188,"Name","No.","@@"&amp;$K1188),"")</t>
  </si>
  <si>
    <t>=IF(J1188="vendor",NL("first",J1188,"Name","No.","@@"&amp;K1188),"")</t>
  </si>
  <si>
    <t>=IF($J1188="Item",NL("first",$J1188,"Description","No.","@@"&amp;$K1188),"")</t>
  </si>
  <si>
    <t>=D1188</t>
  </si>
  <si>
    <t>="""NAV Direct"",""CRONUS JetCorp USA"",""32"",""1"",""167530"""</t>
  </si>
  <si>
    <t>=IF($J1189="Customer",NL("first",$J1189,"Name","No.","@@"&amp;$K1189),"")</t>
  </si>
  <si>
    <t>=IF(J1189="vendor",NL("first",J1189,"Name","No.","@@"&amp;K1189),"")</t>
  </si>
  <si>
    <t>=IF($J1189="Item",NL("first",$J1189,"Description","No.","@@"&amp;$K1189),"")</t>
  </si>
  <si>
    <t>=D1189</t>
  </si>
  <si>
    <t>="""NAV Direct"",""CRONUS JetCorp USA"",""32"",""1"",""167544"""</t>
  </si>
  <si>
    <t>=IF($J1190="Customer",NL("first",$J1190,"Name","No.","@@"&amp;$K1190),"")</t>
  </si>
  <si>
    <t>=IF(J1190="vendor",NL("first",J1190,"Name","No.","@@"&amp;K1190),"")</t>
  </si>
  <si>
    <t>=IF($J1190="Item",NL("first",$J1190,"Description","No.","@@"&amp;$K1190),"")</t>
  </si>
  <si>
    <t>=D1190</t>
  </si>
  <si>
    <t>="""NAV Direct"",""CRONUS JetCorp USA"",""32"",""1"",""167555"""</t>
  </si>
  <si>
    <t>=IF($J1191="Customer",NL("first",$J1191,"Name","No.","@@"&amp;$K1191),"")</t>
  </si>
  <si>
    <t>=IF(J1191="vendor",NL("first",J1191,"Name","No.","@@"&amp;K1191),"")</t>
  </si>
  <si>
    <t>=IF($J1191="Item",NL("first",$J1191,"Description","No.","@@"&amp;$K1191),"")</t>
  </si>
  <si>
    <t>=D1191</t>
  </si>
  <si>
    <t>="""NAV Direct"",""CRONUS JetCorp USA"",""32"",""1"",""167574"""</t>
  </si>
  <si>
    <t>=IF($J1192="Customer",NL("first",$J1192,"Name","No.","@@"&amp;$K1192),"")</t>
  </si>
  <si>
    <t>=IF(J1192="vendor",NL("first",J1192,"Name","No.","@@"&amp;K1192),"")</t>
  </si>
  <si>
    <t>=IF($J1192="Item",NL("first",$J1192,"Description","No.","@@"&amp;$K1192),"")</t>
  </si>
  <si>
    <t>=D1192</t>
  </si>
  <si>
    <t>="""NAV Direct"",""CRONUS JetCorp USA"",""32"",""1"",""167590"""</t>
  </si>
  <si>
    <t>=IF($J1193="Customer",NL("first",$J1193,"Name","No.","@@"&amp;$K1193),"")</t>
  </si>
  <si>
    <t>=IF(J1193="vendor",NL("first",J1193,"Name","No.","@@"&amp;K1193),"")</t>
  </si>
  <si>
    <t>=IF($J1193="Item",NL("first",$J1193,"Description","No.","@@"&amp;$K1193),"")</t>
  </si>
  <si>
    <t>=D1193</t>
  </si>
  <si>
    <t>="""NAV Direct"",""CRONUS JetCorp USA"",""32"",""1"",""167603"""</t>
  </si>
  <si>
    <t>=IF($J1194="Customer",NL("first",$J1194,"Name","No.","@@"&amp;$K1194),"")</t>
  </si>
  <si>
    <t>=IF(J1194="vendor",NL("first",J1194,"Name","No.","@@"&amp;K1194),"")</t>
  </si>
  <si>
    <t>=IF($J1194="Item",NL("first",$J1194,"Description","No.","@@"&amp;$K1194),"")</t>
  </si>
  <si>
    <t>=D1194</t>
  </si>
  <si>
    <t>="""NAV Direct"",""CRONUS JetCorp USA"",""32"",""1"",""167619"""</t>
  </si>
  <si>
    <t>=IF($J1195="Customer",NL("first",$J1195,"Name","No.","@@"&amp;$K1195),"")</t>
  </si>
  <si>
    <t>=IF(J1195="vendor",NL("first",J1195,"Name","No.","@@"&amp;K1195),"")</t>
  </si>
  <si>
    <t>=IF($J1195="Item",NL("first",$J1195,"Description","No.","@@"&amp;$K1195),"")</t>
  </si>
  <si>
    <t>=D1195</t>
  </si>
  <si>
    <t>="""NAV Direct"",""CRONUS JetCorp USA"",""32"",""1"",""3892"""</t>
  </si>
  <si>
    <t>=IF($J1196="Customer",NL("first",$J1196,"Name","No.","@@"&amp;$K1196),"")</t>
  </si>
  <si>
    <t>=IF(J1196="vendor",NL("first",J1196,"Name","No.","@@"&amp;K1196),"")</t>
  </si>
  <si>
    <t>=IF($J1196="Item",NL("first",$J1196,"Description","No.","@@"&amp;$K1196),"")</t>
  </si>
  <si>
    <t>=D1196</t>
  </si>
  <si>
    <t>="""NAV Direct"",""CRONUS JetCorp USA"",""32"",""1"",""120186"""</t>
  </si>
  <si>
    <t>=IF($J1197="Customer",NL("first",$J1197,"Name","No.","@@"&amp;$K1197),"")</t>
  </si>
  <si>
    <t>=IF(J1197="vendor",NL("first",J1197,"Name","No.","@@"&amp;K1197),"")</t>
  </si>
  <si>
    <t>=IF($J1197="Item",NL("first",$J1197,"Description","No.","@@"&amp;$K1197),"")</t>
  </si>
  <si>
    <t>=D1197</t>
  </si>
  <si>
    <t>="""NAV Direct"",""CRONUS JetCorp USA"",""32"",""1"",""78850"""</t>
  </si>
  <si>
    <t>=IF($J1198="Customer",NL("first",$J1198,"Name","No.","@@"&amp;$K1198),"")</t>
  </si>
  <si>
    <t>=IF(J1198="vendor",NL("first",J1198,"Name","No.","@@"&amp;K1198),"")</t>
  </si>
  <si>
    <t>=IF($J1198="Item",NL("first",$J1198,"Description","No.","@@"&amp;$K1198),"")</t>
  </si>
  <si>
    <t>=D1198</t>
  </si>
  <si>
    <t>="""NAV Direct"",""CRONUS JetCorp USA"",""32"",""1"",""111294"""</t>
  </si>
  <si>
    <t>=IF($J1199="Customer",NL("first",$J1199,"Name","No.","@@"&amp;$K1199),"")</t>
  </si>
  <si>
    <t>=IF(J1199="vendor",NL("first",J1199,"Name","No.","@@"&amp;K1199),"")</t>
  </si>
  <si>
    <t>=IF($J1199="Item",NL("first",$J1199,"Description","No.","@@"&amp;$K1199),"")</t>
  </si>
  <si>
    <t>=D1199</t>
  </si>
  <si>
    <t>="""NAV Direct"",""CRONUS JetCorp USA"",""32"",""1"",""10228"""</t>
  </si>
  <si>
    <t>=IF($J1200="Customer",NL("first",$J1200,"Name","No.","@@"&amp;$K1200),"")</t>
  </si>
  <si>
    <t>=IF(J1200="vendor",NL("first",J1200,"Name","No.","@@"&amp;K1200),"")</t>
  </si>
  <si>
    <t>=IF($J1200="Item",NL("first",$J1200,"Description","No.","@@"&amp;$K1200),"")</t>
  </si>
  <si>
    <t>=D1200</t>
  </si>
  <si>
    <t>="""NAV Direct"",""CRONUS JetCorp USA"",""32"",""1"",""12463"""</t>
  </si>
  <si>
    <t>=IF($J1201="Customer",NL("first",$J1201,"Name","No.","@@"&amp;$K1201),"")</t>
  </si>
  <si>
    <t>=IF(J1201="vendor",NL("first",J1201,"Name","No.","@@"&amp;K1201),"")</t>
  </si>
  <si>
    <t>=IF($J1201="Item",NL("first",$J1201,"Description","No.","@@"&amp;$K1201),"")</t>
  </si>
  <si>
    <t>=D1201</t>
  </si>
  <si>
    <t>="""NAV Direct"",""CRONUS JetCorp USA"",""32"",""1"",""15155"""</t>
  </si>
  <si>
    <t>=IF($J1202="Customer",NL("first",$J1202,"Name","No.","@@"&amp;$K1202),"")</t>
  </si>
  <si>
    <t>=IF(J1202="vendor",NL("first",J1202,"Name","No.","@@"&amp;K1202),"")</t>
  </si>
  <si>
    <t>=IF($J1202="Item",NL("first",$J1202,"Description","No.","@@"&amp;$K1202),"")</t>
  </si>
  <si>
    <t>=D1202</t>
  </si>
  <si>
    <t>="""NAV Direct"",""CRONUS JetCorp USA"",""32"",""1"",""25249"""</t>
  </si>
  <si>
    <t>=IF($J1203="Customer",NL("first",$J1203,"Name","No.","@@"&amp;$K1203),"")</t>
  </si>
  <si>
    <t>=IF(J1203="vendor",NL("first",J1203,"Name","No.","@@"&amp;K1203),"")</t>
  </si>
  <si>
    <t>=IF($J1203="Item",NL("first",$J1203,"Description","No.","@@"&amp;$K1203),"")</t>
  </si>
  <si>
    <t>=D1203</t>
  </si>
  <si>
    <t>="""NAV Direct"",""CRONUS JetCorp USA"",""32"",""1"",""30040"""</t>
  </si>
  <si>
    <t>=IF($J1204="Customer",NL("first",$J1204,"Name","No.","@@"&amp;$K1204),"")</t>
  </si>
  <si>
    <t>=IF(J1204="vendor",NL("first",J1204,"Name","No.","@@"&amp;K1204),"")</t>
  </si>
  <si>
    <t>=IF($J1204="Item",NL("first",$J1204,"Description","No.","@@"&amp;$K1204),"")</t>
  </si>
  <si>
    <t>=D1204</t>
  </si>
  <si>
    <t>="""NAV Direct"",""CRONUS JetCorp USA"",""32"",""1"",""20342"""</t>
  </si>
  <si>
    <t>=IF($J1205="Customer",NL("first",$J1205,"Name","No.","@@"&amp;$K1205),"")</t>
  </si>
  <si>
    <t>=IF(J1205="vendor",NL("first",J1205,"Name","No.","@@"&amp;K1205),"")</t>
  </si>
  <si>
    <t>=IF($J1205="Item",NL("first",$J1205,"Description","No.","@@"&amp;$K1205),"")</t>
  </si>
  <si>
    <t>=D1205</t>
  </si>
  <si>
    <t>="""NAV Direct"",""CRONUS JetCorp USA"",""32"",""1"",""25257"""</t>
  </si>
  <si>
    <t>=IF($J1206="Customer",NL("first",$J1206,"Name","No.","@@"&amp;$K1206),"")</t>
  </si>
  <si>
    <t>=IF(J1206="vendor",NL("first",J1206,"Name","No.","@@"&amp;K1206),"")</t>
  </si>
  <si>
    <t>=IF($J1206="Item",NL("first",$J1206,"Description","No.","@@"&amp;$K1206),"")</t>
  </si>
  <si>
    <t>=D1206</t>
  </si>
  <si>
    <t>="""NAV Direct"",""CRONUS JetCorp USA"",""32"",""1"",""54737"""</t>
  </si>
  <si>
    <t>=IF($J1207="Customer",NL("first",$J1207,"Name","No.","@@"&amp;$K1207),"")</t>
  </si>
  <si>
    <t>=IF(J1207="vendor",NL("first",J1207,"Name","No.","@@"&amp;K1207),"")</t>
  </si>
  <si>
    <t>=IF($J1207="Item",NL("first",$J1207,"Description","No.","@@"&amp;$K1207),"")</t>
  </si>
  <si>
    <t>=D1207</t>
  </si>
  <si>
    <t>="""NAV Direct"",""CRONUS JetCorp USA"",""32"",""1"",""64610"""</t>
  </si>
  <si>
    <t>=IF($J1208="Customer",NL("first",$J1208,"Name","No.","@@"&amp;$K1208),"")</t>
  </si>
  <si>
    <t>=IF(J1208="vendor",NL("first",J1208,"Name","No.","@@"&amp;K1208),"")</t>
  </si>
  <si>
    <t>=IF($J1208="Item",NL("first",$J1208,"Description","No.","@@"&amp;$K1208),"")</t>
  </si>
  <si>
    <t>=D1208</t>
  </si>
  <si>
    <t>="""NAV Direct"",""CRONUS JetCorp USA"",""32"",""1"",""111286"""</t>
  </si>
  <si>
    <t>=IF($J1209="Customer",NL("first",$J1209,"Name","No.","@@"&amp;$K1209),"")</t>
  </si>
  <si>
    <t>=IF(J1209="vendor",NL("first",J1209,"Name","No.","@@"&amp;K1209),"")</t>
  </si>
  <si>
    <t>=IF($J1209="Item",NL("first",$J1209,"Description","No.","@@"&amp;$K1209),"")</t>
  </si>
  <si>
    <t>=D1209</t>
  </si>
  <si>
    <t>="""NAV Direct"",""CRONUS JetCorp USA"",""32"",""1"",""111317"""</t>
  </si>
  <si>
    <t>=IF($J1210="Customer",NL("first",$J1210,"Name","No.","@@"&amp;$K1210),"")</t>
  </si>
  <si>
    <t>=IF(J1210="vendor",NL("first",J1210,"Name","No.","@@"&amp;K1210),"")</t>
  </si>
  <si>
    <t>=IF($J1210="Item",NL("first",$J1210,"Description","No.","@@"&amp;$K1210),"")</t>
  </si>
  <si>
    <t>=D1210</t>
  </si>
  <si>
    <t>="""NAV Direct"",""CRONUS JetCorp USA"",""32"",""1"",""116374"""</t>
  </si>
  <si>
    <t>=IF($J1211="Customer",NL("first",$J1211,"Name","No.","@@"&amp;$K1211),"")</t>
  </si>
  <si>
    <t>=IF(J1211="vendor",NL("first",J1211,"Name","No.","@@"&amp;K1211),"")</t>
  </si>
  <si>
    <t>=IF($J1211="Item",NL("first",$J1211,"Description","No.","@@"&amp;$K1211),"")</t>
  </si>
  <si>
    <t>=D1211</t>
  </si>
  <si>
    <t>="""NAV Direct"",""CRONUS JetCorp USA"",""32"",""1"",""128881"""</t>
  </si>
  <si>
    <t>=IF($J1212="Customer",NL("first",$J1212,"Name","No.","@@"&amp;$K1212),"")</t>
  </si>
  <si>
    <t>=IF(J1212="vendor",NL("first",J1212,"Name","No.","@@"&amp;K1212),"")</t>
  </si>
  <si>
    <t>=IF($J1212="Item",NL("first",$J1212,"Description","No.","@@"&amp;$K1212),"")</t>
  </si>
  <si>
    <t>=D1212</t>
  </si>
  <si>
    <t>="""NAV Direct"",""CRONUS JetCorp USA"",""32"",""1"",""142554"""</t>
  </si>
  <si>
    <t>=IF($J1213="Customer",NL("first",$J1213,"Name","No.","@@"&amp;$K1213),"")</t>
  </si>
  <si>
    <t>=IF(J1213="vendor",NL("first",J1213,"Name","No.","@@"&amp;K1213),"")</t>
  </si>
  <si>
    <t>=IF($J1213="Item",NL("first",$J1213,"Description","No.","@@"&amp;$K1213),"")</t>
  </si>
  <si>
    <t>=D1213</t>
  </si>
  <si>
    <t>="""NAV Direct"",""CRONUS JetCorp USA"",""32"",""1"",""44531"""</t>
  </si>
  <si>
    <t>=IF($J1214="Customer",NL("first",$J1214,"Name","No.","@@"&amp;$K1214),"")</t>
  </si>
  <si>
    <t>=IF(J1214="vendor",NL("first",J1214,"Name","No.","@@"&amp;K1214),"")</t>
  </si>
  <si>
    <t>=IF($J1214="Item",NL("first",$J1214,"Description","No.","@@"&amp;$K1214),"")</t>
  </si>
  <si>
    <t>=D1214</t>
  </si>
  <si>
    <t>="""NAV Direct"",""CRONUS JetCorp USA"",""32"",""1"",""124552"""</t>
  </si>
  <si>
    <t>=IF($J1215="Customer",NL("first",$J1215,"Name","No.","@@"&amp;$K1215),"")</t>
  </si>
  <si>
    <t>=IF(J1215="vendor",NL("first",J1215,"Name","No.","@@"&amp;K1215),"")</t>
  </si>
  <si>
    <t>=IF($J1215="Item",NL("first",$J1215,"Description","No.","@@"&amp;$K1215),"")</t>
  </si>
  <si>
    <t>=D1215</t>
  </si>
  <si>
    <t>="""NAV Direct"",""CRONUS JetCorp USA"",""32"",""1"",""36496"""</t>
  </si>
  <si>
    <t>=IF($J1216="Customer",NL("first",$J1216,"Name","No.","@@"&amp;$K1216),"")</t>
  </si>
  <si>
    <t>=IF(J1216="vendor",NL("first",J1216,"Name","No.","@@"&amp;K1216),"")</t>
  </si>
  <si>
    <t>=IF($J1216="Item",NL("first",$J1216,"Description","No.","@@"&amp;$K1216),"")</t>
  </si>
  <si>
    <t>=D1216</t>
  </si>
  <si>
    <t>="""NAV Direct"",""CRONUS JetCorp USA"",""32"",""1"",""120195"""</t>
  </si>
  <si>
    <t>=IF($J1217="Customer",NL("first",$J1217,"Name","No.","@@"&amp;$K1217),"")</t>
  </si>
  <si>
    <t>=IF(J1217="vendor",NL("first",J1217,"Name","No.","@@"&amp;K1217),"")</t>
  </si>
  <si>
    <t>=IF($J1217="Item",NL("first",$J1217,"Description","No.","@@"&amp;$K1217),"")</t>
  </si>
  <si>
    <t>=D1217</t>
  </si>
  <si>
    <t>="""NAV Direct"",""CRONUS JetCorp USA"",""32"",""1"",""124534"""</t>
  </si>
  <si>
    <t>=IF($J1218="Customer",NL("first",$J1218,"Name","No.","@@"&amp;$K1218),"")</t>
  </si>
  <si>
    <t>=IF(J1218="vendor",NL("first",J1218,"Name","No.","@@"&amp;K1218),"")</t>
  </si>
  <si>
    <t>=IF($J1218="Item",NL("first",$J1218,"Description","No.","@@"&amp;$K1218),"")</t>
  </si>
  <si>
    <t>=D1218</t>
  </si>
  <si>
    <t>="""NAV Direct"",""CRONUS JetCorp USA"",""32"",""1"",""135819"""</t>
  </si>
  <si>
    <t>=IF($J1219="Customer",NL("first",$J1219,"Name","No.","@@"&amp;$K1219),"")</t>
  </si>
  <si>
    <t>=IF(J1219="vendor",NL("first",J1219,"Name","No.","@@"&amp;K1219),"")</t>
  </si>
  <si>
    <t>=IF($J1219="Item",NL("first",$J1219,"Description","No.","@@"&amp;$K1219),"")</t>
  </si>
  <si>
    <t>=D1219</t>
  </si>
  <si>
    <t>="""NAV Direct"",""CRONUS JetCorp USA"",""32"",""1"",""20414"""</t>
  </si>
  <si>
    <t>=IF($J1220="Customer",NL("first",$J1220,"Name","No.","@@"&amp;$K1220),"")</t>
  </si>
  <si>
    <t>=IF(J1220="vendor",NL("first",J1220,"Name","No.","@@"&amp;K1220),"")</t>
  </si>
  <si>
    <t>=IF($J1220="Item",NL("first",$J1220,"Description","No.","@@"&amp;$K1220),"")</t>
  </si>
  <si>
    <t>=D1220</t>
  </si>
  <si>
    <t>="""NAV Direct"",""CRONUS JetCorp USA"",""32"",""1"",""30119"""</t>
  </si>
  <si>
    <t>=IF($J1221="Customer",NL("first",$J1221,"Name","No.","@@"&amp;$K1221),"")</t>
  </si>
  <si>
    <t>=IF(J1221="vendor",NL("first",J1221,"Name","No.","@@"&amp;K1221),"")</t>
  </si>
  <si>
    <t>=IF($J1221="Item",NL("first",$J1221,"Description","No.","@@"&amp;$K1221),"")</t>
  </si>
  <si>
    <t>=D1221</t>
  </si>
  <si>
    <t>="""NAV Direct"",""CRONUS JetCorp USA"",""32"",""1"",""34343"""</t>
  </si>
  <si>
    <t>=IF($J1222="Customer",NL("first",$J1222,"Name","No.","@@"&amp;$K1222),"")</t>
  </si>
  <si>
    <t>=IF(J1222="vendor",NL("first",J1222,"Name","No.","@@"&amp;K1222),"")</t>
  </si>
  <si>
    <t>=IF($J1222="Item",NL("first",$J1222,"Description","No.","@@"&amp;$K1222),"")</t>
  </si>
  <si>
    <t>=D1222</t>
  </si>
  <si>
    <t>="""NAV Direct"",""CRONUS JetCorp USA"",""32"",""1"",""128887"""</t>
  </si>
  <si>
    <t>=IF($J1223="Customer",NL("first",$J1223,"Name","No.","@@"&amp;$K1223),"")</t>
  </si>
  <si>
    <t>=IF(J1223="vendor",NL("first",J1223,"Name","No.","@@"&amp;K1223),"")</t>
  </si>
  <si>
    <t>=IF($J1223="Item",NL("first",$J1223,"Description","No.","@@"&amp;$K1223),"")</t>
  </si>
  <si>
    <t>=D1223</t>
  </si>
  <si>
    <t>="""NAV Direct"",""CRONUS JetCorp USA"",""32"",""1"",""159986"""</t>
  </si>
  <si>
    <t>=IF($J1224="Customer",NL("first",$J1224,"Name","No.","@@"&amp;$K1224),"")</t>
  </si>
  <si>
    <t>=IF(J1224="vendor",NL("first",J1224,"Name","No.","@@"&amp;K1224),"")</t>
  </si>
  <si>
    <t>=IF($J1224="Item",NL("first",$J1224,"Description","No.","@@"&amp;$K1224),"")</t>
  </si>
  <si>
    <t>=D1224</t>
  </si>
  <si>
    <t>="""NAV Direct"",""CRONUS JetCorp USA"",""32"",""1"",""7582"""</t>
  </si>
  <si>
    <t>=IF($J1225="Customer",NL("first",$J1225,"Name","No.","@@"&amp;$K1225),"")</t>
  </si>
  <si>
    <t>=IF(J1225="vendor",NL("first",J1225,"Name","No.","@@"&amp;K1225),"")</t>
  </si>
  <si>
    <t>=IF($J1225="Item",NL("first",$J1225,"Description","No.","@@"&amp;$K1225),"")</t>
  </si>
  <si>
    <t>=D1225</t>
  </si>
  <si>
    <t>="""NAV Direct"",""CRONUS JetCorp USA"",""32"",""1"",""7592"""</t>
  </si>
  <si>
    <t>=IF($J1226="Customer",NL("first",$J1226,"Name","No.","@@"&amp;$K1226),"")</t>
  </si>
  <si>
    <t>=IF(J1226="vendor",NL("first",J1226,"Name","No.","@@"&amp;K1226),"")</t>
  </si>
  <si>
    <t>=IF($J1226="Item",NL("first",$J1226,"Description","No.","@@"&amp;$K1226),"")</t>
  </si>
  <si>
    <t>=D1226</t>
  </si>
  <si>
    <t>="""NAV Direct"",""CRONUS JetCorp USA"",""32"",""1"",""7572"""</t>
  </si>
  <si>
    <t>=IF($J1227="Customer",NL("first",$J1227,"Name","No.","@@"&amp;$K1227),"")</t>
  </si>
  <si>
    <t>=IF(J1227="vendor",NL("first",J1227,"Name","No.","@@"&amp;K1227),"")</t>
  </si>
  <si>
    <t>=IF($J1227="Item",NL("first",$J1227,"Description","No.","@@"&amp;$K1227),"")</t>
  </si>
  <si>
    <t>=D1227</t>
  </si>
  <si>
    <t>="""NAV Direct"",""CRONUS JetCorp USA"",""32"",""1"",""20405"""</t>
  </si>
  <si>
    <t>=IF($J1228="Customer",NL("first",$J1228,"Name","No.","@@"&amp;$K1228),"")</t>
  </si>
  <si>
    <t>=IF(J1228="vendor",NL("first",J1228,"Name","No.","@@"&amp;K1228),"")</t>
  </si>
  <si>
    <t>=IF($J1228="Item",NL("first",$J1228,"Description","No.","@@"&amp;$K1228),"")</t>
  </si>
  <si>
    <t>=D1228</t>
  </si>
  <si>
    <t>="""NAV Direct"",""CRONUS JetCorp USA"",""32"",""1"",""158198"""</t>
  </si>
  <si>
    <t>=IF($J1229="Customer",NL("first",$J1229,"Name","No.","@@"&amp;$K1229),"")</t>
  </si>
  <si>
    <t>=IF(J1229="vendor",NL("first",J1229,"Name","No.","@@"&amp;K1229),"")</t>
  </si>
  <si>
    <t>=IF($J1229="Item",NL("first",$J1229,"Description","No.","@@"&amp;$K1229),"")</t>
  </si>
  <si>
    <t>=E1232</t>
  </si>
  <si>
    <t>=NL("First","Item","Description","No.",$E1232)</t>
  </si>
  <si>
    <t>=NL("First","Item","Base Unit of Measure","No.",$E1232)</t>
  </si>
  <si>
    <t>=(SUBTOTAL(9,O1233:O1251))</t>
  </si>
  <si>
    <t>=(SUBTOTAL(9,P1233:P1251))</t>
  </si>
  <si>
    <t>=(SUBTOTAL(9,Q1233:Q1251))</t>
  </si>
  <si>
    <t>=(SUBTOTAL(9,R1233:R1251))</t>
  </si>
  <si>
    <t>=(SUBTOTAL(9,S1233:S1251))</t>
  </si>
  <si>
    <t>=(SUBTOTAL(9,T1233:T1251))</t>
  </si>
  <si>
    <t>=SUBTOTAL(9,O1233:T1251)</t>
  </si>
  <si>
    <t>=D1232</t>
  </si>
  <si>
    <t>=NL("Rows","Item Ledger Entry",,"+Posting Date",$L$5,"Item No.","@@"&amp;$D1233,"Location Code",$L$7)</t>
  </si>
  <si>
    <t>=IF($J1233="Customer",NL("first",$J1233,"Name","No.","@@"&amp;$K1233),"")</t>
  </si>
  <si>
    <t>=IF(J1233="vendor",NL("first",J1233,"Name","No.","@@"&amp;K1233),"")</t>
  </si>
  <si>
    <t>=IF($J1233="Item",NL("first",$J1233,"Description","No.","@@"&amp;$K1233),"")</t>
  </si>
  <si>
    <t>=D1233</t>
  </si>
  <si>
    <t>="""NAV Direct"",""CRONUS JetCorp USA"",""32"",""1"",""167529"""</t>
  </si>
  <si>
    <t>=IF($J1234="Customer",NL("first",$J1234,"Name","No.","@@"&amp;$K1234),"")</t>
  </si>
  <si>
    <t>=IF(J1234="vendor",NL("first",J1234,"Name","No.","@@"&amp;K1234),"")</t>
  </si>
  <si>
    <t>=IF($J1234="Item",NL("first",$J1234,"Description","No.","@@"&amp;$K1234),"")</t>
  </si>
  <si>
    <t>=D1234</t>
  </si>
  <si>
    <t>="""NAV Direct"",""CRONUS JetCorp USA"",""32"",""1"",""167554"""</t>
  </si>
  <si>
    <t>=IF($J1235="Customer",NL("first",$J1235,"Name","No.","@@"&amp;$K1235),"")</t>
  </si>
  <si>
    <t>=IF(J1235="vendor",NL("first",J1235,"Name","No.","@@"&amp;K1235),"")</t>
  </si>
  <si>
    <t>=IF($J1235="Item",NL("first",$J1235,"Description","No.","@@"&amp;$K1235),"")</t>
  </si>
  <si>
    <t>=D1235</t>
  </si>
  <si>
    <t>="""NAV Direct"",""CRONUS JetCorp USA"",""32"",""1"",""167573"""</t>
  </si>
  <si>
    <t>=IF($J1236="Customer",NL("first",$J1236,"Name","No.","@@"&amp;$K1236),"")</t>
  </si>
  <si>
    <t>=IF(J1236="vendor",NL("first",J1236,"Name","No.","@@"&amp;K1236),"")</t>
  </si>
  <si>
    <t>=IF($J1236="Item",NL("first",$J1236,"Description","No.","@@"&amp;$K1236),"")</t>
  </si>
  <si>
    <t>=D1236</t>
  </si>
  <si>
    <t>="""NAV Direct"",""CRONUS JetCorp USA"",""32"",""1"",""167602"""</t>
  </si>
  <si>
    <t>=IF($J1237="Customer",NL("first",$J1237,"Name","No.","@@"&amp;$K1237),"")</t>
  </si>
  <si>
    <t>=IF(J1237="vendor",NL("first",J1237,"Name","No.","@@"&amp;K1237),"")</t>
  </si>
  <si>
    <t>=IF($J1237="Item",NL("first",$J1237,"Description","No.","@@"&amp;$K1237),"")</t>
  </si>
  <si>
    <t>=D1237</t>
  </si>
  <si>
    <t>="""NAV Direct"",""CRONUS JetCorp USA"",""32"",""1"",""78843"""</t>
  </si>
  <si>
    <t>=IF($J1238="Customer",NL("first",$J1238,"Name","No.","@@"&amp;$K1238),"")</t>
  </si>
  <si>
    <t>=IF(J1238="vendor",NL("first",J1238,"Name","No.","@@"&amp;K1238),"")</t>
  </si>
  <si>
    <t>=IF($J1238="Item",NL("first",$J1238,"Description","No.","@@"&amp;$K1238),"")</t>
  </si>
  <si>
    <t>=D1238</t>
  </si>
  <si>
    <t>="""NAV Direct"",""CRONUS JetCorp USA"",""32"",""1"",""111298"""</t>
  </si>
  <si>
    <t>=IF($J1239="Customer",NL("first",$J1239,"Name","No.","@@"&amp;$K1239),"")</t>
  </si>
  <si>
    <t>=IF(J1239="vendor",NL("first",J1239,"Name","No.","@@"&amp;K1239),"")</t>
  </si>
  <si>
    <t>=IF($J1239="Item",NL("first",$J1239,"Description","No.","@@"&amp;$K1239),"")</t>
  </si>
  <si>
    <t>=D1239</t>
  </si>
  <si>
    <t>="""NAV Direct"",""CRONUS JetCorp USA"",""32"",""1"",""114269"""</t>
  </si>
  <si>
    <t>=IF($J1240="Customer",NL("first",$J1240,"Name","No.","@@"&amp;$K1240),"")</t>
  </si>
  <si>
    <t>=IF(J1240="vendor",NL("first",J1240,"Name","No.","@@"&amp;K1240),"")</t>
  </si>
  <si>
    <t>=IF($J1240="Item",NL("first",$J1240,"Description","No.","@@"&amp;$K1240),"")</t>
  </si>
  <si>
    <t>=D1240</t>
  </si>
  <si>
    <t>="""NAV Direct"",""CRONUS JetCorp USA"",""32"",""1"",""78877"""</t>
  </si>
  <si>
    <t>=IF($J1241="Customer",NL("first",$J1241,"Name","No.","@@"&amp;$K1241),"")</t>
  </si>
  <si>
    <t>=IF(J1241="vendor",NL("first",J1241,"Name","No.","@@"&amp;K1241),"")</t>
  </si>
  <si>
    <t>=IF($J1241="Item",NL("first",$J1241,"Description","No.","@@"&amp;$K1241),"")</t>
  </si>
  <si>
    <t>=D1241</t>
  </si>
  <si>
    <t>="""NAV Direct"",""CRONUS JetCorp USA"",""32"",""1"",""118079"""</t>
  </si>
  <si>
    <t>=IF($J1242="Customer",NL("first",$J1242,"Name","No.","@@"&amp;$K1242),"")</t>
  </si>
  <si>
    <t>=IF(J1242="vendor",NL("first",J1242,"Name","No.","@@"&amp;K1242),"")</t>
  </si>
  <si>
    <t>=IF($J1242="Item",NL("first",$J1242,"Description","No.","@@"&amp;$K1242),"")</t>
  </si>
  <si>
    <t>=D1242</t>
  </si>
  <si>
    <t>="""NAV Direct"",""CRONUS JetCorp USA"",""32"",""1"",""44485"""</t>
  </si>
  <si>
    <t>=IF($J1243="Customer",NL("first",$J1243,"Name","No.","@@"&amp;$K1243),"")</t>
  </si>
  <si>
    <t>=IF(J1243="vendor",NL("first",J1243,"Name","No.","@@"&amp;K1243),"")</t>
  </si>
  <si>
    <t>=IF($J1243="Item",NL("first",$J1243,"Description","No.","@@"&amp;$K1243),"")</t>
  </si>
  <si>
    <t>=D1243</t>
  </si>
  <si>
    <t>="""NAV Direct"",""CRONUS JetCorp USA"",""32"",""1"",""64598"""</t>
  </si>
  <si>
    <t>=IF($J1244="Customer",NL("first",$J1244,"Name","No.","@@"&amp;$K1244),"")</t>
  </si>
  <si>
    <t>=IF(J1244="vendor",NL("first",J1244,"Name","No.","@@"&amp;K1244),"")</t>
  </si>
  <si>
    <t>=IF($J1244="Item",NL("first",$J1244,"Description","No.","@@"&amp;$K1244),"")</t>
  </si>
  <si>
    <t>=D1244</t>
  </si>
  <si>
    <t>="""NAV Direct"",""CRONUS JetCorp USA"",""32"",""1"",""111305"""</t>
  </si>
  <si>
    <t>=IF($J1245="Customer",NL("first",$J1245,"Name","No.","@@"&amp;$K1245),"")</t>
  </si>
  <si>
    <t>=IF(J1245="vendor",NL("first",J1245,"Name","No.","@@"&amp;K1245),"")</t>
  </si>
  <si>
    <t>=IF($J1245="Item",NL("first",$J1245,"Description","No.","@@"&amp;$K1245),"")</t>
  </si>
  <si>
    <t>=D1245</t>
  </si>
  <si>
    <t>="""NAV Direct"",""CRONUS JetCorp USA"",""32"",""1"",""3900"""</t>
  </si>
  <si>
    <t>=IF($J1246="Customer",NL("first",$J1246,"Name","No.","@@"&amp;$K1246),"")</t>
  </si>
  <si>
    <t>=IF(J1246="vendor",NL("first",J1246,"Name","No.","@@"&amp;K1246),"")</t>
  </si>
  <si>
    <t>=IF($J1246="Item",NL("first",$J1246,"Description","No.","@@"&amp;$K1246),"")</t>
  </si>
  <si>
    <t>=D1246</t>
  </si>
  <si>
    <t>="""NAV Direct"",""CRONUS JetCorp USA"",""32"",""1"",""116382"""</t>
  </si>
  <si>
    <t>=IF($J1247="Customer",NL("first",$J1247,"Name","No.","@@"&amp;$K1247),"")</t>
  </si>
  <si>
    <t>=IF(J1247="vendor",NL("first",J1247,"Name","No.","@@"&amp;K1247),"")</t>
  </si>
  <si>
    <t>=IF($J1247="Item",NL("first",$J1247,"Description","No.","@@"&amp;$K1247),"")</t>
  </si>
  <si>
    <t>=D1247</t>
  </si>
  <si>
    <t>="""NAV Direct"",""CRONUS JetCorp USA"",""32"",""1"",""54710"""</t>
  </si>
  <si>
    <t>=IF($J1248="Customer",NL("first",$J1248,"Name","No.","@@"&amp;$K1248),"")</t>
  </si>
  <si>
    <t>=IF(J1248="vendor",NL("first",J1248,"Name","No.","@@"&amp;K1248),"")</t>
  </si>
  <si>
    <t>=IF($J1248="Item",NL("first",$J1248,"Description","No.","@@"&amp;$K1248),"")</t>
  </si>
  <si>
    <t>=D1248</t>
  </si>
  <si>
    <t>="""NAV Direct"",""CRONUS JetCorp USA"",""32"",""1"",""3924"""</t>
  </si>
  <si>
    <t>=IF($J1249="Customer",NL("first",$J1249,"Name","No.","@@"&amp;$K1249),"")</t>
  </si>
  <si>
    <t>=IF(J1249="vendor",NL("first",J1249,"Name","No.","@@"&amp;K1249),"")</t>
  </si>
  <si>
    <t>=IF($J1249="Item",NL("first",$J1249,"Description","No.","@@"&amp;$K1249),"")</t>
  </si>
  <si>
    <t>=D1249</t>
  </si>
  <si>
    <t>="""NAV Direct"",""CRONUS JetCorp USA"",""32"",""1"",""78896"""</t>
  </si>
  <si>
    <t>=IF($J1250="Customer",NL("first",$J1250,"Name","No.","@@"&amp;$K1250),"")</t>
  </si>
  <si>
    <t>=IF(J1250="vendor",NL("first",J1250,"Name","No.","@@"&amp;K1250),"")</t>
  </si>
  <si>
    <t>=IF($J1250="Item",NL("first",$J1250,"Description","No.","@@"&amp;$K1250),"")</t>
  </si>
  <si>
    <t>=E1253</t>
  </si>
  <si>
    <t>=NL("First","Item","Description","No.",$E1253)</t>
  </si>
  <si>
    <t>=NL("First","Item","Base Unit of Measure","No.",$E1253)</t>
  </si>
  <si>
    <t>=(SUBTOTAL(9,O1254:O1264))</t>
  </si>
  <si>
    <t>=(SUBTOTAL(9,P1254:P1264))</t>
  </si>
  <si>
    <t>=(SUBTOTAL(9,Q1254:Q1264))</t>
  </si>
  <si>
    <t>=(SUBTOTAL(9,R1254:R1264))</t>
  </si>
  <si>
    <t>=(SUBTOTAL(9,S1254:S1264))</t>
  </si>
  <si>
    <t>=(SUBTOTAL(9,T1254:T1264))</t>
  </si>
  <si>
    <t>=SUBTOTAL(9,O1254:T1264)</t>
  </si>
  <si>
    <t>=D1253</t>
  </si>
  <si>
    <t>=NL("Rows","Item Ledger Entry",,"+Posting Date",$L$5,"Item No.","@@"&amp;$D1254,"Location Code",$L$7)</t>
  </si>
  <si>
    <t>=IF($J1254="Customer",NL("first",$J1254,"Name","No.","@@"&amp;$K1254),"")</t>
  </si>
  <si>
    <t>=IF(J1254="vendor",NL("first",J1254,"Name","No.","@@"&amp;K1254),"")</t>
  </si>
  <si>
    <t>=IF($J1254="Item",NL("first",$J1254,"Description","No.","@@"&amp;$K1254),"")</t>
  </si>
  <si>
    <t>=D1254</t>
  </si>
  <si>
    <t>="""NAV Direct"",""CRONUS JetCorp USA"",""32"",""1"",""167553"""</t>
  </si>
  <si>
    <t>=IF($J1255="Customer",NL("first",$J1255,"Name","No.","@@"&amp;$K1255),"")</t>
  </si>
  <si>
    <t>=IF(J1255="vendor",NL("first",J1255,"Name","No.","@@"&amp;K1255),"")</t>
  </si>
  <si>
    <t>=IF($J1255="Item",NL("first",$J1255,"Description","No.","@@"&amp;$K1255),"")</t>
  </si>
  <si>
    <t>=D1255</t>
  </si>
  <si>
    <t>="""NAV Direct"",""CRONUS JetCorp USA"",""32"",""1"",""167601"""</t>
  </si>
  <si>
    <t>=IF($J1256="Customer",NL("first",$J1256,"Name","No.","@@"&amp;$K1256),"")</t>
  </si>
  <si>
    <t>=IF(J1256="vendor",NL("first",J1256,"Name","No.","@@"&amp;K1256),"")</t>
  </si>
  <si>
    <t>=IF($J1256="Item",NL("first",$J1256,"Description","No.","@@"&amp;$K1256),"")</t>
  </si>
  <si>
    <t>=D1256</t>
  </si>
  <si>
    <t>="""NAV Direct"",""CRONUS JetCorp USA"",""32"",""1"",""12464"""</t>
  </si>
  <si>
    <t>=IF($J1257="Customer",NL("first",$J1257,"Name","No.","@@"&amp;$K1257),"")</t>
  </si>
  <si>
    <t>=IF(J1257="vendor",NL("first",J1257,"Name","No.","@@"&amp;K1257),"")</t>
  </si>
  <si>
    <t>=IF($J1257="Item",NL("first",$J1257,"Description","No.","@@"&amp;$K1257),"")</t>
  </si>
  <si>
    <t>=D1257</t>
  </si>
  <si>
    <t>="""NAV Direct"",""CRONUS JetCorp USA"",""32"",""1"",""118082"""</t>
  </si>
  <si>
    <t>=IF($J1258="Customer",NL("first",$J1258,"Name","No.","@@"&amp;$K1258),"")</t>
  </si>
  <si>
    <t>=IF(J1258="vendor",NL("first",J1258,"Name","No.","@@"&amp;K1258),"")</t>
  </si>
  <si>
    <t>=IF($J1258="Item",NL("first",$J1258,"Description","No.","@@"&amp;$K1258),"")</t>
  </si>
  <si>
    <t>=D1258</t>
  </si>
  <si>
    <t>="""NAV Direct"",""CRONUS JetCorp USA"",""32"",""1"",""3910"""</t>
  </si>
  <si>
    <t>=IF($J1259="Customer",NL("first",$J1259,"Name","No.","@@"&amp;$K1259),"")</t>
  </si>
  <si>
    <t>=IF(J1259="vendor",NL("first",J1259,"Name","No.","@@"&amp;K1259),"")</t>
  </si>
  <si>
    <t>=IF($J1259="Item",NL("first",$J1259,"Description","No.","@@"&amp;$K1259),"")</t>
  </si>
  <si>
    <t>=D1259</t>
  </si>
  <si>
    <t>="""NAV Direct"",""CRONUS JetCorp USA"",""32"",""1"",""3898"""</t>
  </si>
  <si>
    <t>=IF($J1260="Customer",NL("first",$J1260,"Name","No.","@@"&amp;$K1260),"")</t>
  </si>
  <si>
    <t>=IF(J1260="vendor",NL("first",J1260,"Name","No.","@@"&amp;K1260),"")</t>
  </si>
  <si>
    <t>=IF($J1260="Item",NL("first",$J1260,"Description","No.","@@"&amp;$K1260),"")</t>
  </si>
  <si>
    <t>=D1260</t>
  </si>
  <si>
    <t>="""NAV Direct"",""CRONUS JetCorp USA"",""32"",""1"",""114278"""</t>
  </si>
  <si>
    <t>=IF($J1261="Customer",NL("first",$J1261,"Name","No.","@@"&amp;$K1261),"")</t>
  </si>
  <si>
    <t>=IF(J1261="vendor",NL("first",J1261,"Name","No.","@@"&amp;K1261),"")</t>
  </si>
  <si>
    <t>=IF($J1261="Item",NL("first",$J1261,"Description","No.","@@"&amp;$K1261),"")</t>
  </si>
  <si>
    <t>=D1261</t>
  </si>
  <si>
    <t>="""NAV Direct"",""CRONUS JetCorp USA"",""32"",""1"",""3921"""</t>
  </si>
  <si>
    <t>=IF($J1262="Customer",NL("first",$J1262,"Name","No.","@@"&amp;$K1262),"")</t>
  </si>
  <si>
    <t>=IF(J1262="vendor",NL("first",J1262,"Name","No.","@@"&amp;K1262),"")</t>
  </si>
  <si>
    <t>=IF($J1262="Item",NL("first",$J1262,"Description","No.","@@"&amp;$K1262),"")</t>
  </si>
  <si>
    <t>=D1262</t>
  </si>
  <si>
    <t>="""NAV Direct"",""CRONUS JetCorp USA"",""32"",""1"",""7585"""</t>
  </si>
  <si>
    <t>=IF($J1263="Customer",NL("first",$J1263,"Name","No.","@@"&amp;$K1263),"")</t>
  </si>
  <si>
    <t>=IF(J1263="vendor",NL("first",J1263,"Name","No.","@@"&amp;K1263),"")</t>
  </si>
  <si>
    <t>=IF($J1263="Item",NL("first",$J1263,"Description","No.","@@"&amp;$K1263),"")</t>
  </si>
  <si>
    <t>=E1266</t>
  </si>
  <si>
    <t>=NL("First","Item","Description","No.",$E1266)</t>
  </si>
  <si>
    <t>=NL("First","Item","Base Unit of Measure","No.",$E1266)</t>
  </si>
  <si>
    <t>=(SUBTOTAL(9,O1267:O1291))</t>
  </si>
  <si>
    <t>=(SUBTOTAL(9,P1267:P1291))</t>
  </si>
  <si>
    <t>=(SUBTOTAL(9,Q1267:Q1291))</t>
  </si>
  <si>
    <t>=(SUBTOTAL(9,R1267:R1291))</t>
  </si>
  <si>
    <t>=(SUBTOTAL(9,S1267:S1291))</t>
  </si>
  <si>
    <t>=(SUBTOTAL(9,T1267:T1291))</t>
  </si>
  <si>
    <t>=SUBTOTAL(9,O1267:T1291)</t>
  </si>
  <si>
    <t>=D1266</t>
  </si>
  <si>
    <t>=NL("Rows","Item Ledger Entry",,"+Posting Date",$L$5,"Item No.","@@"&amp;$D1267,"Location Code",$L$7)</t>
  </si>
  <si>
    <t>=IF($J1267="Customer",NL("first",$J1267,"Name","No.","@@"&amp;$K1267),"")</t>
  </si>
  <si>
    <t>=IF(J1267="vendor",NL("first",J1267,"Name","No.","@@"&amp;K1267),"")</t>
  </si>
  <si>
    <t>=IF($J1267="Item",NL("first",$J1267,"Description","No.","@@"&amp;$K1267),"")</t>
  </si>
  <si>
    <t>=D1267</t>
  </si>
  <si>
    <t>="""NAV Direct"",""CRONUS JetCorp USA"",""32"",""1"",""167527"""</t>
  </si>
  <si>
    <t>=IF($J1268="Customer",NL("first",$J1268,"Name","No.","@@"&amp;$K1268),"")</t>
  </si>
  <si>
    <t>=IF(J1268="vendor",NL("first",J1268,"Name","No.","@@"&amp;K1268),"")</t>
  </si>
  <si>
    <t>=IF($J1268="Item",NL("first",$J1268,"Description","No.","@@"&amp;$K1268),"")</t>
  </si>
  <si>
    <t>=D1268</t>
  </si>
  <si>
    <t>="""NAV Direct"",""CRONUS JetCorp USA"",""32"",""1"",""167552"""</t>
  </si>
  <si>
    <t>=IF($J1269="Customer",NL("first",$J1269,"Name","No.","@@"&amp;$K1269),"")</t>
  </si>
  <si>
    <t>=IF(J1269="vendor",NL("first",J1269,"Name","No.","@@"&amp;K1269),"")</t>
  </si>
  <si>
    <t>=IF($J1269="Item",NL("first",$J1269,"Description","No.","@@"&amp;$K1269),"")</t>
  </si>
  <si>
    <t>=D1269</t>
  </si>
  <si>
    <t>="""NAV Direct"",""CRONUS JetCorp USA"",""32"",""1"",""167572"""</t>
  </si>
  <si>
    <t>=IF($J1270="Customer",NL("first",$J1270,"Name","No.","@@"&amp;$K1270),"")</t>
  </si>
  <si>
    <t>=IF(J1270="vendor",NL("first",J1270,"Name","No.","@@"&amp;K1270),"")</t>
  </si>
  <si>
    <t>=IF($J1270="Item",NL("first",$J1270,"Description","No.","@@"&amp;$K1270),"")</t>
  </si>
  <si>
    <t>=D1270</t>
  </si>
  <si>
    <t>="""NAV Direct"",""CRONUS JetCorp USA"",""32"",""1"",""167600"""</t>
  </si>
  <si>
    <t>=IF($J1271="Customer",NL("first",$J1271,"Name","No.","@@"&amp;$K1271),"")</t>
  </si>
  <si>
    <t>=IF(J1271="vendor",NL("first",J1271,"Name","No.","@@"&amp;K1271),"")</t>
  </si>
  <si>
    <t>=IF($J1271="Item",NL("first",$J1271,"Description","No.","@@"&amp;$K1271),"")</t>
  </si>
  <si>
    <t>=D1271</t>
  </si>
  <si>
    <t>="""NAV Direct"",""CRONUS JetCorp USA"",""32"",""1"",""3894"""</t>
  </si>
  <si>
    <t>=IF($J1272="Customer",NL("first",$J1272,"Name","No.","@@"&amp;$K1272),"")</t>
  </si>
  <si>
    <t>=IF(J1272="vendor",NL("first",J1272,"Name","No.","@@"&amp;K1272),"")</t>
  </si>
  <si>
    <t>=IF($J1272="Item",NL("first",$J1272,"Description","No.","@@"&amp;$K1272),"")</t>
  </si>
  <si>
    <t>=D1272</t>
  </si>
  <si>
    <t>="""NAV Direct"",""CRONUS JetCorp USA"",""32"",""1"",""7563"""</t>
  </si>
  <si>
    <t>=IF($J1273="Customer",NL("first",$J1273,"Name","No.","@@"&amp;$K1273),"")</t>
  </si>
  <si>
    <t>=IF(J1273="vendor",NL("first",J1273,"Name","No.","@@"&amp;K1273),"")</t>
  </si>
  <si>
    <t>=IF($J1273="Item",NL("first",$J1273,"Description","No.","@@"&amp;$K1273),"")</t>
  </si>
  <si>
    <t>=D1273</t>
  </si>
  <si>
    <t>="""NAV Direct"",""CRONUS JetCorp USA"",""32"",""1"",""64587"""</t>
  </si>
  <si>
    <t>=IF($J1274="Customer",NL("first",$J1274,"Name","No.","@@"&amp;$K1274),"")</t>
  </si>
  <si>
    <t>=IF(J1274="vendor",NL("first",J1274,"Name","No.","@@"&amp;K1274),"")</t>
  </si>
  <si>
    <t>=IF($J1274="Item",NL("first",$J1274,"Description","No.","@@"&amp;$K1274),"")</t>
  </si>
  <si>
    <t>=D1274</t>
  </si>
  <si>
    <t>="""NAV Direct"",""CRONUS JetCorp USA"",""32"",""1"",""147989"""</t>
  </si>
  <si>
    <t>=IF($J1275="Customer",NL("first",$J1275,"Name","No.","@@"&amp;$K1275),"")</t>
  </si>
  <si>
    <t>=IF(J1275="vendor",NL("first",J1275,"Name","No.","@@"&amp;K1275),"")</t>
  </si>
  <si>
    <t>=IF($J1275="Item",NL("first",$J1275,"Description","No.","@@"&amp;$K1275),"")</t>
  </si>
  <si>
    <t>=D1275</t>
  </si>
  <si>
    <t>="""NAV Direct"",""CRONUS JetCorp USA"",""32"",""1"",""114270"""</t>
  </si>
  <si>
    <t>=IF($J1276="Customer",NL("first",$J1276,"Name","No.","@@"&amp;$K1276),"")</t>
  </si>
  <si>
    <t>=IF(J1276="vendor",NL("first",J1276,"Name","No.","@@"&amp;K1276),"")</t>
  </si>
  <si>
    <t>=IF($J1276="Item",NL("first",$J1276,"Description","No.","@@"&amp;$K1276),"")</t>
  </si>
  <si>
    <t>=D1276</t>
  </si>
  <si>
    <t>="""NAV Direct"",""CRONUS JetCorp USA"",""32"",""1"",""153167"""</t>
  </si>
  <si>
    <t>=IF($J1277="Customer",NL("first",$J1277,"Name","No.","@@"&amp;$K1277),"")</t>
  </si>
  <si>
    <t>=IF(J1277="vendor",NL("first",J1277,"Name","No.","@@"&amp;K1277),"")</t>
  </si>
  <si>
    <t>=IF($J1277="Item",NL("first",$J1277,"Description","No.","@@"&amp;$K1277),"")</t>
  </si>
  <si>
    <t>=D1277</t>
  </si>
  <si>
    <t>="""NAV Direct"",""CRONUS JetCorp USA"",""32"",""1"",""12461"""</t>
  </si>
  <si>
    <t>=IF($J1278="Customer",NL("first",$J1278,"Name","No.","@@"&amp;$K1278),"")</t>
  </si>
  <si>
    <t>=IF(J1278="vendor",NL("first",J1278,"Name","No.","@@"&amp;K1278),"")</t>
  </si>
  <si>
    <t>=IF($J1278="Item",NL("first",$J1278,"Description","No.","@@"&amp;$K1278),"")</t>
  </si>
  <si>
    <t>=D1278</t>
  </si>
  <si>
    <t>="""NAV Direct"",""CRONUS JetCorp USA"",""32"",""1"",""64609"""</t>
  </si>
  <si>
    <t>=IF($J1279="Customer",NL("first",$J1279,"Name","No.","@@"&amp;$K1279),"")</t>
  </si>
  <si>
    <t>=IF(J1279="vendor",NL("first",J1279,"Name","No.","@@"&amp;K1279),"")</t>
  </si>
  <si>
    <t>=IF($J1279="Item",NL("first",$J1279,"Description","No.","@@"&amp;$K1279),"")</t>
  </si>
  <si>
    <t>=D1279</t>
  </si>
  <si>
    <t>="""NAV Direct"",""CRONUS JetCorp USA"",""32"",""1"",""111283"""</t>
  </si>
  <si>
    <t>=IF($J1280="Customer",NL("first",$J1280,"Name","No.","@@"&amp;$K1280),"")</t>
  </si>
  <si>
    <t>=IF(J1280="vendor",NL("first",J1280,"Name","No.","@@"&amp;K1280),"")</t>
  </si>
  <si>
    <t>=IF($J1280="Item",NL("first",$J1280,"Description","No.","@@"&amp;$K1280),"")</t>
  </si>
  <si>
    <t>=D1280</t>
  </si>
  <si>
    <t>="""NAV Direct"",""CRONUS JetCorp USA"",""32"",""1"",""111307"""</t>
  </si>
  <si>
    <t>=IF($J1281="Customer",NL("first",$J1281,"Name","No.","@@"&amp;$K1281),"")</t>
  </si>
  <si>
    <t>=IF(J1281="vendor",NL("first",J1281,"Name","No.","@@"&amp;K1281),"")</t>
  </si>
  <si>
    <t>=IF($J1281="Item",NL("first",$J1281,"Description","No.","@@"&amp;$K1281),"")</t>
  </si>
  <si>
    <t>=D1281</t>
  </si>
  <si>
    <t>="""NAV Direct"",""CRONUS JetCorp USA"",""32"",""1"",""3906"""</t>
  </si>
  <si>
    <t>=IF($J1282="Customer",NL("first",$J1282,"Name","No.","@@"&amp;$K1282),"")</t>
  </si>
  <si>
    <t>=IF(J1282="vendor",NL("first",J1282,"Name","No.","@@"&amp;K1282),"")</t>
  </si>
  <si>
    <t>=IF($J1282="Item",NL("first",$J1282,"Description","No.","@@"&amp;$K1282),"")</t>
  </si>
  <si>
    <t>=D1282</t>
  </si>
  <si>
    <t>="""NAV Direct"",""CRONUS JetCorp USA"",""32"",""1"",""44522"""</t>
  </si>
  <si>
    <t>=IF($J1283="Customer",NL("first",$J1283,"Name","No.","@@"&amp;$K1283),"")</t>
  </si>
  <si>
    <t>=IF(J1283="vendor",NL("first",J1283,"Name","No.","@@"&amp;K1283),"")</t>
  </si>
  <si>
    <t>=IF($J1283="Item",NL("first",$J1283,"Description","No.","@@"&amp;$K1283),"")</t>
  </si>
  <si>
    <t>=D1283</t>
  </si>
  <si>
    <t>="""NAV Direct"",""CRONUS JetCorp USA"",""32"",""1"",""114286"""</t>
  </si>
  <si>
    <t>=IF($J1284="Customer",NL("first",$J1284,"Name","No.","@@"&amp;$K1284),"")</t>
  </si>
  <si>
    <t>=IF(J1284="vendor",NL("first",J1284,"Name","No.","@@"&amp;K1284),"")</t>
  </si>
  <si>
    <t>=IF($J1284="Item",NL("first",$J1284,"Description","No.","@@"&amp;$K1284),"")</t>
  </si>
  <si>
    <t>=D1284</t>
  </si>
  <si>
    <t>="""NAV Direct"",""CRONUS JetCorp USA"",""32"",""1"",""54700"""</t>
  </si>
  <si>
    <t>=IF($J1285="Customer",NL("first",$J1285,"Name","No.","@@"&amp;$K1285),"")</t>
  </si>
  <si>
    <t>=IF(J1285="vendor",NL("first",J1285,"Name","No.","@@"&amp;K1285),"")</t>
  </si>
  <si>
    <t>=IF($J1285="Item",NL("first",$J1285,"Description","No.","@@"&amp;$K1285),"")</t>
  </si>
  <si>
    <t>=D1285</t>
  </si>
  <si>
    <t>="""NAV Direct"",""CRONUS JetCorp USA"",""32"",""1"",""114280"""</t>
  </si>
  <si>
    <t>=IF($J1286="Customer",NL("first",$J1286,"Name","No.","@@"&amp;$K1286),"")</t>
  </si>
  <si>
    <t>=IF(J1286="vendor",NL("first",J1286,"Name","No.","@@"&amp;K1286),"")</t>
  </si>
  <si>
    <t>=IF($J1286="Item",NL("first",$J1286,"Description","No.","@@"&amp;$K1286),"")</t>
  </si>
  <si>
    <t>=D1286</t>
  </si>
  <si>
    <t>="""NAV Direct"",""CRONUS JetCorp USA"",""32"",""1"",""159979"""</t>
  </si>
  <si>
    <t>=IF($J1287="Customer",NL("first",$J1287,"Name","No.","@@"&amp;$K1287),"")</t>
  </si>
  <si>
    <t>=IF(J1287="vendor",NL("first",J1287,"Name","No.","@@"&amp;K1287),"")</t>
  </si>
  <si>
    <t>=IF($J1287="Item",NL("first",$J1287,"Description","No.","@@"&amp;$K1287),"")</t>
  </si>
  <si>
    <t>=D1287</t>
  </si>
  <si>
    <t>="""NAV Direct"",""CRONUS JetCorp USA"",""32"",""1"",""3925"""</t>
  </si>
  <si>
    <t>=IF($J1288="Customer",NL("first",$J1288,"Name","No.","@@"&amp;$K1288),"")</t>
  </si>
  <si>
    <t>=IF(J1288="vendor",NL("first",J1288,"Name","No.","@@"&amp;K1288),"")</t>
  </si>
  <si>
    <t>=IF($J1288="Item",NL("first",$J1288,"Description","No.","@@"&amp;$K1288),"")</t>
  </si>
  <si>
    <t>=D1288</t>
  </si>
  <si>
    <t>="""NAV Direct"",""CRONUS JetCorp USA"",""32"",""1"",""7569"""</t>
  </si>
  <si>
    <t>=IF($J1289="Customer",NL("first",$J1289,"Name","No.","@@"&amp;$K1289),"")</t>
  </si>
  <si>
    <t>=IF(J1289="vendor",NL("first",J1289,"Name","No.","@@"&amp;K1289),"")</t>
  </si>
  <si>
    <t>=IF($J1289="Item",NL("first",$J1289,"Description","No.","@@"&amp;$K1289),"")</t>
  </si>
  <si>
    <t>=D1289</t>
  </si>
  <si>
    <t>="""NAV Direct"",""CRONUS JetCorp USA"",""32"",""1"",""10236"""</t>
  </si>
  <si>
    <t>=IF($J1290="Customer",NL("first",$J1290,"Name","No.","@@"&amp;$K1290),"")</t>
  </si>
  <si>
    <t>=IF(J1290="vendor",NL("first",J1290,"Name","No.","@@"&amp;K1290),"")</t>
  </si>
  <si>
    <t>=IF($J1290="Item",NL("first",$J1290,"Description","No.","@@"&amp;$K1290),"")</t>
  </si>
  <si>
    <t>=E1293</t>
  </si>
  <si>
    <t>=NL("First","Item","Description","No.",$E1293)</t>
  </si>
  <si>
    <t>=NL("First","Item","Base Unit of Measure","No.",$E1293)</t>
  </si>
  <si>
    <t>=(SUBTOTAL(9,O1294:O1321))</t>
  </si>
  <si>
    <t>=(SUBTOTAL(9,P1294:P1321))</t>
  </si>
  <si>
    <t>=(SUBTOTAL(9,Q1294:Q1321))</t>
  </si>
  <si>
    <t>=(SUBTOTAL(9,R1294:R1321))</t>
  </si>
  <si>
    <t>=(SUBTOTAL(9,S1294:S1321))</t>
  </si>
  <si>
    <t>=(SUBTOTAL(9,T1294:T1321))</t>
  </si>
  <si>
    <t>=SUBTOTAL(9,O1294:T1321)</t>
  </si>
  <si>
    <t>=D1293</t>
  </si>
  <si>
    <t>=NL("Rows","Item Ledger Entry",,"+Posting Date",$L$5,"Item No.","@@"&amp;$D1294,"Location Code",$L$7)</t>
  </si>
  <si>
    <t>=IF($J1294="Customer",NL("first",$J1294,"Name","No.","@@"&amp;$K1294),"")</t>
  </si>
  <si>
    <t>=IF(J1294="vendor",NL("first",J1294,"Name","No.","@@"&amp;K1294),"")</t>
  </si>
  <si>
    <t>=IF($J1294="Item",NL("first",$J1294,"Description","No.","@@"&amp;$K1294),"")</t>
  </si>
  <si>
    <t>=D1294</t>
  </si>
  <si>
    <t>="""NAV Direct"",""CRONUS JetCorp USA"",""32"",""1"",""167526"""</t>
  </si>
  <si>
    <t>=IF($J1295="Customer",NL("first",$J1295,"Name","No.","@@"&amp;$K1295),"")</t>
  </si>
  <si>
    <t>=IF(J1295="vendor",NL("first",J1295,"Name","No.","@@"&amp;K1295),"")</t>
  </si>
  <si>
    <t>=IF($J1295="Item",NL("first",$J1295,"Description","No.","@@"&amp;$K1295),"")</t>
  </si>
  <si>
    <t>=D1295</t>
  </si>
  <si>
    <t>="""NAV Direct"",""CRONUS JetCorp USA"",""32"",""1"",""167543"""</t>
  </si>
  <si>
    <t>=IF($J1296="Customer",NL("first",$J1296,"Name","No.","@@"&amp;$K1296),"")</t>
  </si>
  <si>
    <t>=IF(J1296="vendor",NL("first",J1296,"Name","No.","@@"&amp;K1296),"")</t>
  </si>
  <si>
    <t>=IF($J1296="Item",NL("first",$J1296,"Description","No.","@@"&amp;$K1296),"")</t>
  </si>
  <si>
    <t>=D1296</t>
  </si>
  <si>
    <t>="""NAV Direct"",""CRONUS JetCorp USA"",""32"",""1"",""167551"""</t>
  </si>
  <si>
    <t>=IF($J1297="Customer",NL("first",$J1297,"Name","No.","@@"&amp;$K1297),"")</t>
  </si>
  <si>
    <t>=IF(J1297="vendor",NL("first",J1297,"Name","No.","@@"&amp;K1297),"")</t>
  </si>
  <si>
    <t>=IF($J1297="Item",NL("first",$J1297,"Description","No.","@@"&amp;$K1297),"")</t>
  </si>
  <si>
    <t>=D1297</t>
  </si>
  <si>
    <t>="""NAV Direct"",""CRONUS JetCorp USA"",""32"",""1"",""167571"""</t>
  </si>
  <si>
    <t>=IF($J1298="Customer",NL("first",$J1298,"Name","No.","@@"&amp;$K1298),"")</t>
  </si>
  <si>
    <t>=IF(J1298="vendor",NL("first",J1298,"Name","No.","@@"&amp;K1298),"")</t>
  </si>
  <si>
    <t>=IF($J1298="Item",NL("first",$J1298,"Description","No.","@@"&amp;$K1298),"")</t>
  </si>
  <si>
    <t>=D1298</t>
  </si>
  <si>
    <t>="""NAV Direct"",""CRONUS JetCorp USA"",""32"",""1"",""167589"""</t>
  </si>
  <si>
    <t>=IF($J1299="Customer",NL("first",$J1299,"Name","No.","@@"&amp;$K1299),"")</t>
  </si>
  <si>
    <t>=IF(J1299="vendor",NL("first",J1299,"Name","No.","@@"&amp;K1299),"")</t>
  </si>
  <si>
    <t>=IF($J1299="Item",NL("first",$J1299,"Description","No.","@@"&amp;$K1299),"")</t>
  </si>
  <si>
    <t>=D1299</t>
  </si>
  <si>
    <t>="""NAV Direct"",""CRONUS JetCorp USA"",""32"",""1"",""167599"""</t>
  </si>
  <si>
    <t>=IF($J1300="Customer",NL("first",$J1300,"Name","No.","@@"&amp;$K1300),"")</t>
  </si>
  <si>
    <t>=IF(J1300="vendor",NL("first",J1300,"Name","No.","@@"&amp;K1300),"")</t>
  </si>
  <si>
    <t>=IF($J1300="Item",NL("first",$J1300,"Description","No.","@@"&amp;$K1300),"")</t>
  </si>
  <si>
    <t>=D1300</t>
  </si>
  <si>
    <t>="""NAV Direct"",""CRONUS JetCorp USA"",""32"",""1"",""3893"""</t>
  </si>
  <si>
    <t>=IF($J1301="Customer",NL("first",$J1301,"Name","No.","@@"&amp;$K1301),"")</t>
  </si>
  <si>
    <t>=IF(J1301="vendor",NL("first",J1301,"Name","No.","@@"&amp;K1301),"")</t>
  </si>
  <si>
    <t>=IF($J1301="Item",NL("first",$J1301,"Description","No.","@@"&amp;$K1301),"")</t>
  </si>
  <si>
    <t>=D1301</t>
  </si>
  <si>
    <t>="""NAV Direct"",""CRONUS JetCorp USA"",""32"",""1"",""12452"""</t>
  </si>
  <si>
    <t>=IF($J1302="Customer",NL("first",$J1302,"Name","No.","@@"&amp;$K1302),"")</t>
  </si>
  <si>
    <t>=IF(J1302="vendor",NL("first",J1302,"Name","No.","@@"&amp;K1302),"")</t>
  </si>
  <si>
    <t>=IF($J1302="Item",NL("first",$J1302,"Description","No.","@@"&amp;$K1302),"")</t>
  </si>
  <si>
    <t>=D1302</t>
  </si>
  <si>
    <t>="""NAV Direct"",""CRONUS JetCorp USA"",""32"",""1"",""64575"""</t>
  </si>
  <si>
    <t>=IF($J1303="Customer",NL("first",$J1303,"Name","No.","@@"&amp;$K1303),"")</t>
  </si>
  <si>
    <t>=IF(J1303="vendor",NL("first",J1303,"Name","No.","@@"&amp;K1303),"")</t>
  </si>
  <si>
    <t>=IF($J1303="Item",NL("first",$J1303,"Description","No.","@@"&amp;$K1303),"")</t>
  </si>
  <si>
    <t>=D1303</t>
  </si>
  <si>
    <t>="""NAV Direct"",""CRONUS JetCorp USA"",""32"",""1"",""120185"""</t>
  </si>
  <si>
    <t>=IF($J1304="Customer",NL("first",$J1304,"Name","No.","@@"&amp;$K1304),"")</t>
  </si>
  <si>
    <t>=IF(J1304="vendor",NL("first",J1304,"Name","No.","@@"&amp;K1304),"")</t>
  </si>
  <si>
    <t>=IF($J1304="Item",NL("first",$J1304,"Description","No.","@@"&amp;$K1304),"")</t>
  </si>
  <si>
    <t>=D1304</t>
  </si>
  <si>
    <t>="""NAV Direct"",""CRONUS JetCorp USA"",""32"",""1"",""111292"""</t>
  </si>
  <si>
    <t>=IF($J1305="Customer",NL("first",$J1305,"Name","No.","@@"&amp;$K1305),"")</t>
  </si>
  <si>
    <t>=IF(J1305="vendor",NL("first",J1305,"Name","No.","@@"&amp;K1305),"")</t>
  </si>
  <si>
    <t>=IF($J1305="Item",NL("first",$J1305,"Description","No.","@@"&amp;$K1305),"")</t>
  </si>
  <si>
    <t>=D1305</t>
  </si>
  <si>
    <t>="""NAV Direct"",""CRONUS JetCorp USA"",""32"",""1"",""10221"""</t>
  </si>
  <si>
    <t>=IF($J1306="Customer",NL("first",$J1306,"Name","No.","@@"&amp;$K1306),"")</t>
  </si>
  <si>
    <t>=IF(J1306="vendor",NL("first",J1306,"Name","No.","@@"&amp;K1306),"")</t>
  </si>
  <si>
    <t>=IF($J1306="Item",NL("first",$J1306,"Description","No.","@@"&amp;$K1306),"")</t>
  </si>
  <si>
    <t>=D1306</t>
  </si>
  <si>
    <t>="""NAV Direct"",""CRONUS JetCorp USA"",""32"",""1"",""118087"""</t>
  </si>
  <si>
    <t>=IF($J1307="Customer",NL("first",$J1307,"Name","No.","@@"&amp;$K1307),"")</t>
  </si>
  <si>
    <t>=IF(J1307="vendor",NL("first",J1307,"Name","No.","@@"&amp;K1307),"")</t>
  </si>
  <si>
    <t>=IF($J1307="Item",NL("first",$J1307,"Description","No.","@@"&amp;$K1307),"")</t>
  </si>
  <si>
    <t>=D1307</t>
  </si>
  <si>
    <t>="""NAV Direct"",""CRONUS JetCorp USA"",""32"",""1"",""3916"""</t>
  </si>
  <si>
    <t>=IF($J1308="Customer",NL("first",$J1308,"Name","No.","@@"&amp;$K1308),"")</t>
  </si>
  <si>
    <t>=IF(J1308="vendor",NL("first",J1308,"Name","No.","@@"&amp;K1308),"")</t>
  </si>
  <si>
    <t>=IF($J1308="Item",NL("first",$J1308,"Description","No.","@@"&amp;$K1308),"")</t>
  </si>
  <si>
    <t>=D1308</t>
  </si>
  <si>
    <t>="""NAV Direct"",""CRONUS JetCorp USA"",""32"",""1"",""44470"""</t>
  </si>
  <si>
    <t>=IF($J1309="Customer",NL("first",$J1309,"Name","No.","@@"&amp;$K1309),"")</t>
  </si>
  <si>
    <t>=IF(J1309="vendor",NL("first",J1309,"Name","No.","@@"&amp;K1309),"")</t>
  </si>
  <si>
    <t>=IF($J1309="Item",NL("first",$J1309,"Description","No.","@@"&amp;$K1309),"")</t>
  </si>
  <si>
    <t>=D1309</t>
  </si>
  <si>
    <t>="""NAV Direct"",""CRONUS JetCorp USA"",""32"",""1"",""111308"""</t>
  </si>
  <si>
    <t>=IF($J1310="Customer",NL("first",$J1310,"Name","No.","@@"&amp;$K1310),"")</t>
  </si>
  <si>
    <t>=IF(J1310="vendor",NL("first",J1310,"Name","No.","@@"&amp;K1310),"")</t>
  </si>
  <si>
    <t>=IF($J1310="Item",NL("first",$J1310,"Description","No.","@@"&amp;$K1310),"")</t>
  </si>
  <si>
    <t>=D1310</t>
  </si>
  <si>
    <t>="""NAV Direct"",""CRONUS JetCorp USA"",""32"",""1"",""111312"""</t>
  </si>
  <si>
    <t>=IF($J1311="Customer",NL("first",$J1311,"Name","No.","@@"&amp;$K1311),"")</t>
  </si>
  <si>
    <t>=IF(J1311="vendor",NL("first",J1311,"Name","No.","@@"&amp;K1311),"")</t>
  </si>
  <si>
    <t>=IF($J1311="Item",NL("first",$J1311,"Description","No.","@@"&amp;$K1311),"")</t>
  </si>
  <si>
    <t>=D1311</t>
  </si>
  <si>
    <t>="""NAV Direct"",""CRONUS JetCorp USA"",""32"",""1"",""116383"""</t>
  </si>
  <si>
    <t>=IF($J1312="Customer",NL("first",$J1312,"Name","No.","@@"&amp;$K1312),"")</t>
  </si>
  <si>
    <t>=IF(J1312="vendor",NL("first",J1312,"Name","No.","@@"&amp;K1312),"")</t>
  </si>
  <si>
    <t>=IF($J1312="Item",NL("first",$J1312,"Description","No.","@@"&amp;$K1312),"")</t>
  </si>
  <si>
    <t>=D1312</t>
  </si>
  <si>
    <t>="""NAV Direct"",""CRONUS JetCorp USA"",""32"",""1"",""54704"""</t>
  </si>
  <si>
    <t>=IF($J1313="Customer",NL("first",$J1313,"Name","No.","@@"&amp;$K1313),"")</t>
  </si>
  <si>
    <t>=IF(J1313="vendor",NL("first",J1313,"Name","No.","@@"&amp;K1313),"")</t>
  </si>
  <si>
    <t>=IF($J1313="Item",NL("first",$J1313,"Description","No.","@@"&amp;$K1313),"")</t>
  </si>
  <si>
    <t>=D1313</t>
  </si>
  <si>
    <t>="""NAV Direct"",""CRONUS JetCorp USA"",""32"",""1"",""120194"""</t>
  </si>
  <si>
    <t>=IF($J1314="Customer",NL("first",$J1314,"Name","No.","@@"&amp;$K1314),"")</t>
  </si>
  <si>
    <t>=IF(J1314="vendor",NL("first",J1314,"Name","No.","@@"&amp;K1314),"")</t>
  </si>
  <si>
    <t>=IF($J1314="Item",NL("first",$J1314,"Description","No.","@@"&amp;$K1314),"")</t>
  </si>
  <si>
    <t>=D1314</t>
  </si>
  <si>
    <t>="""NAV Direct"",""CRONUS JetCorp USA"",""32"",""1"",""3926"""</t>
  </si>
  <si>
    <t>=IF($J1315="Customer",NL("first",$J1315,"Name","No.","@@"&amp;$K1315),"")</t>
  </si>
  <si>
    <t>=IF(J1315="vendor",NL("first",J1315,"Name","No.","@@"&amp;K1315),"")</t>
  </si>
  <si>
    <t>=IF($J1315="Item",NL("first",$J1315,"Description","No.","@@"&amp;$K1315),"")</t>
  </si>
  <si>
    <t>=D1315</t>
  </si>
  <si>
    <t>="""NAV Direct"",""CRONUS JetCorp USA"",""32"",""1"",""7581"""</t>
  </si>
  <si>
    <t>=IF($J1316="Customer",NL("first",$J1316,"Name","No.","@@"&amp;$K1316),"")</t>
  </si>
  <si>
    <t>=IF(J1316="vendor",NL("first",J1316,"Name","No.","@@"&amp;K1316),"")</t>
  </si>
  <si>
    <t>=IF($J1316="Item",NL("first",$J1316,"Description","No.","@@"&amp;$K1316),"")</t>
  </si>
  <si>
    <t>=D1316</t>
  </si>
  <si>
    <t>="""NAV Direct"",""CRONUS JetCorp USA"",""32"",""1"",""7593"""</t>
  </si>
  <si>
    <t>=IF($J1317="Customer",NL("first",$J1317,"Name","No.","@@"&amp;$K1317),"")</t>
  </si>
  <si>
    <t>=IF(J1317="vendor",NL("first",J1317,"Name","No.","@@"&amp;K1317),"")</t>
  </si>
  <si>
    <t>=IF($J1317="Item",NL("first",$J1317,"Description","No.","@@"&amp;$K1317),"")</t>
  </si>
  <si>
    <t>=D1317</t>
  </si>
  <si>
    <t>="""NAV Direct"",""CRONUS JetCorp USA"",""32"",""1"",""7571"""</t>
  </si>
  <si>
    <t>=IF($J1318="Customer",NL("first",$J1318,"Name","No.","@@"&amp;$K1318),"")</t>
  </si>
  <si>
    <t>=IF(J1318="vendor",NL("first",J1318,"Name","No.","@@"&amp;K1318),"")</t>
  </si>
  <si>
    <t>=IF($J1318="Item",NL("first",$J1318,"Description","No.","@@"&amp;$K1318),"")</t>
  </si>
  <si>
    <t>=D1318</t>
  </si>
  <si>
    <t>="""NAV Direct"",""CRONUS JetCorp USA"",""32"",""1"",""10232"""</t>
  </si>
  <si>
    <t>=IF($J1319="Customer",NL("first",$J1319,"Name","No.","@@"&amp;$K1319),"")</t>
  </si>
  <si>
    <t>=IF(J1319="vendor",NL("first",J1319,"Name","No.","@@"&amp;K1319),"")</t>
  </si>
  <si>
    <t>=IF($J1319="Item",NL("first",$J1319,"Description","No.","@@"&amp;$K1319),"")</t>
  </si>
  <si>
    <t>=D1319</t>
  </si>
  <si>
    <t>="""NAV Direct"",""CRONUS JetCorp USA"",""32"",""1"",""114294"""</t>
  </si>
  <si>
    <t>=IF($J1320="Customer",NL("first",$J1320,"Name","No.","@@"&amp;$K1320),"")</t>
  </si>
  <si>
    <t>=IF(J1320="vendor",NL("first",J1320,"Name","No.","@@"&amp;K1320),"")</t>
  </si>
  <si>
    <t>=IF($J1320="Item",NL("first",$J1320,"Description","No.","@@"&amp;$K1320),"")</t>
  </si>
  <si>
    <t>=E1323</t>
  </si>
  <si>
    <t>=NL("First","Item","Description","No.",$E1323)</t>
  </si>
  <si>
    <t>=NL("First","Item","Base Unit of Measure","No.",$E1323)</t>
  </si>
  <si>
    <t>=(SUBTOTAL(9,O1324:O1332))</t>
  </si>
  <si>
    <t>=(SUBTOTAL(9,P1324:P1332))</t>
  </si>
  <si>
    <t>=(SUBTOTAL(9,Q1324:Q1332))</t>
  </si>
  <si>
    <t>=(SUBTOTAL(9,R1324:R1332))</t>
  </si>
  <si>
    <t>=(SUBTOTAL(9,S1324:S1332))</t>
  </si>
  <si>
    <t>=(SUBTOTAL(9,T1324:T1332))</t>
  </si>
  <si>
    <t>=SUBTOTAL(9,O1324:T1332)</t>
  </si>
  <si>
    <t>=D1323</t>
  </si>
  <si>
    <t>=NL("Rows","Item Ledger Entry",,"+Posting Date",$L$5,"Item No.","@@"&amp;$D1324,"Location Code",$L$7)</t>
  </si>
  <si>
    <t>=IF($J1324="Customer",NL("first",$J1324,"Name","No.","@@"&amp;$K1324),"")</t>
  </si>
  <si>
    <t>=IF(J1324="vendor",NL("first",J1324,"Name","No.","@@"&amp;K1324),"")</t>
  </si>
  <si>
    <t>=IF($J1324="Item",NL("first",$J1324,"Description","No.","@@"&amp;$K1324),"")</t>
  </si>
  <si>
    <t>=D1324</t>
  </si>
  <si>
    <t>="""NAV Direct"",""CRONUS JetCorp USA"",""32"",""1"",""168042"""</t>
  </si>
  <si>
    <t>=IF($J1325="Customer",NL("first",$J1325,"Name","No.","@@"&amp;$K1325),"")</t>
  </si>
  <si>
    <t>=IF(J1325="vendor",NL("first",J1325,"Name","No.","@@"&amp;K1325),"")</t>
  </si>
  <si>
    <t>=IF($J1325="Item",NL("first",$J1325,"Description","No.","@@"&amp;$K1325),"")</t>
  </si>
  <si>
    <t>=D1325</t>
  </si>
  <si>
    <t>="""NAV Direct"",""CRONUS JetCorp USA"",""32"",""1"",""168043"""</t>
  </si>
  <si>
    <t>=IF($J1326="Customer",NL("first",$J1326,"Name","No.","@@"&amp;$K1326),"")</t>
  </si>
  <si>
    <t>=IF(J1326="vendor",NL("first",J1326,"Name","No.","@@"&amp;K1326),"")</t>
  </si>
  <si>
    <t>=IF($J1326="Item",NL("first",$J1326,"Description","No.","@@"&amp;$K1326),"")</t>
  </si>
  <si>
    <t>=D1326</t>
  </si>
  <si>
    <t>="""NAV Direct"",""CRONUS JetCorp USA"",""32"",""1"",""64572"""</t>
  </si>
  <si>
    <t>=IF($J1327="Customer",NL("first",$J1327,"Name","No.","@@"&amp;$K1327),"")</t>
  </si>
  <si>
    <t>=IF(J1327="vendor",NL("first",J1327,"Name","No.","@@"&amp;K1327),"")</t>
  </si>
  <si>
    <t>=IF($J1327="Item",NL("first",$J1327,"Description","No.","@@"&amp;$K1327),"")</t>
  </si>
  <si>
    <t>=D1327</t>
  </si>
  <si>
    <t>="""NAV Direct"",""CRONUS JetCorp USA"",""32"",""1"",""44540"""</t>
  </si>
  <si>
    <t>=IF($J1328="Customer",NL("first",$J1328,"Name","No.","@@"&amp;$K1328),"")</t>
  </si>
  <si>
    <t>=IF(J1328="vendor",NL("first",J1328,"Name","No.","@@"&amp;K1328),"")</t>
  </si>
  <si>
    <t>=IF($J1328="Item",NL("first",$J1328,"Description","No.","@@"&amp;$K1328),"")</t>
  </si>
  <si>
    <t>=D1328</t>
  </si>
  <si>
    <t>="""NAV Direct"",""CRONUS JetCorp USA"",""32"",""1"",""54695"""</t>
  </si>
  <si>
    <t>=IF($J1329="Customer",NL("first",$J1329,"Name","No.","@@"&amp;$K1329),"")</t>
  </si>
  <si>
    <t>=IF(J1329="vendor",NL("first",J1329,"Name","No.","@@"&amp;K1329),"")</t>
  </si>
  <si>
    <t>=IF($J1329="Item",NL("first",$J1329,"Description","No.","@@"&amp;$K1329),"")</t>
  </si>
  <si>
    <t>=D1329</t>
  </si>
  <si>
    <t>="""NAV Direct"",""CRONUS JetCorp USA"",""32"",""1"",""64615"""</t>
  </si>
  <si>
    <t>=IF($J1330="Customer",NL("first",$J1330,"Name","No.","@@"&amp;$K1330),"")</t>
  </si>
  <si>
    <t>=IF(J1330="vendor",NL("first",J1330,"Name","No.","@@"&amp;K1330),"")</t>
  </si>
  <si>
    <t>=IF($J1330="Item",NL("first",$J1330,"Description","No.","@@"&amp;$K1330),"")</t>
  </si>
  <si>
    <t>=D1330</t>
  </si>
  <si>
    <t>="""NAV Direct"",""CRONUS JetCorp USA"",""32"",""1"",""78861"""</t>
  </si>
  <si>
    <t>=IF($J1331="Customer",NL("first",$J1331,"Name","No.","@@"&amp;$K1331),"")</t>
  </si>
  <si>
    <t>=IF(J1331="vendor",NL("first",J1331,"Name","No.","@@"&amp;K1331),"")</t>
  </si>
  <si>
    <t>=IF($J1331="Item",NL("first",$J1331,"Description","No.","@@"&amp;$K1331),"")</t>
  </si>
  <si>
    <t>=E1334</t>
  </si>
  <si>
    <t>=NL("First","Item","Description","No.",$E1334)</t>
  </si>
  <si>
    <t>=NL("First","Item","Base Unit of Measure","No.",$E1334)</t>
  </si>
  <si>
    <t>=(SUBTOTAL(9,O1335:O1348))</t>
  </si>
  <si>
    <t>=(SUBTOTAL(9,P1335:P1348))</t>
  </si>
  <si>
    <t>=(SUBTOTAL(9,Q1335:Q1348))</t>
  </si>
  <si>
    <t>=(SUBTOTAL(9,R1335:R1348))</t>
  </si>
  <si>
    <t>=(SUBTOTAL(9,S1335:S1348))</t>
  </si>
  <si>
    <t>=(SUBTOTAL(9,T1335:T1348))</t>
  </si>
  <si>
    <t>=SUBTOTAL(9,O1335:T1348)</t>
  </si>
  <si>
    <t>=D1334</t>
  </si>
  <si>
    <t>=NL("Rows","Item Ledger Entry",,"+Posting Date",$L$5,"Item No.","@@"&amp;$D1335,"Location Code",$L$7)</t>
  </si>
  <si>
    <t>=IF($J1335="Customer",NL("first",$J1335,"Name","No.","@@"&amp;$K1335),"")</t>
  </si>
  <si>
    <t>=IF(J1335="vendor",NL("first",J1335,"Name","No.","@@"&amp;K1335),"")</t>
  </si>
  <si>
    <t>=IF($J1335="Item",NL("first",$J1335,"Description","No.","@@"&amp;$K1335),"")</t>
  </si>
  <si>
    <t>=D1335</t>
  </si>
  <si>
    <t>="""NAV Direct"",""CRONUS JetCorp USA"",""32"",""1"",""168319"""</t>
  </si>
  <si>
    <t>=IF($J1336="Customer",NL("first",$J1336,"Name","No.","@@"&amp;$K1336),"")</t>
  </si>
  <si>
    <t>=IF(J1336="vendor",NL("first",J1336,"Name","No.","@@"&amp;K1336),"")</t>
  </si>
  <si>
    <t>=IF($J1336="Item",NL("first",$J1336,"Description","No.","@@"&amp;$K1336),"")</t>
  </si>
  <si>
    <t>=D1336</t>
  </si>
  <si>
    <t>="""NAV Direct"",""CRONUS JetCorp USA"",""32"",""1"",""168327"""</t>
  </si>
  <si>
    <t>=IF($J1337="Customer",NL("first",$J1337,"Name","No.","@@"&amp;$K1337),"")</t>
  </si>
  <si>
    <t>=IF(J1337="vendor",NL("first",J1337,"Name","No.","@@"&amp;K1337),"")</t>
  </si>
  <si>
    <t>=IF($J1337="Item",NL("first",$J1337,"Description","No.","@@"&amp;$K1337),"")</t>
  </si>
  <si>
    <t>=D1337</t>
  </si>
  <si>
    <t>="""NAV Direct"",""CRONUS JetCorp USA"",""32"",""1"",""168330"""</t>
  </si>
  <si>
    <t>=IF($J1338="Customer",NL("first",$J1338,"Name","No.","@@"&amp;$K1338),"")</t>
  </si>
  <si>
    <t>=IF(J1338="vendor",NL("first",J1338,"Name","No.","@@"&amp;K1338),"")</t>
  </si>
  <si>
    <t>=IF($J1338="Item",NL("first",$J1338,"Description","No.","@@"&amp;$K1338),"")</t>
  </si>
  <si>
    <t>=D1338</t>
  </si>
  <si>
    <t>="""NAV Direct"",""CRONUS JetCorp USA"",""32"",""1"",""168344"""</t>
  </si>
  <si>
    <t>=IF($J1339="Customer",NL("first",$J1339,"Name","No.","@@"&amp;$K1339),"")</t>
  </si>
  <si>
    <t>=IF(J1339="vendor",NL("first",J1339,"Name","No.","@@"&amp;K1339),"")</t>
  </si>
  <si>
    <t>=IF($J1339="Item",NL("first",$J1339,"Description","No.","@@"&amp;$K1339),"")</t>
  </si>
  <si>
    <t>=D1339</t>
  </si>
  <si>
    <t>="""NAV Direct"",""CRONUS JetCorp USA"",""32"",""1"",""168359"""</t>
  </si>
  <si>
    <t>=IF($J1340="Customer",NL("first",$J1340,"Name","No.","@@"&amp;$K1340),"")</t>
  </si>
  <si>
    <t>=IF(J1340="vendor",NL("first",J1340,"Name","No.","@@"&amp;K1340),"")</t>
  </si>
  <si>
    <t>=IF($J1340="Item",NL("first",$J1340,"Description","No.","@@"&amp;$K1340),"")</t>
  </si>
  <si>
    <t>=D1340</t>
  </si>
  <si>
    <t>="""NAV Direct"",""CRONUS JetCorp USA"",""32"",""1"",""168366"""</t>
  </si>
  <si>
    <t>=IF($J1341="Customer",NL("first",$J1341,"Name","No.","@@"&amp;$K1341),"")</t>
  </si>
  <si>
    <t>=IF(J1341="vendor",NL("first",J1341,"Name","No.","@@"&amp;K1341),"")</t>
  </si>
  <si>
    <t>=IF($J1341="Item",NL("first",$J1341,"Description","No.","@@"&amp;$K1341),"")</t>
  </si>
  <si>
    <t>=D1341</t>
  </si>
  <si>
    <t>="""NAV Direct"",""CRONUS JetCorp USA"",""32"",""1"",""158691"""</t>
  </si>
  <si>
    <t>=IF($J1342="Customer",NL("first",$J1342,"Name","No.","@@"&amp;$K1342),"")</t>
  </si>
  <si>
    <t>=IF(J1342="vendor",NL("first",J1342,"Name","No.","@@"&amp;K1342),"")</t>
  </si>
  <si>
    <t>=IF($J1342="Item",NL("first",$J1342,"Description","No.","@@"&amp;$K1342),"")</t>
  </si>
  <si>
    <t>=D1342</t>
  </si>
  <si>
    <t>="""NAV Direct"",""CRONUS JetCorp USA"",""32"",""1"",""44532"""</t>
  </si>
  <si>
    <t>=IF($J1343="Customer",NL("first",$J1343,"Name","No.","@@"&amp;$K1343),"")</t>
  </si>
  <si>
    <t>=IF(J1343="vendor",NL("first",J1343,"Name","No.","@@"&amp;K1343),"")</t>
  </si>
  <si>
    <t>=IF($J1343="Item",NL("first",$J1343,"Description","No.","@@"&amp;$K1343),"")</t>
  </si>
  <si>
    <t>=D1343</t>
  </si>
  <si>
    <t>="""NAV Direct"",""CRONUS JetCorp USA"",""32"",""1"",""78885"""</t>
  </si>
  <si>
    <t>=IF($J1344="Customer",NL("first",$J1344,"Name","No.","@@"&amp;$K1344),"")</t>
  </si>
  <si>
    <t>=IF(J1344="vendor",NL("first",J1344,"Name","No.","@@"&amp;K1344),"")</t>
  </si>
  <si>
    <t>=IF($J1344="Item",NL("first",$J1344,"Description","No.","@@"&amp;$K1344),"")</t>
  </si>
  <si>
    <t>=D1344</t>
  </si>
  <si>
    <t>="""NAV Direct"",""CRONUS JetCorp USA"",""32"",""1"",""78897"""</t>
  </si>
  <si>
    <t>=IF($J1345="Customer",NL("first",$J1345,"Name","No.","@@"&amp;$K1345),"")</t>
  </si>
  <si>
    <t>=IF(J1345="vendor",NL("first",J1345,"Name","No.","@@"&amp;K1345),"")</t>
  </si>
  <si>
    <t>=IF($J1345="Item",NL("first",$J1345,"Description","No.","@@"&amp;$K1345),"")</t>
  </si>
  <si>
    <t>=D1345</t>
  </si>
  <si>
    <t>="""NAV Direct"",""CRONUS JetCorp USA"",""32"",""1"",""153184"""</t>
  </si>
  <si>
    <t>=IF($J1346="Customer",NL("first",$J1346,"Name","No.","@@"&amp;$K1346),"")</t>
  </si>
  <si>
    <t>=IF(J1346="vendor",NL("first",J1346,"Name","No.","@@"&amp;K1346),"")</t>
  </si>
  <si>
    <t>=IF($J1346="Item",NL("first",$J1346,"Description","No.","@@"&amp;$K1346),"")</t>
  </si>
  <si>
    <t>=D1346</t>
  </si>
  <si>
    <t>="""NAV Direct"",""CRONUS JetCorp USA"",""32"",""1"",""78863"""</t>
  </si>
  <si>
    <t>=IF($J1347="Customer",NL("first",$J1347,"Name","No.","@@"&amp;$K1347),"")</t>
  </si>
  <si>
    <t>=IF(J1347="vendor",NL("first",J1347,"Name","No.","@@"&amp;K1347),"")</t>
  </si>
  <si>
    <t>=IF($J1347="Item",NL("first",$J1347,"Description","No.","@@"&amp;$K1347),"")</t>
  </si>
  <si>
    <t>=E1350</t>
  </si>
  <si>
    <t>=NL("First","Item","Description","No.",$E1350)</t>
  </si>
  <si>
    <t>=NL("First","Item","Base Unit of Measure","No.",$E1350)</t>
  </si>
  <si>
    <t>=(SUBTOTAL(9,O1351:O1359))</t>
  </si>
  <si>
    <t>=(SUBTOTAL(9,P1351:P1359))</t>
  </si>
  <si>
    <t>=(SUBTOTAL(9,Q1351:Q1359))</t>
  </si>
  <si>
    <t>=(SUBTOTAL(9,R1351:R1359))</t>
  </si>
  <si>
    <t>=(SUBTOTAL(9,S1351:S1359))</t>
  </si>
  <si>
    <t>=(SUBTOTAL(9,T1351:T1359))</t>
  </si>
  <si>
    <t>=SUBTOTAL(9,O1351:T1359)</t>
  </si>
  <si>
    <t>=D1350</t>
  </si>
  <si>
    <t>=NL("Rows","Item Ledger Entry",,"+Posting Date",$L$5,"Item No.","@@"&amp;$D1351,"Location Code",$L$7)</t>
  </si>
  <si>
    <t>=IF($J1351="Customer",NL("first",$J1351,"Name","No.","@@"&amp;$K1351),"")</t>
  </si>
  <si>
    <t>=IF(J1351="vendor",NL("first",J1351,"Name","No.","@@"&amp;K1351),"")</t>
  </si>
  <si>
    <t>=IF($J1351="Item",NL("first",$J1351,"Description","No.","@@"&amp;$K1351),"")</t>
  </si>
  <si>
    <t>=D1351</t>
  </si>
  <si>
    <t>="""NAV Direct"",""CRONUS JetCorp USA"",""32"",""1"",""168318"""</t>
  </si>
  <si>
    <t>=IF($J1352="Customer",NL("first",$J1352,"Name","No.","@@"&amp;$K1352),"")</t>
  </si>
  <si>
    <t>=IF(J1352="vendor",NL("first",J1352,"Name","No.","@@"&amp;K1352),"")</t>
  </si>
  <si>
    <t>=IF($J1352="Item",NL("first",$J1352,"Description","No.","@@"&amp;$K1352),"")</t>
  </si>
  <si>
    <t>=D1352</t>
  </si>
  <si>
    <t>="""NAV Direct"",""CRONUS JetCorp USA"",""32"",""1"",""168343"""</t>
  </si>
  <si>
    <t>=IF($J1353="Customer",NL("first",$J1353,"Name","No.","@@"&amp;$K1353),"")</t>
  </si>
  <si>
    <t>=IF(J1353="vendor",NL("first",J1353,"Name","No.","@@"&amp;K1353),"")</t>
  </si>
  <si>
    <t>=IF($J1353="Item",NL("first",$J1353,"Description","No.","@@"&amp;$K1353),"")</t>
  </si>
  <si>
    <t>=D1353</t>
  </si>
  <si>
    <t>="""NAV Direct"",""CRONUS JetCorp USA"",""32"",""1"",""168358"""</t>
  </si>
  <si>
    <t>=IF($J1354="Customer",NL("first",$J1354,"Name","No.","@@"&amp;$K1354),"")</t>
  </si>
  <si>
    <t>=IF(J1354="vendor",NL("first",J1354,"Name","No.","@@"&amp;K1354),"")</t>
  </si>
  <si>
    <t>=IF($J1354="Item",NL("first",$J1354,"Description","No.","@@"&amp;$K1354),"")</t>
  </si>
  <si>
    <t>=D1354</t>
  </si>
  <si>
    <t>="""NAV Direct"",""CRONUS JetCorp USA"",""32"",""1"",""168365"""</t>
  </si>
  <si>
    <t>=IF($J1355="Customer",NL("first",$J1355,"Name","No.","@@"&amp;$K1355),"")</t>
  </si>
  <si>
    <t>=IF(J1355="vendor",NL("first",J1355,"Name","No.","@@"&amp;K1355),"")</t>
  </si>
  <si>
    <t>=IF($J1355="Item",NL("first",$J1355,"Description","No.","@@"&amp;$K1355),"")</t>
  </si>
  <si>
    <t>=D1355</t>
  </si>
  <si>
    <t>="""NAV Direct"",""CRONUS JetCorp USA"",""32"",""1"",""153199"""</t>
  </si>
  <si>
    <t>=IF($J1356="Customer",NL("first",$J1356,"Name","No.","@@"&amp;$K1356),"")</t>
  </si>
  <si>
    <t>=IF(J1356="vendor",NL("first",J1356,"Name","No.","@@"&amp;K1356),"")</t>
  </si>
  <si>
    <t>=IF($J1356="Item",NL("first",$J1356,"Description","No.","@@"&amp;$K1356),"")</t>
  </si>
  <si>
    <t>=D1356</t>
  </si>
  <si>
    <t>="""NAV Direct"",""CRONUS JetCorp USA"",""32"",""1"",""153172"""</t>
  </si>
  <si>
    <t>=IF($J1357="Customer",NL("first",$J1357,"Name","No.","@@"&amp;$K1357),"")</t>
  </si>
  <si>
    <t>=IF(J1357="vendor",NL("first",J1357,"Name","No.","@@"&amp;K1357),"")</t>
  </si>
  <si>
    <t>=IF($J1357="Item",NL("first",$J1357,"Description","No.","@@"&amp;$K1357),"")</t>
  </si>
  <si>
    <t>=D1357</t>
  </si>
  <si>
    <t>="""NAV Direct"",""CRONUS JetCorp USA"",""32"",""1"",""54715"""</t>
  </si>
  <si>
    <t>=IF($J1358="Customer",NL("first",$J1358,"Name","No.","@@"&amp;$K1358),"")</t>
  </si>
  <si>
    <t>=IF(J1358="vendor",NL("first",J1358,"Name","No.","@@"&amp;K1358),"")</t>
  </si>
  <si>
    <t>=IF($J1358="Item",NL("first",$J1358,"Description","No.","@@"&amp;$K1358),"")</t>
  </si>
  <si>
    <t>=E1361</t>
  </si>
  <si>
    <t>=NL("First","Item","Description","No.",$E1361)</t>
  </si>
  <si>
    <t>=NL("First","Item","Base Unit of Measure","No.",$E1361)</t>
  </si>
  <si>
    <t>=(SUBTOTAL(9,O1362:O1373))</t>
  </si>
  <si>
    <t>=(SUBTOTAL(9,P1362:P1373))</t>
  </si>
  <si>
    <t>=(SUBTOTAL(9,Q1362:Q1373))</t>
  </si>
  <si>
    <t>=(SUBTOTAL(9,R1362:R1373))</t>
  </si>
  <si>
    <t>=(SUBTOTAL(9,S1362:S1373))</t>
  </si>
  <si>
    <t>=(SUBTOTAL(9,T1362:T1373))</t>
  </si>
  <si>
    <t>=SUBTOTAL(9,O1362:T1373)</t>
  </si>
  <si>
    <t>=D1361</t>
  </si>
  <si>
    <t>=NL("Rows","Item Ledger Entry",,"+Posting Date",$L$5,"Item No.","@@"&amp;$D1362,"Location Code",$L$7)</t>
  </si>
  <si>
    <t>=IF($J1362="Customer",NL("first",$J1362,"Name","No.","@@"&amp;$K1362),"")</t>
  </si>
  <si>
    <t>=IF(J1362="vendor",NL("first",J1362,"Name","No.","@@"&amp;K1362),"")</t>
  </si>
  <si>
    <t>=IF($J1362="Item",NL("first",$J1362,"Description","No.","@@"&amp;$K1362),"")</t>
  </si>
  <si>
    <t>=D1362</t>
  </si>
  <si>
    <t>="""NAV Direct"",""CRONUS JetCorp USA"",""32"",""1"",""168317"""</t>
  </si>
  <si>
    <t>=IF($J1363="Customer",NL("first",$J1363,"Name","No.","@@"&amp;$K1363),"")</t>
  </si>
  <si>
    <t>=IF(J1363="vendor",NL("first",J1363,"Name","No.","@@"&amp;K1363),"")</t>
  </si>
  <si>
    <t>=IF($J1363="Item",NL("first",$J1363,"Description","No.","@@"&amp;$K1363),"")</t>
  </si>
  <si>
    <t>=D1363</t>
  </si>
  <si>
    <t>="""NAV Direct"",""CRONUS JetCorp USA"",""32"",""1"",""168326"""</t>
  </si>
  <si>
    <t>=IF($J1364="Customer",NL("first",$J1364,"Name","No.","@@"&amp;$K1364),"")</t>
  </si>
  <si>
    <t>=IF(J1364="vendor",NL("first",J1364,"Name","No.","@@"&amp;K1364),"")</t>
  </si>
  <si>
    <t>=IF($J1364="Item",NL("first",$J1364,"Description","No.","@@"&amp;$K1364),"")</t>
  </si>
  <si>
    <t>=D1364</t>
  </si>
  <si>
    <t>="""NAV Direct"",""CRONUS JetCorp USA"",""32"",""1"",""168342"""</t>
  </si>
  <si>
    <t>=IF($J1365="Customer",NL("first",$J1365,"Name","No.","@@"&amp;$K1365),"")</t>
  </si>
  <si>
    <t>=IF(J1365="vendor",NL("first",J1365,"Name","No.","@@"&amp;K1365),"")</t>
  </si>
  <si>
    <t>=IF($J1365="Item",NL("first",$J1365,"Description","No.","@@"&amp;$K1365),"")</t>
  </si>
  <si>
    <t>=D1365</t>
  </si>
  <si>
    <t>="""NAV Direct"",""CRONUS JetCorp USA"",""32"",""1"",""168346"""</t>
  </si>
  <si>
    <t>=IF($J1366="Customer",NL("first",$J1366,"Name","No.","@@"&amp;$K1366),"")</t>
  </si>
  <si>
    <t>=IF(J1366="vendor",NL("first",J1366,"Name","No.","@@"&amp;K1366),"")</t>
  </si>
  <si>
    <t>=IF($J1366="Item",NL("first",$J1366,"Description","No.","@@"&amp;$K1366),"")</t>
  </si>
  <si>
    <t>=D1366</t>
  </si>
  <si>
    <t>="""NAV Direct"",""CRONUS JetCorp USA"",""32"",""1"",""168357"""</t>
  </si>
  <si>
    <t>=IF($J1367="Customer",NL("first",$J1367,"Name","No.","@@"&amp;$K1367),"")</t>
  </si>
  <si>
    <t>=IF(J1367="vendor",NL("first",J1367,"Name","No.","@@"&amp;K1367),"")</t>
  </si>
  <si>
    <t>=IF($J1367="Item",NL("first",$J1367,"Description","No.","@@"&amp;$K1367),"")</t>
  </si>
  <si>
    <t>=D1367</t>
  </si>
  <si>
    <t>="""NAV Direct"",""CRONUS JetCorp USA"",""32"",""1"",""72522"""</t>
  </si>
  <si>
    <t>=IF($J1368="Customer",NL("first",$J1368,"Name","No.","@@"&amp;$K1368),"")</t>
  </si>
  <si>
    <t>=IF(J1368="vendor",NL("first",J1368,"Name","No.","@@"&amp;K1368),"")</t>
  </si>
  <si>
    <t>=IF($J1368="Item",NL("first",$J1368,"Description","No.","@@"&amp;$K1368),"")</t>
  </si>
  <si>
    <t>=D1368</t>
  </si>
  <si>
    <t>="""NAV Direct"",""CRONUS JetCorp USA"",""32"",""1"",""78876"""</t>
  </si>
  <si>
    <t>=IF($J1369="Customer",NL("first",$J1369,"Name","No.","@@"&amp;$K1369),"")</t>
  </si>
  <si>
    <t>=IF(J1369="vendor",NL("first",J1369,"Name","No.","@@"&amp;K1369),"")</t>
  </si>
  <si>
    <t>=IF($J1369="Item",NL("first",$J1369,"Description","No.","@@"&amp;$K1369),"")</t>
  </si>
  <si>
    <t>=D1369</t>
  </si>
  <si>
    <t>="""NAV Direct"",""CRONUS JetCorp USA"",""32"",""1"",""64607"""</t>
  </si>
  <si>
    <t>=IF($J1370="Customer",NL("first",$J1370,"Name","No.","@@"&amp;$K1370),"")</t>
  </si>
  <si>
    <t>=IF(J1370="vendor",NL("first",J1370,"Name","No.","@@"&amp;K1370),"")</t>
  </si>
  <si>
    <t>=IF($J1370="Item",NL("first",$J1370,"Description","No.","@@"&amp;$K1370),"")</t>
  </si>
  <si>
    <t>=D1370</t>
  </si>
  <si>
    <t>="""NAV Direct"",""CRONUS JetCorp USA"",""32"",""1"",""78891"""</t>
  </si>
  <si>
    <t>=IF($J1371="Customer",NL("first",$J1371,"Name","No.","@@"&amp;$K1371),"")</t>
  </si>
  <si>
    <t>=IF(J1371="vendor",NL("first",J1371,"Name","No.","@@"&amp;K1371),"")</t>
  </si>
  <si>
    <t>=IF($J1371="Item",NL("first",$J1371,"Description","No.","@@"&amp;$K1371),"")</t>
  </si>
  <si>
    <t>=D1371</t>
  </si>
  <si>
    <t>="""NAV Direct"",""CRONUS JetCorp USA"",""32"",""1"",""64626"""</t>
  </si>
  <si>
    <t>=IF($J1372="Customer",NL("first",$J1372,"Name","No.","@@"&amp;$K1372),"")</t>
  </si>
  <si>
    <t>=IF(J1372="vendor",NL("first",J1372,"Name","No.","@@"&amp;K1372),"")</t>
  </si>
  <si>
    <t>=IF($J1372="Item",NL("first",$J1372,"Description","No.","@@"&amp;$K1372),"")</t>
  </si>
  <si>
    <t>=E1375</t>
  </si>
  <si>
    <t>=NL("First","Item","Description","No.",$E1375)</t>
  </si>
  <si>
    <t>=NL("First","Item","Base Unit of Measure","No.",$E1375)</t>
  </si>
  <si>
    <t>=(SUBTOTAL(9,O1376:O1386))</t>
  </si>
  <si>
    <t>=(SUBTOTAL(9,P1376:P1386))</t>
  </si>
  <si>
    <t>=(SUBTOTAL(9,Q1376:Q1386))</t>
  </si>
  <si>
    <t>=(SUBTOTAL(9,R1376:R1386))</t>
  </si>
  <si>
    <t>=(SUBTOTAL(9,S1376:S1386))</t>
  </si>
  <si>
    <t>=(SUBTOTAL(9,T1376:T1386))</t>
  </si>
  <si>
    <t>=SUBTOTAL(9,O1376:T1386)</t>
  </si>
  <si>
    <t>=D1375</t>
  </si>
  <si>
    <t>=NL("Rows","Item Ledger Entry",,"+Posting Date",$L$5,"Item No.","@@"&amp;$D1376,"Location Code",$L$7)</t>
  </si>
  <si>
    <t>=IF($J1376="Customer",NL("first",$J1376,"Name","No.","@@"&amp;$K1376),"")</t>
  </si>
  <si>
    <t>=IF(J1376="vendor",NL("first",J1376,"Name","No.","@@"&amp;K1376),"")</t>
  </si>
  <si>
    <t>=IF($J1376="Item",NL("first",$J1376,"Description","No.","@@"&amp;$K1376),"")</t>
  </si>
  <si>
    <t>=D1376</t>
  </si>
  <si>
    <t>="""NAV Direct"",""CRONUS JetCorp USA"",""32"",""1"",""168325"""</t>
  </si>
  <si>
    <t>=IF($J1377="Customer",NL("first",$J1377,"Name","No.","@@"&amp;$K1377),"")</t>
  </si>
  <si>
    <t>=IF(J1377="vendor",NL("first",J1377,"Name","No.","@@"&amp;K1377),"")</t>
  </si>
  <si>
    <t>=IF($J1377="Item",NL("first",$J1377,"Description","No.","@@"&amp;$K1377),"")</t>
  </si>
  <si>
    <t>=D1377</t>
  </si>
  <si>
    <t>="""NAV Direct"",""CRONUS JetCorp USA"",""32"",""1"",""168341"""</t>
  </si>
  <si>
    <t>=IF($J1378="Customer",NL("first",$J1378,"Name","No.","@@"&amp;$K1378),"")</t>
  </si>
  <si>
    <t>=IF(J1378="vendor",NL("first",J1378,"Name","No.","@@"&amp;K1378),"")</t>
  </si>
  <si>
    <t>=IF($J1378="Item",NL("first",$J1378,"Description","No.","@@"&amp;$K1378),"")</t>
  </si>
  <si>
    <t>=D1378</t>
  </si>
  <si>
    <t>="""NAV Direct"",""CRONUS JetCorp USA"",""32"",""1"",""168356"""</t>
  </si>
  <si>
    <t>=IF($J1379="Customer",NL("first",$J1379,"Name","No.","@@"&amp;$K1379),"")</t>
  </si>
  <si>
    <t>=IF(J1379="vendor",NL("first",J1379,"Name","No.","@@"&amp;K1379),"")</t>
  </si>
  <si>
    <t>=IF($J1379="Item",NL("first",$J1379,"Description","No.","@@"&amp;$K1379),"")</t>
  </si>
  <si>
    <t>=D1379</t>
  </si>
  <si>
    <t>="""NAV Direct"",""CRONUS JetCorp USA"",""32"",""1"",""168364"""</t>
  </si>
  <si>
    <t>=IF($J1380="Customer",NL("first",$J1380,"Name","No.","@@"&amp;$K1380),"")</t>
  </si>
  <si>
    <t>=IF(J1380="vendor",NL("first",J1380,"Name","No.","@@"&amp;K1380),"")</t>
  </si>
  <si>
    <t>=IF($J1380="Item",NL("first",$J1380,"Description","No.","@@"&amp;$K1380),"")</t>
  </si>
  <si>
    <t>=D1380</t>
  </si>
  <si>
    <t>="""NAV Direct"",""CRONUS JetCorp USA"",""32"",""1"",""78835"""</t>
  </si>
  <si>
    <t>=IF($J1381="Customer",NL("first",$J1381,"Name","No.","@@"&amp;$K1381),"")</t>
  </si>
  <si>
    <t>=IF(J1381="vendor",NL("first",J1381,"Name","No.","@@"&amp;K1381),"")</t>
  </si>
  <si>
    <t>=IF($J1381="Item",NL("first",$J1381,"Description","No.","@@"&amp;$K1381),"")</t>
  </si>
  <si>
    <t>=D1381</t>
  </si>
  <si>
    <t>="""NAV Direct"",""CRONUS JetCorp USA"",""32"",""1"",""153192"""</t>
  </si>
  <si>
    <t>=IF($J1382="Customer",NL("first",$J1382,"Name","No.","@@"&amp;$K1382),"")</t>
  </si>
  <si>
    <t>=IF(J1382="vendor",NL("first",J1382,"Name","No.","@@"&amp;K1382),"")</t>
  </si>
  <si>
    <t>=IF($J1382="Item",NL("first",$J1382,"Description","No.","@@"&amp;$K1382),"")</t>
  </si>
  <si>
    <t>=D1382</t>
  </si>
  <si>
    <t>="""NAV Direct"",""CRONUS JetCorp USA"",""32"",""1"",""78878"""</t>
  </si>
  <si>
    <t>=IF($J1383="Customer",NL("first",$J1383,"Name","No.","@@"&amp;$K1383),"")</t>
  </si>
  <si>
    <t>=IF(J1383="vendor",NL("first",J1383,"Name","No.","@@"&amp;K1383),"")</t>
  </si>
  <si>
    <t>=IF($J1383="Item",NL("first",$J1383,"Description","No.","@@"&amp;$K1383),"")</t>
  </si>
  <si>
    <t>=D1383</t>
  </si>
  <si>
    <t>="""NAV Direct"",""CRONUS JetCorp USA"",""32"",""1"",""54730"""</t>
  </si>
  <si>
    <t>=IF($J1384="Customer",NL("first",$J1384,"Name","No.","@@"&amp;$K1384),"")</t>
  </si>
  <si>
    <t>=IF(J1384="vendor",NL("first",J1384,"Name","No.","@@"&amp;K1384),"")</t>
  </si>
  <si>
    <t>=IF($J1384="Item",NL("first",$J1384,"Description","No.","@@"&amp;$K1384),"")</t>
  </si>
  <si>
    <t>=D1384</t>
  </si>
  <si>
    <t>="""NAV Direct"",""CRONUS JetCorp USA"",""32"",""1"",""78894"""</t>
  </si>
  <si>
    <t>=IF($J1385="Customer",NL("first",$J1385,"Name","No.","@@"&amp;$K1385),"")</t>
  </si>
  <si>
    <t>=IF(J1385="vendor",NL("first",J1385,"Name","No.","@@"&amp;K1385),"")</t>
  </si>
  <si>
    <t>=IF($J1385="Item",NL("first",$J1385,"Description","No.","@@"&amp;$K1385),"")</t>
  </si>
  <si>
    <t>=E1388</t>
  </si>
  <si>
    <t>=NL("First","Item","Description","No.",$E1388)</t>
  </si>
  <si>
    <t>=NL("First","Item","Base Unit of Measure","No.",$E1388)</t>
  </si>
  <si>
    <t>=(SUBTOTAL(9,O1389:O1395))</t>
  </si>
  <si>
    <t>=(SUBTOTAL(9,P1389:P1395))</t>
  </si>
  <si>
    <t>=(SUBTOTAL(9,Q1389:Q1395))</t>
  </si>
  <si>
    <t>=(SUBTOTAL(9,R1389:R1395))</t>
  </si>
  <si>
    <t>=(SUBTOTAL(9,S1389:S1395))</t>
  </si>
  <si>
    <t>=(SUBTOTAL(9,T1389:T1395))</t>
  </si>
  <si>
    <t>=SUBTOTAL(9,O1389:T1395)</t>
  </si>
  <si>
    <t>=D1388</t>
  </si>
  <si>
    <t>=NL("Rows","Item Ledger Entry",,"+Posting Date",$L$5,"Item No.","@@"&amp;$D1389,"Location Code",$L$7)</t>
  </si>
  <si>
    <t>=IF($J1389="Customer",NL("first",$J1389,"Name","No.","@@"&amp;$K1389),"")</t>
  </si>
  <si>
    <t>=IF(J1389="vendor",NL("first",J1389,"Name","No.","@@"&amp;K1389),"")</t>
  </si>
  <si>
    <t>=IF($J1389="Item",NL("first",$J1389,"Description","No.","@@"&amp;$K1389),"")</t>
  </si>
  <si>
    <t>=D1389</t>
  </si>
  <si>
    <t>="""NAV Direct"",""CRONUS JetCorp USA"",""32"",""1"",""168340"""</t>
  </si>
  <si>
    <t>=IF($J1390="Customer",NL("first",$J1390,"Name","No.","@@"&amp;$K1390),"")</t>
  </si>
  <si>
    <t>=IF(J1390="vendor",NL("first",J1390,"Name","No.","@@"&amp;K1390),"")</t>
  </si>
  <si>
    <t>=IF($J1390="Item",NL("first",$J1390,"Description","No.","@@"&amp;$K1390),"")</t>
  </si>
  <si>
    <t>=D1390</t>
  </si>
  <si>
    <t>="""NAV Direct"",""CRONUS JetCorp USA"",""32"",""1"",""168355"""</t>
  </si>
  <si>
    <t>=IF($J1391="Customer",NL("first",$J1391,"Name","No.","@@"&amp;$K1391),"")</t>
  </si>
  <si>
    <t>=IF(J1391="vendor",NL("first",J1391,"Name","No.","@@"&amp;K1391),"")</t>
  </si>
  <si>
    <t>=IF($J1391="Item",NL("first",$J1391,"Description","No.","@@"&amp;$K1391),"")</t>
  </si>
  <si>
    <t>=D1391</t>
  </si>
  <si>
    <t>="""NAV Direct"",""CRONUS JetCorp USA"",""32"",""1"",""78833"""</t>
  </si>
  <si>
    <t>=IF($J1392="Customer",NL("first",$J1392,"Name","No.","@@"&amp;$K1392),"")</t>
  </si>
  <si>
    <t>=IF(J1392="vendor",NL("first",J1392,"Name","No.","@@"&amp;K1392),"")</t>
  </si>
  <si>
    <t>=IF($J1392="Item",NL("first",$J1392,"Description","No.","@@"&amp;$K1392),"")</t>
  </si>
  <si>
    <t>=D1392</t>
  </si>
  <si>
    <t>="""NAV Direct"",""CRONUS JetCorp USA"",""32"",""1"",""54728"""</t>
  </si>
  <si>
    <t>=IF($J1393="Customer",NL("first",$J1393,"Name","No.","@@"&amp;$K1393),"")</t>
  </si>
  <si>
    <t>=IF(J1393="vendor",NL("first",J1393,"Name","No.","@@"&amp;K1393),"")</t>
  </si>
  <si>
    <t>=IF($J1393="Item",NL("first",$J1393,"Description","No.","@@"&amp;$K1393),"")</t>
  </si>
  <si>
    <t>=D1393</t>
  </si>
  <si>
    <t>="""NAV Direct"",""CRONUS JetCorp USA"",""32"",""1"",""44521"""</t>
  </si>
  <si>
    <t>=IF($J1394="Customer",NL("first",$J1394,"Name","No.","@@"&amp;$K1394),"")</t>
  </si>
  <si>
    <t>=IF(J1394="vendor",NL("first",J1394,"Name","No.","@@"&amp;K1394),"")</t>
  </si>
  <si>
    <t>=IF($J1394="Item",NL("first",$J1394,"Description","No.","@@"&amp;$K1394),"")</t>
  </si>
  <si>
    <t>=E1397</t>
  </si>
  <si>
    <t>=NL("First","Item","Description","No.",$E1397)</t>
  </si>
  <si>
    <t>=NL("First","Item","Base Unit of Measure","No.",$E1397)</t>
  </si>
  <si>
    <t>=(SUBTOTAL(9,O1398:O1403))</t>
  </si>
  <si>
    <t>=(SUBTOTAL(9,P1398:P1403))</t>
  </si>
  <si>
    <t>=(SUBTOTAL(9,Q1398:Q1403))</t>
  </si>
  <si>
    <t>=(SUBTOTAL(9,R1398:R1403))</t>
  </si>
  <si>
    <t>=(SUBTOTAL(9,S1398:S1403))</t>
  </si>
  <si>
    <t>=(SUBTOTAL(9,T1398:T1403))</t>
  </si>
  <si>
    <t>=SUBTOTAL(9,O1398:T1403)</t>
  </si>
  <si>
    <t>=D1397</t>
  </si>
  <si>
    <t>=NL("Rows","Item Ledger Entry",,"+Posting Date",$L$5,"Item No.","@@"&amp;$D1398,"Location Code",$L$7)</t>
  </si>
  <si>
    <t>=IF($J1398="Customer",NL("first",$J1398,"Name","No.","@@"&amp;$K1398),"")</t>
  </si>
  <si>
    <t>=IF(J1398="vendor",NL("first",J1398,"Name","No.","@@"&amp;K1398),"")</t>
  </si>
  <si>
    <t>=IF($J1398="Item",NL("first",$J1398,"Description","No.","@@"&amp;$K1398),"")</t>
  </si>
  <si>
    <t>=D1398</t>
  </si>
  <si>
    <t>="""NAV Direct"",""CRONUS JetCorp USA"",""32"",""1"",""168339"""</t>
  </si>
  <si>
    <t>=IF($J1399="Customer",NL("first",$J1399,"Name","No.","@@"&amp;$K1399),"")</t>
  </si>
  <si>
    <t>=IF(J1399="vendor",NL("first",J1399,"Name","No.","@@"&amp;K1399),"")</t>
  </si>
  <si>
    <t>=IF($J1399="Item",NL("first",$J1399,"Description","No.","@@"&amp;$K1399),"")</t>
  </si>
  <si>
    <t>=D1399</t>
  </si>
  <si>
    <t>="""NAV Direct"",""CRONUS JetCorp USA"",""32"",""1"",""168354"""</t>
  </si>
  <si>
    <t>=IF($J1400="Customer",NL("first",$J1400,"Name","No.","@@"&amp;$K1400),"")</t>
  </si>
  <si>
    <t>=IF(J1400="vendor",NL("first",J1400,"Name","No.","@@"&amp;K1400),"")</t>
  </si>
  <si>
    <t>=IF($J1400="Item",NL("first",$J1400,"Description","No.","@@"&amp;$K1400),"")</t>
  </si>
  <si>
    <t>=D1400</t>
  </si>
  <si>
    <t>="""NAV Direct"",""CRONUS JetCorp USA"",""32"",""1"",""78832"""</t>
  </si>
  <si>
    <t>=IF($J1401="Customer",NL("first",$J1401,"Name","No.","@@"&amp;$K1401),"")</t>
  </si>
  <si>
    <t>=IF(J1401="vendor",NL("first",J1401,"Name","No.","@@"&amp;K1401),"")</t>
  </si>
  <si>
    <t>=IF($J1401="Item",NL("first",$J1401,"Description","No.","@@"&amp;$K1401),"")</t>
  </si>
  <si>
    <t>=D1401</t>
  </si>
  <si>
    <t>="""NAV Direct"",""CRONUS JetCorp USA"",""32"",""1"",""72513"""</t>
  </si>
  <si>
    <t>=IF($J1402="Customer",NL("first",$J1402,"Name","No.","@@"&amp;$K1402),"")</t>
  </si>
  <si>
    <t>=IF(J1402="vendor",NL("first",J1402,"Name","No.","@@"&amp;K1402),"")</t>
  </si>
  <si>
    <t>=IF($J1402="Item",NL("first",$J1402,"Description","No.","@@"&amp;$K1402),"")</t>
  </si>
  <si>
    <t>=E1405</t>
  </si>
  <si>
    <t>=NL("First","Item","Description","No.",$E1405)</t>
  </si>
  <si>
    <t>=NL("First","Item","Base Unit of Measure","No.",$E1405)</t>
  </si>
  <si>
    <t>=(SUBTOTAL(9,O1406:O1414))</t>
  </si>
  <si>
    <t>=(SUBTOTAL(9,P1406:P1414))</t>
  </si>
  <si>
    <t>=(SUBTOTAL(9,Q1406:Q1414))</t>
  </si>
  <si>
    <t>=(SUBTOTAL(9,R1406:R1414))</t>
  </si>
  <si>
    <t>=(SUBTOTAL(9,S1406:S1414))</t>
  </si>
  <si>
    <t>=(SUBTOTAL(9,T1406:T1414))</t>
  </si>
  <si>
    <t>=SUBTOTAL(9,O1406:T1414)</t>
  </si>
  <si>
    <t>=D1405</t>
  </si>
  <si>
    <t>=NL("Rows","Item Ledger Entry",,"+Posting Date",$L$5,"Item No.","@@"&amp;$D1406,"Location Code",$L$7)</t>
  </si>
  <si>
    <t>=IF($J1406="Customer",NL("first",$J1406,"Name","No.","@@"&amp;$K1406),"")</t>
  </si>
  <si>
    <t>=IF(J1406="vendor",NL("first",J1406,"Name","No.","@@"&amp;K1406),"")</t>
  </si>
  <si>
    <t>=IF($J1406="Item",NL("first",$J1406,"Description","No.","@@"&amp;$K1406),"")</t>
  </si>
  <si>
    <t>=D1406</t>
  </si>
  <si>
    <t>="""NAV Direct"",""CRONUS JetCorp USA"",""32"",""1"",""168314"""</t>
  </si>
  <si>
    <t>=IF($J1407="Customer",NL("first",$J1407,"Name","No.","@@"&amp;$K1407),"")</t>
  </si>
  <si>
    <t>=IF(J1407="vendor",NL("first",J1407,"Name","No.","@@"&amp;K1407),"")</t>
  </si>
  <si>
    <t>=IF($J1407="Item",NL("first",$J1407,"Description","No.","@@"&amp;$K1407),"")</t>
  </si>
  <si>
    <t>=D1407</t>
  </si>
  <si>
    <t>="""NAV Direct"",""CRONUS JetCorp USA"",""32"",""1"",""168338"""</t>
  </si>
  <si>
    <t>=IF($J1408="Customer",NL("first",$J1408,"Name","No.","@@"&amp;$K1408),"")</t>
  </si>
  <si>
    <t>=IF(J1408="vendor",NL("first",J1408,"Name","No.","@@"&amp;K1408),"")</t>
  </si>
  <si>
    <t>=IF($J1408="Item",NL("first",$J1408,"Description","No.","@@"&amp;$K1408),"")</t>
  </si>
  <si>
    <t>=D1408</t>
  </si>
  <si>
    <t>="""NAV Direct"",""CRONUS JetCorp USA"",""32"",""1"",""168353"""</t>
  </si>
  <si>
    <t>=IF($J1409="Customer",NL("first",$J1409,"Name","No.","@@"&amp;$K1409),"")</t>
  </si>
  <si>
    <t>=IF(J1409="vendor",NL("first",J1409,"Name","No.","@@"&amp;K1409),"")</t>
  </si>
  <si>
    <t>=IF($J1409="Item",NL("first",$J1409,"Description","No.","@@"&amp;$K1409),"")</t>
  </si>
  <si>
    <t>=D1409</t>
  </si>
  <si>
    <t>="""NAV Direct"",""CRONUS JetCorp USA"",""32"",""1"",""168363"""</t>
  </si>
  <si>
    <t>=IF($J1410="Customer",NL("first",$J1410,"Name","No.","@@"&amp;$K1410),"")</t>
  </si>
  <si>
    <t>=IF(J1410="vendor",NL("first",J1410,"Name","No.","@@"&amp;K1410),"")</t>
  </si>
  <si>
    <t>=IF($J1410="Item",NL("first",$J1410,"Description","No.","@@"&amp;$K1410),"")</t>
  </si>
  <si>
    <t>=D1410</t>
  </si>
  <si>
    <t>="""NAV Direct"",""CRONUS JetCorp USA"",""32"",""1"",""64592"""</t>
  </si>
  <si>
    <t>=IF($J1411="Customer",NL("first",$J1411,"Name","No.","@@"&amp;$K1411),"")</t>
  </si>
  <si>
    <t>=IF(J1411="vendor",NL("first",J1411,"Name","No.","@@"&amp;K1411),"")</t>
  </si>
  <si>
    <t>=IF($J1411="Item",NL("first",$J1411,"Description","No.","@@"&amp;$K1411),"")</t>
  </si>
  <si>
    <t>=D1411</t>
  </si>
  <si>
    <t>="""NAV Direct"",""CRONUS JetCorp USA"",""32"",""1"",""54738"""</t>
  </si>
  <si>
    <t>=IF($J1412="Customer",NL("first",$J1412,"Name","No.","@@"&amp;$K1412),"")</t>
  </si>
  <si>
    <t>=IF(J1412="vendor",NL("first",J1412,"Name","No.","@@"&amp;K1412),"")</t>
  </si>
  <si>
    <t>=IF($J1412="Item",NL("first",$J1412,"Description","No.","@@"&amp;$K1412),"")</t>
  </si>
  <si>
    <t>=D1412</t>
  </si>
  <si>
    <t>="""NAV Direct"",""CRONUS JetCorp USA"",""32"",""1"",""54716"""</t>
  </si>
  <si>
    <t>=IF($J1413="Customer",NL("first",$J1413,"Name","No.","@@"&amp;$K1413),"")</t>
  </si>
  <si>
    <t>=IF(J1413="vendor",NL("first",J1413,"Name","No.","@@"&amp;K1413),"")</t>
  </si>
  <si>
    <t>=IF($J1413="Item",NL("first",$J1413,"Description","No.","@@"&amp;$K1413),"")</t>
  </si>
  <si>
    <t>=E1416</t>
  </si>
  <si>
    <t>=NL("First","Item","Description","No.",$E1416)</t>
  </si>
  <si>
    <t>=NL("First","Item","Base Unit of Measure","No.",$E1416)</t>
  </si>
  <si>
    <t>=(SUBTOTAL(9,O1417:O1420))</t>
  </si>
  <si>
    <t>=(SUBTOTAL(9,P1417:P1420))</t>
  </si>
  <si>
    <t>=(SUBTOTAL(9,Q1417:Q1420))</t>
  </si>
  <si>
    <t>=(SUBTOTAL(9,R1417:R1420))</t>
  </si>
  <si>
    <t>=(SUBTOTAL(9,S1417:S1420))</t>
  </si>
  <si>
    <t>=(SUBTOTAL(9,T1417:T1420))</t>
  </si>
  <si>
    <t>=SUBTOTAL(9,O1417:T1420)</t>
  </si>
  <si>
    <t>=D1416</t>
  </si>
  <si>
    <t>=NL("Rows","Item Ledger Entry",,"+Posting Date",$L$5,"Item No.","@@"&amp;$D1417,"Location Code",$L$7)</t>
  </si>
  <si>
    <t>=IF($J1417="Customer",NL("first",$J1417,"Name","No.","@@"&amp;$K1417),"")</t>
  </si>
  <si>
    <t>=IF(J1417="vendor",NL("first",J1417,"Name","No.","@@"&amp;K1417),"")</t>
  </si>
  <si>
    <t>=IF($J1417="Item",NL("first",$J1417,"Description","No.","@@"&amp;$K1417),"")</t>
  </si>
  <si>
    <t>=D1417</t>
  </si>
  <si>
    <t>="""NAV Direct"",""CRONUS JetCorp USA"",""32"",""1"",""168352"""</t>
  </si>
  <si>
    <t>=IF($J1418="Customer",NL("first",$J1418,"Name","No.","@@"&amp;$K1418),"")</t>
  </si>
  <si>
    <t>=IF(J1418="vendor",NL("first",J1418,"Name","No.","@@"&amp;K1418),"")</t>
  </si>
  <si>
    <t>=IF($J1418="Item",NL("first",$J1418,"Description","No.","@@"&amp;$K1418),"")</t>
  </si>
  <si>
    <t>=D1418</t>
  </si>
  <si>
    <t>="""NAV Direct"",""CRONUS JetCorp USA"",""32"",""1"",""54696"""</t>
  </si>
  <si>
    <t>=IF($J1419="Customer",NL("first",$J1419,"Name","No.","@@"&amp;$K1419),"")</t>
  </si>
  <si>
    <t>=IF(J1419="vendor",NL("first",J1419,"Name","No.","@@"&amp;K1419),"")</t>
  </si>
  <si>
    <t>=IF($J1419="Item",NL("first",$J1419,"Description","No.","@@"&amp;$K1419),"")</t>
  </si>
  <si>
    <t>=E1422</t>
  </si>
  <si>
    <t>=NL("First","Item","Description","No.",$E1422)</t>
  </si>
  <si>
    <t>=NL("First","Item","Base Unit of Measure","No.",$E1422)</t>
  </si>
  <si>
    <t>=(SUBTOTAL(9,O1423:O1435))</t>
  </si>
  <si>
    <t>=(SUBTOTAL(9,P1423:P1435))</t>
  </si>
  <si>
    <t>=(SUBTOTAL(9,Q1423:Q1435))</t>
  </si>
  <si>
    <t>=(SUBTOTAL(9,R1423:R1435))</t>
  </si>
  <si>
    <t>=(SUBTOTAL(9,S1423:S1435))</t>
  </si>
  <si>
    <t>=(SUBTOTAL(9,T1423:T1435))</t>
  </si>
  <si>
    <t>=SUBTOTAL(9,O1423:T1435)</t>
  </si>
  <si>
    <t>=D1422</t>
  </si>
  <si>
    <t>=NL("Rows","Item Ledger Entry",,"+Posting Date",$L$5,"Item No.","@@"&amp;$D1423,"Location Code",$L$7)</t>
  </si>
  <si>
    <t>=IF($J1423="Customer",NL("first",$J1423,"Name","No.","@@"&amp;$K1423),"")</t>
  </si>
  <si>
    <t>=IF(J1423="vendor",NL("first",J1423,"Name","No.","@@"&amp;K1423),"")</t>
  </si>
  <si>
    <t>=IF($J1423="Item",NL("first",$J1423,"Description","No.","@@"&amp;$K1423),"")</t>
  </si>
  <si>
    <t>=D1423</t>
  </si>
  <si>
    <t>="""NAV Direct"",""CRONUS JetCorp USA"",""32"",""1"",""168336"""</t>
  </si>
  <si>
    <t>=IF($J1424="Customer",NL("first",$J1424,"Name","No.","@@"&amp;$K1424),"")</t>
  </si>
  <si>
    <t>=IF(J1424="vendor",NL("first",J1424,"Name","No.","@@"&amp;K1424),"")</t>
  </si>
  <si>
    <t>=IF($J1424="Item",NL("first",$J1424,"Description","No.","@@"&amp;$K1424),"")</t>
  </si>
  <si>
    <t>=D1424</t>
  </si>
  <si>
    <t>="""NAV Direct"",""CRONUS JetCorp USA"",""32"",""1"",""168351"""</t>
  </si>
  <si>
    <t>=IF($J1425="Customer",NL("first",$J1425,"Name","No.","@@"&amp;$K1425),"")</t>
  </si>
  <si>
    <t>=IF(J1425="vendor",NL("first",J1425,"Name","No.","@@"&amp;K1425),"")</t>
  </si>
  <si>
    <t>=IF($J1425="Item",NL("first",$J1425,"Description","No.","@@"&amp;$K1425),"")</t>
  </si>
  <si>
    <t>=D1425</t>
  </si>
  <si>
    <t>="""NAV Direct"",""CRONUS JetCorp USA"",""32"",""1"",""64591"""</t>
  </si>
  <si>
    <t>=IF($J1426="Customer",NL("first",$J1426,"Name","No.","@@"&amp;$K1426),"")</t>
  </si>
  <si>
    <t>=IF(J1426="vendor",NL("first",J1426,"Name","No.","@@"&amp;K1426),"")</t>
  </si>
  <si>
    <t>=IF($J1426="Item",NL("first",$J1426,"Description","No.","@@"&amp;$K1426),"")</t>
  </si>
  <si>
    <t>=D1426</t>
  </si>
  <si>
    <t>="""NAV Direct"",""CRONUS JetCorp USA"",""32"",""1"",""72524"""</t>
  </si>
  <si>
    <t>=IF($J1427="Customer",NL("first",$J1427,"Name","No.","@@"&amp;$K1427),"")</t>
  </si>
  <si>
    <t>=IF(J1427="vendor",NL("first",J1427,"Name","No.","@@"&amp;K1427),"")</t>
  </si>
  <si>
    <t>=IF($J1427="Item",NL("first",$J1427,"Description","No.","@@"&amp;$K1427),"")</t>
  </si>
  <si>
    <t>=D1427</t>
  </si>
  <si>
    <t>="""NAV Direct"",""CRONUS JetCorp USA"",""32"",""1"",""158694"""</t>
  </si>
  <si>
    <t>=IF($J1428="Customer",NL("first",$J1428,"Name","No.","@@"&amp;$K1428),"")</t>
  </si>
  <si>
    <t>=IF(J1428="vendor",NL("first",J1428,"Name","No.","@@"&amp;K1428),"")</t>
  </si>
  <si>
    <t>=IF($J1428="Item",NL("first",$J1428,"Description","No.","@@"&amp;$K1428),"")</t>
  </si>
  <si>
    <t>=D1428</t>
  </si>
  <si>
    <t>="""NAV Direct"",""CRONUS JetCorp USA"",""32"",""1"",""44481"""</t>
  </si>
  <si>
    <t>=IF($J1429="Customer",NL("first",$J1429,"Name","No.","@@"&amp;$K1429),"")</t>
  </si>
  <si>
    <t>=IF(J1429="vendor",NL("first",J1429,"Name","No.","@@"&amp;K1429),"")</t>
  </si>
  <si>
    <t>=IF($J1429="Item",NL("first",$J1429,"Description","No.","@@"&amp;$K1429),"")</t>
  </si>
  <si>
    <t>=D1429</t>
  </si>
  <si>
    <t>="""NAV Direct"",""CRONUS JetCorp USA"",""32"",""1"",""54743"""</t>
  </si>
  <si>
    <t>=IF($J1430="Customer",NL("first",$J1430,"Name","No.","@@"&amp;$K1430),"")</t>
  </si>
  <si>
    <t>=IF(J1430="vendor",NL("first",J1430,"Name","No.","@@"&amp;K1430),"")</t>
  </si>
  <si>
    <t>=IF($J1430="Item",NL("first",$J1430,"Description","No.","@@"&amp;$K1430),"")</t>
  </si>
  <si>
    <t>=D1430</t>
  </si>
  <si>
    <t>="""NAV Direct"",""CRONUS JetCorp USA"",""32"",""1"",""44536"""</t>
  </si>
  <si>
    <t>=IF($J1431="Customer",NL("first",$J1431,"Name","No.","@@"&amp;$K1431),"")</t>
  </si>
  <si>
    <t>=IF(J1431="vendor",NL("first",J1431,"Name","No.","@@"&amp;K1431),"")</t>
  </si>
  <si>
    <t>=IF($J1431="Item",NL("first",$J1431,"Description","No.","@@"&amp;$K1431),"")</t>
  </si>
  <si>
    <t>=D1431</t>
  </si>
  <si>
    <t>="""NAV Direct"",""CRONUS JetCorp USA"",""32"",""1"",""159119"""</t>
  </si>
  <si>
    <t>=IF($J1432="Customer",NL("first",$J1432,"Name","No.","@@"&amp;$K1432),"")</t>
  </si>
  <si>
    <t>=IF(J1432="vendor",NL("first",J1432,"Name","No.","@@"&amp;K1432),"")</t>
  </si>
  <si>
    <t>=IF($J1432="Item",NL("first",$J1432,"Description","No.","@@"&amp;$K1432),"")</t>
  </si>
  <si>
    <t>=D1432</t>
  </si>
  <si>
    <t>="""NAV Direct"",""CRONUS JetCorp USA"",""32"",""1"",""64628"""</t>
  </si>
  <si>
    <t>=IF($J1433="Customer",NL("first",$J1433,"Name","No.","@@"&amp;$K1433),"")</t>
  </si>
  <si>
    <t>=IF(J1433="vendor",NL("first",J1433,"Name","No.","@@"&amp;K1433),"")</t>
  </si>
  <si>
    <t>=IF($J1433="Item",NL("first",$J1433,"Description","No.","@@"&amp;$K1433),"")</t>
  </si>
  <si>
    <t>=D1433</t>
  </si>
  <si>
    <t>="""NAV Direct"",""CRONUS JetCorp USA"",""32"",""1"",""78870"""</t>
  </si>
  <si>
    <t>=IF($J1434="Customer",NL("first",$J1434,"Name","No.","@@"&amp;$K1434),"")</t>
  </si>
  <si>
    <t>=IF(J1434="vendor",NL("first",J1434,"Name","No.","@@"&amp;K1434),"")</t>
  </si>
  <si>
    <t>=IF($J1434="Item",NL("first",$J1434,"Description","No.","@@"&amp;$K1434),"")</t>
  </si>
  <si>
    <t>=E1437</t>
  </si>
  <si>
    <t>=NL("First","Item","Description","No.",$E1437)</t>
  </si>
  <si>
    <t>=NL("First","Item","Base Unit of Measure","No.",$E1437)</t>
  </si>
  <si>
    <t>=(SUBTOTAL(9,O1438:O1450))</t>
  </si>
  <si>
    <t>=(SUBTOTAL(9,P1438:P1450))</t>
  </si>
  <si>
    <t>=(SUBTOTAL(9,Q1438:Q1450))</t>
  </si>
  <si>
    <t>=(SUBTOTAL(9,R1438:R1450))</t>
  </si>
  <si>
    <t>=(SUBTOTAL(9,S1438:S1450))</t>
  </si>
  <si>
    <t>=(SUBTOTAL(9,T1438:T1450))</t>
  </si>
  <si>
    <t>=SUBTOTAL(9,O1438:T1450)</t>
  </si>
  <si>
    <t>=D1437</t>
  </si>
  <si>
    <t>=NL("Rows","Item Ledger Entry",,"+Posting Date",$L$5,"Item No.","@@"&amp;$D1438,"Location Code",$L$7)</t>
  </si>
  <si>
    <t>=IF($J1438="Customer",NL("first",$J1438,"Name","No.","@@"&amp;$K1438),"")</t>
  </si>
  <si>
    <t>=IF(J1438="vendor",NL("first",J1438,"Name","No.","@@"&amp;K1438),"")</t>
  </si>
  <si>
    <t>=IF($J1438="Item",NL("first",$J1438,"Description","No.","@@"&amp;$K1438),"")</t>
  </si>
  <si>
    <t>=D1438</t>
  </si>
  <si>
    <t>="""NAV Direct"",""CRONUS JetCorp USA"",""32"",""1"",""168335"""</t>
  </si>
  <si>
    <t>=IF($J1439="Customer",NL("first",$J1439,"Name","No.","@@"&amp;$K1439),"")</t>
  </si>
  <si>
    <t>=IF(J1439="vendor",NL("first",J1439,"Name","No.","@@"&amp;K1439),"")</t>
  </si>
  <si>
    <t>=IF($J1439="Item",NL("first",$J1439,"Description","No.","@@"&amp;$K1439),"")</t>
  </si>
  <si>
    <t>=D1439</t>
  </si>
  <si>
    <t>="""NAV Direct"",""CRONUS JetCorp USA"",""32"",""1"",""168350"""</t>
  </si>
  <si>
    <t>=IF($J1440="Customer",NL("first",$J1440,"Name","No.","@@"&amp;$K1440),"")</t>
  </si>
  <si>
    <t>=IF(J1440="vendor",NL("first",J1440,"Name","No.","@@"&amp;K1440),"")</t>
  </si>
  <si>
    <t>=IF($J1440="Item",NL("first",$J1440,"Description","No.","@@"&amp;$K1440),"")</t>
  </si>
  <si>
    <t>=D1440</t>
  </si>
  <si>
    <t>="""NAV Direct"",""CRONUS JetCorp USA"",""32"",""1"",""168362"""</t>
  </si>
  <si>
    <t>=IF($J1441="Customer",NL("first",$J1441,"Name","No.","@@"&amp;$K1441),"")</t>
  </si>
  <si>
    <t>=IF(J1441="vendor",NL("first",J1441,"Name","No.","@@"&amp;K1441),"")</t>
  </si>
  <si>
    <t>=IF($J1441="Item",NL("first",$J1441,"Description","No.","@@"&amp;$K1441),"")</t>
  </si>
  <si>
    <t>=D1441</t>
  </si>
  <si>
    <t>="""NAV Direct"",""CRONUS JetCorp USA"",""32"",""1"",""78841"""</t>
  </si>
  <si>
    <t>=IF($J1442="Customer",NL("first",$J1442,"Name","No.","@@"&amp;$K1442),"")</t>
  </si>
  <si>
    <t>=IF(J1442="vendor",NL("first",J1442,"Name","No.","@@"&amp;K1442),"")</t>
  </si>
  <si>
    <t>=IF($J1442="Item",NL("first",$J1442,"Description","No.","@@"&amp;$K1442),"")</t>
  </si>
  <si>
    <t>=D1442</t>
  </si>
  <si>
    <t>="""NAV Direct"",""CRONUS JetCorp USA"",""32"",""1"",""153195"""</t>
  </si>
  <si>
    <t>=IF($J1443="Customer",NL("first",$J1443,"Name","No.","@@"&amp;$K1443),"")</t>
  </si>
  <si>
    <t>=IF(J1443="vendor",NL("first",J1443,"Name","No.","@@"&amp;K1443),"")</t>
  </si>
  <si>
    <t>=IF($J1443="Item",NL("first",$J1443,"Description","No.","@@"&amp;$K1443),"")</t>
  </si>
  <si>
    <t>=D1443</t>
  </si>
  <si>
    <t>="""NAV Direct"",""CRONUS JetCorp USA"",""32"",""1"",""153165"""</t>
  </si>
  <si>
    <t>=IF($J1444="Customer",NL("first",$J1444,"Name","No.","@@"&amp;$K1444),"")</t>
  </si>
  <si>
    <t>=IF(J1444="vendor",NL("first",J1444,"Name","No.","@@"&amp;K1444),"")</t>
  </si>
  <si>
    <t>=IF($J1444="Item",NL("first",$J1444,"Description","No.","@@"&amp;$K1444),"")</t>
  </si>
  <si>
    <t>=D1444</t>
  </si>
  <si>
    <t>="""NAV Direct"",""CRONUS JetCorp USA"",""32"",""1"",""72508"""</t>
  </si>
  <si>
    <t>=IF($J1445="Customer",NL("first",$J1445,"Name","No.","@@"&amp;$K1445),"")</t>
  </si>
  <si>
    <t>=IF(J1445="vendor",NL("first",J1445,"Name","No.","@@"&amp;K1445),"")</t>
  </si>
  <si>
    <t>=IF($J1445="Item",NL("first",$J1445,"Description","No.","@@"&amp;$K1445),"")</t>
  </si>
  <si>
    <t>=D1445</t>
  </si>
  <si>
    <t>="""NAV Direct"",""CRONUS JetCorp USA"",""32"",""1"",""44469"""</t>
  </si>
  <si>
    <t>=IF($J1446="Customer",NL("first",$J1446,"Name","No.","@@"&amp;$K1446),"")</t>
  </si>
  <si>
    <t>=IF(J1446="vendor",NL("first",J1446,"Name","No.","@@"&amp;K1446),"")</t>
  </si>
  <si>
    <t>=IF($J1446="Item",NL("first",$J1446,"Description","No.","@@"&amp;$K1446),"")</t>
  </si>
  <si>
    <t>=D1446</t>
  </si>
  <si>
    <t>="""NAV Direct"",""CRONUS JetCorp USA"",""32"",""1"",""54717"""</t>
  </si>
  <si>
    <t>=IF($J1447="Customer",NL("first",$J1447,"Name","No.","@@"&amp;$K1447),"")</t>
  </si>
  <si>
    <t>=IF(J1447="vendor",NL("first",J1447,"Name","No.","@@"&amp;K1447),"")</t>
  </si>
  <si>
    <t>=IF($J1447="Item",NL("first",$J1447,"Description","No.","@@"&amp;$K1447),"")</t>
  </si>
  <si>
    <t>=D1447</t>
  </si>
  <si>
    <t>="""NAV Direct"",""CRONUS JetCorp USA"",""32"",""1"",""78887"""</t>
  </si>
  <si>
    <t>=IF($J1448="Customer",NL("first",$J1448,"Name","No.","@@"&amp;$K1448),"")</t>
  </si>
  <si>
    <t>=IF(J1448="vendor",NL("first",J1448,"Name","No.","@@"&amp;K1448),"")</t>
  </si>
  <si>
    <t>=IF($J1448="Item",NL("first",$J1448,"Description","No.","@@"&amp;$K1448),"")</t>
  </si>
  <si>
    <t>=D1448</t>
  </si>
  <si>
    <t>="""NAV Direct"",""CRONUS JetCorp USA"",""32"",""1"",""78867"""</t>
  </si>
  <si>
    <t>=IF($J1449="Customer",NL("first",$J1449,"Name","No.","@@"&amp;$K1449),"")</t>
  </si>
  <si>
    <t>=IF(J1449="vendor",NL("first",J1449,"Name","No.","@@"&amp;K1449),"")</t>
  </si>
  <si>
    <t>=IF($J1449="Item",NL("first",$J1449,"Description","No.","@@"&amp;$K1449),"")</t>
  </si>
  <si>
    <t>=E1452</t>
  </si>
  <si>
    <t>="E100034"</t>
  </si>
  <si>
    <t>=NL("First","Item","Description","No.",$E1452)</t>
  </si>
  <si>
    <t>=NL("First","Item","Base Unit of Measure","No.",$E1452)</t>
  </si>
  <si>
    <t>=(SUBTOTAL(9,O1453:O1463))</t>
  </si>
  <si>
    <t>=(SUBTOTAL(9,P1453:P1463))</t>
  </si>
  <si>
    <t>=(SUBTOTAL(9,Q1453:Q1463))</t>
  </si>
  <si>
    <t>=(SUBTOTAL(9,R1453:R1463))</t>
  </si>
  <si>
    <t>=(SUBTOTAL(9,S1453:S1463))</t>
  </si>
  <si>
    <t>=(SUBTOTAL(9,T1453:T1463))</t>
  </si>
  <si>
    <t>=SUBTOTAL(9,O1453:T1463)</t>
  </si>
  <si>
    <t>=D1452</t>
  </si>
  <si>
    <t>=NL("Rows","Item Ledger Entry",,"+Posting Date",$L$5,"Item No.","@@"&amp;$D1453,"Location Code",$L$7)</t>
  </si>
  <si>
    <t>=IF($J1453="Customer",NL("first",$J1453,"Name","No.","@@"&amp;$K1453),"")</t>
  </si>
  <si>
    <t>=IF(J1453="vendor",NL("first",J1453,"Name","No.","@@"&amp;K1453),"")</t>
  </si>
  <si>
    <t>=IF($J1453="Item",NL("first",$J1453,"Description","No.","@@"&amp;$K1453),"")</t>
  </si>
  <si>
    <t>=D1453</t>
  </si>
  <si>
    <t>="""NAV Direct"",""CRONUS JetCorp USA"",""32"",""1"",""168322"""</t>
  </si>
  <si>
    <t>=IF($J1454="Customer",NL("first",$J1454,"Name","No.","@@"&amp;$K1454),"")</t>
  </si>
  <si>
    <t>=IF(J1454="vendor",NL("first",J1454,"Name","No.","@@"&amp;K1454),"")</t>
  </si>
  <si>
    <t>=IF($J1454="Item",NL("first",$J1454,"Description","No.","@@"&amp;$K1454),"")</t>
  </si>
  <si>
    <t>=D1454</t>
  </si>
  <si>
    <t>="""NAV Direct"",""CRONUS JetCorp USA"",""32"",""1"",""168329"""</t>
  </si>
  <si>
    <t>=IF($J1455="Customer",NL("first",$J1455,"Name","No.","@@"&amp;$K1455),"")</t>
  </si>
  <si>
    <t>=IF(J1455="vendor",NL("first",J1455,"Name","No.","@@"&amp;K1455),"")</t>
  </si>
  <si>
    <t>=IF($J1455="Item",NL("first",$J1455,"Description","No.","@@"&amp;$K1455),"")</t>
  </si>
  <si>
    <t>=D1455</t>
  </si>
  <si>
    <t>="""NAV Direct"",""CRONUS JetCorp USA"",""32"",""1"",""168334"""</t>
  </si>
  <si>
    <t>=IF($J1456="Customer",NL("first",$J1456,"Name","No.","@@"&amp;$K1456),"")</t>
  </si>
  <si>
    <t>=IF(J1456="vendor",NL("first",J1456,"Name","No.","@@"&amp;K1456),"")</t>
  </si>
  <si>
    <t>=IF($J1456="Item",NL("first",$J1456,"Description","No.","@@"&amp;$K1456),"")</t>
  </si>
  <si>
    <t>=D1456</t>
  </si>
  <si>
    <t>="""NAV Direct"",""CRONUS JetCorp USA"",""32"",""1"",""168349"""</t>
  </si>
  <si>
    <t>=IF($J1457="Customer",NL("first",$J1457,"Name","No.","@@"&amp;$K1457),"")</t>
  </si>
  <si>
    <t>=IF(J1457="vendor",NL("first",J1457,"Name","No.","@@"&amp;K1457),"")</t>
  </si>
  <si>
    <t>=IF($J1457="Item",NL("first",$J1457,"Description","No.","@@"&amp;$K1457),"")</t>
  </si>
  <si>
    <t>=D1457</t>
  </si>
  <si>
    <t>="""NAV Direct"",""CRONUS JetCorp USA"",""32"",""1"",""168361"""</t>
  </si>
  <si>
    <t>=IF($J1458="Customer",NL("first",$J1458,"Name","No.","@@"&amp;$K1458),"")</t>
  </si>
  <si>
    <t>=IF(J1458="vendor",NL("first",J1458,"Name","No.","@@"&amp;K1458),"")</t>
  </si>
  <si>
    <t>=IF($J1458="Item",NL("first",$J1458,"Description","No.","@@"&amp;$K1458),"")</t>
  </si>
  <si>
    <t>=D1458</t>
  </si>
  <si>
    <t>="""NAV Direct"",""CRONUS JetCorp USA"",""32"",""1"",""78871"""</t>
  </si>
  <si>
    <t>=IF($J1459="Customer",NL("first",$J1459,"Name","No.","@@"&amp;$K1459),"")</t>
  </si>
  <si>
    <t>=IF(J1459="vendor",NL("first",J1459,"Name","No.","@@"&amp;K1459),"")</t>
  </si>
  <si>
    <t>=IF($J1459="Item",NL("first",$J1459,"Description","No.","@@"&amp;$K1459),"")</t>
  </si>
  <si>
    <t>=D1459</t>
  </si>
  <si>
    <t>="""NAV Direct"",""CRONUS JetCorp USA"",""32"",""1"",""158692"""</t>
  </si>
  <si>
    <t>=IF($J1460="Customer",NL("first",$J1460,"Name","No.","@@"&amp;$K1460),"")</t>
  </si>
  <si>
    <t>=IF(J1460="vendor",NL("first",J1460,"Name","No.","@@"&amp;K1460),"")</t>
  </si>
  <si>
    <t>=IF($J1460="Item",NL("first",$J1460,"Description","No.","@@"&amp;$K1460),"")</t>
  </si>
  <si>
    <t>=D1460</t>
  </si>
  <si>
    <t>="""NAV Direct"",""CRONUS JetCorp USA"",""32"",""1"",""54718"""</t>
  </si>
  <si>
    <t>=IF($J1461="Customer",NL("first",$J1461,"Name","No.","@@"&amp;$K1461),"")</t>
  </si>
  <si>
    <t>=IF(J1461="vendor",NL("first",J1461,"Name","No.","@@"&amp;K1461),"")</t>
  </si>
  <si>
    <t>=IF($J1461="Item",NL("first",$J1461,"Description","No.","@@"&amp;$K1461),"")</t>
  </si>
  <si>
    <t>=D1461</t>
  </si>
  <si>
    <t>="""NAV Direct"",""CRONUS JetCorp USA"",""32"",""1"",""44509"""</t>
  </si>
  <si>
    <t>=IF($J1462="Customer",NL("first",$J1462,"Name","No.","@@"&amp;$K1462),"")</t>
  </si>
  <si>
    <t>=IF(J1462="vendor",NL("first",J1462,"Name","No.","@@"&amp;K1462),"")</t>
  </si>
  <si>
    <t>=IF($J1462="Item",NL("first",$J1462,"Description","No.","@@"&amp;$K1462),"")</t>
  </si>
  <si>
    <t>=E1465</t>
  </si>
  <si>
    <t>=NL("First","Item","Description","No.",$E1465)</t>
  </si>
  <si>
    <t>=NL("First","Item","Base Unit of Measure","No.",$E1465)</t>
  </si>
  <si>
    <t>=(SUBTOTAL(9,O1466:O1474))</t>
  </si>
  <si>
    <t>=(SUBTOTAL(9,P1466:P1474))</t>
  </si>
  <si>
    <t>=(SUBTOTAL(9,Q1466:Q1474))</t>
  </si>
  <si>
    <t>=(SUBTOTAL(9,R1466:R1474))</t>
  </si>
  <si>
    <t>=(SUBTOTAL(9,S1466:S1474))</t>
  </si>
  <si>
    <t>=(SUBTOTAL(9,T1466:T1474))</t>
  </si>
  <si>
    <t>=SUBTOTAL(9,O1466:T1474)</t>
  </si>
  <si>
    <t>=D1465</t>
  </si>
  <si>
    <t>=NL("Rows","Item Ledger Entry",,"+Posting Date",$L$5,"Item No.","@@"&amp;$D1466,"Location Code",$L$7)</t>
  </si>
  <si>
    <t>=IF($J1466="Customer",NL("first",$J1466,"Name","No.","@@"&amp;$K1466),"")</t>
  </si>
  <si>
    <t>=IF(J1466="vendor",NL("first",J1466,"Name","No.","@@"&amp;K1466),"")</t>
  </si>
  <si>
    <t>=IF($J1466="Item",NL("first",$J1466,"Description","No.","@@"&amp;$K1466),"")</t>
  </si>
  <si>
    <t>=D1466</t>
  </si>
  <si>
    <t>="""NAV Direct"",""CRONUS JetCorp USA"",""32"",""1"",""168321"""</t>
  </si>
  <si>
    <t>=IF($J1467="Customer",NL("first",$J1467,"Name","No.","@@"&amp;$K1467),"")</t>
  </si>
  <si>
    <t>=IF(J1467="vendor",NL("first",J1467,"Name","No.","@@"&amp;K1467),"")</t>
  </si>
  <si>
    <t>=IF($J1467="Item",NL("first",$J1467,"Description","No.","@@"&amp;$K1467),"")</t>
  </si>
  <si>
    <t>=D1467</t>
  </si>
  <si>
    <t>="""NAV Direct"",""CRONUS JetCorp USA"",""32"",""1"",""168333"""</t>
  </si>
  <si>
    <t>=IF($J1468="Customer",NL("first",$J1468,"Name","No.","@@"&amp;$K1468),"")</t>
  </si>
  <si>
    <t>=IF(J1468="vendor",NL("first",J1468,"Name","No.","@@"&amp;K1468),"")</t>
  </si>
  <si>
    <t>=IF($J1468="Item",NL("first",$J1468,"Description","No.","@@"&amp;$K1468),"")</t>
  </si>
  <si>
    <t>=D1468</t>
  </si>
  <si>
    <t>="""NAV Direct"",""CRONUS JetCorp USA"",""32"",""1"",""168348"""</t>
  </si>
  <si>
    <t>=IF($J1469="Customer",NL("first",$J1469,"Name","No.","@@"&amp;$K1469),"")</t>
  </si>
  <si>
    <t>=IF(J1469="vendor",NL("first",J1469,"Name","No.","@@"&amp;K1469),"")</t>
  </si>
  <si>
    <t>=IF($J1469="Item",NL("first",$J1469,"Description","No.","@@"&amp;$K1469),"")</t>
  </si>
  <si>
    <t>=D1469</t>
  </si>
  <si>
    <t>="""NAV Direct"",""CRONUS JetCorp USA"",""32"",""1"",""44478"""</t>
  </si>
  <si>
    <t>=IF($J1470="Customer",NL("first",$J1470,"Name","No.","@@"&amp;$K1470),"")</t>
  </si>
  <si>
    <t>=IF(J1470="vendor",NL("first",J1470,"Name","No.","@@"&amp;K1470),"")</t>
  </si>
  <si>
    <t>=IF($J1470="Item",NL("first",$J1470,"Description","No.","@@"&amp;$K1470),"")</t>
  </si>
  <si>
    <t>=D1470</t>
  </si>
  <si>
    <t>="""NAV Direct"",""CRONUS JetCorp USA"",""32"",""1"",""54722"""</t>
  </si>
  <si>
    <t>=IF($J1471="Customer",NL("first",$J1471,"Name","No.","@@"&amp;$K1471),"")</t>
  </si>
  <si>
    <t>=IF(J1471="vendor",NL("first",J1471,"Name","No.","@@"&amp;K1471),"")</t>
  </si>
  <si>
    <t>=IF($J1471="Item",NL("first",$J1471,"Description","No.","@@"&amp;$K1471),"")</t>
  </si>
  <si>
    <t>=D1471</t>
  </si>
  <si>
    <t>="""NAV Direct"",""CRONUS JetCorp USA"",""32"",""1"",""44513"""</t>
  </si>
  <si>
    <t>=IF($J1472="Customer",NL("first",$J1472,"Name","No.","@@"&amp;$K1472),"")</t>
  </si>
  <si>
    <t>=IF(J1472="vendor",NL("first",J1472,"Name","No.","@@"&amp;K1472),"")</t>
  </si>
  <si>
    <t>=IF($J1472="Item",NL("first",$J1472,"Description","No.","@@"&amp;$K1472),"")</t>
  </si>
  <si>
    <t>=D1472</t>
  </si>
  <si>
    <t>="""NAV Direct"",""CRONUS JetCorp USA"",""32"",""1"",""78859"""</t>
  </si>
  <si>
    <t>=IF($J1473="Customer",NL("first",$J1473,"Name","No.","@@"&amp;$K1473),"")</t>
  </si>
  <si>
    <t>=IF(J1473="vendor",NL("first",J1473,"Name","No.","@@"&amp;K1473),"")</t>
  </si>
  <si>
    <t>=IF($J1473="Item",NL("first",$J1473,"Description","No.","@@"&amp;$K1473),"")</t>
  </si>
  <si>
    <t>=E1476</t>
  </si>
  <si>
    <t>=NL("First","Item","Description","No.",$E1476)</t>
  </si>
  <si>
    <t>=NL("First","Item","Base Unit of Measure","No.",$E1476)</t>
  </si>
  <si>
    <t>=(SUBTOTAL(9,O1477:O1484))</t>
  </si>
  <si>
    <t>=(SUBTOTAL(9,P1477:P1484))</t>
  </si>
  <si>
    <t>=(SUBTOTAL(9,Q1477:Q1484))</t>
  </si>
  <si>
    <t>=(SUBTOTAL(9,R1477:R1484))</t>
  </si>
  <si>
    <t>=(SUBTOTAL(9,S1477:S1484))</t>
  </si>
  <si>
    <t>=(SUBTOTAL(9,T1477:T1484))</t>
  </si>
  <si>
    <t>=SUBTOTAL(9,O1477:T1484)</t>
  </si>
  <si>
    <t>=D1476</t>
  </si>
  <si>
    <t>=NL("Rows","Item Ledger Entry",,"+Posting Date",$L$5,"Item No.","@@"&amp;$D1477,"Location Code",$L$7)</t>
  </si>
  <si>
    <t>=IF($J1477="Customer",NL("first",$J1477,"Name","No.","@@"&amp;$K1477),"")</t>
  </si>
  <si>
    <t>=IF(J1477="vendor",NL("first",J1477,"Name","No.","@@"&amp;K1477),"")</t>
  </si>
  <si>
    <t>=IF($J1477="Item",NL("first",$J1477,"Description","No.","@@"&amp;$K1477),"")</t>
  </si>
  <si>
    <t>=D1477</t>
  </si>
  <si>
    <t>="""NAV Direct"",""CRONUS JetCorp USA"",""32"",""1"",""168328"""</t>
  </si>
  <si>
    <t>=IF($J1478="Customer",NL("first",$J1478,"Name","No.","@@"&amp;$K1478),"")</t>
  </si>
  <si>
    <t>=IF(J1478="vendor",NL("first",J1478,"Name","No.","@@"&amp;K1478),"")</t>
  </si>
  <si>
    <t>=IF($J1478="Item",NL("first",$J1478,"Description","No.","@@"&amp;$K1478),"")</t>
  </si>
  <si>
    <t>=D1478</t>
  </si>
  <si>
    <t>="""NAV Direct"",""CRONUS JetCorp USA"",""32"",""1"",""168332"""</t>
  </si>
  <si>
    <t>=IF($J1479="Customer",NL("first",$J1479,"Name","No.","@@"&amp;$K1479),"")</t>
  </si>
  <si>
    <t>=IF(J1479="vendor",NL("first",J1479,"Name","No.","@@"&amp;K1479),"")</t>
  </si>
  <si>
    <t>=IF($J1479="Item",NL("first",$J1479,"Description","No.","@@"&amp;$K1479),"")</t>
  </si>
  <si>
    <t>=D1479</t>
  </si>
  <si>
    <t>="""NAV Direct"",""CRONUS JetCorp USA"",""32"",""1"",""168347"""</t>
  </si>
  <si>
    <t>=IF($J1480="Customer",NL("first",$J1480,"Name","No.","@@"&amp;$K1480),"")</t>
  </si>
  <si>
    <t>=IF(J1480="vendor",NL("first",J1480,"Name","No.","@@"&amp;K1480),"")</t>
  </si>
  <si>
    <t>=IF($J1480="Item",NL("first",$J1480,"Description","No.","@@"&amp;$K1480),"")</t>
  </si>
  <si>
    <t>=D1480</t>
  </si>
  <si>
    <t>="""NAV Direct"",""CRONUS JetCorp USA"",""32"",""1"",""78872"""</t>
  </si>
  <si>
    <t>=IF($J1481="Customer",NL("first",$J1481,"Name","No.","@@"&amp;$K1481),"")</t>
  </si>
  <si>
    <t>=IF(J1481="vendor",NL("first",J1481,"Name","No.","@@"&amp;K1481),"")</t>
  </si>
  <si>
    <t>=IF($J1481="Item",NL("first",$J1481,"Description","No.","@@"&amp;$K1481),"")</t>
  </si>
  <si>
    <t>=D1481</t>
  </si>
  <si>
    <t>="""NAV Direct"",""CRONUS JetCorp USA"",""32"",""1"",""44461"""</t>
  </si>
  <si>
    <t>=IF($J1482="Customer",NL("first",$J1482,"Name","No.","@@"&amp;$K1482),"")</t>
  </si>
  <si>
    <t>=IF(J1482="vendor",NL("first",J1482,"Name","No.","@@"&amp;K1482),"")</t>
  </si>
  <si>
    <t>=IF($J1482="Item",NL("first",$J1482,"Description","No.","@@"&amp;$K1482),"")</t>
  </si>
  <si>
    <t>=D1482</t>
  </si>
  <si>
    <t>="""NAV Direct"",""CRONUS JetCorp USA"",""32"",""1"",""44510"""</t>
  </si>
  <si>
    <t>=IF($J1483="Customer",NL("first",$J1483,"Name","No.","@@"&amp;$K1483),"")</t>
  </si>
  <si>
    <t>=IF(J1483="vendor",NL("first",J1483,"Name","No.","@@"&amp;K1483),"")</t>
  </si>
  <si>
    <t>=IF($J1483="Item",NL("first",$J1483,"Description","No.","@@"&amp;$K1483),"")</t>
  </si>
  <si>
    <t>=E1486</t>
  </si>
  <si>
    <t>=NL("First","Item","Description","No.",$E1486)</t>
  </si>
  <si>
    <t>=NL("First","Item","Base Unit of Measure","No.",$E1486)</t>
  </si>
  <si>
    <t>=(SUBTOTAL(9,O1487:O1496))</t>
  </si>
  <si>
    <t>=(SUBTOTAL(9,P1487:P1496))</t>
  </si>
  <si>
    <t>=(SUBTOTAL(9,Q1487:Q1496))</t>
  </si>
  <si>
    <t>=(SUBTOTAL(9,R1487:R1496))</t>
  </si>
  <si>
    <t>=(SUBTOTAL(9,S1487:S1496))</t>
  </si>
  <si>
    <t>=(SUBTOTAL(9,T1487:T1496))</t>
  </si>
  <si>
    <t>=SUBTOTAL(9,O1487:T1496)</t>
  </si>
  <si>
    <t>=D1486</t>
  </si>
  <si>
    <t>=NL("Rows","Item Ledger Entry",,"+Posting Date",$L$5,"Item No.","@@"&amp;$D1487,"Location Code",$L$7)</t>
  </si>
  <si>
    <t>=IF($J1487="Customer",NL("first",$J1487,"Name","No.","@@"&amp;$K1487),"")</t>
  </si>
  <si>
    <t>=IF(J1487="vendor",NL("first",J1487,"Name","No.","@@"&amp;K1487),"")</t>
  </si>
  <si>
    <t>=IF($J1487="Item",NL("first",$J1487,"Description","No.","@@"&amp;$K1487),"")</t>
  </si>
  <si>
    <t>=D1487</t>
  </si>
  <si>
    <t>="""NAV Direct"",""CRONUS JetCorp USA"",""32"",""1"",""168627"""</t>
  </si>
  <si>
    <t>=IF($J1488="Customer",NL("first",$J1488,"Name","No.","@@"&amp;$K1488),"")</t>
  </si>
  <si>
    <t>=IF(J1488="vendor",NL("first",J1488,"Name","No.","@@"&amp;K1488),"")</t>
  </si>
  <si>
    <t>=IF($J1488="Item",NL("first",$J1488,"Description","No.","@@"&amp;$K1488),"")</t>
  </si>
  <si>
    <t>=D1488</t>
  </si>
  <si>
    <t>="""NAV Direct"",""CRONUS JetCorp USA"",""32"",""1"",""168641"""</t>
  </si>
  <si>
    <t>=IF($J1489="Customer",NL("first",$J1489,"Name","No.","@@"&amp;$K1489),"")</t>
  </si>
  <si>
    <t>=IF(J1489="vendor",NL("first",J1489,"Name","No.","@@"&amp;K1489),"")</t>
  </si>
  <si>
    <t>=IF($J1489="Item",NL("first",$J1489,"Description","No.","@@"&amp;$K1489),"")</t>
  </si>
  <si>
    <t>=D1489</t>
  </si>
  <si>
    <t>="""NAV Direct"",""CRONUS JetCorp USA"",""32"",""1"",""168665"""</t>
  </si>
  <si>
    <t>=IF($J1490="Customer",NL("first",$J1490,"Name","No.","@@"&amp;$K1490),"")</t>
  </si>
  <si>
    <t>=IF(J1490="vendor",NL("first",J1490,"Name","No.","@@"&amp;K1490),"")</t>
  </si>
  <si>
    <t>=IF($J1490="Item",NL("first",$J1490,"Description","No.","@@"&amp;$K1490),"")</t>
  </si>
  <si>
    <t>=D1490</t>
  </si>
  <si>
    <t>="""NAV Direct"",""CRONUS JetCorp USA"",""32"",""1"",""64583"""</t>
  </si>
  <si>
    <t>=IF($J1491="Customer",NL("first",$J1491,"Name","No.","@@"&amp;$K1491),"")</t>
  </si>
  <si>
    <t>=IF(J1491="vendor",NL("first",J1491,"Name","No.","@@"&amp;K1491),"")</t>
  </si>
  <si>
    <t>=IF($J1491="Item",NL("first",$J1491,"Description","No.","@@"&amp;$K1491),"")</t>
  </si>
  <si>
    <t>=D1491</t>
  </si>
  <si>
    <t>="""NAV Direct"",""CRONUS JetCorp USA"",""32"",""1"",""44474"""</t>
  </si>
  <si>
    <t>=IF($J1492="Customer",NL("first",$J1492,"Name","No.","@@"&amp;$K1492),"")</t>
  </si>
  <si>
    <t>=IF(J1492="vendor",NL("first",J1492,"Name","No.","@@"&amp;K1492),"")</t>
  </si>
  <si>
    <t>=IF($J1492="Item",NL("first",$J1492,"Description","No.","@@"&amp;$K1492),"")</t>
  </si>
  <si>
    <t>=D1492</t>
  </si>
  <si>
    <t>="""NAV Direct"",""CRONUS JetCorp USA"",""32"",""1"",""64600"""</t>
  </si>
  <si>
    <t>=IF($J1493="Customer",NL("first",$J1493,"Name","No.","@@"&amp;$K1493),"")</t>
  </si>
  <si>
    <t>=IF(J1493="vendor",NL("first",J1493,"Name","No.","@@"&amp;K1493),"")</t>
  </si>
  <si>
    <t>=IF($J1493="Item",NL("first",$J1493,"Description","No.","@@"&amp;$K1493),"")</t>
  </si>
  <si>
    <t>=D1493</t>
  </si>
  <si>
    <t>="""NAV Direct"",""CRONUS JetCorp USA"",""32"",""1"",""44543"""</t>
  </si>
  <si>
    <t>=IF($J1494="Customer",NL("first",$J1494,"Name","No.","@@"&amp;$K1494),"")</t>
  </si>
  <si>
    <t>=IF(J1494="vendor",NL("first",J1494,"Name","No.","@@"&amp;K1494),"")</t>
  </si>
  <si>
    <t>=IF($J1494="Item",NL("first",$J1494,"Description","No.","@@"&amp;$K1494),"")</t>
  </si>
  <si>
    <t>=D1494</t>
  </si>
  <si>
    <t>="""NAV Direct"",""CRONUS JetCorp USA"",""32"",""1"",""54705"""</t>
  </si>
  <si>
    <t>=IF($J1495="Customer",NL("first",$J1495,"Name","No.","@@"&amp;$K1495),"")</t>
  </si>
  <si>
    <t>=IF(J1495="vendor",NL("first",J1495,"Name","No.","@@"&amp;K1495),"")</t>
  </si>
  <si>
    <t>=IF($J1495="Item",NL("first",$J1495,"Description","No.","@@"&amp;$K1495),"")</t>
  </si>
  <si>
    <t>=E1498</t>
  </si>
  <si>
    <t>=NL("First","Item","Description","No.",$E1498)</t>
  </si>
  <si>
    <t>=NL("First","Item","Base Unit of Measure","No.",$E1498)</t>
  </si>
  <si>
    <t>=(SUBTOTAL(9,O1499:O1508))</t>
  </si>
  <si>
    <t>=(SUBTOTAL(9,P1499:P1508))</t>
  </si>
  <si>
    <t>=(SUBTOTAL(9,Q1499:Q1508))</t>
  </si>
  <si>
    <t>=(SUBTOTAL(9,R1499:R1508))</t>
  </si>
  <si>
    <t>=(SUBTOTAL(9,S1499:S1508))</t>
  </si>
  <si>
    <t>=(SUBTOTAL(9,T1499:T1508))</t>
  </si>
  <si>
    <t>=SUBTOTAL(9,O1499:T1508)</t>
  </si>
  <si>
    <t>=D1498</t>
  </si>
  <si>
    <t>=NL("Rows","Item Ledger Entry",,"+Posting Date",$L$5,"Item No.","@@"&amp;$D1499,"Location Code",$L$7)</t>
  </si>
  <si>
    <t>=IF($J1499="Customer",NL("first",$J1499,"Name","No.","@@"&amp;$K1499),"")</t>
  </si>
  <si>
    <t>=IF(J1499="vendor",NL("first",J1499,"Name","No.","@@"&amp;K1499),"")</t>
  </si>
  <si>
    <t>=IF($J1499="Item",NL("first",$J1499,"Description","No.","@@"&amp;$K1499),"")</t>
  </si>
  <si>
    <t>=D1499</t>
  </si>
  <si>
    <t>="""NAV Direct"",""CRONUS JetCorp USA"",""32"",""1"",""168622"""</t>
  </si>
  <si>
    <t>=IF($J1500="Customer",NL("first",$J1500,"Name","No.","@@"&amp;$K1500),"")</t>
  </si>
  <si>
    <t>=IF(J1500="vendor",NL("first",J1500,"Name","No.","@@"&amp;K1500),"")</t>
  </si>
  <si>
    <t>=IF($J1500="Item",NL("first",$J1500,"Description","No.","@@"&amp;$K1500),"")</t>
  </si>
  <si>
    <t>=D1500</t>
  </si>
  <si>
    <t>="""NAV Direct"",""CRONUS JetCorp USA"",""32"",""1"",""168640"""</t>
  </si>
  <si>
    <t>=IF($J1501="Customer",NL("first",$J1501,"Name","No.","@@"&amp;$K1501),"")</t>
  </si>
  <si>
    <t>=IF(J1501="vendor",NL("first",J1501,"Name","No.","@@"&amp;K1501),"")</t>
  </si>
  <si>
    <t>=IF($J1501="Item",NL("first",$J1501,"Description","No.","@@"&amp;$K1501),"")</t>
  </si>
  <si>
    <t>=D1501</t>
  </si>
  <si>
    <t>="""NAV Direct"",""CRONUS JetCorp USA"",""32"",""1"",""168664"""</t>
  </si>
  <si>
    <t>=IF($J1502="Customer",NL("first",$J1502,"Name","No.","@@"&amp;$K1502),"")</t>
  </si>
  <si>
    <t>=IF(J1502="vendor",NL("first",J1502,"Name","No.","@@"&amp;K1502),"")</t>
  </si>
  <si>
    <t>=IF($J1502="Item",NL("first",$J1502,"Description","No.","@@"&amp;$K1502),"")</t>
  </si>
  <si>
    <t>=D1502</t>
  </si>
  <si>
    <t>="""NAV Direct"",""CRONUS JetCorp USA"",""32"",""1"",""168679"""</t>
  </si>
  <si>
    <t>=IF($J1503="Customer",NL("first",$J1503,"Name","No.","@@"&amp;$K1503),"")</t>
  </si>
  <si>
    <t>=IF(J1503="vendor",NL("first",J1503,"Name","No.","@@"&amp;K1503),"")</t>
  </si>
  <si>
    <t>=IF($J1503="Item",NL("first",$J1503,"Description","No.","@@"&amp;$K1503),"")</t>
  </si>
  <si>
    <t>=D1503</t>
  </si>
  <si>
    <t>="""NAV Direct"",""CRONUS JetCorp USA"",""32"",""1"",""78836"""</t>
  </si>
  <si>
    <t>=IF($J1504="Customer",NL("first",$J1504,"Name","No.","@@"&amp;$K1504),"")</t>
  </si>
  <si>
    <t>=IF(J1504="vendor",NL("first",J1504,"Name","No.","@@"&amp;K1504),"")</t>
  </si>
  <si>
    <t>=IF($J1504="Item",NL("first",$J1504,"Description","No.","@@"&amp;$K1504),"")</t>
  </si>
  <si>
    <t>=D1504</t>
  </si>
  <si>
    <t>="""NAV Direct"",""CRONUS JetCorp USA"",""32"",""1"",""54725"""</t>
  </si>
  <si>
    <t>=IF($J1505="Customer",NL("first",$J1505,"Name","No.","@@"&amp;$K1505),"")</t>
  </si>
  <si>
    <t>=IF(J1505="vendor",NL("first",J1505,"Name","No.","@@"&amp;K1505),"")</t>
  </si>
  <si>
    <t>=IF($J1505="Item",NL("first",$J1505,"Description","No.","@@"&amp;$K1505),"")</t>
  </si>
  <si>
    <t>=D1505</t>
  </si>
  <si>
    <t>="""NAV Direct"",""CRONUS JetCorp USA"",""32"",""1"",""54706"""</t>
  </si>
  <si>
    <t>=IF($J1506="Customer",NL("first",$J1506,"Name","No.","@@"&amp;$K1506),"")</t>
  </si>
  <si>
    <t>=IF(J1506="vendor",NL("first",J1506,"Name","No.","@@"&amp;K1506),"")</t>
  </si>
  <si>
    <t>=IF($J1506="Item",NL("first",$J1506,"Description","No.","@@"&amp;$K1506),"")</t>
  </si>
  <si>
    <t>=D1506</t>
  </si>
  <si>
    <t>="""NAV Direct"",""CRONUS JetCorp USA"",""32"",""1"",""78901"""</t>
  </si>
  <si>
    <t>=IF($J1507="Customer",NL("first",$J1507,"Name","No.","@@"&amp;$K1507),"")</t>
  </si>
  <si>
    <t>=IF(J1507="vendor",NL("first",J1507,"Name","No.","@@"&amp;K1507),"")</t>
  </si>
  <si>
    <t>=IF($J1507="Item",NL("first",$J1507,"Description","No.","@@"&amp;$K1507),"")</t>
  </si>
  <si>
    <t>=E1510</t>
  </si>
  <si>
    <t>=NL("First","Item","Description","No.",$E1510)</t>
  </si>
  <si>
    <t>=NL("First","Item","Base Unit of Measure","No.",$E1510)</t>
  </si>
  <si>
    <t>=(SUBTOTAL(9,O1511:O1522))</t>
  </si>
  <si>
    <t>=(SUBTOTAL(9,P1511:P1522))</t>
  </si>
  <si>
    <t>=(SUBTOTAL(9,Q1511:Q1522))</t>
  </si>
  <si>
    <t>=(SUBTOTAL(9,R1511:R1522))</t>
  </si>
  <si>
    <t>=(SUBTOTAL(9,S1511:S1522))</t>
  </si>
  <si>
    <t>=(SUBTOTAL(9,T1511:T1522))</t>
  </si>
  <si>
    <t>=SUBTOTAL(9,O1511:T1522)</t>
  </si>
  <si>
    <t>=D1510</t>
  </si>
  <si>
    <t>=NL("Rows","Item Ledger Entry",,"+Posting Date",$L$5,"Item No.","@@"&amp;$D1511,"Location Code",$L$7)</t>
  </si>
  <si>
    <t>=IF($J1511="Customer",NL("first",$J1511,"Name","No.","@@"&amp;$K1511),"")</t>
  </si>
  <si>
    <t>=IF(J1511="vendor",NL("first",J1511,"Name","No.","@@"&amp;K1511),"")</t>
  </si>
  <si>
    <t>=IF($J1511="Item",NL("first",$J1511,"Description","No.","@@"&amp;$K1511),"")</t>
  </si>
  <si>
    <t>=D1511</t>
  </si>
  <si>
    <t>="""NAV Direct"",""CRONUS JetCorp USA"",""32"",""1"",""168639"""</t>
  </si>
  <si>
    <t>=IF($J1512="Customer",NL("first",$J1512,"Name","No.","@@"&amp;$K1512),"")</t>
  </si>
  <si>
    <t>=IF(J1512="vendor",NL("first",J1512,"Name","No.","@@"&amp;K1512),"")</t>
  </si>
  <si>
    <t>=IF($J1512="Item",NL("first",$J1512,"Description","No.","@@"&amp;$K1512),"")</t>
  </si>
  <si>
    <t>=D1512</t>
  </si>
  <si>
    <t>="""NAV Direct"",""CRONUS JetCorp USA"",""32"",""1"",""168663"""</t>
  </si>
  <si>
    <t>=IF($J1513="Customer",NL("first",$J1513,"Name","No.","@@"&amp;$K1513),"")</t>
  </si>
  <si>
    <t>=IF(J1513="vendor",NL("first",J1513,"Name","No.","@@"&amp;K1513),"")</t>
  </si>
  <si>
    <t>=IF($J1513="Item",NL("first",$J1513,"Description","No.","@@"&amp;$K1513),"")</t>
  </si>
  <si>
    <t>=D1513</t>
  </si>
  <si>
    <t>="""NAV Direct"",""CRONUS JetCorp USA"",""32"",""1"",""168678"""</t>
  </si>
  <si>
    <t>=IF($J1514="Customer",NL("first",$J1514,"Name","No.","@@"&amp;$K1514),"")</t>
  </si>
  <si>
    <t>=IF(J1514="vendor",NL("first",J1514,"Name","No.","@@"&amp;K1514),"")</t>
  </si>
  <si>
    <t>=IF($J1514="Item",NL("first",$J1514,"Description","No.","@@"&amp;$K1514),"")</t>
  </si>
  <si>
    <t>=D1514</t>
  </si>
  <si>
    <t>="""NAV Direct"",""CRONUS JetCorp USA"",""32"",""1"",""64585"""</t>
  </si>
  <si>
    <t>=IF($J1515="Customer",NL("first",$J1515,"Name","No.","@@"&amp;$K1515),"")</t>
  </si>
  <si>
    <t>=IF(J1515="vendor",NL("first",J1515,"Name","No.","@@"&amp;K1515),"")</t>
  </si>
  <si>
    <t>=IF($J1515="Item",NL("first",$J1515,"Description","No.","@@"&amp;$K1515),"")</t>
  </si>
  <si>
    <t>=D1515</t>
  </si>
  <si>
    <t>="""NAV Direct"",""CRONUS JetCorp USA"",""32"",""1"",""78851"""</t>
  </si>
  <si>
    <t>=IF($J1516="Customer",NL("first",$J1516,"Name","No.","@@"&amp;$K1516),"")</t>
  </si>
  <si>
    <t>=IF(J1516="vendor",NL("first",J1516,"Name","No.","@@"&amp;K1516),"")</t>
  </si>
  <si>
    <t>=IF($J1516="Item",NL("first",$J1516,"Description","No.","@@"&amp;$K1516),"")</t>
  </si>
  <si>
    <t>=D1516</t>
  </si>
  <si>
    <t>="""NAV Direct"",""CRONUS JetCorp USA"",""32"",""1"",""44480"""</t>
  </si>
  <si>
    <t>=IF($J1517="Customer",NL("first",$J1517,"Name","No.","@@"&amp;$K1517),"")</t>
  </si>
  <si>
    <t>=IF(J1517="vendor",NL("first",J1517,"Name","No.","@@"&amp;K1517),"")</t>
  </si>
  <si>
    <t>=IF($J1517="Item",NL("first",$J1517,"Description","No.","@@"&amp;$K1517),"")</t>
  </si>
  <si>
    <t>=D1517</t>
  </si>
  <si>
    <t>="""NAV Direct"",""CRONUS JetCorp USA"",""32"",""1"",""54740"""</t>
  </si>
  <si>
    <t>=IF($J1518="Customer",NL("first",$J1518,"Name","No.","@@"&amp;$K1518),"")</t>
  </si>
  <si>
    <t>=IF(J1518="vendor",NL("first",J1518,"Name","No.","@@"&amp;K1518),"")</t>
  </si>
  <si>
    <t>=IF($J1518="Item",NL("first",$J1518,"Description","No.","@@"&amp;$K1518),"")</t>
  </si>
  <si>
    <t>=D1518</t>
  </si>
  <si>
    <t>="""NAV Direct"",""CRONUS JetCorp USA"",""32"",""1"",""64604"""</t>
  </si>
  <si>
    <t>=IF($J1519="Customer",NL("first",$J1519,"Name","No.","@@"&amp;$K1519),"")</t>
  </si>
  <si>
    <t>=IF(J1519="vendor",NL("first",J1519,"Name","No.","@@"&amp;K1519),"")</t>
  </si>
  <si>
    <t>=IF($J1519="Item",NL("first",$J1519,"Description","No.","@@"&amp;$K1519),"")</t>
  </si>
  <si>
    <t>=D1519</t>
  </si>
  <si>
    <t>="""NAV Direct"",""CRONUS JetCorp USA"",""32"",""1"",""159118"""</t>
  </si>
  <si>
    <t>=IF($J1520="Customer",NL("first",$J1520,"Name","No.","@@"&amp;$K1520),"")</t>
  </si>
  <si>
    <t>=IF(J1520="vendor",NL("first",J1520,"Name","No.","@@"&amp;K1520),"")</t>
  </si>
  <si>
    <t>=IF($J1520="Item",NL("first",$J1520,"Description","No.","@@"&amp;$K1520),"")</t>
  </si>
  <si>
    <t>=D1520</t>
  </si>
  <si>
    <t>="""NAV Direct"",""CRONUS JetCorp USA"",""32"",""1"",""78864"""</t>
  </si>
  <si>
    <t>=IF($J1521="Customer",NL("first",$J1521,"Name","No.","@@"&amp;$K1521),"")</t>
  </si>
  <si>
    <t>=IF(J1521="vendor",NL("first",J1521,"Name","No.","@@"&amp;K1521),"")</t>
  </si>
  <si>
    <t>=IF($J1521="Item",NL("first",$J1521,"Description","No.","@@"&amp;$K1521),"")</t>
  </si>
  <si>
    <t>=E1524</t>
  </si>
  <si>
    <t>=NL("First","Item","Description","No.",$E1524)</t>
  </si>
  <si>
    <t>=NL("First","Item","Base Unit of Measure","No.",$E1524)</t>
  </si>
  <si>
    <t>=(SUBTOTAL(9,O1525:O1534))</t>
  </si>
  <si>
    <t>=(SUBTOTAL(9,P1525:P1534))</t>
  </si>
  <si>
    <t>=(SUBTOTAL(9,Q1525:Q1534))</t>
  </si>
  <si>
    <t>=(SUBTOTAL(9,R1525:R1534))</t>
  </si>
  <si>
    <t>=(SUBTOTAL(9,S1525:S1534))</t>
  </si>
  <si>
    <t>=(SUBTOTAL(9,T1525:T1534))</t>
  </si>
  <si>
    <t>=SUBTOTAL(9,O1525:T1534)</t>
  </si>
  <si>
    <t>=D1524</t>
  </si>
  <si>
    <t>=NL("Rows","Item Ledger Entry",,"+Posting Date",$L$5,"Item No.","@@"&amp;$D1525,"Location Code",$L$7)</t>
  </si>
  <si>
    <t>=IF($J1525="Customer",NL("first",$J1525,"Name","No.","@@"&amp;$K1525),"")</t>
  </si>
  <si>
    <t>=IF(J1525="vendor",NL("first",J1525,"Name","No.","@@"&amp;K1525),"")</t>
  </si>
  <si>
    <t>=IF($J1525="Item",NL("first",$J1525,"Description","No.","@@"&amp;$K1525),"")</t>
  </si>
  <si>
    <t>=D1525</t>
  </si>
  <si>
    <t>="""NAV Direct"",""CRONUS JetCorp USA"",""32"",""1"",""168621"""</t>
  </si>
  <si>
    <t>=IF($J1526="Customer",NL("first",$J1526,"Name","No.","@@"&amp;$K1526),"")</t>
  </si>
  <si>
    <t>=IF(J1526="vendor",NL("first",J1526,"Name","No.","@@"&amp;K1526),"")</t>
  </si>
  <si>
    <t>=IF($J1526="Item",NL("first",$J1526,"Description","No.","@@"&amp;$K1526),"")</t>
  </si>
  <si>
    <t>=D1526</t>
  </si>
  <si>
    <t>="""NAV Direct"",""CRONUS JetCorp USA"",""32"",""1"",""168638"""</t>
  </si>
  <si>
    <t>=IF($J1527="Customer",NL("first",$J1527,"Name","No.","@@"&amp;$K1527),"")</t>
  </si>
  <si>
    <t>=IF(J1527="vendor",NL("first",J1527,"Name","No.","@@"&amp;K1527),"")</t>
  </si>
  <si>
    <t>=IF($J1527="Item",NL("first",$J1527,"Description","No.","@@"&amp;$K1527),"")</t>
  </si>
  <si>
    <t>=D1527</t>
  </si>
  <si>
    <t>="""NAV Direct"",""CRONUS JetCorp USA"",""32"",""1"",""168650"""</t>
  </si>
  <si>
    <t>=IF($J1528="Customer",NL("first",$J1528,"Name","No.","@@"&amp;$K1528),"")</t>
  </si>
  <si>
    <t>=IF(J1528="vendor",NL("first",J1528,"Name","No.","@@"&amp;K1528),"")</t>
  </si>
  <si>
    <t>=IF($J1528="Item",NL("first",$J1528,"Description","No.","@@"&amp;$K1528),"")</t>
  </si>
  <si>
    <t>=D1528</t>
  </si>
  <si>
    <t>="""NAV Direct"",""CRONUS JetCorp USA"",""32"",""1"",""168662"""</t>
  </si>
  <si>
    <t>=IF($J1529="Customer",NL("first",$J1529,"Name","No.","@@"&amp;$K1529),"")</t>
  </si>
  <si>
    <t>=IF(J1529="vendor",NL("first",J1529,"Name","No.","@@"&amp;K1529),"")</t>
  </si>
  <si>
    <t>=IF($J1529="Item",NL("first",$J1529,"Description","No.","@@"&amp;$K1529),"")</t>
  </si>
  <si>
    <t>=D1529</t>
  </si>
  <si>
    <t>="""NAV Direct"",""CRONUS JetCorp USA"",""32"",""1"",""168677"""</t>
  </si>
  <si>
    <t>=IF($J1530="Customer",NL("first",$J1530,"Name","No.","@@"&amp;$K1530),"")</t>
  </si>
  <si>
    <t>=IF(J1530="vendor",NL("first",J1530,"Name","No.","@@"&amp;K1530),"")</t>
  </si>
  <si>
    <t>=IF($J1530="Item",NL("first",$J1530,"Description","No.","@@"&amp;$K1530),"")</t>
  </si>
  <si>
    <t>=D1530</t>
  </si>
  <si>
    <t>="""NAV Direct"",""CRONUS JetCorp USA"",""32"",""1"",""78831"""</t>
  </si>
  <si>
    <t>=IF($J1531="Customer",NL("first",$J1531,"Name","No.","@@"&amp;$K1531),"")</t>
  </si>
  <si>
    <t>=IF(J1531="vendor",NL("first",J1531,"Name","No.","@@"&amp;K1531),"")</t>
  </si>
  <si>
    <t>=IF($J1531="Item",NL("first",$J1531,"Description","No.","@@"&amp;$K1531),"")</t>
  </si>
  <si>
    <t>=D1531</t>
  </si>
  <si>
    <t>="""NAV Direct"",""CRONUS JetCorp USA"",""32"",""1"",""64574"""</t>
  </si>
  <si>
    <t>=IF($J1532="Customer",NL("first",$J1532,"Name","No.","@@"&amp;$K1532),"")</t>
  </si>
  <si>
    <t>=IF(J1532="vendor",NL("first",J1532,"Name","No.","@@"&amp;K1532),"")</t>
  </si>
  <si>
    <t>=IF($J1532="Item",NL("first",$J1532,"Description","No.","@@"&amp;$K1532),"")</t>
  </si>
  <si>
    <t>=D1532</t>
  </si>
  <si>
    <t>="""NAV Direct"",""CRONUS JetCorp USA"",""32"",""1"",""72511"""</t>
  </si>
  <si>
    <t>=IF($J1533="Customer",NL("first",$J1533,"Name","No.","@@"&amp;$K1533),"")</t>
  </si>
  <si>
    <t>=IF(J1533="vendor",NL("first",J1533,"Name","No.","@@"&amp;K1533),"")</t>
  </si>
  <si>
    <t>=IF($J1533="Item",NL("first",$J1533,"Description","No.","@@"&amp;$K1533),"")</t>
  </si>
  <si>
    <t>=E1536</t>
  </si>
  <si>
    <t>="E100043"</t>
  </si>
  <si>
    <t>=NL("First","Item","Description","No.",$E1536)</t>
  </si>
  <si>
    <t>=NL("First","Item","Base Unit of Measure","No.",$E1536)</t>
  </si>
  <si>
    <t>=(SUBTOTAL(9,O1537:O1548))</t>
  </si>
  <si>
    <t>=(SUBTOTAL(9,P1537:P1548))</t>
  </si>
  <si>
    <t>=(SUBTOTAL(9,Q1537:Q1548))</t>
  </si>
  <si>
    <t>=(SUBTOTAL(9,R1537:R1548))</t>
  </si>
  <si>
    <t>=(SUBTOTAL(9,S1537:S1548))</t>
  </si>
  <si>
    <t>=(SUBTOTAL(9,T1537:T1548))</t>
  </si>
  <si>
    <t>=SUBTOTAL(9,O1537:T1548)</t>
  </si>
  <si>
    <t>=D1536</t>
  </si>
  <si>
    <t>=NL("Rows","Item Ledger Entry",,"+Posting Date",$L$5,"Item No.","@@"&amp;$D1537,"Location Code",$L$7)</t>
  </si>
  <si>
    <t>=IF($J1537="Customer",NL("first",$J1537,"Name","No.","@@"&amp;$K1537),"")</t>
  </si>
  <si>
    <t>=IF(J1537="vendor",NL("first",J1537,"Name","No.","@@"&amp;K1537),"")</t>
  </si>
  <si>
    <t>=IF($J1537="Item",NL("first",$J1537,"Description","No.","@@"&amp;$K1537),"")</t>
  </si>
  <si>
    <t>=D1537</t>
  </si>
  <si>
    <t>="""NAV Direct"",""CRONUS JetCorp USA"",""32"",""1"",""168614"""</t>
  </si>
  <si>
    <t>=IF($J1538="Customer",NL("first",$J1538,"Name","No.","@@"&amp;$K1538),"")</t>
  </si>
  <si>
    <t>=IF(J1538="vendor",NL("first",J1538,"Name","No.","@@"&amp;K1538),"")</t>
  </si>
  <si>
    <t>=IF($J1538="Item",NL("first",$J1538,"Description","No.","@@"&amp;$K1538),"")</t>
  </si>
  <si>
    <t>=D1538</t>
  </si>
  <si>
    <t>="""NAV Direct"",""CRONUS JetCorp USA"",""32"",""1"",""168637"""</t>
  </si>
  <si>
    <t>=IF($J1539="Customer",NL("first",$J1539,"Name","No.","@@"&amp;$K1539),"")</t>
  </si>
  <si>
    <t>=IF(J1539="vendor",NL("first",J1539,"Name","No.","@@"&amp;K1539),"")</t>
  </si>
  <si>
    <t>=IF($J1539="Item",NL("first",$J1539,"Description","No.","@@"&amp;$K1539),"")</t>
  </si>
  <si>
    <t>=D1539</t>
  </si>
  <si>
    <t>="""NAV Direct"",""CRONUS JetCorp USA"",""32"",""1"",""168649"""</t>
  </si>
  <si>
    <t>=IF($J1540="Customer",NL("first",$J1540,"Name","No.","@@"&amp;$K1540),"")</t>
  </si>
  <si>
    <t>=IF(J1540="vendor",NL("first",J1540,"Name","No.","@@"&amp;K1540),"")</t>
  </si>
  <si>
    <t>=IF($J1540="Item",NL("first",$J1540,"Description","No.","@@"&amp;$K1540),"")</t>
  </si>
  <si>
    <t>=D1540</t>
  </si>
  <si>
    <t>="""NAV Direct"",""CRONUS JetCorp USA"",""32"",""1"",""168661"""</t>
  </si>
  <si>
    <t>=IF($J1541="Customer",NL("first",$J1541,"Name","No.","@@"&amp;$K1541),"")</t>
  </si>
  <si>
    <t>=IF(J1541="vendor",NL("first",J1541,"Name","No.","@@"&amp;K1541),"")</t>
  </si>
  <si>
    <t>=IF($J1541="Item",NL("first",$J1541,"Description","No.","@@"&amp;$K1541),"")</t>
  </si>
  <si>
    <t>=D1541</t>
  </si>
  <si>
    <t>="""NAV Direct"",""CRONUS JetCorp USA"",""32"",""1"",""168676"""</t>
  </si>
  <si>
    <t>=IF($J1542="Customer",NL("first",$J1542,"Name","No.","@@"&amp;$K1542),"")</t>
  </si>
  <si>
    <t>=IF(J1542="vendor",NL("first",J1542,"Name","No.","@@"&amp;K1542),"")</t>
  </si>
  <si>
    <t>=IF($J1542="Item",NL("first",$J1542,"Description","No.","@@"&amp;$K1542),"")</t>
  </si>
  <si>
    <t>=D1542</t>
  </si>
  <si>
    <t>="""NAV Direct"",""CRONUS JetCorp USA"",""32"",""1"",""147992"""</t>
  </si>
  <si>
    <t>=IF($J1543="Customer",NL("first",$J1543,"Name","No.","@@"&amp;$K1543),"")</t>
  </si>
  <si>
    <t>=IF(J1543="vendor",NL("first",J1543,"Name","No.","@@"&amp;K1543),"")</t>
  </si>
  <si>
    <t>=IF($J1543="Item",NL("first",$J1543,"Description","No.","@@"&amp;$K1543),"")</t>
  </si>
  <si>
    <t>=D1543</t>
  </si>
  <si>
    <t>="""NAV Direct"",""CRONUS JetCorp USA"",""32"",""1"",""78848"""</t>
  </si>
  <si>
    <t>=IF($J1544="Customer",NL("first",$J1544,"Name","No.","@@"&amp;$K1544),"")</t>
  </si>
  <si>
    <t>=IF(J1544="vendor",NL("first",J1544,"Name","No.","@@"&amp;K1544),"")</t>
  </si>
  <si>
    <t>=IF($J1544="Item",NL("first",$J1544,"Description","No.","@@"&amp;$K1544),"")</t>
  </si>
  <si>
    <t>=D1544</t>
  </si>
  <si>
    <t>="""NAV Direct"",""CRONUS JetCorp USA"",""32"",""1"",""72520"""</t>
  </si>
  <si>
    <t>=IF($J1545="Customer",NL("first",$J1545,"Name","No.","@@"&amp;$K1545),"")</t>
  </si>
  <si>
    <t>=IF(J1545="vendor",NL("first",J1545,"Name","No.","@@"&amp;K1545),"")</t>
  </si>
  <si>
    <t>=IF($J1545="Item",NL("first",$J1545,"Description","No.","@@"&amp;$K1545),"")</t>
  </si>
  <si>
    <t>=D1545</t>
  </si>
  <si>
    <t>="""NAV Direct"",""CRONUS JetCorp USA"",""32"",""1"",""142556"""</t>
  </si>
  <si>
    <t>=IF($J1546="Customer",NL("first",$J1546,"Name","No.","@@"&amp;$K1546),"")</t>
  </si>
  <si>
    <t>=IF(J1546="vendor",NL("first",J1546,"Name","No.","@@"&amp;K1546),"")</t>
  </si>
  <si>
    <t>=IF($J1546="Item",NL("first",$J1546,"Description","No.","@@"&amp;$K1546),"")</t>
  </si>
  <si>
    <t>=D1546</t>
  </si>
  <si>
    <t>="""NAV Direct"",""CRONUS JetCorp USA"",""32"",""1"",""44523"""</t>
  </si>
  <si>
    <t>=IF($J1547="Customer",NL("first",$J1547,"Name","No.","@@"&amp;$K1547),"")</t>
  </si>
  <si>
    <t>=IF(J1547="vendor",NL("first",J1547,"Name","No.","@@"&amp;K1547),"")</t>
  </si>
  <si>
    <t>=IF($J1547="Item",NL("first",$J1547,"Description","No.","@@"&amp;$K1547),"")</t>
  </si>
  <si>
    <t>=E1550</t>
  </si>
  <si>
    <t>=NL("First","Item","Description","No.",$E1550)</t>
  </si>
  <si>
    <t>=NL("First","Item","Base Unit of Measure","No.",$E1550)</t>
  </si>
  <si>
    <t>=(SUBTOTAL(9,O1551:O1563))</t>
  </si>
  <si>
    <t>=(SUBTOTAL(9,P1551:P1563))</t>
  </si>
  <si>
    <t>=(SUBTOTAL(9,Q1551:Q1563))</t>
  </si>
  <si>
    <t>=(SUBTOTAL(9,R1551:R1563))</t>
  </si>
  <si>
    <t>=(SUBTOTAL(9,S1551:S1563))</t>
  </si>
  <si>
    <t>=(SUBTOTAL(9,T1551:T1563))</t>
  </si>
  <si>
    <t>=SUBTOTAL(9,O1551:T1563)</t>
  </si>
  <si>
    <t>=D1550</t>
  </si>
  <si>
    <t>=NL("Rows","Item Ledger Entry",,"+Posting Date",$L$5,"Item No.","@@"&amp;$D1551,"Location Code",$L$7)</t>
  </si>
  <si>
    <t>=IF($J1551="Customer",NL("first",$J1551,"Name","No.","@@"&amp;$K1551),"")</t>
  </si>
  <si>
    <t>=IF(J1551="vendor",NL("first",J1551,"Name","No.","@@"&amp;K1551),"")</t>
  </si>
  <si>
    <t>=IF($J1551="Item",NL("first",$J1551,"Description","No.","@@"&amp;$K1551),"")</t>
  </si>
  <si>
    <t>=D1551</t>
  </si>
  <si>
    <t>="""NAV Direct"",""CRONUS JetCorp USA"",""32"",""1"",""168636"""</t>
  </si>
  <si>
    <t>=IF($J1552="Customer",NL("first",$J1552,"Name","No.","@@"&amp;$K1552),"")</t>
  </si>
  <si>
    <t>=IF(J1552="vendor",NL("first",J1552,"Name","No.","@@"&amp;K1552),"")</t>
  </si>
  <si>
    <t>=IF($J1552="Item",NL("first",$J1552,"Description","No.","@@"&amp;$K1552),"")</t>
  </si>
  <si>
    <t>=D1552</t>
  </si>
  <si>
    <t>="""NAV Direct"",""CRONUS JetCorp USA"",""32"",""1"",""168660"""</t>
  </si>
  <si>
    <t>=IF($J1553="Customer",NL("first",$J1553,"Name","No.","@@"&amp;$K1553),"")</t>
  </si>
  <si>
    <t>=IF(J1553="vendor",NL("first",J1553,"Name","No.","@@"&amp;K1553),"")</t>
  </si>
  <si>
    <t>=IF($J1553="Item",NL("first",$J1553,"Description","No.","@@"&amp;$K1553),"")</t>
  </si>
  <si>
    <t>=D1553</t>
  </si>
  <si>
    <t>="""NAV Direct"",""CRONUS JetCorp USA"",""32"",""1"",""168675"""</t>
  </si>
  <si>
    <t>=IF($J1554="Customer",NL("first",$J1554,"Name","No.","@@"&amp;$K1554),"")</t>
  </si>
  <si>
    <t>=IF(J1554="vendor",NL("first",J1554,"Name","No.","@@"&amp;K1554),"")</t>
  </si>
  <si>
    <t>=IF($J1554="Item",NL("first",$J1554,"Description","No.","@@"&amp;$K1554),"")</t>
  </si>
  <si>
    <t>=D1554</t>
  </si>
  <si>
    <t>="""NAV Direct"",""CRONUS JetCorp USA"",""32"",""1"",""78840"""</t>
  </si>
  <si>
    <t>=IF($J1555="Customer",NL("first",$J1555,"Name","No.","@@"&amp;$K1555),"")</t>
  </si>
  <si>
    <t>=IF(J1555="vendor",NL("first",J1555,"Name","No.","@@"&amp;K1555),"")</t>
  </si>
  <si>
    <t>=IF($J1555="Item",NL("first",$J1555,"Description","No.","@@"&amp;$K1555),"")</t>
  </si>
  <si>
    <t>=D1555</t>
  </si>
  <si>
    <t>="""NAV Direct"",""CRONUS JetCorp USA"",""32"",""1"",""78852"""</t>
  </si>
  <si>
    <t>=IF($J1556="Customer",NL("first",$J1556,"Name","No.","@@"&amp;$K1556),"")</t>
  </si>
  <si>
    <t>=IF(J1556="vendor",NL("first",J1556,"Name","No.","@@"&amp;K1556),"")</t>
  </si>
  <si>
    <t>=IF($J1556="Item",NL("first",$J1556,"Description","No.","@@"&amp;$K1556),"")</t>
  </si>
  <si>
    <t>=D1556</t>
  </si>
  <si>
    <t>="""NAV Direct"",""CRONUS JetCorp USA"",""32"",""1"",""72523"""</t>
  </si>
  <si>
    <t>=IF($J1557="Customer",NL("first",$J1557,"Name","No.","@@"&amp;$K1557),"")</t>
  </si>
  <si>
    <t>=IF(J1557="vendor",NL("first",J1557,"Name","No.","@@"&amp;K1557),"")</t>
  </si>
  <si>
    <t>=IF($J1557="Item",NL("first",$J1557,"Description","No.","@@"&amp;$K1557),"")</t>
  </si>
  <si>
    <t>=D1557</t>
  </si>
  <si>
    <t>="""NAV Direct"",""CRONUS JetCorp USA"",""32"",""1"",""54742"""</t>
  </si>
  <si>
    <t>=IF($J1558="Customer",NL("first",$J1558,"Name","No.","@@"&amp;$K1558),"")</t>
  </si>
  <si>
    <t>=IF(J1558="vendor",NL("first",J1558,"Name","No.","@@"&amp;K1558),"")</t>
  </si>
  <si>
    <t>=IF($J1558="Item",NL("first",$J1558,"Description","No.","@@"&amp;$K1558),"")</t>
  </si>
  <si>
    <t>=D1558</t>
  </si>
  <si>
    <t>="""NAV Direct"",""CRONUS JetCorp USA"",""32"",""1"",""64605"""</t>
  </si>
  <si>
    <t>=IF($J1559="Customer",NL("first",$J1559,"Name","No.","@@"&amp;$K1559),"")</t>
  </si>
  <si>
    <t>=IF(J1559="vendor",NL("first",J1559,"Name","No.","@@"&amp;K1559),"")</t>
  </si>
  <si>
    <t>=IF($J1559="Item",NL("first",$J1559,"Description","No.","@@"&amp;$K1559),"")</t>
  </si>
  <si>
    <t>=D1559</t>
  </si>
  <si>
    <t>="""NAV Direct"",""CRONUS JetCorp USA"",""32"",""1"",""44535"""</t>
  </si>
  <si>
    <t>=IF($J1560="Customer",NL("first",$J1560,"Name","No.","@@"&amp;$K1560),"")</t>
  </si>
  <si>
    <t>=IF(J1560="vendor",NL("first",J1560,"Name","No.","@@"&amp;K1560),"")</t>
  </si>
  <si>
    <t>=IF($J1560="Item",NL("first",$J1560,"Description","No.","@@"&amp;$K1560),"")</t>
  </si>
  <si>
    <t>=D1560</t>
  </si>
  <si>
    <t>="""NAV Direct"",""CRONUS JetCorp USA"",""32"",""1"",""153186"""</t>
  </si>
  <si>
    <t>=IF($J1561="Customer",NL("first",$J1561,"Name","No.","@@"&amp;$K1561),"")</t>
  </si>
  <si>
    <t>=IF(J1561="vendor",NL("first",J1561,"Name","No.","@@"&amp;K1561),"")</t>
  </si>
  <si>
    <t>=IF($J1561="Item",NL("first",$J1561,"Description","No.","@@"&amp;$K1561),"")</t>
  </si>
  <si>
    <t>=D1561</t>
  </si>
  <si>
    <t>="""NAV Direct"",""CRONUS JetCorp USA"",""32"",""1"",""159987"""</t>
  </si>
  <si>
    <t>=IF($J1562="Customer",NL("first",$J1562,"Name","No.","@@"&amp;$K1562),"")</t>
  </si>
  <si>
    <t>=IF(J1562="vendor",NL("first",J1562,"Name","No.","@@"&amp;K1562),"")</t>
  </si>
  <si>
    <t>=IF($J1562="Item",NL("first",$J1562,"Description","No.","@@"&amp;$K1562),"")</t>
  </si>
  <si>
    <t>=E1565</t>
  </si>
  <si>
    <t>=NL("First","Item","Description","No.",$E1565)</t>
  </si>
  <si>
    <t>=NL("First","Item","Base Unit of Measure","No.",$E1565)</t>
  </si>
  <si>
    <t>=(SUBTOTAL(9,O1566:O1573))</t>
  </si>
  <si>
    <t>=(SUBTOTAL(9,P1566:P1573))</t>
  </si>
  <si>
    <t>=(SUBTOTAL(9,Q1566:Q1573))</t>
  </si>
  <si>
    <t>=(SUBTOTAL(9,R1566:R1573))</t>
  </si>
  <si>
    <t>=(SUBTOTAL(9,S1566:S1573))</t>
  </si>
  <si>
    <t>=(SUBTOTAL(9,T1566:T1573))</t>
  </si>
  <si>
    <t>=SUBTOTAL(9,O1566:T1573)</t>
  </si>
  <si>
    <t>=D1565</t>
  </si>
  <si>
    <t>=NL("Rows","Item Ledger Entry",,"+Posting Date",$L$5,"Item No.","@@"&amp;$D1566,"Location Code",$L$7)</t>
  </si>
  <si>
    <t>=IF($J1566="Customer",NL("first",$J1566,"Name","No.","@@"&amp;$K1566),"")</t>
  </si>
  <si>
    <t>=IF(J1566="vendor",NL("first",J1566,"Name","No.","@@"&amp;K1566),"")</t>
  </si>
  <si>
    <t>=IF($J1566="Item",NL("first",$J1566,"Description","No.","@@"&amp;$K1566),"")</t>
  </si>
  <si>
    <t>=D1566</t>
  </si>
  <si>
    <t>="""NAV Direct"",""CRONUS JetCorp USA"",""32"",""1"",""168626"""</t>
  </si>
  <si>
    <t>=IF($J1567="Customer",NL("first",$J1567,"Name","No.","@@"&amp;$K1567),"")</t>
  </si>
  <si>
    <t>=IF(J1567="vendor",NL("first",J1567,"Name","No.","@@"&amp;K1567),"")</t>
  </si>
  <si>
    <t>=IF($J1567="Item",NL("first",$J1567,"Description","No.","@@"&amp;$K1567),"")</t>
  </si>
  <si>
    <t>=D1567</t>
  </si>
  <si>
    <t>="""NAV Direct"",""CRONUS JetCorp USA"",""32"",""1"",""168635"""</t>
  </si>
  <si>
    <t>=IF($J1568="Customer",NL("first",$J1568,"Name","No.","@@"&amp;$K1568),"")</t>
  </si>
  <si>
    <t>=IF(J1568="vendor",NL("first",J1568,"Name","No.","@@"&amp;K1568),"")</t>
  </si>
  <si>
    <t>=IF($J1568="Item",NL("first",$J1568,"Description","No.","@@"&amp;$K1568),"")</t>
  </si>
  <si>
    <t>=D1568</t>
  </si>
  <si>
    <t>="""NAV Direct"",""CRONUS JetCorp USA"",""32"",""1"",""168659"""</t>
  </si>
  <si>
    <t>=IF($J1569="Customer",NL("first",$J1569,"Name","No.","@@"&amp;$K1569),"")</t>
  </si>
  <si>
    <t>=IF(J1569="vendor",NL("first",J1569,"Name","No.","@@"&amp;K1569),"")</t>
  </si>
  <si>
    <t>=IF($J1569="Item",NL("first",$J1569,"Description","No.","@@"&amp;$K1569),"")</t>
  </si>
  <si>
    <t>=D1569</t>
  </si>
  <si>
    <t>="""NAV Direct"",""CRONUS JetCorp USA"",""32"",""1"",""168674"""</t>
  </si>
  <si>
    <t>=IF($J1570="Customer",NL("first",$J1570,"Name","No.","@@"&amp;$K1570),"")</t>
  </si>
  <si>
    <t>=IF(J1570="vendor",NL("first",J1570,"Name","No.","@@"&amp;K1570),"")</t>
  </si>
  <si>
    <t>=IF($J1570="Item",NL("first",$J1570,"Description","No.","@@"&amp;$K1570),"")</t>
  </si>
  <si>
    <t>=D1570</t>
  </si>
  <si>
    <t>="""NAV Direct"",""CRONUS JetCorp USA"",""32"",""1"",""44479"""</t>
  </si>
  <si>
    <t>=IF($J1571="Customer",NL("first",$J1571,"Name","No.","@@"&amp;$K1571),"")</t>
  </si>
  <si>
    <t>=IF(J1571="vendor",NL("first",J1571,"Name","No.","@@"&amp;K1571),"")</t>
  </si>
  <si>
    <t>=IF($J1571="Item",NL("first",$J1571,"Description","No.","@@"&amp;$K1571),"")</t>
  </si>
  <si>
    <t>=D1571</t>
  </si>
  <si>
    <t>="""NAV Direct"",""CRONUS JetCorp USA"",""32"",""1"",""44534"""</t>
  </si>
  <si>
    <t>=IF($J1572="Customer",NL("first",$J1572,"Name","No.","@@"&amp;$K1572),"")</t>
  </si>
  <si>
    <t>=IF(J1572="vendor",NL("first",J1572,"Name","No.","@@"&amp;K1572),"")</t>
  </si>
  <si>
    <t>=IF($J1572="Item",NL("first",$J1572,"Description","No.","@@"&amp;$K1572),"")</t>
  </si>
  <si>
    <t>=E1575</t>
  </si>
  <si>
    <t>=NL("First","Item","Description","No.",$E1575)</t>
  </si>
  <si>
    <t>=NL("First","Item","Base Unit of Measure","No.",$E1575)</t>
  </si>
  <si>
    <t>=(SUBTOTAL(9,O1576:O1585))</t>
  </si>
  <si>
    <t>=(SUBTOTAL(9,P1576:P1585))</t>
  </si>
  <si>
    <t>=(SUBTOTAL(9,Q1576:Q1585))</t>
  </si>
  <si>
    <t>=(SUBTOTAL(9,R1576:R1585))</t>
  </si>
  <si>
    <t>=(SUBTOTAL(9,S1576:S1585))</t>
  </si>
  <si>
    <t>=(SUBTOTAL(9,T1576:T1585))</t>
  </si>
  <si>
    <t>=SUBTOTAL(9,O1576:T1585)</t>
  </si>
  <si>
    <t>=D1575</t>
  </si>
  <si>
    <t>=NL("Rows","Item Ledger Entry",,"+Posting Date",$L$5,"Item No.","@@"&amp;$D1576,"Location Code",$L$7)</t>
  </si>
  <si>
    <t>=IF($J1576="Customer",NL("first",$J1576,"Name","No.","@@"&amp;$K1576),"")</t>
  </si>
  <si>
    <t>=IF(J1576="vendor",NL("first",J1576,"Name","No.","@@"&amp;K1576),"")</t>
  </si>
  <si>
    <t>=IF($J1576="Item",NL("first",$J1576,"Description","No.","@@"&amp;$K1576),"")</t>
  </si>
  <si>
    <t>=D1576</t>
  </si>
  <si>
    <t>="""NAV Direct"",""CRONUS JetCorp USA"",""32"",""1"",""168625"""</t>
  </si>
  <si>
    <t>=IF($J1577="Customer",NL("first",$J1577,"Name","No.","@@"&amp;$K1577),"")</t>
  </si>
  <si>
    <t>=IF(J1577="vendor",NL("first",J1577,"Name","No.","@@"&amp;K1577),"")</t>
  </si>
  <si>
    <t>=IF($J1577="Item",NL("first",$J1577,"Description","No.","@@"&amp;$K1577),"")</t>
  </si>
  <si>
    <t>=D1577</t>
  </si>
  <si>
    <t>="""NAV Direct"",""CRONUS JetCorp USA"",""32"",""1"",""168634"""</t>
  </si>
  <si>
    <t>=IF($J1578="Customer",NL("first",$J1578,"Name","No.","@@"&amp;$K1578),"")</t>
  </si>
  <si>
    <t>=IF(J1578="vendor",NL("first",J1578,"Name","No.","@@"&amp;K1578),"")</t>
  </si>
  <si>
    <t>=IF($J1578="Item",NL("first",$J1578,"Description","No.","@@"&amp;$K1578),"")</t>
  </si>
  <si>
    <t>=D1578</t>
  </si>
  <si>
    <t>="""NAV Direct"",""CRONUS JetCorp USA"",""32"",""1"",""168658"""</t>
  </si>
  <si>
    <t>=IF($J1579="Customer",NL("first",$J1579,"Name","No.","@@"&amp;$K1579),"")</t>
  </si>
  <si>
    <t>=IF(J1579="vendor",NL("first",J1579,"Name","No.","@@"&amp;K1579),"")</t>
  </si>
  <si>
    <t>=IF($J1579="Item",NL("first",$J1579,"Description","No.","@@"&amp;$K1579),"")</t>
  </si>
  <si>
    <t>=D1579</t>
  </si>
  <si>
    <t>="""NAV Direct"",""CRONUS JetCorp USA"",""32"",""1"",""64576"""</t>
  </si>
  <si>
    <t>=IF($J1580="Customer",NL("first",$J1580,"Name","No.","@@"&amp;$K1580),"")</t>
  </si>
  <si>
    <t>=IF(J1580="vendor",NL("first",J1580,"Name","No.","@@"&amp;K1580),"")</t>
  </si>
  <si>
    <t>=IF($J1580="Item",NL("first",$J1580,"Description","No.","@@"&amp;$K1580),"")</t>
  </si>
  <si>
    <t>=D1580</t>
  </si>
  <si>
    <t>="""NAV Direct"",""CRONUS JetCorp USA"",""32"",""1"",""147991"""</t>
  </si>
  <si>
    <t>=IF($J1581="Customer",NL("first",$J1581,"Name","No.","@@"&amp;$K1581),"")</t>
  </si>
  <si>
    <t>=IF(J1581="vendor",NL("first",J1581,"Name","No.","@@"&amp;K1581),"")</t>
  </si>
  <si>
    <t>=IF($J1581="Item",NL("first",$J1581,"Description","No.","@@"&amp;$K1581),"")</t>
  </si>
  <si>
    <t>=D1581</t>
  </si>
  <si>
    <t>="""NAV Direct"",""CRONUS JetCorp USA"",""32"",""1"",""78857"""</t>
  </si>
  <si>
    <t>=IF($J1582="Customer",NL("first",$J1582,"Name","No.","@@"&amp;$K1582),"")</t>
  </si>
  <si>
    <t>=IF(J1582="vendor",NL("first",J1582,"Name","No.","@@"&amp;K1582),"")</t>
  </si>
  <si>
    <t>=IF($J1582="Item",NL("first",$J1582,"Description","No.","@@"&amp;$K1582),"")</t>
  </si>
  <si>
    <t>=D1582</t>
  </si>
  <si>
    <t>="""NAV Direct"",""CRONUS JetCorp USA"",""32"",""1"",""78893"""</t>
  </si>
  <si>
    <t>=IF($J1583="Customer",NL("first",$J1583,"Name","No.","@@"&amp;$K1583),"")</t>
  </si>
  <si>
    <t>=IF(J1583="vendor",NL("first",J1583,"Name","No.","@@"&amp;K1583),"")</t>
  </si>
  <si>
    <t>=IF($J1583="Item",NL("first",$J1583,"Description","No.","@@"&amp;$K1583),"")</t>
  </si>
  <si>
    <t>=D1583</t>
  </si>
  <si>
    <t>="""NAV Direct"",""CRONUS JetCorp USA"",""32"",""1"",""78906"""</t>
  </si>
  <si>
    <t>=IF($J1584="Customer",NL("first",$J1584,"Name","No.","@@"&amp;$K1584),"")</t>
  </si>
  <si>
    <t>=IF(J1584="vendor",NL("first",J1584,"Name","No.","@@"&amp;K1584),"")</t>
  </si>
  <si>
    <t>=IF($J1584="Item",NL("first",$J1584,"Description","No.","@@"&amp;$K1584),"")</t>
  </si>
  <si>
    <t>=E1587</t>
  </si>
  <si>
    <t>=NL("First","Item","Description","No.",$E1587)</t>
  </si>
  <si>
    <t>=NL("First","Item","Base Unit of Measure","No.",$E1587)</t>
  </si>
  <si>
    <t>=(SUBTOTAL(9,O1588:O1601))</t>
  </si>
  <si>
    <t>=(SUBTOTAL(9,P1588:P1601))</t>
  </si>
  <si>
    <t>=(SUBTOTAL(9,Q1588:Q1601))</t>
  </si>
  <si>
    <t>=(SUBTOTAL(9,R1588:R1601))</t>
  </si>
  <si>
    <t>=(SUBTOTAL(9,S1588:S1601))</t>
  </si>
  <si>
    <t>=(SUBTOTAL(9,T1588:T1601))</t>
  </si>
  <si>
    <t>=SUBTOTAL(9,O1588:T1601)</t>
  </si>
  <si>
    <t>=D1587</t>
  </si>
  <si>
    <t>=NL("Rows","Item Ledger Entry",,"+Posting Date",$L$5,"Item No.","@@"&amp;$D1588,"Location Code",$L$7)</t>
  </si>
  <si>
    <t>=IF($J1588="Customer",NL("first",$J1588,"Name","No.","@@"&amp;$K1588),"")</t>
  </si>
  <si>
    <t>=IF(J1588="vendor",NL("first",J1588,"Name","No.","@@"&amp;K1588),"")</t>
  </si>
  <si>
    <t>=IF($J1588="Item",NL("first",$J1588,"Description","No.","@@"&amp;$K1588),"")</t>
  </si>
  <si>
    <t>=D1588</t>
  </si>
  <si>
    <t>="""NAV Direct"",""CRONUS JetCorp USA"",""32"",""1"",""168611"""</t>
  </si>
  <si>
    <t>=IF($J1589="Customer",NL("first",$J1589,"Name","No.","@@"&amp;$K1589),"")</t>
  </si>
  <si>
    <t>=IF(J1589="vendor",NL("first",J1589,"Name","No.","@@"&amp;K1589),"")</t>
  </si>
  <si>
    <t>=IF($J1589="Item",NL("first",$J1589,"Description","No.","@@"&amp;$K1589),"")</t>
  </si>
  <si>
    <t>=D1589</t>
  </si>
  <si>
    <t>="""NAV Direct"",""CRONUS JetCorp USA"",""32"",""1"",""168633"""</t>
  </si>
  <si>
    <t>=IF($J1590="Customer",NL("first",$J1590,"Name","No.","@@"&amp;$K1590),"")</t>
  </si>
  <si>
    <t>=IF(J1590="vendor",NL("first",J1590,"Name","No.","@@"&amp;K1590),"")</t>
  </si>
  <si>
    <t>=IF($J1590="Item",NL("first",$J1590,"Description","No.","@@"&amp;$K1590),"")</t>
  </si>
  <si>
    <t>=D1590</t>
  </si>
  <si>
    <t>="""NAV Direct"",""CRONUS JetCorp USA"",""32"",""1"",""168657"""</t>
  </si>
  <si>
    <t>=IF($J1591="Customer",NL("first",$J1591,"Name","No.","@@"&amp;$K1591),"")</t>
  </si>
  <si>
    <t>=IF(J1591="vendor",NL("first",J1591,"Name","No.","@@"&amp;K1591),"")</t>
  </si>
  <si>
    <t>=IF($J1591="Item",NL("first",$J1591,"Description","No.","@@"&amp;$K1591),"")</t>
  </si>
  <si>
    <t>=D1591</t>
  </si>
  <si>
    <t>="""NAV Direct"",""CRONUS JetCorp USA"",""32"",""1"",""153194"""</t>
  </si>
  <si>
    <t>=IF($J1592="Customer",NL("first",$J1592,"Name","No.","@@"&amp;$K1592),"")</t>
  </si>
  <si>
    <t>=IF(J1592="vendor",NL("first",J1592,"Name","No.","@@"&amp;K1592),"")</t>
  </si>
  <si>
    <t>=IF($J1592="Item",NL("first",$J1592,"Description","No.","@@"&amp;$K1592),"")</t>
  </si>
  <si>
    <t>=D1592</t>
  </si>
  <si>
    <t>="""NAV Direct"",""CRONUS JetCorp USA"",""32"",""1"",""72518"""</t>
  </si>
  <si>
    <t>=IF($J1593="Customer",NL("first",$J1593,"Name","No.","@@"&amp;$K1593),"")</t>
  </si>
  <si>
    <t>=IF(J1593="vendor",NL("first",J1593,"Name","No.","@@"&amp;K1593),"")</t>
  </si>
  <si>
    <t>=IF($J1593="Item",NL("first",$J1593,"Description","No.","@@"&amp;$K1593),"")</t>
  </si>
  <si>
    <t>=D1593</t>
  </si>
  <si>
    <t>="""NAV Direct"",""CRONUS JetCorp USA"",""32"",""1"",""78883"""</t>
  </si>
  <si>
    <t>=IF($J1594="Customer",NL("first",$J1594,"Name","No.","@@"&amp;$K1594),"")</t>
  </si>
  <si>
    <t>=IF(J1594="vendor",NL("first",J1594,"Name","No.","@@"&amp;K1594),"")</t>
  </si>
  <si>
    <t>=IF($J1594="Item",NL("first",$J1594,"Description","No.","@@"&amp;$K1594),"")</t>
  </si>
  <si>
    <t>=D1594</t>
  </si>
  <si>
    <t>="""NAV Direct"",""CRONUS JetCorp USA"",""32"",""1"",""44473"""</t>
  </si>
  <si>
    <t>=IF($J1595="Customer",NL("first",$J1595,"Name","No.","@@"&amp;$K1595),"")</t>
  </si>
  <si>
    <t>=IF(J1595="vendor",NL("first",J1595,"Name","No.","@@"&amp;K1595),"")</t>
  </si>
  <si>
    <t>=IF($J1595="Item",NL("first",$J1595,"Description","No.","@@"&amp;$K1595),"")</t>
  </si>
  <si>
    <t>=D1595</t>
  </si>
  <si>
    <t>="""NAV Direct"",""CRONUS JetCorp USA"",""32"",""1"",""54732"""</t>
  </si>
  <si>
    <t>=IF($J1596="Customer",NL("first",$J1596,"Name","No.","@@"&amp;$K1596),"")</t>
  </si>
  <si>
    <t>=IF(J1596="vendor",NL("first",J1596,"Name","No.","@@"&amp;K1596),"")</t>
  </si>
  <si>
    <t>=IF($J1596="Item",NL("first",$J1596,"Description","No.","@@"&amp;$K1596),"")</t>
  </si>
  <si>
    <t>=D1596</t>
  </si>
  <si>
    <t>="""NAV Direct"",""CRONUS JetCorp USA"",""32"",""1"",""64596"""</t>
  </si>
  <si>
    <t>=IF($J1597="Customer",NL("first",$J1597,"Name","No.","@@"&amp;$K1597),"")</t>
  </si>
  <si>
    <t>=IF(J1597="vendor",NL("first",J1597,"Name","No.","@@"&amp;K1597),"")</t>
  </si>
  <si>
    <t>=IF($J1597="Item",NL("first",$J1597,"Description","No.","@@"&amp;$K1597),"")</t>
  </si>
  <si>
    <t>=D1597</t>
  </si>
  <si>
    <t>="""NAV Direct"",""CRONUS JetCorp USA"",""32"",""1"",""44528"""</t>
  </si>
  <si>
    <t>=IF($J1598="Customer",NL("first",$J1598,"Name","No.","@@"&amp;$K1598),"")</t>
  </si>
  <si>
    <t>=IF(J1598="vendor",NL("first",J1598,"Name","No.","@@"&amp;K1598),"")</t>
  </si>
  <si>
    <t>=IF($J1598="Item",NL("first",$J1598,"Description","No.","@@"&amp;$K1598),"")</t>
  </si>
  <si>
    <t>=D1598</t>
  </si>
  <si>
    <t>="""NAV Direct"",""CRONUS JetCorp USA"",""32"",""1"",""78900"""</t>
  </si>
  <si>
    <t>=IF($J1599="Customer",NL("first",$J1599,"Name","No.","@@"&amp;$K1599),"")</t>
  </si>
  <si>
    <t>=IF(J1599="vendor",NL("first",J1599,"Name","No.","@@"&amp;K1599),"")</t>
  </si>
  <si>
    <t>=IF($J1599="Item",NL("first",$J1599,"Description","No.","@@"&amp;$K1599),"")</t>
  </si>
  <si>
    <t>=D1599</t>
  </si>
  <si>
    <t>="""NAV Direct"",""CRONUS JetCorp USA"",""32"",""1"",""78862"""</t>
  </si>
  <si>
    <t>=IF($J1600="Customer",NL("first",$J1600,"Name","No.","@@"&amp;$K1600),"")</t>
  </si>
  <si>
    <t>=IF(J1600="vendor",NL("first",J1600,"Name","No.","@@"&amp;K1600),"")</t>
  </si>
  <si>
    <t>=IF($J1600="Item",NL("first",$J1600,"Description","No.","@@"&amp;$K1600),"")</t>
  </si>
  <si>
    <t>=E1603</t>
  </si>
  <si>
    <t>=NL("First","Item","Description","No.",$E1603)</t>
  </si>
  <si>
    <t>=NL("First","Item","Base Unit of Measure","No.",$E1603)</t>
  </si>
  <si>
    <t>=(SUBTOTAL(9,O1604:O1617))</t>
  </si>
  <si>
    <t>=(SUBTOTAL(9,P1604:P1617))</t>
  </si>
  <si>
    <t>=(SUBTOTAL(9,Q1604:Q1617))</t>
  </si>
  <si>
    <t>=(SUBTOTAL(9,R1604:R1617))</t>
  </si>
  <si>
    <t>=(SUBTOTAL(9,S1604:S1617))</t>
  </si>
  <si>
    <t>=(SUBTOTAL(9,T1604:T1617))</t>
  </si>
  <si>
    <t>=SUBTOTAL(9,O1604:T1617)</t>
  </si>
  <si>
    <t>=D1603</t>
  </si>
  <si>
    <t>=NL("Rows","Item Ledger Entry",,"+Posting Date",$L$5,"Item No.","@@"&amp;$D1604,"Location Code",$L$7)</t>
  </si>
  <si>
    <t>=IF($J1604="Customer",NL("first",$J1604,"Name","No.","@@"&amp;$K1604),"")</t>
  </si>
  <si>
    <t>=IF(J1604="vendor",NL("first",J1604,"Name","No.","@@"&amp;K1604),"")</t>
  </si>
  <si>
    <t>=IF($J1604="Item",NL("first",$J1604,"Description","No.","@@"&amp;$K1604),"")</t>
  </si>
  <si>
    <t>=D1604</t>
  </si>
  <si>
    <t>="""NAV Direct"",""CRONUS JetCorp USA"",""32"",""1"",""166343"""</t>
  </si>
  <si>
    <t>=IF($J1605="Customer",NL("first",$J1605,"Name","No.","@@"&amp;$K1605),"")</t>
  </si>
  <si>
    <t>=IF(J1605="vendor",NL("first",J1605,"Name","No.","@@"&amp;K1605),"")</t>
  </si>
  <si>
    <t>=IF($J1605="Item",NL("first",$J1605,"Description","No.","@@"&amp;$K1605),"")</t>
  </si>
  <si>
    <t>=D1605</t>
  </si>
  <si>
    <t>="""NAV Direct"",""CRONUS JetCorp USA"",""32"",""1"",""166362"""</t>
  </si>
  <si>
    <t>=IF($J1606="Customer",NL("first",$J1606,"Name","No.","@@"&amp;$K1606),"")</t>
  </si>
  <si>
    <t>=IF(J1606="vendor",NL("first",J1606,"Name","No.","@@"&amp;K1606),"")</t>
  </si>
  <si>
    <t>=IF($J1606="Item",NL("first",$J1606,"Description","No.","@@"&amp;$K1606),"")</t>
  </si>
  <si>
    <t>=D1606</t>
  </si>
  <si>
    <t>="""NAV Direct"",""CRONUS JetCorp USA"",""32"",""1"",""166381"""</t>
  </si>
  <si>
    <t>=IF($J1607="Customer",NL("first",$J1607,"Name","No.","@@"&amp;$K1607),"")</t>
  </si>
  <si>
    <t>=IF(J1607="vendor",NL("first",J1607,"Name","No.","@@"&amp;K1607),"")</t>
  </si>
  <si>
    <t>=IF($J1607="Item",NL("first",$J1607,"Description","No.","@@"&amp;$K1607),"")</t>
  </si>
  <si>
    <t>=D1607</t>
  </si>
  <si>
    <t>="""NAV Direct"",""CRONUS JetCorp USA"",""32"",""1"",""166397"""</t>
  </si>
  <si>
    <t>=IF($J1608="Customer",NL("first",$J1608,"Name","No.","@@"&amp;$K1608),"")</t>
  </si>
  <si>
    <t>=IF(J1608="vendor",NL("first",J1608,"Name","No.","@@"&amp;K1608),"")</t>
  </si>
  <si>
    <t>=IF($J1608="Item",NL("first",$J1608,"Description","No.","@@"&amp;$K1608),"")</t>
  </si>
  <si>
    <t>=D1608</t>
  </si>
  <si>
    <t>="""NAV Direct"",""CRONUS JetCorp USA"",""32"",""1"",""166410"""</t>
  </si>
  <si>
    <t>=IF($J1609="Customer",NL("first",$J1609,"Name","No.","@@"&amp;$K1609),"")</t>
  </si>
  <si>
    <t>=IF(J1609="vendor",NL("first",J1609,"Name","No.","@@"&amp;K1609),"")</t>
  </si>
  <si>
    <t>=IF($J1609="Item",NL("first",$J1609,"Description","No.","@@"&amp;$K1609),"")</t>
  </si>
  <si>
    <t>=D1609</t>
  </si>
  <si>
    <t>="""NAV Direct"",""CRONUS JetCorp USA"",""32"",""1"",""166426"""</t>
  </si>
  <si>
    <t>=IF($J1610="Customer",NL("first",$J1610,"Name","No.","@@"&amp;$K1610),"")</t>
  </si>
  <si>
    <t>=IF(J1610="vendor",NL("first",J1610,"Name","No.","@@"&amp;K1610),"")</t>
  </si>
  <si>
    <t>=IF($J1610="Item",NL("first",$J1610,"Description","No.","@@"&amp;$K1610),"")</t>
  </si>
  <si>
    <t>=D1610</t>
  </si>
  <si>
    <t>="""NAV Direct"",""CRONUS JetCorp USA"",""32"",""1"",""25246"""</t>
  </si>
  <si>
    <t>=IF($J1611="Customer",NL("first",$J1611,"Name","No.","@@"&amp;$K1611),"")</t>
  </si>
  <si>
    <t>=IF(J1611="vendor",NL("first",J1611,"Name","No.","@@"&amp;K1611),"")</t>
  </si>
  <si>
    <t>=IF($J1611="Item",NL("first",$J1611,"Description","No.","@@"&amp;$K1611),"")</t>
  </si>
  <si>
    <t>=D1611</t>
  </si>
  <si>
    <t>="""NAV Direct"",""CRONUS JetCorp USA"",""32"",""1"",""30030"""</t>
  </si>
  <si>
    <t>=IF($J1612="Customer",NL("first",$J1612,"Name","No.","@@"&amp;$K1612),"")</t>
  </si>
  <si>
    <t>=IF(J1612="vendor",NL("first",J1612,"Name","No.","@@"&amp;K1612),"")</t>
  </si>
  <si>
    <t>=IF($J1612="Item",NL("first",$J1612,"Description","No.","@@"&amp;$K1612),"")</t>
  </si>
  <si>
    <t>=D1612</t>
  </si>
  <si>
    <t>="""NAV Direct"",""CRONUS JetCorp USA"",""32"",""1"",""20378"""</t>
  </si>
  <si>
    <t>=IF($J1613="Customer",NL("first",$J1613,"Name","No.","@@"&amp;$K1613),"")</t>
  </si>
  <si>
    <t>=IF(J1613="vendor",NL("first",J1613,"Name","No.","@@"&amp;K1613),"")</t>
  </si>
  <si>
    <t>=IF($J1613="Item",NL("first",$J1613,"Description","No.","@@"&amp;$K1613),"")</t>
  </si>
  <si>
    <t>=D1613</t>
  </si>
  <si>
    <t>="""NAV Direct"",""CRONUS JetCorp USA"",""32"",""1"",""34308"""</t>
  </si>
  <si>
    <t>=IF($J1614="Customer",NL("first",$J1614,"Name","No.","@@"&amp;$K1614),"")</t>
  </si>
  <si>
    <t>=IF(J1614="vendor",NL("first",J1614,"Name","No.","@@"&amp;K1614),"")</t>
  </si>
  <si>
    <t>=IF($J1614="Item",NL("first",$J1614,"Description","No.","@@"&amp;$K1614),"")</t>
  </si>
  <si>
    <t>=D1614</t>
  </si>
  <si>
    <t>="""NAV Direct"",""CRONUS JetCorp USA"",""32"",""1"",""30057"""</t>
  </si>
  <si>
    <t>=IF($J1615="Customer",NL("first",$J1615,"Name","No.","@@"&amp;$K1615),"")</t>
  </si>
  <si>
    <t>=IF(J1615="vendor",NL("first",J1615,"Name","No.","@@"&amp;K1615),"")</t>
  </si>
  <si>
    <t>=IF($J1615="Item",NL("first",$J1615,"Description","No.","@@"&amp;$K1615),"")</t>
  </si>
  <si>
    <t>=D1615</t>
  </si>
  <si>
    <t>="""NAV Direct"",""CRONUS JetCorp USA"",""32"",""1"",""25261"""</t>
  </si>
  <si>
    <t>=IF($J1616="Customer",NL("first",$J1616,"Name","No.","@@"&amp;$K1616),"")</t>
  </si>
  <si>
    <t>=IF(J1616="vendor",NL("first",J1616,"Name","No.","@@"&amp;K1616),"")</t>
  </si>
  <si>
    <t>=IF($J1616="Item",NL("first",$J1616,"Description","No.","@@"&amp;$K1616),"")</t>
  </si>
  <si>
    <t>=E1619</t>
  </si>
  <si>
    <t>=NL("First","Item","Description","No.",$E1619)</t>
  </si>
  <si>
    <t>=NL("First","Item","Base Unit of Measure","No.",$E1619)</t>
  </si>
  <si>
    <t>=(SUBTOTAL(9,O1620:O1627))</t>
  </si>
  <si>
    <t>=(SUBTOTAL(9,P1620:P1627))</t>
  </si>
  <si>
    <t>=(SUBTOTAL(9,Q1620:Q1627))</t>
  </si>
  <si>
    <t>=(SUBTOTAL(9,R1620:R1627))</t>
  </si>
  <si>
    <t>=(SUBTOTAL(9,S1620:S1627))</t>
  </si>
  <si>
    <t>=(SUBTOTAL(9,T1620:T1627))</t>
  </si>
  <si>
    <t>=SUBTOTAL(9,O1620:T1627)</t>
  </si>
  <si>
    <t>=D1619</t>
  </si>
  <si>
    <t>=NL("Rows","Item Ledger Entry",,"+Posting Date",$L$5,"Item No.","@@"&amp;$D1620,"Location Code",$L$7)</t>
  </si>
  <si>
    <t>=IF($J1620="Customer",NL("first",$J1620,"Name","No.","@@"&amp;$K1620),"")</t>
  </si>
  <si>
    <t>=IF(J1620="vendor",NL("first",J1620,"Name","No.","@@"&amp;K1620),"")</t>
  </si>
  <si>
    <t>=IF($J1620="Item",NL("first",$J1620,"Description","No.","@@"&amp;$K1620),"")</t>
  </si>
  <si>
    <t>=D1620</t>
  </si>
  <si>
    <t>="""NAV Direct"",""CRONUS JetCorp USA"",""32"",""1"",""166342"""</t>
  </si>
  <si>
    <t>=IF($J1621="Customer",NL("first",$J1621,"Name","No.","@@"&amp;$K1621),"")</t>
  </si>
  <si>
    <t>=IF(J1621="vendor",NL("first",J1621,"Name","No.","@@"&amp;K1621),"")</t>
  </si>
  <si>
    <t>=IF($J1621="Item",NL("first",$J1621,"Description","No.","@@"&amp;$K1621),"")</t>
  </si>
  <si>
    <t>=D1621</t>
  </si>
  <si>
    <t>="""NAV Direct"",""CRONUS JetCorp USA"",""32"",""1"",""166361"""</t>
  </si>
  <si>
    <t>=IF($J1622="Customer",NL("first",$J1622,"Name","No.","@@"&amp;$K1622),"")</t>
  </si>
  <si>
    <t>=IF(J1622="vendor",NL("first",J1622,"Name","No.","@@"&amp;K1622),"")</t>
  </si>
  <si>
    <t>=IF($J1622="Item",NL("first",$J1622,"Description","No.","@@"&amp;$K1622),"")</t>
  </si>
  <si>
    <t>=D1622</t>
  </si>
  <si>
    <t>="""NAV Direct"",""CRONUS JetCorp USA"",""32"",""1"",""166380"""</t>
  </si>
  <si>
    <t>=IF($J1623="Customer",NL("first",$J1623,"Name","No.","@@"&amp;$K1623),"")</t>
  </si>
  <si>
    <t>=IF(J1623="vendor",NL("first",J1623,"Name","No.","@@"&amp;K1623),"")</t>
  </si>
  <si>
    <t>=IF($J1623="Item",NL("first",$J1623,"Description","No.","@@"&amp;$K1623),"")</t>
  </si>
  <si>
    <t>=D1623</t>
  </si>
  <si>
    <t>="""NAV Direct"",""CRONUS JetCorp USA"",""32"",""1"",""166409"""</t>
  </si>
  <si>
    <t>=IF($J1624="Customer",NL("first",$J1624,"Name","No.","@@"&amp;$K1624),"")</t>
  </si>
  <si>
    <t>=IF(J1624="vendor",NL("first",J1624,"Name","No.","@@"&amp;K1624),"")</t>
  </si>
  <si>
    <t>=IF($J1624="Item",NL("first",$J1624,"Description","No.","@@"&amp;$K1624),"")</t>
  </si>
  <si>
    <t>=D1624</t>
  </si>
  <si>
    <t>="""NAV Direct"",""CRONUS JetCorp USA"",""32"",""1"",""25237"""</t>
  </si>
  <si>
    <t>=IF($J1625="Customer",NL("first",$J1625,"Name","No.","@@"&amp;$K1625),"")</t>
  </si>
  <si>
    <t>=IF(J1625="vendor",NL("first",J1625,"Name","No.","@@"&amp;K1625),"")</t>
  </si>
  <si>
    <t>=IF($J1625="Item",NL("first",$J1625,"Description","No.","@@"&amp;$K1625),"")</t>
  </si>
  <si>
    <t>=D1625</t>
  </si>
  <si>
    <t>="""NAV Direct"",""CRONUS JetCorp USA"",""32"",""1"",""30028"""</t>
  </si>
  <si>
    <t>=IF($J1626="Customer",NL("first",$J1626,"Name","No.","@@"&amp;$K1626),"")</t>
  </si>
  <si>
    <t>=IF(J1626="vendor",NL("first",J1626,"Name","No.","@@"&amp;K1626),"")</t>
  </si>
  <si>
    <t>=IF($J1626="Item",NL("first",$J1626,"Description","No.","@@"&amp;$K1626),"")</t>
  </si>
  <si>
    <t>=E1629</t>
  </si>
  <si>
    <t>=NL("First","Item","Description","No.",$E1629)</t>
  </si>
  <si>
    <t>=NL("First","Item","Base Unit of Measure","No.",$E1629)</t>
  </si>
  <si>
    <t>=(SUBTOTAL(9,O1630:O1655))</t>
  </si>
  <si>
    <t>=(SUBTOTAL(9,P1630:P1655))</t>
  </si>
  <si>
    <t>=(SUBTOTAL(9,Q1630:Q1655))</t>
  </si>
  <si>
    <t>=(SUBTOTAL(9,R1630:R1655))</t>
  </si>
  <si>
    <t>=(SUBTOTAL(9,S1630:S1655))</t>
  </si>
  <si>
    <t>=(SUBTOTAL(9,T1630:T1655))</t>
  </si>
  <si>
    <t>=SUBTOTAL(9,O1630:T1655)</t>
  </si>
  <si>
    <t>=D1629</t>
  </si>
  <si>
    <t>=NL("Rows","Item Ledger Entry",,"+Posting Date",$L$5,"Item No.","@@"&amp;$D1630,"Location Code",$L$7)</t>
  </si>
  <si>
    <t>=IF($J1630="Customer",NL("first",$J1630,"Name","No.","@@"&amp;$K1630),"")</t>
  </si>
  <si>
    <t>=IF(J1630="vendor",NL("first",J1630,"Name","No.","@@"&amp;K1630),"")</t>
  </si>
  <si>
    <t>=IF($J1630="Item",NL("first",$J1630,"Description","No.","@@"&amp;$K1630),"")</t>
  </si>
  <si>
    <t>=D1630</t>
  </si>
  <si>
    <t>="""NAV Direct"",""CRONUS JetCorp USA"",""32"",""1"",""166325"""</t>
  </si>
  <si>
    <t>=IF($J1631="Customer",NL("first",$J1631,"Name","No.","@@"&amp;$K1631),"")</t>
  </si>
  <si>
    <t>=IF(J1631="vendor",NL("first",J1631,"Name","No.","@@"&amp;K1631),"")</t>
  </si>
  <si>
    <t>=IF($J1631="Item",NL("first",$J1631,"Description","No.","@@"&amp;$K1631),"")</t>
  </si>
  <si>
    <t>=D1631</t>
  </si>
  <si>
    <t>="""NAV Direct"",""CRONUS JetCorp USA"",""32"",""1"",""166341"""</t>
  </si>
  <si>
    <t>=IF($J1632="Customer",NL("first",$J1632,"Name","No.","@@"&amp;$K1632),"")</t>
  </si>
  <si>
    <t>=IF(J1632="vendor",NL("first",J1632,"Name","No.","@@"&amp;K1632),"")</t>
  </si>
  <si>
    <t>=IF($J1632="Item",NL("first",$J1632,"Description","No.","@@"&amp;$K1632),"")</t>
  </si>
  <si>
    <t>=D1632</t>
  </si>
  <si>
    <t>="""NAV Direct"",""CRONUS JetCorp USA"",""32"",""1"",""166354"""</t>
  </si>
  <si>
    <t>=IF($J1633="Customer",NL("first",$J1633,"Name","No.","@@"&amp;$K1633),"")</t>
  </si>
  <si>
    <t>=IF(J1633="vendor",NL("first",J1633,"Name","No.","@@"&amp;K1633),"")</t>
  </si>
  <si>
    <t>=IF($J1633="Item",NL("first",$J1633,"Description","No.","@@"&amp;$K1633),"")</t>
  </si>
  <si>
    <t>=D1633</t>
  </si>
  <si>
    <t>="""NAV Direct"",""CRONUS JetCorp USA"",""32"",""1"",""166360"""</t>
  </si>
  <si>
    <t>=IF($J1634="Customer",NL("first",$J1634,"Name","No.","@@"&amp;$K1634),"")</t>
  </si>
  <si>
    <t>=IF(J1634="vendor",NL("first",J1634,"Name","No.","@@"&amp;K1634),"")</t>
  </si>
  <si>
    <t>=IF($J1634="Item",NL("first",$J1634,"Description","No.","@@"&amp;$K1634),"")</t>
  </si>
  <si>
    <t>=D1634</t>
  </si>
  <si>
    <t>="""NAV Direct"",""CRONUS JetCorp USA"",""32"",""1"",""166379"""</t>
  </si>
  <si>
    <t>=IF($J1635="Customer",NL("first",$J1635,"Name","No.","@@"&amp;$K1635),"")</t>
  </si>
  <si>
    <t>=IF(J1635="vendor",NL("first",J1635,"Name","No.","@@"&amp;K1635),"")</t>
  </si>
  <si>
    <t>=IF($J1635="Item",NL("first",$J1635,"Description","No.","@@"&amp;$K1635),"")</t>
  </si>
  <si>
    <t>=D1635</t>
  </si>
  <si>
    <t>="""NAV Direct"",""CRONUS JetCorp USA"",""32"",""1"",""166396"""</t>
  </si>
  <si>
    <t>=IF($J1636="Customer",NL("first",$J1636,"Name","No.","@@"&amp;$K1636),"")</t>
  </si>
  <si>
    <t>=IF(J1636="vendor",NL("first",J1636,"Name","No.","@@"&amp;K1636),"")</t>
  </si>
  <si>
    <t>=IF($J1636="Item",NL("first",$J1636,"Description","No.","@@"&amp;$K1636),"")</t>
  </si>
  <si>
    <t>=D1636</t>
  </si>
  <si>
    <t>="""NAV Direct"",""CRONUS JetCorp USA"",""32"",""1"",""166408"""</t>
  </si>
  <si>
    <t>=IF($J1637="Customer",NL("first",$J1637,"Name","No.","@@"&amp;$K1637),"")</t>
  </si>
  <si>
    <t>=IF(J1637="vendor",NL("first",J1637,"Name","No.","@@"&amp;K1637),"")</t>
  </si>
  <si>
    <t>=IF($J1637="Item",NL("first",$J1637,"Description","No.","@@"&amp;$K1637),"")</t>
  </si>
  <si>
    <t>=D1637</t>
  </si>
  <si>
    <t>="""NAV Direct"",""CRONUS JetCorp USA"",""32"",""1"",""166425"""</t>
  </si>
  <si>
    <t>=IF($J1638="Customer",NL("first",$J1638,"Name","No.","@@"&amp;$K1638),"")</t>
  </si>
  <si>
    <t>=IF(J1638="vendor",NL("first",J1638,"Name","No.","@@"&amp;K1638),"")</t>
  </si>
  <si>
    <t>=IF($J1638="Item",NL("first",$J1638,"Description","No.","@@"&amp;$K1638),"")</t>
  </si>
  <si>
    <t>=D1638</t>
  </si>
  <si>
    <t>="""NAV Direct"",""CRONUS JetCorp USA"",""32"",""1"",""34326"""</t>
  </si>
  <si>
    <t>=IF($J1639="Customer",NL("first",$J1639,"Name","No.","@@"&amp;$K1639),"")</t>
  </si>
  <si>
    <t>=IF(J1639="vendor",NL("first",J1639,"Name","No.","@@"&amp;K1639),"")</t>
  </si>
  <si>
    <t>=IF($J1639="Item",NL("first",$J1639,"Description","No.","@@"&amp;$K1639),"")</t>
  </si>
  <si>
    <t>=D1639</t>
  </si>
  <si>
    <t>="""NAV Direct"",""CRONUS JetCorp USA"",""32"",""1"",""25244"""</t>
  </si>
  <si>
    <t>=IF($J1640="Customer",NL("first",$J1640,"Name","No.","@@"&amp;$K1640),"")</t>
  </si>
  <si>
    <t>=IF(J1640="vendor",NL("first",J1640,"Name","No.","@@"&amp;K1640),"")</t>
  </si>
  <si>
    <t>=IF($J1640="Item",NL("first",$J1640,"Description","No.","@@"&amp;$K1640),"")</t>
  </si>
  <si>
    <t>=D1640</t>
  </si>
  <si>
    <t>="""NAV Direct"",""CRONUS JetCorp USA"",""32"",""1"",""128857"""</t>
  </si>
  <si>
    <t>=IF($J1641="Customer",NL("first",$J1641,"Name","No.","@@"&amp;$K1641),"")</t>
  </si>
  <si>
    <t>=IF(J1641="vendor",NL("first",J1641,"Name","No.","@@"&amp;K1641),"")</t>
  </si>
  <si>
    <t>=IF($J1641="Item",NL("first",$J1641,"Description","No.","@@"&amp;$K1641),"")</t>
  </si>
  <si>
    <t>=D1641</t>
  </si>
  <si>
    <t>="""NAV Direct"",""CRONUS JetCorp USA"",""32"",""1"",""20341"""</t>
  </si>
  <si>
    <t>=IF($J1642="Customer",NL("first",$J1642,"Name","No.","@@"&amp;$K1642),"")</t>
  </si>
  <si>
    <t>=IF(J1642="vendor",NL("first",J1642,"Name","No.","@@"&amp;K1642),"")</t>
  </si>
  <si>
    <t>=IF($J1642="Item",NL("first",$J1642,"Description","No.","@@"&amp;$K1642),"")</t>
  </si>
  <si>
    <t>=D1642</t>
  </si>
  <si>
    <t>="""NAV Direct"",""CRONUS JetCorp USA"",""32"",""1"",""44476"""</t>
  </si>
  <si>
    <t>=IF($J1643="Customer",NL("first",$J1643,"Name","No.","@@"&amp;$K1643),"")</t>
  </si>
  <si>
    <t>=IF(J1643="vendor",NL("first",J1643,"Name","No.","@@"&amp;K1643),"")</t>
  </si>
  <si>
    <t>=IF($J1643="Item",NL("first",$J1643,"Description","No.","@@"&amp;$K1643),"")</t>
  </si>
  <si>
    <t>=D1643</t>
  </si>
  <si>
    <t>="""NAV Direct"",""CRONUS JetCorp USA"",""32"",""1"",""54734"""</t>
  </si>
  <si>
    <t>=IF($J1644="Customer",NL("first",$J1644,"Name","No.","@@"&amp;$K1644),"")</t>
  </si>
  <si>
    <t>=IF(J1644="vendor",NL("first",J1644,"Name","No.","@@"&amp;K1644),"")</t>
  </si>
  <si>
    <t>=IF($J1644="Item",NL("first",$J1644,"Description","No.","@@"&amp;$K1644),"")</t>
  </si>
  <si>
    <t>=D1644</t>
  </si>
  <si>
    <t>="""NAV Direct"",""CRONUS JetCorp USA"",""32"",""1"",""128880"""</t>
  </si>
  <si>
    <t>=IF($J1645="Customer",NL("first",$J1645,"Name","No.","@@"&amp;$K1645),"")</t>
  </si>
  <si>
    <t>=IF(J1645="vendor",NL("first",J1645,"Name","No.","@@"&amp;K1645),"")</t>
  </si>
  <si>
    <t>=IF($J1645="Item",NL("first",$J1645,"Description","No.","@@"&amp;$K1645),"")</t>
  </si>
  <si>
    <t>=D1645</t>
  </si>
  <si>
    <t>="""NAV Direct"",""CRONUS JetCorp USA"",""32"",""1"",""34317"""</t>
  </si>
  <si>
    <t>=IF($J1646="Customer",NL("first",$J1646,"Name","No.","@@"&amp;$K1646),"")</t>
  </si>
  <si>
    <t>=IF(J1646="vendor",NL("first",J1646,"Name","No.","@@"&amp;K1646),"")</t>
  </si>
  <si>
    <t>=IF($J1646="Item",NL("first",$J1646,"Description","No.","@@"&amp;$K1646),"")</t>
  </si>
  <si>
    <t>=D1646</t>
  </si>
  <si>
    <t>="""NAV Direct"",""CRONUS JetCorp USA"",""32"",""1"",""124551"""</t>
  </si>
  <si>
    <t>=IF($J1647="Customer",NL("first",$J1647,"Name","No.","@@"&amp;$K1647),"")</t>
  </si>
  <si>
    <t>=IF(J1647="vendor",NL("first",J1647,"Name","No.","@@"&amp;K1647),"")</t>
  </si>
  <si>
    <t>=IF($J1647="Item",NL("first",$J1647,"Description","No.","@@"&amp;$K1647),"")</t>
  </si>
  <si>
    <t>=D1647</t>
  </si>
  <si>
    <t>="""NAV Direct"",""CRONUS JetCorp USA"",""32"",""1"",""54708"""</t>
  </si>
  <si>
    <t>=IF($J1648="Customer",NL("first",$J1648,"Name","No.","@@"&amp;$K1648),"")</t>
  </si>
  <si>
    <t>=IF(J1648="vendor",NL("first",J1648,"Name","No.","@@"&amp;K1648),"")</t>
  </si>
  <si>
    <t>=IF($J1648="Item",NL("first",$J1648,"Description","No.","@@"&amp;$K1648),"")</t>
  </si>
  <si>
    <t>=D1648</t>
  </si>
  <si>
    <t>="""NAV Direct"",""CRONUS JetCorp USA"",""32"",""1"",""135820"""</t>
  </si>
  <si>
    <t>=IF($J1649="Customer",NL("first",$J1649,"Name","No.","@@"&amp;$K1649),"")</t>
  </si>
  <si>
    <t>=IF(J1649="vendor",NL("first",J1649,"Name","No.","@@"&amp;K1649),"")</t>
  </si>
  <si>
    <t>=IF($J1649="Item",NL("first",$J1649,"Description","No.","@@"&amp;$K1649),"")</t>
  </si>
  <si>
    <t>=D1649</t>
  </si>
  <si>
    <t>="""NAV Direct"",""CRONUS JetCorp USA"",""32"",""1"",""20410"""</t>
  </si>
  <si>
    <t>=IF($J1650="Customer",NL("first",$J1650,"Name","No.","@@"&amp;$K1650),"")</t>
  </si>
  <si>
    <t>=IF(J1650="vendor",NL("first",J1650,"Name","No.","@@"&amp;K1650),"")</t>
  </si>
  <si>
    <t>=IF($J1650="Item",NL("first",$J1650,"Description","No.","@@"&amp;$K1650),"")</t>
  </si>
  <si>
    <t>=D1650</t>
  </si>
  <si>
    <t>="""NAV Direct"",""CRONUS JetCorp USA"",""32"",""1"",""64625"""</t>
  </si>
  <si>
    <t>=IF($J1651="Customer",NL("first",$J1651,"Name","No.","@@"&amp;$K1651),"")</t>
  </si>
  <si>
    <t>=IF(J1651="vendor",NL("first",J1651,"Name","No.","@@"&amp;K1651),"")</t>
  </si>
  <si>
    <t>=IF($J1651="Item",NL("first",$J1651,"Description","No.","@@"&amp;$K1651),"")</t>
  </si>
  <si>
    <t>=D1651</t>
  </si>
  <si>
    <t>="""NAV Direct"",""CRONUS JetCorp USA"",""32"",""1"",""78910"""</t>
  </si>
  <si>
    <t>=IF($J1652="Customer",NL("first",$J1652,"Name","No.","@@"&amp;$K1652),"")</t>
  </si>
  <si>
    <t>=IF(J1652="vendor",NL("first",J1652,"Name","No.","@@"&amp;K1652),"")</t>
  </si>
  <si>
    <t>=IF($J1652="Item",NL("first",$J1652,"Description","No.","@@"&amp;$K1652),"")</t>
  </si>
  <si>
    <t>=D1652</t>
  </si>
  <si>
    <t>="""NAV Direct"",""CRONUS JetCorp USA"",""32"",""1"",""38090"""</t>
  </si>
  <si>
    <t>=IF($J1653="Customer",NL("first",$J1653,"Name","No.","@@"&amp;$K1653),"")</t>
  </si>
  <si>
    <t>=IF(J1653="vendor",NL("first",J1653,"Name","No.","@@"&amp;K1653),"")</t>
  </si>
  <si>
    <t>=IF($J1653="Item",NL("first",$J1653,"Description","No.","@@"&amp;$K1653),"")</t>
  </si>
  <si>
    <t>=D1653</t>
  </si>
  <si>
    <t>="""NAV Direct"",""CRONUS JetCorp USA"",""32"",""1"",""138731"""</t>
  </si>
  <si>
    <t>=IF($J1654="Customer",NL("first",$J1654,"Name","No.","@@"&amp;$K1654),"")</t>
  </si>
  <si>
    <t>=IF(J1654="vendor",NL("first",J1654,"Name","No.","@@"&amp;K1654),"")</t>
  </si>
  <si>
    <t>=IF($J1654="Item",NL("first",$J1654,"Description","No.","@@"&amp;$K1654),"")</t>
  </si>
  <si>
    <t>=E1657</t>
  </si>
  <si>
    <t>=NL("First","Item","Description","No.",$E1657)</t>
  </si>
  <si>
    <t>=NL("First","Item","Base Unit of Measure","No.",$E1657)</t>
  </si>
  <si>
    <t>=(SUBTOTAL(9,O1658:O1673))</t>
  </si>
  <si>
    <t>=(SUBTOTAL(9,P1658:P1673))</t>
  </si>
  <si>
    <t>=(SUBTOTAL(9,Q1658:Q1673))</t>
  </si>
  <si>
    <t>=(SUBTOTAL(9,R1658:R1673))</t>
  </si>
  <si>
    <t>=(SUBTOTAL(9,S1658:S1673))</t>
  </si>
  <si>
    <t>=(SUBTOTAL(9,T1658:T1673))</t>
  </si>
  <si>
    <t>=SUBTOTAL(9,O1658:T1673)</t>
  </si>
  <si>
    <t>=D1657</t>
  </si>
  <si>
    <t>=NL("Rows","Item Ledger Entry",,"+Posting Date",$L$5,"Item No.","@@"&amp;$D1658,"Location Code",$L$7)</t>
  </si>
  <si>
    <t>=IF($J1658="Customer",NL("first",$J1658,"Name","No.","@@"&amp;$K1658),"")</t>
  </si>
  <si>
    <t>=IF(J1658="vendor",NL("first",J1658,"Name","No.","@@"&amp;K1658),"")</t>
  </si>
  <si>
    <t>=IF($J1658="Item",NL("first",$J1658,"Description","No.","@@"&amp;$K1658),"")</t>
  </si>
  <si>
    <t>=D1658</t>
  </si>
  <si>
    <t>="""NAV Direct"",""CRONUS JetCorp USA"",""32"",""1"",""166340"""</t>
  </si>
  <si>
    <t>=IF($J1659="Customer",NL("first",$J1659,"Name","No.","@@"&amp;$K1659),"")</t>
  </si>
  <si>
    <t>=IF(J1659="vendor",NL("first",J1659,"Name","No.","@@"&amp;K1659),"")</t>
  </si>
  <si>
    <t>=IF($J1659="Item",NL("first",$J1659,"Description","No.","@@"&amp;$K1659),"")</t>
  </si>
  <si>
    <t>=D1659</t>
  </si>
  <si>
    <t>="""NAV Direct"",""CRONUS JetCorp USA"",""32"",""1"",""166359"""</t>
  </si>
  <si>
    <t>=IF($J1660="Customer",NL("first",$J1660,"Name","No.","@@"&amp;$K1660),"")</t>
  </si>
  <si>
    <t>=IF(J1660="vendor",NL("first",J1660,"Name","No.","@@"&amp;K1660),"")</t>
  </si>
  <si>
    <t>=IF($J1660="Item",NL("first",$J1660,"Description","No.","@@"&amp;$K1660),"")</t>
  </si>
  <si>
    <t>=D1660</t>
  </si>
  <si>
    <t>="""NAV Direct"",""CRONUS JetCorp USA"",""32"",""1"",""166378"""</t>
  </si>
  <si>
    <t>=IF($J1661="Customer",NL("first",$J1661,"Name","No.","@@"&amp;$K1661),"")</t>
  </si>
  <si>
    <t>=IF(J1661="vendor",NL("first",J1661,"Name","No.","@@"&amp;K1661),"")</t>
  </si>
  <si>
    <t>=IF($J1661="Item",NL("first",$J1661,"Description","No.","@@"&amp;$K1661),"")</t>
  </si>
  <si>
    <t>=D1661</t>
  </si>
  <si>
    <t>="""NAV Direct"",""CRONUS JetCorp USA"",""32"",""1"",""166395"""</t>
  </si>
  <si>
    <t>=IF($J1662="Customer",NL("first",$J1662,"Name","No.","@@"&amp;$K1662),"")</t>
  </si>
  <si>
    <t>=IF(J1662="vendor",NL("first",J1662,"Name","No.","@@"&amp;K1662),"")</t>
  </si>
  <si>
    <t>=IF($J1662="Item",NL("first",$J1662,"Description","No.","@@"&amp;$K1662),"")</t>
  </si>
  <si>
    <t>=D1662</t>
  </si>
  <si>
    <t>="""NAV Direct"",""CRONUS JetCorp USA"",""32"",""1"",""166407"""</t>
  </si>
  <si>
    <t>=IF($J1663="Customer",NL("first",$J1663,"Name","No.","@@"&amp;$K1663),"")</t>
  </si>
  <si>
    <t>=IF(J1663="vendor",NL("first",J1663,"Name","No.","@@"&amp;K1663),"")</t>
  </si>
  <si>
    <t>=IF($J1663="Item",NL("first",$J1663,"Description","No.","@@"&amp;$K1663),"")</t>
  </si>
  <si>
    <t>=D1663</t>
  </si>
  <si>
    <t>="""NAV Direct"",""CRONUS JetCorp USA"",""32"",""1"",""166424"""</t>
  </si>
  <si>
    <t>=IF($J1664="Customer",NL("first",$J1664,"Name","No.","@@"&amp;$K1664),"")</t>
  </si>
  <si>
    <t>=IF(J1664="vendor",NL("first",J1664,"Name","No.","@@"&amp;K1664),"")</t>
  </si>
  <si>
    <t>=IF($J1664="Item",NL("first",$J1664,"Description","No.","@@"&amp;$K1664),"")</t>
  </si>
  <si>
    <t>=D1664</t>
  </si>
  <si>
    <t>="""NAV Direct"",""CRONUS JetCorp USA"",""32"",""1"",""20365"""</t>
  </si>
  <si>
    <t>=IF($J1665="Customer",NL("first",$J1665,"Name","No.","@@"&amp;$K1665),"")</t>
  </si>
  <si>
    <t>=IF(J1665="vendor",NL("first",J1665,"Name","No.","@@"&amp;K1665),"")</t>
  </si>
  <si>
    <t>=IF($J1665="Item",NL("first",$J1665,"Description","No.","@@"&amp;$K1665),"")</t>
  </si>
  <si>
    <t>=D1665</t>
  </si>
  <si>
    <t>="""NAV Direct"",""CRONUS JetCorp USA"",""32"",""1"",""25235"""</t>
  </si>
  <si>
    <t>=IF($J1666="Customer",NL("first",$J1666,"Name","No.","@@"&amp;$K1666),"")</t>
  </si>
  <si>
    <t>=IF(J1666="vendor",NL("first",J1666,"Name","No.","@@"&amp;K1666),"")</t>
  </si>
  <si>
    <t>=IF($J1666="Item",NL("first",$J1666,"Description","No.","@@"&amp;$K1666),"")</t>
  </si>
  <si>
    <t>=D1666</t>
  </si>
  <si>
    <t>="""NAV Direct"",""CRONUS JetCorp USA"",""32"",""1"",""30031"""</t>
  </si>
  <si>
    <t>=IF($J1667="Customer",NL("first",$J1667,"Name","No.","@@"&amp;$K1667),"")</t>
  </si>
  <si>
    <t>=IF(J1667="vendor",NL("first",J1667,"Name","No.","@@"&amp;K1667),"")</t>
  </si>
  <si>
    <t>=IF($J1667="Item",NL("first",$J1667,"Description","No.","@@"&amp;$K1667),"")</t>
  </si>
  <si>
    <t>=D1667</t>
  </si>
  <si>
    <t>="""NAV Direct"",""CRONUS JetCorp USA"",""32"",""1"",""128864"""</t>
  </si>
  <si>
    <t>=IF($J1668="Customer",NL("first",$J1668,"Name","No.","@@"&amp;$K1668),"")</t>
  </si>
  <si>
    <t>=IF(J1668="vendor",NL("first",J1668,"Name","No.","@@"&amp;K1668),"")</t>
  </si>
  <si>
    <t>=IF($J1668="Item",NL("first",$J1668,"Description","No.","@@"&amp;$K1668),"")</t>
  </si>
  <si>
    <t>=D1668</t>
  </si>
  <si>
    <t>="""NAV Direct"",""CRONUS JetCorp USA"",""32"",""1"",""20379"""</t>
  </si>
  <si>
    <t>=IF($J1669="Customer",NL("first",$J1669,"Name","No.","@@"&amp;$K1669),"")</t>
  </si>
  <si>
    <t>=IF(J1669="vendor",NL("first",J1669,"Name","No.","@@"&amp;K1669),"")</t>
  </si>
  <si>
    <t>=IF($J1669="Item",NL("first",$J1669,"Description","No.","@@"&amp;$K1669),"")</t>
  </si>
  <si>
    <t>=D1669</t>
  </si>
  <si>
    <t>="""NAV Direct"",""CRONUS JetCorp USA"",""32"",""1"",""30045"""</t>
  </si>
  <si>
    <t>=IF($J1670="Customer",NL("first",$J1670,"Name","No.","@@"&amp;$K1670),"")</t>
  </si>
  <si>
    <t>=IF(J1670="vendor",NL("first",J1670,"Name","No.","@@"&amp;K1670),"")</t>
  </si>
  <si>
    <t>=IF($J1670="Item",NL("first",$J1670,"Description","No.","@@"&amp;$K1670),"")</t>
  </si>
  <si>
    <t>=D1670</t>
  </si>
  <si>
    <t>="""NAV Direct"",""CRONUS JetCorp USA"",""32"",""1"",""20349"""</t>
  </si>
  <si>
    <t>=IF($J1671="Customer",NL("first",$J1671,"Name","No.","@@"&amp;$K1671),"")</t>
  </si>
  <si>
    <t>=IF(J1671="vendor",NL("first",J1671,"Name","No.","@@"&amp;K1671),"")</t>
  </si>
  <si>
    <t>=IF($J1671="Item",NL("first",$J1671,"Description","No.","@@"&amp;$K1671),"")</t>
  </si>
  <si>
    <t>=D1671</t>
  </si>
  <si>
    <t>="""NAV Direct"",""CRONUS JetCorp USA"",""32"",""1"",""25275"""</t>
  </si>
  <si>
    <t>=IF($J1672="Customer",NL("first",$J1672,"Name","No.","@@"&amp;$K1672),"")</t>
  </si>
  <si>
    <t>=IF(J1672="vendor",NL("first",J1672,"Name","No.","@@"&amp;K1672),"")</t>
  </si>
  <si>
    <t>=IF($J1672="Item",NL("first",$J1672,"Description","No.","@@"&amp;$K1672),"")</t>
  </si>
  <si>
    <t>=E1675</t>
  </si>
  <si>
    <t>=NL("First","Item","Description","No.",$E1675)</t>
  </si>
  <si>
    <t>=NL("First","Item","Base Unit of Measure","No.",$E1675)</t>
  </si>
  <si>
    <t>=(SUBTOTAL(9,O1676:O1690))</t>
  </si>
  <si>
    <t>=(SUBTOTAL(9,P1676:P1690))</t>
  </si>
  <si>
    <t>=(SUBTOTAL(9,Q1676:Q1690))</t>
  </si>
  <si>
    <t>=(SUBTOTAL(9,R1676:R1690))</t>
  </si>
  <si>
    <t>=(SUBTOTAL(9,S1676:S1690))</t>
  </si>
  <si>
    <t>=(SUBTOTAL(9,T1676:T1690))</t>
  </si>
  <si>
    <t>=SUBTOTAL(9,O1676:T1690)</t>
  </si>
  <si>
    <t>=D1675</t>
  </si>
  <si>
    <t>=NL("Rows","Item Ledger Entry",,"+Posting Date",$L$5,"Item No.","@@"&amp;$D1676,"Location Code",$L$7)</t>
  </si>
  <si>
    <t>=IF($J1676="Customer",NL("first",$J1676,"Name","No.","@@"&amp;$K1676),"")</t>
  </si>
  <si>
    <t>=IF(J1676="vendor",NL("first",J1676,"Name","No.","@@"&amp;K1676),"")</t>
  </si>
  <si>
    <t>=IF($J1676="Item",NL("first",$J1676,"Description","No.","@@"&amp;$K1676),"")</t>
  </si>
  <si>
    <t>=D1676</t>
  </si>
  <si>
    <t>="""NAV Direct"",""CRONUS JetCorp USA"",""32"",""1"",""166358"""</t>
  </si>
  <si>
    <t>=IF($J1677="Customer",NL("first",$J1677,"Name","No.","@@"&amp;$K1677),"")</t>
  </si>
  <si>
    <t>=IF(J1677="vendor",NL("first",J1677,"Name","No.","@@"&amp;K1677),"")</t>
  </si>
  <si>
    <t>=IF($J1677="Item",NL("first",$J1677,"Description","No.","@@"&amp;$K1677),"")</t>
  </si>
  <si>
    <t>=D1677</t>
  </si>
  <si>
    <t>="""NAV Direct"",""CRONUS JetCorp USA"",""32"",""1"",""166377"""</t>
  </si>
  <si>
    <t>=IF($J1678="Customer",NL("first",$J1678,"Name","No.","@@"&amp;$K1678),"")</t>
  </si>
  <si>
    <t>=IF(J1678="vendor",NL("first",J1678,"Name","No.","@@"&amp;K1678),"")</t>
  </si>
  <si>
    <t>=IF($J1678="Item",NL("first",$J1678,"Description","No.","@@"&amp;$K1678),"")</t>
  </si>
  <si>
    <t>=D1678</t>
  </si>
  <si>
    <t>="""NAV Direct"",""CRONUS JetCorp USA"",""32"",""1"",""166394"""</t>
  </si>
  <si>
    <t>=IF($J1679="Customer",NL("first",$J1679,"Name","No.","@@"&amp;$K1679),"")</t>
  </si>
  <si>
    <t>=IF(J1679="vendor",NL("first",J1679,"Name","No.","@@"&amp;K1679),"")</t>
  </si>
  <si>
    <t>=IF($J1679="Item",NL("first",$J1679,"Description","No.","@@"&amp;$K1679),"")</t>
  </si>
  <si>
    <t>=D1679</t>
  </si>
  <si>
    <t>="""NAV Direct"",""CRONUS JetCorp USA"",""32"",""1"",""166406"""</t>
  </si>
  <si>
    <t>=IF($J1680="Customer",NL("first",$J1680,"Name","No.","@@"&amp;$K1680),"")</t>
  </si>
  <si>
    <t>=IF(J1680="vendor",NL("first",J1680,"Name","No.","@@"&amp;K1680),"")</t>
  </si>
  <si>
    <t>=IF($J1680="Item",NL("first",$J1680,"Description","No.","@@"&amp;$K1680),"")</t>
  </si>
  <si>
    <t>=D1680</t>
  </si>
  <si>
    <t>="""NAV Direct"",""CRONUS JetCorp USA"",""32"",""1"",""166423"""</t>
  </si>
  <si>
    <t>=IF($J1681="Customer",NL("first",$J1681,"Name","No.","@@"&amp;$K1681),"")</t>
  </si>
  <si>
    <t>=IF(J1681="vendor",NL("first",J1681,"Name","No.","@@"&amp;K1681),"")</t>
  </si>
  <si>
    <t>=IF($J1681="Item",NL("first",$J1681,"Description","No.","@@"&amp;$K1681),"")</t>
  </si>
  <si>
    <t>=D1681</t>
  </si>
  <si>
    <t>="""NAV Direct"",""CRONUS JetCorp USA"",""32"",""1"",""124511"""</t>
  </si>
  <si>
    <t>=IF($J1682="Customer",NL("first",$J1682,"Name","No.","@@"&amp;$K1682),"")</t>
  </si>
  <si>
    <t>=IF(J1682="vendor",NL("first",J1682,"Name","No.","@@"&amp;K1682),"")</t>
  </si>
  <si>
    <t>=IF($J1682="Item",NL("first",$J1682,"Description","No.","@@"&amp;$K1682),"")</t>
  </si>
  <si>
    <t>=D1682</t>
  </si>
  <si>
    <t>="""NAV Direct"",""CRONUS JetCorp USA"",""32"",""1"",""38076"""</t>
  </si>
  <si>
    <t>=IF($J1683="Customer",NL("first",$J1683,"Name","No.","@@"&amp;$K1683),"")</t>
  </si>
  <si>
    <t>=IF(J1683="vendor",NL("first",J1683,"Name","No.","@@"&amp;K1683),"")</t>
  </si>
  <si>
    <t>=IF($J1683="Item",NL("first",$J1683,"Description","No.","@@"&amp;$K1683),"")</t>
  </si>
  <si>
    <t>=D1683</t>
  </si>
  <si>
    <t>="""NAV Direct"",""CRONUS JetCorp USA"",""32"",""1"",""124542"""</t>
  </si>
  <si>
    <t>=IF($J1684="Customer",NL("first",$J1684,"Name","No.","@@"&amp;$K1684),"")</t>
  </si>
  <si>
    <t>=IF(J1684="vendor",NL("first",J1684,"Name","No.","@@"&amp;K1684),"")</t>
  </si>
  <si>
    <t>=IF($J1684="Item",NL("first",$J1684,"Description","No.","@@"&amp;$K1684),"")</t>
  </si>
  <si>
    <t>=D1684</t>
  </si>
  <si>
    <t>="""NAV Direct"",""CRONUS JetCorp USA"",""32"",""1"",""36491"""</t>
  </si>
  <si>
    <t>=IF($J1685="Customer",NL("first",$J1685,"Name","No.","@@"&amp;$K1685),"")</t>
  </si>
  <si>
    <t>=IF(J1685="vendor",NL("first",J1685,"Name","No.","@@"&amp;K1685),"")</t>
  </si>
  <si>
    <t>=IF($J1685="Item",NL("first",$J1685,"Description","No.","@@"&amp;$K1685),"")</t>
  </si>
  <si>
    <t>=D1685</t>
  </si>
  <si>
    <t>="""NAV Direct"",""CRONUS JetCorp USA"",""32"",""1"",""124524"""</t>
  </si>
  <si>
    <t>=IF($J1686="Customer",NL("first",$J1686,"Name","No.","@@"&amp;$K1686),"")</t>
  </si>
  <si>
    <t>=IF(J1686="vendor",NL("first",J1686,"Name","No.","@@"&amp;K1686),"")</t>
  </si>
  <si>
    <t>=IF($J1686="Item",NL("first",$J1686,"Description","No.","@@"&amp;$K1686),"")</t>
  </si>
  <si>
    <t>=D1686</t>
  </si>
  <si>
    <t>="""NAV Direct"",""CRONUS JetCorp USA"",""32"",""1"",""20352"""</t>
  </si>
  <si>
    <t>=IF($J1687="Customer",NL("first",$J1687,"Name","No.","@@"&amp;$K1687),"")</t>
  </si>
  <si>
    <t>=IF(J1687="vendor",NL("first",J1687,"Name","No.","@@"&amp;K1687),"")</t>
  </si>
  <si>
    <t>=IF($J1687="Item",NL("first",$J1687,"Description","No.","@@"&amp;$K1687),"")</t>
  </si>
  <si>
    <t>=D1687</t>
  </si>
  <si>
    <t>="""NAV Direct"",""CRONUS JetCorp USA"",""32"",""1"",""30107"""</t>
  </si>
  <si>
    <t>=IF($J1688="Customer",NL("first",$J1688,"Name","No.","@@"&amp;$K1688),"")</t>
  </si>
  <si>
    <t>=IF(J1688="vendor",NL("first",J1688,"Name","No.","@@"&amp;K1688),"")</t>
  </si>
  <si>
    <t>=IF($J1688="Item",NL("first",$J1688,"Description","No.","@@"&amp;$K1688),"")</t>
  </si>
  <si>
    <t>=D1688</t>
  </si>
  <si>
    <t>="""NAV Direct"",""CRONUS JetCorp USA"",""32"",""1"",""20404"""</t>
  </si>
  <si>
    <t>=IF($J1689="Customer",NL("first",$J1689,"Name","No.","@@"&amp;$K1689),"")</t>
  </si>
  <si>
    <t>=IF(J1689="vendor",NL("first",J1689,"Name","No.","@@"&amp;K1689),"")</t>
  </si>
  <si>
    <t>=IF($J1689="Item",NL("first",$J1689,"Description","No.","@@"&amp;$K1689),"")</t>
  </si>
  <si>
    <t>=E1692</t>
  </si>
  <si>
    <t>=NL("First","Item","Description","No.",$E1692)</t>
  </si>
  <si>
    <t>=NL("First","Item","Base Unit of Measure","No.",$E1692)</t>
  </si>
  <si>
    <t>=(SUBTOTAL(9,O1693:O1705))</t>
  </si>
  <si>
    <t>=(SUBTOTAL(9,P1693:P1705))</t>
  </si>
  <si>
    <t>=(SUBTOTAL(9,Q1693:Q1705))</t>
  </si>
  <si>
    <t>=(SUBTOTAL(9,R1693:R1705))</t>
  </si>
  <si>
    <t>=(SUBTOTAL(9,S1693:S1705))</t>
  </si>
  <si>
    <t>=(SUBTOTAL(9,T1693:T1705))</t>
  </si>
  <si>
    <t>=SUBTOTAL(9,O1693:T1705)</t>
  </si>
  <si>
    <t>=D1692</t>
  </si>
  <si>
    <t>=NL("Rows","Item Ledger Entry",,"+Posting Date",$L$5,"Item No.","@@"&amp;$D1693,"Location Code",$L$7)</t>
  </si>
  <si>
    <t>=IF($J1693="Customer",NL("first",$J1693,"Name","No.","@@"&amp;$K1693),"")</t>
  </si>
  <si>
    <t>=IF(J1693="vendor",NL("first",J1693,"Name","No.","@@"&amp;K1693),"")</t>
  </si>
  <si>
    <t>=IF($J1693="Item",NL("first",$J1693,"Description","No.","@@"&amp;$K1693),"")</t>
  </si>
  <si>
    <t>=D1693</t>
  </si>
  <si>
    <t>="""NAV Direct"",""CRONUS JetCorp USA"",""32"",""1"",""166338"""</t>
  </si>
  <si>
    <t>=IF($J1694="Customer",NL("first",$J1694,"Name","No.","@@"&amp;$K1694),"")</t>
  </si>
  <si>
    <t>=IF(J1694="vendor",NL("first",J1694,"Name","No.","@@"&amp;K1694),"")</t>
  </si>
  <si>
    <t>=IF($J1694="Item",NL("first",$J1694,"Description","No.","@@"&amp;$K1694),"")</t>
  </si>
  <si>
    <t>=D1694</t>
  </si>
  <si>
    <t>="""NAV Direct"",""CRONUS JetCorp USA"",""32"",""1"",""166357"""</t>
  </si>
  <si>
    <t>=IF($J1695="Customer",NL("first",$J1695,"Name","No.","@@"&amp;$K1695),"")</t>
  </si>
  <si>
    <t>=IF(J1695="vendor",NL("first",J1695,"Name","No.","@@"&amp;K1695),"")</t>
  </si>
  <si>
    <t>=IF($J1695="Item",NL("first",$J1695,"Description","No.","@@"&amp;$K1695),"")</t>
  </si>
  <si>
    <t>=D1695</t>
  </si>
  <si>
    <t>="""NAV Direct"",""CRONUS JetCorp USA"",""32"",""1"",""166376"""</t>
  </si>
  <si>
    <t>=IF($J1696="Customer",NL("first",$J1696,"Name","No.","@@"&amp;$K1696),"")</t>
  </si>
  <si>
    <t>=IF(J1696="vendor",NL("first",J1696,"Name","No.","@@"&amp;K1696),"")</t>
  </si>
  <si>
    <t>=IF($J1696="Item",NL("first",$J1696,"Description","No.","@@"&amp;$K1696),"")</t>
  </si>
  <si>
    <t>=D1696</t>
  </si>
  <si>
    <t>="""NAV Direct"",""CRONUS JetCorp USA"",""32"",""1"",""166393"""</t>
  </si>
  <si>
    <t>=IF($J1697="Customer",NL("first",$J1697,"Name","No.","@@"&amp;$K1697),"")</t>
  </si>
  <si>
    <t>=IF(J1697="vendor",NL("first",J1697,"Name","No.","@@"&amp;K1697),"")</t>
  </si>
  <si>
    <t>=IF($J1697="Item",NL("first",$J1697,"Description","No.","@@"&amp;$K1697),"")</t>
  </si>
  <si>
    <t>=D1697</t>
  </si>
  <si>
    <t>="""NAV Direct"",""CRONUS JetCorp USA"",""32"",""1"",""166405"""</t>
  </si>
  <si>
    <t>=IF($J1698="Customer",NL("first",$J1698,"Name","No.","@@"&amp;$K1698),"")</t>
  </si>
  <si>
    <t>=IF(J1698="vendor",NL("first",J1698,"Name","No.","@@"&amp;K1698),"")</t>
  </si>
  <si>
    <t>=IF($J1698="Item",NL("first",$J1698,"Description","No.","@@"&amp;$K1698),"")</t>
  </si>
  <si>
    <t>=D1698</t>
  </si>
  <si>
    <t>="""NAV Direct"",""CRONUS JetCorp USA"",""32"",""1"",""124510"""</t>
  </si>
  <si>
    <t>=IF($J1699="Customer",NL("first",$J1699,"Name","No.","@@"&amp;$K1699),"")</t>
  </si>
  <si>
    <t>=IF(J1699="vendor",NL("first",J1699,"Name","No.","@@"&amp;K1699),"")</t>
  </si>
  <si>
    <t>=IF($J1699="Item",NL("first",$J1699,"Description","No.","@@"&amp;$K1699),"")</t>
  </si>
  <si>
    <t>=D1699</t>
  </si>
  <si>
    <t>="""NAV Direct"",""CRONUS JetCorp USA"",""32"",""1"",""20345"""</t>
  </si>
  <si>
    <t>=IF($J1700="Customer",NL("first",$J1700,"Name","No.","@@"&amp;$K1700),"")</t>
  </si>
  <si>
    <t>=IF(J1700="vendor",NL("first",J1700,"Name","No.","@@"&amp;K1700),"")</t>
  </si>
  <si>
    <t>=IF($J1700="Item",NL("first",$J1700,"Description","No.","@@"&amp;$K1700),"")</t>
  </si>
  <si>
    <t>=D1700</t>
  </si>
  <si>
    <t>="""NAV Direct"",""CRONUS JetCorp USA"",""32"",""1"",""128886"""</t>
  </si>
  <si>
    <t>=IF($J1701="Customer",NL("first",$J1701,"Name","No.","@@"&amp;$K1701),"")</t>
  </si>
  <si>
    <t>=IF(J1701="vendor",NL("first",J1701,"Name","No.","@@"&amp;K1701),"")</t>
  </si>
  <si>
    <t>=IF($J1701="Item",NL("first",$J1701,"Description","No.","@@"&amp;$K1701),"")</t>
  </si>
  <si>
    <t>=D1701</t>
  </si>
  <si>
    <t>="""NAV Direct"",""CRONUS JetCorp USA"",""32"",""1"",""25264"""</t>
  </si>
  <si>
    <t>=IF($J1702="Customer",NL("first",$J1702,"Name","No.","@@"&amp;$K1702),"")</t>
  </si>
  <si>
    <t>=IF(J1702="vendor",NL("first",J1702,"Name","No.","@@"&amp;K1702),"")</t>
  </si>
  <si>
    <t>=IF($J1702="Item",NL("first",$J1702,"Description","No.","@@"&amp;$K1702),"")</t>
  </si>
  <si>
    <t>=D1702</t>
  </si>
  <si>
    <t>="""NAV Direct"",""CRONUS JetCorp USA"",""32"",""1"",""20398"""</t>
  </si>
  <si>
    <t>=IF($J1703="Customer",NL("first",$J1703,"Name","No.","@@"&amp;$K1703),"")</t>
  </si>
  <si>
    <t>=IF(J1703="vendor",NL("first",J1703,"Name","No.","@@"&amp;K1703),"")</t>
  </si>
  <si>
    <t>=IF($J1703="Item",NL("first",$J1703,"Description","No.","@@"&amp;$K1703),"")</t>
  </si>
  <si>
    <t>=D1703</t>
  </si>
  <si>
    <t>="""NAV Direct"",""CRONUS JetCorp USA"",""32"",""1"",""25279"""</t>
  </si>
  <si>
    <t>=IF($J1704="Customer",NL("first",$J1704,"Name","No.","@@"&amp;$K1704),"")</t>
  </si>
  <si>
    <t>=IF(J1704="vendor",NL("first",J1704,"Name","No.","@@"&amp;K1704),"")</t>
  </si>
  <si>
    <t>=IF($J1704="Item",NL("first",$J1704,"Description","No.","@@"&amp;$K1704),"")</t>
  </si>
  <si>
    <t>=E1707</t>
  </si>
  <si>
    <t>=NL("First","Item","Description","No.",$E1707)</t>
  </si>
  <si>
    <t>=NL("First","Item","Base Unit of Measure","No.",$E1707)</t>
  </si>
  <si>
    <t>=(SUBTOTAL(9,O1708:O1724))</t>
  </si>
  <si>
    <t>=(SUBTOTAL(9,P1708:P1724))</t>
  </si>
  <si>
    <t>=(SUBTOTAL(9,Q1708:Q1724))</t>
  </si>
  <si>
    <t>=(SUBTOTAL(9,R1708:R1724))</t>
  </si>
  <si>
    <t>=(SUBTOTAL(9,S1708:S1724))</t>
  </si>
  <si>
    <t>=(SUBTOTAL(9,T1708:T1724))</t>
  </si>
  <si>
    <t>=SUBTOTAL(9,O1708:T1724)</t>
  </si>
  <si>
    <t>=D1707</t>
  </si>
  <si>
    <t>=NL("Rows","Item Ledger Entry",,"+Posting Date",$L$5,"Item No.","@@"&amp;$D1708,"Location Code",$L$7)</t>
  </si>
  <si>
    <t>=IF($J1708="Customer",NL("first",$J1708,"Name","No.","@@"&amp;$K1708),"")</t>
  </si>
  <si>
    <t>=IF(J1708="vendor",NL("first",J1708,"Name","No.","@@"&amp;K1708),"")</t>
  </si>
  <si>
    <t>=IF($J1708="Item",NL("first",$J1708,"Description","No.","@@"&amp;$K1708),"")</t>
  </si>
  <si>
    <t>=D1708</t>
  </si>
  <si>
    <t>="""NAV Direct"",""CRONUS JetCorp USA"",""32"",""1"",""166322"""</t>
  </si>
  <si>
    <t>=IF($J1709="Customer",NL("first",$J1709,"Name","No.","@@"&amp;$K1709),"")</t>
  </si>
  <si>
    <t>=IF(J1709="vendor",NL("first",J1709,"Name","No.","@@"&amp;K1709),"")</t>
  </si>
  <si>
    <t>=IF($J1709="Item",NL("first",$J1709,"Description","No.","@@"&amp;$K1709),"")</t>
  </si>
  <si>
    <t>=D1709</t>
  </si>
  <si>
    <t>="""NAV Direct"",""CRONUS JetCorp USA"",""32"",""1"",""166337"""</t>
  </si>
  <si>
    <t>=IF($J1710="Customer",NL("first",$J1710,"Name","No.","@@"&amp;$K1710),"")</t>
  </si>
  <si>
    <t>=IF(J1710="vendor",NL("first",J1710,"Name","No.","@@"&amp;K1710),"")</t>
  </si>
  <si>
    <t>=IF($J1710="Item",NL("first",$J1710,"Description","No.","@@"&amp;$K1710),"")</t>
  </si>
  <si>
    <t>=D1710</t>
  </si>
  <si>
    <t>="""NAV Direct"",""CRONUS JetCorp USA"",""32"",""1"",""166375"""</t>
  </si>
  <si>
    <t>=IF($J1711="Customer",NL("first",$J1711,"Name","No.","@@"&amp;$K1711),"")</t>
  </si>
  <si>
    <t>=IF(J1711="vendor",NL("first",J1711,"Name","No.","@@"&amp;K1711),"")</t>
  </si>
  <si>
    <t>=IF($J1711="Item",NL("first",$J1711,"Description","No.","@@"&amp;$K1711),"")</t>
  </si>
  <si>
    <t>=D1711</t>
  </si>
  <si>
    <t>="""NAV Direct"",""CRONUS JetCorp USA"",""32"",""1"",""166392"""</t>
  </si>
  <si>
    <t>=IF($J1712="Customer",NL("first",$J1712,"Name","No.","@@"&amp;$K1712),"")</t>
  </si>
  <si>
    <t>=IF(J1712="vendor",NL("first",J1712,"Name","No.","@@"&amp;K1712),"")</t>
  </si>
  <si>
    <t>=IF($J1712="Item",NL("first",$J1712,"Description","No.","@@"&amp;$K1712),"")</t>
  </si>
  <si>
    <t>=D1712</t>
  </si>
  <si>
    <t>="""NAV Direct"",""CRONUS JetCorp USA"",""32"",""1"",""166404"""</t>
  </si>
  <si>
    <t>=IF($J1713="Customer",NL("first",$J1713,"Name","No.","@@"&amp;$K1713),"")</t>
  </si>
  <si>
    <t>=IF(J1713="vendor",NL("first",J1713,"Name","No.","@@"&amp;K1713),"")</t>
  </si>
  <si>
    <t>=IF($J1713="Item",NL("first",$J1713,"Description","No.","@@"&amp;$K1713),"")</t>
  </si>
  <si>
    <t>=D1713</t>
  </si>
  <si>
    <t>="""NAV Direct"",""CRONUS JetCorp USA"",""32"",""1"",""166422"""</t>
  </si>
  <si>
    <t>=IF($J1714="Customer",NL("first",$J1714,"Name","No.","@@"&amp;$K1714),"")</t>
  </si>
  <si>
    <t>=IF(J1714="vendor",NL("first",J1714,"Name","No.","@@"&amp;K1714),"")</t>
  </si>
  <si>
    <t>=IF($J1714="Item",NL("first",$J1714,"Description","No.","@@"&amp;$K1714),"")</t>
  </si>
  <si>
    <t>=D1714</t>
  </si>
  <si>
    <t>="""NAV Direct"",""CRONUS JetCorp USA"",""32"",""1"",""20368"""</t>
  </si>
  <si>
    <t>=IF($J1715="Customer",NL("first",$J1715,"Name","No.","@@"&amp;$K1715),"")</t>
  </si>
  <si>
    <t>=IF(J1715="vendor",NL("first",J1715,"Name","No.","@@"&amp;K1715),"")</t>
  </si>
  <si>
    <t>=IF($J1715="Item",NL("first",$J1715,"Description","No.","@@"&amp;$K1715),"")</t>
  </si>
  <si>
    <t>=D1715</t>
  </si>
  <si>
    <t>="""NAV Direct"",""CRONUS JetCorp USA"",""32"",""1"",""128859"""</t>
  </si>
  <si>
    <t>=IF($J1716="Customer",NL("first",$J1716,"Name","No.","@@"&amp;$K1716),"")</t>
  </si>
  <si>
    <t>=IF(J1716="vendor",NL("first",J1716,"Name","No.","@@"&amp;K1716),"")</t>
  </si>
  <si>
    <t>=IF($J1716="Item",NL("first",$J1716,"Description","No.","@@"&amp;$K1716),"")</t>
  </si>
  <si>
    <t>=D1716</t>
  </si>
  <si>
    <t>="""NAV Direct"",""CRONUS JetCorp USA"",""32"",""1"",""128869"""</t>
  </si>
  <si>
    <t>=IF($J1717="Customer",NL("first",$J1717,"Name","No.","@@"&amp;$K1717),"")</t>
  </si>
  <si>
    <t>=IF(J1717="vendor",NL("first",J1717,"Name","No.","@@"&amp;K1717),"")</t>
  </si>
  <si>
    <t>=IF($J1717="Item",NL("first",$J1717,"Description","No.","@@"&amp;$K1717),"")</t>
  </si>
  <si>
    <t>=D1717</t>
  </si>
  <si>
    <t>="""NAV Direct"",""CRONUS JetCorp USA"",""32"",""1"",""20383"""</t>
  </si>
  <si>
    <t>=IF($J1718="Customer",NL("first",$J1718,"Name","No.","@@"&amp;$K1718),"")</t>
  </si>
  <si>
    <t>=IF(J1718="vendor",NL("first",J1718,"Name","No.","@@"&amp;K1718),"")</t>
  </si>
  <si>
    <t>=IF($J1718="Item",NL("first",$J1718,"Description","No.","@@"&amp;$K1718),"")</t>
  </si>
  <si>
    <t>=D1718</t>
  </si>
  <si>
    <t>="""NAV Direct"",""CRONUS JetCorp USA"",""32"",""1"",""34309"""</t>
  </si>
  <si>
    <t>=IF($J1719="Customer",NL("first",$J1719,"Name","No.","@@"&amp;$K1719),"")</t>
  </si>
  <si>
    <t>=IF(J1719="vendor",NL("first",J1719,"Name","No.","@@"&amp;K1719),"")</t>
  </si>
  <si>
    <t>=IF($J1719="Item",NL("first",$J1719,"Description","No.","@@"&amp;$K1719),"")</t>
  </si>
  <si>
    <t>=D1719</t>
  </si>
  <si>
    <t>="""NAV Direct"",""CRONUS JetCorp USA"",""32"",""1"",""20353"""</t>
  </si>
  <si>
    <t>=IF($J1720="Customer",NL("first",$J1720,"Name","No.","@@"&amp;$K1720),"")</t>
  </si>
  <si>
    <t>=IF(J1720="vendor",NL("first",J1720,"Name","No.","@@"&amp;K1720),"")</t>
  </si>
  <si>
    <t>=IF($J1720="Item",NL("first",$J1720,"Description","No.","@@"&amp;$K1720),"")</t>
  </si>
  <si>
    <t>=D1720</t>
  </si>
  <si>
    <t>="""NAV Direct"",""CRONUS JetCorp USA"",""32"",""1"",""34339"""</t>
  </si>
  <si>
    <t>=IF($J1721="Customer",NL("first",$J1721,"Name","No.","@@"&amp;$K1721),"")</t>
  </si>
  <si>
    <t>=IF(J1721="vendor",NL("first",J1721,"Name","No.","@@"&amp;K1721),"")</t>
  </si>
  <si>
    <t>=IF($J1721="Item",NL("first",$J1721,"Description","No.","@@"&amp;$K1721),"")</t>
  </si>
  <si>
    <t>=D1721</t>
  </si>
  <si>
    <t>="""NAV Direct"",""CRONUS JetCorp USA"",""32"",""1"",""25277"""</t>
  </si>
  <si>
    <t>=IF($J1722="Customer",NL("first",$J1722,"Name","No.","@@"&amp;$K1722),"")</t>
  </si>
  <si>
    <t>=IF(J1722="vendor",NL("first",J1722,"Name","No.","@@"&amp;K1722),"")</t>
  </si>
  <si>
    <t>=IF($J1722="Item",NL("first",$J1722,"Description","No.","@@"&amp;$K1722),"")</t>
  </si>
  <si>
    <t>=D1722</t>
  </si>
  <si>
    <t>="""NAV Direct"",""CRONUS JetCorp USA"",""32"",""1"",""25285"""</t>
  </si>
  <si>
    <t>=IF($J1723="Customer",NL("first",$J1723,"Name","No.","@@"&amp;$K1723),"")</t>
  </si>
  <si>
    <t>=IF(J1723="vendor",NL("first",J1723,"Name","No.","@@"&amp;K1723),"")</t>
  </si>
  <si>
    <t>=IF($J1723="Item",NL("first",$J1723,"Description","No.","@@"&amp;$K1723),"")</t>
  </si>
  <si>
    <t>=E1726</t>
  </si>
  <si>
    <t>=NL("First","Item","Description","No.",$E1726)</t>
  </si>
  <si>
    <t>=NL("First","Item","Base Unit of Measure","No.",$E1726)</t>
  </si>
  <si>
    <t>=(SUBTOTAL(9,O1727:O1746))</t>
  </si>
  <si>
    <t>=(SUBTOTAL(9,P1727:P1746))</t>
  </si>
  <si>
    <t>=(SUBTOTAL(9,Q1727:Q1746))</t>
  </si>
  <si>
    <t>=(SUBTOTAL(9,R1727:R1746))</t>
  </si>
  <si>
    <t>=(SUBTOTAL(9,S1727:S1746))</t>
  </si>
  <si>
    <t>=(SUBTOTAL(9,T1727:T1746))</t>
  </si>
  <si>
    <t>=SUBTOTAL(9,O1727:T1746)</t>
  </si>
  <si>
    <t>=D1726</t>
  </si>
  <si>
    <t>=NL("Rows","Item Ledger Entry",,"+Posting Date",$L$5,"Item No.","@@"&amp;$D1727,"Location Code",$L$7)</t>
  </si>
  <si>
    <t>=IF($J1727="Customer",NL("first",$J1727,"Name","No.","@@"&amp;$K1727),"")</t>
  </si>
  <si>
    <t>=IF(J1727="vendor",NL("first",J1727,"Name","No.","@@"&amp;K1727),"")</t>
  </si>
  <si>
    <t>=IF($J1727="Item",NL("first",$J1727,"Description","No.","@@"&amp;$K1727),"")</t>
  </si>
  <si>
    <t>=D1727</t>
  </si>
  <si>
    <t>="""NAV Direct"",""CRONUS JetCorp USA"",""32"",""1"",""166356"""</t>
  </si>
  <si>
    <t>=IF($J1728="Customer",NL("first",$J1728,"Name","No.","@@"&amp;$K1728),"")</t>
  </si>
  <si>
    <t>=IF(J1728="vendor",NL("first",J1728,"Name","No.","@@"&amp;K1728),"")</t>
  </si>
  <si>
    <t>=IF($J1728="Item",NL("first",$J1728,"Description","No.","@@"&amp;$K1728),"")</t>
  </si>
  <si>
    <t>=D1728</t>
  </si>
  <si>
    <t>="""NAV Direct"",""CRONUS JetCorp USA"",""32"",""1"",""166374"""</t>
  </si>
  <si>
    <t>=IF($J1729="Customer",NL("first",$J1729,"Name","No.","@@"&amp;$K1729),"")</t>
  </si>
  <si>
    <t>=IF(J1729="vendor",NL("first",J1729,"Name","No.","@@"&amp;K1729),"")</t>
  </si>
  <si>
    <t>=IF($J1729="Item",NL("first",$J1729,"Description","No.","@@"&amp;$K1729),"")</t>
  </si>
  <si>
    <t>=D1729</t>
  </si>
  <si>
    <t>="""NAV Direct"",""CRONUS JetCorp USA"",""32"",""1"",""166391"""</t>
  </si>
  <si>
    <t>=IF($J1730="Customer",NL("first",$J1730,"Name","No.","@@"&amp;$K1730),"")</t>
  </si>
  <si>
    <t>=IF(J1730="vendor",NL("first",J1730,"Name","No.","@@"&amp;K1730),"")</t>
  </si>
  <si>
    <t>=IF($J1730="Item",NL("first",$J1730,"Description","No.","@@"&amp;$K1730),"")</t>
  </si>
  <si>
    <t>=D1730</t>
  </si>
  <si>
    <t>="""NAV Direct"",""CRONUS JetCorp USA"",""32"",""1"",""166403"""</t>
  </si>
  <si>
    <t>=IF($J1731="Customer",NL("first",$J1731,"Name","No.","@@"&amp;$K1731),"")</t>
  </si>
  <si>
    <t>=IF(J1731="vendor",NL("first",J1731,"Name","No.","@@"&amp;K1731),"")</t>
  </si>
  <si>
    <t>=IF($J1731="Item",NL("first",$J1731,"Description","No.","@@"&amp;$K1731),"")</t>
  </si>
  <si>
    <t>=D1731</t>
  </si>
  <si>
    <t>="""NAV Direct"",""CRONUS JetCorp USA"",""32"",""1"",""166421"""</t>
  </si>
  <si>
    <t>=IF($J1732="Customer",NL("first",$J1732,"Name","No.","@@"&amp;$K1732),"")</t>
  </si>
  <si>
    <t>=IF(J1732="vendor",NL("first",J1732,"Name","No.","@@"&amp;K1732),"")</t>
  </si>
  <si>
    <t>=IF($J1732="Item",NL("first",$J1732,"Description","No.","@@"&amp;$K1732),"")</t>
  </si>
  <si>
    <t>=D1732</t>
  </si>
  <si>
    <t>="""NAV Direct"",""CRONUS JetCorp USA"",""32"",""1"",""124512"""</t>
  </si>
  <si>
    <t>=IF($J1733="Customer",NL("first",$J1733,"Name","No.","@@"&amp;$K1733),"")</t>
  </si>
  <si>
    <t>=IF(J1733="vendor",NL("first",J1733,"Name","No.","@@"&amp;K1733),"")</t>
  </si>
  <si>
    <t>=IF($J1733="Item",NL("first",$J1733,"Description","No.","@@"&amp;$K1733),"")</t>
  </si>
  <si>
    <t>=D1733</t>
  </si>
  <si>
    <t>="""NAV Direct"",""CRONUS JetCorp USA"",""32"",""1"",""132517"""</t>
  </si>
  <si>
    <t>=IF($J1734="Customer",NL("first",$J1734,"Name","No.","@@"&amp;$K1734),"")</t>
  </si>
  <si>
    <t>=IF(J1734="vendor",NL("first",J1734,"Name","No.","@@"&amp;K1734),"")</t>
  </si>
  <si>
    <t>=IF($J1734="Item",NL("first",$J1734,"Description","No.","@@"&amp;$K1734),"")</t>
  </si>
  <si>
    <t>=D1734</t>
  </si>
  <si>
    <t>="""NAV Direct"",""CRONUS JetCorp USA"",""32"",""1"",""30033"""</t>
  </si>
  <si>
    <t>=IF($J1735="Customer",NL("first",$J1735,"Name","No.","@@"&amp;$K1735),"")</t>
  </si>
  <si>
    <t>=IF(J1735="vendor",NL("first",J1735,"Name","No.","@@"&amp;K1735),"")</t>
  </si>
  <si>
    <t>=IF($J1735="Item",NL("first",$J1735,"Description","No.","@@"&amp;$K1735),"")</t>
  </si>
  <si>
    <t>=D1735</t>
  </si>
  <si>
    <t>="""NAV Direct"",""CRONUS JetCorp USA"",""32"",""1"",""38074"""</t>
  </si>
  <si>
    <t>=IF($J1736="Customer",NL("first",$J1736,"Name","No.","@@"&amp;$K1736),"")</t>
  </si>
  <si>
    <t>=IF(J1736="vendor",NL("first",J1736,"Name","No.","@@"&amp;K1736),"")</t>
  </si>
  <si>
    <t>=IF($J1736="Item",NL("first",$J1736,"Description","No.","@@"&amp;$K1736),"")</t>
  </si>
  <si>
    <t>=D1736</t>
  </si>
  <si>
    <t>="""NAV Direct"",""CRONUS JetCorp USA"",""32"",""1"",""128852"""</t>
  </si>
  <si>
    <t>=IF($J1737="Customer",NL("first",$J1737,"Name","No.","@@"&amp;$K1737),"")</t>
  </si>
  <si>
    <t>=IF(J1737="vendor",NL("first",J1737,"Name","No.","@@"&amp;K1737),"")</t>
  </si>
  <si>
    <t>=IF($J1737="Item",NL("first",$J1737,"Description","No.","@@"&amp;$K1737),"")</t>
  </si>
  <si>
    <t>=D1737</t>
  </si>
  <si>
    <t>="""NAV Direct"",""CRONUS JetCorp USA"",""32"",""1"",""128870"""</t>
  </si>
  <si>
    <t>=IF($J1738="Customer",NL("first",$J1738,"Name","No.","@@"&amp;$K1738),"")</t>
  </si>
  <si>
    <t>=IF(J1738="vendor",NL("first",J1738,"Name","No.","@@"&amp;K1738),"")</t>
  </si>
  <si>
    <t>=IF($J1738="Item",NL("first",$J1738,"Description","No.","@@"&amp;$K1738),"")</t>
  </si>
  <si>
    <t>=D1738</t>
  </si>
  <si>
    <t>="""NAV Direct"",""CRONUS JetCorp USA"",""32"",""1"",""36494"""</t>
  </si>
  <si>
    <t>=IF($J1739="Customer",NL("first",$J1739,"Name","No.","@@"&amp;$K1739),"")</t>
  </si>
  <si>
    <t>=IF(J1739="vendor",NL("first",J1739,"Name","No.","@@"&amp;K1739),"")</t>
  </si>
  <si>
    <t>=IF($J1739="Item",NL("first",$J1739,"Description","No.","@@"&amp;$K1739),"")</t>
  </si>
  <si>
    <t>=D1739</t>
  </si>
  <si>
    <t>="""NAV Direct"",""CRONUS JetCorp USA"",""32"",""1"",""20355"""</t>
  </si>
  <si>
    <t>=IF($J1740="Customer",NL("first",$J1740,"Name","No.","@@"&amp;$K1740),"")</t>
  </si>
  <si>
    <t>=IF(J1740="vendor",NL("first",J1740,"Name","No.","@@"&amp;K1740),"")</t>
  </si>
  <si>
    <t>=IF($J1740="Item",NL("first",$J1740,"Description","No.","@@"&amp;$K1740),"")</t>
  </si>
  <si>
    <t>=D1740</t>
  </si>
  <si>
    <t>="""NAV Direct"",""CRONUS JetCorp USA"",""32"",""1"",""124589"""</t>
  </si>
  <si>
    <t>=IF($J1741="Customer",NL("first",$J1741,"Name","No.","@@"&amp;$K1741),"")</t>
  </si>
  <si>
    <t>=IF(J1741="vendor",NL("first",J1741,"Name","No.","@@"&amp;K1741),"")</t>
  </si>
  <si>
    <t>=IF($J1741="Item",NL("first",$J1741,"Description","No.","@@"&amp;$K1741),"")</t>
  </si>
  <si>
    <t>=D1741</t>
  </si>
  <si>
    <t>="""NAV Direct"",""CRONUS JetCorp USA"",""32"",""1"",""128888"""</t>
  </si>
  <si>
    <t>=IF($J1742="Customer",NL("first",$J1742,"Name","No.","@@"&amp;$K1742),"")</t>
  </si>
  <si>
    <t>=IF(J1742="vendor",NL("first",J1742,"Name","No.","@@"&amp;K1742),"")</t>
  </si>
  <si>
    <t>=IF($J1742="Item",NL("first",$J1742,"Description","No.","@@"&amp;$K1742),"")</t>
  </si>
  <si>
    <t>=D1742</t>
  </si>
  <si>
    <t>="""NAV Direct"",""CRONUS JetCorp USA"",""32"",""1"",""20402"""</t>
  </si>
  <si>
    <t>=IF($J1743="Customer",NL("first",$J1743,"Name","No.","@@"&amp;$K1743),"")</t>
  </si>
  <si>
    <t>=IF(J1743="vendor",NL("first",J1743,"Name","No.","@@"&amp;K1743),"")</t>
  </si>
  <si>
    <t>=IF($J1743="Item",NL("first",$J1743,"Description","No.","@@"&amp;$K1743),"")</t>
  </si>
  <si>
    <t>=D1743</t>
  </si>
  <si>
    <t>="""NAV Direct"",""CRONUS JetCorp USA"",""32"",""1"",""25295"""</t>
  </si>
  <si>
    <t>=IF($J1744="Customer",NL("first",$J1744,"Name","No.","@@"&amp;$K1744),"")</t>
  </si>
  <si>
    <t>=IF(J1744="vendor",NL("first",J1744,"Name","No.","@@"&amp;K1744),"")</t>
  </si>
  <si>
    <t>=IF($J1744="Item",NL("first",$J1744,"Description","No.","@@"&amp;$K1744),"")</t>
  </si>
  <si>
    <t>=D1744</t>
  </si>
  <si>
    <t>="""NAV Direct"",""CRONUS JetCorp USA"",""32"",""1"",""132531"""</t>
  </si>
  <si>
    <t>=IF($J1745="Customer",NL("first",$J1745,"Name","No.","@@"&amp;$K1745),"")</t>
  </si>
  <si>
    <t>=IF(J1745="vendor",NL("first",J1745,"Name","No.","@@"&amp;K1745),"")</t>
  </si>
  <si>
    <t>=IF($J1745="Item",NL("first",$J1745,"Description","No.","@@"&amp;$K1745),"")</t>
  </si>
  <si>
    <t>=E1748</t>
  </si>
  <si>
    <t>=NL("First","Item","Description","No.",$E1748)</t>
  </si>
  <si>
    <t>=NL("First","Item","Base Unit of Measure","No.",$E1748)</t>
  </si>
  <si>
    <t>=(SUBTOTAL(9,O1749:O1764))</t>
  </si>
  <si>
    <t>=(SUBTOTAL(9,P1749:P1764))</t>
  </si>
  <si>
    <t>=(SUBTOTAL(9,Q1749:Q1764))</t>
  </si>
  <si>
    <t>=(SUBTOTAL(9,R1749:R1764))</t>
  </si>
  <si>
    <t>=(SUBTOTAL(9,S1749:S1764))</t>
  </si>
  <si>
    <t>=(SUBTOTAL(9,T1749:T1764))</t>
  </si>
  <si>
    <t>=SUBTOTAL(9,O1749:T1764)</t>
  </si>
  <si>
    <t>=D1748</t>
  </si>
  <si>
    <t>=NL("Rows","Item Ledger Entry",,"+Posting Date",$L$5,"Item No.","@@"&amp;$D1749,"Location Code",$L$7)</t>
  </si>
  <si>
    <t>=IF($J1749="Customer",NL("first",$J1749,"Name","No.","@@"&amp;$K1749),"")</t>
  </si>
  <si>
    <t>=IF(J1749="vendor",NL("first",J1749,"Name","No.","@@"&amp;K1749),"")</t>
  </si>
  <si>
    <t>=IF($J1749="Item",NL("first",$J1749,"Description","No.","@@"&amp;$K1749),"")</t>
  </si>
  <si>
    <t>=D1749</t>
  </si>
  <si>
    <t>="""NAV Direct"",""CRONUS JetCorp USA"",""32"",""1"",""166355"""</t>
  </si>
  <si>
    <t>=IF($J1750="Customer",NL("first",$J1750,"Name","No.","@@"&amp;$K1750),"")</t>
  </si>
  <si>
    <t>=IF(J1750="vendor",NL("first",J1750,"Name","No.","@@"&amp;K1750),"")</t>
  </si>
  <si>
    <t>=IF($J1750="Item",NL("first",$J1750,"Description","No.","@@"&amp;$K1750),"")</t>
  </si>
  <si>
    <t>=D1750</t>
  </si>
  <si>
    <t>="""NAV Direct"",""CRONUS JetCorp USA"",""32"",""1"",""166373"""</t>
  </si>
  <si>
    <t>=IF($J1751="Customer",NL("first",$J1751,"Name","No.","@@"&amp;$K1751),"")</t>
  </si>
  <si>
    <t>=IF(J1751="vendor",NL("first",J1751,"Name","No.","@@"&amp;K1751),"")</t>
  </si>
  <si>
    <t>=IF($J1751="Item",NL("first",$J1751,"Description","No.","@@"&amp;$K1751),"")</t>
  </si>
  <si>
    <t>=D1751</t>
  </si>
  <si>
    <t>="""NAV Direct"",""CRONUS JetCorp USA"",""32"",""1"",""166390"""</t>
  </si>
  <si>
    <t>=IF($J1752="Customer",NL("first",$J1752,"Name","No.","@@"&amp;$K1752),"")</t>
  </si>
  <si>
    <t>=IF(J1752="vendor",NL("first",J1752,"Name","No.","@@"&amp;K1752),"")</t>
  </si>
  <si>
    <t>=IF($J1752="Item",NL("first",$J1752,"Description","No.","@@"&amp;$K1752),"")</t>
  </si>
  <si>
    <t>=D1752</t>
  </si>
  <si>
    <t>="""NAV Direct"",""CRONUS JetCorp USA"",""32"",""1"",""166402"""</t>
  </si>
  <si>
    <t>=IF($J1753="Customer",NL("first",$J1753,"Name","No.","@@"&amp;$K1753),"")</t>
  </si>
  <si>
    <t>=IF(J1753="vendor",NL("first",J1753,"Name","No.","@@"&amp;K1753),"")</t>
  </si>
  <si>
    <t>=IF($J1753="Item",NL("first",$J1753,"Description","No.","@@"&amp;$K1753),"")</t>
  </si>
  <si>
    <t>=D1753</t>
  </si>
  <si>
    <t>="""NAV Direct"",""CRONUS JetCorp USA"",""32"",""1"",""166420"""</t>
  </si>
  <si>
    <t>=IF($J1754="Customer",NL("first",$J1754,"Name","No.","@@"&amp;$K1754),"")</t>
  </si>
  <si>
    <t>=IF(J1754="vendor",NL("first",J1754,"Name","No.","@@"&amp;K1754),"")</t>
  </si>
  <si>
    <t>=IF($J1754="Item",NL("first",$J1754,"Description","No.","@@"&amp;$K1754),"")</t>
  </si>
  <si>
    <t>=D1754</t>
  </si>
  <si>
    <t>="""NAV Direct"",""CRONUS JetCorp USA"",""32"",""1"",""124509"""</t>
  </si>
  <si>
    <t>=IF($J1755="Customer",NL("first",$J1755,"Name","No.","@@"&amp;$K1755),"")</t>
  </si>
  <si>
    <t>=IF(J1755="vendor",NL("first",J1755,"Name","No.","@@"&amp;K1755),"")</t>
  </si>
  <si>
    <t>=IF($J1755="Item",NL("first",$J1755,"Description","No.","@@"&amp;$K1755),"")</t>
  </si>
  <si>
    <t>=D1755</t>
  </si>
  <si>
    <t>="""NAV Direct"",""CRONUS JetCorp USA"",""32"",""1"",""25234"""</t>
  </si>
  <si>
    <t>=IF($J1756="Customer",NL("first",$J1756,"Name","No.","@@"&amp;$K1756),"")</t>
  </si>
  <si>
    <t>=IF(J1756="vendor",NL("first",J1756,"Name","No.","@@"&amp;K1756),"")</t>
  </si>
  <si>
    <t>=IF($J1756="Item",NL("first",$J1756,"Description","No.","@@"&amp;$K1756),"")</t>
  </si>
  <si>
    <t>=D1756</t>
  </si>
  <si>
    <t>="""NAV Direct"",""CRONUS JetCorp USA"",""32"",""1"",""128861"""</t>
  </si>
  <si>
    <t>=IF($J1757="Customer",NL("first",$J1757,"Name","No.","@@"&amp;$K1757),"")</t>
  </si>
  <si>
    <t>=IF(J1757="vendor",NL("first",J1757,"Name","No.","@@"&amp;K1757),"")</t>
  </si>
  <si>
    <t>=IF($J1757="Item",NL("first",$J1757,"Description","No.","@@"&amp;$K1757),"")</t>
  </si>
  <si>
    <t>=D1757</t>
  </si>
  <si>
    <t>="""NAV Direct"",""CRONUS JetCorp USA"",""32"",""1"",""124536"""</t>
  </si>
  <si>
    <t>=IF($J1758="Customer",NL("first",$J1758,"Name","No.","@@"&amp;$K1758),"")</t>
  </si>
  <si>
    <t>=IF(J1758="vendor",NL("first",J1758,"Name","No.","@@"&amp;K1758),"")</t>
  </si>
  <si>
    <t>=IF($J1758="Item",NL("first",$J1758,"Description","No.","@@"&amp;$K1758),"")</t>
  </si>
  <si>
    <t>=D1758</t>
  </si>
  <si>
    <t>="""NAV Direct"",""CRONUS JetCorp USA"",""32"",""1"",""36490"""</t>
  </si>
  <si>
    <t>=IF($J1759="Customer",NL("first",$J1759,"Name","No.","@@"&amp;$K1759),"")</t>
  </si>
  <si>
    <t>=IF(J1759="vendor",NL("first",J1759,"Name","No.","@@"&amp;K1759),"")</t>
  </si>
  <si>
    <t>=IF($J1759="Item",NL("first",$J1759,"Description","No.","@@"&amp;$K1759),"")</t>
  </si>
  <si>
    <t>=D1759</t>
  </si>
  <si>
    <t>="""NAV Direct"",""CRONUS JetCorp USA"",""32"",""1"",""124522"""</t>
  </si>
  <si>
    <t>=IF($J1760="Customer",NL("first",$J1760,"Name","No.","@@"&amp;$K1760),"")</t>
  </si>
  <si>
    <t>=IF(J1760="vendor",NL("first",J1760,"Name","No.","@@"&amp;K1760),"")</t>
  </si>
  <si>
    <t>=IF($J1760="Item",NL("first",$J1760,"Description","No.","@@"&amp;$K1760),"")</t>
  </si>
  <si>
    <t>=D1760</t>
  </si>
  <si>
    <t>="""NAV Direct"",""CRONUS JetCorp USA"",""32"",""1"",""34328"""</t>
  </si>
  <si>
    <t>=IF($J1761="Customer",NL("first",$J1761,"Name","No.","@@"&amp;$K1761),"")</t>
  </si>
  <si>
    <t>=IF(J1761="vendor",NL("first",J1761,"Name","No.","@@"&amp;K1761),"")</t>
  </si>
  <si>
    <t>=IF($J1761="Item",NL("first",$J1761,"Description","No.","@@"&amp;$K1761),"")</t>
  </si>
  <si>
    <t>=D1761</t>
  </si>
  <si>
    <t>="""NAV Direct"",""CRONUS JetCorp USA"",""32"",""1"",""20397"""</t>
  </si>
  <si>
    <t>=IF($J1762="Customer",NL("first",$J1762,"Name","No.","@@"&amp;$K1762),"")</t>
  </si>
  <si>
    <t>=IF(J1762="vendor",NL("first",J1762,"Name","No.","@@"&amp;K1762),"")</t>
  </si>
  <si>
    <t>=IF($J1762="Item",NL("first",$J1762,"Description","No.","@@"&amp;$K1762),"")</t>
  </si>
  <si>
    <t>=D1762</t>
  </si>
  <si>
    <t>="""NAV Direct"",""CRONUS JetCorp USA"",""32"",""1"",""25280"""</t>
  </si>
  <si>
    <t>=IF($J1763="Customer",NL("first",$J1763,"Name","No.","@@"&amp;$K1763),"")</t>
  </si>
  <si>
    <t>=IF(J1763="vendor",NL("first",J1763,"Name","No.","@@"&amp;K1763),"")</t>
  </si>
  <si>
    <t>=IF($J1763="Item",NL("first",$J1763,"Description","No.","@@"&amp;$K1763),"")</t>
  </si>
  <si>
    <t>=E1766</t>
  </si>
  <si>
    <t>=NL("First","Item","Description","No.",$E1766)</t>
  </si>
  <si>
    <t>=NL("First","Item","Base Unit of Measure","No.",$E1766)</t>
  </si>
  <si>
    <t>=(SUBTOTAL(9,O1767:O1786))</t>
  </si>
  <si>
    <t>=(SUBTOTAL(9,P1767:P1786))</t>
  </si>
  <si>
    <t>=(SUBTOTAL(9,Q1767:Q1786))</t>
  </si>
  <si>
    <t>=(SUBTOTAL(9,R1767:R1786))</t>
  </si>
  <si>
    <t>=(SUBTOTAL(9,S1767:S1786))</t>
  </si>
  <si>
    <t>=(SUBTOTAL(9,T1767:T1786))</t>
  </si>
  <si>
    <t>=SUBTOTAL(9,O1767:T1786)</t>
  </si>
  <si>
    <t>=D1766</t>
  </si>
  <si>
    <t>=NL("Rows","Item Ledger Entry",,"+Posting Date",$L$5,"Item No.","@@"&amp;$D1767,"Location Code",$L$7)</t>
  </si>
  <si>
    <t>=IF($J1767="Customer",NL("first",$J1767,"Name","No.","@@"&amp;$K1767),"")</t>
  </si>
  <si>
    <t>=IF(J1767="vendor",NL("first",J1767,"Name","No.","@@"&amp;K1767),"")</t>
  </si>
  <si>
    <t>=IF($J1767="Item",NL("first",$J1767,"Description","No.","@@"&amp;$K1767),"")</t>
  </si>
  <si>
    <t>=D1767</t>
  </si>
  <si>
    <t>="""NAV Direct"",""CRONUS JetCorp USA"",""32"",""1"",""167079"""</t>
  </si>
  <si>
    <t>=IF($J1768="Customer",NL("first",$J1768,"Name","No.","@@"&amp;$K1768),"")</t>
  </si>
  <si>
    <t>=IF(J1768="vendor",NL("first",J1768,"Name","No.","@@"&amp;K1768),"")</t>
  </si>
  <si>
    <t>=IF($J1768="Item",NL("first",$J1768,"Description","No.","@@"&amp;$K1768),"")</t>
  </si>
  <si>
    <t>=D1768</t>
  </si>
  <si>
    <t>="""NAV Direct"",""CRONUS JetCorp USA"",""32"",""1"",""167096"""</t>
  </si>
  <si>
    <t>=IF($J1769="Customer",NL("first",$J1769,"Name","No.","@@"&amp;$K1769),"")</t>
  </si>
  <si>
    <t>=IF(J1769="vendor",NL("first",J1769,"Name","No.","@@"&amp;K1769),"")</t>
  </si>
  <si>
    <t>=IF($J1769="Item",NL("first",$J1769,"Description","No.","@@"&amp;$K1769),"")</t>
  </si>
  <si>
    <t>=D1769</t>
  </si>
  <si>
    <t>="""NAV Direct"",""CRONUS JetCorp USA"",""32"",""1"",""167117"""</t>
  </si>
  <si>
    <t>=IF($J1770="Customer",NL("first",$J1770,"Name","No.","@@"&amp;$K1770),"")</t>
  </si>
  <si>
    <t>=IF(J1770="vendor",NL("first",J1770,"Name","No.","@@"&amp;K1770),"")</t>
  </si>
  <si>
    <t>=IF($J1770="Item",NL("first",$J1770,"Description","No.","@@"&amp;$K1770),"")</t>
  </si>
  <si>
    <t>=D1770</t>
  </si>
  <si>
    <t>="""NAV Direct"",""CRONUS JetCorp USA"",""32"",""1"",""167135"""</t>
  </si>
  <si>
    <t>=IF($J1771="Customer",NL("first",$J1771,"Name","No.","@@"&amp;$K1771),"")</t>
  </si>
  <si>
    <t>=IF(J1771="vendor",NL("first",J1771,"Name","No.","@@"&amp;K1771),"")</t>
  </si>
  <si>
    <t>=IF($J1771="Item",NL("first",$J1771,"Description","No.","@@"&amp;$K1771),"")</t>
  </si>
  <si>
    <t>=D1771</t>
  </si>
  <si>
    <t>="""NAV Direct"",""CRONUS JetCorp USA"",""32"",""1"",""167148"""</t>
  </si>
  <si>
    <t>=IF($J1772="Customer",NL("first",$J1772,"Name","No.","@@"&amp;$K1772),"")</t>
  </si>
  <si>
    <t>=IF(J1772="vendor",NL("first",J1772,"Name","No.","@@"&amp;K1772),"")</t>
  </si>
  <si>
    <t>=IF($J1772="Item",NL("first",$J1772,"Description","No.","@@"&amp;$K1772),"")</t>
  </si>
  <si>
    <t>=D1772</t>
  </si>
  <si>
    <t>="""NAV Direct"",""CRONUS JetCorp USA"",""32"",""1"",""167159"""</t>
  </si>
  <si>
    <t>=IF($J1773="Customer",NL("first",$J1773,"Name","No.","@@"&amp;$K1773),"")</t>
  </si>
  <si>
    <t>=IF(J1773="vendor",NL("first",J1773,"Name","No.","@@"&amp;K1773),"")</t>
  </si>
  <si>
    <t>=IF($J1773="Item",NL("first",$J1773,"Description","No.","@@"&amp;$K1773),"")</t>
  </si>
  <si>
    <t>=D1773</t>
  </si>
  <si>
    <t>="""NAV Direct"",""CRONUS JetCorp USA"",""32"",""1"",""34320"""</t>
  </si>
  <si>
    <t>=IF($J1774="Customer",NL("first",$J1774,"Name","No.","@@"&amp;$K1774),"")</t>
  </si>
  <si>
    <t>=IF(J1774="vendor",NL("first",J1774,"Name","No.","@@"&amp;K1774),"")</t>
  </si>
  <si>
    <t>=IF($J1774="Item",NL("first",$J1774,"Description","No.","@@"&amp;$K1774),"")</t>
  </si>
  <si>
    <t>=D1774</t>
  </si>
  <si>
    <t>="""NAV Direct"",""CRONUS JetCorp USA"",""32"",""1"",""132515"""</t>
  </si>
  <si>
    <t>=IF($J1775="Customer",NL("first",$J1775,"Name","No.","@@"&amp;$K1775),"")</t>
  </si>
  <si>
    <t>=IF(J1775="vendor",NL("first",J1775,"Name","No.","@@"&amp;K1775),"")</t>
  </si>
  <si>
    <t>=IF($J1775="Item",NL("first",$J1775,"Description","No.","@@"&amp;$K1775),"")</t>
  </si>
  <si>
    <t>=D1775</t>
  </si>
  <si>
    <t>="""NAV Direct"",""CRONUS JetCorp USA"",""32"",""1"",""25236"""</t>
  </si>
  <si>
    <t>=IF($J1776="Customer",NL("first",$J1776,"Name","No.","@@"&amp;$K1776),"")</t>
  </si>
  <si>
    <t>=IF(J1776="vendor",NL("first",J1776,"Name","No.","@@"&amp;K1776),"")</t>
  </si>
  <si>
    <t>=IF($J1776="Item",NL("first",$J1776,"Description","No.","@@"&amp;$K1776),"")</t>
  </si>
  <si>
    <t>=D1776</t>
  </si>
  <si>
    <t>="""NAV Direct"",""CRONUS JetCorp USA"",""32"",""1"",""20333"""</t>
  </si>
  <si>
    <t>=IF($J1777="Customer",NL("first",$J1777,"Name","No.","@@"&amp;$K1777),"")</t>
  </si>
  <si>
    <t>=IF(J1777="vendor",NL("first",J1777,"Name","No.","@@"&amp;K1777),"")</t>
  </si>
  <si>
    <t>=IF($J1777="Item",NL("first",$J1777,"Description","No.","@@"&amp;$K1777),"")</t>
  </si>
  <si>
    <t>=D1777</t>
  </si>
  <si>
    <t>="""NAV Direct"",""CRONUS JetCorp USA"",""32"",""1"",""25253"""</t>
  </si>
  <si>
    <t>=IF($J1778="Customer",NL("first",$J1778,"Name","No.","@@"&amp;$K1778),"")</t>
  </si>
  <si>
    <t>=IF(J1778="vendor",NL("first",J1778,"Name","No.","@@"&amp;K1778),"")</t>
  </si>
  <si>
    <t>=IF($J1778="Item",NL("first",$J1778,"Description","No.","@@"&amp;$K1778),"")</t>
  </si>
  <si>
    <t>=D1778</t>
  </si>
  <si>
    <t>="""NAV Direct"",""CRONUS JetCorp USA"",""32"",""1"",""124540"""</t>
  </si>
  <si>
    <t>=IF($J1779="Customer",NL("first",$J1779,"Name","No.","@@"&amp;$K1779),"")</t>
  </si>
  <si>
    <t>=IF(J1779="vendor",NL("first",J1779,"Name","No.","@@"&amp;K1779),"")</t>
  </si>
  <si>
    <t>=IF($J1779="Item",NL("first",$J1779,"Description","No.","@@"&amp;$K1779),"")</t>
  </si>
  <si>
    <t>=D1779</t>
  </si>
  <si>
    <t>="""NAV Direct"",""CRONUS JetCorp USA"",""32"",""1"",""20350"""</t>
  </si>
  <si>
    <t>=IF($J1780="Customer",NL("first",$J1780,"Name","No.","@@"&amp;$K1780),"")</t>
  </si>
  <si>
    <t>=IF(J1780="vendor",NL("first",J1780,"Name","No.","@@"&amp;K1780),"")</t>
  </si>
  <si>
    <t>=IF($J1780="Item",NL("first",$J1780,"Description","No.","@@"&amp;$K1780),"")</t>
  </si>
  <si>
    <t>=D1780</t>
  </si>
  <si>
    <t>="""NAV Direct"",""CRONUS JetCorp USA"",""32"",""1"",""30118"""</t>
  </si>
  <si>
    <t>=IF($J1781="Customer",NL("first",$J1781,"Name","No.","@@"&amp;$K1781),"")</t>
  </si>
  <si>
    <t>=IF(J1781="vendor",NL("first",J1781,"Name","No.","@@"&amp;K1781),"")</t>
  </si>
  <si>
    <t>=IF($J1781="Item",NL("first",$J1781,"Description","No.","@@"&amp;$K1781),"")</t>
  </si>
  <si>
    <t>=D1781</t>
  </si>
  <si>
    <t>="""NAV Direct"",""CRONUS JetCorp USA"",""32"",""1"",""34330"""</t>
  </si>
  <si>
    <t>=IF($J1782="Customer",NL("first",$J1782,"Name","No.","@@"&amp;$K1782),"")</t>
  </si>
  <si>
    <t>=IF(J1782="vendor",NL("first",J1782,"Name","No.","@@"&amp;K1782),"")</t>
  </si>
  <si>
    <t>=IF($J1782="Item",NL("first",$J1782,"Description","No.","@@"&amp;$K1782),"")</t>
  </si>
  <si>
    <t>=D1782</t>
  </si>
  <si>
    <t>="""NAV Direct"",""CRONUS JetCorp USA"",""32"",""1"",""36478"""</t>
  </si>
  <si>
    <t>=IF($J1783="Customer",NL("first",$J1783,"Name","No.","@@"&amp;$K1783),"")</t>
  </si>
  <si>
    <t>=IF(J1783="vendor",NL("first",J1783,"Name","No.","@@"&amp;K1783),"")</t>
  </si>
  <si>
    <t>=IF($J1783="Item",NL("first",$J1783,"Description","No.","@@"&amp;$K1783),"")</t>
  </si>
  <si>
    <t>=D1783</t>
  </si>
  <si>
    <t>="""NAV Direct"",""CRONUS JetCorp USA"",""32"",""1"",""20399"""</t>
  </si>
  <si>
    <t>=IF($J1784="Customer",NL("first",$J1784,"Name","No.","@@"&amp;$K1784),"")</t>
  </si>
  <si>
    <t>=IF(J1784="vendor",NL("first",J1784,"Name","No.","@@"&amp;K1784),"")</t>
  </si>
  <si>
    <t>=IF($J1784="Item",NL("first",$J1784,"Description","No.","@@"&amp;$K1784),"")</t>
  </si>
  <si>
    <t>=D1784</t>
  </si>
  <si>
    <t>="""NAV Direct"",""CRONUS JetCorp USA"",""32"",""1"",""25283"""</t>
  </si>
  <si>
    <t>=IF($J1785="Customer",NL("first",$J1785,"Name","No.","@@"&amp;$K1785),"")</t>
  </si>
  <si>
    <t>=IF(J1785="vendor",NL("first",J1785,"Name","No.","@@"&amp;K1785),"")</t>
  </si>
  <si>
    <t>=IF($J1785="Item",NL("first",$J1785,"Description","No.","@@"&amp;$K1785),"")</t>
  </si>
  <si>
    <t>=E1788</t>
  </si>
  <si>
    <t>=NL("First","Item","Description","No.",$E1788)</t>
  </si>
  <si>
    <t>=NL("First","Item","Base Unit of Measure","No.",$E1788)</t>
  </si>
  <si>
    <t>=(SUBTOTAL(9,O1789:O1814))</t>
  </si>
  <si>
    <t>=(SUBTOTAL(9,P1789:P1814))</t>
  </si>
  <si>
    <t>=(SUBTOTAL(9,Q1789:Q1814))</t>
  </si>
  <si>
    <t>=(SUBTOTAL(9,R1789:R1814))</t>
  </si>
  <si>
    <t>=(SUBTOTAL(9,S1789:S1814))</t>
  </si>
  <si>
    <t>=(SUBTOTAL(9,T1789:T1814))</t>
  </si>
  <si>
    <t>=SUBTOTAL(9,O1789:T1814)</t>
  </si>
  <si>
    <t>=D1788</t>
  </si>
  <si>
    <t>=NL("Rows","Item Ledger Entry",,"+Posting Date",$L$5,"Item No.","@@"&amp;$D1789,"Location Code",$L$7)</t>
  </si>
  <si>
    <t>=IF($J1789="Customer",NL("first",$J1789,"Name","No.","@@"&amp;$K1789),"")</t>
  </si>
  <si>
    <t>=IF(J1789="vendor",NL("first",J1789,"Name","No.","@@"&amp;K1789),"")</t>
  </si>
  <si>
    <t>=IF($J1789="Item",NL("first",$J1789,"Description","No.","@@"&amp;$K1789),"")</t>
  </si>
  <si>
    <t>=D1789</t>
  </si>
  <si>
    <t>="""NAV Direct"",""CRONUS JetCorp USA"",""32"",""1"",""167095"""</t>
  </si>
  <si>
    <t>=IF($J1790="Customer",NL("first",$J1790,"Name","No.","@@"&amp;$K1790),"")</t>
  </si>
  <si>
    <t>=IF(J1790="vendor",NL("first",J1790,"Name","No.","@@"&amp;K1790),"")</t>
  </si>
  <si>
    <t>=IF($J1790="Item",NL("first",$J1790,"Description","No.","@@"&amp;$K1790),"")</t>
  </si>
  <si>
    <t>=D1790</t>
  </si>
  <si>
    <t>="""NAV Direct"",""CRONUS JetCorp USA"",""32"",""1"",""167107"""</t>
  </si>
  <si>
    <t>=IF($J1791="Customer",NL("first",$J1791,"Name","No.","@@"&amp;$K1791),"")</t>
  </si>
  <si>
    <t>=IF(J1791="vendor",NL("first",J1791,"Name","No.","@@"&amp;K1791),"")</t>
  </si>
  <si>
    <t>=IF($J1791="Item",NL("first",$J1791,"Description","No.","@@"&amp;$K1791),"")</t>
  </si>
  <si>
    <t>=D1791</t>
  </si>
  <si>
    <t>="""NAV Direct"",""CRONUS JetCorp USA"",""32"",""1"",""167116"""</t>
  </si>
  <si>
    <t>=IF($J1792="Customer",NL("first",$J1792,"Name","No.","@@"&amp;$K1792),"")</t>
  </si>
  <si>
    <t>=IF(J1792="vendor",NL("first",J1792,"Name","No.","@@"&amp;K1792),"")</t>
  </si>
  <si>
    <t>=IF($J1792="Item",NL("first",$J1792,"Description","No.","@@"&amp;$K1792),"")</t>
  </si>
  <si>
    <t>=D1792</t>
  </si>
  <si>
    <t>="""NAV Direct"",""CRONUS JetCorp USA"",""32"",""1"",""167134"""</t>
  </si>
  <si>
    <t>=IF($J1793="Customer",NL("first",$J1793,"Name","No.","@@"&amp;$K1793),"")</t>
  </si>
  <si>
    <t>=IF(J1793="vendor",NL("first",J1793,"Name","No.","@@"&amp;K1793),"")</t>
  </si>
  <si>
    <t>=IF($J1793="Item",NL("first",$J1793,"Description","No.","@@"&amp;$K1793),"")</t>
  </si>
  <si>
    <t>=D1793</t>
  </si>
  <si>
    <t>="""NAV Direct"",""CRONUS JetCorp USA"",""32"",""1"",""167158"""</t>
  </si>
  <si>
    <t>=IF($J1794="Customer",NL("first",$J1794,"Name","No.","@@"&amp;$K1794),"")</t>
  </si>
  <si>
    <t>=IF(J1794="vendor",NL("first",J1794,"Name","No.","@@"&amp;K1794),"")</t>
  </si>
  <si>
    <t>=IF($J1794="Item",NL("first",$J1794,"Description","No.","@@"&amp;$K1794),"")</t>
  </si>
  <si>
    <t>=D1794</t>
  </si>
  <si>
    <t>="""NAV Direct"",""CRONUS JetCorp USA"",""32"",""1"",""167169"""</t>
  </si>
  <si>
    <t>=IF($J1795="Customer",NL("first",$J1795,"Name","No.","@@"&amp;$K1795),"")</t>
  </si>
  <si>
    <t>=IF(J1795="vendor",NL("first",J1795,"Name","No.","@@"&amp;K1795),"")</t>
  </si>
  <si>
    <t>=IF($J1795="Item",NL("first",$J1795,"Description","No.","@@"&amp;$K1795),"")</t>
  </si>
  <si>
    <t>=D1795</t>
  </si>
  <si>
    <t>="""NAV Direct"",""CRONUS JetCorp USA"",""32"",""1"",""20376"""</t>
  </si>
  <si>
    <t>=IF($J1796="Customer",NL("first",$J1796,"Name","No.","@@"&amp;$K1796),"")</t>
  </si>
  <si>
    <t>=IF(J1796="vendor",NL("first",J1796,"Name","No.","@@"&amp;K1796),"")</t>
  </si>
  <si>
    <t>=IF($J1796="Item",NL("first",$J1796,"Description","No.","@@"&amp;$K1796),"")</t>
  </si>
  <si>
    <t>=D1796</t>
  </si>
  <si>
    <t>="""NAV Direct"",""CRONUS JetCorp USA"",""32"",""1"",""25247"""</t>
  </si>
  <si>
    <t>=IF($J1797="Customer",NL("first",$J1797,"Name","No.","@@"&amp;$K1797),"")</t>
  </si>
  <si>
    <t>=IF(J1797="vendor",NL("first",J1797,"Name","No.","@@"&amp;K1797),"")</t>
  </si>
  <si>
    <t>=IF($J1797="Item",NL("first",$J1797,"Description","No.","@@"&amp;$K1797),"")</t>
  </si>
  <si>
    <t>=D1797</t>
  </si>
  <si>
    <t>="""NAV Direct"",""CRONUS JetCorp USA"",""32"",""1"",""72525"""</t>
  </si>
  <si>
    <t>=IF($J1798="Customer",NL("first",$J1798,"Name","No.","@@"&amp;$K1798),"")</t>
  </si>
  <si>
    <t>=IF(J1798="vendor",NL("first",J1798,"Name","No.","@@"&amp;K1798),"")</t>
  </si>
  <si>
    <t>=IF($J1798="Item",NL("first",$J1798,"Description","No.","@@"&amp;$K1798),"")</t>
  </si>
  <si>
    <t>=D1798</t>
  </si>
  <si>
    <t>="""NAV Direct"",""CRONUS JetCorp USA"",""32"",""1"",""25259"""</t>
  </si>
  <si>
    <t>=IF($J1799="Customer",NL("first",$J1799,"Name","No.","@@"&amp;$K1799),"")</t>
  </si>
  <si>
    <t>=IF(J1799="vendor",NL("first",J1799,"Name","No.","@@"&amp;K1799),"")</t>
  </si>
  <si>
    <t>=IF($J1799="Item",NL("first",$J1799,"Description","No.","@@"&amp;$K1799),"")</t>
  </si>
  <si>
    <t>=D1799</t>
  </si>
  <si>
    <t>="""NAV Direct"",""CRONUS JetCorp USA"",""32"",""1"",""44477"""</t>
  </si>
  <si>
    <t>=IF($J1800="Customer",NL("first",$J1800,"Name","No.","@@"&amp;$K1800),"")</t>
  </si>
  <si>
    <t>=IF(J1800="vendor",NL("first",J1800,"Name","No.","@@"&amp;K1800),"")</t>
  </si>
  <si>
    <t>=IF($J1800="Item",NL("first",$J1800,"Description","No.","@@"&amp;$K1800),"")</t>
  </si>
  <si>
    <t>=D1800</t>
  </si>
  <si>
    <t>="""NAV Direct"",""CRONUS JetCorp USA"",""32"",""1"",""54735"""</t>
  </si>
  <si>
    <t>=IF($J1801="Customer",NL("first",$J1801,"Name","No.","@@"&amp;$K1801),"")</t>
  </si>
  <si>
    <t>=IF(J1801="vendor",NL("first",J1801,"Name","No.","@@"&amp;K1801),"")</t>
  </si>
  <si>
    <t>=IF($J1801="Item",NL("first",$J1801,"Description","No.","@@"&amp;$K1801),"")</t>
  </si>
  <si>
    <t>=D1801</t>
  </si>
  <si>
    <t>="""NAV Direct"",""CRONUS JetCorp USA"",""32"",""1"",""64601"""</t>
  </si>
  <si>
    <t>=IF($J1802="Customer",NL("first",$J1802,"Name","No.","@@"&amp;$K1802),"")</t>
  </si>
  <si>
    <t>=IF(J1802="vendor",NL("first",J1802,"Name","No.","@@"&amp;K1802),"")</t>
  </si>
  <si>
    <t>=IF($J1802="Item",NL("first",$J1802,"Description","No.","@@"&amp;$K1802),"")</t>
  </si>
  <si>
    <t>=D1802</t>
  </si>
  <si>
    <t>="""NAV Direct"",""CRONUS JetCorp USA"",""32"",""1"",""20394"""</t>
  </si>
  <si>
    <t>=IF($J1803="Customer",NL("first",$J1803,"Name","No.","@@"&amp;$K1803),"")</t>
  </si>
  <si>
    <t>=IF(J1803="vendor",NL("first",J1803,"Name","No.","@@"&amp;K1803),"")</t>
  </si>
  <si>
    <t>=IF($J1803="Item",NL("first",$J1803,"Description","No.","@@"&amp;$K1803),"")</t>
  </si>
  <si>
    <t>=D1803</t>
  </si>
  <si>
    <t>="""NAV Direct"",""CRONUS JetCorp USA"",""32"",""1"",""34314"""</t>
  </si>
  <si>
    <t>=IF($J1804="Customer",NL("first",$J1804,"Name","No.","@@"&amp;$K1804),"")</t>
  </si>
  <si>
    <t>=IF(J1804="vendor",NL("first",J1804,"Name","No.","@@"&amp;K1804),"")</t>
  </si>
  <si>
    <t>=IF($J1804="Item",NL("first",$J1804,"Description","No.","@@"&amp;$K1804),"")</t>
  </si>
  <si>
    <t>=D1804</t>
  </si>
  <si>
    <t>="""NAV Direct"",""CRONUS JetCorp USA"",""32"",""1"",""44529"""</t>
  </si>
  <si>
    <t>=IF($J1805="Customer",NL("first",$J1805,"Name","No.","@@"&amp;$K1805),"")</t>
  </si>
  <si>
    <t>=IF(J1805="vendor",NL("first",J1805,"Name","No.","@@"&amp;K1805),"")</t>
  </si>
  <si>
    <t>=IF($J1805="Item",NL("first",$J1805,"Description","No.","@@"&amp;$K1805),"")</t>
  </si>
  <si>
    <t>=D1805</t>
  </si>
  <si>
    <t>="""NAV Direct"",""CRONUS JetCorp USA"",""32"",""1"",""124557"""</t>
  </si>
  <si>
    <t>=IF($J1806="Customer",NL("first",$J1806,"Name","No.","@@"&amp;$K1806),"")</t>
  </si>
  <si>
    <t>=IF(J1806="vendor",NL("first",J1806,"Name","No.","@@"&amp;K1806),"")</t>
  </si>
  <si>
    <t>=IF($J1806="Item",NL("first",$J1806,"Description","No.","@@"&amp;$K1806),"")</t>
  </si>
  <si>
    <t>=D1806</t>
  </si>
  <si>
    <t>="""NAV Direct"",""CRONUS JetCorp USA"",""32"",""1"",""30066"""</t>
  </si>
  <si>
    <t>=IF($J1807="Customer",NL("first",$J1807,"Name","No.","@@"&amp;$K1807),"")</t>
  </si>
  <si>
    <t>=IF(J1807="vendor",NL("first",J1807,"Name","No.","@@"&amp;K1807),"")</t>
  </si>
  <si>
    <t>=IF($J1807="Item",NL("first",$J1807,"Description","No.","@@"&amp;$K1807),"")</t>
  </si>
  <si>
    <t>=D1807</t>
  </si>
  <si>
    <t>="""NAV Direct"",""CRONUS JetCorp USA"",""32"",""1"",""20359"""</t>
  </si>
  <si>
    <t>=IF($J1808="Customer",NL("first",$J1808,"Name","No.","@@"&amp;$K1808),"")</t>
  </si>
  <si>
    <t>=IF(J1808="vendor",NL("first",J1808,"Name","No.","@@"&amp;K1808),"")</t>
  </si>
  <si>
    <t>=IF($J1808="Item",NL("first",$J1808,"Description","No.","@@"&amp;$K1808),"")</t>
  </si>
  <si>
    <t>=D1808</t>
  </si>
  <si>
    <t>="""NAV Direct"",""CRONUS JetCorp USA"",""32"",""1"",""36488"""</t>
  </si>
  <si>
    <t>=IF($J1809="Customer",NL("first",$J1809,"Name","No.","@@"&amp;$K1809),"")</t>
  </si>
  <si>
    <t>=IF(J1809="vendor",NL("first",J1809,"Name","No.","@@"&amp;K1809),"")</t>
  </si>
  <si>
    <t>=IF($J1809="Item",NL("first",$J1809,"Description","No.","@@"&amp;$K1809),"")</t>
  </si>
  <si>
    <t>=D1809</t>
  </si>
  <si>
    <t>="""NAV Direct"",""CRONUS JetCorp USA"",""32"",""1"",""124594"""</t>
  </si>
  <si>
    <t>=IF($J1810="Customer",NL("first",$J1810,"Name","No.","@@"&amp;$K1810),"")</t>
  </si>
  <si>
    <t>=IF(J1810="vendor",NL("first",J1810,"Name","No.","@@"&amp;K1810),"")</t>
  </si>
  <si>
    <t>=IF($J1810="Item",NL("first",$J1810,"Description","No.","@@"&amp;$K1810),"")</t>
  </si>
  <si>
    <t>=D1810</t>
  </si>
  <si>
    <t>="""NAV Direct"",""CRONUS JetCorp USA"",""32"",""1"",""25274"""</t>
  </si>
  <si>
    <t>=IF($J1811="Customer",NL("first",$J1811,"Name","No.","@@"&amp;$K1811),"")</t>
  </si>
  <si>
    <t>=IF(J1811="vendor",NL("first",J1811,"Name","No.","@@"&amp;K1811),"")</t>
  </si>
  <si>
    <t>=IF($J1811="Item",NL("first",$J1811,"Description","No.","@@"&amp;$K1811),"")</t>
  </si>
  <si>
    <t>=D1811</t>
  </si>
  <si>
    <t>="""NAV Direct"",""CRONUS JetCorp USA"",""32"",""1"",""20406"""</t>
  </si>
  <si>
    <t>=IF($J1812="Customer",NL("first",$J1812,"Name","No.","@@"&amp;$K1812),"")</t>
  </si>
  <si>
    <t>=IF(J1812="vendor",NL("first",J1812,"Name","No.","@@"&amp;K1812),"")</t>
  </si>
  <si>
    <t>=IF($J1812="Item",NL("first",$J1812,"Description","No.","@@"&amp;$K1812),"")</t>
  </si>
  <si>
    <t>=D1812</t>
  </si>
  <si>
    <t>="""NAV Direct"",""CRONUS JetCorp USA"",""32"",""1"",""38091"""</t>
  </si>
  <si>
    <t>=IF($J1813="Customer",NL("first",$J1813,"Name","No.","@@"&amp;$K1813),"")</t>
  </si>
  <si>
    <t>=IF(J1813="vendor",NL("first",J1813,"Name","No.","@@"&amp;K1813),"")</t>
  </si>
  <si>
    <t>=IF($J1813="Item",NL("first",$J1813,"Description","No.","@@"&amp;$K1813),"")</t>
  </si>
  <si>
    <t>=E1816</t>
  </si>
  <si>
    <t>=NL("First","Item","Description","No.",$E1816)</t>
  </si>
  <si>
    <t>=NL("First","Item","Base Unit of Measure","No.",$E1816)</t>
  </si>
  <si>
    <t>=(SUBTOTAL(9,O1817:O1825))</t>
  </si>
  <si>
    <t>=(SUBTOTAL(9,P1817:P1825))</t>
  </si>
  <si>
    <t>=(SUBTOTAL(9,Q1817:Q1825))</t>
  </si>
  <si>
    <t>=(SUBTOTAL(9,R1817:R1825))</t>
  </si>
  <si>
    <t>=(SUBTOTAL(9,S1817:S1825))</t>
  </si>
  <si>
    <t>=(SUBTOTAL(9,T1817:T1825))</t>
  </si>
  <si>
    <t>=SUBTOTAL(9,O1817:T1825)</t>
  </si>
  <si>
    <t>=D1816</t>
  </si>
  <si>
    <t>=NL("Rows","Item Ledger Entry",,"+Posting Date",$L$5,"Item No.","@@"&amp;$D1817,"Location Code",$L$7)</t>
  </si>
  <si>
    <t>=IF($J1817="Customer",NL("first",$J1817,"Name","No.","@@"&amp;$K1817),"")</t>
  </si>
  <si>
    <t>=IF(J1817="vendor",NL("first",J1817,"Name","No.","@@"&amp;K1817),"")</t>
  </si>
  <si>
    <t>=IF($J1817="Item",NL("first",$J1817,"Description","No.","@@"&amp;$K1817),"")</t>
  </si>
  <si>
    <t>=D1817</t>
  </si>
  <si>
    <t>="""NAV Direct"",""CRONUS JetCorp USA"",""32"",""1"",""167115"""</t>
  </si>
  <si>
    <t>=IF($J1818="Customer",NL("first",$J1818,"Name","No.","@@"&amp;$K1818),"")</t>
  </si>
  <si>
    <t>=IF(J1818="vendor",NL("first",J1818,"Name","No.","@@"&amp;K1818),"")</t>
  </si>
  <si>
    <t>=IF($J1818="Item",NL("first",$J1818,"Description","No.","@@"&amp;$K1818),"")</t>
  </si>
  <si>
    <t>=D1818</t>
  </si>
  <si>
    <t>="""NAV Direct"",""CRONUS JetCorp USA"",""32"",""1"",""167133"""</t>
  </si>
  <si>
    <t>=IF($J1819="Customer",NL("first",$J1819,"Name","No.","@@"&amp;$K1819),"")</t>
  </si>
  <si>
    <t>=IF(J1819="vendor",NL("first",J1819,"Name","No.","@@"&amp;K1819),"")</t>
  </si>
  <si>
    <t>=IF($J1819="Item",NL("first",$J1819,"Description","No.","@@"&amp;$K1819),"")</t>
  </si>
  <si>
    <t>=D1819</t>
  </si>
  <si>
    <t>="""NAV Direct"",""CRONUS JetCorp USA"",""32"",""1"",""167157"""</t>
  </si>
  <si>
    <t>=IF($J1820="Customer",NL("first",$J1820,"Name","No.","@@"&amp;$K1820),"")</t>
  </si>
  <si>
    <t>=IF(J1820="vendor",NL("first",J1820,"Name","No.","@@"&amp;K1820),"")</t>
  </si>
  <si>
    <t>=IF($J1820="Item",NL("first",$J1820,"Description","No.","@@"&amp;$K1820),"")</t>
  </si>
  <si>
    <t>=D1820</t>
  </si>
  <si>
    <t>="""NAV Direct"",""CRONUS JetCorp USA"",""32"",""1"",""124539"""</t>
  </si>
  <si>
    <t>=IF($J1821="Customer",NL("first",$J1821,"Name","No.","@@"&amp;$K1821),"")</t>
  </si>
  <si>
    <t>=IF(J1821="vendor",NL("first",J1821,"Name","No.","@@"&amp;K1821),"")</t>
  </si>
  <si>
    <t>=IF($J1821="Item",NL("first",$J1821,"Description","No.","@@"&amp;$K1821),"")</t>
  </si>
  <si>
    <t>=D1821</t>
  </si>
  <si>
    <t>="""NAV Direct"",""CRONUS JetCorp USA"",""32"",""1"",""30102"""</t>
  </si>
  <si>
    <t>=IF($J1822="Customer",NL("first",$J1822,"Name","No.","@@"&amp;$K1822),"")</t>
  </si>
  <si>
    <t>=IF(J1822="vendor",NL("first",J1822,"Name","No.","@@"&amp;K1822),"")</t>
  </si>
  <si>
    <t>=IF($J1822="Item",NL("first",$J1822,"Description","No.","@@"&amp;$K1822),"")</t>
  </si>
  <si>
    <t>=D1822</t>
  </si>
  <si>
    <t>="""NAV Direct"",""CRONUS JetCorp USA"",""32"",""1"",""34329"""</t>
  </si>
  <si>
    <t>=IF($J1823="Customer",NL("first",$J1823,"Name","No.","@@"&amp;$K1823),"")</t>
  </si>
  <si>
    <t>=IF(J1823="vendor",NL("first",J1823,"Name","No.","@@"&amp;K1823),"")</t>
  </si>
  <si>
    <t>=IF($J1823="Item",NL("first",$J1823,"Description","No.","@@"&amp;$K1823),"")</t>
  </si>
  <si>
    <t>=D1823</t>
  </si>
  <si>
    <t>="""NAV Direct"",""CRONUS JetCorp USA"",""32"",""1"",""25282"""</t>
  </si>
  <si>
    <t>=IF($J1824="Customer",NL("first",$J1824,"Name","No.","@@"&amp;$K1824),"")</t>
  </si>
  <si>
    <t>=IF(J1824="vendor",NL("first",J1824,"Name","No.","@@"&amp;K1824),"")</t>
  </si>
  <si>
    <t>=IF($J1824="Item",NL("first",$J1824,"Description","No.","@@"&amp;$K1824),"")</t>
  </si>
  <si>
    <t>=E1827</t>
  </si>
  <si>
    <t>=NL("First","Item","Description","No.",$E1827)</t>
  </si>
  <si>
    <t>=NL("First","Item","Base Unit of Measure","No.",$E1827)</t>
  </si>
  <si>
    <t>=(SUBTOTAL(9,O1828:O1839))</t>
  </si>
  <si>
    <t>=(SUBTOTAL(9,P1828:P1839))</t>
  </si>
  <si>
    <t>=(SUBTOTAL(9,Q1828:Q1839))</t>
  </si>
  <si>
    <t>=(SUBTOTAL(9,R1828:R1839))</t>
  </si>
  <si>
    <t>=(SUBTOTAL(9,S1828:S1839))</t>
  </si>
  <si>
    <t>=(SUBTOTAL(9,T1828:T1839))</t>
  </si>
  <si>
    <t>=SUBTOTAL(9,O1828:T1839)</t>
  </si>
  <si>
    <t>=D1827</t>
  </si>
  <si>
    <t>=NL("Rows","Item Ledger Entry",,"+Posting Date",$L$5,"Item No.","@@"&amp;$D1828,"Location Code",$L$7)</t>
  </si>
  <si>
    <t>=IF($J1828="Customer",NL("first",$J1828,"Name","No.","@@"&amp;$K1828),"")</t>
  </si>
  <si>
    <t>=IF(J1828="vendor",NL("first",J1828,"Name","No.","@@"&amp;K1828),"")</t>
  </si>
  <si>
    <t>=IF($J1828="Item",NL("first",$J1828,"Description","No.","@@"&amp;$K1828),"")</t>
  </si>
  <si>
    <t>=D1828</t>
  </si>
  <si>
    <t>="""NAV Direct"",""CRONUS JetCorp USA"",""32"",""1"",""167093"""</t>
  </si>
  <si>
    <t>=IF($J1829="Customer",NL("first",$J1829,"Name","No.","@@"&amp;$K1829),"")</t>
  </si>
  <si>
    <t>=IF(J1829="vendor",NL("first",J1829,"Name","No.","@@"&amp;K1829),"")</t>
  </si>
  <si>
    <t>=IF($J1829="Item",NL("first",$J1829,"Description","No.","@@"&amp;$K1829),"")</t>
  </si>
  <si>
    <t>=D1829</t>
  </si>
  <si>
    <t>="""NAV Direct"",""CRONUS JetCorp USA"",""32"",""1"",""167114"""</t>
  </si>
  <si>
    <t>=IF($J1830="Customer",NL("first",$J1830,"Name","No.","@@"&amp;$K1830),"")</t>
  </si>
  <si>
    <t>=IF(J1830="vendor",NL("first",J1830,"Name","No.","@@"&amp;K1830),"")</t>
  </si>
  <si>
    <t>=IF($J1830="Item",NL("first",$J1830,"Description","No.","@@"&amp;$K1830),"")</t>
  </si>
  <si>
    <t>=D1830</t>
  </si>
  <si>
    <t>="""NAV Direct"",""CRONUS JetCorp USA"",""32"",""1"",""167132"""</t>
  </si>
  <si>
    <t>=IF($J1831="Customer",NL("first",$J1831,"Name","No.","@@"&amp;$K1831),"")</t>
  </si>
  <si>
    <t>=IF(J1831="vendor",NL("first",J1831,"Name","No.","@@"&amp;K1831),"")</t>
  </si>
  <si>
    <t>=IF($J1831="Item",NL("first",$J1831,"Description","No.","@@"&amp;$K1831),"")</t>
  </si>
  <si>
    <t>=D1831</t>
  </si>
  <si>
    <t>="""NAV Direct"",""CRONUS JetCorp USA"",""32"",""1"",""167147"""</t>
  </si>
  <si>
    <t>=IF($J1832="Customer",NL("first",$J1832,"Name","No.","@@"&amp;$K1832),"")</t>
  </si>
  <si>
    <t>=IF(J1832="vendor",NL("first",J1832,"Name","No.","@@"&amp;K1832),"")</t>
  </si>
  <si>
    <t>=IF($J1832="Item",NL("first",$J1832,"Description","No.","@@"&amp;$K1832),"")</t>
  </si>
  <si>
    <t>=D1832</t>
  </si>
  <si>
    <t>="""NAV Direct"",""CRONUS JetCorp USA"",""32"",""1"",""38077"""</t>
  </si>
  <si>
    <t>=IF($J1833="Customer",NL("first",$J1833,"Name","No.","@@"&amp;$K1833),"")</t>
  </si>
  <si>
    <t>=IF(J1833="vendor",NL("first",J1833,"Name","No.","@@"&amp;K1833),"")</t>
  </si>
  <si>
    <t>=IF($J1833="Item",NL("first",$J1833,"Description","No.","@@"&amp;$K1833),"")</t>
  </si>
  <si>
    <t>=D1833</t>
  </si>
  <si>
    <t>="""NAV Direct"",""CRONUS JetCorp USA"",""32"",""1"",""20343"""</t>
  </si>
  <si>
    <t>=IF($J1834="Customer",NL("first",$J1834,"Name","No.","@@"&amp;$K1834),"")</t>
  </si>
  <si>
    <t>=IF(J1834="vendor",NL("first",J1834,"Name","No.","@@"&amp;K1834),"")</t>
  </si>
  <si>
    <t>=IF($J1834="Item",NL("first",$J1834,"Description","No.","@@"&amp;$K1834),"")</t>
  </si>
  <si>
    <t>=D1834</t>
  </si>
  <si>
    <t>="""NAV Direct"",""CRONUS JetCorp USA"",""32"",""1"",""124537"""</t>
  </si>
  <si>
    <t>=IF($J1835="Customer",NL("first",$J1835,"Name","No.","@@"&amp;$K1835),"")</t>
  </si>
  <si>
    <t>=IF(J1835="vendor",NL("first",J1835,"Name","No.","@@"&amp;K1835),"")</t>
  </si>
  <si>
    <t>=IF($J1835="Item",NL("first",$J1835,"Description","No.","@@"&amp;$K1835),"")</t>
  </si>
  <si>
    <t>=D1835</t>
  </si>
  <si>
    <t>="""NAV Direct"",""CRONUS JetCorp USA"",""32"",""1"",""30054"""</t>
  </si>
  <si>
    <t>=IF($J1836="Customer",NL("first",$J1836,"Name","No.","@@"&amp;$K1836),"")</t>
  </si>
  <si>
    <t>=IF(J1836="vendor",NL("first",J1836,"Name","No.","@@"&amp;K1836),"")</t>
  </si>
  <si>
    <t>=IF($J1836="Item",NL("first",$J1836,"Description","No.","@@"&amp;$K1836),"")</t>
  </si>
  <si>
    <t>=D1836</t>
  </si>
  <si>
    <t>="""NAV Direct"",""CRONUS JetCorp USA"",""32"",""1"",""34333"""</t>
  </si>
  <si>
    <t>=IF($J1837="Customer",NL("first",$J1837,"Name","No.","@@"&amp;$K1837),"")</t>
  </si>
  <si>
    <t>=IF(J1837="vendor",NL("first",J1837,"Name","No.","@@"&amp;K1837),"")</t>
  </si>
  <si>
    <t>=IF($J1837="Item",NL("first",$J1837,"Description","No.","@@"&amp;$K1837),"")</t>
  </si>
  <si>
    <t>=D1837</t>
  </si>
  <si>
    <t>="""NAV Direct"",""CRONUS JetCorp USA"",""32"",""1"",""132520"""</t>
  </si>
  <si>
    <t>=IF($J1838="Customer",NL("first",$J1838,"Name","No.","@@"&amp;$K1838),"")</t>
  </si>
  <si>
    <t>=IF(J1838="vendor",NL("first",J1838,"Name","No.","@@"&amp;K1838),"")</t>
  </si>
  <si>
    <t>=IF($J1838="Item",NL("first",$J1838,"Description","No.","@@"&amp;$K1838),"")</t>
  </si>
  <si>
    <t>=E1841</t>
  </si>
  <si>
    <t>=NL("First","Item","Description","No.",$E1841)</t>
  </si>
  <si>
    <t>=NL("First","Item","Base Unit of Measure","No.",$E1841)</t>
  </si>
  <si>
    <t>=(SUBTOTAL(9,O1842:O1854))</t>
  </si>
  <si>
    <t>=(SUBTOTAL(9,P1842:P1854))</t>
  </si>
  <si>
    <t>=(SUBTOTAL(9,Q1842:Q1854))</t>
  </si>
  <si>
    <t>=(SUBTOTAL(9,R1842:R1854))</t>
  </si>
  <si>
    <t>=(SUBTOTAL(9,S1842:S1854))</t>
  </si>
  <si>
    <t>=(SUBTOTAL(9,T1842:T1854))</t>
  </si>
  <si>
    <t>=SUBTOTAL(9,O1842:T1854)</t>
  </si>
  <si>
    <t>=D1841</t>
  </si>
  <si>
    <t>=NL("Rows","Item Ledger Entry",,"+Posting Date",$L$5,"Item No.","@@"&amp;$D1842,"Location Code",$L$7)</t>
  </si>
  <si>
    <t>=IF($J1842="Customer",NL("first",$J1842,"Name","No.","@@"&amp;$K1842),"")</t>
  </si>
  <si>
    <t>=IF(J1842="vendor",NL("first",J1842,"Name","No.","@@"&amp;K1842),"")</t>
  </si>
  <si>
    <t>=IF($J1842="Item",NL("first",$J1842,"Description","No.","@@"&amp;$K1842),"")</t>
  </si>
  <si>
    <t>=D1842</t>
  </si>
  <si>
    <t>="""NAV Direct"",""CRONUS JetCorp USA"",""32"",""1"",""167113"""</t>
  </si>
  <si>
    <t>=IF($J1843="Customer",NL("first",$J1843,"Name","No.","@@"&amp;$K1843),"")</t>
  </si>
  <si>
    <t>=IF(J1843="vendor",NL("first",J1843,"Name","No.","@@"&amp;K1843),"")</t>
  </si>
  <si>
    <t>=IF($J1843="Item",NL("first",$J1843,"Description","No.","@@"&amp;$K1843),"")</t>
  </si>
  <si>
    <t>=D1843</t>
  </si>
  <si>
    <t>="""NAV Direct"",""CRONUS JetCorp USA"",""32"",""1"",""167131"""</t>
  </si>
  <si>
    <t>=IF($J1844="Customer",NL("first",$J1844,"Name","No.","@@"&amp;$K1844),"")</t>
  </si>
  <si>
    <t>=IF(J1844="vendor",NL("first",J1844,"Name","No.","@@"&amp;K1844),"")</t>
  </si>
  <si>
    <t>=IF($J1844="Item",NL("first",$J1844,"Description","No.","@@"&amp;$K1844),"")</t>
  </si>
  <si>
    <t>=D1844</t>
  </si>
  <si>
    <t>="""NAV Direct"",""CRONUS JetCorp USA"",""32"",""1"",""20367"""</t>
  </si>
  <si>
    <t>=IF($J1845="Customer",NL("first",$J1845,"Name","No.","@@"&amp;$K1845),"")</t>
  </si>
  <si>
    <t>=IF(J1845="vendor",NL("first",J1845,"Name","No.","@@"&amp;K1845),"")</t>
  </si>
  <si>
    <t>=IF($J1845="Item",NL("first",$J1845,"Description","No.","@@"&amp;$K1845),"")</t>
  </si>
  <si>
    <t>=D1845</t>
  </si>
  <si>
    <t>="""NAV Direct"",""CRONUS JetCorp USA"",""32"",""1"",""128878"""</t>
  </si>
  <si>
    <t>=IF($J1846="Customer",NL("first",$J1846,"Name","No.","@@"&amp;$K1846),"")</t>
  </si>
  <si>
    <t>=IF(J1846="vendor",NL("first",J1846,"Name","No.","@@"&amp;K1846),"")</t>
  </si>
  <si>
    <t>=IF($J1846="Item",NL("first",$J1846,"Description","No.","@@"&amp;$K1846),"")</t>
  </si>
  <si>
    <t>=D1846</t>
  </si>
  <si>
    <t>="""NAV Direct"",""CRONUS JetCorp USA"",""32"",""1"",""124553"""</t>
  </si>
  <si>
    <t>=IF($J1847="Customer",NL("first",$J1847,"Name","No.","@@"&amp;$K1847),"")</t>
  </si>
  <si>
    <t>=IF(J1847="vendor",NL("first",J1847,"Name","No.","@@"&amp;K1847),"")</t>
  </si>
  <si>
    <t>=IF($J1847="Item",NL("first",$J1847,"Description","No.","@@"&amp;$K1847),"")</t>
  </si>
  <si>
    <t>=D1847</t>
  </si>
  <si>
    <t>="""NAV Direct"",""CRONUS JetCorp USA"",""32"",""1"",""30058"""</t>
  </si>
  <si>
    <t>=IF($J1848="Customer",NL("first",$J1848,"Name","No.","@@"&amp;$K1848),"")</t>
  </si>
  <si>
    <t>=IF(J1848="vendor",NL("first",J1848,"Name","No.","@@"&amp;K1848),"")</t>
  </si>
  <si>
    <t>=IF($J1848="Item",NL("first",$J1848,"Description","No.","@@"&amp;$K1848),"")</t>
  </si>
  <si>
    <t>=D1848</t>
  </si>
  <si>
    <t>="""NAV Direct"",""CRONUS JetCorp USA"",""32"",""1"",""36492"""</t>
  </si>
  <si>
    <t>=IF($J1849="Customer",NL("first",$J1849,"Name","No.","@@"&amp;$K1849),"")</t>
  </si>
  <si>
    <t>=IF(J1849="vendor",NL("first",J1849,"Name","No.","@@"&amp;K1849),"")</t>
  </si>
  <si>
    <t>=IF($J1849="Item",NL("first",$J1849,"Description","No.","@@"&amp;$K1849),"")</t>
  </si>
  <si>
    <t>=D1849</t>
  </si>
  <si>
    <t>="""NAV Direct"",""CRONUS JetCorp USA"",""32"",""1"",""20351"""</t>
  </si>
  <si>
    <t>=IF($J1850="Customer",NL("first",$J1850,"Name","No.","@@"&amp;$K1850),"")</t>
  </si>
  <si>
    <t>=IF(J1850="vendor",NL("first",J1850,"Name","No.","@@"&amp;K1850),"")</t>
  </si>
  <si>
    <t>=IF($J1850="Item",NL("first",$J1850,"Description","No.","@@"&amp;$K1850),"")</t>
  </si>
  <si>
    <t>=D1850</t>
  </si>
  <si>
    <t>="""NAV Direct"",""CRONUS JetCorp USA"",""32"",""1"",""124586"""</t>
  </si>
  <si>
    <t>=IF($J1851="Customer",NL("first",$J1851,"Name","No.","@@"&amp;$K1851),"")</t>
  </si>
  <si>
    <t>=IF(J1851="vendor",NL("first",J1851,"Name","No.","@@"&amp;K1851),"")</t>
  </si>
  <si>
    <t>=IF($J1851="Item",NL("first",$J1851,"Description","No.","@@"&amp;$K1851),"")</t>
  </si>
  <si>
    <t>=D1851</t>
  </si>
  <si>
    <t>="""NAV Direct"",""CRONUS JetCorp USA"",""32"",""1"",""25276"""</t>
  </si>
  <si>
    <t>=IF($J1852="Customer",NL("first",$J1852,"Name","No.","@@"&amp;$K1852),"")</t>
  </si>
  <si>
    <t>=IF(J1852="vendor",NL("first",J1852,"Name","No.","@@"&amp;K1852),"")</t>
  </si>
  <si>
    <t>=IF($J1852="Item",NL("first",$J1852,"Description","No.","@@"&amp;$K1852),"")</t>
  </si>
  <si>
    <t>=D1852</t>
  </si>
  <si>
    <t>="""NAV Direct"",""CRONUS JetCorp USA"",""32"",""1"",""25284"""</t>
  </si>
  <si>
    <t>=IF($J1853="Customer",NL("first",$J1853,"Name","No.","@@"&amp;$K1853),"")</t>
  </si>
  <si>
    <t>=IF(J1853="vendor",NL("first",J1853,"Name","No.","@@"&amp;K1853),"")</t>
  </si>
  <si>
    <t>=IF($J1853="Item",NL("first",$J1853,"Description","No.","@@"&amp;$K1853),"")</t>
  </si>
  <si>
    <t>=E1856</t>
  </si>
  <si>
    <t>=NL("First","Item","Description","No.",$E1856)</t>
  </si>
  <si>
    <t>=NL("First","Item","Base Unit of Measure","No.",$E1856)</t>
  </si>
  <si>
    <t>=(SUBTOTAL(9,O1857:O1870))</t>
  </si>
  <si>
    <t>=(SUBTOTAL(9,P1857:P1870))</t>
  </si>
  <si>
    <t>=(SUBTOTAL(9,Q1857:Q1870))</t>
  </si>
  <si>
    <t>=(SUBTOTAL(9,R1857:R1870))</t>
  </si>
  <si>
    <t>=(SUBTOTAL(9,S1857:S1870))</t>
  </si>
  <si>
    <t>=(SUBTOTAL(9,T1857:T1870))</t>
  </si>
  <si>
    <t>=SUBTOTAL(9,O1857:T1870)</t>
  </si>
  <si>
    <t>=D1856</t>
  </si>
  <si>
    <t>=NL("Rows","Item Ledger Entry",,"+Posting Date",$L$5,"Item No.","@@"&amp;$D1857,"Location Code",$L$7)</t>
  </si>
  <si>
    <t>=IF($J1857="Customer",NL("first",$J1857,"Name","No.","@@"&amp;$K1857),"")</t>
  </si>
  <si>
    <t>=IF(J1857="vendor",NL("first",J1857,"Name","No.","@@"&amp;K1857),"")</t>
  </si>
  <si>
    <t>=IF($J1857="Item",NL("first",$J1857,"Description","No.","@@"&amp;$K1857),"")</t>
  </si>
  <si>
    <t>=D1857</t>
  </si>
  <si>
    <t>="""NAV Direct"",""CRONUS JetCorp USA"",""32"",""1"",""167092"""</t>
  </si>
  <si>
    <t>=IF($J1858="Customer",NL("first",$J1858,"Name","No.","@@"&amp;$K1858),"")</t>
  </si>
  <si>
    <t>=IF(J1858="vendor",NL("first",J1858,"Name","No.","@@"&amp;K1858),"")</t>
  </si>
  <si>
    <t>=IF($J1858="Item",NL("first",$J1858,"Description","No.","@@"&amp;$K1858),"")</t>
  </si>
  <si>
    <t>=D1858</t>
  </si>
  <si>
    <t>="""NAV Direct"",""CRONUS JetCorp USA"",""32"",""1"",""167130"""</t>
  </si>
  <si>
    <t>=IF($J1859="Customer",NL("first",$J1859,"Name","No.","@@"&amp;$K1859),"")</t>
  </si>
  <si>
    <t>=IF(J1859="vendor",NL("first",J1859,"Name","No.","@@"&amp;K1859),"")</t>
  </si>
  <si>
    <t>=IF($J1859="Item",NL("first",$J1859,"Description","No.","@@"&amp;$K1859),"")</t>
  </si>
  <si>
    <t>=D1859</t>
  </si>
  <si>
    <t>="""NAV Direct"",""CRONUS JetCorp USA"",""32"",""1"",""167156"""</t>
  </si>
  <si>
    <t>=IF($J1860="Customer",NL("first",$J1860,"Name","No.","@@"&amp;$K1860),"")</t>
  </si>
  <si>
    <t>=IF(J1860="vendor",NL("first",J1860,"Name","No.","@@"&amp;K1860),"")</t>
  </si>
  <si>
    <t>=IF($J1860="Item",NL("first",$J1860,"Description","No.","@@"&amp;$K1860),"")</t>
  </si>
  <si>
    <t>=D1860</t>
  </si>
  <si>
    <t>="""NAV Direct"",""CRONUS JetCorp USA"",""32"",""1"",""20369"""</t>
  </si>
  <si>
    <t>=IF($J1861="Customer",NL("first",$J1861,"Name","No.","@@"&amp;$K1861),"")</t>
  </si>
  <si>
    <t>=IF(J1861="vendor",NL("first",J1861,"Name","No.","@@"&amp;K1861),"")</t>
  </si>
  <si>
    <t>=IF($J1861="Item",NL("first",$J1861,"Description","No.","@@"&amp;$K1861),"")</t>
  </si>
  <si>
    <t>=D1861</t>
  </si>
  <si>
    <t>="""NAV Direct"",""CRONUS JetCorp USA"",""32"",""1"",""124520"""</t>
  </si>
  <si>
    <t>=IF($J1862="Customer",NL("first",$J1862,"Name","No.","@@"&amp;$K1862),"")</t>
  </si>
  <si>
    <t>=IF(J1862="vendor",NL("first",J1862,"Name","No.","@@"&amp;K1862),"")</t>
  </si>
  <si>
    <t>=IF($J1862="Item",NL("first",$J1862,"Description","No.","@@"&amp;$K1862),"")</t>
  </si>
  <si>
    <t>=D1862</t>
  </si>
  <si>
    <t>="""NAV Direct"",""CRONUS JetCorp USA"",""32"",""1"",""128851"""</t>
  </si>
  <si>
    <t>=IF($J1863="Customer",NL("first",$J1863,"Name","No.","@@"&amp;$K1863),"")</t>
  </si>
  <si>
    <t>=IF(J1863="vendor",NL("first",J1863,"Name","No.","@@"&amp;K1863),"")</t>
  </si>
  <si>
    <t>=IF($J1863="Item",NL("first",$J1863,"Description","No.","@@"&amp;$K1863),"")</t>
  </si>
  <si>
    <t>=D1863</t>
  </si>
  <si>
    <t>="""NAV Direct"",""CRONUS JetCorp USA"",""32"",""1"",""34311"""</t>
  </si>
  <si>
    <t>=IF($J1864="Customer",NL("first",$J1864,"Name","No.","@@"&amp;$K1864),"")</t>
  </si>
  <si>
    <t>=IF(J1864="vendor",NL("first",J1864,"Name","No.","@@"&amp;K1864),"")</t>
  </si>
  <si>
    <t>=IF($J1864="Item",NL("first",$J1864,"Description","No.","@@"&amp;$K1864),"")</t>
  </si>
  <si>
    <t>=D1864</t>
  </si>
  <si>
    <t>="""NAV Direct"",""CRONUS JetCorp USA"",""32"",""1"",""30052"""</t>
  </si>
  <si>
    <t>=IF($J1865="Customer",NL("first",$J1865,"Name","No.","@@"&amp;$K1865),"")</t>
  </si>
  <si>
    <t>=IF(J1865="vendor",NL("first",J1865,"Name","No.","@@"&amp;K1865),"")</t>
  </si>
  <si>
    <t>=IF($J1865="Item",NL("first",$J1865,"Description","No.","@@"&amp;$K1865),"")</t>
  </si>
  <si>
    <t>=D1865</t>
  </si>
  <si>
    <t>="""NAV Direct"",""CRONUS JetCorp USA"",""32"",""1"",""30109"""</t>
  </si>
  <si>
    <t>=IF($J1866="Customer",NL("first",$J1866,"Name","No.","@@"&amp;$K1866),"")</t>
  </si>
  <si>
    <t>=IF(J1866="vendor",NL("first",J1866,"Name","No.","@@"&amp;K1866),"")</t>
  </si>
  <si>
    <t>=IF($J1866="Item",NL("first",$J1866,"Description","No.","@@"&amp;$K1866),"")</t>
  </si>
  <si>
    <t>=D1866</t>
  </si>
  <si>
    <t>="""NAV Direct"",""CRONUS JetCorp USA"",""32"",""1"",""25265"""</t>
  </si>
  <si>
    <t>=IF($J1867="Customer",NL("first",$J1867,"Name","No.","@@"&amp;$K1867),"")</t>
  </si>
  <si>
    <t>=IF(J1867="vendor",NL("first",J1867,"Name","No.","@@"&amp;K1867),"")</t>
  </si>
  <si>
    <t>=IF($J1867="Item",NL("first",$J1867,"Description","No.","@@"&amp;$K1867),"")</t>
  </si>
  <si>
    <t>=D1867</t>
  </si>
  <si>
    <t>="""NAV Direct"",""CRONUS JetCorp USA"",""32"",""1"",""132521"""</t>
  </si>
  <si>
    <t>=IF($J1868="Customer",NL("first",$J1868,"Name","No.","@@"&amp;$K1868),"")</t>
  </si>
  <si>
    <t>=IF(J1868="vendor",NL("first",J1868,"Name","No.","@@"&amp;K1868),"")</t>
  </si>
  <si>
    <t>=IF($J1868="Item",NL("first",$J1868,"Description","No.","@@"&amp;$K1868),"")</t>
  </si>
  <si>
    <t>=D1868</t>
  </si>
  <si>
    <t>="""NAV Direct"",""CRONUS JetCorp USA"",""32"",""1"",""138732"""</t>
  </si>
  <si>
    <t>=IF($J1869="Customer",NL("first",$J1869,"Name","No.","@@"&amp;$K1869),"")</t>
  </si>
  <si>
    <t>=IF(J1869="vendor",NL("first",J1869,"Name","No.","@@"&amp;K1869),"")</t>
  </si>
  <si>
    <t>=IF($J1869="Item",NL("first",$J1869,"Description","No.","@@"&amp;$K1869),"")</t>
  </si>
  <si>
    <t>=E1872</t>
  </si>
  <si>
    <t>=NL("First","Item","Description","No.",$E1872)</t>
  </si>
  <si>
    <t>=NL("First","Item","Base Unit of Measure","No.",$E1872)</t>
  </si>
  <si>
    <t>=(SUBTOTAL(9,O1873:O1896))</t>
  </si>
  <si>
    <t>=(SUBTOTAL(9,P1873:P1896))</t>
  </si>
  <si>
    <t>=(SUBTOTAL(9,Q1873:Q1896))</t>
  </si>
  <si>
    <t>=(SUBTOTAL(9,R1873:R1896))</t>
  </si>
  <si>
    <t>=(SUBTOTAL(9,S1873:S1896))</t>
  </si>
  <si>
    <t>=(SUBTOTAL(9,T1873:T1896))</t>
  </si>
  <si>
    <t>=SUBTOTAL(9,O1873:T1896)</t>
  </si>
  <si>
    <t>=D1872</t>
  </si>
  <si>
    <t>=NL("Rows","Item Ledger Entry",,"+Posting Date",$L$5,"Item No.","@@"&amp;$D1873,"Location Code",$L$7)</t>
  </si>
  <si>
    <t>=IF($J1873="Customer",NL("first",$J1873,"Name","No.","@@"&amp;$K1873),"")</t>
  </si>
  <si>
    <t>=IF(J1873="vendor",NL("first",J1873,"Name","No.","@@"&amp;K1873),"")</t>
  </si>
  <si>
    <t>=IF($J1873="Item",NL("first",$J1873,"Description","No.","@@"&amp;$K1873),"")</t>
  </si>
  <si>
    <t>=D1873</t>
  </si>
  <si>
    <t>="""NAV Direct"",""CRONUS JetCorp USA"",""32"",""1"",""167091"""</t>
  </si>
  <si>
    <t>=IF($J1874="Customer",NL("first",$J1874,"Name","No.","@@"&amp;$K1874),"")</t>
  </si>
  <si>
    <t>=IF(J1874="vendor",NL("first",J1874,"Name","No.","@@"&amp;K1874),"")</t>
  </si>
  <si>
    <t>=IF($J1874="Item",NL("first",$J1874,"Description","No.","@@"&amp;$K1874),"")</t>
  </si>
  <si>
    <t>=D1874</t>
  </si>
  <si>
    <t>="""NAV Direct"",""CRONUS JetCorp USA"",""32"",""1"",""167106"""</t>
  </si>
  <si>
    <t>=IF($J1875="Customer",NL("first",$J1875,"Name","No.","@@"&amp;$K1875),"")</t>
  </si>
  <si>
    <t>=IF(J1875="vendor",NL("first",J1875,"Name","No.","@@"&amp;K1875),"")</t>
  </si>
  <si>
    <t>=IF($J1875="Item",NL("first",$J1875,"Description","No.","@@"&amp;$K1875),"")</t>
  </si>
  <si>
    <t>=D1875</t>
  </si>
  <si>
    <t>="""NAV Direct"",""CRONUS JetCorp USA"",""32"",""1"",""167112"""</t>
  </si>
  <si>
    <t>=IF($J1876="Customer",NL("first",$J1876,"Name","No.","@@"&amp;$K1876),"")</t>
  </si>
  <si>
    <t>=IF(J1876="vendor",NL("first",J1876,"Name","No.","@@"&amp;K1876),"")</t>
  </si>
  <si>
    <t>=IF($J1876="Item",NL("first",$J1876,"Description","No.","@@"&amp;$K1876),"")</t>
  </si>
  <si>
    <t>=D1876</t>
  </si>
  <si>
    <t>="""NAV Direct"",""CRONUS JetCorp USA"",""32"",""1"",""167129"""</t>
  </si>
  <si>
    <t>=IF($J1877="Customer",NL("first",$J1877,"Name","No.","@@"&amp;$K1877),"")</t>
  </si>
  <si>
    <t>=IF(J1877="vendor",NL("first",J1877,"Name","No.","@@"&amp;K1877),"")</t>
  </si>
  <si>
    <t>=IF($J1877="Item",NL("first",$J1877,"Description","No.","@@"&amp;$K1877),"")</t>
  </si>
  <si>
    <t>=D1877</t>
  </si>
  <si>
    <t>="""NAV Direct"",""CRONUS JetCorp USA"",""32"",""1"",""167146"""</t>
  </si>
  <si>
    <t>=IF($J1878="Customer",NL("first",$J1878,"Name","No.","@@"&amp;$K1878),"")</t>
  </si>
  <si>
    <t>=IF(J1878="vendor",NL("first",J1878,"Name","No.","@@"&amp;K1878),"")</t>
  </si>
  <si>
    <t>=IF($J1878="Item",NL("first",$J1878,"Description","No.","@@"&amp;$K1878),"")</t>
  </si>
  <si>
    <t>=D1878</t>
  </si>
  <si>
    <t>="""NAV Direct"",""CRONUS JetCorp USA"",""32"",""1"",""167155"""</t>
  </si>
  <si>
    <t>=IF($J1879="Customer",NL("first",$J1879,"Name","No.","@@"&amp;$K1879),"")</t>
  </si>
  <si>
    <t>=IF(J1879="vendor",NL("first",J1879,"Name","No.","@@"&amp;K1879),"")</t>
  </si>
  <si>
    <t>=IF($J1879="Item",NL("first",$J1879,"Description","No.","@@"&amp;$K1879),"")</t>
  </si>
  <si>
    <t>=D1879</t>
  </si>
  <si>
    <t>="""NAV Direct"",""CRONUS JetCorp USA"",""32"",""1"",""30034"""</t>
  </si>
  <si>
    <t>=IF($J1880="Customer",NL("first",$J1880,"Name","No.","@@"&amp;$K1880),"")</t>
  </si>
  <si>
    <t>=IF(J1880="vendor",NL("first",J1880,"Name","No.","@@"&amp;K1880),"")</t>
  </si>
  <si>
    <t>=IF($J1880="Item",NL("first",$J1880,"Description","No.","@@"&amp;$K1880),"")</t>
  </si>
  <si>
    <t>=D1880</t>
  </si>
  <si>
    <t>="""NAV Direct"",""CRONUS JetCorp USA"",""32"",""1"",""158693"""</t>
  </si>
  <si>
    <t>=IF($J1881="Customer",NL("first",$J1881,"Name","No.","@@"&amp;$K1881),"")</t>
  </si>
  <si>
    <t>=IF(J1881="vendor",NL("first",J1881,"Name","No.","@@"&amp;K1881),"")</t>
  </si>
  <si>
    <t>=IF($J1881="Item",NL("first",$J1881,"Description","No.","@@"&amp;$K1881),"")</t>
  </si>
  <si>
    <t>=D1881</t>
  </si>
  <si>
    <t>="""NAV Direct"",""CRONUS JetCorp USA"",""32"",""1"",""20334"""</t>
  </si>
  <si>
    <t>=IF($J1882="Customer",NL("first",$J1882,"Name","No.","@@"&amp;$K1882),"")</t>
  </si>
  <si>
    <t>=IF(J1882="vendor",NL("first",J1882,"Name","No.","@@"&amp;K1882),"")</t>
  </si>
  <si>
    <t>=IF($J1882="Item",NL("first",$J1882,"Description","No.","@@"&amp;$K1882),"")</t>
  </si>
  <si>
    <t>=D1882</t>
  </si>
  <si>
    <t>="""NAV Direct"",""CRONUS JetCorp USA"",""32"",""1"",""128871"""</t>
  </si>
  <si>
    <t>=IF($J1883="Customer",NL("first",$J1883,"Name","No.","@@"&amp;$K1883),"")</t>
  </si>
  <si>
    <t>=IF(J1883="vendor",NL("first",J1883,"Name","No.","@@"&amp;K1883),"")</t>
  </si>
  <si>
    <t>=IF($J1883="Item",NL("first",$J1883,"Description","No.","@@"&amp;$K1883),"")</t>
  </si>
  <si>
    <t>=D1883</t>
  </si>
  <si>
    <t>="""NAV Direct"",""CRONUS JetCorp USA"",""32"",""1"",""124541"""</t>
  </si>
  <si>
    <t>=IF($J1884="Customer",NL("first",$J1884,"Name","No.","@@"&amp;$K1884),"")</t>
  </si>
  <si>
    <t>=IF(J1884="vendor",NL("first",J1884,"Name","No.","@@"&amp;K1884),"")</t>
  </si>
  <si>
    <t>=IF($J1884="Item",NL("first",$J1884,"Description","No.","@@"&amp;$K1884),"")</t>
  </si>
  <si>
    <t>=D1884</t>
  </si>
  <si>
    <t>="""NAV Direct"",""CRONUS JetCorp USA"",""32"",""1"",""36495"""</t>
  </si>
  <si>
    <t>=IF($J1885="Customer",NL("first",$J1885,"Name","No.","@@"&amp;$K1885),"")</t>
  </si>
  <si>
    <t>=IF(J1885="vendor",NL("first",J1885,"Name","No.","@@"&amp;K1885),"")</t>
  </si>
  <si>
    <t>=IF($J1885="Item",NL("first",$J1885,"Description","No.","@@"&amp;$K1885),"")</t>
  </si>
  <si>
    <t>=D1885</t>
  </si>
  <si>
    <t>="""NAV Direct"",""CRONUS JetCorp USA"",""32"",""1"",""124525"""</t>
  </si>
  <si>
    <t>=IF($J1886="Customer",NL("first",$J1886,"Name","No.","@@"&amp;$K1886),"")</t>
  </si>
  <si>
    <t>=IF(J1886="vendor",NL("first",J1886,"Name","No.","@@"&amp;K1886),"")</t>
  </si>
  <si>
    <t>=IF($J1886="Item",NL("first",$J1886,"Description","No.","@@"&amp;$K1886),"")</t>
  </si>
  <si>
    <t>=D1886</t>
  </si>
  <si>
    <t>="""NAV Direct"",""CRONUS JetCorp USA"",""32"",""1"",""135817"""</t>
  </si>
  <si>
    <t>=IF($J1887="Customer",NL("first",$J1887,"Name","No.","@@"&amp;$K1887),"")</t>
  </si>
  <si>
    <t>=IF(J1887="vendor",NL("first",J1887,"Name","No.","@@"&amp;K1887),"")</t>
  </si>
  <si>
    <t>=IF($J1887="Item",NL("first",$J1887,"Description","No.","@@"&amp;$K1887),"")</t>
  </si>
  <si>
    <t>=D1887</t>
  </si>
  <si>
    <t>="""NAV Direct"",""CRONUS JetCorp USA"",""32"",""1"",""20415"""</t>
  </si>
  <si>
    <t>=IF($J1888="Customer",NL("first",$J1888,"Name","No.","@@"&amp;$K1888),"")</t>
  </si>
  <si>
    <t>=IF(J1888="vendor",NL("first",J1888,"Name","No.","@@"&amp;K1888),"")</t>
  </si>
  <si>
    <t>=IF($J1888="Item",NL("first",$J1888,"Description","No.","@@"&amp;$K1888),"")</t>
  </si>
  <si>
    <t>=D1888</t>
  </si>
  <si>
    <t>="""NAV Direct"",""CRONUS JetCorp USA"",""32"",""1"",""36480"""</t>
  </si>
  <si>
    <t>=IF($J1889="Customer",NL("first",$J1889,"Name","No.","@@"&amp;$K1889),"")</t>
  </si>
  <si>
    <t>=IF(J1889="vendor",NL("first",J1889,"Name","No.","@@"&amp;K1889),"")</t>
  </si>
  <si>
    <t>=IF($J1889="Item",NL("first",$J1889,"Description","No.","@@"&amp;$K1889),"")</t>
  </si>
  <si>
    <t>=D1889</t>
  </si>
  <si>
    <t>="""NAV Direct"",""CRONUS JetCorp USA"",""32"",""1"",""64613"""</t>
  </si>
  <si>
    <t>=IF($J1890="Customer",NL("first",$J1890,"Name","No.","@@"&amp;$K1890),"")</t>
  </si>
  <si>
    <t>=IF(J1890="vendor",NL("first",J1890,"Name","No.","@@"&amp;K1890),"")</t>
  </si>
  <si>
    <t>=IF($J1890="Item",NL("first",$J1890,"Description","No.","@@"&amp;$K1890),"")</t>
  </si>
  <si>
    <t>=D1890</t>
  </si>
  <si>
    <t>="""NAV Direct"",""CRONUS JetCorp USA"",""32"",""1"",""124590"""</t>
  </si>
  <si>
    <t>=IF($J1891="Customer",NL("first",$J1891,"Name","No.","@@"&amp;$K1891),"")</t>
  </si>
  <si>
    <t>=IF(J1891="vendor",NL("first",J1891,"Name","No.","@@"&amp;K1891),"")</t>
  </si>
  <si>
    <t>=IF($J1891="Item",NL("first",$J1891,"Description","No.","@@"&amp;$K1891),"")</t>
  </si>
  <si>
    <t>=D1891</t>
  </si>
  <si>
    <t>="""NAV Direct"",""CRONUS JetCorp USA"",""32"",""1"",""25266"""</t>
  </si>
  <si>
    <t>=IF($J1892="Customer",NL("first",$J1892,"Name","No.","@@"&amp;$K1892),"")</t>
  </si>
  <si>
    <t>=IF(J1892="vendor",NL("first",J1892,"Name","No.","@@"&amp;K1892),"")</t>
  </si>
  <si>
    <t>=IF($J1892="Item",NL("first",$J1892,"Description","No.","@@"&amp;$K1892),"")</t>
  </si>
  <si>
    <t>=D1892</t>
  </si>
  <si>
    <t>="""NAV Direct"",""CRONUS JetCorp USA"",""32"",""1"",""78860"""</t>
  </si>
  <si>
    <t>=IF($J1893="Customer",NL("first",$J1893,"Name","No.","@@"&amp;$K1893),"")</t>
  </si>
  <si>
    <t>=IF(J1893="vendor",NL("first",J1893,"Name","No.","@@"&amp;K1893),"")</t>
  </si>
  <si>
    <t>=IF($J1893="Item",NL("first",$J1893,"Description","No.","@@"&amp;$K1893),"")</t>
  </si>
  <si>
    <t>=D1893</t>
  </si>
  <si>
    <t>="""NAV Direct"",""CRONUS JetCorp USA"",""32"",""1"",""25288"""</t>
  </si>
  <si>
    <t>=IF($J1894="Customer",NL("first",$J1894,"Name","No.","@@"&amp;$K1894),"")</t>
  </si>
  <si>
    <t>=IF(J1894="vendor",NL("first",J1894,"Name","No.","@@"&amp;K1894),"")</t>
  </si>
  <si>
    <t>=IF($J1894="Item",NL("first",$J1894,"Description","No.","@@"&amp;$K1894),"")</t>
  </si>
  <si>
    <t>=D1894</t>
  </si>
  <si>
    <t>="""NAV Direct"",""CRONUS JetCorp USA"",""32"",""1"",""38087"""</t>
  </si>
  <si>
    <t>=IF($J1895="Customer",NL("first",$J1895,"Name","No.","@@"&amp;$K1895),"")</t>
  </si>
  <si>
    <t>=IF(J1895="vendor",NL("first",J1895,"Name","No.","@@"&amp;K1895),"")</t>
  </si>
  <si>
    <t>=IF($J1895="Item",NL("first",$J1895,"Description","No.","@@"&amp;$K1895),"")</t>
  </si>
  <si>
    <t>=E1898</t>
  </si>
  <si>
    <t>=NL("First","Item","Description","No.",$E1898)</t>
  </si>
  <si>
    <t>=NL("First","Item","Base Unit of Measure","No.",$E1898)</t>
  </si>
  <si>
    <t>=(SUBTOTAL(9,O1899:O1916))</t>
  </si>
  <si>
    <t>=(SUBTOTAL(9,P1899:P1916))</t>
  </si>
  <si>
    <t>=(SUBTOTAL(9,Q1899:Q1916))</t>
  </si>
  <si>
    <t>=(SUBTOTAL(9,R1899:R1916))</t>
  </si>
  <si>
    <t>=(SUBTOTAL(9,S1899:S1916))</t>
  </si>
  <si>
    <t>=(SUBTOTAL(9,T1899:T1916))</t>
  </si>
  <si>
    <t>=SUBTOTAL(9,O1899:T1916)</t>
  </si>
  <si>
    <t>=D1898</t>
  </si>
  <si>
    <t>=NL("Rows","Item Ledger Entry",,"+Posting Date",$L$5,"Item No.","@@"&amp;$D1899,"Location Code",$L$7)</t>
  </si>
  <si>
    <t>=IF($J1899="Customer",NL("first",$J1899,"Name","No.","@@"&amp;$K1899),"")</t>
  </si>
  <si>
    <t>=IF(J1899="vendor",NL("first",J1899,"Name","No.","@@"&amp;K1899),"")</t>
  </si>
  <si>
    <t>=IF($J1899="Item",NL("first",$J1899,"Description","No.","@@"&amp;$K1899),"")</t>
  </si>
  <si>
    <t>=D1899</t>
  </si>
  <si>
    <t>="""NAV Direct"",""CRONUS JetCorp USA"",""32"",""1"",""167090"""</t>
  </si>
  <si>
    <t>=IF($J1900="Customer",NL("first",$J1900,"Name","No.","@@"&amp;$K1900),"")</t>
  </si>
  <si>
    <t>=IF(J1900="vendor",NL("first",J1900,"Name","No.","@@"&amp;K1900),"")</t>
  </si>
  <si>
    <t>=IF($J1900="Item",NL("first",$J1900,"Description","No.","@@"&amp;$K1900),"")</t>
  </si>
  <si>
    <t>=D1900</t>
  </si>
  <si>
    <t>="""NAV Direct"",""CRONUS JetCorp USA"",""32"",""1"",""167128"""</t>
  </si>
  <si>
    <t>=IF($J1901="Customer",NL("first",$J1901,"Name","No.","@@"&amp;$K1901),"")</t>
  </si>
  <si>
    <t>=IF(J1901="vendor",NL("first",J1901,"Name","No.","@@"&amp;K1901),"")</t>
  </si>
  <si>
    <t>=IF($J1901="Item",NL("first",$J1901,"Description","No.","@@"&amp;$K1901),"")</t>
  </si>
  <si>
    <t>=D1901</t>
  </si>
  <si>
    <t>="""NAV Direct"",""CRONUS JetCorp USA"",""32"",""1"",""167154"""</t>
  </si>
  <si>
    <t>=IF($J1902="Customer",NL("first",$J1902,"Name","No.","@@"&amp;$K1902),"")</t>
  </si>
  <si>
    <t>=IF(J1902="vendor",NL("first",J1902,"Name","No.","@@"&amp;K1902),"")</t>
  </si>
  <si>
    <t>=IF($J1902="Item",NL("first",$J1902,"Description","No.","@@"&amp;$K1902),"")</t>
  </si>
  <si>
    <t>=D1902</t>
  </si>
  <si>
    <t>="""NAV Direct"",""CRONUS JetCorp USA"",""32"",""1"",""34322"""</t>
  </si>
  <si>
    <t>=IF($J1903="Customer",NL("first",$J1903,"Name","No.","@@"&amp;$K1903),"")</t>
  </si>
  <si>
    <t>=IF(J1903="vendor",NL("first",J1903,"Name","No.","@@"&amp;K1903),"")</t>
  </si>
  <si>
    <t>=IF($J1903="Item",NL("first",$J1903,"Description","No.","@@"&amp;$K1903),"")</t>
  </si>
  <si>
    <t>=D1903</t>
  </si>
  <si>
    <t>="""NAV Direct"",""CRONUS JetCorp USA"",""32"",""1"",""25238"""</t>
  </si>
  <si>
    <t>=IF($J1904="Customer",NL("first",$J1904,"Name","No.","@@"&amp;$K1904),"")</t>
  </si>
  <si>
    <t>=IF(J1904="vendor",NL("first",J1904,"Name","No.","@@"&amp;K1904),"")</t>
  </si>
  <si>
    <t>=IF($J1904="Item",NL("first",$J1904,"Description","No.","@@"&amp;$K1904),"")</t>
  </si>
  <si>
    <t>=D1904</t>
  </si>
  <si>
    <t>="""NAV Direct"",""CRONUS JetCorp USA"",""32"",""1"",""25254"""</t>
  </si>
  <si>
    <t>=IF($J1905="Customer",NL("first",$J1905,"Name","No.","@@"&amp;$K1905),"")</t>
  </si>
  <si>
    <t>=IF(J1905="vendor",NL("first",J1905,"Name","No.","@@"&amp;K1905),"")</t>
  </si>
  <si>
    <t>=IF($J1905="Item",NL("first",$J1905,"Description","No.","@@"&amp;$K1905),"")</t>
  </si>
  <si>
    <t>=D1905</t>
  </si>
  <si>
    <t>="""NAV Direct"",""CRONUS JetCorp USA"",""32"",""1"",""20384"""</t>
  </si>
  <si>
    <t>=IF($J1906="Customer",NL("first",$J1906,"Name","No.","@@"&amp;$K1906),"")</t>
  </si>
  <si>
    <t>=IF(J1906="vendor",NL("first",J1906,"Name","No.","@@"&amp;K1906),"")</t>
  </si>
  <si>
    <t>=IF($J1906="Item",NL("first",$J1906,"Description","No.","@@"&amp;$K1906),"")</t>
  </si>
  <si>
    <t>=D1906</t>
  </si>
  <si>
    <t>="""NAV Direct"",""CRONUS JetCorp USA"",""32"",""1"",""34316"""</t>
  </si>
  <si>
    <t>=IF($J1907="Customer",NL("first",$J1907,"Name","No.","@@"&amp;$K1907),"")</t>
  </si>
  <si>
    <t>=IF(J1907="vendor",NL("first",J1907,"Name","No.","@@"&amp;K1907),"")</t>
  </si>
  <si>
    <t>=IF($J1907="Item",NL("first",$J1907,"Description","No.","@@"&amp;$K1907),"")</t>
  </si>
  <si>
    <t>=D1907</t>
  </si>
  <si>
    <t>="""NAV Direct"",""CRONUS JetCorp USA"",""32"",""1"",""30053"""</t>
  </si>
  <si>
    <t>=IF($J1908="Customer",NL("first",$J1908,"Name","No.","@@"&amp;$K1908),"")</t>
  </si>
  <si>
    <t>=IF(J1908="vendor",NL("first",J1908,"Name","No.","@@"&amp;K1908),"")</t>
  </si>
  <si>
    <t>=IF($J1908="Item",NL("first",$J1908,"Description","No.","@@"&amp;$K1908),"")</t>
  </si>
  <si>
    <t>=D1908</t>
  </si>
  <si>
    <t>="""NAV Direct"",""CRONUS JetCorp USA"",""32"",""1"",""36493"""</t>
  </si>
  <si>
    <t>=IF($J1909="Customer",NL("first",$J1909,"Name","No.","@@"&amp;$K1909),"")</t>
  </si>
  <si>
    <t>=IF(J1909="vendor",NL("first",J1909,"Name","No.","@@"&amp;K1909),"")</t>
  </si>
  <si>
    <t>=IF($J1909="Item",NL("first",$J1909,"Description","No.","@@"&amp;$K1909),"")</t>
  </si>
  <si>
    <t>=D1909</t>
  </si>
  <si>
    <t>="""NAV Direct"",""CRONUS JetCorp USA"",""32"",""1"",""20348"""</t>
  </si>
  <si>
    <t>=IF($J1910="Customer",NL("first",$J1910,"Name","No.","@@"&amp;$K1910),"")</t>
  </si>
  <si>
    <t>=IF(J1910="vendor",NL("first",J1910,"Name","No.","@@"&amp;K1910),"")</t>
  </si>
  <si>
    <t>=IF($J1910="Item",NL("first",$J1910,"Description","No.","@@"&amp;$K1910),"")</t>
  </si>
  <si>
    <t>=D1910</t>
  </si>
  <si>
    <t>="""NAV Direct"",""CRONUS JetCorp USA"",""32"",""1"",""34340"""</t>
  </si>
  <si>
    <t>=IF($J1911="Customer",NL("first",$J1911,"Name","No.","@@"&amp;$K1911),"")</t>
  </si>
  <si>
    <t>=IF(J1911="vendor",NL("first",J1911,"Name","No.","@@"&amp;K1911),"")</t>
  </si>
  <si>
    <t>=IF($J1911="Item",NL("first",$J1911,"Description","No.","@@"&amp;$K1911),"")</t>
  </si>
  <si>
    <t>=D1911</t>
  </si>
  <si>
    <t>="""NAV Direct"",""CRONUS JetCorp USA"",""32"",""1"",""124597"""</t>
  </si>
  <si>
    <t>=IF($J1912="Customer",NL("first",$J1912,"Name","No.","@@"&amp;$K1912),"")</t>
  </si>
  <si>
    <t>=IF(J1912="vendor",NL("first",J1912,"Name","No.","@@"&amp;K1912),"")</t>
  </si>
  <si>
    <t>=IF($J1912="Item",NL("first",$J1912,"Description","No.","@@"&amp;$K1912),"")</t>
  </si>
  <si>
    <t>=D1912</t>
  </si>
  <si>
    <t>="""NAV Direct"",""CRONUS JetCorp USA"",""32"",""1"",""20400"""</t>
  </si>
  <si>
    <t>=IF($J1913="Customer",NL("first",$J1913,"Name","No.","@@"&amp;$K1913),"")</t>
  </si>
  <si>
    <t>=IF(J1913="vendor",NL("first",J1913,"Name","No.","@@"&amp;K1913),"")</t>
  </si>
  <si>
    <t>=IF($J1913="Item",NL("first",$J1913,"Description","No.","@@"&amp;$K1913),"")</t>
  </si>
  <si>
    <t>=D1913</t>
  </si>
  <si>
    <t>="""NAV Direct"",""CRONUS JetCorp USA"",""32"",""1"",""38086"""</t>
  </si>
  <si>
    <t>=IF($J1914="Customer",NL("first",$J1914,"Name","No.","@@"&amp;$K1914),"")</t>
  </si>
  <si>
    <t>=IF(J1914="vendor",NL("first",J1914,"Name","No.","@@"&amp;K1914),"")</t>
  </si>
  <si>
    <t>=IF($J1914="Item",NL("first",$J1914,"Description","No.","@@"&amp;$K1914),"")</t>
  </si>
  <si>
    <t>=D1914</t>
  </si>
  <si>
    <t>="""NAV Direct"",""CRONUS JetCorp USA"",""32"",""1"",""138734"""</t>
  </si>
  <si>
    <t>=IF($J1915="Customer",NL("first",$J1915,"Name","No.","@@"&amp;$K1915),"")</t>
  </si>
  <si>
    <t>=IF(J1915="vendor",NL("first",J1915,"Name","No.","@@"&amp;K1915),"")</t>
  </si>
  <si>
    <t>=IF($J1915="Item",NL("first",$J1915,"Description","No.","@@"&amp;$K1915),"")</t>
  </si>
  <si>
    <t>=E1918</t>
  </si>
  <si>
    <t>=NL("First","Item","Description","No.",$E1918)</t>
  </si>
  <si>
    <t>=NL("First","Item","Base Unit of Measure","No.",$E1918)</t>
  </si>
  <si>
    <t>=(SUBTOTAL(9,O1919:O1930))</t>
  </si>
  <si>
    <t>=(SUBTOTAL(9,P1919:P1930))</t>
  </si>
  <si>
    <t>=(SUBTOTAL(9,Q1919:Q1930))</t>
  </si>
  <si>
    <t>=(SUBTOTAL(9,R1919:R1930))</t>
  </si>
  <si>
    <t>=(SUBTOTAL(9,S1919:S1930))</t>
  </si>
  <si>
    <t>=(SUBTOTAL(9,T1919:T1930))</t>
  </si>
  <si>
    <t>=SUBTOTAL(9,O1919:T1930)</t>
  </si>
  <si>
    <t>=D1918</t>
  </si>
  <si>
    <t>=NL("Rows","Item Ledger Entry",,"+Posting Date",$L$5,"Item No.","@@"&amp;$D1919,"Location Code",$L$7)</t>
  </si>
  <si>
    <t>=IF($J1919="Customer",NL("first",$J1919,"Name","No.","@@"&amp;$K1919),"")</t>
  </si>
  <si>
    <t>=IF(J1919="vendor",NL("first",J1919,"Name","No.","@@"&amp;K1919),"")</t>
  </si>
  <si>
    <t>=IF($J1919="Item",NL("first",$J1919,"Description","No.","@@"&amp;$K1919),"")</t>
  </si>
  <si>
    <t>=D1919</t>
  </si>
  <si>
    <t>="""NAV Direct"",""CRONUS JetCorp USA"",""32"",""1"",""167111"""</t>
  </si>
  <si>
    <t>=IF($J1920="Customer",NL("first",$J1920,"Name","No.","@@"&amp;$K1920),"")</t>
  </si>
  <si>
    <t>=IF(J1920="vendor",NL("first",J1920,"Name","No.","@@"&amp;K1920),"")</t>
  </si>
  <si>
    <t>=IF($J1920="Item",NL("first",$J1920,"Description","No.","@@"&amp;$K1920),"")</t>
  </si>
  <si>
    <t>=D1920</t>
  </si>
  <si>
    <t>="""NAV Direct"",""CRONUS JetCorp USA"",""32"",""1"",""167127"""</t>
  </si>
  <si>
    <t>=IF($J1921="Customer",NL("first",$J1921,"Name","No.","@@"&amp;$K1921),"")</t>
  </si>
  <si>
    <t>=IF(J1921="vendor",NL("first",J1921,"Name","No.","@@"&amp;K1921),"")</t>
  </si>
  <si>
    <t>=IF($J1921="Item",NL("first",$J1921,"Description","No.","@@"&amp;$K1921),"")</t>
  </si>
  <si>
    <t>=D1921</t>
  </si>
  <si>
    <t>="""NAV Direct"",""CRONUS JetCorp USA"",""32"",""1"",""20332"""</t>
  </si>
  <si>
    <t>=IF($J1922="Customer",NL("first",$J1922,"Name","No.","@@"&amp;$K1922),"")</t>
  </si>
  <si>
    <t>=IF(J1922="vendor",NL("first",J1922,"Name","No.","@@"&amp;K1922),"")</t>
  </si>
  <si>
    <t>=IF($J1922="Item",NL("first",$J1922,"Description","No.","@@"&amp;$K1922),"")</t>
  </si>
  <si>
    <t>=D1922</t>
  </si>
  <si>
    <t>="""NAV Direct"",""CRONUS JetCorp USA"",""32"",""1"",""25252"""</t>
  </si>
  <si>
    <t>=IF($J1923="Customer",NL("first",$J1923,"Name","No.","@@"&amp;$K1923),"")</t>
  </si>
  <si>
    <t>=IF(J1923="vendor",NL("first",J1923,"Name","No.","@@"&amp;K1923),"")</t>
  </si>
  <si>
    <t>=IF($J1923="Item",NL("first",$J1923,"Description","No.","@@"&amp;$K1923),"")</t>
  </si>
  <si>
    <t>=D1923</t>
  </si>
  <si>
    <t>="""NAV Direct"",""CRONUS JetCorp USA"",""32"",""1"",""128863"""</t>
  </si>
  <si>
    <t>=IF($J1924="Customer",NL("first",$J1924,"Name","No.","@@"&amp;$K1924),"")</t>
  </si>
  <si>
    <t>=IF(J1924="vendor",NL("first",J1924,"Name","No.","@@"&amp;K1924),"")</t>
  </si>
  <si>
    <t>=IF($J1924="Item",NL("first",$J1924,"Description","No.","@@"&amp;$K1924),"")</t>
  </si>
  <si>
    <t>=D1924</t>
  </si>
  <si>
    <t>="""NAV Direct"",""CRONUS JetCorp USA"",""32"",""1"",""124545"""</t>
  </si>
  <si>
    <t>=IF($J1925="Customer",NL("first",$J1925,"Name","No.","@@"&amp;$K1925),"")</t>
  </si>
  <si>
    <t>=IF(J1925="vendor",NL("first",J1925,"Name","No.","@@"&amp;K1925),"")</t>
  </si>
  <si>
    <t>=IF($J1925="Item",NL("first",$J1925,"Description","No.","@@"&amp;$K1925),"")</t>
  </si>
  <si>
    <t>=D1925</t>
  </si>
  <si>
    <t>="""NAV Direct"",""CRONUS JetCorp USA"",""32"",""1"",""30047"""</t>
  </si>
  <si>
    <t>=IF($J1926="Customer",NL("first",$J1926,"Name","No.","@@"&amp;$K1926),"")</t>
  </si>
  <si>
    <t>=IF(J1926="vendor",NL("first",J1926,"Name","No.","@@"&amp;K1926),"")</t>
  </si>
  <si>
    <t>=IF($J1926="Item",NL("first",$J1926,"Description","No.","@@"&amp;$K1926),"")</t>
  </si>
  <si>
    <t>=D1926</t>
  </si>
  <si>
    <t>="""NAV Direct"",""CRONUS JetCorp USA"",""32"",""1"",""124588"""</t>
  </si>
  <si>
    <t>=IF($J1927="Customer",NL("first",$J1927,"Name","No.","@@"&amp;$K1927),"")</t>
  </si>
  <si>
    <t>=IF(J1927="vendor",NL("first",J1927,"Name","No.","@@"&amp;K1927),"")</t>
  </si>
  <si>
    <t>=IF($J1927="Item",NL("first",$J1927,"Description","No.","@@"&amp;$K1927),"")</t>
  </si>
  <si>
    <t>=D1927</t>
  </si>
  <si>
    <t>="""NAV Direct"",""CRONUS JetCorp USA"",""32"",""1"",""25281"""</t>
  </si>
  <si>
    <t>=IF($J1928="Customer",NL("first",$J1928,"Name","No.","@@"&amp;$K1928),"")</t>
  </si>
  <si>
    <t>=IF(J1928="vendor",NL("first",J1928,"Name","No.","@@"&amp;K1928),"")</t>
  </si>
  <si>
    <t>=IF($J1928="Item",NL("first",$J1928,"Description","No.","@@"&amp;$K1928),"")</t>
  </si>
  <si>
    <t>=D1928</t>
  </si>
  <si>
    <t>="""NAV Direct"",""CRONUS JetCorp USA"",""32"",""1"",""138733"""</t>
  </si>
  <si>
    <t>=IF($J1929="Customer",NL("first",$J1929,"Name","No.","@@"&amp;$K1929),"")</t>
  </si>
  <si>
    <t>=IF(J1929="vendor",NL("first",J1929,"Name","No.","@@"&amp;K1929),"")</t>
  </si>
  <si>
    <t>=IF($J1929="Item",NL("first",$J1929,"Description","No.","@@"&amp;$K1929),"")</t>
  </si>
  <si>
    <t>=E1932</t>
  </si>
  <si>
    <t>=NL("First","Item","Description","No.",$E1932)</t>
  </si>
  <si>
    <t>=NL("First","Item","Base Unit of Measure","No.",$E1932)</t>
  </si>
  <si>
    <t>=(SUBTOTAL(9,O1933:O1952))</t>
  </si>
  <si>
    <t>=(SUBTOTAL(9,P1933:P1952))</t>
  </si>
  <si>
    <t>=(SUBTOTAL(9,Q1933:Q1952))</t>
  </si>
  <si>
    <t>=(SUBTOTAL(9,R1933:R1952))</t>
  </si>
  <si>
    <t>=(SUBTOTAL(9,S1933:S1952))</t>
  </si>
  <si>
    <t>=(SUBTOTAL(9,T1933:T1952))</t>
  </si>
  <si>
    <t>=SUBTOTAL(9,O1933:T1952)</t>
  </si>
  <si>
    <t>=D1932</t>
  </si>
  <si>
    <t>=NL("Rows","Item Ledger Entry",,"+Posting Date",$L$5,"Item No.","@@"&amp;$D1933,"Location Code",$L$7)</t>
  </si>
  <si>
    <t>=IF($J1933="Customer",NL("first",$J1933,"Name","No.","@@"&amp;$K1933),"")</t>
  </si>
  <si>
    <t>=IF(J1933="vendor",NL("first",J1933,"Name","No.","@@"&amp;K1933),"")</t>
  </si>
  <si>
    <t>=IF($J1933="Item",NL("first",$J1933,"Description","No.","@@"&amp;$K1933),"")</t>
  </si>
  <si>
    <t>=D1933</t>
  </si>
  <si>
    <t>="""NAV Direct"",""CRONUS JetCorp USA"",""32"",""1"",""167074"""</t>
  </si>
  <si>
    <t>=IF($J1934="Customer",NL("first",$J1934,"Name","No.","@@"&amp;$K1934),"")</t>
  </si>
  <si>
    <t>=IF(J1934="vendor",NL("first",J1934,"Name","No.","@@"&amp;K1934),"")</t>
  </si>
  <si>
    <t>=IF($J1934="Item",NL("first",$J1934,"Description","No.","@@"&amp;$K1934),"")</t>
  </si>
  <si>
    <t>=D1934</t>
  </si>
  <si>
    <t>="""NAV Direct"",""CRONUS JetCorp USA"",""32"",""1"",""167089"""</t>
  </si>
  <si>
    <t>=IF($J1935="Customer",NL("first",$J1935,"Name","No.","@@"&amp;$K1935),"")</t>
  </si>
  <si>
    <t>=IF(J1935="vendor",NL("first",J1935,"Name","No.","@@"&amp;K1935),"")</t>
  </si>
  <si>
    <t>=IF($J1935="Item",NL("first",$J1935,"Description","No.","@@"&amp;$K1935),"")</t>
  </si>
  <si>
    <t>=D1935</t>
  </si>
  <si>
    <t>="""NAV Direct"",""CRONUS JetCorp USA"",""32"",""1"",""167110"""</t>
  </si>
  <si>
    <t>=IF($J1936="Customer",NL("first",$J1936,"Name","No.","@@"&amp;$K1936),"")</t>
  </si>
  <si>
    <t>=IF(J1936="vendor",NL("first",J1936,"Name","No.","@@"&amp;K1936),"")</t>
  </si>
  <si>
    <t>=IF($J1936="Item",NL("first",$J1936,"Description","No.","@@"&amp;$K1936),"")</t>
  </si>
  <si>
    <t>=D1936</t>
  </si>
  <si>
    <t>="""NAV Direct"",""CRONUS JetCorp USA"",""32"",""1"",""167126"""</t>
  </si>
  <si>
    <t>=IF($J1937="Customer",NL("first",$J1937,"Name","No.","@@"&amp;$K1937),"")</t>
  </si>
  <si>
    <t>=IF(J1937="vendor",NL("first",J1937,"Name","No.","@@"&amp;K1937),"")</t>
  </si>
  <si>
    <t>=IF($J1937="Item",NL("first",$J1937,"Description","No.","@@"&amp;$K1937),"")</t>
  </si>
  <si>
    <t>=D1937</t>
  </si>
  <si>
    <t>="""NAV Direct"",""CRONUS JetCorp USA"",""32"",""1"",""167153"""</t>
  </si>
  <si>
    <t>=IF($J1938="Customer",NL("first",$J1938,"Name","No.","@@"&amp;$K1938),"")</t>
  </si>
  <si>
    <t>=IF(J1938="vendor",NL("first",J1938,"Name","No.","@@"&amp;K1938),"")</t>
  </si>
  <si>
    <t>=IF($J1938="Item",NL("first",$J1938,"Description","No.","@@"&amp;$K1938),"")</t>
  </si>
  <si>
    <t>=D1938</t>
  </si>
  <si>
    <t>="""NAV Direct"",""CRONUS JetCorp USA"",""32"",""1"",""153170"""</t>
  </si>
  <si>
    <t>=IF($J1939="Customer",NL("first",$J1939,"Name","No.","@@"&amp;$K1939),"")</t>
  </si>
  <si>
    <t>=IF(J1939="vendor",NL("first",J1939,"Name","No.","@@"&amp;K1939),"")</t>
  </si>
  <si>
    <t>=IF($J1939="Item",NL("first",$J1939,"Description","No.","@@"&amp;$K1939),"")</t>
  </si>
  <si>
    <t>=D1939</t>
  </si>
  <si>
    <t>="""NAV Direct"",""CRONUS JetCorp USA"",""32"",""1"",""30042"""</t>
  </si>
  <si>
    <t>=IF($J1940="Customer",NL("first",$J1940,"Name","No.","@@"&amp;$K1940),"")</t>
  </si>
  <si>
    <t>=IF(J1940="vendor",NL("first",J1940,"Name","No.","@@"&amp;K1940),"")</t>
  </si>
  <si>
    <t>=IF($J1940="Item",NL("first",$J1940,"Description","No.","@@"&amp;$K1940),"")</t>
  </si>
  <si>
    <t>=D1940</t>
  </si>
  <si>
    <t>="""NAV Direct"",""CRONUS JetCorp USA"",""32"",""1"",""78873"""</t>
  </si>
  <si>
    <t>=IF($J1941="Customer",NL("first",$J1941,"Name","No.","@@"&amp;$K1941),"")</t>
  </si>
  <si>
    <t>=IF(J1941="vendor",NL("first",J1941,"Name","No.","@@"&amp;K1941),"")</t>
  </si>
  <si>
    <t>=IF($J1941="Item",NL("first",$J1941,"Description","No.","@@"&amp;$K1941),"")</t>
  </si>
  <si>
    <t>=D1941</t>
  </si>
  <si>
    <t>="""NAV Direct"",""CRONUS JetCorp USA"",""32"",""1"",""20336"""</t>
  </si>
  <si>
    <t>=IF($J1942="Customer",NL("first",$J1942,"Name","No.","@@"&amp;$K1942),"")</t>
  </si>
  <si>
    <t>=IF(J1942="vendor",NL("first",J1942,"Name","No.","@@"&amp;K1942),"")</t>
  </si>
  <si>
    <t>=IF($J1942="Item",NL("first",$J1942,"Description","No.","@@"&amp;$K1942),"")</t>
  </si>
  <si>
    <t>=D1942</t>
  </si>
  <si>
    <t>="""NAV Direct"",""CRONUS JetCorp USA"",""32"",""1"",""44458"""</t>
  </si>
  <si>
    <t>=IF($J1943="Customer",NL("first",$J1943,"Name","No.","@@"&amp;$K1943),"")</t>
  </si>
  <si>
    <t>=IF(J1943="vendor",NL("first",J1943,"Name","No.","@@"&amp;K1943),"")</t>
  </si>
  <si>
    <t>=IF($J1943="Item",NL("first",$J1943,"Description","No.","@@"&amp;$K1943),"")</t>
  </si>
  <si>
    <t>=D1943</t>
  </si>
  <si>
    <t>="""NAV Direct"",""CRONUS JetCorp USA"",""32"",""1"",""54719"""</t>
  </si>
  <si>
    <t>=IF($J1944="Customer",NL("first",$J1944,"Name","No.","@@"&amp;$K1944),"")</t>
  </si>
  <si>
    <t>=IF(J1944="vendor",NL("first",J1944,"Name","No.","@@"&amp;K1944),"")</t>
  </si>
  <si>
    <t>=IF($J1944="Item",NL("first",$J1944,"Description","No.","@@"&amp;$K1944),"")</t>
  </si>
  <si>
    <t>=D1944</t>
  </si>
  <si>
    <t>="""NAV Direct"",""CRONUS JetCorp USA"",""32"",""1"",""128873"""</t>
  </si>
  <si>
    <t>=IF($J1945="Customer",NL("first",$J1945,"Name","No.","@@"&amp;$K1945),"")</t>
  </si>
  <si>
    <t>=IF(J1945="vendor",NL("first",J1945,"Name","No.","@@"&amp;K1945),"")</t>
  </si>
  <si>
    <t>=IF($J1945="Item",NL("first",$J1945,"Description","No.","@@"&amp;$K1945),"")</t>
  </si>
  <si>
    <t>=D1945</t>
  </si>
  <si>
    <t>="""NAV Direct"",""CRONUS JetCorp USA"",""32"",""1"",""20381"""</t>
  </si>
  <si>
    <t>=IF($J1946="Customer",NL("first",$J1946,"Name","No.","@@"&amp;$K1946),"")</t>
  </si>
  <si>
    <t>=IF(J1946="vendor",NL("first",J1946,"Name","No.","@@"&amp;K1946),"")</t>
  </si>
  <si>
    <t>=IF($J1946="Item",NL("first",$J1946,"Description","No.","@@"&amp;$K1946),"")</t>
  </si>
  <si>
    <t>=D1946</t>
  </si>
  <si>
    <t>="""NAV Direct"",""CRONUS JetCorp USA"",""32"",""1"",""20413"""</t>
  </si>
  <si>
    <t>=IF($J1947="Customer",NL("first",$J1947,"Name","No.","@@"&amp;$K1947),"")</t>
  </si>
  <si>
    <t>=IF(J1947="vendor",NL("first",J1947,"Name","No.","@@"&amp;K1947),"")</t>
  </si>
  <si>
    <t>=IF($J1947="Item",NL("first",$J1947,"Description","No.","@@"&amp;$K1947),"")</t>
  </si>
  <si>
    <t>=D1947</t>
  </si>
  <si>
    <t>="""NAV Direct"",""CRONUS JetCorp USA"",""32"",""1"",""30112"""</t>
  </si>
  <si>
    <t>=IF($J1948="Customer",NL("first",$J1948,"Name","No.","@@"&amp;$K1948),"")</t>
  </si>
  <si>
    <t>=IF(J1948="vendor",NL("first",J1948,"Name","No.","@@"&amp;K1948),"")</t>
  </si>
  <si>
    <t>=IF($J1948="Item",NL("first",$J1948,"Description","No.","@@"&amp;$K1948),"")</t>
  </si>
  <si>
    <t>=D1948</t>
  </si>
  <si>
    <t>="""NAV Direct"",""CRONUS JetCorp USA"",""32"",""1"",""124591"""</t>
  </si>
  <si>
    <t>=IF($J1949="Customer",NL("first",$J1949,"Name","No.","@@"&amp;$K1949),"")</t>
  </si>
  <si>
    <t>=IF(J1949="vendor",NL("first",J1949,"Name","No.","@@"&amp;K1949),"")</t>
  </si>
  <si>
    <t>=IF($J1949="Item",NL("first",$J1949,"Description","No.","@@"&amp;$K1949),"")</t>
  </si>
  <si>
    <t>=D1949</t>
  </si>
  <si>
    <t>="""NAV Direct"",""CRONUS JetCorp USA"",""32"",""1"",""25289"""</t>
  </si>
  <si>
    <t>=IF($J1950="Customer",NL("first",$J1950,"Name","No.","@@"&amp;$K1950),"")</t>
  </si>
  <si>
    <t>=IF(J1950="vendor",NL("first",J1950,"Name","No.","@@"&amp;K1950),"")</t>
  </si>
  <si>
    <t>=IF($J1950="Item",NL("first",$J1950,"Description","No.","@@"&amp;$K1950),"")</t>
  </si>
  <si>
    <t>=D1950</t>
  </si>
  <si>
    <t>="""NAV Direct"",""CRONUS JetCorp USA"",""32"",""1"",""132524"""</t>
  </si>
  <si>
    <t>=IF($J1951="Customer",NL("first",$J1951,"Name","No.","@@"&amp;$K1951),"")</t>
  </si>
  <si>
    <t>=IF(J1951="vendor",NL("first",J1951,"Name","No.","@@"&amp;K1951),"")</t>
  </si>
  <si>
    <t>=IF($J1951="Item",NL("first",$J1951,"Description","No.","@@"&amp;$K1951),"")</t>
  </si>
  <si>
    <t>=E1954</t>
  </si>
  <si>
    <t>=NL("First","Item","Description","No.",$E1954)</t>
  </si>
  <si>
    <t>=NL("First","Item","Base Unit of Measure","No.",$E1954)</t>
  </si>
  <si>
    <t>=(SUBTOTAL(9,O1955:O1981))</t>
  </si>
  <si>
    <t>=(SUBTOTAL(9,P1955:P1981))</t>
  </si>
  <si>
    <t>=(SUBTOTAL(9,Q1955:Q1981))</t>
  </si>
  <si>
    <t>=(SUBTOTAL(9,R1955:R1981))</t>
  </si>
  <si>
    <t>=(SUBTOTAL(9,S1955:S1981))</t>
  </si>
  <si>
    <t>=(SUBTOTAL(9,T1955:T1981))</t>
  </si>
  <si>
    <t>=SUBTOTAL(9,O1955:T1981)</t>
  </si>
  <si>
    <t>=D1954</t>
  </si>
  <si>
    <t>=NL("Rows","Item Ledger Entry",,"+Posting Date",$L$5,"Item No.","@@"&amp;$D1955,"Location Code",$L$7)</t>
  </si>
  <si>
    <t>=IF($J1955="Customer",NL("first",$J1955,"Name","No.","@@"&amp;$K1955),"")</t>
  </si>
  <si>
    <t>=IF(J1955="vendor",NL("first",J1955,"Name","No.","@@"&amp;K1955),"")</t>
  </si>
  <si>
    <t>=IF($J1955="Item",NL("first",$J1955,"Description","No.","@@"&amp;$K1955),"")</t>
  </si>
  <si>
    <t>=D1955</t>
  </si>
  <si>
    <t>="""NAV Direct"",""CRONUS JetCorp USA"",""32"",""1"",""167508"""</t>
  </si>
  <si>
    <t>=IF($J1956="Customer",NL("first",$J1956,"Name","No.","@@"&amp;$K1956),"")</t>
  </si>
  <si>
    <t>=IF(J1956="vendor",NL("first",J1956,"Name","No.","@@"&amp;K1956),"")</t>
  </si>
  <si>
    <t>=IF($J1956="Item",NL("first",$J1956,"Description","No.","@@"&amp;$K1956),"")</t>
  </si>
  <si>
    <t>=D1956</t>
  </si>
  <si>
    <t>="""NAV Direct"",""CRONUS JetCorp USA"",""32"",""1"",""167525"""</t>
  </si>
  <si>
    <t>=IF($J1957="Customer",NL("first",$J1957,"Name","No.","@@"&amp;$K1957),"")</t>
  </si>
  <si>
    <t>=IF(J1957="vendor",NL("first",J1957,"Name","No.","@@"&amp;K1957),"")</t>
  </si>
  <si>
    <t>=IF($J1957="Item",NL("first",$J1957,"Description","No.","@@"&amp;$K1957),"")</t>
  </si>
  <si>
    <t>=D1957</t>
  </si>
  <si>
    <t>="""NAV Direct"",""CRONUS JetCorp USA"",""32"",""1"",""167542"""</t>
  </si>
  <si>
    <t>=IF($J1958="Customer",NL("first",$J1958,"Name","No.","@@"&amp;$K1958),"")</t>
  </si>
  <si>
    <t>=IF(J1958="vendor",NL("first",J1958,"Name","No.","@@"&amp;K1958),"")</t>
  </si>
  <si>
    <t>=IF($J1958="Item",NL("first",$J1958,"Description","No.","@@"&amp;$K1958),"")</t>
  </si>
  <si>
    <t>=D1958</t>
  </si>
  <si>
    <t>="""NAV Direct"",""CRONUS JetCorp USA"",""32"",""1"",""167550"""</t>
  </si>
  <si>
    <t>=IF($J1959="Customer",NL("first",$J1959,"Name","No.","@@"&amp;$K1959),"")</t>
  </si>
  <si>
    <t>=IF(J1959="vendor",NL("first",J1959,"Name","No.","@@"&amp;K1959),"")</t>
  </si>
  <si>
    <t>=IF($J1959="Item",NL("first",$J1959,"Description","No.","@@"&amp;$K1959),"")</t>
  </si>
  <si>
    <t>=D1959</t>
  </si>
  <si>
    <t>="""NAV Direct"",""CRONUS JetCorp USA"",""32"",""1"",""167570"""</t>
  </si>
  <si>
    <t>=IF($J1960="Customer",NL("first",$J1960,"Name","No.","@@"&amp;$K1960),"")</t>
  </si>
  <si>
    <t>=IF(J1960="vendor",NL("first",J1960,"Name","No.","@@"&amp;K1960),"")</t>
  </si>
  <si>
    <t>=IF($J1960="Item",NL("first",$J1960,"Description","No.","@@"&amp;$K1960),"")</t>
  </si>
  <si>
    <t>=D1960</t>
  </si>
  <si>
    <t>="""NAV Direct"",""CRONUS JetCorp USA"",""32"",""1"",""167588"""</t>
  </si>
  <si>
    <t>=IF($J1961="Customer",NL("first",$J1961,"Name","No.","@@"&amp;$K1961),"")</t>
  </si>
  <si>
    <t>=IF(J1961="vendor",NL("first",J1961,"Name","No.","@@"&amp;K1961),"")</t>
  </si>
  <si>
    <t>=IF($J1961="Item",NL("first",$J1961,"Description","No.","@@"&amp;$K1961),"")</t>
  </si>
  <si>
    <t>=D1961</t>
  </si>
  <si>
    <t>="""NAV Direct"",""CRONUS JetCorp USA"",""32"",""1"",""167598"""</t>
  </si>
  <si>
    <t>=IF($J1962="Customer",NL("first",$J1962,"Name","No.","@@"&amp;$K1962),"")</t>
  </si>
  <si>
    <t>=IF(J1962="vendor",NL("first",J1962,"Name","No.","@@"&amp;K1962),"")</t>
  </si>
  <si>
    <t>=IF($J1962="Item",NL("first",$J1962,"Description","No.","@@"&amp;$K1962),"")</t>
  </si>
  <si>
    <t>=D1962</t>
  </si>
  <si>
    <t>="""NAV Direct"",""CRONUS JetCorp USA"",""32"",""1"",""167618"""</t>
  </si>
  <si>
    <t>=IF($J1963="Customer",NL("first",$J1963,"Name","No.","@@"&amp;$K1963),"")</t>
  </si>
  <si>
    <t>=IF(J1963="vendor",NL("first",J1963,"Name","No.","@@"&amp;K1963),"")</t>
  </si>
  <si>
    <t>=IF($J1963="Item",NL("first",$J1963,"Description","No.","@@"&amp;$K1963),"")</t>
  </si>
  <si>
    <t>=D1963</t>
  </si>
  <si>
    <t>="""NAV Direct"",""CRONUS JetCorp USA"",""32"",""1"",""20373"""</t>
  </si>
  <si>
    <t>=IF($J1964="Customer",NL("first",$J1964,"Name","No.","@@"&amp;$K1964),"")</t>
  </si>
  <si>
    <t>=IF(J1964="vendor",NL("first",J1964,"Name","No.","@@"&amp;K1964),"")</t>
  </si>
  <si>
    <t>=IF($J1964="Item",NL("first",$J1964,"Description","No.","@@"&amp;$K1964),"")</t>
  </si>
  <si>
    <t>=D1964</t>
  </si>
  <si>
    <t>="""NAV Direct"",""CRONUS JetCorp USA"",""32"",""1"",""124516"""</t>
  </si>
  <si>
    <t>=IF($J1965="Customer",NL("first",$J1965,"Name","No.","@@"&amp;$K1965),"")</t>
  </si>
  <si>
    <t>=IF(J1965="vendor",NL("first",J1965,"Name","No.","@@"&amp;K1965),"")</t>
  </si>
  <si>
    <t>=IF($J1965="Item",NL("first",$J1965,"Description","No.","@@"&amp;$K1965),"")</t>
  </si>
  <si>
    <t>=D1965</t>
  </si>
  <si>
    <t>="""NAV Direct"",""CRONUS JetCorp USA"",""32"",""1"",""132514"""</t>
  </si>
  <si>
    <t>=IF($J1966="Customer",NL("first",$J1966,"Name","No.","@@"&amp;$K1966),"")</t>
  </si>
  <si>
    <t>=IF(J1966="vendor",NL("first",J1966,"Name","No.","@@"&amp;K1966),"")</t>
  </si>
  <si>
    <t>=IF($J1966="Item",NL("first",$J1966,"Description","No.","@@"&amp;$K1966),"")</t>
  </si>
  <si>
    <t>=D1966</t>
  </si>
  <si>
    <t>="""NAV Direct"",""CRONUS JetCorp USA"",""32"",""1"",""30038"""</t>
  </si>
  <si>
    <t>=IF($J1967="Customer",NL("first",$J1967,"Name","No.","@@"&amp;$K1967),"")</t>
  </si>
  <si>
    <t>=IF(J1967="vendor",NL("first",J1967,"Name","No.","@@"&amp;K1967),"")</t>
  </si>
  <si>
    <t>=IF($J1967="Item",NL("first",$J1967,"Description","No.","@@"&amp;$K1967),"")</t>
  </si>
  <si>
    <t>=D1967</t>
  </si>
  <si>
    <t>="""NAV Direct"",""CRONUS JetCorp USA"",""32"",""1"",""72516"""</t>
  </si>
  <si>
    <t>=IF($J1968="Customer",NL("first",$J1968,"Name","No.","@@"&amp;$K1968),"")</t>
  </si>
  <si>
    <t>=IF(J1968="vendor",NL("first",J1968,"Name","No.","@@"&amp;K1968),"")</t>
  </si>
  <si>
    <t>=IF($J1968="Item",NL("first",$J1968,"Description","No.","@@"&amp;$K1968),"")</t>
  </si>
  <si>
    <t>=D1968</t>
  </si>
  <si>
    <t>="""NAV Direct"",""CRONUS JetCorp USA"",""32"",""1"",""128856"""</t>
  </si>
  <si>
    <t>=IF($J1969="Customer",NL("first",$J1969,"Name","No.","@@"&amp;$K1969),"")</t>
  </si>
  <si>
    <t>=IF(J1969="vendor",NL("first",J1969,"Name","No.","@@"&amp;K1969),"")</t>
  </si>
  <si>
    <t>=IF($J1969="Item",NL("first",$J1969,"Description","No.","@@"&amp;$K1969),"")</t>
  </si>
  <si>
    <t>=D1969</t>
  </si>
  <si>
    <t>="""NAV Direct"",""CRONUS JetCorp USA"",""32"",""1"",""44463"""</t>
  </si>
  <si>
    <t>=IF($J1970="Customer",NL("first",$J1970,"Name","No.","@@"&amp;$K1970),"")</t>
  </si>
  <si>
    <t>=IF(J1970="vendor",NL("first",J1970,"Name","No.","@@"&amp;K1970),"")</t>
  </si>
  <si>
    <t>=IF($J1970="Item",NL("first",$J1970,"Description","No.","@@"&amp;$K1970),"")</t>
  </si>
  <si>
    <t>=D1970</t>
  </si>
  <si>
    <t>="""NAV Direct"",""CRONUS JetCorp USA"",""32"",""1"",""128874"""</t>
  </si>
  <si>
    <t>=IF($J1971="Customer",NL("first",$J1971,"Name","No.","@@"&amp;$K1971),"")</t>
  </si>
  <si>
    <t>=IF(J1971="vendor",NL("first",J1971,"Name","No.","@@"&amp;K1971),"")</t>
  </si>
  <si>
    <t>=IF($J1971="Item",NL("first",$J1971,"Description","No.","@@"&amp;$K1971),"")</t>
  </si>
  <si>
    <t>=D1971</t>
  </si>
  <si>
    <t>="""NAV Direct"",""CRONUS JetCorp USA"",""32"",""1"",""142552"""</t>
  </si>
  <si>
    <t>=IF($J1972="Customer",NL("first",$J1972,"Name","No.","@@"&amp;$K1972),"")</t>
  </si>
  <si>
    <t>=IF(J1972="vendor",NL("first",J1972,"Name","No.","@@"&amp;K1972),"")</t>
  </si>
  <si>
    <t>=IF($J1972="Item",NL("first",$J1972,"Description","No.","@@"&amp;$K1972),"")</t>
  </si>
  <si>
    <t>=D1972</t>
  </si>
  <si>
    <t>="""NAV Direct"",""CRONUS JetCorp USA"",""32"",""1"",""20390"""</t>
  </si>
  <si>
    <t>=IF($J1973="Customer",NL("first",$J1973,"Name","No.","@@"&amp;$K1973),"")</t>
  </si>
  <si>
    <t>=IF(J1973="vendor",NL("first",J1973,"Name","No.","@@"&amp;K1973),"")</t>
  </si>
  <si>
    <t>=IF($J1973="Item",NL("first",$J1973,"Description","No.","@@"&amp;$K1973),"")</t>
  </si>
  <si>
    <t>=D1973</t>
  </si>
  <si>
    <t>="""NAV Direct"",""CRONUS JetCorp USA"",""32"",""1"",""30050"""</t>
  </si>
  <si>
    <t>=IF($J1974="Customer",NL("first",$J1974,"Name","No.","@@"&amp;$K1974),"")</t>
  </si>
  <si>
    <t>=IF(J1974="vendor",NL("first",J1974,"Name","No.","@@"&amp;K1974),"")</t>
  </si>
  <si>
    <t>=IF($J1974="Item",NL("first",$J1974,"Description","No.","@@"&amp;$K1974),"")</t>
  </si>
  <si>
    <t>=D1974</t>
  </si>
  <si>
    <t>="""NAV Direct"",""CRONUS JetCorp USA"",""32"",""1"",""30062"""</t>
  </si>
  <si>
    <t>=IF($J1975="Customer",NL("first",$J1975,"Name","No.","@@"&amp;$K1975),"")</t>
  </si>
  <si>
    <t>=IF(J1975="vendor",NL("first",J1975,"Name","No.","@@"&amp;K1975),"")</t>
  </si>
  <si>
    <t>=IF($J1975="Item",NL("first",$J1975,"Description","No.","@@"&amp;$K1975),"")</t>
  </si>
  <si>
    <t>=D1975</t>
  </si>
  <si>
    <t>="""NAV Direct"",""CRONUS JetCorp USA"",""32"",""1"",""54702"""</t>
  </si>
  <si>
    <t>=IF($J1976="Customer",NL("first",$J1976,"Name","No.","@@"&amp;$K1976),"")</t>
  </si>
  <si>
    <t>=IF(J1976="vendor",NL("first",J1976,"Name","No.","@@"&amp;K1976),"")</t>
  </si>
  <si>
    <t>=IF($J1976="Item",NL("first",$J1976,"Description","No.","@@"&amp;$K1976),"")</t>
  </si>
  <si>
    <t>=D1976</t>
  </si>
  <si>
    <t>="""NAV Direct"",""CRONUS JetCorp USA"",""32"",""1"",""135821"""</t>
  </si>
  <si>
    <t>=IF($J1977="Customer",NL("first",$J1977,"Name","No.","@@"&amp;$K1977),"")</t>
  </si>
  <si>
    <t>=IF(J1977="vendor",NL("first",J1977,"Name","No.","@@"&amp;K1977),"")</t>
  </si>
  <si>
    <t>=IF($J1977="Item",NL("first",$J1977,"Description","No.","@@"&amp;$K1977),"")</t>
  </si>
  <si>
    <t>=D1977</t>
  </si>
  <si>
    <t>="""NAV Direct"",""CRONUS JetCorp USA"",""32"",""1"",""20358"""</t>
  </si>
  <si>
    <t>=IF($J1978="Customer",NL("first",$J1978,"Name","No.","@@"&amp;$K1978),"")</t>
  </si>
  <si>
    <t>=IF(J1978="vendor",NL("first",J1978,"Name","No.","@@"&amp;K1978),"")</t>
  </si>
  <si>
    <t>=IF($J1978="Item",NL("first",$J1978,"Description","No.","@@"&amp;$K1978),"")</t>
  </si>
  <si>
    <t>=D1978</t>
  </si>
  <si>
    <t>="""NAV Direct"",""CRONUS JetCorp USA"",""32"",""1"",""30113"""</t>
  </si>
  <si>
    <t>=IF($J1979="Customer",NL("first",$J1979,"Name","No.","@@"&amp;$K1979),"")</t>
  </si>
  <si>
    <t>=IF(J1979="vendor",NL("first",J1979,"Name","No.","@@"&amp;K1979),"")</t>
  </si>
  <si>
    <t>=IF($J1979="Item",NL("first",$J1979,"Description","No.","@@"&amp;$K1979),"")</t>
  </si>
  <si>
    <t>=D1979</t>
  </si>
  <si>
    <t>="""NAV Direct"",""CRONUS JetCorp USA"",""32"",""1"",""25271"""</t>
  </si>
  <si>
    <t>=IF($J1980="Customer",NL("first",$J1980,"Name","No.","@@"&amp;$K1980),"")</t>
  </si>
  <si>
    <t>=IF(J1980="vendor",NL("first",J1980,"Name","No.","@@"&amp;K1980),"")</t>
  </si>
  <si>
    <t>=IF($J1980="Item",NL("first",$J1980,"Description","No.","@@"&amp;$K1980),"")</t>
  </si>
  <si>
    <t>=E1983</t>
  </si>
  <si>
    <t>=NL("First","Item","Description","No.",$E1983)</t>
  </si>
  <si>
    <t>=NL("First","Item","Base Unit of Measure","No.",$E1983)</t>
  </si>
  <si>
    <t>=(SUBTOTAL(9,O1984:O2011))</t>
  </si>
  <si>
    <t>=(SUBTOTAL(9,P1984:P2011))</t>
  </si>
  <si>
    <t>=(SUBTOTAL(9,Q1984:Q2011))</t>
  </si>
  <si>
    <t>=(SUBTOTAL(9,R1984:R2011))</t>
  </si>
  <si>
    <t>=(SUBTOTAL(9,S1984:S2011))</t>
  </si>
  <si>
    <t>=(SUBTOTAL(9,T1984:T2011))</t>
  </si>
  <si>
    <t>=SUBTOTAL(9,O1984:T2011)</t>
  </si>
  <si>
    <t>=D1983</t>
  </si>
  <si>
    <t>=NL("Rows","Item Ledger Entry",,"+Posting Date",$L$5,"Item No.","@@"&amp;$D1984,"Location Code",$L$7)</t>
  </si>
  <si>
    <t>=IF($J1984="Customer",NL("first",$J1984,"Name","No.","@@"&amp;$K1984),"")</t>
  </si>
  <si>
    <t>=IF(J1984="vendor",NL("first",J1984,"Name","No.","@@"&amp;K1984),"")</t>
  </si>
  <si>
    <t>=IF($J1984="Item",NL("first",$J1984,"Description","No.","@@"&amp;$K1984),"")</t>
  </si>
  <si>
    <t>=D1984</t>
  </si>
  <si>
    <t>="""NAV Direct"",""CRONUS JetCorp USA"",""32"",""1"",""167524"""</t>
  </si>
  <si>
    <t>=IF($J1985="Customer",NL("first",$J1985,"Name","No.","@@"&amp;$K1985),"")</t>
  </si>
  <si>
    <t>=IF(J1985="vendor",NL("first",J1985,"Name","No.","@@"&amp;K1985),"")</t>
  </si>
  <si>
    <t>=IF($J1985="Item",NL("first",$J1985,"Description","No.","@@"&amp;$K1985),"")</t>
  </si>
  <si>
    <t>=D1985</t>
  </si>
  <si>
    <t>="""NAV Direct"",""CRONUS JetCorp USA"",""32"",""1"",""167549"""</t>
  </si>
  <si>
    <t>=IF($J1986="Customer",NL("first",$J1986,"Name","No.","@@"&amp;$K1986),"")</t>
  </si>
  <si>
    <t>=IF(J1986="vendor",NL("first",J1986,"Name","No.","@@"&amp;K1986),"")</t>
  </si>
  <si>
    <t>=IF($J1986="Item",NL("first",$J1986,"Description","No.","@@"&amp;$K1986),"")</t>
  </si>
  <si>
    <t>=D1986</t>
  </si>
  <si>
    <t>="""NAV Direct"",""CRONUS JetCorp USA"",""32"",""1"",""167569"""</t>
  </si>
  <si>
    <t>=IF($J1987="Customer",NL("first",$J1987,"Name","No.","@@"&amp;$K1987),"")</t>
  </si>
  <si>
    <t>=IF(J1987="vendor",NL("first",J1987,"Name","No.","@@"&amp;K1987),"")</t>
  </si>
  <si>
    <t>=IF($J1987="Item",NL("first",$J1987,"Description","No.","@@"&amp;$K1987),"")</t>
  </si>
  <si>
    <t>=D1987</t>
  </si>
  <si>
    <t>="""NAV Direct"",""CRONUS JetCorp USA"",""32"",""1"",""167587"""</t>
  </si>
  <si>
    <t>=IF($J1988="Customer",NL("first",$J1988,"Name","No.","@@"&amp;$K1988),"")</t>
  </si>
  <si>
    <t>=IF(J1988="vendor",NL("first",J1988,"Name","No.","@@"&amp;K1988),"")</t>
  </si>
  <si>
    <t>=IF($J1988="Item",NL("first",$J1988,"Description","No.","@@"&amp;$K1988),"")</t>
  </si>
  <si>
    <t>=D1988</t>
  </si>
  <si>
    <t>="""NAV Direct"",""CRONUS JetCorp USA"",""32"",""1"",""167597"""</t>
  </si>
  <si>
    <t>=IF($J1989="Customer",NL("first",$J1989,"Name","No.","@@"&amp;$K1989),"")</t>
  </si>
  <si>
    <t>=IF(J1989="vendor",NL("first",J1989,"Name","No.","@@"&amp;K1989),"")</t>
  </si>
  <si>
    <t>=IF($J1989="Item",NL("first",$J1989,"Description","No.","@@"&amp;$K1989),"")</t>
  </si>
  <si>
    <t>=D1989</t>
  </si>
  <si>
    <t>="""NAV Direct"",""CRONUS JetCorp USA"",""32"",""1"",""167617"""</t>
  </si>
  <si>
    <t>=IF($J1990="Customer",NL("first",$J1990,"Name","No.","@@"&amp;$K1990),"")</t>
  </si>
  <si>
    <t>=IF(J1990="vendor",NL("first",J1990,"Name","No.","@@"&amp;K1990),"")</t>
  </si>
  <si>
    <t>=IF($J1990="Item",NL("first",$J1990,"Description","No.","@@"&amp;$K1990),"")</t>
  </si>
  <si>
    <t>=D1990</t>
  </si>
  <si>
    <t>="""NAV Direct"",""CRONUS JetCorp USA"",""32"",""1"",""20370"""</t>
  </si>
  <si>
    <t>=IF($J1991="Customer",NL("first",$J1991,"Name","No.","@@"&amp;$K1991),"")</t>
  </si>
  <si>
    <t>=IF(J1991="vendor",NL("first",J1991,"Name","No.","@@"&amp;K1991),"")</t>
  </si>
  <si>
    <t>=IF($J1991="Item",NL("first",$J1991,"Description","No.","@@"&amp;$K1991),"")</t>
  </si>
  <si>
    <t>=D1991</t>
  </si>
  <si>
    <t>="""NAV Direct"",""CRONUS JetCorp USA"",""32"",""1"",""64573"""</t>
  </si>
  <si>
    <t>=IF($J1992="Customer",NL("first",$J1992,"Name","No.","@@"&amp;$K1992),"")</t>
  </si>
  <si>
    <t>=IF(J1992="vendor",NL("first",J1992,"Name","No.","@@"&amp;K1992),"")</t>
  </si>
  <si>
    <t>=IF($J1992="Item",NL("first",$J1992,"Description","No.","@@"&amp;$K1992),"")</t>
  </si>
  <si>
    <t>=D1992</t>
  </si>
  <si>
    <t>="""NAV Direct"",""CRONUS JetCorp USA"",""32"",""1"",""147988"""</t>
  </si>
  <si>
    <t>=IF($J1993="Customer",NL("first",$J1993,"Name","No.","@@"&amp;$K1993),"")</t>
  </si>
  <si>
    <t>=IF(J1993="vendor",NL("first",J1993,"Name","No.","@@"&amp;K1993),"")</t>
  </si>
  <si>
    <t>=IF($J1993="Item",NL("first",$J1993,"Description","No.","@@"&amp;$K1993),"")</t>
  </si>
  <si>
    <t>=D1993</t>
  </si>
  <si>
    <t>="""NAV Direct"",""CRONUS JetCorp USA"",""32"",""1"",""124514"""</t>
  </si>
  <si>
    <t>=IF($J1994="Customer",NL("first",$J1994,"Name","No.","@@"&amp;$K1994),"")</t>
  </si>
  <si>
    <t>=IF(J1994="vendor",NL("first",J1994,"Name","No.","@@"&amp;K1994),"")</t>
  </si>
  <si>
    <t>=IF($J1994="Item",NL("first",$J1994,"Description","No.","@@"&amp;$K1994),"")</t>
  </si>
  <si>
    <t>=D1994</t>
  </si>
  <si>
    <t>="""NAV Direct"",""CRONUS JetCorp USA"",""32"",""1"",""128854"""</t>
  </si>
  <si>
    <t>=IF($J1995="Customer",NL("first",$J1995,"Name","No.","@@"&amp;$K1995),"")</t>
  </si>
  <si>
    <t>=IF(J1995="vendor",NL("first",J1995,"Name","No.","@@"&amp;K1995),"")</t>
  </si>
  <si>
    <t>=IF($J1995="Item",NL("first",$J1995,"Description","No.","@@"&amp;$K1995),"")</t>
  </si>
  <si>
    <t>=D1995</t>
  </si>
  <si>
    <t>="""NAV Direct"",""CRONUS JetCorp USA"",""32"",""1"",""20337"""</t>
  </si>
  <si>
    <t>=IF($J1996="Customer",NL("first",$J1996,"Name","No.","@@"&amp;$K1996),"")</t>
  </si>
  <si>
    <t>=IF(J1996="vendor",NL("first",J1996,"Name","No.","@@"&amp;K1996),"")</t>
  </si>
  <si>
    <t>=IF($J1996="Item",NL("first",$J1996,"Description","No.","@@"&amp;$K1996),"")</t>
  </si>
  <si>
    <t>=D1996</t>
  </si>
  <si>
    <t>="""NAV Direct"",""CRONUS JetCorp USA"",""32"",""1"",""25255"""</t>
  </si>
  <si>
    <t>=IF($J1997="Customer",NL("first",$J1997,"Name","No.","@@"&amp;$K1997),"")</t>
  </si>
  <si>
    <t>=IF(J1997="vendor",NL("first",J1997,"Name","No.","@@"&amp;K1997),"")</t>
  </si>
  <si>
    <t>=IF($J1997="Item",NL("first",$J1997,"Description","No.","@@"&amp;$K1997),"")</t>
  </si>
  <si>
    <t>=D1997</t>
  </si>
  <si>
    <t>="""NAV Direct"",""CRONUS JetCorp USA"",""32"",""1"",""44464"""</t>
  </si>
  <si>
    <t>=IF($J1998="Customer",NL("first",$J1998,"Name","No.","@@"&amp;$K1998),"")</t>
  </si>
  <si>
    <t>=IF(J1998="vendor",NL("first",J1998,"Name","No.","@@"&amp;K1998),"")</t>
  </si>
  <si>
    <t>=IF($J1998="Item",NL("first",$J1998,"Description","No.","@@"&amp;$K1998),"")</t>
  </si>
  <si>
    <t>=D1998</t>
  </si>
  <si>
    <t>="""NAV Direct"",""CRONUS JetCorp USA"",""32"",""1"",""128867"""</t>
  </si>
  <si>
    <t>=IF($J1999="Customer",NL("first",$J1999,"Name","No.","@@"&amp;$K1999),"")</t>
  </si>
  <si>
    <t>=IF(J1999="vendor",NL("first",J1999,"Name","No.","@@"&amp;K1999),"")</t>
  </si>
  <si>
    <t>=IF($J1999="Item",NL("first",$J1999,"Description","No.","@@"&amp;$K1999),"")</t>
  </si>
  <si>
    <t>=D1999</t>
  </si>
  <si>
    <t>="""NAV Direct"",""CRONUS JetCorp USA"",""32"",""1"",""34315"""</t>
  </si>
  <si>
    <t>=IF($J2000="Customer",NL("first",$J2000,"Name","No.","@@"&amp;$K2000),"")</t>
  </si>
  <si>
    <t>=IF(J2000="vendor",NL("first",J2000,"Name","No.","@@"&amp;K2000),"")</t>
  </si>
  <si>
    <t>=IF($J2000="Item",NL("first",$J2000,"Description","No.","@@"&amp;$K2000),"")</t>
  </si>
  <si>
    <t>=D2000</t>
  </si>
  <si>
    <t>="""NAV Direct"",""CRONUS JetCorp USA"",""32"",""1"",""124543"""</t>
  </si>
  <si>
    <t>=IF($J2001="Customer",NL("first",$J2001,"Name","No.","@@"&amp;$K2001),"")</t>
  </si>
  <si>
    <t>=IF(J2001="vendor",NL("first",J2001,"Name","No.","@@"&amp;K2001),"")</t>
  </si>
  <si>
    <t>=IF($J2001="Item",NL("first",$J2001,"Description","No.","@@"&amp;$K2001),"")</t>
  </si>
  <si>
    <t>=D2001</t>
  </si>
  <si>
    <t>="""NAV Direct"",""CRONUS JetCorp USA"",""32"",""1"",""30061"""</t>
  </si>
  <si>
    <t>=IF($J2002="Customer",NL("first",$J2002,"Name","No.","@@"&amp;$K2002),"")</t>
  </si>
  <si>
    <t>=IF(J2002="vendor",NL("first",J2002,"Name","No.","@@"&amp;K2002),"")</t>
  </si>
  <si>
    <t>=IF($J2002="Item",NL("first",$J2002,"Description","No.","@@"&amp;$K2002),"")</t>
  </si>
  <si>
    <t>=D2002</t>
  </si>
  <si>
    <t>="""NAV Direct"",""CRONUS JetCorp USA"",""32"",""1"",""36497"""</t>
  </si>
  <si>
    <t>=IF($J2003="Customer",NL("first",$J2003,"Name","No.","@@"&amp;$K2003),"")</t>
  </si>
  <si>
    <t>=IF(J2003="vendor",NL("first",J2003,"Name","No.","@@"&amp;K2003),"")</t>
  </si>
  <si>
    <t>=IF($J2003="Item",NL("first",$J2003,"Description","No.","@@"&amp;$K2003),"")</t>
  </si>
  <si>
    <t>=D2003</t>
  </si>
  <si>
    <t>="""NAV Direct"",""CRONUS JetCorp USA"",""32"",""1"",""124528"""</t>
  </si>
  <si>
    <t>=IF($J2004="Customer",NL("first",$J2004,"Name","No.","@@"&amp;$K2004),"")</t>
  </si>
  <si>
    <t>=IF(J2004="vendor",NL("first",J2004,"Name","No.","@@"&amp;K2004),"")</t>
  </si>
  <si>
    <t>=IF($J2004="Item",NL("first",$J2004,"Description","No.","@@"&amp;$K2004),"")</t>
  </si>
  <si>
    <t>=D2004</t>
  </si>
  <si>
    <t>="""NAV Direct"",""CRONUS JetCorp USA"",""32"",""1"",""20356"""</t>
  </si>
  <si>
    <t>=IF($J2005="Customer",NL("first",$J2005,"Name","No.","@@"&amp;$K2005),"")</t>
  </si>
  <si>
    <t>=IF(J2005="vendor",NL("first",J2005,"Name","No.","@@"&amp;K2005),"")</t>
  </si>
  <si>
    <t>=IF($J2005="Item",NL("first",$J2005,"Description","No.","@@"&amp;$K2005),"")</t>
  </si>
  <si>
    <t>=D2005</t>
  </si>
  <si>
    <t>="""NAV Direct"",""CRONUS JetCorp USA"",""32"",""1"",""20409"""</t>
  </si>
  <si>
    <t>=IF($J2006="Customer",NL("first",$J2006,"Name","No.","@@"&amp;$K2006),"")</t>
  </si>
  <si>
    <t>=IF(J2006="vendor",NL("first",J2006,"Name","No.","@@"&amp;K2006),"")</t>
  </si>
  <si>
    <t>=IF($J2006="Item",NL("first",$J2006,"Description","No.","@@"&amp;$K2006),"")</t>
  </si>
  <si>
    <t>=D2006</t>
  </si>
  <si>
    <t>="""NAV Direct"",""CRONUS JetCorp USA"",""32"",""1"",""30114"""</t>
  </si>
  <si>
    <t>=IF($J2007="Customer",NL("first",$J2007,"Name","No.","@@"&amp;$K2007),"")</t>
  </si>
  <si>
    <t>=IF(J2007="vendor",NL("first",J2007,"Name","No.","@@"&amp;K2007),"")</t>
  </si>
  <si>
    <t>=IF($J2007="Item",NL("first",$J2007,"Description","No.","@@"&amp;$K2007),"")</t>
  </si>
  <si>
    <t>=D2007</t>
  </si>
  <si>
    <t>="""NAV Direct"",""CRONUS JetCorp USA"",""32"",""1"",""36487"""</t>
  </si>
  <si>
    <t>=IF($J2008="Customer",NL("first",$J2008,"Name","No.","@@"&amp;$K2008),"")</t>
  </si>
  <si>
    <t>=IF(J2008="vendor",NL("first",J2008,"Name","No.","@@"&amp;K2008),"")</t>
  </si>
  <si>
    <t>=IF($J2008="Item",NL("first",$J2008,"Description","No.","@@"&amp;$K2008),"")</t>
  </si>
  <si>
    <t>=D2008</t>
  </si>
  <si>
    <t>="""NAV Direct"",""CRONUS JetCorp USA"",""32"",""1"",""124592"""</t>
  </si>
  <si>
    <t>=IF($J2009="Customer",NL("first",$J2009,"Name","No.","@@"&amp;$K2009),"")</t>
  </si>
  <si>
    <t>=IF(J2009="vendor",NL("first",J2009,"Name","No.","@@"&amp;K2009),"")</t>
  </si>
  <si>
    <t>=IF($J2009="Item",NL("first",$J2009,"Description","No.","@@"&amp;$K2009),"")</t>
  </si>
  <si>
    <t>=D2009</t>
  </si>
  <si>
    <t>="""NAV Direct"",""CRONUS JetCorp USA"",""32"",""1"",""25291"""</t>
  </si>
  <si>
    <t>=IF($J2010="Customer",NL("first",$J2010,"Name","No.","@@"&amp;$K2010),"")</t>
  </si>
  <si>
    <t>=IF(J2010="vendor",NL("first",J2010,"Name","No.","@@"&amp;K2010),"")</t>
  </si>
  <si>
    <t>=IF($J2010="Item",NL("first",$J2010,"Description","No.","@@"&amp;$K2010),"")</t>
  </si>
  <si>
    <t>=E2013</t>
  </si>
  <si>
    <t>=NL("First","Item","Description","No.",$E2013)</t>
  </si>
  <si>
    <t>=NL("First","Item","Base Unit of Measure","No.",$E2013)</t>
  </si>
  <si>
    <t>=(SUBTOTAL(9,O2014:O2021))</t>
  </si>
  <si>
    <t>=(SUBTOTAL(9,P2014:P2021))</t>
  </si>
  <si>
    <t>=(SUBTOTAL(9,Q2014:Q2021))</t>
  </si>
  <si>
    <t>=(SUBTOTAL(9,R2014:R2021))</t>
  </si>
  <si>
    <t>=(SUBTOTAL(9,S2014:S2021))</t>
  </si>
  <si>
    <t>=(SUBTOTAL(9,T2014:T2021))</t>
  </si>
  <si>
    <t>=SUBTOTAL(9,O2014:T2021)</t>
  </si>
  <si>
    <t>=D2013</t>
  </si>
  <si>
    <t>=NL("Rows","Item Ledger Entry",,"+Posting Date",$L$5,"Item No.","@@"&amp;$D2014,"Location Code",$L$7)</t>
  </si>
  <si>
    <t>=IF($J2014="Customer",NL("first",$J2014,"Name","No.","@@"&amp;$K2014),"")</t>
  </si>
  <si>
    <t>=IF(J2014="vendor",NL("first",J2014,"Name","No.","@@"&amp;K2014),"")</t>
  </si>
  <si>
    <t>=IF($J2014="Item",NL("first",$J2014,"Description","No.","@@"&amp;$K2014),"")</t>
  </si>
  <si>
    <t>=D2014</t>
  </si>
  <si>
    <t>="""NAV Direct"",""CRONUS JetCorp USA"",""32"",""1"",""168632"""</t>
  </si>
  <si>
    <t>=IF($J2015="Customer",NL("first",$J2015,"Name","No.","@@"&amp;$K2015),"")</t>
  </si>
  <si>
    <t>=IF(J2015="vendor",NL("first",J2015,"Name","No.","@@"&amp;K2015),"")</t>
  </si>
  <si>
    <t>=IF($J2015="Item",NL("first",$J2015,"Description","No.","@@"&amp;$K2015),"")</t>
  </si>
  <si>
    <t>=D2015</t>
  </si>
  <si>
    <t>="""NAV Direct"",""CRONUS JetCorp USA"",""32"",""1"",""168648"""</t>
  </si>
  <si>
    <t>=IF($J2016="Customer",NL("first",$J2016,"Name","No.","@@"&amp;$K2016),"")</t>
  </si>
  <si>
    <t>=IF(J2016="vendor",NL("first",J2016,"Name","No.","@@"&amp;K2016),"")</t>
  </si>
  <si>
    <t>=IF($J2016="Item",NL("first",$J2016,"Description","No.","@@"&amp;$K2016),"")</t>
  </si>
  <si>
    <t>=D2016</t>
  </si>
  <si>
    <t>="""NAV Direct"",""CRONUS JetCorp USA"",""32"",""1"",""168656"""</t>
  </si>
  <si>
    <t>=IF($J2017="Customer",NL("first",$J2017,"Name","No.","@@"&amp;$K2017),"")</t>
  </si>
  <si>
    <t>=IF(J2017="vendor",NL("first",J2017,"Name","No.","@@"&amp;K2017),"")</t>
  </si>
  <si>
    <t>=IF($J2017="Item",NL("first",$J2017,"Description","No.","@@"&amp;$K2017),"")</t>
  </si>
  <si>
    <t>=D2017</t>
  </si>
  <si>
    <t>="""NAV Direct"",""CRONUS JetCorp USA"",""32"",""1"",""54731"""</t>
  </si>
  <si>
    <t>=IF($J2018="Customer",NL("first",$J2018,"Name","No.","@@"&amp;$K2018),"")</t>
  </si>
  <si>
    <t>=IF(J2018="vendor",NL("first",J2018,"Name","No.","@@"&amp;K2018),"")</t>
  </si>
  <si>
    <t>=IF($J2018="Item",NL("first",$J2018,"Description","No.","@@"&amp;$K2018),"")</t>
  </si>
  <si>
    <t>=D2018</t>
  </si>
  <si>
    <t>="""NAV Direct"",""CRONUS JetCorp USA"",""32"",""1"",""44527"""</t>
  </si>
  <si>
    <t>=IF($J2019="Customer",NL("first",$J2019,"Name","No.","@@"&amp;$K2019),"")</t>
  </si>
  <si>
    <t>=IF(J2019="vendor",NL("first",J2019,"Name","No.","@@"&amp;K2019),"")</t>
  </si>
  <si>
    <t>=IF($J2019="Item",NL("first",$J2019,"Description","No.","@@"&amp;$K2019),"")</t>
  </si>
  <si>
    <t>=D2019</t>
  </si>
  <si>
    <t>="""NAV Direct"",""CRONUS JetCorp USA"",""32"",""1"",""78889"""</t>
  </si>
  <si>
    <t>=IF($J2020="Customer",NL("first",$J2020,"Name","No.","@@"&amp;$K2020),"")</t>
  </si>
  <si>
    <t>=IF(J2020="vendor",NL("first",J2020,"Name","No.","@@"&amp;K2020),"")</t>
  </si>
  <si>
    <t>=IF($J2020="Item",NL("first",$J2020,"Description","No.","@@"&amp;$K2020),"")</t>
  </si>
  <si>
    <t>=E2023</t>
  </si>
  <si>
    <t>=NL("First","Item","Description","No.",$E2023)</t>
  </si>
  <si>
    <t>=NL("First","Item","Base Unit of Measure","No.",$E2023)</t>
  </si>
  <si>
    <t>=(SUBTOTAL(9,O2024:O2034))</t>
  </si>
  <si>
    <t>=(SUBTOTAL(9,P2024:P2034))</t>
  </si>
  <si>
    <t>=(SUBTOTAL(9,Q2024:Q2034))</t>
  </si>
  <si>
    <t>=(SUBTOTAL(9,R2024:R2034))</t>
  </si>
  <si>
    <t>=(SUBTOTAL(9,S2024:S2034))</t>
  </si>
  <si>
    <t>=(SUBTOTAL(9,T2024:T2034))</t>
  </si>
  <si>
    <t>=SUBTOTAL(9,O2024:T2034)</t>
  </si>
  <si>
    <t>=D2023</t>
  </si>
  <si>
    <t>=NL("Rows","Item Ledger Entry",,"+Posting Date",$L$5,"Item No.","@@"&amp;$D2024,"Location Code",$L$7)</t>
  </si>
  <si>
    <t>=IF($J2024="Customer",NL("first",$J2024,"Name","No.","@@"&amp;$K2024),"")</t>
  </si>
  <si>
    <t>=IF(J2024="vendor",NL("first",J2024,"Name","No.","@@"&amp;K2024),"")</t>
  </si>
  <si>
    <t>=IF($J2024="Item",NL("first",$J2024,"Description","No.","@@"&amp;$K2024),"")</t>
  </si>
  <si>
    <t>=D2024</t>
  </si>
  <si>
    <t>="""NAV Direct"",""CRONUS JetCorp USA"",""32"",""1"",""168631"""</t>
  </si>
  <si>
    <t>=IF($J2025="Customer",NL("first",$J2025,"Name","No.","@@"&amp;$K2025),"")</t>
  </si>
  <si>
    <t>=IF(J2025="vendor",NL("first",J2025,"Name","No.","@@"&amp;K2025),"")</t>
  </si>
  <si>
    <t>=IF($J2025="Item",NL("first",$J2025,"Description","No.","@@"&amp;$K2025),"")</t>
  </si>
  <si>
    <t>=D2025</t>
  </si>
  <si>
    <t>="""NAV Direct"",""CRONUS JetCorp USA"",""32"",""1"",""168655"""</t>
  </si>
  <si>
    <t>=IF($J2026="Customer",NL("first",$J2026,"Name","No.","@@"&amp;$K2026),"")</t>
  </si>
  <si>
    <t>=IF(J2026="vendor",NL("first",J2026,"Name","No.","@@"&amp;K2026),"")</t>
  </si>
  <si>
    <t>=IF($J2026="Item",NL("first",$J2026,"Description","No.","@@"&amp;$K2026),"")</t>
  </si>
  <si>
    <t>=D2026</t>
  </si>
  <si>
    <t>="""NAV Direct"",""CRONUS JetCorp USA"",""32"",""1"",""168673"""</t>
  </si>
  <si>
    <t>=IF($J2027="Customer",NL("first",$J2027,"Name","No.","@@"&amp;$K2027),"")</t>
  </si>
  <si>
    <t>=IF(J2027="vendor",NL("first",J2027,"Name","No.","@@"&amp;K2027),"")</t>
  </si>
  <si>
    <t>=IF($J2027="Item",NL("first",$J2027,"Description","No.","@@"&amp;$K2027),"")</t>
  </si>
  <si>
    <t>=D2027</t>
  </si>
  <si>
    <t>="""NAV Direct"",""CRONUS JetCorp USA"",""32"",""1"",""78839"""</t>
  </si>
  <si>
    <t>=IF($J2028="Customer",NL("first",$J2028,"Name","No.","@@"&amp;$K2028),"")</t>
  </si>
  <si>
    <t>=IF(J2028="vendor",NL("first",J2028,"Name","No.","@@"&amp;K2028),"")</t>
  </si>
  <si>
    <t>=IF($J2028="Item",NL("first",$J2028,"Description","No.","@@"&amp;$K2028),"")</t>
  </si>
  <si>
    <t>=D2028</t>
  </si>
  <si>
    <t>="""NAV Direct"",""CRONUS JetCorp USA"",""32"",""1"",""78856"""</t>
  </si>
  <si>
    <t>=IF($J2029="Customer",NL("first",$J2029,"Name","No.","@@"&amp;$K2029),"")</t>
  </si>
  <si>
    <t>=IF(J2029="vendor",NL("first",J2029,"Name","No.","@@"&amp;K2029),"")</t>
  </si>
  <si>
    <t>=IF($J2029="Item",NL("first",$J2029,"Description","No.","@@"&amp;$K2029),"")</t>
  </si>
  <si>
    <t>=D2029</t>
  </si>
  <si>
    <t>="""NAV Direct"",""CRONUS JetCorp USA"",""32"",""1"",""153175"""</t>
  </si>
  <si>
    <t>=IF($J2030="Customer",NL("first",$J2030,"Name","No.","@@"&amp;$K2030),"")</t>
  </si>
  <si>
    <t>=IF(J2030="vendor",NL("first",J2030,"Name","No.","@@"&amp;K2030),"")</t>
  </si>
  <si>
    <t>=IF($J2030="Item",NL("first",$J2030,"Description","No.","@@"&amp;$K2030),"")</t>
  </si>
  <si>
    <t>=D2030</t>
  </si>
  <si>
    <t>="""NAV Direct"",""CRONUS JetCorp USA"",""32"",""1"",""44467"""</t>
  </si>
  <si>
    <t>=IF($J2031="Customer",NL("first",$J2031,"Name","No.","@@"&amp;$K2031),"")</t>
  </si>
  <si>
    <t>=IF(J2031="vendor",NL("first",J2031,"Name","No.","@@"&amp;K2031),"")</t>
  </si>
  <si>
    <t>=IF($J2031="Item",NL("first",$J2031,"Description","No.","@@"&amp;$K2031),"")</t>
  </si>
  <si>
    <t>=D2031</t>
  </si>
  <si>
    <t>="""NAV Direct"",""CRONUS JetCorp USA"",""32"",""1"",""44516"""</t>
  </si>
  <si>
    <t>=IF($J2032="Customer",NL("first",$J2032,"Name","No.","@@"&amp;$K2032),"")</t>
  </si>
  <si>
    <t>=IF(J2032="vendor",NL("first",J2032,"Name","No.","@@"&amp;K2032),"")</t>
  </si>
  <si>
    <t>=IF($J2032="Item",NL("first",$J2032,"Description","No.","@@"&amp;$K2032),"")</t>
  </si>
  <si>
    <t>=D2032</t>
  </si>
  <si>
    <t>="""NAV Direct"",""CRONUS JetCorp USA"",""32"",""1"",""78903"""</t>
  </si>
  <si>
    <t>=IF($J2033="Customer",NL("first",$J2033,"Name","No.","@@"&amp;$K2033),"")</t>
  </si>
  <si>
    <t>=IF(J2033="vendor",NL("first",J2033,"Name","No.","@@"&amp;K2033),"")</t>
  </si>
  <si>
    <t>=IF($J2033="Item",NL("first",$J2033,"Description","No.","@@"&amp;$K2033),"")</t>
  </si>
  <si>
    <t>=E2036</t>
  </si>
  <si>
    <t>=NL("First","Item","Description","No.",$E2036)</t>
  </si>
  <si>
    <t>=NL("First","Item","Base Unit of Measure","No.",$E2036)</t>
  </si>
  <si>
    <t>=(SUBTOTAL(9,O2037:O2044))</t>
  </si>
  <si>
    <t>=(SUBTOTAL(9,P2037:P2044))</t>
  </si>
  <si>
    <t>=(SUBTOTAL(9,Q2037:Q2044))</t>
  </si>
  <si>
    <t>=(SUBTOTAL(9,R2037:R2044))</t>
  </si>
  <si>
    <t>=(SUBTOTAL(9,S2037:S2044))</t>
  </si>
  <si>
    <t>=(SUBTOTAL(9,T2037:T2044))</t>
  </si>
  <si>
    <t>=SUBTOTAL(9,O2037:T2044)</t>
  </si>
  <si>
    <t>=D2036</t>
  </si>
  <si>
    <t>=NL("Rows","Item Ledger Entry",,"+Posting Date",$L$5,"Item No.","@@"&amp;$D2037,"Location Code",$L$7)</t>
  </si>
  <si>
    <t>=IF($J2037="Customer",NL("first",$J2037,"Name","No.","@@"&amp;$K2037),"")</t>
  </si>
  <si>
    <t>=IF(J2037="vendor",NL("first",J2037,"Name","No.","@@"&amp;K2037),"")</t>
  </si>
  <si>
    <t>=IF($J2037="Item",NL("first",$J2037,"Description","No.","@@"&amp;$K2037),"")</t>
  </si>
  <si>
    <t>=D2037</t>
  </si>
  <si>
    <t>="""NAV Direct"",""CRONUS JetCorp USA"",""32"",""1"",""168624"""</t>
  </si>
  <si>
    <t>=IF($J2038="Customer",NL("first",$J2038,"Name","No.","@@"&amp;$K2038),"")</t>
  </si>
  <si>
    <t>=IF(J2038="vendor",NL("first",J2038,"Name","No.","@@"&amp;K2038),"")</t>
  </si>
  <si>
    <t>=IF($J2038="Item",NL("first",$J2038,"Description","No.","@@"&amp;$K2038),"")</t>
  </si>
  <si>
    <t>=D2038</t>
  </si>
  <si>
    <t>="""NAV Direct"",""CRONUS JetCorp USA"",""32"",""1"",""168630"""</t>
  </si>
  <si>
    <t>=IF($J2039="Customer",NL("first",$J2039,"Name","No.","@@"&amp;$K2039),"")</t>
  </si>
  <si>
    <t>=IF(J2039="vendor",NL("first",J2039,"Name","No.","@@"&amp;K2039),"")</t>
  </si>
  <si>
    <t>=IF($J2039="Item",NL("first",$J2039,"Description","No.","@@"&amp;$K2039),"")</t>
  </si>
  <si>
    <t>=D2039</t>
  </si>
  <si>
    <t>="""NAV Direct"",""CRONUS JetCorp USA"",""32"",""1"",""168654"""</t>
  </si>
  <si>
    <t>=IF($J2040="Customer",NL("first",$J2040,"Name","No.","@@"&amp;$K2040),"")</t>
  </si>
  <si>
    <t>=IF(J2040="vendor",NL("first",J2040,"Name","No.","@@"&amp;K2040),"")</t>
  </si>
  <si>
    <t>=IF($J2040="Item",NL("first",$J2040,"Description","No.","@@"&amp;$K2040),"")</t>
  </si>
  <si>
    <t>=D2040</t>
  </si>
  <si>
    <t>="""NAV Direct"",""CRONUS JetCorp USA"",""32"",""1"",""168672"""</t>
  </si>
  <si>
    <t>=IF($J2041="Customer",NL("first",$J2041,"Name","No.","@@"&amp;$K2041),"")</t>
  </si>
  <si>
    <t>=IF(J2041="vendor",NL("first",J2041,"Name","No.","@@"&amp;K2041),"")</t>
  </si>
  <si>
    <t>=IF($J2041="Item",NL("first",$J2041,"Description","No.","@@"&amp;$K2041),"")</t>
  </si>
  <si>
    <t>=D2041</t>
  </si>
  <si>
    <t>="""NAV Direct"",""CRONUS JetCorp USA"",""32"",""1"",""64597"""</t>
  </si>
  <si>
    <t>=IF($J2042="Customer",NL("first",$J2042,"Name","No.","@@"&amp;$K2042),"")</t>
  </si>
  <si>
    <t>=IF(J2042="vendor",NL("first",J2042,"Name","No.","@@"&amp;K2042),"")</t>
  </si>
  <si>
    <t>=IF($J2042="Item",NL("first",$J2042,"Description","No.","@@"&amp;$K2042),"")</t>
  </si>
  <si>
    <t>=D2042</t>
  </si>
  <si>
    <t>="""NAV Direct"",""CRONUS JetCorp USA"",""32"",""1"",""64622"""</t>
  </si>
  <si>
    <t>=IF($J2043="Customer",NL("first",$J2043,"Name","No.","@@"&amp;$K2043),"")</t>
  </si>
  <si>
    <t>=IF(J2043="vendor",NL("first",J2043,"Name","No.","@@"&amp;K2043),"")</t>
  </si>
  <si>
    <t>=IF($J2043="Item",NL("first",$J2043,"Description","No.","@@"&amp;$K2043),"")</t>
  </si>
  <si>
    <t>=E2046</t>
  </si>
  <si>
    <t>=NL("First","Item","Description","No.",$E2046)</t>
  </si>
  <si>
    <t>=NL("First","Item","Base Unit of Measure","No.",$E2046)</t>
  </si>
  <si>
    <t>=(SUBTOTAL(9,O2047:O2063))</t>
  </si>
  <si>
    <t>=(SUBTOTAL(9,P2047:P2063))</t>
  </si>
  <si>
    <t>=(SUBTOTAL(9,Q2047:Q2063))</t>
  </si>
  <si>
    <t>=(SUBTOTAL(9,R2047:R2063))</t>
  </si>
  <si>
    <t>=(SUBTOTAL(9,S2047:S2063))</t>
  </si>
  <si>
    <t>=(SUBTOTAL(9,T2047:T2063))</t>
  </si>
  <si>
    <t>=SUBTOTAL(9,O2047:T2063)</t>
  </si>
  <si>
    <t>=D2046</t>
  </si>
  <si>
    <t>=NL("Rows","Item Ledger Entry",,"+Posting Date",$L$5,"Item No.","@@"&amp;$D2047,"Location Code",$L$7)</t>
  </si>
  <si>
    <t>=IF($J2047="Customer",NL("first",$J2047,"Name","No.","@@"&amp;$K2047),"")</t>
  </si>
  <si>
    <t>=IF(J2047="vendor",NL("first",J2047,"Name","No.","@@"&amp;K2047),"")</t>
  </si>
  <si>
    <t>=IF($J2047="Item",NL("first",$J2047,"Description","No.","@@"&amp;$K2047),"")</t>
  </si>
  <si>
    <t>=D2047</t>
  </si>
  <si>
    <t>="""NAV Direct"",""CRONUS JetCorp USA"",""32"",""1"",""168620"""</t>
  </si>
  <si>
    <t>=IF($J2048="Customer",NL("first",$J2048,"Name","No.","@@"&amp;$K2048),"")</t>
  </si>
  <si>
    <t>=IF(J2048="vendor",NL("first",J2048,"Name","No.","@@"&amp;K2048),"")</t>
  </si>
  <si>
    <t>=IF($J2048="Item",NL("first",$J2048,"Description","No.","@@"&amp;$K2048),"")</t>
  </si>
  <si>
    <t>=D2048</t>
  </si>
  <si>
    <t>="""NAV Direct"",""CRONUS JetCorp USA"",""32"",""1"",""168623"""</t>
  </si>
  <si>
    <t>=IF($J2049="Customer",NL("first",$J2049,"Name","No.","@@"&amp;$K2049),"")</t>
  </si>
  <si>
    <t>=IF(J2049="vendor",NL("first",J2049,"Name","No.","@@"&amp;K2049),"")</t>
  </si>
  <si>
    <t>=IF($J2049="Item",NL("first",$J2049,"Description","No.","@@"&amp;$K2049),"")</t>
  </si>
  <si>
    <t>=D2049</t>
  </si>
  <si>
    <t>="""NAV Direct"",""CRONUS JetCorp USA"",""32"",""1"",""168629"""</t>
  </si>
  <si>
    <t>=IF($J2050="Customer",NL("first",$J2050,"Name","No.","@@"&amp;$K2050),"")</t>
  </si>
  <si>
    <t>=IF(J2050="vendor",NL("first",J2050,"Name","No.","@@"&amp;K2050),"")</t>
  </si>
  <si>
    <t>=IF($J2050="Item",NL("first",$J2050,"Description","No.","@@"&amp;$K2050),"")</t>
  </si>
  <si>
    <t>=D2050</t>
  </si>
  <si>
    <t>="""NAV Direct"",""CRONUS JetCorp USA"",""32"",""1"",""168647"""</t>
  </si>
  <si>
    <t>=IF($J2051="Customer",NL("first",$J2051,"Name","No.","@@"&amp;$K2051),"")</t>
  </si>
  <si>
    <t>=IF(J2051="vendor",NL("first",J2051,"Name","No.","@@"&amp;K2051),"")</t>
  </si>
  <si>
    <t>=IF($J2051="Item",NL("first",$J2051,"Description","No.","@@"&amp;$K2051),"")</t>
  </si>
  <si>
    <t>=D2051</t>
  </si>
  <si>
    <t>="""NAV Direct"",""CRONUS JetCorp USA"",""32"",""1"",""168653"""</t>
  </si>
  <si>
    <t>=IF($J2052="Customer",NL("first",$J2052,"Name","No.","@@"&amp;$K2052),"")</t>
  </si>
  <si>
    <t>=IF(J2052="vendor",NL("first",J2052,"Name","No.","@@"&amp;K2052),"")</t>
  </si>
  <si>
    <t>=IF($J2052="Item",NL("first",$J2052,"Description","No.","@@"&amp;$K2052),"")</t>
  </si>
  <si>
    <t>=D2052</t>
  </si>
  <si>
    <t>="""NAV Direct"",""CRONUS JetCorp USA"",""32"",""1"",""168671"""</t>
  </si>
  <si>
    <t>=IF($J2053="Customer",NL("first",$J2053,"Name","No.","@@"&amp;$K2053),"")</t>
  </si>
  <si>
    <t>=IF(J2053="vendor",NL("first",J2053,"Name","No.","@@"&amp;K2053),"")</t>
  </si>
  <si>
    <t>=IF($J2053="Item",NL("first",$J2053,"Description","No.","@@"&amp;$K2053),"")</t>
  </si>
  <si>
    <t>=D2053</t>
  </si>
  <si>
    <t>="""NAV Direct"",""CRONUS JetCorp USA"",""32"",""1"",""78849"""</t>
  </si>
  <si>
    <t>=IF($J2054="Customer",NL("first",$J2054,"Name","No.","@@"&amp;$K2054),"")</t>
  </si>
  <si>
    <t>=IF(J2054="vendor",NL("first",J2054,"Name","No.","@@"&amp;K2054),"")</t>
  </si>
  <si>
    <t>=IF($J2054="Item",NL("first",$J2054,"Description","No.","@@"&amp;$K2054),"")</t>
  </si>
  <si>
    <t>=D2054</t>
  </si>
  <si>
    <t>="""NAV Direct"",""CRONUS JetCorp USA"",""32"",""1"",""153164"""</t>
  </si>
  <si>
    <t>=IF($J2055="Customer",NL("first",$J2055,"Name","No.","@@"&amp;$K2055),"")</t>
  </si>
  <si>
    <t>=IF(J2055="vendor",NL("first",J2055,"Name","No.","@@"&amp;K2055),"")</t>
  </si>
  <si>
    <t>=IF($J2055="Item",NL("first",$J2055,"Description","No.","@@"&amp;$K2055),"")</t>
  </si>
  <si>
    <t>=D2055</t>
  </si>
  <si>
    <t>="""NAV Direct"",""CRONUS JetCorp USA"",""32"",""1"",""72507"""</t>
  </si>
  <si>
    <t>=IF($J2056="Customer",NL("first",$J2056,"Name","No.","@@"&amp;$K2056),"")</t>
  </si>
  <si>
    <t>=IF(J2056="vendor",NL("first",J2056,"Name","No.","@@"&amp;K2056),"")</t>
  </si>
  <si>
    <t>=IF($J2056="Item",NL("first",$J2056,"Description","No.","@@"&amp;$K2056),"")</t>
  </si>
  <si>
    <t>=D2056</t>
  </si>
  <si>
    <t>="""NAV Direct"",""CRONUS JetCorp USA"",""32"",""1"",""44465"""</t>
  </si>
  <si>
    <t>=IF($J2057="Customer",NL("first",$J2057,"Name","No.","@@"&amp;$K2057),"")</t>
  </si>
  <si>
    <t>=IF(J2057="vendor",NL("first",J2057,"Name","No.","@@"&amp;K2057),"")</t>
  </si>
  <si>
    <t>=IF($J2057="Item",NL("first",$J2057,"Description","No.","@@"&amp;$K2057),"")</t>
  </si>
  <si>
    <t>=D2057</t>
  </si>
  <si>
    <t>="""NAV Direct"",""CRONUS JetCorp USA"",""32"",""1"",""54721"""</t>
  </si>
  <si>
    <t>=IF($J2058="Customer",NL("first",$J2058,"Name","No.","@@"&amp;$K2058),"")</t>
  </si>
  <si>
    <t>=IF(J2058="vendor",NL("first",J2058,"Name","No.","@@"&amp;K2058),"")</t>
  </si>
  <si>
    <t>=IF($J2058="Item",NL("first",$J2058,"Description","No.","@@"&amp;$K2058),"")</t>
  </si>
  <si>
    <t>=D2058</t>
  </si>
  <si>
    <t>="""NAV Direct"",""CRONUS JetCorp USA"",""32"",""1"",""64594"""</t>
  </si>
  <si>
    <t>=IF($J2059="Customer",NL("first",$J2059,"Name","No.","@@"&amp;$K2059),"")</t>
  </si>
  <si>
    <t>=IF(J2059="vendor",NL("first",J2059,"Name","No.","@@"&amp;K2059),"")</t>
  </si>
  <si>
    <t>=IF($J2059="Item",NL("first",$J2059,"Description","No.","@@"&amp;$K2059),"")</t>
  </si>
  <si>
    <t>=D2059</t>
  </si>
  <si>
    <t>="""NAV Direct"",""CRONUS JetCorp USA"",""32"",""1"",""44541"""</t>
  </si>
  <si>
    <t>=IF($J2060="Customer",NL("first",$J2060,"Name","No.","@@"&amp;$K2060),"")</t>
  </si>
  <si>
    <t>=IF(J2060="vendor",NL("first",J2060,"Name","No.","@@"&amp;K2060),"")</t>
  </si>
  <si>
    <t>=IF($J2060="Item",NL("first",$J2060,"Description","No.","@@"&amp;$K2060),"")</t>
  </si>
  <si>
    <t>=D2060</t>
  </si>
  <si>
    <t>="""NAV Direct"",""CRONUS JetCorp USA"",""32"",""1"",""54691"""</t>
  </si>
  <si>
    <t>=IF($J2061="Customer",NL("first",$J2061,"Name","No.","@@"&amp;$K2061),"")</t>
  </si>
  <si>
    <t>=IF(J2061="vendor",NL("first",J2061,"Name","No.","@@"&amp;K2061),"")</t>
  </si>
  <si>
    <t>=IF($J2061="Item",NL("first",$J2061,"Description","No.","@@"&amp;$K2061),"")</t>
  </si>
  <si>
    <t>=D2061</t>
  </si>
  <si>
    <t>="""NAV Direct"",""CRONUS JetCorp USA"",""32"",""1"",""159980"""</t>
  </si>
  <si>
    <t>=IF($J2062="Customer",NL("first",$J2062,"Name","No.","@@"&amp;$K2062),"")</t>
  </si>
  <si>
    <t>=IF(J2062="vendor",NL("first",J2062,"Name","No.","@@"&amp;K2062),"")</t>
  </si>
  <si>
    <t>=IF($J2062="Item",NL("first",$J2062,"Description","No.","@@"&amp;$K2062),"")</t>
  </si>
  <si>
    <t>=E2065</t>
  </si>
  <si>
    <t>="S200001"</t>
  </si>
  <si>
    <t>=NL("First","Item","Description","No.",$E2065)</t>
  </si>
  <si>
    <t>=NL("First","Item","Base Unit of Measure","No.",$E2065)</t>
  </si>
  <si>
    <t>=(SUBTOTAL(9,O2066:O2067))</t>
  </si>
  <si>
    <t>=(SUBTOTAL(9,P2066:P2067))</t>
  </si>
  <si>
    <t>=(SUBTOTAL(9,Q2066:Q2067))</t>
  </si>
  <si>
    <t>=(SUBTOTAL(9,R2066:R2067))</t>
  </si>
  <si>
    <t>=(SUBTOTAL(9,S2066:S2067))</t>
  </si>
  <si>
    <t>=(SUBTOTAL(9,T2066:T2067))</t>
  </si>
  <si>
    <t>=SUBTOTAL(9,O2066:T2067)</t>
  </si>
  <si>
    <t>=D2065</t>
  </si>
  <si>
    <t>=NL("Rows","Item Ledger Entry",,"+Posting Date",$L$5,"Item No.","@@"&amp;$D2066,"Location Code",$L$7)</t>
  </si>
  <si>
    <t>=NF($G2066,"Posting Date")</t>
  </si>
  <si>
    <t>=NF($G2066,"Entry No.")</t>
  </si>
  <si>
    <t>=NF(G2066,"Source Type")</t>
  </si>
  <si>
    <t>=NF($G2066,"Source No.")</t>
  </si>
  <si>
    <t>=IF($J2066="Customer",NL("first",$J2066,"Name","No.","@@"&amp;$K2066),"")</t>
  </si>
  <si>
    <t>=IF(J2066="vendor",NL("first",J2066,"Name","No.","@@"&amp;K2066),"")</t>
  </si>
  <si>
    <t>=IF($J2066="Item",NL("first",$J2066,"Description","No.","@@"&amp;$K2066),"")</t>
  </si>
  <si>
    <t>=NL("Sum","Item Ledger Entry","Quantity","Entry Type","Purchase","Entry No.",I2066,"Location Code",$L$7)</t>
  </si>
  <si>
    <t>=NL("Sum","Item Ledger Entry","Quantity","Entry Type","Sale","Entry No.",I2066,"Location Code",$L$7)</t>
  </si>
  <si>
    <t>=NL("Sum","Item Ledger Entry","Quantity","Entry Type","Positive Adjmt.|Negative Adjmt.","Entry No.",I2066,"Location Code",$L$7)</t>
  </si>
  <si>
    <t>=NL("Sum","Item Ledger Entry","Quantity","Entry Type","Transfer","Entry No.",I2066,"Location Code",$L$7)</t>
  </si>
  <si>
    <t>=NL("Sum","Item Ledger Entry","Quantity","Entry Type","Consumption","Entry No.",I2066,"Location Code",$L$7)</t>
  </si>
  <si>
    <t>=NL("Sum","Item Ledger Entry","Quantity","Entry Type","Output","Entry No.",I2066,"Location Code",$L$7)</t>
  </si>
  <si>
    <t>=E2069</t>
  </si>
  <si>
    <t>="S200002"</t>
  </si>
  <si>
    <t>=NL("First","Item","Description","No.",$E2069)</t>
  </si>
  <si>
    <t>=NL("First","Item","Base Unit of Measure","No.",$E2069)</t>
  </si>
  <si>
    <t>=(SUBTOTAL(9,O2070:O2071))</t>
  </si>
  <si>
    <t>=(SUBTOTAL(9,P2070:P2071))</t>
  </si>
  <si>
    <t>=(SUBTOTAL(9,Q2070:Q2071))</t>
  </si>
  <si>
    <t>=(SUBTOTAL(9,R2070:R2071))</t>
  </si>
  <si>
    <t>=(SUBTOTAL(9,S2070:S2071))</t>
  </si>
  <si>
    <t>=(SUBTOTAL(9,T2070:T2071))</t>
  </si>
  <si>
    <t>=SUBTOTAL(9,O2070:T2071)</t>
  </si>
  <si>
    <t>=D2069</t>
  </si>
  <si>
    <t>=NL("Rows","Item Ledger Entry",,"+Posting Date",$L$5,"Item No.","@@"&amp;$D2070,"Location Code",$L$7)</t>
  </si>
  <si>
    <t>=NF($G2070,"Posting Date")</t>
  </si>
  <si>
    <t>=NF($G2070,"Entry No.")</t>
  </si>
  <si>
    <t>=NF(G2070,"Source Type")</t>
  </si>
  <si>
    <t>=NF($G2070,"Source No.")</t>
  </si>
  <si>
    <t>=IF($J2070="Customer",NL("first",$J2070,"Name","No.","@@"&amp;$K2070),"")</t>
  </si>
  <si>
    <t>=IF(J2070="vendor",NL("first",J2070,"Name","No.","@@"&amp;K2070),"")</t>
  </si>
  <si>
    <t>=IF($J2070="Item",NL("first",$J2070,"Description","No.","@@"&amp;$K2070),"")</t>
  </si>
  <si>
    <t>=NL("Sum","Item Ledger Entry","Quantity","Entry Type","Purchase","Entry No.",I2070,"Location Code",$L$7)</t>
  </si>
  <si>
    <t>=NL("Sum","Item Ledger Entry","Quantity","Entry Type","Sale","Entry No.",I2070,"Location Code",$L$7)</t>
  </si>
  <si>
    <t>=NL("Sum","Item Ledger Entry","Quantity","Entry Type","Positive Adjmt.|Negative Adjmt.","Entry No.",I2070,"Location Code",$L$7)</t>
  </si>
  <si>
    <t>=NL("Sum","Item Ledger Entry","Quantity","Entry Type","Transfer","Entry No.",I2070,"Location Code",$L$7)</t>
  </si>
  <si>
    <t>=NL("Sum","Item Ledger Entry","Quantity","Entry Type","Consumption","Entry No.",I2070,"Location Code",$L$7)</t>
  </si>
  <si>
    <t>=NL("Sum","Item Ledger Entry","Quantity","Entry Type","Output","Entry No.",I2070,"Location Code",$L$7)</t>
  </si>
  <si>
    <t>=E2073</t>
  </si>
  <si>
    <t>="S200004"</t>
  </si>
  <si>
    <t>=NL("First","Item","Description","No.",$E2073)</t>
  </si>
  <si>
    <t>=NL("First","Item","Base Unit of Measure","No.",$E2073)</t>
  </si>
  <si>
    <t>=(SUBTOTAL(9,O2074:O2076))</t>
  </si>
  <si>
    <t>=(SUBTOTAL(9,P2074:P2076))</t>
  </si>
  <si>
    <t>=(SUBTOTAL(9,Q2074:Q2076))</t>
  </si>
  <si>
    <t>=(SUBTOTAL(9,R2074:R2076))</t>
  </si>
  <si>
    <t>=(SUBTOTAL(9,S2074:S2076))</t>
  </si>
  <si>
    <t>=(SUBTOTAL(9,T2074:T2076))</t>
  </si>
  <si>
    <t>=SUBTOTAL(9,O2074:T2076)</t>
  </si>
  <si>
    <t>=D2073</t>
  </si>
  <si>
    <t>=NL("Rows","Item Ledger Entry",,"+Posting Date",$L$5,"Item No.","@@"&amp;$D2074,"Location Code",$L$7)</t>
  </si>
  <si>
    <t>=NF($G2074,"Posting Date")</t>
  </si>
  <si>
    <t>=NF($G2074,"Entry No.")</t>
  </si>
  <si>
    <t>=NF(G2074,"Source Type")</t>
  </si>
  <si>
    <t>=NF($G2074,"Source No.")</t>
  </si>
  <si>
    <t>=IF($J2074="Customer",NL("first",$J2074,"Name","No.","@@"&amp;$K2074),"")</t>
  </si>
  <si>
    <t>=IF(J2074="vendor",NL("first",J2074,"Name","No.","@@"&amp;K2074),"")</t>
  </si>
  <si>
    <t>=IF($J2074="Item",NL("first",$J2074,"Description","No.","@@"&amp;$K2074),"")</t>
  </si>
  <si>
    <t>=NL("Sum","Item Ledger Entry","Quantity","Entry Type","Purchase","Entry No.",I2074,"Location Code",$L$7)</t>
  </si>
  <si>
    <t>=NL("Sum","Item Ledger Entry","Quantity","Entry Type","Sale","Entry No.",I2074,"Location Code",$L$7)</t>
  </si>
  <si>
    <t>=NL("Sum","Item Ledger Entry","Quantity","Entry Type","Positive Adjmt.|Negative Adjmt.","Entry No.",I2074,"Location Code",$L$7)</t>
  </si>
  <si>
    <t>=NL("Sum","Item Ledger Entry","Quantity","Entry Type","Transfer","Entry No.",I2074,"Location Code",$L$7)</t>
  </si>
  <si>
    <t>=NL("Sum","Item Ledger Entry","Quantity","Entry Type","Consumption","Entry No.",I2074,"Location Code",$L$7)</t>
  </si>
  <si>
    <t>=NL("Sum","Item Ledger Entry","Quantity","Entry Type","Output","Entry No.",I2074,"Location Code",$L$7)</t>
  </si>
  <si>
    <t>=D2074</t>
  </si>
  <si>
    <t>="""NAV Direct"",""CRONUS JetCorp USA"",""32"",""1"",""153179"""</t>
  </si>
  <si>
    <t>=NF($G2075,"Posting Date")</t>
  </si>
  <si>
    <t>=NF($G2075,"Entry No.")</t>
  </si>
  <si>
    <t>=NF(G2075,"Source Type")</t>
  </si>
  <si>
    <t>=NF($G2075,"Source No.")</t>
  </si>
  <si>
    <t>=IF($J2075="Customer",NL("first",$J2075,"Name","No.","@@"&amp;$K2075),"")</t>
  </si>
  <si>
    <t>=IF(J2075="vendor",NL("first",J2075,"Name","No.","@@"&amp;K2075),"")</t>
  </si>
  <si>
    <t>=IF($J2075="Item",NL("first",$J2075,"Description","No.","@@"&amp;$K2075),"")</t>
  </si>
  <si>
    <t>=NL("Sum","Item Ledger Entry","Quantity","Entry Type","Purchase","Entry No.",I2075,"Location Code",$L$7)</t>
  </si>
  <si>
    <t>=NL("Sum","Item Ledger Entry","Quantity","Entry Type","Sale","Entry No.",I2075,"Location Code",$L$7)</t>
  </si>
  <si>
    <t>=NL("Sum","Item Ledger Entry","Quantity","Entry Type","Positive Adjmt.|Negative Adjmt.","Entry No.",I2075,"Location Code",$L$7)</t>
  </si>
  <si>
    <t>=NL("Sum","Item Ledger Entry","Quantity","Entry Type","Transfer","Entry No.",I2075,"Location Code",$L$7)</t>
  </si>
  <si>
    <t>=NL("Sum","Item Ledger Entry","Quantity","Entry Type","Consumption","Entry No.",I2075,"Location Code",$L$7)</t>
  </si>
  <si>
    <t>=NL("Sum","Item Ledger Entry","Quantity","Entry Type","Output","Entry No.",I2075,"Location Code",$L$7)</t>
  </si>
  <si>
    <t>=E2078</t>
  </si>
  <si>
    <t>="S200005"</t>
  </si>
  <si>
    <t>=NL("First","Item","Description","No.",$E2078)</t>
  </si>
  <si>
    <t>=NL("First","Item","Base Unit of Measure","No.",$E2078)</t>
  </si>
  <si>
    <t>=(SUBTOTAL(9,O2079:O2080))</t>
  </si>
  <si>
    <t>=(SUBTOTAL(9,P2079:P2080))</t>
  </si>
  <si>
    <t>=(SUBTOTAL(9,Q2079:Q2080))</t>
  </si>
  <si>
    <t>=(SUBTOTAL(9,R2079:R2080))</t>
  </si>
  <si>
    <t>=(SUBTOTAL(9,S2079:S2080))</t>
  </si>
  <si>
    <t>=(SUBTOTAL(9,T2079:T2080))</t>
  </si>
  <si>
    <t>=SUBTOTAL(9,O2079:T2080)</t>
  </si>
  <si>
    <t>=D2078</t>
  </si>
  <si>
    <t>=NL("Rows","Item Ledger Entry",,"+Posting Date",$L$5,"Item No.","@@"&amp;$D2079,"Location Code",$L$7)</t>
  </si>
  <si>
    <t>=NF($G2079,"Posting Date")</t>
  </si>
  <si>
    <t>=NF($G2079,"Entry No.")</t>
  </si>
  <si>
    <t>=NF(G2079,"Source Type")</t>
  </si>
  <si>
    <t>=NF($G2079,"Source No.")</t>
  </si>
  <si>
    <t>=IF($J2079="Customer",NL("first",$J2079,"Name","No.","@@"&amp;$K2079),"")</t>
  </si>
  <si>
    <t>=IF(J2079="vendor",NL("first",J2079,"Name","No.","@@"&amp;K2079),"")</t>
  </si>
  <si>
    <t>=IF($J2079="Item",NL("first",$J2079,"Description","No.","@@"&amp;$K2079),"")</t>
  </si>
  <si>
    <t>=NL("Sum","Item Ledger Entry","Quantity","Entry Type","Purchase","Entry No.",I2079,"Location Code",$L$7)</t>
  </si>
  <si>
    <t>=NL("Sum","Item Ledger Entry","Quantity","Entry Type","Sale","Entry No.",I2079,"Location Code",$L$7)</t>
  </si>
  <si>
    <t>=NL("Sum","Item Ledger Entry","Quantity","Entry Type","Positive Adjmt.|Negative Adjmt.","Entry No.",I2079,"Location Code",$L$7)</t>
  </si>
  <si>
    <t>=NL("Sum","Item Ledger Entry","Quantity","Entry Type","Transfer","Entry No.",I2079,"Location Code",$L$7)</t>
  </si>
  <si>
    <t>=NL("Sum","Item Ledger Entry","Quantity","Entry Type","Consumption","Entry No.",I2079,"Location Code",$L$7)</t>
  </si>
  <si>
    <t>=NL("Sum","Item Ledger Entry","Quantity","Entry Type","Output","Entry No.",I2079,"Location Code",$L$7)</t>
  </si>
  <si>
    <t>=E2082</t>
  </si>
  <si>
    <t>="S200006"</t>
  </si>
  <si>
    <t>=NL("First","Item","Description","No.",$E2082)</t>
  </si>
  <si>
    <t>=NL("First","Item","Base Unit of Measure","No.",$E2082)</t>
  </si>
  <si>
    <t>=(SUBTOTAL(9,O2083:O2084))</t>
  </si>
  <si>
    <t>=(SUBTOTAL(9,P2083:P2084))</t>
  </si>
  <si>
    <t>=(SUBTOTAL(9,Q2083:Q2084))</t>
  </si>
  <si>
    <t>=(SUBTOTAL(9,R2083:R2084))</t>
  </si>
  <si>
    <t>=(SUBTOTAL(9,S2083:S2084))</t>
  </si>
  <si>
    <t>=(SUBTOTAL(9,T2083:T2084))</t>
  </si>
  <si>
    <t>=SUBTOTAL(9,O2083:T2084)</t>
  </si>
  <si>
    <t>=D2082</t>
  </si>
  <si>
    <t>=NL("Rows","Item Ledger Entry",,"+Posting Date",$L$5,"Item No.","@@"&amp;$D2083,"Location Code",$L$7)</t>
  </si>
  <si>
    <t>=NF($G2083,"Posting Date")</t>
  </si>
  <si>
    <t>=NF($G2083,"Entry No.")</t>
  </si>
  <si>
    <t>=NF(G2083,"Source Type")</t>
  </si>
  <si>
    <t>=NF($G2083,"Source No.")</t>
  </si>
  <si>
    <t>=IF($J2083="Customer",NL("first",$J2083,"Name","No.","@@"&amp;$K2083),"")</t>
  </si>
  <si>
    <t>=IF(J2083="vendor",NL("first",J2083,"Name","No.","@@"&amp;K2083),"")</t>
  </si>
  <si>
    <t>=IF($J2083="Item",NL("first",$J2083,"Description","No.","@@"&amp;$K2083),"")</t>
  </si>
  <si>
    <t>=NL("Sum","Item Ledger Entry","Quantity","Entry Type","Purchase","Entry No.",I2083,"Location Code",$L$7)</t>
  </si>
  <si>
    <t>=NL("Sum","Item Ledger Entry","Quantity","Entry Type","Sale","Entry No.",I2083,"Location Code",$L$7)</t>
  </si>
  <si>
    <t>=NL("Sum","Item Ledger Entry","Quantity","Entry Type","Positive Adjmt.|Negative Adjmt.","Entry No.",I2083,"Location Code",$L$7)</t>
  </si>
  <si>
    <t>=NL("Sum","Item Ledger Entry","Quantity","Entry Type","Transfer","Entry No.",I2083,"Location Code",$L$7)</t>
  </si>
  <si>
    <t>=NL("Sum","Item Ledger Entry","Quantity","Entry Type","Consumption","Entry No.",I2083,"Location Code",$L$7)</t>
  </si>
  <si>
    <t>=NL("Sum","Item Ledger Entry","Quantity","Entry Type","Output","Entry No.",I2083,"Location Code",$L$7)</t>
  </si>
  <si>
    <t>=E2086</t>
  </si>
  <si>
    <t>="S200007"</t>
  </si>
  <si>
    <t>=NL("First","Item","Description","No.",$E2086)</t>
  </si>
  <si>
    <t>=NL("First","Item","Base Unit of Measure","No.",$E2086)</t>
  </si>
  <si>
    <t>=(SUBTOTAL(9,O2087:O2089))</t>
  </si>
  <si>
    <t>=(SUBTOTAL(9,P2087:P2089))</t>
  </si>
  <si>
    <t>=(SUBTOTAL(9,Q2087:Q2089))</t>
  </si>
  <si>
    <t>=(SUBTOTAL(9,R2087:R2089))</t>
  </si>
  <si>
    <t>=(SUBTOTAL(9,S2087:S2089))</t>
  </si>
  <si>
    <t>=(SUBTOTAL(9,T2087:T2089))</t>
  </si>
  <si>
    <t>=SUBTOTAL(9,O2087:T2089)</t>
  </si>
  <si>
    <t>=D2086</t>
  </si>
  <si>
    <t>=NL("Rows","Item Ledger Entry",,"+Posting Date",$L$5,"Item No.","@@"&amp;$D2087,"Location Code",$L$7)</t>
  </si>
  <si>
    <t>=NF($G2087,"Posting Date")</t>
  </si>
  <si>
    <t>=NF($G2087,"Entry No.")</t>
  </si>
  <si>
    <t>=NF(G2087,"Source Type")</t>
  </si>
  <si>
    <t>=NF($G2087,"Source No.")</t>
  </si>
  <si>
    <t>=IF($J2087="Customer",NL("first",$J2087,"Name","No.","@@"&amp;$K2087),"")</t>
  </si>
  <si>
    <t>=IF(J2087="vendor",NL("first",J2087,"Name","No.","@@"&amp;K2087),"")</t>
  </si>
  <si>
    <t>=IF($J2087="Item",NL("first",$J2087,"Description","No.","@@"&amp;$K2087),"")</t>
  </si>
  <si>
    <t>=NL("Sum","Item Ledger Entry","Quantity","Entry Type","Purchase","Entry No.",I2087,"Location Code",$L$7)</t>
  </si>
  <si>
    <t>=NL("Sum","Item Ledger Entry","Quantity","Entry Type","Sale","Entry No.",I2087,"Location Code",$L$7)</t>
  </si>
  <si>
    <t>=NL("Sum","Item Ledger Entry","Quantity","Entry Type","Positive Adjmt.|Negative Adjmt.","Entry No.",I2087,"Location Code",$L$7)</t>
  </si>
  <si>
    <t>=NL("Sum","Item Ledger Entry","Quantity","Entry Type","Transfer","Entry No.",I2087,"Location Code",$L$7)</t>
  </si>
  <si>
    <t>=NL("Sum","Item Ledger Entry","Quantity","Entry Type","Consumption","Entry No.",I2087,"Location Code",$L$7)</t>
  </si>
  <si>
    <t>=NL("Sum","Item Ledger Entry","Quantity","Entry Type","Output","Entry No.",I2087,"Location Code",$L$7)</t>
  </si>
  <si>
    <t>=D2087</t>
  </si>
  <si>
    <t>="""NAV Direct"",""CRONUS JetCorp USA"",""32"",""1"",""142548"""</t>
  </si>
  <si>
    <t>=NF($G2088,"Posting Date")</t>
  </si>
  <si>
    <t>=NF($G2088,"Entry No.")</t>
  </si>
  <si>
    <t>=NF(G2088,"Source Type")</t>
  </si>
  <si>
    <t>=NF($G2088,"Source No.")</t>
  </si>
  <si>
    <t>=IF($J2088="Customer",NL("first",$J2088,"Name","No.","@@"&amp;$K2088),"")</t>
  </si>
  <si>
    <t>=IF(J2088="vendor",NL("first",J2088,"Name","No.","@@"&amp;K2088),"")</t>
  </si>
  <si>
    <t>=IF($J2088="Item",NL("first",$J2088,"Description","No.","@@"&amp;$K2088),"")</t>
  </si>
  <si>
    <t>=NL("Sum","Item Ledger Entry","Quantity","Entry Type","Purchase","Entry No.",I2088,"Location Code",$L$7)</t>
  </si>
  <si>
    <t>=NL("Sum","Item Ledger Entry","Quantity","Entry Type","Sale","Entry No.",I2088,"Location Code",$L$7)</t>
  </si>
  <si>
    <t>=NL("Sum","Item Ledger Entry","Quantity","Entry Type","Positive Adjmt.|Negative Adjmt.","Entry No.",I2088,"Location Code",$L$7)</t>
  </si>
  <si>
    <t>=NL("Sum","Item Ledger Entry","Quantity","Entry Type","Transfer","Entry No.",I2088,"Location Code",$L$7)</t>
  </si>
  <si>
    <t>=NL("Sum","Item Ledger Entry","Quantity","Entry Type","Consumption","Entry No.",I2088,"Location Code",$L$7)</t>
  </si>
  <si>
    <t>=NL("Sum","Item Ledger Entry","Quantity","Entry Type","Output","Entry No.",I2088,"Location Code",$L$7)</t>
  </si>
  <si>
    <t>=E2091</t>
  </si>
  <si>
    <t>="S200012"</t>
  </si>
  <si>
    <t>=NL("First","Item","Description","No.",$E2091)</t>
  </si>
  <si>
    <t>=NL("First","Item","Base Unit of Measure","No.",$E2091)</t>
  </si>
  <si>
    <t>=(SUBTOTAL(9,O2092:O2097))</t>
  </si>
  <si>
    <t>=(SUBTOTAL(9,P2092:P2097))</t>
  </si>
  <si>
    <t>=(SUBTOTAL(9,Q2092:Q2097))</t>
  </si>
  <si>
    <t>=(SUBTOTAL(9,R2092:R2097))</t>
  </si>
  <si>
    <t>=(SUBTOTAL(9,S2092:S2097))</t>
  </si>
  <si>
    <t>=(SUBTOTAL(9,T2092:T2097))</t>
  </si>
  <si>
    <t>=SUBTOTAL(9,O2092:T2097)</t>
  </si>
  <si>
    <t>=D2091</t>
  </si>
  <si>
    <t>=NL("Rows","Item Ledger Entry",,"+Posting Date",$L$5,"Item No.","@@"&amp;$D2092,"Location Code",$L$7)</t>
  </si>
  <si>
    <t>=IF($J2092="Customer",NL("first",$J2092,"Name","No.","@@"&amp;$K2092),"")</t>
  </si>
  <si>
    <t>=IF(J2092="vendor",NL("first",J2092,"Name","No.","@@"&amp;K2092),"")</t>
  </si>
  <si>
    <t>=IF($J2092="Item",NL("first",$J2092,"Description","No.","@@"&amp;$K2092),"")</t>
  </si>
  <si>
    <t>=D2092</t>
  </si>
  <si>
    <t>="""NAV Direct"",""CRONUS JetCorp USA"",""32"",""1"",""147987"""</t>
  </si>
  <si>
    <t>=IF($J2093="Customer",NL("first",$J2093,"Name","No.","@@"&amp;$K2093),"")</t>
  </si>
  <si>
    <t>=IF(J2093="vendor",NL("first",J2093,"Name","No.","@@"&amp;K2093),"")</t>
  </si>
  <si>
    <t>=IF($J2093="Item",NL("first",$J2093,"Description","No.","@@"&amp;$K2093),"")</t>
  </si>
  <si>
    <t>=D2093</t>
  </si>
  <si>
    <t>="""NAV Direct"",""CRONUS JetCorp USA"",""32"",""1"",""153163"""</t>
  </si>
  <si>
    <t>=IF($J2094="Customer",NL("first",$J2094,"Name","No.","@@"&amp;$K2094),"")</t>
  </si>
  <si>
    <t>=IF(J2094="vendor",NL("first",J2094,"Name","No.","@@"&amp;K2094),"")</t>
  </si>
  <si>
    <t>=IF($J2094="Item",NL("first",$J2094,"Description","No.","@@"&amp;$K2094),"")</t>
  </si>
  <si>
    <t>=D2094</t>
  </si>
  <si>
    <t>="""NAV Direct"",""CRONUS JetCorp USA"",""32"",""1"",""142547"""</t>
  </si>
  <si>
    <t>=IF($J2095="Customer",NL("first",$J2095,"Name","No.","@@"&amp;$K2095),"")</t>
  </si>
  <si>
    <t>=IF(J2095="vendor",NL("first",J2095,"Name","No.","@@"&amp;K2095),"")</t>
  </si>
  <si>
    <t>=IF($J2095="Item",NL("first",$J2095,"Description","No.","@@"&amp;$K2095),"")</t>
  </si>
  <si>
    <t>=D2095</t>
  </si>
  <si>
    <t>="""NAV Direct"",""CRONUS JetCorp USA"",""32"",""1"",""153178"""</t>
  </si>
  <si>
    <t>=IF($J2096="Customer",NL("first",$J2096,"Name","No.","@@"&amp;$K2096),"")</t>
  </si>
  <si>
    <t>=IF(J2096="vendor",NL("first",J2096,"Name","No.","@@"&amp;K2096),"")</t>
  </si>
  <si>
    <t>=IF($J2096="Item",NL("first",$J2096,"Description","No.","@@"&amp;$K2096),"")</t>
  </si>
  <si>
    <t>=E2099</t>
  </si>
  <si>
    <t>="S200013"</t>
  </si>
  <si>
    <t>=NL("First","Item","Description","No.",$E2099)</t>
  </si>
  <si>
    <t>=NL("First","Item","Base Unit of Measure","No.",$E2099)</t>
  </si>
  <si>
    <t>=(SUBTOTAL(9,O2100:O2102))</t>
  </si>
  <si>
    <t>=(SUBTOTAL(9,P2100:P2102))</t>
  </si>
  <si>
    <t>=(SUBTOTAL(9,Q2100:Q2102))</t>
  </si>
  <si>
    <t>=(SUBTOTAL(9,R2100:R2102))</t>
  </si>
  <si>
    <t>=(SUBTOTAL(9,S2100:S2102))</t>
  </si>
  <si>
    <t>=(SUBTOTAL(9,T2100:T2102))</t>
  </si>
  <si>
    <t>=SUBTOTAL(9,O2100:T2102)</t>
  </si>
  <si>
    <t>=D2099</t>
  </si>
  <si>
    <t>=NL("Rows","Item Ledger Entry",,"+Posting Date",$L$5,"Item No.","@@"&amp;$D2100,"Location Code",$L$7)</t>
  </si>
  <si>
    <t>=NF($G2100,"Posting Date")</t>
  </si>
  <si>
    <t>=NF($G2100,"Entry No.")</t>
  </si>
  <si>
    <t>=NF(G2100,"Source Type")</t>
  </si>
  <si>
    <t>=NF($G2100,"Source No.")</t>
  </si>
  <si>
    <t>=IF($J2100="Customer",NL("first",$J2100,"Name","No.","@@"&amp;$K2100),"")</t>
  </si>
  <si>
    <t>=IF(J2100="vendor",NL("first",J2100,"Name","No.","@@"&amp;K2100),"")</t>
  </si>
  <si>
    <t>=IF($J2100="Item",NL("first",$J2100,"Description","No.","@@"&amp;$K2100),"")</t>
  </si>
  <si>
    <t>=NL("Sum","Item Ledger Entry","Quantity","Entry Type","Purchase","Entry No.",I2100,"Location Code",$L$7)</t>
  </si>
  <si>
    <t>=NL("Sum","Item Ledger Entry","Quantity","Entry Type","Sale","Entry No.",I2100,"Location Code",$L$7)</t>
  </si>
  <si>
    <t>=NL("Sum","Item Ledger Entry","Quantity","Entry Type","Positive Adjmt.|Negative Adjmt.","Entry No.",I2100,"Location Code",$L$7)</t>
  </si>
  <si>
    <t>=NL("Sum","Item Ledger Entry","Quantity","Entry Type","Transfer","Entry No.",I2100,"Location Code",$L$7)</t>
  </si>
  <si>
    <t>=NL("Sum","Item Ledger Entry","Quantity","Entry Type","Consumption","Entry No.",I2100,"Location Code",$L$7)</t>
  </si>
  <si>
    <t>=NL("Sum","Item Ledger Entry","Quantity","Entry Type","Output","Entry No.",I2100,"Location Code",$L$7)</t>
  </si>
  <si>
    <t>=D2100</t>
  </si>
  <si>
    <t>="""NAV Direct"",""CRONUS JetCorp USA"",""32"",""1"",""153185"""</t>
  </si>
  <si>
    <t>=NF($G2101,"Posting Date")</t>
  </si>
  <si>
    <t>=NF($G2101,"Entry No.")</t>
  </si>
  <si>
    <t>=NF(G2101,"Source Type")</t>
  </si>
  <si>
    <t>=NF($G2101,"Source No.")</t>
  </si>
  <si>
    <t>=IF($J2101="Customer",NL("first",$J2101,"Name","No.","@@"&amp;$K2101),"")</t>
  </si>
  <si>
    <t>=IF(J2101="vendor",NL("first",J2101,"Name","No.","@@"&amp;K2101),"")</t>
  </si>
  <si>
    <t>=IF($J2101="Item",NL("first",$J2101,"Description","No.","@@"&amp;$K2101),"")</t>
  </si>
  <si>
    <t>=NL("Sum","Item Ledger Entry","Quantity","Entry Type","Purchase","Entry No.",I2101,"Location Code",$L$7)</t>
  </si>
  <si>
    <t>=NL("Sum","Item Ledger Entry","Quantity","Entry Type","Sale","Entry No.",I2101,"Location Code",$L$7)</t>
  </si>
  <si>
    <t>=NL("Sum","Item Ledger Entry","Quantity","Entry Type","Positive Adjmt.|Negative Adjmt.","Entry No.",I2101,"Location Code",$L$7)</t>
  </si>
  <si>
    <t>=NL("Sum","Item Ledger Entry","Quantity","Entry Type","Transfer","Entry No.",I2101,"Location Code",$L$7)</t>
  </si>
  <si>
    <t>=NL("Sum","Item Ledger Entry","Quantity","Entry Type","Consumption","Entry No.",I2101,"Location Code",$L$7)</t>
  </si>
  <si>
    <t>=NL("Sum","Item Ledger Entry","Quantity","Entry Type","Output","Entry No.",I2101,"Location Code",$L$7)</t>
  </si>
  <si>
    <t>=E2104</t>
  </si>
  <si>
    <t>="S200015"</t>
  </si>
  <si>
    <t>=NL("First","Item","Description","No.",$E2104)</t>
  </si>
  <si>
    <t>=NL("First","Item","Base Unit of Measure","No.",$E2104)</t>
  </si>
  <si>
    <t>=(SUBTOTAL(9,O2105:O2106))</t>
  </si>
  <si>
    <t>=(SUBTOTAL(9,P2105:P2106))</t>
  </si>
  <si>
    <t>=(SUBTOTAL(9,Q2105:Q2106))</t>
  </si>
  <si>
    <t>=(SUBTOTAL(9,R2105:R2106))</t>
  </si>
  <si>
    <t>=(SUBTOTAL(9,S2105:S2106))</t>
  </si>
  <si>
    <t>=(SUBTOTAL(9,T2105:T2106))</t>
  </si>
  <si>
    <t>=SUBTOTAL(9,O2105:T2106)</t>
  </si>
  <si>
    <t>=D2104</t>
  </si>
  <si>
    <t>=NL("Rows","Item Ledger Entry",,"+Posting Date",$L$5,"Item No.","@@"&amp;$D2105,"Location Code",$L$7)</t>
  </si>
  <si>
    <t>=NF($G2105,"Posting Date")</t>
  </si>
  <si>
    <t>=NF($G2105,"Entry No.")</t>
  </si>
  <si>
    <t>=NF(G2105,"Source Type")</t>
  </si>
  <si>
    <t>=NF($G2105,"Source No.")</t>
  </si>
  <si>
    <t>=IF($J2105="Customer",NL("first",$J2105,"Name","No.","@@"&amp;$K2105),"")</t>
  </si>
  <si>
    <t>=IF(J2105="vendor",NL("first",J2105,"Name","No.","@@"&amp;K2105),"")</t>
  </si>
  <si>
    <t>=IF($J2105="Item",NL("first",$J2105,"Description","No.","@@"&amp;$K2105),"")</t>
  </si>
  <si>
    <t>=NL("Sum","Item Ledger Entry","Quantity","Entry Type","Purchase","Entry No.",I2105,"Location Code",$L$7)</t>
  </si>
  <si>
    <t>=NL("Sum","Item Ledger Entry","Quantity","Entry Type","Sale","Entry No.",I2105,"Location Code",$L$7)</t>
  </si>
  <si>
    <t>=NL("Sum","Item Ledger Entry","Quantity","Entry Type","Positive Adjmt.|Negative Adjmt.","Entry No.",I2105,"Location Code",$L$7)</t>
  </si>
  <si>
    <t>=NL("Sum","Item Ledger Entry","Quantity","Entry Type","Transfer","Entry No.",I2105,"Location Code",$L$7)</t>
  </si>
  <si>
    <t>=NL("Sum","Item Ledger Entry","Quantity","Entry Type","Consumption","Entry No.",I2105,"Location Code",$L$7)</t>
  </si>
  <si>
    <t>=NL("Sum","Item Ledger Entry","Quantity","Entry Type","Output","Entry No.",I2105,"Location Code",$L$7)</t>
  </si>
  <si>
    <t>=E2108</t>
  </si>
  <si>
    <t>="S200016"</t>
  </si>
  <si>
    <t>=NL("First","Item","Description","No.",$E2108)</t>
  </si>
  <si>
    <t>=NL("First","Item","Base Unit of Measure","No.",$E2108)</t>
  </si>
  <si>
    <t>=(SUBTOTAL(9,O2109:O2111))</t>
  </si>
  <si>
    <t>=(SUBTOTAL(9,P2109:P2111))</t>
  </si>
  <si>
    <t>=(SUBTOTAL(9,Q2109:Q2111))</t>
  </si>
  <si>
    <t>=(SUBTOTAL(9,R2109:R2111))</t>
  </si>
  <si>
    <t>=(SUBTOTAL(9,S2109:S2111))</t>
  </si>
  <si>
    <t>=(SUBTOTAL(9,T2109:T2111))</t>
  </si>
  <si>
    <t>=SUBTOTAL(9,O2109:T2111)</t>
  </si>
  <si>
    <t>=D2108</t>
  </si>
  <si>
    <t>=NL("Rows","Item Ledger Entry",,"+Posting Date",$L$5,"Item No.","@@"&amp;$D2109,"Location Code",$L$7)</t>
  </si>
  <si>
    <t>=NF($G2109,"Posting Date")</t>
  </si>
  <si>
    <t>=NF($G2109,"Entry No.")</t>
  </si>
  <si>
    <t>=NF(G2109,"Source Type")</t>
  </si>
  <si>
    <t>=NF($G2109,"Source No.")</t>
  </si>
  <si>
    <t>=IF($J2109="Customer",NL("first",$J2109,"Name","No.","@@"&amp;$K2109),"")</t>
  </si>
  <si>
    <t>=IF(J2109="vendor",NL("first",J2109,"Name","No.","@@"&amp;K2109),"")</t>
  </si>
  <si>
    <t>=IF($J2109="Item",NL("first",$J2109,"Description","No.","@@"&amp;$K2109),"")</t>
  </si>
  <si>
    <t>=NL("Sum","Item Ledger Entry","Quantity","Entry Type","Purchase","Entry No.",I2109,"Location Code",$L$7)</t>
  </si>
  <si>
    <t>=NL("Sum","Item Ledger Entry","Quantity","Entry Type","Sale","Entry No.",I2109,"Location Code",$L$7)</t>
  </si>
  <si>
    <t>=NL("Sum","Item Ledger Entry","Quantity","Entry Type","Positive Adjmt.|Negative Adjmt.","Entry No.",I2109,"Location Code",$L$7)</t>
  </si>
  <si>
    <t>=NL("Sum","Item Ledger Entry","Quantity","Entry Type","Transfer","Entry No.",I2109,"Location Code",$L$7)</t>
  </si>
  <si>
    <t>=NL("Sum","Item Ledger Entry","Quantity","Entry Type","Consumption","Entry No.",I2109,"Location Code",$L$7)</t>
  </si>
  <si>
    <t>=NL("Sum","Item Ledger Entry","Quantity","Entry Type","Output","Entry No.",I2109,"Location Code",$L$7)</t>
  </si>
  <si>
    <t>=D2109</t>
  </si>
  <si>
    <t>="""NAV Direct"",""CRONUS JetCorp USA"",""32"",""1"",""147986"""</t>
  </si>
  <si>
    <t>=NF($G2110,"Posting Date")</t>
  </si>
  <si>
    <t>=NF($G2110,"Entry No.")</t>
  </si>
  <si>
    <t>=NF(G2110,"Source Type")</t>
  </si>
  <si>
    <t>=NF($G2110,"Source No.")</t>
  </si>
  <si>
    <t>=IF($J2110="Customer",NL("first",$J2110,"Name","No.","@@"&amp;$K2110),"")</t>
  </si>
  <si>
    <t>=IF(J2110="vendor",NL("first",J2110,"Name","No.","@@"&amp;K2110),"")</t>
  </si>
  <si>
    <t>=IF($J2110="Item",NL("first",$J2110,"Description","No.","@@"&amp;$K2110),"")</t>
  </si>
  <si>
    <t>=NL("Sum","Item Ledger Entry","Quantity","Entry Type","Purchase","Entry No.",I2110,"Location Code",$L$7)</t>
  </si>
  <si>
    <t>=NL("Sum","Item Ledger Entry","Quantity","Entry Type","Sale","Entry No.",I2110,"Location Code",$L$7)</t>
  </si>
  <si>
    <t>=NL("Sum","Item Ledger Entry","Quantity","Entry Type","Positive Adjmt.|Negative Adjmt.","Entry No.",I2110,"Location Code",$L$7)</t>
  </si>
  <si>
    <t>=NL("Sum","Item Ledger Entry","Quantity","Entry Type","Transfer","Entry No.",I2110,"Location Code",$L$7)</t>
  </si>
  <si>
    <t>=NL("Sum","Item Ledger Entry","Quantity","Entry Type","Consumption","Entry No.",I2110,"Location Code",$L$7)</t>
  </si>
  <si>
    <t>=NL("Sum","Item Ledger Entry","Quantity","Entry Type","Output","Entry No.",I2110,"Location Code",$L$7)</t>
  </si>
  <si>
    <t>=E2113</t>
  </si>
  <si>
    <t>="S200017"</t>
  </si>
  <si>
    <t>=NL("First","Item","Description","No.",$E2113)</t>
  </si>
  <si>
    <t>=NL("First","Item","Base Unit of Measure","No.",$E2113)</t>
  </si>
  <si>
    <t>=(SUBTOTAL(9,O2114:O2116))</t>
  </si>
  <si>
    <t>=(SUBTOTAL(9,P2114:P2116))</t>
  </si>
  <si>
    <t>=(SUBTOTAL(9,Q2114:Q2116))</t>
  </si>
  <si>
    <t>=(SUBTOTAL(9,R2114:R2116))</t>
  </si>
  <si>
    <t>=(SUBTOTAL(9,S2114:S2116))</t>
  </si>
  <si>
    <t>=(SUBTOTAL(9,T2114:T2116))</t>
  </si>
  <si>
    <t>=SUBTOTAL(9,O2114:T2116)</t>
  </si>
  <si>
    <t>=D2113</t>
  </si>
  <si>
    <t>=NL("Rows","Item Ledger Entry",,"+Posting Date",$L$5,"Item No.","@@"&amp;$D2114,"Location Code",$L$7)</t>
  </si>
  <si>
    <t>=NF($G2114,"Posting Date")</t>
  </si>
  <si>
    <t>=NF($G2114,"Entry No.")</t>
  </si>
  <si>
    <t>=NF(G2114,"Source Type")</t>
  </si>
  <si>
    <t>=NF($G2114,"Source No.")</t>
  </si>
  <si>
    <t>=IF($J2114="Customer",NL("first",$J2114,"Name","No.","@@"&amp;$K2114),"")</t>
  </si>
  <si>
    <t>=IF(J2114="vendor",NL("first",J2114,"Name","No.","@@"&amp;K2114),"")</t>
  </si>
  <si>
    <t>=IF($J2114="Item",NL("first",$J2114,"Description","No.","@@"&amp;$K2114),"")</t>
  </si>
  <si>
    <t>=NL("Sum","Item Ledger Entry","Quantity","Entry Type","Purchase","Entry No.",I2114,"Location Code",$L$7)</t>
  </si>
  <si>
    <t>=NL("Sum","Item Ledger Entry","Quantity","Entry Type","Sale","Entry No.",I2114,"Location Code",$L$7)</t>
  </si>
  <si>
    <t>=NL("Sum","Item Ledger Entry","Quantity","Entry Type","Positive Adjmt.|Negative Adjmt.","Entry No.",I2114,"Location Code",$L$7)</t>
  </si>
  <si>
    <t>=NL("Sum","Item Ledger Entry","Quantity","Entry Type","Transfer","Entry No.",I2114,"Location Code",$L$7)</t>
  </si>
  <si>
    <t>=NL("Sum","Item Ledger Entry","Quantity","Entry Type","Consumption","Entry No.",I2114,"Location Code",$L$7)</t>
  </si>
  <si>
    <t>=NL("Sum","Item Ledger Entry","Quantity","Entry Type","Output","Entry No.",I2114,"Location Code",$L$7)</t>
  </si>
  <si>
    <t>=D2114</t>
  </si>
  <si>
    <t>="""NAV Direct"",""CRONUS JetCorp USA"",""32"",""1"",""142545"""</t>
  </si>
  <si>
    <t>=NF($G2115,"Posting Date")</t>
  </si>
  <si>
    <t>=NF($G2115,"Entry No.")</t>
  </si>
  <si>
    <t>=NF(G2115,"Source Type")</t>
  </si>
  <si>
    <t>=NF($G2115,"Source No.")</t>
  </si>
  <si>
    <t>=IF($J2115="Customer",NL("first",$J2115,"Name","No.","@@"&amp;$K2115),"")</t>
  </si>
  <si>
    <t>=IF(J2115="vendor",NL("first",J2115,"Name","No.","@@"&amp;K2115),"")</t>
  </si>
  <si>
    <t>=IF($J2115="Item",NL("first",$J2115,"Description","No.","@@"&amp;$K2115),"")</t>
  </si>
  <si>
    <t>=NL("Sum","Item Ledger Entry","Quantity","Entry Type","Purchase","Entry No.",I2115,"Location Code",$L$7)</t>
  </si>
  <si>
    <t>=NL("Sum","Item Ledger Entry","Quantity","Entry Type","Sale","Entry No.",I2115,"Location Code",$L$7)</t>
  </si>
  <si>
    <t>=NL("Sum","Item Ledger Entry","Quantity","Entry Type","Positive Adjmt.|Negative Adjmt.","Entry No.",I2115,"Location Code",$L$7)</t>
  </si>
  <si>
    <t>=NL("Sum","Item Ledger Entry","Quantity","Entry Type","Transfer","Entry No.",I2115,"Location Code",$L$7)</t>
  </si>
  <si>
    <t>=NL("Sum","Item Ledger Entry","Quantity","Entry Type","Consumption","Entry No.",I2115,"Location Code",$L$7)</t>
  </si>
  <si>
    <t>=NL("Sum","Item Ledger Entry","Quantity","Entry Type","Output","Entry No.",I2115,"Location Code",$L$7)</t>
  </si>
  <si>
    <t>=E2118</t>
  </si>
  <si>
    <t>="S200018"</t>
  </si>
  <si>
    <t>=NL("First","Item","Description","No.",$E2118)</t>
  </si>
  <si>
    <t>=NL("First","Item","Base Unit of Measure","No.",$E2118)</t>
  </si>
  <si>
    <t>=(SUBTOTAL(9,O2119:O2120))</t>
  </si>
  <si>
    <t>=(SUBTOTAL(9,P2119:P2120))</t>
  </si>
  <si>
    <t>=(SUBTOTAL(9,Q2119:Q2120))</t>
  </si>
  <si>
    <t>=(SUBTOTAL(9,R2119:R2120))</t>
  </si>
  <si>
    <t>=(SUBTOTAL(9,S2119:S2120))</t>
  </si>
  <si>
    <t>=(SUBTOTAL(9,T2119:T2120))</t>
  </si>
  <si>
    <t>=SUBTOTAL(9,O2119:T2120)</t>
  </si>
  <si>
    <t>=D2118</t>
  </si>
  <si>
    <t>=NL("Rows","Item Ledger Entry",,"+Posting Date",$L$5,"Item No.","@@"&amp;$D2119,"Location Code",$L$7)</t>
  </si>
  <si>
    <t>=NF($G2119,"Posting Date")</t>
  </si>
  <si>
    <t>=NF($G2119,"Entry No.")</t>
  </si>
  <si>
    <t>=NF(G2119,"Source Type")</t>
  </si>
  <si>
    <t>=NF($G2119,"Source No.")</t>
  </si>
  <si>
    <t>=IF($J2119="Customer",NL("first",$J2119,"Name","No.","@@"&amp;$K2119),"")</t>
  </si>
  <si>
    <t>=IF(J2119="vendor",NL("first",J2119,"Name","No.","@@"&amp;K2119),"")</t>
  </si>
  <si>
    <t>=IF($J2119="Item",NL("first",$J2119,"Description","No.","@@"&amp;$K2119),"")</t>
  </si>
  <si>
    <t>=NL("Sum","Item Ledger Entry","Quantity","Entry Type","Purchase","Entry No.",I2119,"Location Code",$L$7)</t>
  </si>
  <si>
    <t>=NL("Sum","Item Ledger Entry","Quantity","Entry Type","Sale","Entry No.",I2119,"Location Code",$L$7)</t>
  </si>
  <si>
    <t>=NL("Sum","Item Ledger Entry","Quantity","Entry Type","Positive Adjmt.|Negative Adjmt.","Entry No.",I2119,"Location Code",$L$7)</t>
  </si>
  <si>
    <t>=NL("Sum","Item Ledger Entry","Quantity","Entry Type","Transfer","Entry No.",I2119,"Location Code",$L$7)</t>
  </si>
  <si>
    <t>=NL("Sum","Item Ledger Entry","Quantity","Entry Type","Consumption","Entry No.",I2119,"Location Code",$L$7)</t>
  </si>
  <si>
    <t>=NL("Sum","Item Ledger Entry","Quantity","Entry Type","Output","Entry No.",I2119,"Location Code",$L$7)</t>
  </si>
  <si>
    <t>=E2122</t>
  </si>
  <si>
    <t>="S200019"</t>
  </si>
  <si>
    <t>=NL("First","Item","Description","No.",$E2122)</t>
  </si>
  <si>
    <t>=NL("First","Item","Base Unit of Measure","No.",$E2122)</t>
  </si>
  <si>
    <t>=(SUBTOTAL(9,O2123:O2127))</t>
  </si>
  <si>
    <t>=(SUBTOTAL(9,P2123:P2127))</t>
  </si>
  <si>
    <t>=(SUBTOTAL(9,Q2123:Q2127))</t>
  </si>
  <si>
    <t>=(SUBTOTAL(9,R2123:R2127))</t>
  </si>
  <si>
    <t>=(SUBTOTAL(9,S2123:S2127))</t>
  </si>
  <si>
    <t>=(SUBTOTAL(9,T2123:T2127))</t>
  </si>
  <si>
    <t>=SUBTOTAL(9,O2123:T2127)</t>
  </si>
  <si>
    <t>=D2122</t>
  </si>
  <si>
    <t>=NL("Rows","Item Ledger Entry",,"+Posting Date",$L$5,"Item No.","@@"&amp;$D2123,"Location Code",$L$7)</t>
  </si>
  <si>
    <t>=IF($J2123="Customer",NL("first",$J2123,"Name","No.","@@"&amp;$K2123),"")</t>
  </si>
  <si>
    <t>=IF(J2123="vendor",NL("first",J2123,"Name","No.","@@"&amp;K2123),"")</t>
  </si>
  <si>
    <t>=IF($J2123="Item",NL("first",$J2123,"Description","No.","@@"&amp;$K2123),"")</t>
  </si>
  <si>
    <t>=D2123</t>
  </si>
  <si>
    <t>="""NAV Direct"",""CRONUS JetCorp USA"",""32"",""1"",""147985"""</t>
  </si>
  <si>
    <t>=IF($J2124="Customer",NL("first",$J2124,"Name","No.","@@"&amp;$K2124),"")</t>
  </si>
  <si>
    <t>=IF(J2124="vendor",NL("first",J2124,"Name","No.","@@"&amp;K2124),"")</t>
  </si>
  <si>
    <t>=IF($J2124="Item",NL("first",$J2124,"Description","No.","@@"&amp;$K2124),"")</t>
  </si>
  <si>
    <t>=D2124</t>
  </si>
  <si>
    <t>="""NAV Direct"",""CRONUS JetCorp USA"",""32"",""1"",""153191"""</t>
  </si>
  <si>
    <t>=IF($J2125="Customer",NL("first",$J2125,"Name","No.","@@"&amp;$K2125),"")</t>
  </si>
  <si>
    <t>=IF(J2125="vendor",NL("first",J2125,"Name","No.","@@"&amp;K2125),"")</t>
  </si>
  <si>
    <t>=IF($J2125="Item",NL("first",$J2125,"Description","No.","@@"&amp;$K2125),"")</t>
  </si>
  <si>
    <t>=D2125</t>
  </si>
  <si>
    <t>="""NAV Direct"",""CRONUS JetCorp USA"",""32"",""1"",""142544"""</t>
  </si>
  <si>
    <t>=IF($J2126="Customer",NL("first",$J2126,"Name","No.","@@"&amp;$K2126),"")</t>
  </si>
  <si>
    <t>=IF(J2126="vendor",NL("first",J2126,"Name","No.","@@"&amp;K2126),"")</t>
  </si>
  <si>
    <t>=IF($J2126="Item",NL("first",$J2126,"Description","No.","@@"&amp;$K2126),"")</t>
  </si>
  <si>
    <t>=E2129</t>
  </si>
  <si>
    <t>="S200020"</t>
  </si>
  <si>
    <t>=NL("First","Item","Description","No.",$E2129)</t>
  </si>
  <si>
    <t>=NL("First","Item","Base Unit of Measure","No.",$E2129)</t>
  </si>
  <si>
    <t>=(SUBTOTAL(9,O2130:O2133))</t>
  </si>
  <si>
    <t>=(SUBTOTAL(9,P2130:P2133))</t>
  </si>
  <si>
    <t>=(SUBTOTAL(9,Q2130:Q2133))</t>
  </si>
  <si>
    <t>=(SUBTOTAL(9,R2130:R2133))</t>
  </si>
  <si>
    <t>=(SUBTOTAL(9,S2130:S2133))</t>
  </si>
  <si>
    <t>=(SUBTOTAL(9,T2130:T2133))</t>
  </si>
  <si>
    <t>=SUBTOTAL(9,O2130:T2133)</t>
  </si>
  <si>
    <t>=D2129</t>
  </si>
  <si>
    <t>=NL("Rows","Item Ledger Entry",,"+Posting Date",$L$5,"Item No.","@@"&amp;$D2130,"Location Code",$L$7)</t>
  </si>
  <si>
    <t>=IF($J2130="Customer",NL("first",$J2130,"Name","No.","@@"&amp;$K2130),"")</t>
  </si>
  <si>
    <t>=IF(J2130="vendor",NL("first",J2130,"Name","No.","@@"&amp;K2130),"")</t>
  </si>
  <si>
    <t>=IF($J2130="Item",NL("first",$J2130,"Description","No.","@@"&amp;$K2130),"")</t>
  </si>
  <si>
    <t>=D2130</t>
  </si>
  <si>
    <t>="""NAV Direct"",""CRONUS JetCorp USA"",""32"",""1"",""153188"""</t>
  </si>
  <si>
    <t>=IF($J2131="Customer",NL("first",$J2131,"Name","No.","@@"&amp;$K2131),"")</t>
  </si>
  <si>
    <t>=IF(J2131="vendor",NL("first",J2131,"Name","No.","@@"&amp;K2131),"")</t>
  </si>
  <si>
    <t>=IF($J2131="Item",NL("first",$J2131,"Description","No.","@@"&amp;$K2131),"")</t>
  </si>
  <si>
    <t>=D2131</t>
  </si>
  <si>
    <t>="""NAV Direct"",""CRONUS JetCorp USA"",""32"",""1"",""159117"""</t>
  </si>
  <si>
    <t>=IF($J2132="Customer",NL("first",$J2132,"Name","No.","@@"&amp;$K2132),"")</t>
  </si>
  <si>
    <t>=IF(J2132="vendor",NL("first",J2132,"Name","No.","@@"&amp;K2132),"")</t>
  </si>
  <si>
    <t>=IF($J2132="Item",NL("first",$J2132,"Description","No.","@@"&amp;$K2132),"")</t>
  </si>
  <si>
    <t>=E2135</t>
  </si>
  <si>
    <t>="S200021"</t>
  </si>
  <si>
    <t>=NL("First","Item","Description","No.",$E2135)</t>
  </si>
  <si>
    <t>=NL("First","Item","Base Unit of Measure","No.",$E2135)</t>
  </si>
  <si>
    <t>=(SUBTOTAL(9,O2136:O2137))</t>
  </si>
  <si>
    <t>=(SUBTOTAL(9,P2136:P2137))</t>
  </si>
  <si>
    <t>=(SUBTOTAL(9,Q2136:Q2137))</t>
  </si>
  <si>
    <t>=(SUBTOTAL(9,R2136:R2137))</t>
  </si>
  <si>
    <t>=(SUBTOTAL(9,S2136:S2137))</t>
  </si>
  <si>
    <t>=(SUBTOTAL(9,T2136:T2137))</t>
  </si>
  <si>
    <t>=SUBTOTAL(9,O2136:T2137)</t>
  </si>
  <si>
    <t>=D2135</t>
  </si>
  <si>
    <t>=NL("Rows","Item Ledger Entry",,"+Posting Date",$L$5,"Item No.","@@"&amp;$D2136,"Location Code",$L$7)</t>
  </si>
  <si>
    <t>=NF($G2136,"Posting Date")</t>
  </si>
  <si>
    <t>=NF($G2136,"Entry No.")</t>
  </si>
  <si>
    <t>=NF(G2136,"Source Type")</t>
  </si>
  <si>
    <t>=NF($G2136,"Source No.")</t>
  </si>
  <si>
    <t>=IF($J2136="Customer",NL("first",$J2136,"Name","No.","@@"&amp;$K2136),"")</t>
  </si>
  <si>
    <t>=IF(J2136="vendor",NL("first",J2136,"Name","No.","@@"&amp;K2136),"")</t>
  </si>
  <si>
    <t>=IF($J2136="Item",NL("first",$J2136,"Description","No.","@@"&amp;$K2136),"")</t>
  </si>
  <si>
    <t>=NL("Sum","Item Ledger Entry","Quantity","Entry Type","Purchase","Entry No.",I2136,"Location Code",$L$7)</t>
  </si>
  <si>
    <t>=NL("Sum","Item Ledger Entry","Quantity","Entry Type","Sale","Entry No.",I2136,"Location Code",$L$7)</t>
  </si>
  <si>
    <t>=NL("Sum","Item Ledger Entry","Quantity","Entry Type","Positive Adjmt.|Negative Adjmt.","Entry No.",I2136,"Location Code",$L$7)</t>
  </si>
  <si>
    <t>=NL("Sum","Item Ledger Entry","Quantity","Entry Type","Transfer","Entry No.",I2136,"Location Code",$L$7)</t>
  </si>
  <si>
    <t>=NL("Sum","Item Ledger Entry","Quantity","Entry Type","Consumption","Entry No.",I2136,"Location Code",$L$7)</t>
  </si>
  <si>
    <t>=NL("Sum","Item Ledger Entry","Quantity","Entry Type","Output","Entry No.",I2136,"Location Code",$L$7)</t>
  </si>
  <si>
    <t>=E2139</t>
  </si>
  <si>
    <t>="S200022"</t>
  </si>
  <si>
    <t>=NL("First","Item","Description","No.",$E2139)</t>
  </si>
  <si>
    <t>=NL("First","Item","Base Unit of Measure","No.",$E2139)</t>
  </si>
  <si>
    <t>=(SUBTOTAL(9,O2140:O2142))</t>
  </si>
  <si>
    <t>=(SUBTOTAL(9,P2140:P2142))</t>
  </si>
  <si>
    <t>=(SUBTOTAL(9,Q2140:Q2142))</t>
  </si>
  <si>
    <t>=(SUBTOTAL(9,R2140:R2142))</t>
  </si>
  <si>
    <t>=(SUBTOTAL(9,S2140:S2142))</t>
  </si>
  <si>
    <t>=(SUBTOTAL(9,T2140:T2142))</t>
  </si>
  <si>
    <t>=SUBTOTAL(9,O2140:T2142)</t>
  </si>
  <si>
    <t>=D2139</t>
  </si>
  <si>
    <t>=NL("Rows","Item Ledger Entry",,"+Posting Date",$L$5,"Item No.","@@"&amp;$D2140,"Location Code",$L$7)</t>
  </si>
  <si>
    <t>=NF($G2140,"Posting Date")</t>
  </si>
  <si>
    <t>=NF($G2140,"Entry No.")</t>
  </si>
  <si>
    <t>=NF(G2140,"Source Type")</t>
  </si>
  <si>
    <t>=NF($G2140,"Source No.")</t>
  </si>
  <si>
    <t>=IF($J2140="Customer",NL("first",$J2140,"Name","No.","@@"&amp;$K2140),"")</t>
  </si>
  <si>
    <t>=IF(J2140="vendor",NL("first",J2140,"Name","No.","@@"&amp;K2140),"")</t>
  </si>
  <si>
    <t>=IF($J2140="Item",NL("first",$J2140,"Description","No.","@@"&amp;$K2140),"")</t>
  </si>
  <si>
    <t>=NL("Sum","Item Ledger Entry","Quantity","Entry Type","Purchase","Entry No.",I2140,"Location Code",$L$7)</t>
  </si>
  <si>
    <t>=NL("Sum","Item Ledger Entry","Quantity","Entry Type","Sale","Entry No.",I2140,"Location Code",$L$7)</t>
  </si>
  <si>
    <t>=NL("Sum","Item Ledger Entry","Quantity","Entry Type","Positive Adjmt.|Negative Adjmt.","Entry No.",I2140,"Location Code",$L$7)</t>
  </si>
  <si>
    <t>=NL("Sum","Item Ledger Entry","Quantity","Entry Type","Transfer","Entry No.",I2140,"Location Code",$L$7)</t>
  </si>
  <si>
    <t>=NL("Sum","Item Ledger Entry","Quantity","Entry Type","Consumption","Entry No.",I2140,"Location Code",$L$7)</t>
  </si>
  <si>
    <t>=NL("Sum","Item Ledger Entry","Quantity","Entry Type","Output","Entry No.",I2140,"Location Code",$L$7)</t>
  </si>
  <si>
    <t>=D2140</t>
  </si>
  <si>
    <t>="""NAV Direct"",""CRONUS JetCorp USA"",""32"",""1"",""153177"""</t>
  </si>
  <si>
    <t>=NF($G2141,"Posting Date")</t>
  </si>
  <si>
    <t>=NF($G2141,"Entry No.")</t>
  </si>
  <si>
    <t>=NF(G2141,"Source Type")</t>
  </si>
  <si>
    <t>=NF($G2141,"Source No.")</t>
  </si>
  <si>
    <t>=IF($J2141="Customer",NL("first",$J2141,"Name","No.","@@"&amp;$K2141),"")</t>
  </si>
  <si>
    <t>=IF(J2141="vendor",NL("first",J2141,"Name","No.","@@"&amp;K2141),"")</t>
  </si>
  <si>
    <t>=IF($J2141="Item",NL("first",$J2141,"Description","No.","@@"&amp;$K2141),"")</t>
  </si>
  <si>
    <t>=NL("Sum","Item Ledger Entry","Quantity","Entry Type","Purchase","Entry No.",I2141,"Location Code",$L$7)</t>
  </si>
  <si>
    <t>=NL("Sum","Item Ledger Entry","Quantity","Entry Type","Sale","Entry No.",I2141,"Location Code",$L$7)</t>
  </si>
  <si>
    <t>=NL("Sum","Item Ledger Entry","Quantity","Entry Type","Positive Adjmt.|Negative Adjmt.","Entry No.",I2141,"Location Code",$L$7)</t>
  </si>
  <si>
    <t>=NL("Sum","Item Ledger Entry","Quantity","Entry Type","Transfer","Entry No.",I2141,"Location Code",$L$7)</t>
  </si>
  <si>
    <t>=NL("Sum","Item Ledger Entry","Quantity","Entry Type","Consumption","Entry No.",I2141,"Location Code",$L$7)</t>
  </si>
  <si>
    <t>=NL("Sum","Item Ledger Entry","Quantity","Entry Type","Output","Entry No.",I2141,"Location Code",$L$7)</t>
  </si>
  <si>
    <t>=E2144</t>
  </si>
  <si>
    <t>="S200023"</t>
  </si>
  <si>
    <t>=NL("First","Item","Description","No.",$E2144)</t>
  </si>
  <si>
    <t>=NL("First","Item","Base Unit of Measure","No.",$E2144)</t>
  </si>
  <si>
    <t>=(SUBTOTAL(9,O2145:O2147))</t>
  </si>
  <si>
    <t>=(SUBTOTAL(9,P2145:P2147))</t>
  </si>
  <si>
    <t>=(SUBTOTAL(9,Q2145:Q2147))</t>
  </si>
  <si>
    <t>=(SUBTOTAL(9,R2145:R2147))</t>
  </si>
  <si>
    <t>=(SUBTOTAL(9,S2145:S2147))</t>
  </si>
  <si>
    <t>=(SUBTOTAL(9,T2145:T2147))</t>
  </si>
  <si>
    <t>=SUBTOTAL(9,O2145:T2147)</t>
  </si>
  <si>
    <t>=D2144</t>
  </si>
  <si>
    <t>=NL("Rows","Item Ledger Entry",,"+Posting Date",$L$5,"Item No.","@@"&amp;$D2145,"Location Code",$L$7)</t>
  </si>
  <si>
    <t>=NF($G2145,"Posting Date")</t>
  </si>
  <si>
    <t>=NF($G2145,"Entry No.")</t>
  </si>
  <si>
    <t>=NF(G2145,"Source Type")</t>
  </si>
  <si>
    <t>=NF($G2145,"Source No.")</t>
  </si>
  <si>
    <t>=IF($J2145="Customer",NL("first",$J2145,"Name","No.","@@"&amp;$K2145),"")</t>
  </si>
  <si>
    <t>=IF(J2145="vendor",NL("first",J2145,"Name","No.","@@"&amp;K2145),"")</t>
  </si>
  <si>
    <t>=IF($J2145="Item",NL("first",$J2145,"Description","No.","@@"&amp;$K2145),"")</t>
  </si>
  <si>
    <t>=NL("Sum","Item Ledger Entry","Quantity","Entry Type","Purchase","Entry No.",I2145,"Location Code",$L$7)</t>
  </si>
  <si>
    <t>=NL("Sum","Item Ledger Entry","Quantity","Entry Type","Sale","Entry No.",I2145,"Location Code",$L$7)</t>
  </si>
  <si>
    <t>=NL("Sum","Item Ledger Entry","Quantity","Entry Type","Positive Adjmt.|Negative Adjmt.","Entry No.",I2145,"Location Code",$L$7)</t>
  </si>
  <si>
    <t>=NL("Sum","Item Ledger Entry","Quantity","Entry Type","Transfer","Entry No.",I2145,"Location Code",$L$7)</t>
  </si>
  <si>
    <t>=NL("Sum","Item Ledger Entry","Quantity","Entry Type","Consumption","Entry No.",I2145,"Location Code",$L$7)</t>
  </si>
  <si>
    <t>=NL("Sum","Item Ledger Entry","Quantity","Entry Type","Output","Entry No.",I2145,"Location Code",$L$7)</t>
  </si>
  <si>
    <t>=D2145</t>
  </si>
  <si>
    <t>="""NAV Direct"",""CRONUS JetCorp USA"",""32"",""1"",""169242"""</t>
  </si>
  <si>
    <t>=NF($G2146,"Posting Date")</t>
  </si>
  <si>
    <t>=NF($G2146,"Entry No.")</t>
  </si>
  <si>
    <t>=NF(G2146,"Source Type")</t>
  </si>
  <si>
    <t>=NF($G2146,"Source No.")</t>
  </si>
  <si>
    <t>=IF($J2146="Customer",NL("first",$J2146,"Name","No.","@@"&amp;$K2146),"")</t>
  </si>
  <si>
    <t>=IF(J2146="vendor",NL("first",J2146,"Name","No.","@@"&amp;K2146),"")</t>
  </si>
  <si>
    <t>=IF($J2146="Item",NL("first",$J2146,"Description","No.","@@"&amp;$K2146),"")</t>
  </si>
  <si>
    <t>=NL("Sum","Item Ledger Entry","Quantity","Entry Type","Purchase","Entry No.",I2146,"Location Code",$L$7)</t>
  </si>
  <si>
    <t>=NL("Sum","Item Ledger Entry","Quantity","Entry Type","Sale","Entry No.",I2146,"Location Code",$L$7)</t>
  </si>
  <si>
    <t>=NL("Sum","Item Ledger Entry","Quantity","Entry Type","Positive Adjmt.|Negative Adjmt.","Entry No.",I2146,"Location Code",$L$7)</t>
  </si>
  <si>
    <t>=NL("Sum","Item Ledger Entry","Quantity","Entry Type","Transfer","Entry No.",I2146,"Location Code",$L$7)</t>
  </si>
  <si>
    <t>=NL("Sum","Item Ledger Entry","Quantity","Entry Type","Consumption","Entry No.",I2146,"Location Code",$L$7)</t>
  </si>
  <si>
    <t>=NL("Sum","Item Ledger Entry","Quantity","Entry Type","Output","Entry No.",I2146,"Location Code",$L$7)</t>
  </si>
  <si>
    <t>=E2149</t>
  </si>
  <si>
    <t>="S200024"</t>
  </si>
  <si>
    <t>=NL("First","Item","Description","No.",$E2149)</t>
  </si>
  <si>
    <t>=NL("First","Item","Base Unit of Measure","No.",$E2149)</t>
  </si>
  <si>
    <t>=(SUBTOTAL(9,O2150:O2151))</t>
  </si>
  <si>
    <t>=(SUBTOTAL(9,P2150:P2151))</t>
  </si>
  <si>
    <t>=(SUBTOTAL(9,Q2150:Q2151))</t>
  </si>
  <si>
    <t>=(SUBTOTAL(9,R2150:R2151))</t>
  </si>
  <si>
    <t>=(SUBTOTAL(9,S2150:S2151))</t>
  </si>
  <si>
    <t>=(SUBTOTAL(9,T2150:T2151))</t>
  </si>
  <si>
    <t>=SUBTOTAL(9,O2150:T2151)</t>
  </si>
  <si>
    <t>=D2149</t>
  </si>
  <si>
    <t>=NL("Rows","Item Ledger Entry",,"+Posting Date",$L$5,"Item No.","@@"&amp;$D2150,"Location Code",$L$7)</t>
  </si>
  <si>
    <t>=NF($G2150,"Posting Date")</t>
  </si>
  <si>
    <t>=NF($G2150,"Entry No.")</t>
  </si>
  <si>
    <t>=NF(G2150,"Source Type")</t>
  </si>
  <si>
    <t>=NF($G2150,"Source No.")</t>
  </si>
  <si>
    <t>=IF($J2150="Customer",NL("first",$J2150,"Name","No.","@@"&amp;$K2150),"")</t>
  </si>
  <si>
    <t>=IF(J2150="vendor",NL("first",J2150,"Name","No.","@@"&amp;K2150),"")</t>
  </si>
  <si>
    <t>=IF($J2150="Item",NL("first",$J2150,"Description","No.","@@"&amp;$K2150),"")</t>
  </si>
  <si>
    <t>=NL("Sum","Item Ledger Entry","Quantity","Entry Type","Purchase","Entry No.",I2150,"Location Code",$L$7)</t>
  </si>
  <si>
    <t>=NL("Sum","Item Ledger Entry","Quantity","Entry Type","Sale","Entry No.",I2150,"Location Code",$L$7)</t>
  </si>
  <si>
    <t>=NL("Sum","Item Ledger Entry","Quantity","Entry Type","Positive Adjmt.|Negative Adjmt.","Entry No.",I2150,"Location Code",$L$7)</t>
  </si>
  <si>
    <t>=NL("Sum","Item Ledger Entry","Quantity","Entry Type","Transfer","Entry No.",I2150,"Location Code",$L$7)</t>
  </si>
  <si>
    <t>=NL("Sum","Item Ledger Entry","Quantity","Entry Type","Consumption","Entry No.",I2150,"Location Code",$L$7)</t>
  </si>
  <si>
    <t>=NL("Sum","Item Ledger Entry","Quantity","Entry Type","Output","Entry No.",I2150,"Location Code",$L$7)</t>
  </si>
  <si>
    <t>=E2153</t>
  </si>
  <si>
    <t>="S200029"</t>
  </si>
  <si>
    <t>=NL("First","Item","Description","No.",$E2153)</t>
  </si>
  <si>
    <t>=NL("First","Item","Base Unit of Measure","No.",$E2153)</t>
  </si>
  <si>
    <t>=(SUBTOTAL(9,O2154:O2155))</t>
  </si>
  <si>
    <t>=(SUBTOTAL(9,P2154:P2155))</t>
  </si>
  <si>
    <t>=(SUBTOTAL(9,Q2154:Q2155))</t>
  </si>
  <si>
    <t>=(SUBTOTAL(9,R2154:R2155))</t>
  </si>
  <si>
    <t>=(SUBTOTAL(9,S2154:S2155))</t>
  </si>
  <si>
    <t>=(SUBTOTAL(9,T2154:T2155))</t>
  </si>
  <si>
    <t>=SUBTOTAL(9,O2154:T2155)</t>
  </si>
  <si>
    <t>=D2153</t>
  </si>
  <si>
    <t>=NL("Rows","Item Ledger Entry",,"+Posting Date",$L$5,"Item No.","@@"&amp;$D2154,"Location Code",$L$7)</t>
  </si>
  <si>
    <t>=NF($G2154,"Posting Date")</t>
  </si>
  <si>
    <t>=NF($G2154,"Entry No.")</t>
  </si>
  <si>
    <t>=NF(G2154,"Source Type")</t>
  </si>
  <si>
    <t>=NF($G2154,"Source No.")</t>
  </si>
  <si>
    <t>=IF($J2154="Customer",NL("first",$J2154,"Name","No.","@@"&amp;$K2154),"")</t>
  </si>
  <si>
    <t>=IF(J2154="vendor",NL("first",J2154,"Name","No.","@@"&amp;K2154),"")</t>
  </si>
  <si>
    <t>=IF($J2154="Item",NL("first",$J2154,"Description","No.","@@"&amp;$K2154),"")</t>
  </si>
  <si>
    <t>=NL("Sum","Item Ledger Entry","Quantity","Entry Type","Purchase","Entry No.",I2154,"Location Code",$L$7)</t>
  </si>
  <si>
    <t>=NL("Sum","Item Ledger Entry","Quantity","Entry Type","Sale","Entry No.",I2154,"Location Code",$L$7)</t>
  </si>
  <si>
    <t>=NL("Sum","Item Ledger Entry","Quantity","Entry Type","Positive Adjmt.|Negative Adjmt.","Entry No.",I2154,"Location Code",$L$7)</t>
  </si>
  <si>
    <t>=NL("Sum","Item Ledger Entry","Quantity","Entry Type","Transfer","Entry No.",I2154,"Location Code",$L$7)</t>
  </si>
  <si>
    <t>=NL("Sum","Item Ledger Entry","Quantity","Entry Type","Consumption","Entry No.",I2154,"Location Code",$L$7)</t>
  </si>
  <si>
    <t>=NL("Sum","Item Ledger Entry","Quantity","Entry Type","Output","Entry No.",I2154,"Location Code",$L$7)</t>
  </si>
  <si>
    <t>=E2157</t>
  </si>
  <si>
    <t>="S200030"</t>
  </si>
  <si>
    <t>=NL("First","Item","Description","No.",$E2157)</t>
  </si>
  <si>
    <t>=NL("First","Item","Base Unit of Measure","No.",$E2157)</t>
  </si>
  <si>
    <t>=(SUBTOTAL(9,O2158:O2159))</t>
  </si>
  <si>
    <t>=(SUBTOTAL(9,P2158:P2159))</t>
  </si>
  <si>
    <t>=(SUBTOTAL(9,Q2158:Q2159))</t>
  </si>
  <si>
    <t>=(SUBTOTAL(9,R2158:R2159))</t>
  </si>
  <si>
    <t>=(SUBTOTAL(9,S2158:S2159))</t>
  </si>
  <si>
    <t>=(SUBTOTAL(9,T2158:T2159))</t>
  </si>
  <si>
    <t>=SUBTOTAL(9,O2158:T2159)</t>
  </si>
  <si>
    <t>=D2157</t>
  </si>
  <si>
    <t>=NL("Rows","Item Ledger Entry",,"+Posting Date",$L$5,"Item No.","@@"&amp;$D2158,"Location Code",$L$7)</t>
  </si>
  <si>
    <t>=NF($G2158,"Posting Date")</t>
  </si>
  <si>
    <t>=NF($G2158,"Entry No.")</t>
  </si>
  <si>
    <t>=NF(G2158,"Source Type")</t>
  </si>
  <si>
    <t>=NF($G2158,"Source No.")</t>
  </si>
  <si>
    <t>=IF($J2158="Customer",NL("first",$J2158,"Name","No.","@@"&amp;$K2158),"")</t>
  </si>
  <si>
    <t>=IF(J2158="vendor",NL("first",J2158,"Name","No.","@@"&amp;K2158),"")</t>
  </si>
  <si>
    <t>=IF($J2158="Item",NL("first",$J2158,"Description","No.","@@"&amp;$K2158),"")</t>
  </si>
  <si>
    <t>=NL("Sum","Item Ledger Entry","Quantity","Entry Type","Purchase","Entry No.",I2158,"Location Code",$L$7)</t>
  </si>
  <si>
    <t>=NL("Sum","Item Ledger Entry","Quantity","Entry Type","Sale","Entry No.",I2158,"Location Code",$L$7)</t>
  </si>
  <si>
    <t>=NL("Sum","Item Ledger Entry","Quantity","Entry Type","Positive Adjmt.|Negative Adjmt.","Entry No.",I2158,"Location Code",$L$7)</t>
  </si>
  <si>
    <t>=NL("Sum","Item Ledger Entry","Quantity","Entry Type","Transfer","Entry No.",I2158,"Location Code",$L$7)</t>
  </si>
  <si>
    <t>=NL("Sum","Item Ledger Entry","Quantity","Entry Type","Consumption","Entry No.",I2158,"Location Code",$L$7)</t>
  </si>
  <si>
    <t>=NL("Sum","Item Ledger Entry","Quantity","Entry Type","Output","Entry No.",I2158,"Location Code",$L$7)</t>
  </si>
  <si>
    <t>=E2161</t>
  </si>
  <si>
    <t>="S200031"</t>
  </si>
  <si>
    <t>=NL("First","Item","Description","No.",$E2161)</t>
  </si>
  <si>
    <t>=NL("First","Item","Base Unit of Measure","No.",$E2161)</t>
  </si>
  <si>
    <t>=(SUBTOTAL(9,O2162:O2163))</t>
  </si>
  <si>
    <t>=(SUBTOTAL(9,P2162:P2163))</t>
  </si>
  <si>
    <t>=(SUBTOTAL(9,Q2162:Q2163))</t>
  </si>
  <si>
    <t>=(SUBTOTAL(9,R2162:R2163))</t>
  </si>
  <si>
    <t>=(SUBTOTAL(9,S2162:S2163))</t>
  </si>
  <si>
    <t>=(SUBTOTAL(9,T2162:T2163))</t>
  </si>
  <si>
    <t>=SUBTOTAL(9,O2162:T2163)</t>
  </si>
  <si>
    <t>=D2161</t>
  </si>
  <si>
    <t>=NL("Rows","Item Ledger Entry",,"+Posting Date",$L$5,"Item No.","@@"&amp;$D2162,"Location Code",$L$7)</t>
  </si>
  <si>
    <t>=NF($G2162,"Posting Date")</t>
  </si>
  <si>
    <t>=NF($G2162,"Entry No.")</t>
  </si>
  <si>
    <t>=NF(G2162,"Source Type")</t>
  </si>
  <si>
    <t>=NF($G2162,"Source No.")</t>
  </si>
  <si>
    <t>=IF($J2162="Customer",NL("first",$J2162,"Name","No.","@@"&amp;$K2162),"")</t>
  </si>
  <si>
    <t>=IF(J2162="vendor",NL("first",J2162,"Name","No.","@@"&amp;K2162),"")</t>
  </si>
  <si>
    <t>=IF($J2162="Item",NL("first",$J2162,"Description","No.","@@"&amp;$K2162),"")</t>
  </si>
  <si>
    <t>=NL("Sum","Item Ledger Entry","Quantity","Entry Type","Purchase","Entry No.",I2162,"Location Code",$L$7)</t>
  </si>
  <si>
    <t>=NL("Sum","Item Ledger Entry","Quantity","Entry Type","Sale","Entry No.",I2162,"Location Code",$L$7)</t>
  </si>
  <si>
    <t>=NL("Sum","Item Ledger Entry","Quantity","Entry Type","Positive Adjmt.|Negative Adjmt.","Entry No.",I2162,"Location Code",$L$7)</t>
  </si>
  <si>
    <t>=NL("Sum","Item Ledger Entry","Quantity","Entry Type","Transfer","Entry No.",I2162,"Location Code",$L$7)</t>
  </si>
  <si>
    <t>=NL("Sum","Item Ledger Entry","Quantity","Entry Type","Consumption","Entry No.",I2162,"Location Code",$L$7)</t>
  </si>
  <si>
    <t>=NL("Sum","Item Ledger Entry","Quantity","Entry Type","Output","Entry No.",I2162,"Location Code",$L$7)</t>
  </si>
  <si>
    <t>=SUBTOTAL(9,O13:O2165)</t>
  </si>
  <si>
    <t>=SUBTOTAL(9,P13:P2165)</t>
  </si>
  <si>
    <t>=SUBTOTAL(9,Q13:Q2165)</t>
  </si>
  <si>
    <t>=SUBTOTAL(9,R13:R2165)</t>
  </si>
  <si>
    <t>=SUBTOTAL(9,S13:S2165)</t>
  </si>
  <si>
    <t>=SUBTOTAL(9,T13:T2165)</t>
  </si>
  <si>
    <t>=SUM(U12:U2165)</t>
  </si>
  <si>
    <t>=NF($G16,"Posting Date")</t>
  </si>
  <si>
    <t>=NF($G16,"Entry No.")</t>
  </si>
  <si>
    <t>=NL("Sum","Item Ledger Entry","Quantity","Entry Type","Purchase","Entry No.",I16,"Location Code",$L$7)</t>
  </si>
  <si>
    <t>=NL("Sum","Item Ledger Entry","Quantity","Entry Type","Purchase","Entry No.",I17,"Location Code",$L$7)</t>
  </si>
  <si>
    <t>=NL("Sum","Item Ledger Entry","Quantity","Entry Type","Purchase","Entry No.",I18,"Location Code",$L$7)</t>
  </si>
  <si>
    <t>=NL("Sum","Item Ledger Entry","Quantity","Entry Type","Sale","Entry No.",I16,"Location Code",$L$7)</t>
  </si>
  <si>
    <t>=NL("Sum","Item Ledger Entry","Quantity","Entry Type","Sale","Entry No.",I17,"Location Code",$L$7)</t>
  </si>
  <si>
    <t>=NL("Sum","Item Ledger Entry","Quantity","Entry Type","Sale","Entry No.",I18,"Location Code",$L$7)</t>
  </si>
  <si>
    <t>=NL("Sum","Item Ledger Entry","Quantity","Entry Type","Positive Adjmt.|Negative Adjmt.","Entry No.",I16,"Location Code",$L$7)</t>
  </si>
  <si>
    <t>=NL("Sum","Item Ledger Entry","Quantity","Entry Type","Positive Adjmt.|Negative Adjmt.","Entry No.",I17,"Location Code",$L$7)</t>
  </si>
  <si>
    <t>=NL("Sum","Item Ledger Entry","Quantity","Entry Type","Positive Adjmt.|Negative Adjmt.","Entry No.",I18,"Location Code",$L$7)</t>
  </si>
  <si>
    <t>=NL("Sum","Item Ledger Entry","Quantity","Entry Type","Transfer","Entry No.",I16,"Location Code",$L$7)</t>
  </si>
  <si>
    <t>=NL("Sum","Item Ledger Entry","Quantity","Entry Type","Transfer","Entry No.",I17,"Location Code",$L$7)</t>
  </si>
  <si>
    <t>=NL("Sum","Item Ledger Entry","Quantity","Entry Type","Transfer","Entry No.",I18,"Location Code",$L$7)</t>
  </si>
  <si>
    <t>=NL("Sum","Item Ledger Entry","Quantity","Entry Type","Consumption","Entry No.",I16,"Location Code",$L$7)</t>
  </si>
  <si>
    <t>=NL("Sum","Item Ledger Entry","Quantity","Entry Type","Consumption","Entry No.",I17,"Location Code",$L$7)</t>
  </si>
  <si>
    <t>=NL("Sum","Item Ledger Entry","Quantity","Entry Type","Consumption","Entry No.",I18,"Location Code",$L$7)</t>
  </si>
  <si>
    <t>=NL("Sum","Item Ledger Entry","Quantity","Entry Type","Output","Entry No.",I16,"Location Code",$L$7)</t>
  </si>
  <si>
    <t>=NL("Sum","Item Ledger Entry","Quantity","Entry Type","Output","Entry No.",I17,"Location Code",$L$7)</t>
  </si>
  <si>
    <t>=NL("Sum","Item Ledger Entry","Quantity","Entry Type","Output","Entry No.",I18,"Location Code",$L$7)</t>
  </si>
  <si>
    <t>=NF(G16,"Source Type")</t>
  </si>
  <si>
    <t>=NF($G16,"Source No.")</t>
  </si>
  <si>
    <t>=NF($G2130,"Posting Date")</t>
  </si>
  <si>
    <t>=NF($G2131,"Posting Date")</t>
  </si>
  <si>
    <t>=NF($G2132,"Posting Date")</t>
  </si>
  <si>
    <t>=NF($G2130,"Entry No.")</t>
  </si>
  <si>
    <t>=NF($G2131,"Entry No.")</t>
  </si>
  <si>
    <t>=NF($G2132,"Entry No.")</t>
  </si>
  <si>
    <t>=NL("Sum","Item Ledger Entry","Quantity","Entry Type","Purchase","Entry No.",I2130,"Location Code",$L$7)</t>
  </si>
  <si>
    <t>=NL("Sum","Item Ledger Entry","Quantity","Entry Type","Purchase","Entry No.",I2131,"Location Code",$L$7)</t>
  </si>
  <si>
    <t>=NL("Sum","Item Ledger Entry","Quantity","Entry Type","Purchase","Entry No.",I2132,"Location Code",$L$7)</t>
  </si>
  <si>
    <t>=NL("Sum","Item Ledger Entry","Quantity","Entry Type","Sale","Entry No.",I2130,"Location Code",$L$7)</t>
  </si>
  <si>
    <t>=NL("Sum","Item Ledger Entry","Quantity","Entry Type","Sale","Entry No.",I2131,"Location Code",$L$7)</t>
  </si>
  <si>
    <t>=NL("Sum","Item Ledger Entry","Quantity","Entry Type","Sale","Entry No.",I2132,"Location Code",$L$7)</t>
  </si>
  <si>
    <t>=NL("Sum","Item Ledger Entry","Quantity","Entry Type","Positive Adjmt.|Negative Adjmt.","Entry No.",I2130,"Location Code",$L$7)</t>
  </si>
  <si>
    <t>=NL("Sum","Item Ledger Entry","Quantity","Entry Type","Positive Adjmt.|Negative Adjmt.","Entry No.",I2131,"Location Code",$L$7)</t>
  </si>
  <si>
    <t>=NL("Sum","Item Ledger Entry","Quantity","Entry Type","Positive Adjmt.|Negative Adjmt.","Entry No.",I2132,"Location Code",$L$7)</t>
  </si>
  <si>
    <t>=NL("Sum","Item Ledger Entry","Quantity","Entry Type","Transfer","Entry No.",I2130,"Location Code",$L$7)</t>
  </si>
  <si>
    <t>=NL("Sum","Item Ledger Entry","Quantity","Entry Type","Transfer","Entry No.",I2131,"Location Code",$L$7)</t>
  </si>
  <si>
    <t>=NL("Sum","Item Ledger Entry","Quantity","Entry Type","Transfer","Entry No.",I2132,"Location Code",$L$7)</t>
  </si>
  <si>
    <t>=NL("Sum","Item Ledger Entry","Quantity","Entry Type","Consumption","Entry No.",I2130,"Location Code",$L$7)</t>
  </si>
  <si>
    <t>=NL("Sum","Item Ledger Entry","Quantity","Entry Type","Consumption","Entry No.",I2131,"Location Code",$L$7)</t>
  </si>
  <si>
    <t>=NL("Sum","Item Ledger Entry","Quantity","Entry Type","Consumption","Entry No.",I2132,"Location Code",$L$7)</t>
  </si>
  <si>
    <t>=NL("Sum","Item Ledger Entry","Quantity","Entry Type","Output","Entry No.",I2130,"Location Code",$L$7)</t>
  </si>
  <si>
    <t>=NL("Sum","Item Ledger Entry","Quantity","Entry Type","Output","Entry No.",I2131,"Location Code",$L$7)</t>
  </si>
  <si>
    <t>=NL("Sum","Item Ledger Entry","Quantity","Entry Type","Output","Entry No.",I2132,"Location Code",$L$7)</t>
  </si>
  <si>
    <t>=NF(G2130,"Source Type")</t>
  </si>
  <si>
    <t>=NF(G2131,"Source Type")</t>
  </si>
  <si>
    <t>=NF(G2132,"Source Type")</t>
  </si>
  <si>
    <t>=NF($G2130,"Source No.")</t>
  </si>
  <si>
    <t>=NF($G2131,"Source No.")</t>
  </si>
  <si>
    <t>=NF($G2132,"Source No.")</t>
  </si>
  <si>
    <t>=NF($G2123,"Posting Date")</t>
  </si>
  <si>
    <t>=NF($G2124,"Posting Date")</t>
  </si>
  <si>
    <t>=NF($G2125,"Posting Date")</t>
  </si>
  <si>
    <t>=NF($G2126,"Posting Date")</t>
  </si>
  <si>
    <t>=NF($G2123,"Entry No.")</t>
  </si>
  <si>
    <t>=NF($G2124,"Entry No.")</t>
  </si>
  <si>
    <t>=NF($G2125,"Entry No.")</t>
  </si>
  <si>
    <t>=NF($G2126,"Entry No.")</t>
  </si>
  <si>
    <t>=NL("Sum","Item Ledger Entry","Quantity","Entry Type","Purchase","Entry No.",I2123,"Location Code",$L$7)</t>
  </si>
  <si>
    <t>=NL("Sum","Item Ledger Entry","Quantity","Entry Type","Purchase","Entry No.",I2124,"Location Code",$L$7)</t>
  </si>
  <si>
    <t>=NL("Sum","Item Ledger Entry","Quantity","Entry Type","Purchase","Entry No.",I2125,"Location Code",$L$7)</t>
  </si>
  <si>
    <t>=NL("Sum","Item Ledger Entry","Quantity","Entry Type","Purchase","Entry No.",I2126,"Location Code",$L$7)</t>
  </si>
  <si>
    <t>=NL("Sum","Item Ledger Entry","Quantity","Entry Type","Sale","Entry No.",I2123,"Location Code",$L$7)</t>
  </si>
  <si>
    <t>=NL("Sum","Item Ledger Entry","Quantity","Entry Type","Sale","Entry No.",I2124,"Location Code",$L$7)</t>
  </si>
  <si>
    <t>=NL("Sum","Item Ledger Entry","Quantity","Entry Type","Sale","Entry No.",I2125,"Location Code",$L$7)</t>
  </si>
  <si>
    <t>=NL("Sum","Item Ledger Entry","Quantity","Entry Type","Sale","Entry No.",I2126,"Location Code",$L$7)</t>
  </si>
  <si>
    <t>=NL("Sum","Item Ledger Entry","Quantity","Entry Type","Positive Adjmt.|Negative Adjmt.","Entry No.",I2123,"Location Code",$L$7)</t>
  </si>
  <si>
    <t>=NL("Sum","Item Ledger Entry","Quantity","Entry Type","Positive Adjmt.|Negative Adjmt.","Entry No.",I2124,"Location Code",$L$7)</t>
  </si>
  <si>
    <t>=NL("Sum","Item Ledger Entry","Quantity","Entry Type","Positive Adjmt.|Negative Adjmt.","Entry No.",I2125,"Location Code",$L$7)</t>
  </si>
  <si>
    <t>=NL("Sum","Item Ledger Entry","Quantity","Entry Type","Positive Adjmt.|Negative Adjmt.","Entry No.",I2126,"Location Code",$L$7)</t>
  </si>
  <si>
    <t>=NL("Sum","Item Ledger Entry","Quantity","Entry Type","Transfer","Entry No.",I2123,"Location Code",$L$7)</t>
  </si>
  <si>
    <t>=NL("Sum","Item Ledger Entry","Quantity","Entry Type","Transfer","Entry No.",I2124,"Location Code",$L$7)</t>
  </si>
  <si>
    <t>=NL("Sum","Item Ledger Entry","Quantity","Entry Type","Transfer","Entry No.",I2125,"Location Code",$L$7)</t>
  </si>
  <si>
    <t>=NL("Sum","Item Ledger Entry","Quantity","Entry Type","Transfer","Entry No.",I2126,"Location Code",$L$7)</t>
  </si>
  <si>
    <t>=NL("Sum","Item Ledger Entry","Quantity","Entry Type","Consumption","Entry No.",I2123,"Location Code",$L$7)</t>
  </si>
  <si>
    <t>=NL("Sum","Item Ledger Entry","Quantity","Entry Type","Consumption","Entry No.",I2124,"Location Code",$L$7)</t>
  </si>
  <si>
    <t>=NL("Sum","Item Ledger Entry","Quantity","Entry Type","Consumption","Entry No.",I2125,"Location Code",$L$7)</t>
  </si>
  <si>
    <t>=NL("Sum","Item Ledger Entry","Quantity","Entry Type","Consumption","Entry No.",I2126,"Location Code",$L$7)</t>
  </si>
  <si>
    <t>=NL("Sum","Item Ledger Entry","Quantity","Entry Type","Output","Entry No.",I2123,"Location Code",$L$7)</t>
  </si>
  <si>
    <t>=NL("Sum","Item Ledger Entry","Quantity","Entry Type","Output","Entry No.",I2124,"Location Code",$L$7)</t>
  </si>
  <si>
    <t>=NL("Sum","Item Ledger Entry","Quantity","Entry Type","Output","Entry No.",I2125,"Location Code",$L$7)</t>
  </si>
  <si>
    <t>=NL("Sum","Item Ledger Entry","Quantity","Entry Type","Output","Entry No.",I2126,"Location Code",$L$7)</t>
  </si>
  <si>
    <t>=NF(G2123,"Source Type")</t>
  </si>
  <si>
    <t>=NF(G2124,"Source Type")</t>
  </si>
  <si>
    <t>=NF(G2125,"Source Type")</t>
  </si>
  <si>
    <t>=NF(G2126,"Source Type")</t>
  </si>
  <si>
    <t>=NF($G2123,"Source No.")</t>
  </si>
  <si>
    <t>=NF($G2124,"Source No.")</t>
  </si>
  <si>
    <t>=NF($G2125,"Source No.")</t>
  </si>
  <si>
    <t>=NF($G2126,"Source No.")</t>
  </si>
  <si>
    <t>=NF($G2092,"Posting Date")</t>
  </si>
  <si>
    <t>=NF($G2093,"Posting Date")</t>
  </si>
  <si>
    <t>=NF($G2094,"Posting Date")</t>
  </si>
  <si>
    <t>=NF($G2095,"Posting Date")</t>
  </si>
  <si>
    <t>=NF($G2096,"Posting Date")</t>
  </si>
  <si>
    <t>=NF($G2092,"Entry No.")</t>
  </si>
  <si>
    <t>=NF($G2093,"Entry No.")</t>
  </si>
  <si>
    <t>=NF($G2094,"Entry No.")</t>
  </si>
  <si>
    <t>=NF($G2095,"Entry No.")</t>
  </si>
  <si>
    <t>=NF($G2096,"Entry No.")</t>
  </si>
  <si>
    <t>=NL("Sum","Item Ledger Entry","Quantity","Entry Type","Purchase","Entry No.",I2092,"Location Code",$L$7)</t>
  </si>
  <si>
    <t>=NL("Sum","Item Ledger Entry","Quantity","Entry Type","Purchase","Entry No.",I2093,"Location Code",$L$7)</t>
  </si>
  <si>
    <t>=NL("Sum","Item Ledger Entry","Quantity","Entry Type","Purchase","Entry No.",I2094,"Location Code",$L$7)</t>
  </si>
  <si>
    <t>=NL("Sum","Item Ledger Entry","Quantity","Entry Type","Purchase","Entry No.",I2095,"Location Code",$L$7)</t>
  </si>
  <si>
    <t>=NL("Sum","Item Ledger Entry","Quantity","Entry Type","Purchase","Entry No.",I2096,"Location Code",$L$7)</t>
  </si>
  <si>
    <t>=NL("Sum","Item Ledger Entry","Quantity","Entry Type","Sale","Entry No.",I2092,"Location Code",$L$7)</t>
  </si>
  <si>
    <t>=NL("Sum","Item Ledger Entry","Quantity","Entry Type","Sale","Entry No.",I2093,"Location Code",$L$7)</t>
  </si>
  <si>
    <t>=NL("Sum","Item Ledger Entry","Quantity","Entry Type","Sale","Entry No.",I2094,"Location Code",$L$7)</t>
  </si>
  <si>
    <t>=NL("Sum","Item Ledger Entry","Quantity","Entry Type","Sale","Entry No.",I2095,"Location Code",$L$7)</t>
  </si>
  <si>
    <t>=NL("Sum","Item Ledger Entry","Quantity","Entry Type","Sale","Entry No.",I2096,"Location Code",$L$7)</t>
  </si>
  <si>
    <t>=NL("Sum","Item Ledger Entry","Quantity","Entry Type","Positive Adjmt.|Negative Adjmt.","Entry No.",I2092,"Location Code",$L$7)</t>
  </si>
  <si>
    <t>=NL("Sum","Item Ledger Entry","Quantity","Entry Type","Positive Adjmt.|Negative Adjmt.","Entry No.",I2093,"Location Code",$L$7)</t>
  </si>
  <si>
    <t>=NL("Sum","Item Ledger Entry","Quantity","Entry Type","Positive Adjmt.|Negative Adjmt.","Entry No.",I2094,"Location Code",$L$7)</t>
  </si>
  <si>
    <t>=NL("Sum","Item Ledger Entry","Quantity","Entry Type","Positive Adjmt.|Negative Adjmt.","Entry No.",I2095,"Location Code",$L$7)</t>
  </si>
  <si>
    <t>=NL("Sum","Item Ledger Entry","Quantity","Entry Type","Positive Adjmt.|Negative Adjmt.","Entry No.",I2096,"Location Code",$L$7)</t>
  </si>
  <si>
    <t>=NL("Sum","Item Ledger Entry","Quantity","Entry Type","Transfer","Entry No.",I2092,"Location Code",$L$7)</t>
  </si>
  <si>
    <t>=NL("Sum","Item Ledger Entry","Quantity","Entry Type","Transfer","Entry No.",I2093,"Location Code",$L$7)</t>
  </si>
  <si>
    <t>=NL("Sum","Item Ledger Entry","Quantity","Entry Type","Transfer","Entry No.",I2094,"Location Code",$L$7)</t>
  </si>
  <si>
    <t>=NL("Sum","Item Ledger Entry","Quantity","Entry Type","Transfer","Entry No.",I2095,"Location Code",$L$7)</t>
  </si>
  <si>
    <t>=NL("Sum","Item Ledger Entry","Quantity","Entry Type","Transfer","Entry No.",I2096,"Location Code",$L$7)</t>
  </si>
  <si>
    <t>=NL("Sum","Item Ledger Entry","Quantity","Entry Type","Consumption","Entry No.",I2092,"Location Code",$L$7)</t>
  </si>
  <si>
    <t>=NL("Sum","Item Ledger Entry","Quantity","Entry Type","Consumption","Entry No.",I2093,"Location Code",$L$7)</t>
  </si>
  <si>
    <t>=NL("Sum","Item Ledger Entry","Quantity","Entry Type","Consumption","Entry No.",I2094,"Location Code",$L$7)</t>
  </si>
  <si>
    <t>=NL("Sum","Item Ledger Entry","Quantity","Entry Type","Consumption","Entry No.",I2095,"Location Code",$L$7)</t>
  </si>
  <si>
    <t>=NL("Sum","Item Ledger Entry","Quantity","Entry Type","Consumption","Entry No.",I2096,"Location Code",$L$7)</t>
  </si>
  <si>
    <t>=NL("Sum","Item Ledger Entry","Quantity","Entry Type","Output","Entry No.",I2092,"Location Code",$L$7)</t>
  </si>
  <si>
    <t>=NL("Sum","Item Ledger Entry","Quantity","Entry Type","Output","Entry No.",I2093,"Location Code",$L$7)</t>
  </si>
  <si>
    <t>=NL("Sum","Item Ledger Entry","Quantity","Entry Type","Output","Entry No.",I2094,"Location Code",$L$7)</t>
  </si>
  <si>
    <t>=NL("Sum","Item Ledger Entry","Quantity","Entry Type","Output","Entry No.",I2095,"Location Code",$L$7)</t>
  </si>
  <si>
    <t>=NL("Sum","Item Ledger Entry","Quantity","Entry Type","Output","Entry No.",I2096,"Location Code",$L$7)</t>
  </si>
  <si>
    <t>=NF(G2092,"Source Type")</t>
  </si>
  <si>
    <t>=NF(G2093,"Source Type")</t>
  </si>
  <si>
    <t>=NF(G2094,"Source Type")</t>
  </si>
  <si>
    <t>=NF(G2095,"Source Type")</t>
  </si>
  <si>
    <t>=NF(G2096,"Source Type")</t>
  </si>
  <si>
    <t>=NF($G2092,"Source No.")</t>
  </si>
  <si>
    <t>=NF($G2093,"Source No.")</t>
  </si>
  <si>
    <t>=NF($G2094,"Source No.")</t>
  </si>
  <si>
    <t>=NF($G2095,"Source No.")</t>
  </si>
  <si>
    <t>=NF($G2096,"Source No.")</t>
  </si>
  <si>
    <t>=NF($G2047,"Posting Date")</t>
  </si>
  <si>
    <t>=NF($G2048,"Posting Date")</t>
  </si>
  <si>
    <t>=NF($G2049,"Posting Date")</t>
  </si>
  <si>
    <t>=NF($G2050,"Posting Date")</t>
  </si>
  <si>
    <t>=NF($G2051,"Posting Date")</t>
  </si>
  <si>
    <t>=NF($G2052,"Posting Date")</t>
  </si>
  <si>
    <t>=NF($G2053,"Posting Date")</t>
  </si>
  <si>
    <t>=NF($G2054,"Posting Date")</t>
  </si>
  <si>
    <t>=NF($G2055,"Posting Date")</t>
  </si>
  <si>
    <t>=NF($G2056,"Posting Date")</t>
  </si>
  <si>
    <t>=NF($G2057,"Posting Date")</t>
  </si>
  <si>
    <t>=NF($G2058,"Posting Date")</t>
  </si>
  <si>
    <t>=NF($G2059,"Posting Date")</t>
  </si>
  <si>
    <t>=NF($G2060,"Posting Date")</t>
  </si>
  <si>
    <t>=NF($G2061,"Posting Date")</t>
  </si>
  <si>
    <t>=NF($G2062,"Posting Date")</t>
  </si>
  <si>
    <t>=NF($G2047,"Entry No.")</t>
  </si>
  <si>
    <t>=NF($G2048,"Entry No.")</t>
  </si>
  <si>
    <t>=NF($G2049,"Entry No.")</t>
  </si>
  <si>
    <t>=NF($G2050,"Entry No.")</t>
  </si>
  <si>
    <t>=NF($G2051,"Entry No.")</t>
  </si>
  <si>
    <t>=NF($G2052,"Entry No.")</t>
  </si>
  <si>
    <t>=NF($G2053,"Entry No.")</t>
  </si>
  <si>
    <t>=NF($G2054,"Entry No.")</t>
  </si>
  <si>
    <t>=NF($G2055,"Entry No.")</t>
  </si>
  <si>
    <t>=NF($G2056,"Entry No.")</t>
  </si>
  <si>
    <t>=NF($G2057,"Entry No.")</t>
  </si>
  <si>
    <t>=NF($G2058,"Entry No.")</t>
  </si>
  <si>
    <t>=NF($G2059,"Entry No.")</t>
  </si>
  <si>
    <t>=NF($G2060,"Entry No.")</t>
  </si>
  <si>
    <t>=NF($G2061,"Entry No.")</t>
  </si>
  <si>
    <t>=NF($G2062,"Entry No.")</t>
  </si>
  <si>
    <t>=NL("Sum","Item Ledger Entry","Quantity","Entry Type","Purchase","Entry No.",I2047,"Location Code",$L$7)</t>
  </si>
  <si>
    <t>=NL("Sum","Item Ledger Entry","Quantity","Entry Type","Purchase","Entry No.",I2048,"Location Code",$L$7)</t>
  </si>
  <si>
    <t>=NL("Sum","Item Ledger Entry","Quantity","Entry Type","Purchase","Entry No.",I2049,"Location Code",$L$7)</t>
  </si>
  <si>
    <t>=NL("Sum","Item Ledger Entry","Quantity","Entry Type","Purchase","Entry No.",I2050,"Location Code",$L$7)</t>
  </si>
  <si>
    <t>=NL("Sum","Item Ledger Entry","Quantity","Entry Type","Purchase","Entry No.",I2051,"Location Code",$L$7)</t>
  </si>
  <si>
    <t>=NL("Sum","Item Ledger Entry","Quantity","Entry Type","Purchase","Entry No.",I2052,"Location Code",$L$7)</t>
  </si>
  <si>
    <t>=NL("Sum","Item Ledger Entry","Quantity","Entry Type","Purchase","Entry No.",I2053,"Location Code",$L$7)</t>
  </si>
  <si>
    <t>=NL("Sum","Item Ledger Entry","Quantity","Entry Type","Purchase","Entry No.",I2054,"Location Code",$L$7)</t>
  </si>
  <si>
    <t>=NL("Sum","Item Ledger Entry","Quantity","Entry Type","Purchase","Entry No.",I2055,"Location Code",$L$7)</t>
  </si>
  <si>
    <t>=NL("Sum","Item Ledger Entry","Quantity","Entry Type","Purchase","Entry No.",I2056,"Location Code",$L$7)</t>
  </si>
  <si>
    <t>=NL("Sum","Item Ledger Entry","Quantity","Entry Type","Purchase","Entry No.",I2057,"Location Code",$L$7)</t>
  </si>
  <si>
    <t>=NL("Sum","Item Ledger Entry","Quantity","Entry Type","Purchase","Entry No.",I2058,"Location Code",$L$7)</t>
  </si>
  <si>
    <t>=NL("Sum","Item Ledger Entry","Quantity","Entry Type","Purchase","Entry No.",I2059,"Location Code",$L$7)</t>
  </si>
  <si>
    <t>=NL("Sum","Item Ledger Entry","Quantity","Entry Type","Purchase","Entry No.",I2060,"Location Code",$L$7)</t>
  </si>
  <si>
    <t>=NL("Sum","Item Ledger Entry","Quantity","Entry Type","Purchase","Entry No.",I2061,"Location Code",$L$7)</t>
  </si>
  <si>
    <t>=NL("Sum","Item Ledger Entry","Quantity","Entry Type","Purchase","Entry No.",I2062,"Location Code",$L$7)</t>
  </si>
  <si>
    <t>=NL("Sum","Item Ledger Entry","Quantity","Entry Type","Sale","Entry No.",I2047,"Location Code",$L$7)</t>
  </si>
  <si>
    <t>=NL("Sum","Item Ledger Entry","Quantity","Entry Type","Sale","Entry No.",I2048,"Location Code",$L$7)</t>
  </si>
  <si>
    <t>=NL("Sum","Item Ledger Entry","Quantity","Entry Type","Sale","Entry No.",I2049,"Location Code",$L$7)</t>
  </si>
  <si>
    <t>=NL("Sum","Item Ledger Entry","Quantity","Entry Type","Sale","Entry No.",I2050,"Location Code",$L$7)</t>
  </si>
  <si>
    <t>=NL("Sum","Item Ledger Entry","Quantity","Entry Type","Sale","Entry No.",I2051,"Location Code",$L$7)</t>
  </si>
  <si>
    <t>=NL("Sum","Item Ledger Entry","Quantity","Entry Type","Sale","Entry No.",I2052,"Location Code",$L$7)</t>
  </si>
  <si>
    <t>=NL("Sum","Item Ledger Entry","Quantity","Entry Type","Sale","Entry No.",I2053,"Location Code",$L$7)</t>
  </si>
  <si>
    <t>=NL("Sum","Item Ledger Entry","Quantity","Entry Type","Sale","Entry No.",I2054,"Location Code",$L$7)</t>
  </si>
  <si>
    <t>=NL("Sum","Item Ledger Entry","Quantity","Entry Type","Sale","Entry No.",I2055,"Location Code",$L$7)</t>
  </si>
  <si>
    <t>=NL("Sum","Item Ledger Entry","Quantity","Entry Type","Sale","Entry No.",I2056,"Location Code",$L$7)</t>
  </si>
  <si>
    <t>=NL("Sum","Item Ledger Entry","Quantity","Entry Type","Sale","Entry No.",I2057,"Location Code",$L$7)</t>
  </si>
  <si>
    <t>=NL("Sum","Item Ledger Entry","Quantity","Entry Type","Sale","Entry No.",I2058,"Location Code",$L$7)</t>
  </si>
  <si>
    <t>=NL("Sum","Item Ledger Entry","Quantity","Entry Type","Sale","Entry No.",I2059,"Location Code",$L$7)</t>
  </si>
  <si>
    <t>=NL("Sum","Item Ledger Entry","Quantity","Entry Type","Sale","Entry No.",I2060,"Location Code",$L$7)</t>
  </si>
  <si>
    <t>=NL("Sum","Item Ledger Entry","Quantity","Entry Type","Sale","Entry No.",I2061,"Location Code",$L$7)</t>
  </si>
  <si>
    <t>=NL("Sum","Item Ledger Entry","Quantity","Entry Type","Sale","Entry No.",I2062,"Location Code",$L$7)</t>
  </si>
  <si>
    <t>=NL("Sum","Item Ledger Entry","Quantity","Entry Type","Positive Adjmt.|Negative Adjmt.","Entry No.",I2047,"Location Code",$L$7)</t>
  </si>
  <si>
    <t>=NL("Sum","Item Ledger Entry","Quantity","Entry Type","Positive Adjmt.|Negative Adjmt.","Entry No.",I2048,"Location Code",$L$7)</t>
  </si>
  <si>
    <t>=NL("Sum","Item Ledger Entry","Quantity","Entry Type","Positive Adjmt.|Negative Adjmt.","Entry No.",I2049,"Location Code",$L$7)</t>
  </si>
  <si>
    <t>=NL("Sum","Item Ledger Entry","Quantity","Entry Type","Positive Adjmt.|Negative Adjmt.","Entry No.",I2050,"Location Code",$L$7)</t>
  </si>
  <si>
    <t>=NL("Sum","Item Ledger Entry","Quantity","Entry Type","Positive Adjmt.|Negative Adjmt.","Entry No.",I2051,"Location Code",$L$7)</t>
  </si>
  <si>
    <t>=NL("Sum","Item Ledger Entry","Quantity","Entry Type","Positive Adjmt.|Negative Adjmt.","Entry No.",I2052,"Location Code",$L$7)</t>
  </si>
  <si>
    <t>=NL("Sum","Item Ledger Entry","Quantity","Entry Type","Positive Adjmt.|Negative Adjmt.","Entry No.",I2053,"Location Code",$L$7)</t>
  </si>
  <si>
    <t>=NL("Sum","Item Ledger Entry","Quantity","Entry Type","Positive Adjmt.|Negative Adjmt.","Entry No.",I2054,"Location Code",$L$7)</t>
  </si>
  <si>
    <t>=NL("Sum","Item Ledger Entry","Quantity","Entry Type","Positive Adjmt.|Negative Adjmt.","Entry No.",I2055,"Location Code",$L$7)</t>
  </si>
  <si>
    <t>=NL("Sum","Item Ledger Entry","Quantity","Entry Type","Positive Adjmt.|Negative Adjmt.","Entry No.",I2056,"Location Code",$L$7)</t>
  </si>
  <si>
    <t>=NL("Sum","Item Ledger Entry","Quantity","Entry Type","Positive Adjmt.|Negative Adjmt.","Entry No.",I2057,"Location Code",$L$7)</t>
  </si>
  <si>
    <t>=NL("Sum","Item Ledger Entry","Quantity","Entry Type","Positive Adjmt.|Negative Adjmt.","Entry No.",I2058,"Location Code",$L$7)</t>
  </si>
  <si>
    <t>=NL("Sum","Item Ledger Entry","Quantity","Entry Type","Positive Adjmt.|Negative Adjmt.","Entry No.",I2059,"Location Code",$L$7)</t>
  </si>
  <si>
    <t>=NL("Sum","Item Ledger Entry","Quantity","Entry Type","Positive Adjmt.|Negative Adjmt.","Entry No.",I2060,"Location Code",$L$7)</t>
  </si>
  <si>
    <t>=NL("Sum","Item Ledger Entry","Quantity","Entry Type","Positive Adjmt.|Negative Adjmt.","Entry No.",I2061,"Location Code",$L$7)</t>
  </si>
  <si>
    <t>=NL("Sum","Item Ledger Entry","Quantity","Entry Type","Positive Adjmt.|Negative Adjmt.","Entry No.",I2062,"Location Code",$L$7)</t>
  </si>
  <si>
    <t>=NL("Sum","Item Ledger Entry","Quantity","Entry Type","Transfer","Entry No.",I2047,"Location Code",$L$7)</t>
  </si>
  <si>
    <t>=NL("Sum","Item Ledger Entry","Quantity","Entry Type","Transfer","Entry No.",I2048,"Location Code",$L$7)</t>
  </si>
  <si>
    <t>=NL("Sum","Item Ledger Entry","Quantity","Entry Type","Transfer","Entry No.",I2049,"Location Code",$L$7)</t>
  </si>
  <si>
    <t>=NL("Sum","Item Ledger Entry","Quantity","Entry Type","Transfer","Entry No.",I2050,"Location Code",$L$7)</t>
  </si>
  <si>
    <t>=NL("Sum","Item Ledger Entry","Quantity","Entry Type","Transfer","Entry No.",I2051,"Location Code",$L$7)</t>
  </si>
  <si>
    <t>=NL("Sum","Item Ledger Entry","Quantity","Entry Type","Transfer","Entry No.",I2052,"Location Code",$L$7)</t>
  </si>
  <si>
    <t>=NL("Sum","Item Ledger Entry","Quantity","Entry Type","Transfer","Entry No.",I2053,"Location Code",$L$7)</t>
  </si>
  <si>
    <t>=NL("Sum","Item Ledger Entry","Quantity","Entry Type","Transfer","Entry No.",I2054,"Location Code",$L$7)</t>
  </si>
  <si>
    <t>=NL("Sum","Item Ledger Entry","Quantity","Entry Type","Transfer","Entry No.",I2055,"Location Code",$L$7)</t>
  </si>
  <si>
    <t>=NL("Sum","Item Ledger Entry","Quantity","Entry Type","Transfer","Entry No.",I2056,"Location Code",$L$7)</t>
  </si>
  <si>
    <t>=NL("Sum","Item Ledger Entry","Quantity","Entry Type","Transfer","Entry No.",I2057,"Location Code",$L$7)</t>
  </si>
  <si>
    <t>=NL("Sum","Item Ledger Entry","Quantity","Entry Type","Transfer","Entry No.",I2058,"Location Code",$L$7)</t>
  </si>
  <si>
    <t>=NL("Sum","Item Ledger Entry","Quantity","Entry Type","Transfer","Entry No.",I2059,"Location Code",$L$7)</t>
  </si>
  <si>
    <t>=NL("Sum","Item Ledger Entry","Quantity","Entry Type","Transfer","Entry No.",I2060,"Location Code",$L$7)</t>
  </si>
  <si>
    <t>=NL("Sum","Item Ledger Entry","Quantity","Entry Type","Transfer","Entry No.",I2061,"Location Code",$L$7)</t>
  </si>
  <si>
    <t>=NL("Sum","Item Ledger Entry","Quantity","Entry Type","Transfer","Entry No.",I2062,"Location Code",$L$7)</t>
  </si>
  <si>
    <t>=NL("Sum","Item Ledger Entry","Quantity","Entry Type","Consumption","Entry No.",I2047,"Location Code",$L$7)</t>
  </si>
  <si>
    <t>=NL("Sum","Item Ledger Entry","Quantity","Entry Type","Consumption","Entry No.",I2048,"Location Code",$L$7)</t>
  </si>
  <si>
    <t>=NL("Sum","Item Ledger Entry","Quantity","Entry Type","Consumption","Entry No.",I2049,"Location Code",$L$7)</t>
  </si>
  <si>
    <t>=NL("Sum","Item Ledger Entry","Quantity","Entry Type","Consumption","Entry No.",I2050,"Location Code",$L$7)</t>
  </si>
  <si>
    <t>=NL("Sum","Item Ledger Entry","Quantity","Entry Type","Consumption","Entry No.",I2051,"Location Code",$L$7)</t>
  </si>
  <si>
    <t>=NL("Sum","Item Ledger Entry","Quantity","Entry Type","Consumption","Entry No.",I2052,"Location Code",$L$7)</t>
  </si>
  <si>
    <t>=NL("Sum","Item Ledger Entry","Quantity","Entry Type","Consumption","Entry No.",I2053,"Location Code",$L$7)</t>
  </si>
  <si>
    <t>=NL("Sum","Item Ledger Entry","Quantity","Entry Type","Consumption","Entry No.",I2054,"Location Code",$L$7)</t>
  </si>
  <si>
    <t>=NL("Sum","Item Ledger Entry","Quantity","Entry Type","Consumption","Entry No.",I2055,"Location Code",$L$7)</t>
  </si>
  <si>
    <t>=NL("Sum","Item Ledger Entry","Quantity","Entry Type","Consumption","Entry No.",I2056,"Location Code",$L$7)</t>
  </si>
  <si>
    <t>=NL("Sum","Item Ledger Entry","Quantity","Entry Type","Consumption","Entry No.",I2057,"Location Code",$L$7)</t>
  </si>
  <si>
    <t>=NL("Sum","Item Ledger Entry","Quantity","Entry Type","Consumption","Entry No.",I2058,"Location Code",$L$7)</t>
  </si>
  <si>
    <t>=NL("Sum","Item Ledger Entry","Quantity","Entry Type","Consumption","Entry No.",I2059,"Location Code",$L$7)</t>
  </si>
  <si>
    <t>=NL("Sum","Item Ledger Entry","Quantity","Entry Type","Consumption","Entry No.",I2060,"Location Code",$L$7)</t>
  </si>
  <si>
    <t>=NL("Sum","Item Ledger Entry","Quantity","Entry Type","Consumption","Entry No.",I2061,"Location Code",$L$7)</t>
  </si>
  <si>
    <t>=NL("Sum","Item Ledger Entry","Quantity","Entry Type","Consumption","Entry No.",I2062,"Location Code",$L$7)</t>
  </si>
  <si>
    <t>=NL("Sum","Item Ledger Entry","Quantity","Entry Type","Output","Entry No.",I2047,"Location Code",$L$7)</t>
  </si>
  <si>
    <t>=NL("Sum","Item Ledger Entry","Quantity","Entry Type","Output","Entry No.",I2048,"Location Code",$L$7)</t>
  </si>
  <si>
    <t>=NL("Sum","Item Ledger Entry","Quantity","Entry Type","Output","Entry No.",I2049,"Location Code",$L$7)</t>
  </si>
  <si>
    <t>=NL("Sum","Item Ledger Entry","Quantity","Entry Type","Output","Entry No.",I2050,"Location Code",$L$7)</t>
  </si>
  <si>
    <t>=NL("Sum","Item Ledger Entry","Quantity","Entry Type","Output","Entry No.",I2051,"Location Code",$L$7)</t>
  </si>
  <si>
    <t>=NL("Sum","Item Ledger Entry","Quantity","Entry Type","Output","Entry No.",I2052,"Location Code",$L$7)</t>
  </si>
  <si>
    <t>=NL("Sum","Item Ledger Entry","Quantity","Entry Type","Output","Entry No.",I2053,"Location Code",$L$7)</t>
  </si>
  <si>
    <t>=NL("Sum","Item Ledger Entry","Quantity","Entry Type","Output","Entry No.",I2054,"Location Code",$L$7)</t>
  </si>
  <si>
    <t>=NL("Sum","Item Ledger Entry","Quantity","Entry Type","Output","Entry No.",I2055,"Location Code",$L$7)</t>
  </si>
  <si>
    <t>=NL("Sum","Item Ledger Entry","Quantity","Entry Type","Output","Entry No.",I2056,"Location Code",$L$7)</t>
  </si>
  <si>
    <t>=NL("Sum","Item Ledger Entry","Quantity","Entry Type","Output","Entry No.",I2057,"Location Code",$L$7)</t>
  </si>
  <si>
    <t>=NL("Sum","Item Ledger Entry","Quantity","Entry Type","Output","Entry No.",I2058,"Location Code",$L$7)</t>
  </si>
  <si>
    <t>=NL("Sum","Item Ledger Entry","Quantity","Entry Type","Output","Entry No.",I2059,"Location Code",$L$7)</t>
  </si>
  <si>
    <t>=NL("Sum","Item Ledger Entry","Quantity","Entry Type","Output","Entry No.",I2060,"Location Code",$L$7)</t>
  </si>
  <si>
    <t>=NL("Sum","Item Ledger Entry","Quantity","Entry Type","Output","Entry No.",I2061,"Location Code",$L$7)</t>
  </si>
  <si>
    <t>=NL("Sum","Item Ledger Entry","Quantity","Entry Type","Output","Entry No.",I2062,"Location Code",$L$7)</t>
  </si>
  <si>
    <t>=NF(G2047,"Source Type")</t>
  </si>
  <si>
    <t>=NF(G2048,"Source Type")</t>
  </si>
  <si>
    <t>=NF(G2049,"Source Type")</t>
  </si>
  <si>
    <t>=NF(G2050,"Source Type")</t>
  </si>
  <si>
    <t>=NF(G2051,"Source Type")</t>
  </si>
  <si>
    <t>=NF(G2052,"Source Type")</t>
  </si>
  <si>
    <t>=NF(G2053,"Source Type")</t>
  </si>
  <si>
    <t>=NF(G2054,"Source Type")</t>
  </si>
  <si>
    <t>=NF(G2055,"Source Type")</t>
  </si>
  <si>
    <t>=NF(G2056,"Source Type")</t>
  </si>
  <si>
    <t>=NF(G2057,"Source Type")</t>
  </si>
  <si>
    <t>=NF(G2058,"Source Type")</t>
  </si>
  <si>
    <t>=NF(G2059,"Source Type")</t>
  </si>
  <si>
    <t>=NF(G2060,"Source Type")</t>
  </si>
  <si>
    <t>=NF(G2061,"Source Type")</t>
  </si>
  <si>
    <t>=NF(G2062,"Source Type")</t>
  </si>
  <si>
    <t>=NF($G2047,"Source No.")</t>
  </si>
  <si>
    <t>=NF($G2048,"Source No.")</t>
  </si>
  <si>
    <t>=NF($G2049,"Source No.")</t>
  </si>
  <si>
    <t>=NF($G2050,"Source No.")</t>
  </si>
  <si>
    <t>=NF($G2051,"Source No.")</t>
  </si>
  <si>
    <t>=NF($G2052,"Source No.")</t>
  </si>
  <si>
    <t>=NF($G2053,"Source No.")</t>
  </si>
  <si>
    <t>=NF($G2054,"Source No.")</t>
  </si>
  <si>
    <t>=NF($G2055,"Source No.")</t>
  </si>
  <si>
    <t>=NF($G2056,"Source No.")</t>
  </si>
  <si>
    <t>=NF($G2057,"Source No.")</t>
  </si>
  <si>
    <t>=NF($G2058,"Source No.")</t>
  </si>
  <si>
    <t>=NF($G2059,"Source No.")</t>
  </si>
  <si>
    <t>=NF($G2060,"Source No.")</t>
  </si>
  <si>
    <t>=NF($G2061,"Source No.")</t>
  </si>
  <si>
    <t>=NF($G2062,"Source No.")</t>
  </si>
  <si>
    <t>=NF($G2037,"Posting Date")</t>
  </si>
  <si>
    <t>=NF($G2038,"Posting Date")</t>
  </si>
  <si>
    <t>=NF($G2039,"Posting Date")</t>
  </si>
  <si>
    <t>=NF($G2040,"Posting Date")</t>
  </si>
  <si>
    <t>=NF($G2041,"Posting Date")</t>
  </si>
  <si>
    <t>=NF($G2042,"Posting Date")</t>
  </si>
  <si>
    <t>=NF($G2043,"Posting Date")</t>
  </si>
  <si>
    <t>=NF($G2037,"Entry No.")</t>
  </si>
  <si>
    <t>=NF($G2038,"Entry No.")</t>
  </si>
  <si>
    <t>=NF($G2039,"Entry No.")</t>
  </si>
  <si>
    <t>=NF($G2040,"Entry No.")</t>
  </si>
  <si>
    <t>=NF($G2041,"Entry No.")</t>
  </si>
  <si>
    <t>=NF($G2042,"Entry No.")</t>
  </si>
  <si>
    <t>=NF($G2043,"Entry No.")</t>
  </si>
  <si>
    <t>=NL("Sum","Item Ledger Entry","Quantity","Entry Type","Purchase","Entry No.",I2037,"Location Code",$L$7)</t>
  </si>
  <si>
    <t>=NL("Sum","Item Ledger Entry","Quantity","Entry Type","Purchase","Entry No.",I2038,"Location Code",$L$7)</t>
  </si>
  <si>
    <t>=NL("Sum","Item Ledger Entry","Quantity","Entry Type","Purchase","Entry No.",I2039,"Location Code",$L$7)</t>
  </si>
  <si>
    <t>=NL("Sum","Item Ledger Entry","Quantity","Entry Type","Purchase","Entry No.",I2040,"Location Code",$L$7)</t>
  </si>
  <si>
    <t>=NL("Sum","Item Ledger Entry","Quantity","Entry Type","Purchase","Entry No.",I2041,"Location Code",$L$7)</t>
  </si>
  <si>
    <t>=NL("Sum","Item Ledger Entry","Quantity","Entry Type","Purchase","Entry No.",I2042,"Location Code",$L$7)</t>
  </si>
  <si>
    <t>=NL("Sum","Item Ledger Entry","Quantity","Entry Type","Purchase","Entry No.",I2043,"Location Code",$L$7)</t>
  </si>
  <si>
    <t>=NL("Sum","Item Ledger Entry","Quantity","Entry Type","Sale","Entry No.",I2037,"Location Code",$L$7)</t>
  </si>
  <si>
    <t>=NL("Sum","Item Ledger Entry","Quantity","Entry Type","Sale","Entry No.",I2038,"Location Code",$L$7)</t>
  </si>
  <si>
    <t>=NL("Sum","Item Ledger Entry","Quantity","Entry Type","Sale","Entry No.",I2039,"Location Code",$L$7)</t>
  </si>
  <si>
    <t>=NL("Sum","Item Ledger Entry","Quantity","Entry Type","Sale","Entry No.",I2040,"Location Code",$L$7)</t>
  </si>
  <si>
    <t>=NL("Sum","Item Ledger Entry","Quantity","Entry Type","Sale","Entry No.",I2041,"Location Code",$L$7)</t>
  </si>
  <si>
    <t>=NL("Sum","Item Ledger Entry","Quantity","Entry Type","Sale","Entry No.",I2042,"Location Code",$L$7)</t>
  </si>
  <si>
    <t>=NL("Sum","Item Ledger Entry","Quantity","Entry Type","Sale","Entry No.",I2043,"Location Code",$L$7)</t>
  </si>
  <si>
    <t>=NL("Sum","Item Ledger Entry","Quantity","Entry Type","Positive Adjmt.|Negative Adjmt.","Entry No.",I2037,"Location Code",$L$7)</t>
  </si>
  <si>
    <t>=NL("Sum","Item Ledger Entry","Quantity","Entry Type","Positive Adjmt.|Negative Adjmt.","Entry No.",I2038,"Location Code",$L$7)</t>
  </si>
  <si>
    <t>=NL("Sum","Item Ledger Entry","Quantity","Entry Type","Positive Adjmt.|Negative Adjmt.","Entry No.",I2039,"Location Code",$L$7)</t>
  </si>
  <si>
    <t>=NL("Sum","Item Ledger Entry","Quantity","Entry Type","Positive Adjmt.|Negative Adjmt.","Entry No.",I2040,"Location Code",$L$7)</t>
  </si>
  <si>
    <t>=NL("Sum","Item Ledger Entry","Quantity","Entry Type","Positive Adjmt.|Negative Adjmt.","Entry No.",I2041,"Location Code",$L$7)</t>
  </si>
  <si>
    <t>=NL("Sum","Item Ledger Entry","Quantity","Entry Type","Positive Adjmt.|Negative Adjmt.","Entry No.",I2042,"Location Code",$L$7)</t>
  </si>
  <si>
    <t>=NL("Sum","Item Ledger Entry","Quantity","Entry Type","Positive Adjmt.|Negative Adjmt.","Entry No.",I2043,"Location Code",$L$7)</t>
  </si>
  <si>
    <t>=NL("Sum","Item Ledger Entry","Quantity","Entry Type","Transfer","Entry No.",I2037,"Location Code",$L$7)</t>
  </si>
  <si>
    <t>=NL("Sum","Item Ledger Entry","Quantity","Entry Type","Transfer","Entry No.",I2038,"Location Code",$L$7)</t>
  </si>
  <si>
    <t>=NL("Sum","Item Ledger Entry","Quantity","Entry Type","Transfer","Entry No.",I2039,"Location Code",$L$7)</t>
  </si>
  <si>
    <t>=NL("Sum","Item Ledger Entry","Quantity","Entry Type","Transfer","Entry No.",I2040,"Location Code",$L$7)</t>
  </si>
  <si>
    <t>=NL("Sum","Item Ledger Entry","Quantity","Entry Type","Transfer","Entry No.",I2041,"Location Code",$L$7)</t>
  </si>
  <si>
    <t>=NL("Sum","Item Ledger Entry","Quantity","Entry Type","Transfer","Entry No.",I2042,"Location Code",$L$7)</t>
  </si>
  <si>
    <t>=NL("Sum","Item Ledger Entry","Quantity","Entry Type","Transfer","Entry No.",I2043,"Location Code",$L$7)</t>
  </si>
  <si>
    <t>=NL("Sum","Item Ledger Entry","Quantity","Entry Type","Consumption","Entry No.",I2037,"Location Code",$L$7)</t>
  </si>
  <si>
    <t>=NL("Sum","Item Ledger Entry","Quantity","Entry Type","Consumption","Entry No.",I2038,"Location Code",$L$7)</t>
  </si>
  <si>
    <t>=NL("Sum","Item Ledger Entry","Quantity","Entry Type","Consumption","Entry No.",I2039,"Location Code",$L$7)</t>
  </si>
  <si>
    <t>=NL("Sum","Item Ledger Entry","Quantity","Entry Type","Consumption","Entry No.",I2040,"Location Code",$L$7)</t>
  </si>
  <si>
    <t>=NL("Sum","Item Ledger Entry","Quantity","Entry Type","Consumption","Entry No.",I2041,"Location Code",$L$7)</t>
  </si>
  <si>
    <t>=NL("Sum","Item Ledger Entry","Quantity","Entry Type","Consumption","Entry No.",I2042,"Location Code",$L$7)</t>
  </si>
  <si>
    <t>=NL("Sum","Item Ledger Entry","Quantity","Entry Type","Consumption","Entry No.",I2043,"Location Code",$L$7)</t>
  </si>
  <si>
    <t>=NL("Sum","Item Ledger Entry","Quantity","Entry Type","Output","Entry No.",I2037,"Location Code",$L$7)</t>
  </si>
  <si>
    <t>=NL("Sum","Item Ledger Entry","Quantity","Entry Type","Output","Entry No.",I2038,"Location Code",$L$7)</t>
  </si>
  <si>
    <t>=NL("Sum","Item Ledger Entry","Quantity","Entry Type","Output","Entry No.",I2039,"Location Code",$L$7)</t>
  </si>
  <si>
    <t>=NL("Sum","Item Ledger Entry","Quantity","Entry Type","Output","Entry No.",I2040,"Location Code",$L$7)</t>
  </si>
  <si>
    <t>=NL("Sum","Item Ledger Entry","Quantity","Entry Type","Output","Entry No.",I2041,"Location Code",$L$7)</t>
  </si>
  <si>
    <t>=NL("Sum","Item Ledger Entry","Quantity","Entry Type","Output","Entry No.",I2042,"Location Code",$L$7)</t>
  </si>
  <si>
    <t>=NL("Sum","Item Ledger Entry","Quantity","Entry Type","Output","Entry No.",I2043,"Location Code",$L$7)</t>
  </si>
  <si>
    <t>=NF(G2037,"Source Type")</t>
  </si>
  <si>
    <t>=NF(G2038,"Source Type")</t>
  </si>
  <si>
    <t>=NF(G2039,"Source Type")</t>
  </si>
  <si>
    <t>=NF(G2040,"Source Type")</t>
  </si>
  <si>
    <t>=NF(G2041,"Source Type")</t>
  </si>
  <si>
    <t>=NF(G2042,"Source Type")</t>
  </si>
  <si>
    <t>=NF(G2043,"Source Type")</t>
  </si>
  <si>
    <t>=NF($G2037,"Source No.")</t>
  </si>
  <si>
    <t>=NF($G2038,"Source No.")</t>
  </si>
  <si>
    <t>=NF($G2039,"Source No.")</t>
  </si>
  <si>
    <t>=NF($G2040,"Source No.")</t>
  </si>
  <si>
    <t>=NF($G2041,"Source No.")</t>
  </si>
  <si>
    <t>=NF($G2042,"Source No.")</t>
  </si>
  <si>
    <t>=NF($G2043,"Source No.")</t>
  </si>
  <si>
    <t>=NF($G2024,"Posting Date")</t>
  </si>
  <si>
    <t>=NF($G2025,"Posting Date")</t>
  </si>
  <si>
    <t>=NF($G2026,"Posting Date")</t>
  </si>
  <si>
    <t>=NF($G2027,"Posting Date")</t>
  </si>
  <si>
    <t>=NF($G2028,"Posting Date")</t>
  </si>
  <si>
    <t>=NF($G2029,"Posting Date")</t>
  </si>
  <si>
    <t>=NF($G2030,"Posting Date")</t>
  </si>
  <si>
    <t>=NF($G2031,"Posting Date")</t>
  </si>
  <si>
    <t>=NF($G2032,"Posting Date")</t>
  </si>
  <si>
    <t>=NF($G2033,"Posting Date")</t>
  </si>
  <si>
    <t>=NF($G2024,"Entry No.")</t>
  </si>
  <si>
    <t>=NF($G2025,"Entry No.")</t>
  </si>
  <si>
    <t>=NF($G2026,"Entry No.")</t>
  </si>
  <si>
    <t>=NF($G2027,"Entry No.")</t>
  </si>
  <si>
    <t>=NF($G2028,"Entry No.")</t>
  </si>
  <si>
    <t>=NF($G2029,"Entry No.")</t>
  </si>
  <si>
    <t>=NF($G2030,"Entry No.")</t>
  </si>
  <si>
    <t>=NF($G2031,"Entry No.")</t>
  </si>
  <si>
    <t>=NF($G2032,"Entry No.")</t>
  </si>
  <si>
    <t>=NF($G2033,"Entry No.")</t>
  </si>
  <si>
    <t>=NL("Sum","Item Ledger Entry","Quantity","Entry Type","Purchase","Entry No.",I2024,"Location Code",$L$7)</t>
  </si>
  <si>
    <t>=NL("Sum","Item Ledger Entry","Quantity","Entry Type","Purchase","Entry No.",I2025,"Location Code",$L$7)</t>
  </si>
  <si>
    <t>=NL("Sum","Item Ledger Entry","Quantity","Entry Type","Purchase","Entry No.",I2026,"Location Code",$L$7)</t>
  </si>
  <si>
    <t>=NL("Sum","Item Ledger Entry","Quantity","Entry Type","Purchase","Entry No.",I2027,"Location Code",$L$7)</t>
  </si>
  <si>
    <t>=NL("Sum","Item Ledger Entry","Quantity","Entry Type","Purchase","Entry No.",I2028,"Location Code",$L$7)</t>
  </si>
  <si>
    <t>=NL("Sum","Item Ledger Entry","Quantity","Entry Type","Purchase","Entry No.",I2029,"Location Code",$L$7)</t>
  </si>
  <si>
    <t>=NL("Sum","Item Ledger Entry","Quantity","Entry Type","Purchase","Entry No.",I2030,"Location Code",$L$7)</t>
  </si>
  <si>
    <t>=NL("Sum","Item Ledger Entry","Quantity","Entry Type","Purchase","Entry No.",I2031,"Location Code",$L$7)</t>
  </si>
  <si>
    <t>=NL("Sum","Item Ledger Entry","Quantity","Entry Type","Purchase","Entry No.",I2032,"Location Code",$L$7)</t>
  </si>
  <si>
    <t>=NL("Sum","Item Ledger Entry","Quantity","Entry Type","Purchase","Entry No.",I2033,"Location Code",$L$7)</t>
  </si>
  <si>
    <t>=NL("Sum","Item Ledger Entry","Quantity","Entry Type","Sale","Entry No.",I2024,"Location Code",$L$7)</t>
  </si>
  <si>
    <t>=NL("Sum","Item Ledger Entry","Quantity","Entry Type","Sale","Entry No.",I2025,"Location Code",$L$7)</t>
  </si>
  <si>
    <t>=NL("Sum","Item Ledger Entry","Quantity","Entry Type","Sale","Entry No.",I2026,"Location Code",$L$7)</t>
  </si>
  <si>
    <t>=NL("Sum","Item Ledger Entry","Quantity","Entry Type","Sale","Entry No.",I2027,"Location Code",$L$7)</t>
  </si>
  <si>
    <t>=NL("Sum","Item Ledger Entry","Quantity","Entry Type","Sale","Entry No.",I2028,"Location Code",$L$7)</t>
  </si>
  <si>
    <t>=NL("Sum","Item Ledger Entry","Quantity","Entry Type","Sale","Entry No.",I2029,"Location Code",$L$7)</t>
  </si>
  <si>
    <t>=NL("Sum","Item Ledger Entry","Quantity","Entry Type","Sale","Entry No.",I2030,"Location Code",$L$7)</t>
  </si>
  <si>
    <t>=NL("Sum","Item Ledger Entry","Quantity","Entry Type","Sale","Entry No.",I2031,"Location Code",$L$7)</t>
  </si>
  <si>
    <t>=NL("Sum","Item Ledger Entry","Quantity","Entry Type","Sale","Entry No.",I2032,"Location Code",$L$7)</t>
  </si>
  <si>
    <t>=NL("Sum","Item Ledger Entry","Quantity","Entry Type","Sale","Entry No.",I2033,"Location Code",$L$7)</t>
  </si>
  <si>
    <t>=NL("Sum","Item Ledger Entry","Quantity","Entry Type","Positive Adjmt.|Negative Adjmt.","Entry No.",I2024,"Location Code",$L$7)</t>
  </si>
  <si>
    <t>=NL("Sum","Item Ledger Entry","Quantity","Entry Type","Positive Adjmt.|Negative Adjmt.","Entry No.",I2025,"Location Code",$L$7)</t>
  </si>
  <si>
    <t>=NL("Sum","Item Ledger Entry","Quantity","Entry Type","Positive Adjmt.|Negative Adjmt.","Entry No.",I2026,"Location Code",$L$7)</t>
  </si>
  <si>
    <t>=NL("Sum","Item Ledger Entry","Quantity","Entry Type","Positive Adjmt.|Negative Adjmt.","Entry No.",I2027,"Location Code",$L$7)</t>
  </si>
  <si>
    <t>=NL("Sum","Item Ledger Entry","Quantity","Entry Type","Positive Adjmt.|Negative Adjmt.","Entry No.",I2028,"Location Code",$L$7)</t>
  </si>
  <si>
    <t>=NL("Sum","Item Ledger Entry","Quantity","Entry Type","Positive Adjmt.|Negative Adjmt.","Entry No.",I2029,"Location Code",$L$7)</t>
  </si>
  <si>
    <t>=NL("Sum","Item Ledger Entry","Quantity","Entry Type","Positive Adjmt.|Negative Adjmt.","Entry No.",I2030,"Location Code",$L$7)</t>
  </si>
  <si>
    <t>=NL("Sum","Item Ledger Entry","Quantity","Entry Type","Positive Adjmt.|Negative Adjmt.","Entry No.",I2031,"Location Code",$L$7)</t>
  </si>
  <si>
    <t>=NL("Sum","Item Ledger Entry","Quantity","Entry Type","Positive Adjmt.|Negative Adjmt.","Entry No.",I2032,"Location Code",$L$7)</t>
  </si>
  <si>
    <t>=NL("Sum","Item Ledger Entry","Quantity","Entry Type","Positive Adjmt.|Negative Adjmt.","Entry No.",I2033,"Location Code",$L$7)</t>
  </si>
  <si>
    <t>=NL("Sum","Item Ledger Entry","Quantity","Entry Type","Transfer","Entry No.",I2024,"Location Code",$L$7)</t>
  </si>
  <si>
    <t>=NL("Sum","Item Ledger Entry","Quantity","Entry Type","Transfer","Entry No.",I2025,"Location Code",$L$7)</t>
  </si>
  <si>
    <t>=NL("Sum","Item Ledger Entry","Quantity","Entry Type","Transfer","Entry No.",I2026,"Location Code",$L$7)</t>
  </si>
  <si>
    <t>=NL("Sum","Item Ledger Entry","Quantity","Entry Type","Transfer","Entry No.",I2027,"Location Code",$L$7)</t>
  </si>
  <si>
    <t>=NL("Sum","Item Ledger Entry","Quantity","Entry Type","Transfer","Entry No.",I2028,"Location Code",$L$7)</t>
  </si>
  <si>
    <t>=NL("Sum","Item Ledger Entry","Quantity","Entry Type","Transfer","Entry No.",I2029,"Location Code",$L$7)</t>
  </si>
  <si>
    <t>=NL("Sum","Item Ledger Entry","Quantity","Entry Type","Transfer","Entry No.",I2030,"Location Code",$L$7)</t>
  </si>
  <si>
    <t>=NL("Sum","Item Ledger Entry","Quantity","Entry Type","Transfer","Entry No.",I2031,"Location Code",$L$7)</t>
  </si>
  <si>
    <t>=NL("Sum","Item Ledger Entry","Quantity","Entry Type","Transfer","Entry No.",I2032,"Location Code",$L$7)</t>
  </si>
  <si>
    <t>=NL("Sum","Item Ledger Entry","Quantity","Entry Type","Transfer","Entry No.",I2033,"Location Code",$L$7)</t>
  </si>
  <si>
    <t>=NL("Sum","Item Ledger Entry","Quantity","Entry Type","Consumption","Entry No.",I2024,"Location Code",$L$7)</t>
  </si>
  <si>
    <t>=NL("Sum","Item Ledger Entry","Quantity","Entry Type","Consumption","Entry No.",I2025,"Location Code",$L$7)</t>
  </si>
  <si>
    <t>=NL("Sum","Item Ledger Entry","Quantity","Entry Type","Consumption","Entry No.",I2026,"Location Code",$L$7)</t>
  </si>
  <si>
    <t>=NL("Sum","Item Ledger Entry","Quantity","Entry Type","Consumption","Entry No.",I2027,"Location Code",$L$7)</t>
  </si>
  <si>
    <t>=NL("Sum","Item Ledger Entry","Quantity","Entry Type","Consumption","Entry No.",I2028,"Location Code",$L$7)</t>
  </si>
  <si>
    <t>=NL("Sum","Item Ledger Entry","Quantity","Entry Type","Consumption","Entry No.",I2029,"Location Code",$L$7)</t>
  </si>
  <si>
    <t>=NL("Sum","Item Ledger Entry","Quantity","Entry Type","Consumption","Entry No.",I2030,"Location Code",$L$7)</t>
  </si>
  <si>
    <t>=NL("Sum","Item Ledger Entry","Quantity","Entry Type","Consumption","Entry No.",I2031,"Location Code",$L$7)</t>
  </si>
  <si>
    <t>=NL("Sum","Item Ledger Entry","Quantity","Entry Type","Consumption","Entry No.",I2032,"Location Code",$L$7)</t>
  </si>
  <si>
    <t>=NL("Sum","Item Ledger Entry","Quantity","Entry Type","Consumption","Entry No.",I2033,"Location Code",$L$7)</t>
  </si>
  <si>
    <t>=NL("Sum","Item Ledger Entry","Quantity","Entry Type","Output","Entry No.",I2024,"Location Code",$L$7)</t>
  </si>
  <si>
    <t>=NL("Sum","Item Ledger Entry","Quantity","Entry Type","Output","Entry No.",I2025,"Location Code",$L$7)</t>
  </si>
  <si>
    <t>=NL("Sum","Item Ledger Entry","Quantity","Entry Type","Output","Entry No.",I2026,"Location Code",$L$7)</t>
  </si>
  <si>
    <t>=NL("Sum","Item Ledger Entry","Quantity","Entry Type","Output","Entry No.",I2027,"Location Code",$L$7)</t>
  </si>
  <si>
    <t>=NL("Sum","Item Ledger Entry","Quantity","Entry Type","Output","Entry No.",I2028,"Location Code",$L$7)</t>
  </si>
  <si>
    <t>=NL("Sum","Item Ledger Entry","Quantity","Entry Type","Output","Entry No.",I2029,"Location Code",$L$7)</t>
  </si>
  <si>
    <t>=NL("Sum","Item Ledger Entry","Quantity","Entry Type","Output","Entry No.",I2030,"Location Code",$L$7)</t>
  </si>
  <si>
    <t>=NL("Sum","Item Ledger Entry","Quantity","Entry Type","Output","Entry No.",I2031,"Location Code",$L$7)</t>
  </si>
  <si>
    <t>=NL("Sum","Item Ledger Entry","Quantity","Entry Type","Output","Entry No.",I2032,"Location Code",$L$7)</t>
  </si>
  <si>
    <t>=NL("Sum","Item Ledger Entry","Quantity","Entry Type","Output","Entry No.",I2033,"Location Code",$L$7)</t>
  </si>
  <si>
    <t>=NF(G2024,"Source Type")</t>
  </si>
  <si>
    <t>=NF(G2025,"Source Type")</t>
  </si>
  <si>
    <t>=NF(G2026,"Source Type")</t>
  </si>
  <si>
    <t>=NF(G2027,"Source Type")</t>
  </si>
  <si>
    <t>=NF(G2028,"Source Type")</t>
  </si>
  <si>
    <t>=NF(G2029,"Source Type")</t>
  </si>
  <si>
    <t>=NF(G2030,"Source Type")</t>
  </si>
  <si>
    <t>=NF(G2031,"Source Type")</t>
  </si>
  <si>
    <t>=NF(G2032,"Source Type")</t>
  </si>
  <si>
    <t>=NF(G2033,"Source Type")</t>
  </si>
  <si>
    <t>=NF($G2024,"Source No.")</t>
  </si>
  <si>
    <t>=NF($G2025,"Source No.")</t>
  </si>
  <si>
    <t>=NF($G2026,"Source No.")</t>
  </si>
  <si>
    <t>=NF($G2027,"Source No.")</t>
  </si>
  <si>
    <t>=NF($G2028,"Source No.")</t>
  </si>
  <si>
    <t>=NF($G2029,"Source No.")</t>
  </si>
  <si>
    <t>=NF($G2030,"Source No.")</t>
  </si>
  <si>
    <t>=NF($G2031,"Source No.")</t>
  </si>
  <si>
    <t>=NF($G2032,"Source No.")</t>
  </si>
  <si>
    <t>=NF($G2033,"Source No.")</t>
  </si>
  <si>
    <t>=NF($G2014,"Posting Date")</t>
  </si>
  <si>
    <t>=NF($G2015,"Posting Date")</t>
  </si>
  <si>
    <t>=NF($G2016,"Posting Date")</t>
  </si>
  <si>
    <t>=NF($G2017,"Posting Date")</t>
  </si>
  <si>
    <t>=NF($G2018,"Posting Date")</t>
  </si>
  <si>
    <t>=NF($G2019,"Posting Date")</t>
  </si>
  <si>
    <t>=NF($G2020,"Posting Date")</t>
  </si>
  <si>
    <t>=NF($G2014,"Entry No.")</t>
  </si>
  <si>
    <t>=NF($G2015,"Entry No.")</t>
  </si>
  <si>
    <t>=NF($G2016,"Entry No.")</t>
  </si>
  <si>
    <t>=NF($G2017,"Entry No.")</t>
  </si>
  <si>
    <t>=NF($G2018,"Entry No.")</t>
  </si>
  <si>
    <t>=NF($G2019,"Entry No.")</t>
  </si>
  <si>
    <t>=NF($G2020,"Entry No.")</t>
  </si>
  <si>
    <t>=NL("Sum","Item Ledger Entry","Quantity","Entry Type","Purchase","Entry No.",I2014,"Location Code",$L$7)</t>
  </si>
  <si>
    <t>=NL("Sum","Item Ledger Entry","Quantity","Entry Type","Purchase","Entry No.",I2015,"Location Code",$L$7)</t>
  </si>
  <si>
    <t>=NL("Sum","Item Ledger Entry","Quantity","Entry Type","Purchase","Entry No.",I2016,"Location Code",$L$7)</t>
  </si>
  <si>
    <t>=NL("Sum","Item Ledger Entry","Quantity","Entry Type","Purchase","Entry No.",I2017,"Location Code",$L$7)</t>
  </si>
  <si>
    <t>=NL("Sum","Item Ledger Entry","Quantity","Entry Type","Purchase","Entry No.",I2018,"Location Code",$L$7)</t>
  </si>
  <si>
    <t>=NL("Sum","Item Ledger Entry","Quantity","Entry Type","Purchase","Entry No.",I2019,"Location Code",$L$7)</t>
  </si>
  <si>
    <t>=NL("Sum","Item Ledger Entry","Quantity","Entry Type","Purchase","Entry No.",I2020,"Location Code",$L$7)</t>
  </si>
  <si>
    <t>=NL("Sum","Item Ledger Entry","Quantity","Entry Type","Sale","Entry No.",I2014,"Location Code",$L$7)</t>
  </si>
  <si>
    <t>=NL("Sum","Item Ledger Entry","Quantity","Entry Type","Sale","Entry No.",I2015,"Location Code",$L$7)</t>
  </si>
  <si>
    <t>=NL("Sum","Item Ledger Entry","Quantity","Entry Type","Sale","Entry No.",I2016,"Location Code",$L$7)</t>
  </si>
  <si>
    <t>=NL("Sum","Item Ledger Entry","Quantity","Entry Type","Sale","Entry No.",I2017,"Location Code",$L$7)</t>
  </si>
  <si>
    <t>=NL("Sum","Item Ledger Entry","Quantity","Entry Type","Sale","Entry No.",I2018,"Location Code",$L$7)</t>
  </si>
  <si>
    <t>=NL("Sum","Item Ledger Entry","Quantity","Entry Type","Sale","Entry No.",I2019,"Location Code",$L$7)</t>
  </si>
  <si>
    <t>=NL("Sum","Item Ledger Entry","Quantity","Entry Type","Sale","Entry No.",I2020,"Location Code",$L$7)</t>
  </si>
  <si>
    <t>=NL("Sum","Item Ledger Entry","Quantity","Entry Type","Positive Adjmt.|Negative Adjmt.","Entry No.",I2014,"Location Code",$L$7)</t>
  </si>
  <si>
    <t>=NL("Sum","Item Ledger Entry","Quantity","Entry Type","Positive Adjmt.|Negative Adjmt.","Entry No.",I2015,"Location Code",$L$7)</t>
  </si>
  <si>
    <t>=NL("Sum","Item Ledger Entry","Quantity","Entry Type","Positive Adjmt.|Negative Adjmt.","Entry No.",I2016,"Location Code",$L$7)</t>
  </si>
  <si>
    <t>=NL("Sum","Item Ledger Entry","Quantity","Entry Type","Positive Adjmt.|Negative Adjmt.","Entry No.",I2017,"Location Code",$L$7)</t>
  </si>
  <si>
    <t>=NL("Sum","Item Ledger Entry","Quantity","Entry Type","Positive Adjmt.|Negative Adjmt.","Entry No.",I2018,"Location Code",$L$7)</t>
  </si>
  <si>
    <t>=NL("Sum","Item Ledger Entry","Quantity","Entry Type","Positive Adjmt.|Negative Adjmt.","Entry No.",I2019,"Location Code",$L$7)</t>
  </si>
  <si>
    <t>=NL("Sum","Item Ledger Entry","Quantity","Entry Type","Positive Adjmt.|Negative Adjmt.","Entry No.",I2020,"Location Code",$L$7)</t>
  </si>
  <si>
    <t>=NL("Sum","Item Ledger Entry","Quantity","Entry Type","Transfer","Entry No.",I2014,"Location Code",$L$7)</t>
  </si>
  <si>
    <t>=NL("Sum","Item Ledger Entry","Quantity","Entry Type","Transfer","Entry No.",I2015,"Location Code",$L$7)</t>
  </si>
  <si>
    <t>=NL("Sum","Item Ledger Entry","Quantity","Entry Type","Transfer","Entry No.",I2016,"Location Code",$L$7)</t>
  </si>
  <si>
    <t>=NL("Sum","Item Ledger Entry","Quantity","Entry Type","Transfer","Entry No.",I2017,"Location Code",$L$7)</t>
  </si>
  <si>
    <t>=NL("Sum","Item Ledger Entry","Quantity","Entry Type","Transfer","Entry No.",I2018,"Location Code",$L$7)</t>
  </si>
  <si>
    <t>=NL("Sum","Item Ledger Entry","Quantity","Entry Type","Transfer","Entry No.",I2019,"Location Code",$L$7)</t>
  </si>
  <si>
    <t>=NL("Sum","Item Ledger Entry","Quantity","Entry Type","Transfer","Entry No.",I2020,"Location Code",$L$7)</t>
  </si>
  <si>
    <t>=NL("Sum","Item Ledger Entry","Quantity","Entry Type","Consumption","Entry No.",I2014,"Location Code",$L$7)</t>
  </si>
  <si>
    <t>=NL("Sum","Item Ledger Entry","Quantity","Entry Type","Consumption","Entry No.",I2015,"Location Code",$L$7)</t>
  </si>
  <si>
    <t>=NL("Sum","Item Ledger Entry","Quantity","Entry Type","Consumption","Entry No.",I2016,"Location Code",$L$7)</t>
  </si>
  <si>
    <t>=NL("Sum","Item Ledger Entry","Quantity","Entry Type","Consumption","Entry No.",I2017,"Location Code",$L$7)</t>
  </si>
  <si>
    <t>=NL("Sum","Item Ledger Entry","Quantity","Entry Type","Consumption","Entry No.",I2018,"Location Code",$L$7)</t>
  </si>
  <si>
    <t>=NL("Sum","Item Ledger Entry","Quantity","Entry Type","Consumption","Entry No.",I2019,"Location Code",$L$7)</t>
  </si>
  <si>
    <t>=NL("Sum","Item Ledger Entry","Quantity","Entry Type","Consumption","Entry No.",I2020,"Location Code",$L$7)</t>
  </si>
  <si>
    <t>=NL("Sum","Item Ledger Entry","Quantity","Entry Type","Output","Entry No.",I2014,"Location Code",$L$7)</t>
  </si>
  <si>
    <t>=NL("Sum","Item Ledger Entry","Quantity","Entry Type","Output","Entry No.",I2015,"Location Code",$L$7)</t>
  </si>
  <si>
    <t>=NL("Sum","Item Ledger Entry","Quantity","Entry Type","Output","Entry No.",I2016,"Location Code",$L$7)</t>
  </si>
  <si>
    <t>=NL("Sum","Item Ledger Entry","Quantity","Entry Type","Output","Entry No.",I2017,"Location Code",$L$7)</t>
  </si>
  <si>
    <t>=NL("Sum","Item Ledger Entry","Quantity","Entry Type","Output","Entry No.",I2018,"Location Code",$L$7)</t>
  </si>
  <si>
    <t>=NL("Sum","Item Ledger Entry","Quantity","Entry Type","Output","Entry No.",I2019,"Location Code",$L$7)</t>
  </si>
  <si>
    <t>=NL("Sum","Item Ledger Entry","Quantity","Entry Type","Output","Entry No.",I2020,"Location Code",$L$7)</t>
  </si>
  <si>
    <t>=NF(G2014,"Source Type")</t>
  </si>
  <si>
    <t>=NF(G2015,"Source Type")</t>
  </si>
  <si>
    <t>=NF(G2016,"Source Type")</t>
  </si>
  <si>
    <t>=NF(G2017,"Source Type")</t>
  </si>
  <si>
    <t>=NF(G2018,"Source Type")</t>
  </si>
  <si>
    <t>=NF(G2019,"Source Type")</t>
  </si>
  <si>
    <t>=NF(G2020,"Source Type")</t>
  </si>
  <si>
    <t>=NF($G2014,"Source No.")</t>
  </si>
  <si>
    <t>=NF($G2015,"Source No.")</t>
  </si>
  <si>
    <t>=NF($G2016,"Source No.")</t>
  </si>
  <si>
    <t>=NF($G2017,"Source No.")</t>
  </si>
  <si>
    <t>=NF($G2018,"Source No.")</t>
  </si>
  <si>
    <t>=NF($G2019,"Source No.")</t>
  </si>
  <si>
    <t>=NF($G2020,"Source No.")</t>
  </si>
  <si>
    <t>=NF($G1984,"Posting Date")</t>
  </si>
  <si>
    <t>=NF($G1985,"Posting Date")</t>
  </si>
  <si>
    <t>=NF($G1986,"Posting Date")</t>
  </si>
  <si>
    <t>=NF($G1987,"Posting Date")</t>
  </si>
  <si>
    <t>=NF($G1988,"Posting Date")</t>
  </si>
  <si>
    <t>=NF($G1989,"Posting Date")</t>
  </si>
  <si>
    <t>=NF($G1990,"Posting Date")</t>
  </si>
  <si>
    <t>=NF($G1991,"Posting Date")</t>
  </si>
  <si>
    <t>=NF($G1992,"Posting Date")</t>
  </si>
  <si>
    <t>=NF($G1993,"Posting Date")</t>
  </si>
  <si>
    <t>=NF($G1994,"Posting Date")</t>
  </si>
  <si>
    <t>=NF($G1995,"Posting Date")</t>
  </si>
  <si>
    <t>=NF($G1996,"Posting Date")</t>
  </si>
  <si>
    <t>=NF($G1997,"Posting Date")</t>
  </si>
  <si>
    <t>=NF($G1998,"Posting Date")</t>
  </si>
  <si>
    <t>=NF($G1999,"Posting Date")</t>
  </si>
  <si>
    <t>=NF($G2000,"Posting Date")</t>
  </si>
  <si>
    <t>=NF($G2001,"Posting Date")</t>
  </si>
  <si>
    <t>=NF($G2002,"Posting Date")</t>
  </si>
  <si>
    <t>=NF($G2003,"Posting Date")</t>
  </si>
  <si>
    <t>=NF($G2004,"Posting Date")</t>
  </si>
  <si>
    <t>=NF($G2005,"Posting Date")</t>
  </si>
  <si>
    <t>=NF($G2006,"Posting Date")</t>
  </si>
  <si>
    <t>=NF($G2007,"Posting Date")</t>
  </si>
  <si>
    <t>=NF($G2008,"Posting Date")</t>
  </si>
  <si>
    <t>=NF($G2009,"Posting Date")</t>
  </si>
  <si>
    <t>=NF($G2010,"Posting Date")</t>
  </si>
  <si>
    <t>=NF($G1984,"Entry No.")</t>
  </si>
  <si>
    <t>=NF($G1985,"Entry No.")</t>
  </si>
  <si>
    <t>=NF($G1986,"Entry No.")</t>
  </si>
  <si>
    <t>=NF($G1987,"Entry No.")</t>
  </si>
  <si>
    <t>=NF($G1988,"Entry No.")</t>
  </si>
  <si>
    <t>=NF($G1989,"Entry No.")</t>
  </si>
  <si>
    <t>=NF($G1990,"Entry No.")</t>
  </si>
  <si>
    <t>=NF($G1991,"Entry No.")</t>
  </si>
  <si>
    <t>=NF($G1992,"Entry No.")</t>
  </si>
  <si>
    <t>=NF($G1993,"Entry No.")</t>
  </si>
  <si>
    <t>=NF($G1994,"Entry No.")</t>
  </si>
  <si>
    <t>=NF($G1995,"Entry No.")</t>
  </si>
  <si>
    <t>=NF($G1996,"Entry No.")</t>
  </si>
  <si>
    <t>=NF($G1997,"Entry No.")</t>
  </si>
  <si>
    <t>=NF($G1998,"Entry No.")</t>
  </si>
  <si>
    <t>=NF($G1999,"Entry No.")</t>
  </si>
  <si>
    <t>=NF($G2000,"Entry No.")</t>
  </si>
  <si>
    <t>=NF($G2001,"Entry No.")</t>
  </si>
  <si>
    <t>=NF($G2002,"Entry No.")</t>
  </si>
  <si>
    <t>=NF($G2003,"Entry No.")</t>
  </si>
  <si>
    <t>=NF($G2004,"Entry No.")</t>
  </si>
  <si>
    <t>=NF($G2005,"Entry No.")</t>
  </si>
  <si>
    <t>=NF($G2006,"Entry No.")</t>
  </si>
  <si>
    <t>=NF($G2007,"Entry No.")</t>
  </si>
  <si>
    <t>=NF($G2008,"Entry No.")</t>
  </si>
  <si>
    <t>=NF($G2009,"Entry No.")</t>
  </si>
  <si>
    <t>=NF($G2010,"Entry No.")</t>
  </si>
  <si>
    <t>=NL("Sum","Item Ledger Entry","Quantity","Entry Type","Purchase","Entry No.",I1984,"Location Code",$L$7)</t>
  </si>
  <si>
    <t>=NL("Sum","Item Ledger Entry","Quantity","Entry Type","Purchase","Entry No.",I1985,"Location Code",$L$7)</t>
  </si>
  <si>
    <t>=NL("Sum","Item Ledger Entry","Quantity","Entry Type","Purchase","Entry No.",I1986,"Location Code",$L$7)</t>
  </si>
  <si>
    <t>=NL("Sum","Item Ledger Entry","Quantity","Entry Type","Purchase","Entry No.",I1987,"Location Code",$L$7)</t>
  </si>
  <si>
    <t>=NL("Sum","Item Ledger Entry","Quantity","Entry Type","Purchase","Entry No.",I1988,"Location Code",$L$7)</t>
  </si>
  <si>
    <t>=NL("Sum","Item Ledger Entry","Quantity","Entry Type","Purchase","Entry No.",I1989,"Location Code",$L$7)</t>
  </si>
  <si>
    <t>=NL("Sum","Item Ledger Entry","Quantity","Entry Type","Purchase","Entry No.",I1990,"Location Code",$L$7)</t>
  </si>
  <si>
    <t>=NL("Sum","Item Ledger Entry","Quantity","Entry Type","Purchase","Entry No.",I1991,"Location Code",$L$7)</t>
  </si>
  <si>
    <t>=NL("Sum","Item Ledger Entry","Quantity","Entry Type","Purchase","Entry No.",I1992,"Location Code",$L$7)</t>
  </si>
  <si>
    <t>=NL("Sum","Item Ledger Entry","Quantity","Entry Type","Purchase","Entry No.",I1993,"Location Code",$L$7)</t>
  </si>
  <si>
    <t>=NL("Sum","Item Ledger Entry","Quantity","Entry Type","Purchase","Entry No.",I1994,"Location Code",$L$7)</t>
  </si>
  <si>
    <t>=NL("Sum","Item Ledger Entry","Quantity","Entry Type","Purchase","Entry No.",I1995,"Location Code",$L$7)</t>
  </si>
  <si>
    <t>=NL("Sum","Item Ledger Entry","Quantity","Entry Type","Purchase","Entry No.",I1996,"Location Code",$L$7)</t>
  </si>
  <si>
    <t>=NL("Sum","Item Ledger Entry","Quantity","Entry Type","Purchase","Entry No.",I1997,"Location Code",$L$7)</t>
  </si>
  <si>
    <t>=NL("Sum","Item Ledger Entry","Quantity","Entry Type","Purchase","Entry No.",I1998,"Location Code",$L$7)</t>
  </si>
  <si>
    <t>=NL("Sum","Item Ledger Entry","Quantity","Entry Type","Purchase","Entry No.",I1999,"Location Code",$L$7)</t>
  </si>
  <si>
    <t>=NL("Sum","Item Ledger Entry","Quantity","Entry Type","Purchase","Entry No.",I2000,"Location Code",$L$7)</t>
  </si>
  <si>
    <t>=NL("Sum","Item Ledger Entry","Quantity","Entry Type","Purchase","Entry No.",I2001,"Location Code",$L$7)</t>
  </si>
  <si>
    <t>=NL("Sum","Item Ledger Entry","Quantity","Entry Type","Purchase","Entry No.",I2002,"Location Code",$L$7)</t>
  </si>
  <si>
    <t>=NL("Sum","Item Ledger Entry","Quantity","Entry Type","Purchase","Entry No.",I2003,"Location Code",$L$7)</t>
  </si>
  <si>
    <t>=NL("Sum","Item Ledger Entry","Quantity","Entry Type","Purchase","Entry No.",I2004,"Location Code",$L$7)</t>
  </si>
  <si>
    <t>=NL("Sum","Item Ledger Entry","Quantity","Entry Type","Purchase","Entry No.",I2005,"Location Code",$L$7)</t>
  </si>
  <si>
    <t>=NL("Sum","Item Ledger Entry","Quantity","Entry Type","Purchase","Entry No.",I2006,"Location Code",$L$7)</t>
  </si>
  <si>
    <t>=NL("Sum","Item Ledger Entry","Quantity","Entry Type","Purchase","Entry No.",I2007,"Location Code",$L$7)</t>
  </si>
  <si>
    <t>=NL("Sum","Item Ledger Entry","Quantity","Entry Type","Purchase","Entry No.",I2008,"Location Code",$L$7)</t>
  </si>
  <si>
    <t>=NL("Sum","Item Ledger Entry","Quantity","Entry Type","Purchase","Entry No.",I2009,"Location Code",$L$7)</t>
  </si>
  <si>
    <t>=NL("Sum","Item Ledger Entry","Quantity","Entry Type","Purchase","Entry No.",I2010,"Location Code",$L$7)</t>
  </si>
  <si>
    <t>=NL("Sum","Item Ledger Entry","Quantity","Entry Type","Sale","Entry No.",I1984,"Location Code",$L$7)</t>
  </si>
  <si>
    <t>=NL("Sum","Item Ledger Entry","Quantity","Entry Type","Sale","Entry No.",I1985,"Location Code",$L$7)</t>
  </si>
  <si>
    <t>=NL("Sum","Item Ledger Entry","Quantity","Entry Type","Sale","Entry No.",I1986,"Location Code",$L$7)</t>
  </si>
  <si>
    <t>=NL("Sum","Item Ledger Entry","Quantity","Entry Type","Sale","Entry No.",I1987,"Location Code",$L$7)</t>
  </si>
  <si>
    <t>=NL("Sum","Item Ledger Entry","Quantity","Entry Type","Sale","Entry No.",I1988,"Location Code",$L$7)</t>
  </si>
  <si>
    <t>=NL("Sum","Item Ledger Entry","Quantity","Entry Type","Sale","Entry No.",I1989,"Location Code",$L$7)</t>
  </si>
  <si>
    <t>=NL("Sum","Item Ledger Entry","Quantity","Entry Type","Sale","Entry No.",I1990,"Location Code",$L$7)</t>
  </si>
  <si>
    <t>=NL("Sum","Item Ledger Entry","Quantity","Entry Type","Sale","Entry No.",I1991,"Location Code",$L$7)</t>
  </si>
  <si>
    <t>=NL("Sum","Item Ledger Entry","Quantity","Entry Type","Sale","Entry No.",I1992,"Location Code",$L$7)</t>
  </si>
  <si>
    <t>=NL("Sum","Item Ledger Entry","Quantity","Entry Type","Sale","Entry No.",I1993,"Location Code",$L$7)</t>
  </si>
  <si>
    <t>=NL("Sum","Item Ledger Entry","Quantity","Entry Type","Sale","Entry No.",I1994,"Location Code",$L$7)</t>
  </si>
  <si>
    <t>=NL("Sum","Item Ledger Entry","Quantity","Entry Type","Sale","Entry No.",I1995,"Location Code",$L$7)</t>
  </si>
  <si>
    <t>=NL("Sum","Item Ledger Entry","Quantity","Entry Type","Sale","Entry No.",I1996,"Location Code",$L$7)</t>
  </si>
  <si>
    <t>=NL("Sum","Item Ledger Entry","Quantity","Entry Type","Sale","Entry No.",I1997,"Location Code",$L$7)</t>
  </si>
  <si>
    <t>=NL("Sum","Item Ledger Entry","Quantity","Entry Type","Sale","Entry No.",I1998,"Location Code",$L$7)</t>
  </si>
  <si>
    <t>=NL("Sum","Item Ledger Entry","Quantity","Entry Type","Sale","Entry No.",I1999,"Location Code",$L$7)</t>
  </si>
  <si>
    <t>=NL("Sum","Item Ledger Entry","Quantity","Entry Type","Sale","Entry No.",I2000,"Location Code",$L$7)</t>
  </si>
  <si>
    <t>=NL("Sum","Item Ledger Entry","Quantity","Entry Type","Sale","Entry No.",I2001,"Location Code",$L$7)</t>
  </si>
  <si>
    <t>=NL("Sum","Item Ledger Entry","Quantity","Entry Type","Sale","Entry No.",I2002,"Location Code",$L$7)</t>
  </si>
  <si>
    <t>=NL("Sum","Item Ledger Entry","Quantity","Entry Type","Sale","Entry No.",I2003,"Location Code",$L$7)</t>
  </si>
  <si>
    <t>=NL("Sum","Item Ledger Entry","Quantity","Entry Type","Sale","Entry No.",I2004,"Location Code",$L$7)</t>
  </si>
  <si>
    <t>=NL("Sum","Item Ledger Entry","Quantity","Entry Type","Sale","Entry No.",I2005,"Location Code",$L$7)</t>
  </si>
  <si>
    <t>=NL("Sum","Item Ledger Entry","Quantity","Entry Type","Sale","Entry No.",I2006,"Location Code",$L$7)</t>
  </si>
  <si>
    <t>=NL("Sum","Item Ledger Entry","Quantity","Entry Type","Sale","Entry No.",I2007,"Location Code",$L$7)</t>
  </si>
  <si>
    <t>=NL("Sum","Item Ledger Entry","Quantity","Entry Type","Sale","Entry No.",I2008,"Location Code",$L$7)</t>
  </si>
  <si>
    <t>=NL("Sum","Item Ledger Entry","Quantity","Entry Type","Sale","Entry No.",I2009,"Location Code",$L$7)</t>
  </si>
  <si>
    <t>=NL("Sum","Item Ledger Entry","Quantity","Entry Type","Sale","Entry No.",I2010,"Location Code",$L$7)</t>
  </si>
  <si>
    <t>=NL("Sum","Item Ledger Entry","Quantity","Entry Type","Positive Adjmt.|Negative Adjmt.","Entry No.",I1984,"Location Code",$L$7)</t>
  </si>
  <si>
    <t>=NL("Sum","Item Ledger Entry","Quantity","Entry Type","Positive Adjmt.|Negative Adjmt.","Entry No.",I1985,"Location Code",$L$7)</t>
  </si>
  <si>
    <t>=NL("Sum","Item Ledger Entry","Quantity","Entry Type","Positive Adjmt.|Negative Adjmt.","Entry No.",I1986,"Location Code",$L$7)</t>
  </si>
  <si>
    <t>=NL("Sum","Item Ledger Entry","Quantity","Entry Type","Positive Adjmt.|Negative Adjmt.","Entry No.",I1987,"Location Code",$L$7)</t>
  </si>
  <si>
    <t>=NL("Sum","Item Ledger Entry","Quantity","Entry Type","Positive Adjmt.|Negative Adjmt.","Entry No.",I1988,"Location Code",$L$7)</t>
  </si>
  <si>
    <t>=NL("Sum","Item Ledger Entry","Quantity","Entry Type","Positive Adjmt.|Negative Adjmt.","Entry No.",I1989,"Location Code",$L$7)</t>
  </si>
  <si>
    <t>=NL("Sum","Item Ledger Entry","Quantity","Entry Type","Positive Adjmt.|Negative Adjmt.","Entry No.",I1990,"Location Code",$L$7)</t>
  </si>
  <si>
    <t>=NL("Sum","Item Ledger Entry","Quantity","Entry Type","Positive Adjmt.|Negative Adjmt.","Entry No.",I1991,"Location Code",$L$7)</t>
  </si>
  <si>
    <t>=NL("Sum","Item Ledger Entry","Quantity","Entry Type","Positive Adjmt.|Negative Adjmt.","Entry No.",I1992,"Location Code",$L$7)</t>
  </si>
  <si>
    <t>=NL("Sum","Item Ledger Entry","Quantity","Entry Type","Positive Adjmt.|Negative Adjmt.","Entry No.",I1993,"Location Code",$L$7)</t>
  </si>
  <si>
    <t>=NL("Sum","Item Ledger Entry","Quantity","Entry Type","Positive Adjmt.|Negative Adjmt.","Entry No.",I1994,"Location Code",$L$7)</t>
  </si>
  <si>
    <t>=NL("Sum","Item Ledger Entry","Quantity","Entry Type","Positive Adjmt.|Negative Adjmt.","Entry No.",I1995,"Location Code",$L$7)</t>
  </si>
  <si>
    <t>=NL("Sum","Item Ledger Entry","Quantity","Entry Type","Positive Adjmt.|Negative Adjmt.","Entry No.",I1996,"Location Code",$L$7)</t>
  </si>
  <si>
    <t>=NL("Sum","Item Ledger Entry","Quantity","Entry Type","Positive Adjmt.|Negative Adjmt.","Entry No.",I1997,"Location Code",$L$7)</t>
  </si>
  <si>
    <t>=NL("Sum","Item Ledger Entry","Quantity","Entry Type","Positive Adjmt.|Negative Adjmt.","Entry No.",I1998,"Location Code",$L$7)</t>
  </si>
  <si>
    <t>=NL("Sum","Item Ledger Entry","Quantity","Entry Type","Positive Adjmt.|Negative Adjmt.","Entry No.",I1999,"Location Code",$L$7)</t>
  </si>
  <si>
    <t>=NL("Sum","Item Ledger Entry","Quantity","Entry Type","Positive Adjmt.|Negative Adjmt.","Entry No.",I2000,"Location Code",$L$7)</t>
  </si>
  <si>
    <t>=NL("Sum","Item Ledger Entry","Quantity","Entry Type","Positive Adjmt.|Negative Adjmt.","Entry No.",I2001,"Location Code",$L$7)</t>
  </si>
  <si>
    <t>=NL("Sum","Item Ledger Entry","Quantity","Entry Type","Positive Adjmt.|Negative Adjmt.","Entry No.",I2002,"Location Code",$L$7)</t>
  </si>
  <si>
    <t>=NL("Sum","Item Ledger Entry","Quantity","Entry Type","Positive Adjmt.|Negative Adjmt.","Entry No.",I2003,"Location Code",$L$7)</t>
  </si>
  <si>
    <t>=NL("Sum","Item Ledger Entry","Quantity","Entry Type","Positive Adjmt.|Negative Adjmt.","Entry No.",I2004,"Location Code",$L$7)</t>
  </si>
  <si>
    <t>=NL("Sum","Item Ledger Entry","Quantity","Entry Type","Positive Adjmt.|Negative Adjmt.","Entry No.",I2005,"Location Code",$L$7)</t>
  </si>
  <si>
    <t>=NL("Sum","Item Ledger Entry","Quantity","Entry Type","Positive Adjmt.|Negative Adjmt.","Entry No.",I2006,"Location Code",$L$7)</t>
  </si>
  <si>
    <t>=NL("Sum","Item Ledger Entry","Quantity","Entry Type","Positive Adjmt.|Negative Adjmt.","Entry No.",I2007,"Location Code",$L$7)</t>
  </si>
  <si>
    <t>=NL("Sum","Item Ledger Entry","Quantity","Entry Type","Positive Adjmt.|Negative Adjmt.","Entry No.",I2008,"Location Code",$L$7)</t>
  </si>
  <si>
    <t>=NL("Sum","Item Ledger Entry","Quantity","Entry Type","Positive Adjmt.|Negative Adjmt.","Entry No.",I2009,"Location Code",$L$7)</t>
  </si>
  <si>
    <t>=NL("Sum","Item Ledger Entry","Quantity","Entry Type","Positive Adjmt.|Negative Adjmt.","Entry No.",I2010,"Location Code",$L$7)</t>
  </si>
  <si>
    <t>=NL("Sum","Item Ledger Entry","Quantity","Entry Type","Transfer","Entry No.",I1984,"Location Code",$L$7)</t>
  </si>
  <si>
    <t>=NL("Sum","Item Ledger Entry","Quantity","Entry Type","Transfer","Entry No.",I1985,"Location Code",$L$7)</t>
  </si>
  <si>
    <t>=NL("Sum","Item Ledger Entry","Quantity","Entry Type","Transfer","Entry No.",I1986,"Location Code",$L$7)</t>
  </si>
  <si>
    <t>=NL("Sum","Item Ledger Entry","Quantity","Entry Type","Transfer","Entry No.",I1987,"Location Code",$L$7)</t>
  </si>
  <si>
    <t>=NL("Sum","Item Ledger Entry","Quantity","Entry Type","Transfer","Entry No.",I1988,"Location Code",$L$7)</t>
  </si>
  <si>
    <t>=NL("Sum","Item Ledger Entry","Quantity","Entry Type","Transfer","Entry No.",I1989,"Location Code",$L$7)</t>
  </si>
  <si>
    <t>=NL("Sum","Item Ledger Entry","Quantity","Entry Type","Transfer","Entry No.",I1990,"Location Code",$L$7)</t>
  </si>
  <si>
    <t>=NL("Sum","Item Ledger Entry","Quantity","Entry Type","Transfer","Entry No.",I1991,"Location Code",$L$7)</t>
  </si>
  <si>
    <t>=NL("Sum","Item Ledger Entry","Quantity","Entry Type","Transfer","Entry No.",I1992,"Location Code",$L$7)</t>
  </si>
  <si>
    <t>=NL("Sum","Item Ledger Entry","Quantity","Entry Type","Transfer","Entry No.",I1993,"Location Code",$L$7)</t>
  </si>
  <si>
    <t>=NL("Sum","Item Ledger Entry","Quantity","Entry Type","Transfer","Entry No.",I1994,"Location Code",$L$7)</t>
  </si>
  <si>
    <t>=NL("Sum","Item Ledger Entry","Quantity","Entry Type","Transfer","Entry No.",I1995,"Location Code",$L$7)</t>
  </si>
  <si>
    <t>=NL("Sum","Item Ledger Entry","Quantity","Entry Type","Transfer","Entry No.",I1996,"Location Code",$L$7)</t>
  </si>
  <si>
    <t>=NL("Sum","Item Ledger Entry","Quantity","Entry Type","Transfer","Entry No.",I1997,"Location Code",$L$7)</t>
  </si>
  <si>
    <t>=NL("Sum","Item Ledger Entry","Quantity","Entry Type","Transfer","Entry No.",I1998,"Location Code",$L$7)</t>
  </si>
  <si>
    <t>=NL("Sum","Item Ledger Entry","Quantity","Entry Type","Transfer","Entry No.",I1999,"Location Code",$L$7)</t>
  </si>
  <si>
    <t>=NL("Sum","Item Ledger Entry","Quantity","Entry Type","Transfer","Entry No.",I2000,"Location Code",$L$7)</t>
  </si>
  <si>
    <t>=NL("Sum","Item Ledger Entry","Quantity","Entry Type","Transfer","Entry No.",I2001,"Location Code",$L$7)</t>
  </si>
  <si>
    <t>=NL("Sum","Item Ledger Entry","Quantity","Entry Type","Transfer","Entry No.",I2002,"Location Code",$L$7)</t>
  </si>
  <si>
    <t>=NL("Sum","Item Ledger Entry","Quantity","Entry Type","Transfer","Entry No.",I2003,"Location Code",$L$7)</t>
  </si>
  <si>
    <t>=NL("Sum","Item Ledger Entry","Quantity","Entry Type","Transfer","Entry No.",I2004,"Location Code",$L$7)</t>
  </si>
  <si>
    <t>=NL("Sum","Item Ledger Entry","Quantity","Entry Type","Transfer","Entry No.",I2005,"Location Code",$L$7)</t>
  </si>
  <si>
    <t>=NL("Sum","Item Ledger Entry","Quantity","Entry Type","Transfer","Entry No.",I2006,"Location Code",$L$7)</t>
  </si>
  <si>
    <t>=NL("Sum","Item Ledger Entry","Quantity","Entry Type","Transfer","Entry No.",I2007,"Location Code",$L$7)</t>
  </si>
  <si>
    <t>=NL("Sum","Item Ledger Entry","Quantity","Entry Type","Transfer","Entry No.",I2008,"Location Code",$L$7)</t>
  </si>
  <si>
    <t>=NL("Sum","Item Ledger Entry","Quantity","Entry Type","Transfer","Entry No.",I2009,"Location Code",$L$7)</t>
  </si>
  <si>
    <t>=NL("Sum","Item Ledger Entry","Quantity","Entry Type","Transfer","Entry No.",I2010,"Location Code",$L$7)</t>
  </si>
  <si>
    <t>=NL("Sum","Item Ledger Entry","Quantity","Entry Type","Consumption","Entry No.",I1984,"Location Code",$L$7)</t>
  </si>
  <si>
    <t>=NL("Sum","Item Ledger Entry","Quantity","Entry Type","Consumption","Entry No.",I1985,"Location Code",$L$7)</t>
  </si>
  <si>
    <t>=NL("Sum","Item Ledger Entry","Quantity","Entry Type","Consumption","Entry No.",I1986,"Location Code",$L$7)</t>
  </si>
  <si>
    <t>=NL("Sum","Item Ledger Entry","Quantity","Entry Type","Consumption","Entry No.",I1987,"Location Code",$L$7)</t>
  </si>
  <si>
    <t>=NL("Sum","Item Ledger Entry","Quantity","Entry Type","Consumption","Entry No.",I1988,"Location Code",$L$7)</t>
  </si>
  <si>
    <t>=NL("Sum","Item Ledger Entry","Quantity","Entry Type","Consumption","Entry No.",I1989,"Location Code",$L$7)</t>
  </si>
  <si>
    <t>=NL("Sum","Item Ledger Entry","Quantity","Entry Type","Consumption","Entry No.",I1990,"Location Code",$L$7)</t>
  </si>
  <si>
    <t>=NL("Sum","Item Ledger Entry","Quantity","Entry Type","Consumption","Entry No.",I1991,"Location Code",$L$7)</t>
  </si>
  <si>
    <t>=NL("Sum","Item Ledger Entry","Quantity","Entry Type","Consumption","Entry No.",I1992,"Location Code",$L$7)</t>
  </si>
  <si>
    <t>=NL("Sum","Item Ledger Entry","Quantity","Entry Type","Consumption","Entry No.",I1993,"Location Code",$L$7)</t>
  </si>
  <si>
    <t>=NL("Sum","Item Ledger Entry","Quantity","Entry Type","Consumption","Entry No.",I1994,"Location Code",$L$7)</t>
  </si>
  <si>
    <t>=NL("Sum","Item Ledger Entry","Quantity","Entry Type","Consumption","Entry No.",I1995,"Location Code",$L$7)</t>
  </si>
  <si>
    <t>=NL("Sum","Item Ledger Entry","Quantity","Entry Type","Consumption","Entry No.",I1996,"Location Code",$L$7)</t>
  </si>
  <si>
    <t>=NL("Sum","Item Ledger Entry","Quantity","Entry Type","Consumption","Entry No.",I1997,"Location Code",$L$7)</t>
  </si>
  <si>
    <t>=NL("Sum","Item Ledger Entry","Quantity","Entry Type","Consumption","Entry No.",I1998,"Location Code",$L$7)</t>
  </si>
  <si>
    <t>=NL("Sum","Item Ledger Entry","Quantity","Entry Type","Consumption","Entry No.",I1999,"Location Code",$L$7)</t>
  </si>
  <si>
    <t>=NL("Sum","Item Ledger Entry","Quantity","Entry Type","Consumption","Entry No.",I2000,"Location Code",$L$7)</t>
  </si>
  <si>
    <t>=NL("Sum","Item Ledger Entry","Quantity","Entry Type","Consumption","Entry No.",I2001,"Location Code",$L$7)</t>
  </si>
  <si>
    <t>=NL("Sum","Item Ledger Entry","Quantity","Entry Type","Consumption","Entry No.",I2002,"Location Code",$L$7)</t>
  </si>
  <si>
    <t>=NL("Sum","Item Ledger Entry","Quantity","Entry Type","Consumption","Entry No.",I2003,"Location Code",$L$7)</t>
  </si>
  <si>
    <t>=NL("Sum","Item Ledger Entry","Quantity","Entry Type","Consumption","Entry No.",I2004,"Location Code",$L$7)</t>
  </si>
  <si>
    <t>=NL("Sum","Item Ledger Entry","Quantity","Entry Type","Consumption","Entry No.",I2005,"Location Code",$L$7)</t>
  </si>
  <si>
    <t>=NL("Sum","Item Ledger Entry","Quantity","Entry Type","Consumption","Entry No.",I2006,"Location Code",$L$7)</t>
  </si>
  <si>
    <t>=NL("Sum","Item Ledger Entry","Quantity","Entry Type","Consumption","Entry No.",I2007,"Location Code",$L$7)</t>
  </si>
  <si>
    <t>=NL("Sum","Item Ledger Entry","Quantity","Entry Type","Consumption","Entry No.",I2008,"Location Code",$L$7)</t>
  </si>
  <si>
    <t>=NL("Sum","Item Ledger Entry","Quantity","Entry Type","Consumption","Entry No.",I2009,"Location Code",$L$7)</t>
  </si>
  <si>
    <t>=NL("Sum","Item Ledger Entry","Quantity","Entry Type","Consumption","Entry No.",I2010,"Location Code",$L$7)</t>
  </si>
  <si>
    <t>=NL("Sum","Item Ledger Entry","Quantity","Entry Type","Output","Entry No.",I1984,"Location Code",$L$7)</t>
  </si>
  <si>
    <t>=NL("Sum","Item Ledger Entry","Quantity","Entry Type","Output","Entry No.",I1985,"Location Code",$L$7)</t>
  </si>
  <si>
    <t>=NL("Sum","Item Ledger Entry","Quantity","Entry Type","Output","Entry No.",I1986,"Location Code",$L$7)</t>
  </si>
  <si>
    <t>=NL("Sum","Item Ledger Entry","Quantity","Entry Type","Output","Entry No.",I1987,"Location Code",$L$7)</t>
  </si>
  <si>
    <t>=NL("Sum","Item Ledger Entry","Quantity","Entry Type","Output","Entry No.",I1988,"Location Code",$L$7)</t>
  </si>
  <si>
    <t>=NL("Sum","Item Ledger Entry","Quantity","Entry Type","Output","Entry No.",I1989,"Location Code",$L$7)</t>
  </si>
  <si>
    <t>=NL("Sum","Item Ledger Entry","Quantity","Entry Type","Output","Entry No.",I1990,"Location Code",$L$7)</t>
  </si>
  <si>
    <t>=NL("Sum","Item Ledger Entry","Quantity","Entry Type","Output","Entry No.",I1991,"Location Code",$L$7)</t>
  </si>
  <si>
    <t>=NL("Sum","Item Ledger Entry","Quantity","Entry Type","Output","Entry No.",I1992,"Location Code",$L$7)</t>
  </si>
  <si>
    <t>=NL("Sum","Item Ledger Entry","Quantity","Entry Type","Output","Entry No.",I1993,"Location Code",$L$7)</t>
  </si>
  <si>
    <t>=NL("Sum","Item Ledger Entry","Quantity","Entry Type","Output","Entry No.",I1994,"Location Code",$L$7)</t>
  </si>
  <si>
    <t>=NL("Sum","Item Ledger Entry","Quantity","Entry Type","Output","Entry No.",I1995,"Location Code",$L$7)</t>
  </si>
  <si>
    <t>=NL("Sum","Item Ledger Entry","Quantity","Entry Type","Output","Entry No.",I1996,"Location Code",$L$7)</t>
  </si>
  <si>
    <t>=NL("Sum","Item Ledger Entry","Quantity","Entry Type","Output","Entry No.",I1997,"Location Code",$L$7)</t>
  </si>
  <si>
    <t>=NL("Sum","Item Ledger Entry","Quantity","Entry Type","Output","Entry No.",I1998,"Location Code",$L$7)</t>
  </si>
  <si>
    <t>=NL("Sum","Item Ledger Entry","Quantity","Entry Type","Output","Entry No.",I1999,"Location Code",$L$7)</t>
  </si>
  <si>
    <t>=NL("Sum","Item Ledger Entry","Quantity","Entry Type","Output","Entry No.",I2000,"Location Code",$L$7)</t>
  </si>
  <si>
    <t>=NL("Sum","Item Ledger Entry","Quantity","Entry Type","Output","Entry No.",I2001,"Location Code",$L$7)</t>
  </si>
  <si>
    <t>=NL("Sum","Item Ledger Entry","Quantity","Entry Type","Output","Entry No.",I2002,"Location Code",$L$7)</t>
  </si>
  <si>
    <t>=NL("Sum","Item Ledger Entry","Quantity","Entry Type","Output","Entry No.",I2003,"Location Code",$L$7)</t>
  </si>
  <si>
    <t>=NL("Sum","Item Ledger Entry","Quantity","Entry Type","Output","Entry No.",I2004,"Location Code",$L$7)</t>
  </si>
  <si>
    <t>=NL("Sum","Item Ledger Entry","Quantity","Entry Type","Output","Entry No.",I2005,"Location Code",$L$7)</t>
  </si>
  <si>
    <t>=NL("Sum","Item Ledger Entry","Quantity","Entry Type","Output","Entry No.",I2006,"Location Code",$L$7)</t>
  </si>
  <si>
    <t>=NL("Sum","Item Ledger Entry","Quantity","Entry Type","Output","Entry No.",I2007,"Location Code",$L$7)</t>
  </si>
  <si>
    <t>=NL("Sum","Item Ledger Entry","Quantity","Entry Type","Output","Entry No.",I2008,"Location Code",$L$7)</t>
  </si>
  <si>
    <t>=NL("Sum","Item Ledger Entry","Quantity","Entry Type","Output","Entry No.",I2009,"Location Code",$L$7)</t>
  </si>
  <si>
    <t>=NL("Sum","Item Ledger Entry","Quantity","Entry Type","Output","Entry No.",I2010,"Location Code",$L$7)</t>
  </si>
  <si>
    <t>=NF(G1984,"Source Type")</t>
  </si>
  <si>
    <t>=NF(G1985,"Source Type")</t>
  </si>
  <si>
    <t>=NF(G1986,"Source Type")</t>
  </si>
  <si>
    <t>=NF(G1987,"Source Type")</t>
  </si>
  <si>
    <t>=NF(G1988,"Source Type")</t>
  </si>
  <si>
    <t>=NF(G1989,"Source Type")</t>
  </si>
  <si>
    <t>=NF(G1990,"Source Type")</t>
  </si>
  <si>
    <t>=NF(G1991,"Source Type")</t>
  </si>
  <si>
    <t>=NF(G1992,"Source Type")</t>
  </si>
  <si>
    <t>=NF(G1993,"Source Type")</t>
  </si>
  <si>
    <t>=NF(G1994,"Source Type")</t>
  </si>
  <si>
    <t>=NF(G1995,"Source Type")</t>
  </si>
  <si>
    <t>=NF(G1996,"Source Type")</t>
  </si>
  <si>
    <t>=NF(G1997,"Source Type")</t>
  </si>
  <si>
    <t>=NF(G1998,"Source Type")</t>
  </si>
  <si>
    <t>=NF(G1999,"Source Type")</t>
  </si>
  <si>
    <t>=NF(G2000,"Source Type")</t>
  </si>
  <si>
    <t>=NF(G2001,"Source Type")</t>
  </si>
  <si>
    <t>=NF(G2002,"Source Type")</t>
  </si>
  <si>
    <t>=NF(G2003,"Source Type")</t>
  </si>
  <si>
    <t>=NF(G2004,"Source Type")</t>
  </si>
  <si>
    <t>=NF(G2005,"Source Type")</t>
  </si>
  <si>
    <t>=NF(G2006,"Source Type")</t>
  </si>
  <si>
    <t>=NF(G2007,"Source Type")</t>
  </si>
  <si>
    <t>=NF(G2008,"Source Type")</t>
  </si>
  <si>
    <t>=NF(G2009,"Source Type")</t>
  </si>
  <si>
    <t>=NF(G2010,"Source Type")</t>
  </si>
  <si>
    <t>=NF($G1984,"Source No.")</t>
  </si>
  <si>
    <t>=NF($G1985,"Source No.")</t>
  </si>
  <si>
    <t>=NF($G1986,"Source No.")</t>
  </si>
  <si>
    <t>=NF($G1987,"Source No.")</t>
  </si>
  <si>
    <t>=NF($G1988,"Source No.")</t>
  </si>
  <si>
    <t>=NF($G1989,"Source No.")</t>
  </si>
  <si>
    <t>=NF($G1990,"Source No.")</t>
  </si>
  <si>
    <t>=NF($G1991,"Source No.")</t>
  </si>
  <si>
    <t>=NF($G1992,"Source No.")</t>
  </si>
  <si>
    <t>=NF($G1993,"Source No.")</t>
  </si>
  <si>
    <t>=NF($G1994,"Source No.")</t>
  </si>
  <si>
    <t>=NF($G1995,"Source No.")</t>
  </si>
  <si>
    <t>=NF($G1996,"Source No.")</t>
  </si>
  <si>
    <t>=NF($G1997,"Source No.")</t>
  </si>
  <si>
    <t>=NF($G1998,"Source No.")</t>
  </si>
  <si>
    <t>=NF($G1999,"Source No.")</t>
  </si>
  <si>
    <t>=NF($G2000,"Source No.")</t>
  </si>
  <si>
    <t>=NF($G2001,"Source No.")</t>
  </si>
  <si>
    <t>=NF($G2002,"Source No.")</t>
  </si>
  <si>
    <t>=NF($G2003,"Source No.")</t>
  </si>
  <si>
    <t>=NF($G2004,"Source No.")</t>
  </si>
  <si>
    <t>=NF($G2005,"Source No.")</t>
  </si>
  <si>
    <t>=NF($G2006,"Source No.")</t>
  </si>
  <si>
    <t>=NF($G2007,"Source No.")</t>
  </si>
  <si>
    <t>=NF($G2008,"Source No.")</t>
  </si>
  <si>
    <t>=NF($G2009,"Source No.")</t>
  </si>
  <si>
    <t>=NF($G2010,"Source No.")</t>
  </si>
  <si>
    <t>=NF($G1955,"Posting Date")</t>
  </si>
  <si>
    <t>=NF($G1956,"Posting Date")</t>
  </si>
  <si>
    <t>=NF($G1957,"Posting Date")</t>
  </si>
  <si>
    <t>=NF($G1958,"Posting Date")</t>
  </si>
  <si>
    <t>=NF($G1959,"Posting Date")</t>
  </si>
  <si>
    <t>=NF($G1960,"Posting Date")</t>
  </si>
  <si>
    <t>=NF($G1961,"Posting Date")</t>
  </si>
  <si>
    <t>=NF($G1962,"Posting Date")</t>
  </si>
  <si>
    <t>=NF($G1963,"Posting Date")</t>
  </si>
  <si>
    <t>=NF($G1964,"Posting Date")</t>
  </si>
  <si>
    <t>=NF($G1965,"Posting Date")</t>
  </si>
  <si>
    <t>=NF($G1966,"Posting Date")</t>
  </si>
  <si>
    <t>=NF($G1967,"Posting Date")</t>
  </si>
  <si>
    <t>=NF($G1968,"Posting Date")</t>
  </si>
  <si>
    <t>=NF($G1969,"Posting Date")</t>
  </si>
  <si>
    <t>=NF($G1970,"Posting Date")</t>
  </si>
  <si>
    <t>=NF($G1971,"Posting Date")</t>
  </si>
  <si>
    <t>=NF($G1972,"Posting Date")</t>
  </si>
  <si>
    <t>=NF($G1973,"Posting Date")</t>
  </si>
  <si>
    <t>=NF($G1974,"Posting Date")</t>
  </si>
  <si>
    <t>=NF($G1975,"Posting Date")</t>
  </si>
  <si>
    <t>=NF($G1976,"Posting Date")</t>
  </si>
  <si>
    <t>=NF($G1977,"Posting Date")</t>
  </si>
  <si>
    <t>=NF($G1978,"Posting Date")</t>
  </si>
  <si>
    <t>=NF($G1979,"Posting Date")</t>
  </si>
  <si>
    <t>=NF($G1980,"Posting Date")</t>
  </si>
  <si>
    <t>=NF($G1955,"Entry No.")</t>
  </si>
  <si>
    <t>=NF($G1956,"Entry No.")</t>
  </si>
  <si>
    <t>=NF($G1957,"Entry No.")</t>
  </si>
  <si>
    <t>=NF($G1958,"Entry No.")</t>
  </si>
  <si>
    <t>=NF($G1959,"Entry No.")</t>
  </si>
  <si>
    <t>=NF($G1960,"Entry No.")</t>
  </si>
  <si>
    <t>=NF($G1961,"Entry No.")</t>
  </si>
  <si>
    <t>=NF($G1962,"Entry No.")</t>
  </si>
  <si>
    <t>=NF($G1963,"Entry No.")</t>
  </si>
  <si>
    <t>=NF($G1964,"Entry No.")</t>
  </si>
  <si>
    <t>=NF($G1965,"Entry No.")</t>
  </si>
  <si>
    <t>=NF($G1966,"Entry No.")</t>
  </si>
  <si>
    <t>=NF($G1967,"Entry No.")</t>
  </si>
  <si>
    <t>=NF($G1968,"Entry No.")</t>
  </si>
  <si>
    <t>=NF($G1969,"Entry No.")</t>
  </si>
  <si>
    <t>=NF($G1970,"Entry No.")</t>
  </si>
  <si>
    <t>=NF($G1971,"Entry No.")</t>
  </si>
  <si>
    <t>=NF($G1972,"Entry No.")</t>
  </si>
  <si>
    <t>=NF($G1973,"Entry No.")</t>
  </si>
  <si>
    <t>=NF($G1974,"Entry No.")</t>
  </si>
  <si>
    <t>=NF($G1975,"Entry No.")</t>
  </si>
  <si>
    <t>=NF($G1976,"Entry No.")</t>
  </si>
  <si>
    <t>=NF($G1977,"Entry No.")</t>
  </si>
  <si>
    <t>=NF($G1978,"Entry No.")</t>
  </si>
  <si>
    <t>=NF($G1979,"Entry No.")</t>
  </si>
  <si>
    <t>=NF($G1980,"Entry No.")</t>
  </si>
  <si>
    <t>=NL("Sum","Item Ledger Entry","Quantity","Entry Type","Purchase","Entry No.",I1955,"Location Code",$L$7)</t>
  </si>
  <si>
    <t>=NL("Sum","Item Ledger Entry","Quantity","Entry Type","Purchase","Entry No.",I1956,"Location Code",$L$7)</t>
  </si>
  <si>
    <t>=NL("Sum","Item Ledger Entry","Quantity","Entry Type","Purchase","Entry No.",I1957,"Location Code",$L$7)</t>
  </si>
  <si>
    <t>=NL("Sum","Item Ledger Entry","Quantity","Entry Type","Purchase","Entry No.",I1958,"Location Code",$L$7)</t>
  </si>
  <si>
    <t>=NL("Sum","Item Ledger Entry","Quantity","Entry Type","Purchase","Entry No.",I1959,"Location Code",$L$7)</t>
  </si>
  <si>
    <t>=NL("Sum","Item Ledger Entry","Quantity","Entry Type","Purchase","Entry No.",I1960,"Location Code",$L$7)</t>
  </si>
  <si>
    <t>=NL("Sum","Item Ledger Entry","Quantity","Entry Type","Purchase","Entry No.",I1961,"Location Code",$L$7)</t>
  </si>
  <si>
    <t>=NL("Sum","Item Ledger Entry","Quantity","Entry Type","Purchase","Entry No.",I1962,"Location Code",$L$7)</t>
  </si>
  <si>
    <t>=NL("Sum","Item Ledger Entry","Quantity","Entry Type","Purchase","Entry No.",I1963,"Location Code",$L$7)</t>
  </si>
  <si>
    <t>=NL("Sum","Item Ledger Entry","Quantity","Entry Type","Purchase","Entry No.",I1964,"Location Code",$L$7)</t>
  </si>
  <si>
    <t>=NL("Sum","Item Ledger Entry","Quantity","Entry Type","Purchase","Entry No.",I1965,"Location Code",$L$7)</t>
  </si>
  <si>
    <t>=NL("Sum","Item Ledger Entry","Quantity","Entry Type","Purchase","Entry No.",I1966,"Location Code",$L$7)</t>
  </si>
  <si>
    <t>=NL("Sum","Item Ledger Entry","Quantity","Entry Type","Purchase","Entry No.",I1967,"Location Code",$L$7)</t>
  </si>
  <si>
    <t>=NL("Sum","Item Ledger Entry","Quantity","Entry Type","Purchase","Entry No.",I1968,"Location Code",$L$7)</t>
  </si>
  <si>
    <t>=NL("Sum","Item Ledger Entry","Quantity","Entry Type","Purchase","Entry No.",I1969,"Location Code",$L$7)</t>
  </si>
  <si>
    <t>=NL("Sum","Item Ledger Entry","Quantity","Entry Type","Purchase","Entry No.",I1970,"Location Code",$L$7)</t>
  </si>
  <si>
    <t>=NL("Sum","Item Ledger Entry","Quantity","Entry Type","Purchase","Entry No.",I1971,"Location Code",$L$7)</t>
  </si>
  <si>
    <t>=NL("Sum","Item Ledger Entry","Quantity","Entry Type","Purchase","Entry No.",I1972,"Location Code",$L$7)</t>
  </si>
  <si>
    <t>=NL("Sum","Item Ledger Entry","Quantity","Entry Type","Purchase","Entry No.",I1973,"Location Code",$L$7)</t>
  </si>
  <si>
    <t>=NL("Sum","Item Ledger Entry","Quantity","Entry Type","Purchase","Entry No.",I1974,"Location Code",$L$7)</t>
  </si>
  <si>
    <t>=NL("Sum","Item Ledger Entry","Quantity","Entry Type","Purchase","Entry No.",I1975,"Location Code",$L$7)</t>
  </si>
  <si>
    <t>=NL("Sum","Item Ledger Entry","Quantity","Entry Type","Purchase","Entry No.",I1976,"Location Code",$L$7)</t>
  </si>
  <si>
    <t>=NL("Sum","Item Ledger Entry","Quantity","Entry Type","Purchase","Entry No.",I1977,"Location Code",$L$7)</t>
  </si>
  <si>
    <t>=NL("Sum","Item Ledger Entry","Quantity","Entry Type","Purchase","Entry No.",I1978,"Location Code",$L$7)</t>
  </si>
  <si>
    <t>=NL("Sum","Item Ledger Entry","Quantity","Entry Type","Purchase","Entry No.",I1979,"Location Code",$L$7)</t>
  </si>
  <si>
    <t>=NL("Sum","Item Ledger Entry","Quantity","Entry Type","Purchase","Entry No.",I1980,"Location Code",$L$7)</t>
  </si>
  <si>
    <t>=NL("Sum","Item Ledger Entry","Quantity","Entry Type","Sale","Entry No.",I1955,"Location Code",$L$7)</t>
  </si>
  <si>
    <t>=NL("Sum","Item Ledger Entry","Quantity","Entry Type","Sale","Entry No.",I1956,"Location Code",$L$7)</t>
  </si>
  <si>
    <t>=NL("Sum","Item Ledger Entry","Quantity","Entry Type","Sale","Entry No.",I1957,"Location Code",$L$7)</t>
  </si>
  <si>
    <t>=NL("Sum","Item Ledger Entry","Quantity","Entry Type","Sale","Entry No.",I1958,"Location Code",$L$7)</t>
  </si>
  <si>
    <t>=NL("Sum","Item Ledger Entry","Quantity","Entry Type","Sale","Entry No.",I1959,"Location Code",$L$7)</t>
  </si>
  <si>
    <t>=NL("Sum","Item Ledger Entry","Quantity","Entry Type","Sale","Entry No.",I1960,"Location Code",$L$7)</t>
  </si>
  <si>
    <t>=NL("Sum","Item Ledger Entry","Quantity","Entry Type","Sale","Entry No.",I1961,"Location Code",$L$7)</t>
  </si>
  <si>
    <t>=NL("Sum","Item Ledger Entry","Quantity","Entry Type","Sale","Entry No.",I1962,"Location Code",$L$7)</t>
  </si>
  <si>
    <t>=NL("Sum","Item Ledger Entry","Quantity","Entry Type","Sale","Entry No.",I1963,"Location Code",$L$7)</t>
  </si>
  <si>
    <t>=NL("Sum","Item Ledger Entry","Quantity","Entry Type","Sale","Entry No.",I1964,"Location Code",$L$7)</t>
  </si>
  <si>
    <t>=NL("Sum","Item Ledger Entry","Quantity","Entry Type","Sale","Entry No.",I1965,"Location Code",$L$7)</t>
  </si>
  <si>
    <t>=NL("Sum","Item Ledger Entry","Quantity","Entry Type","Sale","Entry No.",I1966,"Location Code",$L$7)</t>
  </si>
  <si>
    <t>=NL("Sum","Item Ledger Entry","Quantity","Entry Type","Sale","Entry No.",I1967,"Location Code",$L$7)</t>
  </si>
  <si>
    <t>=NL("Sum","Item Ledger Entry","Quantity","Entry Type","Sale","Entry No.",I1968,"Location Code",$L$7)</t>
  </si>
  <si>
    <t>=NL("Sum","Item Ledger Entry","Quantity","Entry Type","Sale","Entry No.",I1969,"Location Code",$L$7)</t>
  </si>
  <si>
    <t>=NL("Sum","Item Ledger Entry","Quantity","Entry Type","Sale","Entry No.",I1970,"Location Code",$L$7)</t>
  </si>
  <si>
    <t>=NL("Sum","Item Ledger Entry","Quantity","Entry Type","Sale","Entry No.",I1971,"Location Code",$L$7)</t>
  </si>
  <si>
    <t>=NL("Sum","Item Ledger Entry","Quantity","Entry Type","Sale","Entry No.",I1972,"Location Code",$L$7)</t>
  </si>
  <si>
    <t>=NL("Sum","Item Ledger Entry","Quantity","Entry Type","Sale","Entry No.",I1973,"Location Code",$L$7)</t>
  </si>
  <si>
    <t>=NL("Sum","Item Ledger Entry","Quantity","Entry Type","Sale","Entry No.",I1974,"Location Code",$L$7)</t>
  </si>
  <si>
    <t>=NL("Sum","Item Ledger Entry","Quantity","Entry Type","Sale","Entry No.",I1975,"Location Code",$L$7)</t>
  </si>
  <si>
    <t>=NL("Sum","Item Ledger Entry","Quantity","Entry Type","Sale","Entry No.",I1976,"Location Code",$L$7)</t>
  </si>
  <si>
    <t>=NL("Sum","Item Ledger Entry","Quantity","Entry Type","Sale","Entry No.",I1977,"Location Code",$L$7)</t>
  </si>
  <si>
    <t>=NL("Sum","Item Ledger Entry","Quantity","Entry Type","Sale","Entry No.",I1978,"Location Code",$L$7)</t>
  </si>
  <si>
    <t>=NL("Sum","Item Ledger Entry","Quantity","Entry Type","Sale","Entry No.",I1979,"Location Code",$L$7)</t>
  </si>
  <si>
    <t>=NL("Sum","Item Ledger Entry","Quantity","Entry Type","Sale","Entry No.",I1980,"Location Code",$L$7)</t>
  </si>
  <si>
    <t>=NL("Sum","Item Ledger Entry","Quantity","Entry Type","Positive Adjmt.|Negative Adjmt.","Entry No.",I1955,"Location Code",$L$7)</t>
  </si>
  <si>
    <t>=NL("Sum","Item Ledger Entry","Quantity","Entry Type","Positive Adjmt.|Negative Adjmt.","Entry No.",I1956,"Location Code",$L$7)</t>
  </si>
  <si>
    <t>=NL("Sum","Item Ledger Entry","Quantity","Entry Type","Positive Adjmt.|Negative Adjmt.","Entry No.",I1957,"Location Code",$L$7)</t>
  </si>
  <si>
    <t>=NL("Sum","Item Ledger Entry","Quantity","Entry Type","Positive Adjmt.|Negative Adjmt.","Entry No.",I1958,"Location Code",$L$7)</t>
  </si>
  <si>
    <t>=NL("Sum","Item Ledger Entry","Quantity","Entry Type","Positive Adjmt.|Negative Adjmt.","Entry No.",I1959,"Location Code",$L$7)</t>
  </si>
  <si>
    <t>=NL("Sum","Item Ledger Entry","Quantity","Entry Type","Positive Adjmt.|Negative Adjmt.","Entry No.",I1960,"Location Code",$L$7)</t>
  </si>
  <si>
    <t>=NL("Sum","Item Ledger Entry","Quantity","Entry Type","Positive Adjmt.|Negative Adjmt.","Entry No.",I1961,"Location Code",$L$7)</t>
  </si>
  <si>
    <t>=NL("Sum","Item Ledger Entry","Quantity","Entry Type","Positive Adjmt.|Negative Adjmt.","Entry No.",I1962,"Location Code",$L$7)</t>
  </si>
  <si>
    <t>=NL("Sum","Item Ledger Entry","Quantity","Entry Type","Positive Adjmt.|Negative Adjmt.","Entry No.",I1963,"Location Code",$L$7)</t>
  </si>
  <si>
    <t>=NL("Sum","Item Ledger Entry","Quantity","Entry Type","Positive Adjmt.|Negative Adjmt.","Entry No.",I1964,"Location Code",$L$7)</t>
  </si>
  <si>
    <t>=NL("Sum","Item Ledger Entry","Quantity","Entry Type","Positive Adjmt.|Negative Adjmt.","Entry No.",I1965,"Location Code",$L$7)</t>
  </si>
  <si>
    <t>=NL("Sum","Item Ledger Entry","Quantity","Entry Type","Positive Adjmt.|Negative Adjmt.","Entry No.",I1966,"Location Code",$L$7)</t>
  </si>
  <si>
    <t>=NL("Sum","Item Ledger Entry","Quantity","Entry Type","Positive Adjmt.|Negative Adjmt.","Entry No.",I1967,"Location Code",$L$7)</t>
  </si>
  <si>
    <t>=NL("Sum","Item Ledger Entry","Quantity","Entry Type","Positive Adjmt.|Negative Adjmt.","Entry No.",I1968,"Location Code",$L$7)</t>
  </si>
  <si>
    <t>=NL("Sum","Item Ledger Entry","Quantity","Entry Type","Positive Adjmt.|Negative Adjmt.","Entry No.",I1969,"Location Code",$L$7)</t>
  </si>
  <si>
    <t>=NL("Sum","Item Ledger Entry","Quantity","Entry Type","Positive Adjmt.|Negative Adjmt.","Entry No.",I1970,"Location Code",$L$7)</t>
  </si>
  <si>
    <t>=NL("Sum","Item Ledger Entry","Quantity","Entry Type","Positive Adjmt.|Negative Adjmt.","Entry No.",I1971,"Location Code",$L$7)</t>
  </si>
  <si>
    <t>=NL("Sum","Item Ledger Entry","Quantity","Entry Type","Positive Adjmt.|Negative Adjmt.","Entry No.",I1972,"Location Code",$L$7)</t>
  </si>
  <si>
    <t>=NL("Sum","Item Ledger Entry","Quantity","Entry Type","Positive Adjmt.|Negative Adjmt.","Entry No.",I1973,"Location Code",$L$7)</t>
  </si>
  <si>
    <t>=NL("Sum","Item Ledger Entry","Quantity","Entry Type","Positive Adjmt.|Negative Adjmt.","Entry No.",I1974,"Location Code",$L$7)</t>
  </si>
  <si>
    <t>=NL("Sum","Item Ledger Entry","Quantity","Entry Type","Positive Adjmt.|Negative Adjmt.","Entry No.",I1975,"Location Code",$L$7)</t>
  </si>
  <si>
    <t>=NL("Sum","Item Ledger Entry","Quantity","Entry Type","Positive Adjmt.|Negative Adjmt.","Entry No.",I1976,"Location Code",$L$7)</t>
  </si>
  <si>
    <t>=NL("Sum","Item Ledger Entry","Quantity","Entry Type","Positive Adjmt.|Negative Adjmt.","Entry No.",I1977,"Location Code",$L$7)</t>
  </si>
  <si>
    <t>=NL("Sum","Item Ledger Entry","Quantity","Entry Type","Positive Adjmt.|Negative Adjmt.","Entry No.",I1978,"Location Code",$L$7)</t>
  </si>
  <si>
    <t>=NL("Sum","Item Ledger Entry","Quantity","Entry Type","Positive Adjmt.|Negative Adjmt.","Entry No.",I1979,"Location Code",$L$7)</t>
  </si>
  <si>
    <t>=NL("Sum","Item Ledger Entry","Quantity","Entry Type","Positive Adjmt.|Negative Adjmt.","Entry No.",I1980,"Location Code",$L$7)</t>
  </si>
  <si>
    <t>=NL("Sum","Item Ledger Entry","Quantity","Entry Type","Transfer","Entry No.",I1955,"Location Code",$L$7)</t>
  </si>
  <si>
    <t>=NL("Sum","Item Ledger Entry","Quantity","Entry Type","Transfer","Entry No.",I1956,"Location Code",$L$7)</t>
  </si>
  <si>
    <t>=NL("Sum","Item Ledger Entry","Quantity","Entry Type","Transfer","Entry No.",I1957,"Location Code",$L$7)</t>
  </si>
  <si>
    <t>=NL("Sum","Item Ledger Entry","Quantity","Entry Type","Transfer","Entry No.",I1958,"Location Code",$L$7)</t>
  </si>
  <si>
    <t>=NL("Sum","Item Ledger Entry","Quantity","Entry Type","Transfer","Entry No.",I1959,"Location Code",$L$7)</t>
  </si>
  <si>
    <t>=NL("Sum","Item Ledger Entry","Quantity","Entry Type","Transfer","Entry No.",I1960,"Location Code",$L$7)</t>
  </si>
  <si>
    <t>=NL("Sum","Item Ledger Entry","Quantity","Entry Type","Transfer","Entry No.",I1961,"Location Code",$L$7)</t>
  </si>
  <si>
    <t>=NL("Sum","Item Ledger Entry","Quantity","Entry Type","Transfer","Entry No.",I1962,"Location Code",$L$7)</t>
  </si>
  <si>
    <t>=NL("Sum","Item Ledger Entry","Quantity","Entry Type","Transfer","Entry No.",I1963,"Location Code",$L$7)</t>
  </si>
  <si>
    <t>=NL("Sum","Item Ledger Entry","Quantity","Entry Type","Transfer","Entry No.",I1964,"Location Code",$L$7)</t>
  </si>
  <si>
    <t>=NL("Sum","Item Ledger Entry","Quantity","Entry Type","Transfer","Entry No.",I1965,"Location Code",$L$7)</t>
  </si>
  <si>
    <t>=NL("Sum","Item Ledger Entry","Quantity","Entry Type","Transfer","Entry No.",I1966,"Location Code",$L$7)</t>
  </si>
  <si>
    <t>=NL("Sum","Item Ledger Entry","Quantity","Entry Type","Transfer","Entry No.",I1967,"Location Code",$L$7)</t>
  </si>
  <si>
    <t>=NL("Sum","Item Ledger Entry","Quantity","Entry Type","Transfer","Entry No.",I1968,"Location Code",$L$7)</t>
  </si>
  <si>
    <t>=NL("Sum","Item Ledger Entry","Quantity","Entry Type","Transfer","Entry No.",I1969,"Location Code",$L$7)</t>
  </si>
  <si>
    <t>=NL("Sum","Item Ledger Entry","Quantity","Entry Type","Transfer","Entry No.",I1970,"Location Code",$L$7)</t>
  </si>
  <si>
    <t>=NL("Sum","Item Ledger Entry","Quantity","Entry Type","Transfer","Entry No.",I1971,"Location Code",$L$7)</t>
  </si>
  <si>
    <t>=NL("Sum","Item Ledger Entry","Quantity","Entry Type","Transfer","Entry No.",I1972,"Location Code",$L$7)</t>
  </si>
  <si>
    <t>=NL("Sum","Item Ledger Entry","Quantity","Entry Type","Transfer","Entry No.",I1973,"Location Code",$L$7)</t>
  </si>
  <si>
    <t>=NL("Sum","Item Ledger Entry","Quantity","Entry Type","Transfer","Entry No.",I1974,"Location Code",$L$7)</t>
  </si>
  <si>
    <t>=NL("Sum","Item Ledger Entry","Quantity","Entry Type","Transfer","Entry No.",I1975,"Location Code",$L$7)</t>
  </si>
  <si>
    <t>=NL("Sum","Item Ledger Entry","Quantity","Entry Type","Transfer","Entry No.",I1976,"Location Code",$L$7)</t>
  </si>
  <si>
    <t>=NL("Sum","Item Ledger Entry","Quantity","Entry Type","Transfer","Entry No.",I1977,"Location Code",$L$7)</t>
  </si>
  <si>
    <t>=NL("Sum","Item Ledger Entry","Quantity","Entry Type","Transfer","Entry No.",I1978,"Location Code",$L$7)</t>
  </si>
  <si>
    <t>=NL("Sum","Item Ledger Entry","Quantity","Entry Type","Transfer","Entry No.",I1979,"Location Code",$L$7)</t>
  </si>
  <si>
    <t>=NL("Sum","Item Ledger Entry","Quantity","Entry Type","Transfer","Entry No.",I1980,"Location Code",$L$7)</t>
  </si>
  <si>
    <t>=NL("Sum","Item Ledger Entry","Quantity","Entry Type","Consumption","Entry No.",I1955,"Location Code",$L$7)</t>
  </si>
  <si>
    <t>=NL("Sum","Item Ledger Entry","Quantity","Entry Type","Consumption","Entry No.",I1956,"Location Code",$L$7)</t>
  </si>
  <si>
    <t>=NL("Sum","Item Ledger Entry","Quantity","Entry Type","Consumption","Entry No.",I1957,"Location Code",$L$7)</t>
  </si>
  <si>
    <t>=NL("Sum","Item Ledger Entry","Quantity","Entry Type","Consumption","Entry No.",I1958,"Location Code",$L$7)</t>
  </si>
  <si>
    <t>=NL("Sum","Item Ledger Entry","Quantity","Entry Type","Consumption","Entry No.",I1959,"Location Code",$L$7)</t>
  </si>
  <si>
    <t>=NL("Sum","Item Ledger Entry","Quantity","Entry Type","Consumption","Entry No.",I1960,"Location Code",$L$7)</t>
  </si>
  <si>
    <t>=NL("Sum","Item Ledger Entry","Quantity","Entry Type","Consumption","Entry No.",I1961,"Location Code",$L$7)</t>
  </si>
  <si>
    <t>=NL("Sum","Item Ledger Entry","Quantity","Entry Type","Consumption","Entry No.",I1962,"Location Code",$L$7)</t>
  </si>
  <si>
    <t>=NL("Sum","Item Ledger Entry","Quantity","Entry Type","Consumption","Entry No.",I1963,"Location Code",$L$7)</t>
  </si>
  <si>
    <t>=NL("Sum","Item Ledger Entry","Quantity","Entry Type","Consumption","Entry No.",I1964,"Location Code",$L$7)</t>
  </si>
  <si>
    <t>=NL("Sum","Item Ledger Entry","Quantity","Entry Type","Consumption","Entry No.",I1965,"Location Code",$L$7)</t>
  </si>
  <si>
    <t>=NL("Sum","Item Ledger Entry","Quantity","Entry Type","Consumption","Entry No.",I1966,"Location Code",$L$7)</t>
  </si>
  <si>
    <t>=NL("Sum","Item Ledger Entry","Quantity","Entry Type","Consumption","Entry No.",I1967,"Location Code",$L$7)</t>
  </si>
  <si>
    <t>=NL("Sum","Item Ledger Entry","Quantity","Entry Type","Consumption","Entry No.",I1968,"Location Code",$L$7)</t>
  </si>
  <si>
    <t>=NL("Sum","Item Ledger Entry","Quantity","Entry Type","Consumption","Entry No.",I1969,"Location Code",$L$7)</t>
  </si>
  <si>
    <t>=NL("Sum","Item Ledger Entry","Quantity","Entry Type","Consumption","Entry No.",I1970,"Location Code",$L$7)</t>
  </si>
  <si>
    <t>=NL("Sum","Item Ledger Entry","Quantity","Entry Type","Consumption","Entry No.",I1971,"Location Code",$L$7)</t>
  </si>
  <si>
    <t>=NL("Sum","Item Ledger Entry","Quantity","Entry Type","Consumption","Entry No.",I1972,"Location Code",$L$7)</t>
  </si>
  <si>
    <t>=NL("Sum","Item Ledger Entry","Quantity","Entry Type","Consumption","Entry No.",I1973,"Location Code",$L$7)</t>
  </si>
  <si>
    <t>=NL("Sum","Item Ledger Entry","Quantity","Entry Type","Consumption","Entry No.",I1974,"Location Code",$L$7)</t>
  </si>
  <si>
    <t>=NL("Sum","Item Ledger Entry","Quantity","Entry Type","Consumption","Entry No.",I1975,"Location Code",$L$7)</t>
  </si>
  <si>
    <t>=NL("Sum","Item Ledger Entry","Quantity","Entry Type","Consumption","Entry No.",I1976,"Location Code",$L$7)</t>
  </si>
  <si>
    <t>=NL("Sum","Item Ledger Entry","Quantity","Entry Type","Consumption","Entry No.",I1977,"Location Code",$L$7)</t>
  </si>
  <si>
    <t>=NL("Sum","Item Ledger Entry","Quantity","Entry Type","Consumption","Entry No.",I1978,"Location Code",$L$7)</t>
  </si>
  <si>
    <t>=NL("Sum","Item Ledger Entry","Quantity","Entry Type","Consumption","Entry No.",I1979,"Location Code",$L$7)</t>
  </si>
  <si>
    <t>=NL("Sum","Item Ledger Entry","Quantity","Entry Type","Consumption","Entry No.",I1980,"Location Code",$L$7)</t>
  </si>
  <si>
    <t>=NL("Sum","Item Ledger Entry","Quantity","Entry Type","Output","Entry No.",I1955,"Location Code",$L$7)</t>
  </si>
  <si>
    <t>=NL("Sum","Item Ledger Entry","Quantity","Entry Type","Output","Entry No.",I1956,"Location Code",$L$7)</t>
  </si>
  <si>
    <t>=NL("Sum","Item Ledger Entry","Quantity","Entry Type","Output","Entry No.",I1957,"Location Code",$L$7)</t>
  </si>
  <si>
    <t>=NL("Sum","Item Ledger Entry","Quantity","Entry Type","Output","Entry No.",I1958,"Location Code",$L$7)</t>
  </si>
  <si>
    <t>=NL("Sum","Item Ledger Entry","Quantity","Entry Type","Output","Entry No.",I1959,"Location Code",$L$7)</t>
  </si>
  <si>
    <t>=NL("Sum","Item Ledger Entry","Quantity","Entry Type","Output","Entry No.",I1960,"Location Code",$L$7)</t>
  </si>
  <si>
    <t>=NL("Sum","Item Ledger Entry","Quantity","Entry Type","Output","Entry No.",I1961,"Location Code",$L$7)</t>
  </si>
  <si>
    <t>=NL("Sum","Item Ledger Entry","Quantity","Entry Type","Output","Entry No.",I1962,"Location Code",$L$7)</t>
  </si>
  <si>
    <t>=NL("Sum","Item Ledger Entry","Quantity","Entry Type","Output","Entry No.",I1963,"Location Code",$L$7)</t>
  </si>
  <si>
    <t>=NL("Sum","Item Ledger Entry","Quantity","Entry Type","Output","Entry No.",I1964,"Location Code",$L$7)</t>
  </si>
  <si>
    <t>=NL("Sum","Item Ledger Entry","Quantity","Entry Type","Output","Entry No.",I1965,"Location Code",$L$7)</t>
  </si>
  <si>
    <t>=NL("Sum","Item Ledger Entry","Quantity","Entry Type","Output","Entry No.",I1966,"Location Code",$L$7)</t>
  </si>
  <si>
    <t>=NL("Sum","Item Ledger Entry","Quantity","Entry Type","Output","Entry No.",I1967,"Location Code",$L$7)</t>
  </si>
  <si>
    <t>=NL("Sum","Item Ledger Entry","Quantity","Entry Type","Output","Entry No.",I1968,"Location Code",$L$7)</t>
  </si>
  <si>
    <t>=NL("Sum","Item Ledger Entry","Quantity","Entry Type","Output","Entry No.",I1969,"Location Code",$L$7)</t>
  </si>
  <si>
    <t>=NL("Sum","Item Ledger Entry","Quantity","Entry Type","Output","Entry No.",I1970,"Location Code",$L$7)</t>
  </si>
  <si>
    <t>=NL("Sum","Item Ledger Entry","Quantity","Entry Type","Output","Entry No.",I1971,"Location Code",$L$7)</t>
  </si>
  <si>
    <t>=NL("Sum","Item Ledger Entry","Quantity","Entry Type","Output","Entry No.",I1972,"Location Code",$L$7)</t>
  </si>
  <si>
    <t>=NL("Sum","Item Ledger Entry","Quantity","Entry Type","Output","Entry No.",I1973,"Location Code",$L$7)</t>
  </si>
  <si>
    <t>=NL("Sum","Item Ledger Entry","Quantity","Entry Type","Output","Entry No.",I1974,"Location Code",$L$7)</t>
  </si>
  <si>
    <t>=NL("Sum","Item Ledger Entry","Quantity","Entry Type","Output","Entry No.",I1975,"Location Code",$L$7)</t>
  </si>
  <si>
    <t>=NL("Sum","Item Ledger Entry","Quantity","Entry Type","Output","Entry No.",I1976,"Location Code",$L$7)</t>
  </si>
  <si>
    <t>=NL("Sum","Item Ledger Entry","Quantity","Entry Type","Output","Entry No.",I1977,"Location Code",$L$7)</t>
  </si>
  <si>
    <t>=NL("Sum","Item Ledger Entry","Quantity","Entry Type","Output","Entry No.",I1978,"Location Code",$L$7)</t>
  </si>
  <si>
    <t>=NL("Sum","Item Ledger Entry","Quantity","Entry Type","Output","Entry No.",I1979,"Location Code",$L$7)</t>
  </si>
  <si>
    <t>=NL("Sum","Item Ledger Entry","Quantity","Entry Type","Output","Entry No.",I1980,"Location Code",$L$7)</t>
  </si>
  <si>
    <t>=NF(G1955,"Source Type")</t>
  </si>
  <si>
    <t>=NF(G1956,"Source Type")</t>
  </si>
  <si>
    <t>=NF(G1957,"Source Type")</t>
  </si>
  <si>
    <t>=NF(G1958,"Source Type")</t>
  </si>
  <si>
    <t>=NF(G1959,"Source Type")</t>
  </si>
  <si>
    <t>=NF(G1960,"Source Type")</t>
  </si>
  <si>
    <t>=NF(G1961,"Source Type")</t>
  </si>
  <si>
    <t>=NF(G1962,"Source Type")</t>
  </si>
  <si>
    <t>=NF(G1963,"Source Type")</t>
  </si>
  <si>
    <t>=NF(G1964,"Source Type")</t>
  </si>
  <si>
    <t>=NF(G1965,"Source Type")</t>
  </si>
  <si>
    <t>=NF(G1966,"Source Type")</t>
  </si>
  <si>
    <t>=NF(G1967,"Source Type")</t>
  </si>
  <si>
    <t>=NF(G1968,"Source Type")</t>
  </si>
  <si>
    <t>=NF(G1969,"Source Type")</t>
  </si>
  <si>
    <t>=NF(G1970,"Source Type")</t>
  </si>
  <si>
    <t>=NF(G1971,"Source Type")</t>
  </si>
  <si>
    <t>=NF(G1972,"Source Type")</t>
  </si>
  <si>
    <t>=NF(G1973,"Source Type")</t>
  </si>
  <si>
    <t>=NF(G1974,"Source Type")</t>
  </si>
  <si>
    <t>=NF(G1975,"Source Type")</t>
  </si>
  <si>
    <t>=NF(G1976,"Source Type")</t>
  </si>
  <si>
    <t>=NF(G1977,"Source Type")</t>
  </si>
  <si>
    <t>=NF(G1978,"Source Type")</t>
  </si>
  <si>
    <t>=NF(G1979,"Source Type")</t>
  </si>
  <si>
    <t>=NF(G1980,"Source Type")</t>
  </si>
  <si>
    <t>=NF($G1955,"Source No.")</t>
  </si>
  <si>
    <t>=NF($G1956,"Source No.")</t>
  </si>
  <si>
    <t>=NF($G1957,"Source No.")</t>
  </si>
  <si>
    <t>=NF($G1958,"Source No.")</t>
  </si>
  <si>
    <t>=NF($G1959,"Source No.")</t>
  </si>
  <si>
    <t>=NF($G1960,"Source No.")</t>
  </si>
  <si>
    <t>=NF($G1961,"Source No.")</t>
  </si>
  <si>
    <t>=NF($G1962,"Source No.")</t>
  </si>
  <si>
    <t>=NF($G1963,"Source No.")</t>
  </si>
  <si>
    <t>=NF($G1964,"Source No.")</t>
  </si>
  <si>
    <t>=NF($G1965,"Source No.")</t>
  </si>
  <si>
    <t>=NF($G1966,"Source No.")</t>
  </si>
  <si>
    <t>=NF($G1967,"Source No.")</t>
  </si>
  <si>
    <t>=NF($G1968,"Source No.")</t>
  </si>
  <si>
    <t>=NF($G1969,"Source No.")</t>
  </si>
  <si>
    <t>=NF($G1970,"Source No.")</t>
  </si>
  <si>
    <t>=NF($G1971,"Source No.")</t>
  </si>
  <si>
    <t>=NF($G1972,"Source No.")</t>
  </si>
  <si>
    <t>=NF($G1973,"Source No.")</t>
  </si>
  <si>
    <t>=NF($G1974,"Source No.")</t>
  </si>
  <si>
    <t>=NF($G1975,"Source No.")</t>
  </si>
  <si>
    <t>=NF($G1976,"Source No.")</t>
  </si>
  <si>
    <t>=NF($G1977,"Source No.")</t>
  </si>
  <si>
    <t>=NF($G1978,"Source No.")</t>
  </si>
  <si>
    <t>=NF($G1979,"Source No.")</t>
  </si>
  <si>
    <t>=NF($G1980,"Source No.")</t>
  </si>
  <si>
    <t>=NF($G1933,"Posting Date")</t>
  </si>
  <si>
    <t>=NF($G1934,"Posting Date")</t>
  </si>
  <si>
    <t>=NF($G1935,"Posting Date")</t>
  </si>
  <si>
    <t>=NF($G1936,"Posting Date")</t>
  </si>
  <si>
    <t>=NF($G1937,"Posting Date")</t>
  </si>
  <si>
    <t>=NF($G1938,"Posting Date")</t>
  </si>
  <si>
    <t>=NF($G1939,"Posting Date")</t>
  </si>
  <si>
    <t>=NF($G1940,"Posting Date")</t>
  </si>
  <si>
    <t>=NF($G1941,"Posting Date")</t>
  </si>
  <si>
    <t>=NF($G1942,"Posting Date")</t>
  </si>
  <si>
    <t>=NF($G1943,"Posting Date")</t>
  </si>
  <si>
    <t>=NF($G1944,"Posting Date")</t>
  </si>
  <si>
    <t>=NF($G1945,"Posting Date")</t>
  </si>
  <si>
    <t>=NF($G1946,"Posting Date")</t>
  </si>
  <si>
    <t>=NF($G1947,"Posting Date")</t>
  </si>
  <si>
    <t>=NF($G1948,"Posting Date")</t>
  </si>
  <si>
    <t>=NF($G1949,"Posting Date")</t>
  </si>
  <si>
    <t>=NF($G1950,"Posting Date")</t>
  </si>
  <si>
    <t>=NF($G1951,"Posting Date")</t>
  </si>
  <si>
    <t>=NF($G1933,"Entry No.")</t>
  </si>
  <si>
    <t>=NF($G1934,"Entry No.")</t>
  </si>
  <si>
    <t>=NF($G1935,"Entry No.")</t>
  </si>
  <si>
    <t>=NF($G1936,"Entry No.")</t>
  </si>
  <si>
    <t>=NF($G1937,"Entry No.")</t>
  </si>
  <si>
    <t>=NF($G1938,"Entry No.")</t>
  </si>
  <si>
    <t>=NF($G1939,"Entry No.")</t>
  </si>
  <si>
    <t>=NF($G1940,"Entry No.")</t>
  </si>
  <si>
    <t>=NF($G1941,"Entry No.")</t>
  </si>
  <si>
    <t>=NF($G1942,"Entry No.")</t>
  </si>
  <si>
    <t>=NF($G1943,"Entry No.")</t>
  </si>
  <si>
    <t>=NF($G1944,"Entry No.")</t>
  </si>
  <si>
    <t>=NF($G1945,"Entry No.")</t>
  </si>
  <si>
    <t>=NF($G1946,"Entry No.")</t>
  </si>
  <si>
    <t>=NF($G1947,"Entry No.")</t>
  </si>
  <si>
    <t>=NF($G1948,"Entry No.")</t>
  </si>
  <si>
    <t>=NF($G1949,"Entry No.")</t>
  </si>
  <si>
    <t>=NF($G1950,"Entry No.")</t>
  </si>
  <si>
    <t>=NF($G1951,"Entry No.")</t>
  </si>
  <si>
    <t>=NL("Sum","Item Ledger Entry","Quantity","Entry Type","Purchase","Entry No.",I1933,"Location Code",$L$7)</t>
  </si>
  <si>
    <t>=NL("Sum","Item Ledger Entry","Quantity","Entry Type","Purchase","Entry No.",I1934,"Location Code",$L$7)</t>
  </si>
  <si>
    <t>=NL("Sum","Item Ledger Entry","Quantity","Entry Type","Purchase","Entry No.",I1935,"Location Code",$L$7)</t>
  </si>
  <si>
    <t>=NL("Sum","Item Ledger Entry","Quantity","Entry Type","Purchase","Entry No.",I1936,"Location Code",$L$7)</t>
  </si>
  <si>
    <t>=NL("Sum","Item Ledger Entry","Quantity","Entry Type","Purchase","Entry No.",I1937,"Location Code",$L$7)</t>
  </si>
  <si>
    <t>=NL("Sum","Item Ledger Entry","Quantity","Entry Type","Purchase","Entry No.",I1938,"Location Code",$L$7)</t>
  </si>
  <si>
    <t>=NL("Sum","Item Ledger Entry","Quantity","Entry Type","Purchase","Entry No.",I1939,"Location Code",$L$7)</t>
  </si>
  <si>
    <t>=NL("Sum","Item Ledger Entry","Quantity","Entry Type","Purchase","Entry No.",I1940,"Location Code",$L$7)</t>
  </si>
  <si>
    <t>=NL("Sum","Item Ledger Entry","Quantity","Entry Type","Purchase","Entry No.",I1941,"Location Code",$L$7)</t>
  </si>
  <si>
    <t>=NL("Sum","Item Ledger Entry","Quantity","Entry Type","Purchase","Entry No.",I1942,"Location Code",$L$7)</t>
  </si>
  <si>
    <t>=NL("Sum","Item Ledger Entry","Quantity","Entry Type","Purchase","Entry No.",I1943,"Location Code",$L$7)</t>
  </si>
  <si>
    <t>=NL("Sum","Item Ledger Entry","Quantity","Entry Type","Purchase","Entry No.",I1944,"Location Code",$L$7)</t>
  </si>
  <si>
    <t>=NL("Sum","Item Ledger Entry","Quantity","Entry Type","Purchase","Entry No.",I1945,"Location Code",$L$7)</t>
  </si>
  <si>
    <t>=NL("Sum","Item Ledger Entry","Quantity","Entry Type","Purchase","Entry No.",I1946,"Location Code",$L$7)</t>
  </si>
  <si>
    <t>=NL("Sum","Item Ledger Entry","Quantity","Entry Type","Purchase","Entry No.",I1947,"Location Code",$L$7)</t>
  </si>
  <si>
    <t>=NL("Sum","Item Ledger Entry","Quantity","Entry Type","Purchase","Entry No.",I1948,"Location Code",$L$7)</t>
  </si>
  <si>
    <t>=NL("Sum","Item Ledger Entry","Quantity","Entry Type","Purchase","Entry No.",I1949,"Location Code",$L$7)</t>
  </si>
  <si>
    <t>=NL("Sum","Item Ledger Entry","Quantity","Entry Type","Purchase","Entry No.",I1950,"Location Code",$L$7)</t>
  </si>
  <si>
    <t>=NL("Sum","Item Ledger Entry","Quantity","Entry Type","Purchase","Entry No.",I1951,"Location Code",$L$7)</t>
  </si>
  <si>
    <t>=NL("Sum","Item Ledger Entry","Quantity","Entry Type","Sale","Entry No.",I1933,"Location Code",$L$7)</t>
  </si>
  <si>
    <t>=NL("Sum","Item Ledger Entry","Quantity","Entry Type","Sale","Entry No.",I1934,"Location Code",$L$7)</t>
  </si>
  <si>
    <t>=NL("Sum","Item Ledger Entry","Quantity","Entry Type","Sale","Entry No.",I1935,"Location Code",$L$7)</t>
  </si>
  <si>
    <t>=NL("Sum","Item Ledger Entry","Quantity","Entry Type","Sale","Entry No.",I1936,"Location Code",$L$7)</t>
  </si>
  <si>
    <t>=NL("Sum","Item Ledger Entry","Quantity","Entry Type","Sale","Entry No.",I1937,"Location Code",$L$7)</t>
  </si>
  <si>
    <t>=NL("Sum","Item Ledger Entry","Quantity","Entry Type","Sale","Entry No.",I1938,"Location Code",$L$7)</t>
  </si>
  <si>
    <t>=NL("Sum","Item Ledger Entry","Quantity","Entry Type","Sale","Entry No.",I1939,"Location Code",$L$7)</t>
  </si>
  <si>
    <t>=NL("Sum","Item Ledger Entry","Quantity","Entry Type","Sale","Entry No.",I1940,"Location Code",$L$7)</t>
  </si>
  <si>
    <t>=NL("Sum","Item Ledger Entry","Quantity","Entry Type","Sale","Entry No.",I1941,"Location Code",$L$7)</t>
  </si>
  <si>
    <t>=NL("Sum","Item Ledger Entry","Quantity","Entry Type","Sale","Entry No.",I1942,"Location Code",$L$7)</t>
  </si>
  <si>
    <t>=NL("Sum","Item Ledger Entry","Quantity","Entry Type","Sale","Entry No.",I1943,"Location Code",$L$7)</t>
  </si>
  <si>
    <t>=NL("Sum","Item Ledger Entry","Quantity","Entry Type","Sale","Entry No.",I1944,"Location Code",$L$7)</t>
  </si>
  <si>
    <t>=NL("Sum","Item Ledger Entry","Quantity","Entry Type","Sale","Entry No.",I1945,"Location Code",$L$7)</t>
  </si>
  <si>
    <t>=NL("Sum","Item Ledger Entry","Quantity","Entry Type","Sale","Entry No.",I1946,"Location Code",$L$7)</t>
  </si>
  <si>
    <t>=NL("Sum","Item Ledger Entry","Quantity","Entry Type","Sale","Entry No.",I1947,"Location Code",$L$7)</t>
  </si>
  <si>
    <t>=NL("Sum","Item Ledger Entry","Quantity","Entry Type","Sale","Entry No.",I1948,"Location Code",$L$7)</t>
  </si>
  <si>
    <t>=NL("Sum","Item Ledger Entry","Quantity","Entry Type","Sale","Entry No.",I1949,"Location Code",$L$7)</t>
  </si>
  <si>
    <t>=NL("Sum","Item Ledger Entry","Quantity","Entry Type","Sale","Entry No.",I1950,"Location Code",$L$7)</t>
  </si>
  <si>
    <t>=NL("Sum","Item Ledger Entry","Quantity","Entry Type","Sale","Entry No.",I1951,"Location Code",$L$7)</t>
  </si>
  <si>
    <t>=NL("Sum","Item Ledger Entry","Quantity","Entry Type","Positive Adjmt.|Negative Adjmt.","Entry No.",I1933,"Location Code",$L$7)</t>
  </si>
  <si>
    <t>=NL("Sum","Item Ledger Entry","Quantity","Entry Type","Positive Adjmt.|Negative Adjmt.","Entry No.",I1934,"Location Code",$L$7)</t>
  </si>
  <si>
    <t>=NL("Sum","Item Ledger Entry","Quantity","Entry Type","Positive Adjmt.|Negative Adjmt.","Entry No.",I1935,"Location Code",$L$7)</t>
  </si>
  <si>
    <t>=NL("Sum","Item Ledger Entry","Quantity","Entry Type","Positive Adjmt.|Negative Adjmt.","Entry No.",I1936,"Location Code",$L$7)</t>
  </si>
  <si>
    <t>=NL("Sum","Item Ledger Entry","Quantity","Entry Type","Positive Adjmt.|Negative Adjmt.","Entry No.",I1937,"Location Code",$L$7)</t>
  </si>
  <si>
    <t>=NL("Sum","Item Ledger Entry","Quantity","Entry Type","Positive Adjmt.|Negative Adjmt.","Entry No.",I1938,"Location Code",$L$7)</t>
  </si>
  <si>
    <t>=NL("Sum","Item Ledger Entry","Quantity","Entry Type","Positive Adjmt.|Negative Adjmt.","Entry No.",I1939,"Location Code",$L$7)</t>
  </si>
  <si>
    <t>=NL("Sum","Item Ledger Entry","Quantity","Entry Type","Positive Adjmt.|Negative Adjmt.","Entry No.",I1940,"Location Code",$L$7)</t>
  </si>
  <si>
    <t>=NL("Sum","Item Ledger Entry","Quantity","Entry Type","Positive Adjmt.|Negative Adjmt.","Entry No.",I1941,"Location Code",$L$7)</t>
  </si>
  <si>
    <t>=NL("Sum","Item Ledger Entry","Quantity","Entry Type","Positive Adjmt.|Negative Adjmt.","Entry No.",I1942,"Location Code",$L$7)</t>
  </si>
  <si>
    <t>=NL("Sum","Item Ledger Entry","Quantity","Entry Type","Positive Adjmt.|Negative Adjmt.","Entry No.",I1943,"Location Code",$L$7)</t>
  </si>
  <si>
    <t>=NL("Sum","Item Ledger Entry","Quantity","Entry Type","Positive Adjmt.|Negative Adjmt.","Entry No.",I1944,"Location Code",$L$7)</t>
  </si>
  <si>
    <t>=NL("Sum","Item Ledger Entry","Quantity","Entry Type","Positive Adjmt.|Negative Adjmt.","Entry No.",I1945,"Location Code",$L$7)</t>
  </si>
  <si>
    <t>=NL("Sum","Item Ledger Entry","Quantity","Entry Type","Positive Adjmt.|Negative Adjmt.","Entry No.",I1946,"Location Code",$L$7)</t>
  </si>
  <si>
    <t>=NL("Sum","Item Ledger Entry","Quantity","Entry Type","Positive Adjmt.|Negative Adjmt.","Entry No.",I1947,"Location Code",$L$7)</t>
  </si>
  <si>
    <t>=NL("Sum","Item Ledger Entry","Quantity","Entry Type","Positive Adjmt.|Negative Adjmt.","Entry No.",I1948,"Location Code",$L$7)</t>
  </si>
  <si>
    <t>=NL("Sum","Item Ledger Entry","Quantity","Entry Type","Positive Adjmt.|Negative Adjmt.","Entry No.",I1949,"Location Code",$L$7)</t>
  </si>
  <si>
    <t>=NL("Sum","Item Ledger Entry","Quantity","Entry Type","Positive Adjmt.|Negative Adjmt.","Entry No.",I1950,"Location Code",$L$7)</t>
  </si>
  <si>
    <t>=NL("Sum","Item Ledger Entry","Quantity","Entry Type","Positive Adjmt.|Negative Adjmt.","Entry No.",I1951,"Location Code",$L$7)</t>
  </si>
  <si>
    <t>=NL("Sum","Item Ledger Entry","Quantity","Entry Type","Transfer","Entry No.",I1933,"Location Code",$L$7)</t>
  </si>
  <si>
    <t>=NL("Sum","Item Ledger Entry","Quantity","Entry Type","Transfer","Entry No.",I1934,"Location Code",$L$7)</t>
  </si>
  <si>
    <t>=NL("Sum","Item Ledger Entry","Quantity","Entry Type","Transfer","Entry No.",I1935,"Location Code",$L$7)</t>
  </si>
  <si>
    <t>=NL("Sum","Item Ledger Entry","Quantity","Entry Type","Transfer","Entry No.",I1936,"Location Code",$L$7)</t>
  </si>
  <si>
    <t>=NL("Sum","Item Ledger Entry","Quantity","Entry Type","Transfer","Entry No.",I1937,"Location Code",$L$7)</t>
  </si>
  <si>
    <t>=NL("Sum","Item Ledger Entry","Quantity","Entry Type","Transfer","Entry No.",I1938,"Location Code",$L$7)</t>
  </si>
  <si>
    <t>=NL("Sum","Item Ledger Entry","Quantity","Entry Type","Transfer","Entry No.",I1939,"Location Code",$L$7)</t>
  </si>
  <si>
    <t>=NL("Sum","Item Ledger Entry","Quantity","Entry Type","Transfer","Entry No.",I1940,"Location Code",$L$7)</t>
  </si>
  <si>
    <t>=NL("Sum","Item Ledger Entry","Quantity","Entry Type","Transfer","Entry No.",I1941,"Location Code",$L$7)</t>
  </si>
  <si>
    <t>=NL("Sum","Item Ledger Entry","Quantity","Entry Type","Transfer","Entry No.",I1942,"Location Code",$L$7)</t>
  </si>
  <si>
    <t>=NL("Sum","Item Ledger Entry","Quantity","Entry Type","Transfer","Entry No.",I1943,"Location Code",$L$7)</t>
  </si>
  <si>
    <t>=NL("Sum","Item Ledger Entry","Quantity","Entry Type","Transfer","Entry No.",I1944,"Location Code",$L$7)</t>
  </si>
  <si>
    <t>=NL("Sum","Item Ledger Entry","Quantity","Entry Type","Transfer","Entry No.",I1945,"Location Code",$L$7)</t>
  </si>
  <si>
    <t>=NL("Sum","Item Ledger Entry","Quantity","Entry Type","Transfer","Entry No.",I1946,"Location Code",$L$7)</t>
  </si>
  <si>
    <t>=NL("Sum","Item Ledger Entry","Quantity","Entry Type","Transfer","Entry No.",I1947,"Location Code",$L$7)</t>
  </si>
  <si>
    <t>=NL("Sum","Item Ledger Entry","Quantity","Entry Type","Transfer","Entry No.",I1948,"Location Code",$L$7)</t>
  </si>
  <si>
    <t>=NL("Sum","Item Ledger Entry","Quantity","Entry Type","Transfer","Entry No.",I1949,"Location Code",$L$7)</t>
  </si>
  <si>
    <t>=NL("Sum","Item Ledger Entry","Quantity","Entry Type","Transfer","Entry No.",I1950,"Location Code",$L$7)</t>
  </si>
  <si>
    <t>=NL("Sum","Item Ledger Entry","Quantity","Entry Type","Transfer","Entry No.",I1951,"Location Code",$L$7)</t>
  </si>
  <si>
    <t>=NL("Sum","Item Ledger Entry","Quantity","Entry Type","Consumption","Entry No.",I1933,"Location Code",$L$7)</t>
  </si>
  <si>
    <t>=NL("Sum","Item Ledger Entry","Quantity","Entry Type","Consumption","Entry No.",I1934,"Location Code",$L$7)</t>
  </si>
  <si>
    <t>=NL("Sum","Item Ledger Entry","Quantity","Entry Type","Consumption","Entry No.",I1935,"Location Code",$L$7)</t>
  </si>
  <si>
    <t>=NL("Sum","Item Ledger Entry","Quantity","Entry Type","Consumption","Entry No.",I1936,"Location Code",$L$7)</t>
  </si>
  <si>
    <t>=NL("Sum","Item Ledger Entry","Quantity","Entry Type","Consumption","Entry No.",I1937,"Location Code",$L$7)</t>
  </si>
  <si>
    <t>=NL("Sum","Item Ledger Entry","Quantity","Entry Type","Consumption","Entry No.",I1938,"Location Code",$L$7)</t>
  </si>
  <si>
    <t>=NL("Sum","Item Ledger Entry","Quantity","Entry Type","Consumption","Entry No.",I1939,"Location Code",$L$7)</t>
  </si>
  <si>
    <t>=NL("Sum","Item Ledger Entry","Quantity","Entry Type","Consumption","Entry No.",I1940,"Location Code",$L$7)</t>
  </si>
  <si>
    <t>=NL("Sum","Item Ledger Entry","Quantity","Entry Type","Consumption","Entry No.",I1941,"Location Code",$L$7)</t>
  </si>
  <si>
    <t>=NL("Sum","Item Ledger Entry","Quantity","Entry Type","Consumption","Entry No.",I1942,"Location Code",$L$7)</t>
  </si>
  <si>
    <t>=NL("Sum","Item Ledger Entry","Quantity","Entry Type","Consumption","Entry No.",I1943,"Location Code",$L$7)</t>
  </si>
  <si>
    <t>=NL("Sum","Item Ledger Entry","Quantity","Entry Type","Consumption","Entry No.",I1944,"Location Code",$L$7)</t>
  </si>
  <si>
    <t>=NL("Sum","Item Ledger Entry","Quantity","Entry Type","Consumption","Entry No.",I1945,"Location Code",$L$7)</t>
  </si>
  <si>
    <t>=NL("Sum","Item Ledger Entry","Quantity","Entry Type","Consumption","Entry No.",I1946,"Location Code",$L$7)</t>
  </si>
  <si>
    <t>=NL("Sum","Item Ledger Entry","Quantity","Entry Type","Consumption","Entry No.",I1947,"Location Code",$L$7)</t>
  </si>
  <si>
    <t>=NL("Sum","Item Ledger Entry","Quantity","Entry Type","Consumption","Entry No.",I1948,"Location Code",$L$7)</t>
  </si>
  <si>
    <t>=NL("Sum","Item Ledger Entry","Quantity","Entry Type","Consumption","Entry No.",I1949,"Location Code",$L$7)</t>
  </si>
  <si>
    <t>=NL("Sum","Item Ledger Entry","Quantity","Entry Type","Consumption","Entry No.",I1950,"Location Code",$L$7)</t>
  </si>
  <si>
    <t>=NL("Sum","Item Ledger Entry","Quantity","Entry Type","Consumption","Entry No.",I1951,"Location Code",$L$7)</t>
  </si>
  <si>
    <t>=NL("Sum","Item Ledger Entry","Quantity","Entry Type","Output","Entry No.",I1933,"Location Code",$L$7)</t>
  </si>
  <si>
    <t>=NL("Sum","Item Ledger Entry","Quantity","Entry Type","Output","Entry No.",I1934,"Location Code",$L$7)</t>
  </si>
  <si>
    <t>=NL("Sum","Item Ledger Entry","Quantity","Entry Type","Output","Entry No.",I1935,"Location Code",$L$7)</t>
  </si>
  <si>
    <t>=NL("Sum","Item Ledger Entry","Quantity","Entry Type","Output","Entry No.",I1936,"Location Code",$L$7)</t>
  </si>
  <si>
    <t>=NL("Sum","Item Ledger Entry","Quantity","Entry Type","Output","Entry No.",I1937,"Location Code",$L$7)</t>
  </si>
  <si>
    <t>=NL("Sum","Item Ledger Entry","Quantity","Entry Type","Output","Entry No.",I1938,"Location Code",$L$7)</t>
  </si>
  <si>
    <t>=NL("Sum","Item Ledger Entry","Quantity","Entry Type","Output","Entry No.",I1939,"Location Code",$L$7)</t>
  </si>
  <si>
    <t>=NL("Sum","Item Ledger Entry","Quantity","Entry Type","Output","Entry No.",I1940,"Location Code",$L$7)</t>
  </si>
  <si>
    <t>=NL("Sum","Item Ledger Entry","Quantity","Entry Type","Output","Entry No.",I1941,"Location Code",$L$7)</t>
  </si>
  <si>
    <t>=NL("Sum","Item Ledger Entry","Quantity","Entry Type","Output","Entry No.",I1942,"Location Code",$L$7)</t>
  </si>
  <si>
    <t>=NL("Sum","Item Ledger Entry","Quantity","Entry Type","Output","Entry No.",I1943,"Location Code",$L$7)</t>
  </si>
  <si>
    <t>=NL("Sum","Item Ledger Entry","Quantity","Entry Type","Output","Entry No.",I1944,"Location Code",$L$7)</t>
  </si>
  <si>
    <t>=NL("Sum","Item Ledger Entry","Quantity","Entry Type","Output","Entry No.",I1945,"Location Code",$L$7)</t>
  </si>
  <si>
    <t>=NL("Sum","Item Ledger Entry","Quantity","Entry Type","Output","Entry No.",I1946,"Location Code",$L$7)</t>
  </si>
  <si>
    <t>=NL("Sum","Item Ledger Entry","Quantity","Entry Type","Output","Entry No.",I1947,"Location Code",$L$7)</t>
  </si>
  <si>
    <t>=NL("Sum","Item Ledger Entry","Quantity","Entry Type","Output","Entry No.",I1948,"Location Code",$L$7)</t>
  </si>
  <si>
    <t>=NL("Sum","Item Ledger Entry","Quantity","Entry Type","Output","Entry No.",I1949,"Location Code",$L$7)</t>
  </si>
  <si>
    <t>=NL("Sum","Item Ledger Entry","Quantity","Entry Type","Output","Entry No.",I1950,"Location Code",$L$7)</t>
  </si>
  <si>
    <t>=NL("Sum","Item Ledger Entry","Quantity","Entry Type","Output","Entry No.",I1951,"Location Code",$L$7)</t>
  </si>
  <si>
    <t>=NF(G1933,"Source Type")</t>
  </si>
  <si>
    <t>=NF(G1934,"Source Type")</t>
  </si>
  <si>
    <t>=NF(G1935,"Source Type")</t>
  </si>
  <si>
    <t>=NF(G1936,"Source Type")</t>
  </si>
  <si>
    <t>=NF(G1937,"Source Type")</t>
  </si>
  <si>
    <t>=NF(G1938,"Source Type")</t>
  </si>
  <si>
    <t>=NF(G1939,"Source Type")</t>
  </si>
  <si>
    <t>=NF(G1940,"Source Type")</t>
  </si>
  <si>
    <t>=NF(G1941,"Source Type")</t>
  </si>
  <si>
    <t>=NF(G1942,"Source Type")</t>
  </si>
  <si>
    <t>=NF(G1943,"Source Type")</t>
  </si>
  <si>
    <t>=NF(G1944,"Source Type")</t>
  </si>
  <si>
    <t>=NF(G1945,"Source Type")</t>
  </si>
  <si>
    <t>=NF(G1946,"Source Type")</t>
  </si>
  <si>
    <t>=NF(G1947,"Source Type")</t>
  </si>
  <si>
    <t>=NF(G1948,"Source Type")</t>
  </si>
  <si>
    <t>=NF(G1949,"Source Type")</t>
  </si>
  <si>
    <t>=NF(G1950,"Source Type")</t>
  </si>
  <si>
    <t>=NF(G1951,"Source Type")</t>
  </si>
  <si>
    <t>=NF($G1933,"Source No.")</t>
  </si>
  <si>
    <t>=NF($G1934,"Source No.")</t>
  </si>
  <si>
    <t>=NF($G1935,"Source No.")</t>
  </si>
  <si>
    <t>=NF($G1936,"Source No.")</t>
  </si>
  <si>
    <t>=NF($G1937,"Source No.")</t>
  </si>
  <si>
    <t>=NF($G1938,"Source No.")</t>
  </si>
  <si>
    <t>=NF($G1939,"Source No.")</t>
  </si>
  <si>
    <t>=NF($G1940,"Source No.")</t>
  </si>
  <si>
    <t>=NF($G1941,"Source No.")</t>
  </si>
  <si>
    <t>=NF($G1942,"Source No.")</t>
  </si>
  <si>
    <t>=NF($G1943,"Source No.")</t>
  </si>
  <si>
    <t>=NF($G1944,"Source No.")</t>
  </si>
  <si>
    <t>=NF($G1945,"Source No.")</t>
  </si>
  <si>
    <t>=NF($G1946,"Source No.")</t>
  </si>
  <si>
    <t>=NF($G1947,"Source No.")</t>
  </si>
  <si>
    <t>=NF($G1948,"Source No.")</t>
  </si>
  <si>
    <t>=NF($G1949,"Source No.")</t>
  </si>
  <si>
    <t>=NF($G1950,"Source No.")</t>
  </si>
  <si>
    <t>=NF($G1951,"Source No.")</t>
  </si>
  <si>
    <t>=NF($G1919,"Posting Date")</t>
  </si>
  <si>
    <t>=NF($G1920,"Posting Date")</t>
  </si>
  <si>
    <t>=NF($G1921,"Posting Date")</t>
  </si>
  <si>
    <t>=NF($G1922,"Posting Date")</t>
  </si>
  <si>
    <t>=NF($G1923,"Posting Date")</t>
  </si>
  <si>
    <t>=NF($G1924,"Posting Date")</t>
  </si>
  <si>
    <t>=NF($G1925,"Posting Date")</t>
  </si>
  <si>
    <t>=NF($G1926,"Posting Date")</t>
  </si>
  <si>
    <t>=NF($G1927,"Posting Date")</t>
  </si>
  <si>
    <t>=NF($G1928,"Posting Date")</t>
  </si>
  <si>
    <t>=NF($G1929,"Posting Date")</t>
  </si>
  <si>
    <t>=NF($G1919,"Entry No.")</t>
  </si>
  <si>
    <t>=NF($G1920,"Entry No.")</t>
  </si>
  <si>
    <t>=NF($G1921,"Entry No.")</t>
  </si>
  <si>
    <t>=NF($G1922,"Entry No.")</t>
  </si>
  <si>
    <t>=NF($G1923,"Entry No.")</t>
  </si>
  <si>
    <t>=NF($G1924,"Entry No.")</t>
  </si>
  <si>
    <t>=NF($G1925,"Entry No.")</t>
  </si>
  <si>
    <t>=NF($G1926,"Entry No.")</t>
  </si>
  <si>
    <t>=NF($G1927,"Entry No.")</t>
  </si>
  <si>
    <t>=NF($G1928,"Entry No.")</t>
  </si>
  <si>
    <t>=NF($G1929,"Entry No.")</t>
  </si>
  <si>
    <t>=NL("Sum","Item Ledger Entry","Quantity","Entry Type","Purchase","Entry No.",I1919,"Location Code",$L$7)</t>
  </si>
  <si>
    <t>=NL("Sum","Item Ledger Entry","Quantity","Entry Type","Purchase","Entry No.",I1920,"Location Code",$L$7)</t>
  </si>
  <si>
    <t>=NL("Sum","Item Ledger Entry","Quantity","Entry Type","Purchase","Entry No.",I1921,"Location Code",$L$7)</t>
  </si>
  <si>
    <t>=NL("Sum","Item Ledger Entry","Quantity","Entry Type","Purchase","Entry No.",I1922,"Location Code",$L$7)</t>
  </si>
  <si>
    <t>=NL("Sum","Item Ledger Entry","Quantity","Entry Type","Purchase","Entry No.",I1923,"Location Code",$L$7)</t>
  </si>
  <si>
    <t>=NL("Sum","Item Ledger Entry","Quantity","Entry Type","Purchase","Entry No.",I1924,"Location Code",$L$7)</t>
  </si>
  <si>
    <t>=NL("Sum","Item Ledger Entry","Quantity","Entry Type","Purchase","Entry No.",I1925,"Location Code",$L$7)</t>
  </si>
  <si>
    <t>=NL("Sum","Item Ledger Entry","Quantity","Entry Type","Purchase","Entry No.",I1926,"Location Code",$L$7)</t>
  </si>
  <si>
    <t>=NL("Sum","Item Ledger Entry","Quantity","Entry Type","Purchase","Entry No.",I1927,"Location Code",$L$7)</t>
  </si>
  <si>
    <t>=NL("Sum","Item Ledger Entry","Quantity","Entry Type","Purchase","Entry No.",I1928,"Location Code",$L$7)</t>
  </si>
  <si>
    <t>=NL("Sum","Item Ledger Entry","Quantity","Entry Type","Purchase","Entry No.",I1929,"Location Code",$L$7)</t>
  </si>
  <si>
    <t>=NL("Sum","Item Ledger Entry","Quantity","Entry Type","Sale","Entry No.",I1919,"Location Code",$L$7)</t>
  </si>
  <si>
    <t>=NL("Sum","Item Ledger Entry","Quantity","Entry Type","Sale","Entry No.",I1920,"Location Code",$L$7)</t>
  </si>
  <si>
    <t>=NL("Sum","Item Ledger Entry","Quantity","Entry Type","Sale","Entry No.",I1921,"Location Code",$L$7)</t>
  </si>
  <si>
    <t>=NL("Sum","Item Ledger Entry","Quantity","Entry Type","Sale","Entry No.",I1922,"Location Code",$L$7)</t>
  </si>
  <si>
    <t>=NL("Sum","Item Ledger Entry","Quantity","Entry Type","Sale","Entry No.",I1923,"Location Code",$L$7)</t>
  </si>
  <si>
    <t>=NL("Sum","Item Ledger Entry","Quantity","Entry Type","Sale","Entry No.",I1924,"Location Code",$L$7)</t>
  </si>
  <si>
    <t>=NL("Sum","Item Ledger Entry","Quantity","Entry Type","Sale","Entry No.",I1925,"Location Code",$L$7)</t>
  </si>
  <si>
    <t>=NL("Sum","Item Ledger Entry","Quantity","Entry Type","Sale","Entry No.",I1926,"Location Code",$L$7)</t>
  </si>
  <si>
    <t>=NL("Sum","Item Ledger Entry","Quantity","Entry Type","Sale","Entry No.",I1927,"Location Code",$L$7)</t>
  </si>
  <si>
    <t>=NL("Sum","Item Ledger Entry","Quantity","Entry Type","Sale","Entry No.",I1928,"Location Code",$L$7)</t>
  </si>
  <si>
    <t>=NL("Sum","Item Ledger Entry","Quantity","Entry Type","Sale","Entry No.",I1929,"Location Code",$L$7)</t>
  </si>
  <si>
    <t>=NL("Sum","Item Ledger Entry","Quantity","Entry Type","Positive Adjmt.|Negative Adjmt.","Entry No.",I1919,"Location Code",$L$7)</t>
  </si>
  <si>
    <t>=NL("Sum","Item Ledger Entry","Quantity","Entry Type","Positive Adjmt.|Negative Adjmt.","Entry No.",I1920,"Location Code",$L$7)</t>
  </si>
  <si>
    <t>=NL("Sum","Item Ledger Entry","Quantity","Entry Type","Positive Adjmt.|Negative Adjmt.","Entry No.",I1921,"Location Code",$L$7)</t>
  </si>
  <si>
    <t>=NL("Sum","Item Ledger Entry","Quantity","Entry Type","Positive Adjmt.|Negative Adjmt.","Entry No.",I1922,"Location Code",$L$7)</t>
  </si>
  <si>
    <t>=NL("Sum","Item Ledger Entry","Quantity","Entry Type","Positive Adjmt.|Negative Adjmt.","Entry No.",I1923,"Location Code",$L$7)</t>
  </si>
  <si>
    <t>=NL("Sum","Item Ledger Entry","Quantity","Entry Type","Positive Adjmt.|Negative Adjmt.","Entry No.",I1924,"Location Code",$L$7)</t>
  </si>
  <si>
    <t>=NL("Sum","Item Ledger Entry","Quantity","Entry Type","Positive Adjmt.|Negative Adjmt.","Entry No.",I1925,"Location Code",$L$7)</t>
  </si>
  <si>
    <t>=NL("Sum","Item Ledger Entry","Quantity","Entry Type","Positive Adjmt.|Negative Adjmt.","Entry No.",I1926,"Location Code",$L$7)</t>
  </si>
  <si>
    <t>=NL("Sum","Item Ledger Entry","Quantity","Entry Type","Positive Adjmt.|Negative Adjmt.","Entry No.",I1927,"Location Code",$L$7)</t>
  </si>
  <si>
    <t>=NL("Sum","Item Ledger Entry","Quantity","Entry Type","Positive Adjmt.|Negative Adjmt.","Entry No.",I1928,"Location Code",$L$7)</t>
  </si>
  <si>
    <t>=NL("Sum","Item Ledger Entry","Quantity","Entry Type","Positive Adjmt.|Negative Adjmt.","Entry No.",I1929,"Location Code",$L$7)</t>
  </si>
  <si>
    <t>=NL("Sum","Item Ledger Entry","Quantity","Entry Type","Transfer","Entry No.",I1919,"Location Code",$L$7)</t>
  </si>
  <si>
    <t>=NL("Sum","Item Ledger Entry","Quantity","Entry Type","Transfer","Entry No.",I1920,"Location Code",$L$7)</t>
  </si>
  <si>
    <t>=NL("Sum","Item Ledger Entry","Quantity","Entry Type","Transfer","Entry No.",I1921,"Location Code",$L$7)</t>
  </si>
  <si>
    <t>=NL("Sum","Item Ledger Entry","Quantity","Entry Type","Transfer","Entry No.",I1922,"Location Code",$L$7)</t>
  </si>
  <si>
    <t>=NL("Sum","Item Ledger Entry","Quantity","Entry Type","Transfer","Entry No.",I1923,"Location Code",$L$7)</t>
  </si>
  <si>
    <t>=NL("Sum","Item Ledger Entry","Quantity","Entry Type","Transfer","Entry No.",I1924,"Location Code",$L$7)</t>
  </si>
  <si>
    <t>=NL("Sum","Item Ledger Entry","Quantity","Entry Type","Transfer","Entry No.",I1925,"Location Code",$L$7)</t>
  </si>
  <si>
    <t>=NL("Sum","Item Ledger Entry","Quantity","Entry Type","Transfer","Entry No.",I1926,"Location Code",$L$7)</t>
  </si>
  <si>
    <t>=NL("Sum","Item Ledger Entry","Quantity","Entry Type","Transfer","Entry No.",I1927,"Location Code",$L$7)</t>
  </si>
  <si>
    <t>=NL("Sum","Item Ledger Entry","Quantity","Entry Type","Transfer","Entry No.",I1928,"Location Code",$L$7)</t>
  </si>
  <si>
    <t>=NL("Sum","Item Ledger Entry","Quantity","Entry Type","Transfer","Entry No.",I1929,"Location Code",$L$7)</t>
  </si>
  <si>
    <t>=NL("Sum","Item Ledger Entry","Quantity","Entry Type","Consumption","Entry No.",I1919,"Location Code",$L$7)</t>
  </si>
  <si>
    <t>=NL("Sum","Item Ledger Entry","Quantity","Entry Type","Consumption","Entry No.",I1920,"Location Code",$L$7)</t>
  </si>
  <si>
    <t>=NL("Sum","Item Ledger Entry","Quantity","Entry Type","Consumption","Entry No.",I1921,"Location Code",$L$7)</t>
  </si>
  <si>
    <t>=NL("Sum","Item Ledger Entry","Quantity","Entry Type","Consumption","Entry No.",I1922,"Location Code",$L$7)</t>
  </si>
  <si>
    <t>=NL("Sum","Item Ledger Entry","Quantity","Entry Type","Consumption","Entry No.",I1923,"Location Code",$L$7)</t>
  </si>
  <si>
    <t>=NL("Sum","Item Ledger Entry","Quantity","Entry Type","Consumption","Entry No.",I1924,"Location Code",$L$7)</t>
  </si>
  <si>
    <t>=NL("Sum","Item Ledger Entry","Quantity","Entry Type","Consumption","Entry No.",I1925,"Location Code",$L$7)</t>
  </si>
  <si>
    <t>=NL("Sum","Item Ledger Entry","Quantity","Entry Type","Consumption","Entry No.",I1926,"Location Code",$L$7)</t>
  </si>
  <si>
    <t>=NL("Sum","Item Ledger Entry","Quantity","Entry Type","Consumption","Entry No.",I1927,"Location Code",$L$7)</t>
  </si>
  <si>
    <t>=NL("Sum","Item Ledger Entry","Quantity","Entry Type","Consumption","Entry No.",I1928,"Location Code",$L$7)</t>
  </si>
  <si>
    <t>=NL("Sum","Item Ledger Entry","Quantity","Entry Type","Consumption","Entry No.",I1929,"Location Code",$L$7)</t>
  </si>
  <si>
    <t>=NL("Sum","Item Ledger Entry","Quantity","Entry Type","Output","Entry No.",I1919,"Location Code",$L$7)</t>
  </si>
  <si>
    <t>=NL("Sum","Item Ledger Entry","Quantity","Entry Type","Output","Entry No.",I1920,"Location Code",$L$7)</t>
  </si>
  <si>
    <t>=NL("Sum","Item Ledger Entry","Quantity","Entry Type","Output","Entry No.",I1921,"Location Code",$L$7)</t>
  </si>
  <si>
    <t>=NL("Sum","Item Ledger Entry","Quantity","Entry Type","Output","Entry No.",I1922,"Location Code",$L$7)</t>
  </si>
  <si>
    <t>=NL("Sum","Item Ledger Entry","Quantity","Entry Type","Output","Entry No.",I1923,"Location Code",$L$7)</t>
  </si>
  <si>
    <t>=NL("Sum","Item Ledger Entry","Quantity","Entry Type","Output","Entry No.",I1924,"Location Code",$L$7)</t>
  </si>
  <si>
    <t>=NL("Sum","Item Ledger Entry","Quantity","Entry Type","Output","Entry No.",I1925,"Location Code",$L$7)</t>
  </si>
  <si>
    <t>=NL("Sum","Item Ledger Entry","Quantity","Entry Type","Output","Entry No.",I1926,"Location Code",$L$7)</t>
  </si>
  <si>
    <t>=NL("Sum","Item Ledger Entry","Quantity","Entry Type","Output","Entry No.",I1927,"Location Code",$L$7)</t>
  </si>
  <si>
    <t>=NL("Sum","Item Ledger Entry","Quantity","Entry Type","Output","Entry No.",I1928,"Location Code",$L$7)</t>
  </si>
  <si>
    <t>=NL("Sum","Item Ledger Entry","Quantity","Entry Type","Output","Entry No.",I1929,"Location Code",$L$7)</t>
  </si>
  <si>
    <t>=NF(G1919,"Source Type")</t>
  </si>
  <si>
    <t>=NF(G1920,"Source Type")</t>
  </si>
  <si>
    <t>=NF(G1921,"Source Type")</t>
  </si>
  <si>
    <t>=NF(G1922,"Source Type")</t>
  </si>
  <si>
    <t>=NF(G1923,"Source Type")</t>
  </si>
  <si>
    <t>=NF(G1924,"Source Type")</t>
  </si>
  <si>
    <t>=NF(G1925,"Source Type")</t>
  </si>
  <si>
    <t>=NF(G1926,"Source Type")</t>
  </si>
  <si>
    <t>=NF(G1927,"Source Type")</t>
  </si>
  <si>
    <t>=NF(G1928,"Source Type")</t>
  </si>
  <si>
    <t>=NF(G1929,"Source Type")</t>
  </si>
  <si>
    <t>=NF($G1919,"Source No.")</t>
  </si>
  <si>
    <t>=NF($G1920,"Source No.")</t>
  </si>
  <si>
    <t>=NF($G1921,"Source No.")</t>
  </si>
  <si>
    <t>=NF($G1922,"Source No.")</t>
  </si>
  <si>
    <t>=NF($G1923,"Source No.")</t>
  </si>
  <si>
    <t>=NF($G1924,"Source No.")</t>
  </si>
  <si>
    <t>=NF($G1925,"Source No.")</t>
  </si>
  <si>
    <t>=NF($G1926,"Source No.")</t>
  </si>
  <si>
    <t>=NF($G1927,"Source No.")</t>
  </si>
  <si>
    <t>=NF($G1928,"Source No.")</t>
  </si>
  <si>
    <t>=NF($G1929,"Source No.")</t>
  </si>
  <si>
    <t>=NF($G1899,"Posting Date")</t>
  </si>
  <si>
    <t>=NF($G1900,"Posting Date")</t>
  </si>
  <si>
    <t>=NF($G1901,"Posting Date")</t>
  </si>
  <si>
    <t>=NF($G1902,"Posting Date")</t>
  </si>
  <si>
    <t>=NF($G1903,"Posting Date")</t>
  </si>
  <si>
    <t>=NF($G1904,"Posting Date")</t>
  </si>
  <si>
    <t>=NF($G1905,"Posting Date")</t>
  </si>
  <si>
    <t>=NF($G1906,"Posting Date")</t>
  </si>
  <si>
    <t>=NF($G1907,"Posting Date")</t>
  </si>
  <si>
    <t>=NF($G1908,"Posting Date")</t>
  </si>
  <si>
    <t>=NF($G1909,"Posting Date")</t>
  </si>
  <si>
    <t>=NF($G1910,"Posting Date")</t>
  </si>
  <si>
    <t>=NF($G1911,"Posting Date")</t>
  </si>
  <si>
    <t>=NF($G1912,"Posting Date")</t>
  </si>
  <si>
    <t>=NF($G1913,"Posting Date")</t>
  </si>
  <si>
    <t>=NF($G1914,"Posting Date")</t>
  </si>
  <si>
    <t>=NF($G1915,"Posting Date")</t>
  </si>
  <si>
    <t>=NF($G1899,"Entry No.")</t>
  </si>
  <si>
    <t>=NF($G1900,"Entry No.")</t>
  </si>
  <si>
    <t>=NF($G1901,"Entry No.")</t>
  </si>
  <si>
    <t>=NF($G1902,"Entry No.")</t>
  </si>
  <si>
    <t>=NF($G1903,"Entry No.")</t>
  </si>
  <si>
    <t>=NF($G1904,"Entry No.")</t>
  </si>
  <si>
    <t>=NF($G1905,"Entry No.")</t>
  </si>
  <si>
    <t>=NF($G1906,"Entry No.")</t>
  </si>
  <si>
    <t>=NF($G1907,"Entry No.")</t>
  </si>
  <si>
    <t>=NF($G1908,"Entry No.")</t>
  </si>
  <si>
    <t>=NF($G1909,"Entry No.")</t>
  </si>
  <si>
    <t>=NF($G1910,"Entry No.")</t>
  </si>
  <si>
    <t>=NF($G1911,"Entry No.")</t>
  </si>
  <si>
    <t>=NF($G1912,"Entry No.")</t>
  </si>
  <si>
    <t>=NF($G1913,"Entry No.")</t>
  </si>
  <si>
    <t>=NF($G1914,"Entry No.")</t>
  </si>
  <si>
    <t>=NF($G1915,"Entry No.")</t>
  </si>
  <si>
    <t>=NL("Sum","Item Ledger Entry","Quantity","Entry Type","Purchase","Entry No.",I1899,"Location Code",$L$7)</t>
  </si>
  <si>
    <t>=NL("Sum","Item Ledger Entry","Quantity","Entry Type","Purchase","Entry No.",I1900,"Location Code",$L$7)</t>
  </si>
  <si>
    <t>=NL("Sum","Item Ledger Entry","Quantity","Entry Type","Purchase","Entry No.",I1901,"Location Code",$L$7)</t>
  </si>
  <si>
    <t>=NL("Sum","Item Ledger Entry","Quantity","Entry Type","Purchase","Entry No.",I1902,"Location Code",$L$7)</t>
  </si>
  <si>
    <t>=NL("Sum","Item Ledger Entry","Quantity","Entry Type","Purchase","Entry No.",I1903,"Location Code",$L$7)</t>
  </si>
  <si>
    <t>=NL("Sum","Item Ledger Entry","Quantity","Entry Type","Purchase","Entry No.",I1904,"Location Code",$L$7)</t>
  </si>
  <si>
    <t>=NL("Sum","Item Ledger Entry","Quantity","Entry Type","Purchase","Entry No.",I1905,"Location Code",$L$7)</t>
  </si>
  <si>
    <t>=NL("Sum","Item Ledger Entry","Quantity","Entry Type","Purchase","Entry No.",I1906,"Location Code",$L$7)</t>
  </si>
  <si>
    <t>=NL("Sum","Item Ledger Entry","Quantity","Entry Type","Purchase","Entry No.",I1907,"Location Code",$L$7)</t>
  </si>
  <si>
    <t>=NL("Sum","Item Ledger Entry","Quantity","Entry Type","Purchase","Entry No.",I1908,"Location Code",$L$7)</t>
  </si>
  <si>
    <t>=NL("Sum","Item Ledger Entry","Quantity","Entry Type","Purchase","Entry No.",I1909,"Location Code",$L$7)</t>
  </si>
  <si>
    <t>=NL("Sum","Item Ledger Entry","Quantity","Entry Type","Purchase","Entry No.",I1910,"Location Code",$L$7)</t>
  </si>
  <si>
    <t>=NL("Sum","Item Ledger Entry","Quantity","Entry Type","Purchase","Entry No.",I1911,"Location Code",$L$7)</t>
  </si>
  <si>
    <t>=NL("Sum","Item Ledger Entry","Quantity","Entry Type","Purchase","Entry No.",I1912,"Location Code",$L$7)</t>
  </si>
  <si>
    <t>=NL("Sum","Item Ledger Entry","Quantity","Entry Type","Purchase","Entry No.",I1913,"Location Code",$L$7)</t>
  </si>
  <si>
    <t>=NL("Sum","Item Ledger Entry","Quantity","Entry Type","Purchase","Entry No.",I1914,"Location Code",$L$7)</t>
  </si>
  <si>
    <t>=NL("Sum","Item Ledger Entry","Quantity","Entry Type","Purchase","Entry No.",I1915,"Location Code",$L$7)</t>
  </si>
  <si>
    <t>=NL("Sum","Item Ledger Entry","Quantity","Entry Type","Sale","Entry No.",I1899,"Location Code",$L$7)</t>
  </si>
  <si>
    <t>=NL("Sum","Item Ledger Entry","Quantity","Entry Type","Sale","Entry No.",I1900,"Location Code",$L$7)</t>
  </si>
  <si>
    <t>=NL("Sum","Item Ledger Entry","Quantity","Entry Type","Sale","Entry No.",I1901,"Location Code",$L$7)</t>
  </si>
  <si>
    <t>=NL("Sum","Item Ledger Entry","Quantity","Entry Type","Sale","Entry No.",I1902,"Location Code",$L$7)</t>
  </si>
  <si>
    <t>=NL("Sum","Item Ledger Entry","Quantity","Entry Type","Sale","Entry No.",I1903,"Location Code",$L$7)</t>
  </si>
  <si>
    <t>=NL("Sum","Item Ledger Entry","Quantity","Entry Type","Sale","Entry No.",I1904,"Location Code",$L$7)</t>
  </si>
  <si>
    <t>=NL("Sum","Item Ledger Entry","Quantity","Entry Type","Sale","Entry No.",I1905,"Location Code",$L$7)</t>
  </si>
  <si>
    <t>=NL("Sum","Item Ledger Entry","Quantity","Entry Type","Sale","Entry No.",I1906,"Location Code",$L$7)</t>
  </si>
  <si>
    <t>=NL("Sum","Item Ledger Entry","Quantity","Entry Type","Sale","Entry No.",I1907,"Location Code",$L$7)</t>
  </si>
  <si>
    <t>=NL("Sum","Item Ledger Entry","Quantity","Entry Type","Sale","Entry No.",I1908,"Location Code",$L$7)</t>
  </si>
  <si>
    <t>=NL("Sum","Item Ledger Entry","Quantity","Entry Type","Sale","Entry No.",I1909,"Location Code",$L$7)</t>
  </si>
  <si>
    <t>=NL("Sum","Item Ledger Entry","Quantity","Entry Type","Sale","Entry No.",I1910,"Location Code",$L$7)</t>
  </si>
  <si>
    <t>=NL("Sum","Item Ledger Entry","Quantity","Entry Type","Sale","Entry No.",I1911,"Location Code",$L$7)</t>
  </si>
  <si>
    <t>=NL("Sum","Item Ledger Entry","Quantity","Entry Type","Sale","Entry No.",I1912,"Location Code",$L$7)</t>
  </si>
  <si>
    <t>=NL("Sum","Item Ledger Entry","Quantity","Entry Type","Sale","Entry No.",I1913,"Location Code",$L$7)</t>
  </si>
  <si>
    <t>=NL("Sum","Item Ledger Entry","Quantity","Entry Type","Sale","Entry No.",I1914,"Location Code",$L$7)</t>
  </si>
  <si>
    <t>=NL("Sum","Item Ledger Entry","Quantity","Entry Type","Sale","Entry No.",I1915,"Location Code",$L$7)</t>
  </si>
  <si>
    <t>=NL("Sum","Item Ledger Entry","Quantity","Entry Type","Positive Adjmt.|Negative Adjmt.","Entry No.",I1899,"Location Code",$L$7)</t>
  </si>
  <si>
    <t>=NL("Sum","Item Ledger Entry","Quantity","Entry Type","Positive Adjmt.|Negative Adjmt.","Entry No.",I1900,"Location Code",$L$7)</t>
  </si>
  <si>
    <t>=NL("Sum","Item Ledger Entry","Quantity","Entry Type","Positive Adjmt.|Negative Adjmt.","Entry No.",I1901,"Location Code",$L$7)</t>
  </si>
  <si>
    <t>=NL("Sum","Item Ledger Entry","Quantity","Entry Type","Positive Adjmt.|Negative Adjmt.","Entry No.",I1902,"Location Code",$L$7)</t>
  </si>
  <si>
    <t>=NL("Sum","Item Ledger Entry","Quantity","Entry Type","Positive Adjmt.|Negative Adjmt.","Entry No.",I1903,"Location Code",$L$7)</t>
  </si>
  <si>
    <t>=NL("Sum","Item Ledger Entry","Quantity","Entry Type","Positive Adjmt.|Negative Adjmt.","Entry No.",I1904,"Location Code",$L$7)</t>
  </si>
  <si>
    <t>=NL("Sum","Item Ledger Entry","Quantity","Entry Type","Positive Adjmt.|Negative Adjmt.","Entry No.",I1905,"Location Code",$L$7)</t>
  </si>
  <si>
    <t>=NL("Sum","Item Ledger Entry","Quantity","Entry Type","Positive Adjmt.|Negative Adjmt.","Entry No.",I1906,"Location Code",$L$7)</t>
  </si>
  <si>
    <t>=NL("Sum","Item Ledger Entry","Quantity","Entry Type","Positive Adjmt.|Negative Adjmt.","Entry No.",I1907,"Location Code",$L$7)</t>
  </si>
  <si>
    <t>=NL("Sum","Item Ledger Entry","Quantity","Entry Type","Positive Adjmt.|Negative Adjmt.","Entry No.",I1908,"Location Code",$L$7)</t>
  </si>
  <si>
    <t>=NL("Sum","Item Ledger Entry","Quantity","Entry Type","Positive Adjmt.|Negative Adjmt.","Entry No.",I1909,"Location Code",$L$7)</t>
  </si>
  <si>
    <t>=NL("Sum","Item Ledger Entry","Quantity","Entry Type","Positive Adjmt.|Negative Adjmt.","Entry No.",I1910,"Location Code",$L$7)</t>
  </si>
  <si>
    <t>=NL("Sum","Item Ledger Entry","Quantity","Entry Type","Positive Adjmt.|Negative Adjmt.","Entry No.",I1911,"Location Code",$L$7)</t>
  </si>
  <si>
    <t>=NL("Sum","Item Ledger Entry","Quantity","Entry Type","Positive Adjmt.|Negative Adjmt.","Entry No.",I1912,"Location Code",$L$7)</t>
  </si>
  <si>
    <t>=NL("Sum","Item Ledger Entry","Quantity","Entry Type","Positive Adjmt.|Negative Adjmt.","Entry No.",I1913,"Location Code",$L$7)</t>
  </si>
  <si>
    <t>=NL("Sum","Item Ledger Entry","Quantity","Entry Type","Positive Adjmt.|Negative Adjmt.","Entry No.",I1914,"Location Code",$L$7)</t>
  </si>
  <si>
    <t>=NL("Sum","Item Ledger Entry","Quantity","Entry Type","Positive Adjmt.|Negative Adjmt.","Entry No.",I1915,"Location Code",$L$7)</t>
  </si>
  <si>
    <t>=NL("Sum","Item Ledger Entry","Quantity","Entry Type","Transfer","Entry No.",I1899,"Location Code",$L$7)</t>
  </si>
  <si>
    <t>=NL("Sum","Item Ledger Entry","Quantity","Entry Type","Transfer","Entry No.",I1900,"Location Code",$L$7)</t>
  </si>
  <si>
    <t>=NL("Sum","Item Ledger Entry","Quantity","Entry Type","Transfer","Entry No.",I1901,"Location Code",$L$7)</t>
  </si>
  <si>
    <t>=NL("Sum","Item Ledger Entry","Quantity","Entry Type","Transfer","Entry No.",I1902,"Location Code",$L$7)</t>
  </si>
  <si>
    <t>=NL("Sum","Item Ledger Entry","Quantity","Entry Type","Transfer","Entry No.",I1903,"Location Code",$L$7)</t>
  </si>
  <si>
    <t>=NL("Sum","Item Ledger Entry","Quantity","Entry Type","Transfer","Entry No.",I1904,"Location Code",$L$7)</t>
  </si>
  <si>
    <t>=NL("Sum","Item Ledger Entry","Quantity","Entry Type","Transfer","Entry No.",I1905,"Location Code",$L$7)</t>
  </si>
  <si>
    <t>=NL("Sum","Item Ledger Entry","Quantity","Entry Type","Transfer","Entry No.",I1906,"Location Code",$L$7)</t>
  </si>
  <si>
    <t>=NL("Sum","Item Ledger Entry","Quantity","Entry Type","Transfer","Entry No.",I1907,"Location Code",$L$7)</t>
  </si>
  <si>
    <t>=NL("Sum","Item Ledger Entry","Quantity","Entry Type","Transfer","Entry No.",I1908,"Location Code",$L$7)</t>
  </si>
  <si>
    <t>=NL("Sum","Item Ledger Entry","Quantity","Entry Type","Transfer","Entry No.",I1909,"Location Code",$L$7)</t>
  </si>
  <si>
    <t>=NL("Sum","Item Ledger Entry","Quantity","Entry Type","Transfer","Entry No.",I1910,"Location Code",$L$7)</t>
  </si>
  <si>
    <t>=NL("Sum","Item Ledger Entry","Quantity","Entry Type","Transfer","Entry No.",I1911,"Location Code",$L$7)</t>
  </si>
  <si>
    <t>=NL("Sum","Item Ledger Entry","Quantity","Entry Type","Transfer","Entry No.",I1912,"Location Code",$L$7)</t>
  </si>
  <si>
    <t>=NL("Sum","Item Ledger Entry","Quantity","Entry Type","Transfer","Entry No.",I1913,"Location Code",$L$7)</t>
  </si>
  <si>
    <t>=NL("Sum","Item Ledger Entry","Quantity","Entry Type","Transfer","Entry No.",I1914,"Location Code",$L$7)</t>
  </si>
  <si>
    <t>=NL("Sum","Item Ledger Entry","Quantity","Entry Type","Transfer","Entry No.",I1915,"Location Code",$L$7)</t>
  </si>
  <si>
    <t>=NL("Sum","Item Ledger Entry","Quantity","Entry Type","Consumption","Entry No.",I1899,"Location Code",$L$7)</t>
  </si>
  <si>
    <t>=NL("Sum","Item Ledger Entry","Quantity","Entry Type","Consumption","Entry No.",I1900,"Location Code",$L$7)</t>
  </si>
  <si>
    <t>=NL("Sum","Item Ledger Entry","Quantity","Entry Type","Consumption","Entry No.",I1901,"Location Code",$L$7)</t>
  </si>
  <si>
    <t>=NL("Sum","Item Ledger Entry","Quantity","Entry Type","Consumption","Entry No.",I1902,"Location Code",$L$7)</t>
  </si>
  <si>
    <t>=NL("Sum","Item Ledger Entry","Quantity","Entry Type","Consumption","Entry No.",I1903,"Location Code",$L$7)</t>
  </si>
  <si>
    <t>=NL("Sum","Item Ledger Entry","Quantity","Entry Type","Consumption","Entry No.",I1904,"Location Code",$L$7)</t>
  </si>
  <si>
    <t>=NL("Sum","Item Ledger Entry","Quantity","Entry Type","Consumption","Entry No.",I1905,"Location Code",$L$7)</t>
  </si>
  <si>
    <t>=NL("Sum","Item Ledger Entry","Quantity","Entry Type","Consumption","Entry No.",I1906,"Location Code",$L$7)</t>
  </si>
  <si>
    <t>=NL("Sum","Item Ledger Entry","Quantity","Entry Type","Consumption","Entry No.",I1907,"Location Code",$L$7)</t>
  </si>
  <si>
    <t>=NL("Sum","Item Ledger Entry","Quantity","Entry Type","Consumption","Entry No.",I1908,"Location Code",$L$7)</t>
  </si>
  <si>
    <t>=NL("Sum","Item Ledger Entry","Quantity","Entry Type","Consumption","Entry No.",I1909,"Location Code",$L$7)</t>
  </si>
  <si>
    <t>=NL("Sum","Item Ledger Entry","Quantity","Entry Type","Consumption","Entry No.",I1910,"Location Code",$L$7)</t>
  </si>
  <si>
    <t>=NL("Sum","Item Ledger Entry","Quantity","Entry Type","Consumption","Entry No.",I1911,"Location Code",$L$7)</t>
  </si>
  <si>
    <t>=NL("Sum","Item Ledger Entry","Quantity","Entry Type","Consumption","Entry No.",I1912,"Location Code",$L$7)</t>
  </si>
  <si>
    <t>=NL("Sum","Item Ledger Entry","Quantity","Entry Type","Consumption","Entry No.",I1913,"Location Code",$L$7)</t>
  </si>
  <si>
    <t>=NL("Sum","Item Ledger Entry","Quantity","Entry Type","Consumption","Entry No.",I1914,"Location Code",$L$7)</t>
  </si>
  <si>
    <t>=NL("Sum","Item Ledger Entry","Quantity","Entry Type","Consumption","Entry No.",I1915,"Location Code",$L$7)</t>
  </si>
  <si>
    <t>=NL("Sum","Item Ledger Entry","Quantity","Entry Type","Output","Entry No.",I1899,"Location Code",$L$7)</t>
  </si>
  <si>
    <t>=NL("Sum","Item Ledger Entry","Quantity","Entry Type","Output","Entry No.",I1900,"Location Code",$L$7)</t>
  </si>
  <si>
    <t>=NL("Sum","Item Ledger Entry","Quantity","Entry Type","Output","Entry No.",I1901,"Location Code",$L$7)</t>
  </si>
  <si>
    <t>=NL("Sum","Item Ledger Entry","Quantity","Entry Type","Output","Entry No.",I1902,"Location Code",$L$7)</t>
  </si>
  <si>
    <t>=NL("Sum","Item Ledger Entry","Quantity","Entry Type","Output","Entry No.",I1903,"Location Code",$L$7)</t>
  </si>
  <si>
    <t>=NL("Sum","Item Ledger Entry","Quantity","Entry Type","Output","Entry No.",I1904,"Location Code",$L$7)</t>
  </si>
  <si>
    <t>=NL("Sum","Item Ledger Entry","Quantity","Entry Type","Output","Entry No.",I1905,"Location Code",$L$7)</t>
  </si>
  <si>
    <t>=NL("Sum","Item Ledger Entry","Quantity","Entry Type","Output","Entry No.",I1906,"Location Code",$L$7)</t>
  </si>
  <si>
    <t>=NL("Sum","Item Ledger Entry","Quantity","Entry Type","Output","Entry No.",I1907,"Location Code",$L$7)</t>
  </si>
  <si>
    <t>=NL("Sum","Item Ledger Entry","Quantity","Entry Type","Output","Entry No.",I1908,"Location Code",$L$7)</t>
  </si>
  <si>
    <t>=NL("Sum","Item Ledger Entry","Quantity","Entry Type","Output","Entry No.",I1909,"Location Code",$L$7)</t>
  </si>
  <si>
    <t>=NL("Sum","Item Ledger Entry","Quantity","Entry Type","Output","Entry No.",I1910,"Location Code",$L$7)</t>
  </si>
  <si>
    <t>=NL("Sum","Item Ledger Entry","Quantity","Entry Type","Output","Entry No.",I1911,"Location Code",$L$7)</t>
  </si>
  <si>
    <t>=NL("Sum","Item Ledger Entry","Quantity","Entry Type","Output","Entry No.",I1912,"Location Code",$L$7)</t>
  </si>
  <si>
    <t>=NL("Sum","Item Ledger Entry","Quantity","Entry Type","Output","Entry No.",I1913,"Location Code",$L$7)</t>
  </si>
  <si>
    <t>=NL("Sum","Item Ledger Entry","Quantity","Entry Type","Output","Entry No.",I1914,"Location Code",$L$7)</t>
  </si>
  <si>
    <t>=NL("Sum","Item Ledger Entry","Quantity","Entry Type","Output","Entry No.",I1915,"Location Code",$L$7)</t>
  </si>
  <si>
    <t>=NF(G1899,"Source Type")</t>
  </si>
  <si>
    <t>=NF(G1900,"Source Type")</t>
  </si>
  <si>
    <t>=NF(G1901,"Source Type")</t>
  </si>
  <si>
    <t>=NF(G1902,"Source Type")</t>
  </si>
  <si>
    <t>=NF(G1903,"Source Type")</t>
  </si>
  <si>
    <t>=NF(G1904,"Source Type")</t>
  </si>
  <si>
    <t>=NF(G1905,"Source Type")</t>
  </si>
  <si>
    <t>=NF(G1906,"Source Type")</t>
  </si>
  <si>
    <t>=NF(G1907,"Source Type")</t>
  </si>
  <si>
    <t>=NF(G1908,"Source Type")</t>
  </si>
  <si>
    <t>=NF(G1909,"Source Type")</t>
  </si>
  <si>
    <t>=NF(G1910,"Source Type")</t>
  </si>
  <si>
    <t>=NF(G1911,"Source Type")</t>
  </si>
  <si>
    <t>=NF(G1912,"Source Type")</t>
  </si>
  <si>
    <t>=NF(G1913,"Source Type")</t>
  </si>
  <si>
    <t>=NF(G1914,"Source Type")</t>
  </si>
  <si>
    <t>=NF(G1915,"Source Type")</t>
  </si>
  <si>
    <t>=NF($G1899,"Source No.")</t>
  </si>
  <si>
    <t>=NF($G1900,"Source No.")</t>
  </si>
  <si>
    <t>=NF($G1901,"Source No.")</t>
  </si>
  <si>
    <t>=NF($G1902,"Source No.")</t>
  </si>
  <si>
    <t>=NF($G1903,"Source No.")</t>
  </si>
  <si>
    <t>=NF($G1904,"Source No.")</t>
  </si>
  <si>
    <t>=NF($G1905,"Source No.")</t>
  </si>
  <si>
    <t>=NF($G1906,"Source No.")</t>
  </si>
  <si>
    <t>=NF($G1907,"Source No.")</t>
  </si>
  <si>
    <t>=NF($G1908,"Source No.")</t>
  </si>
  <si>
    <t>=NF($G1909,"Source No.")</t>
  </si>
  <si>
    <t>=NF($G1910,"Source No.")</t>
  </si>
  <si>
    <t>=NF($G1911,"Source No.")</t>
  </si>
  <si>
    <t>=NF($G1912,"Source No.")</t>
  </si>
  <si>
    <t>=NF($G1913,"Source No.")</t>
  </si>
  <si>
    <t>=NF($G1914,"Source No.")</t>
  </si>
  <si>
    <t>=NF($G1915,"Source No.")</t>
  </si>
  <si>
    <t>=NF($G1873,"Posting Date")</t>
  </si>
  <si>
    <t>=NF($G1874,"Posting Date")</t>
  </si>
  <si>
    <t>=NF($G1875,"Posting Date")</t>
  </si>
  <si>
    <t>=NF($G1876,"Posting Date")</t>
  </si>
  <si>
    <t>=NF($G1877,"Posting Date")</t>
  </si>
  <si>
    <t>=NF($G1878,"Posting Date")</t>
  </si>
  <si>
    <t>=NF($G1879,"Posting Date")</t>
  </si>
  <si>
    <t>=NF($G1880,"Posting Date")</t>
  </si>
  <si>
    <t>=NF($G1881,"Posting Date")</t>
  </si>
  <si>
    <t>=NF($G1882,"Posting Date")</t>
  </si>
  <si>
    <t>=NF($G1883,"Posting Date")</t>
  </si>
  <si>
    <t>=NF($G1884,"Posting Date")</t>
  </si>
  <si>
    <t>=NF($G1885,"Posting Date")</t>
  </si>
  <si>
    <t>=NF($G1886,"Posting Date")</t>
  </si>
  <si>
    <t>=NF($G1887,"Posting Date")</t>
  </si>
  <si>
    <t>=NF($G1888,"Posting Date")</t>
  </si>
  <si>
    <t>=NF($G1889,"Posting Date")</t>
  </si>
  <si>
    <t>=NF($G1890,"Posting Date")</t>
  </si>
  <si>
    <t>=NF($G1891,"Posting Date")</t>
  </si>
  <si>
    <t>=NF($G1892,"Posting Date")</t>
  </si>
  <si>
    <t>=NF($G1893,"Posting Date")</t>
  </si>
  <si>
    <t>=NF($G1894,"Posting Date")</t>
  </si>
  <si>
    <t>=NF($G1895,"Posting Date")</t>
  </si>
  <si>
    <t>=NF($G1873,"Entry No.")</t>
  </si>
  <si>
    <t>=NF($G1874,"Entry No.")</t>
  </si>
  <si>
    <t>=NF($G1875,"Entry No.")</t>
  </si>
  <si>
    <t>=NF($G1876,"Entry No.")</t>
  </si>
  <si>
    <t>=NF($G1877,"Entry No.")</t>
  </si>
  <si>
    <t>=NF($G1878,"Entry No.")</t>
  </si>
  <si>
    <t>=NF($G1879,"Entry No.")</t>
  </si>
  <si>
    <t>=NF($G1880,"Entry No.")</t>
  </si>
  <si>
    <t>=NF($G1881,"Entry No.")</t>
  </si>
  <si>
    <t>=NF($G1882,"Entry No.")</t>
  </si>
  <si>
    <t>=NF($G1883,"Entry No.")</t>
  </si>
  <si>
    <t>=NF($G1884,"Entry No.")</t>
  </si>
  <si>
    <t>=NF($G1885,"Entry No.")</t>
  </si>
  <si>
    <t>=NF($G1886,"Entry No.")</t>
  </si>
  <si>
    <t>=NF($G1887,"Entry No.")</t>
  </si>
  <si>
    <t>=NF($G1888,"Entry No.")</t>
  </si>
  <si>
    <t>=NF($G1889,"Entry No.")</t>
  </si>
  <si>
    <t>=NF($G1890,"Entry No.")</t>
  </si>
  <si>
    <t>=NF($G1891,"Entry No.")</t>
  </si>
  <si>
    <t>=NF($G1892,"Entry No.")</t>
  </si>
  <si>
    <t>=NF($G1893,"Entry No.")</t>
  </si>
  <si>
    <t>=NF($G1894,"Entry No.")</t>
  </si>
  <si>
    <t>=NF($G1895,"Entry No.")</t>
  </si>
  <si>
    <t>=NL("Sum","Item Ledger Entry","Quantity","Entry Type","Purchase","Entry No.",I1873,"Location Code",$L$7)</t>
  </si>
  <si>
    <t>=NL("Sum","Item Ledger Entry","Quantity","Entry Type","Purchase","Entry No.",I1874,"Location Code",$L$7)</t>
  </si>
  <si>
    <t>=NL("Sum","Item Ledger Entry","Quantity","Entry Type","Purchase","Entry No.",I1875,"Location Code",$L$7)</t>
  </si>
  <si>
    <t>=NL("Sum","Item Ledger Entry","Quantity","Entry Type","Purchase","Entry No.",I1876,"Location Code",$L$7)</t>
  </si>
  <si>
    <t>=NL("Sum","Item Ledger Entry","Quantity","Entry Type","Purchase","Entry No.",I1877,"Location Code",$L$7)</t>
  </si>
  <si>
    <t>=NL("Sum","Item Ledger Entry","Quantity","Entry Type","Purchase","Entry No.",I1878,"Location Code",$L$7)</t>
  </si>
  <si>
    <t>=NL("Sum","Item Ledger Entry","Quantity","Entry Type","Purchase","Entry No.",I1879,"Location Code",$L$7)</t>
  </si>
  <si>
    <t>=NL("Sum","Item Ledger Entry","Quantity","Entry Type","Purchase","Entry No.",I1880,"Location Code",$L$7)</t>
  </si>
  <si>
    <t>=NL("Sum","Item Ledger Entry","Quantity","Entry Type","Purchase","Entry No.",I1881,"Location Code",$L$7)</t>
  </si>
  <si>
    <t>=NL("Sum","Item Ledger Entry","Quantity","Entry Type","Purchase","Entry No.",I1882,"Location Code",$L$7)</t>
  </si>
  <si>
    <t>=NL("Sum","Item Ledger Entry","Quantity","Entry Type","Purchase","Entry No.",I1883,"Location Code",$L$7)</t>
  </si>
  <si>
    <t>=NL("Sum","Item Ledger Entry","Quantity","Entry Type","Purchase","Entry No.",I1884,"Location Code",$L$7)</t>
  </si>
  <si>
    <t>=NL("Sum","Item Ledger Entry","Quantity","Entry Type","Purchase","Entry No.",I1885,"Location Code",$L$7)</t>
  </si>
  <si>
    <t>=NL("Sum","Item Ledger Entry","Quantity","Entry Type","Purchase","Entry No.",I1886,"Location Code",$L$7)</t>
  </si>
  <si>
    <t>=NL("Sum","Item Ledger Entry","Quantity","Entry Type","Purchase","Entry No.",I1887,"Location Code",$L$7)</t>
  </si>
  <si>
    <t>=NL("Sum","Item Ledger Entry","Quantity","Entry Type","Purchase","Entry No.",I1888,"Location Code",$L$7)</t>
  </si>
  <si>
    <t>=NL("Sum","Item Ledger Entry","Quantity","Entry Type","Purchase","Entry No.",I1889,"Location Code",$L$7)</t>
  </si>
  <si>
    <t>=NL("Sum","Item Ledger Entry","Quantity","Entry Type","Purchase","Entry No.",I1890,"Location Code",$L$7)</t>
  </si>
  <si>
    <t>=NL("Sum","Item Ledger Entry","Quantity","Entry Type","Purchase","Entry No.",I1891,"Location Code",$L$7)</t>
  </si>
  <si>
    <t>=NL("Sum","Item Ledger Entry","Quantity","Entry Type","Purchase","Entry No.",I1892,"Location Code",$L$7)</t>
  </si>
  <si>
    <t>=NL("Sum","Item Ledger Entry","Quantity","Entry Type","Purchase","Entry No.",I1893,"Location Code",$L$7)</t>
  </si>
  <si>
    <t>=NL("Sum","Item Ledger Entry","Quantity","Entry Type","Purchase","Entry No.",I1894,"Location Code",$L$7)</t>
  </si>
  <si>
    <t>=NL("Sum","Item Ledger Entry","Quantity","Entry Type","Purchase","Entry No.",I1895,"Location Code",$L$7)</t>
  </si>
  <si>
    <t>=NL("Sum","Item Ledger Entry","Quantity","Entry Type","Sale","Entry No.",I1873,"Location Code",$L$7)</t>
  </si>
  <si>
    <t>=NL("Sum","Item Ledger Entry","Quantity","Entry Type","Sale","Entry No.",I1874,"Location Code",$L$7)</t>
  </si>
  <si>
    <t>=NL("Sum","Item Ledger Entry","Quantity","Entry Type","Sale","Entry No.",I1875,"Location Code",$L$7)</t>
  </si>
  <si>
    <t>=NL("Sum","Item Ledger Entry","Quantity","Entry Type","Sale","Entry No.",I1876,"Location Code",$L$7)</t>
  </si>
  <si>
    <t>=NL("Sum","Item Ledger Entry","Quantity","Entry Type","Sale","Entry No.",I1877,"Location Code",$L$7)</t>
  </si>
  <si>
    <t>=NL("Sum","Item Ledger Entry","Quantity","Entry Type","Sale","Entry No.",I1878,"Location Code",$L$7)</t>
  </si>
  <si>
    <t>=NL("Sum","Item Ledger Entry","Quantity","Entry Type","Sale","Entry No.",I1879,"Location Code",$L$7)</t>
  </si>
  <si>
    <t>=NL("Sum","Item Ledger Entry","Quantity","Entry Type","Sale","Entry No.",I1880,"Location Code",$L$7)</t>
  </si>
  <si>
    <t>=NL("Sum","Item Ledger Entry","Quantity","Entry Type","Sale","Entry No.",I1881,"Location Code",$L$7)</t>
  </si>
  <si>
    <t>=NL("Sum","Item Ledger Entry","Quantity","Entry Type","Sale","Entry No.",I1882,"Location Code",$L$7)</t>
  </si>
  <si>
    <t>=NL("Sum","Item Ledger Entry","Quantity","Entry Type","Sale","Entry No.",I1883,"Location Code",$L$7)</t>
  </si>
  <si>
    <t>=NL("Sum","Item Ledger Entry","Quantity","Entry Type","Sale","Entry No.",I1884,"Location Code",$L$7)</t>
  </si>
  <si>
    <t>=NL("Sum","Item Ledger Entry","Quantity","Entry Type","Sale","Entry No.",I1885,"Location Code",$L$7)</t>
  </si>
  <si>
    <t>=NL("Sum","Item Ledger Entry","Quantity","Entry Type","Sale","Entry No.",I1886,"Location Code",$L$7)</t>
  </si>
  <si>
    <t>=NL("Sum","Item Ledger Entry","Quantity","Entry Type","Sale","Entry No.",I1887,"Location Code",$L$7)</t>
  </si>
  <si>
    <t>=NL("Sum","Item Ledger Entry","Quantity","Entry Type","Sale","Entry No.",I1888,"Location Code",$L$7)</t>
  </si>
  <si>
    <t>=NL("Sum","Item Ledger Entry","Quantity","Entry Type","Sale","Entry No.",I1889,"Location Code",$L$7)</t>
  </si>
  <si>
    <t>=NL("Sum","Item Ledger Entry","Quantity","Entry Type","Sale","Entry No.",I1890,"Location Code",$L$7)</t>
  </si>
  <si>
    <t>=NL("Sum","Item Ledger Entry","Quantity","Entry Type","Sale","Entry No.",I1891,"Location Code",$L$7)</t>
  </si>
  <si>
    <t>=NL("Sum","Item Ledger Entry","Quantity","Entry Type","Sale","Entry No.",I1892,"Location Code",$L$7)</t>
  </si>
  <si>
    <t>=NL("Sum","Item Ledger Entry","Quantity","Entry Type","Sale","Entry No.",I1893,"Location Code",$L$7)</t>
  </si>
  <si>
    <t>=NL("Sum","Item Ledger Entry","Quantity","Entry Type","Sale","Entry No.",I1894,"Location Code",$L$7)</t>
  </si>
  <si>
    <t>=NL("Sum","Item Ledger Entry","Quantity","Entry Type","Sale","Entry No.",I1895,"Location Code",$L$7)</t>
  </si>
  <si>
    <t>=NL("Sum","Item Ledger Entry","Quantity","Entry Type","Positive Adjmt.|Negative Adjmt.","Entry No.",I1873,"Location Code",$L$7)</t>
  </si>
  <si>
    <t>=NL("Sum","Item Ledger Entry","Quantity","Entry Type","Positive Adjmt.|Negative Adjmt.","Entry No.",I1874,"Location Code",$L$7)</t>
  </si>
  <si>
    <t>=NL("Sum","Item Ledger Entry","Quantity","Entry Type","Positive Adjmt.|Negative Adjmt.","Entry No.",I1875,"Location Code",$L$7)</t>
  </si>
  <si>
    <t>=NL("Sum","Item Ledger Entry","Quantity","Entry Type","Positive Adjmt.|Negative Adjmt.","Entry No.",I1876,"Location Code",$L$7)</t>
  </si>
  <si>
    <t>=NL("Sum","Item Ledger Entry","Quantity","Entry Type","Positive Adjmt.|Negative Adjmt.","Entry No.",I1877,"Location Code",$L$7)</t>
  </si>
  <si>
    <t>=NL("Sum","Item Ledger Entry","Quantity","Entry Type","Positive Adjmt.|Negative Adjmt.","Entry No.",I1878,"Location Code",$L$7)</t>
  </si>
  <si>
    <t>=NL("Sum","Item Ledger Entry","Quantity","Entry Type","Positive Adjmt.|Negative Adjmt.","Entry No.",I1879,"Location Code",$L$7)</t>
  </si>
  <si>
    <t>=NL("Sum","Item Ledger Entry","Quantity","Entry Type","Positive Adjmt.|Negative Adjmt.","Entry No.",I1880,"Location Code",$L$7)</t>
  </si>
  <si>
    <t>=NL("Sum","Item Ledger Entry","Quantity","Entry Type","Positive Adjmt.|Negative Adjmt.","Entry No.",I1881,"Location Code",$L$7)</t>
  </si>
  <si>
    <t>=NL("Sum","Item Ledger Entry","Quantity","Entry Type","Positive Adjmt.|Negative Adjmt.","Entry No.",I1882,"Location Code",$L$7)</t>
  </si>
  <si>
    <t>=NL("Sum","Item Ledger Entry","Quantity","Entry Type","Positive Adjmt.|Negative Adjmt.","Entry No.",I1883,"Location Code",$L$7)</t>
  </si>
  <si>
    <t>=NL("Sum","Item Ledger Entry","Quantity","Entry Type","Positive Adjmt.|Negative Adjmt.","Entry No.",I1884,"Location Code",$L$7)</t>
  </si>
  <si>
    <t>=NL("Sum","Item Ledger Entry","Quantity","Entry Type","Positive Adjmt.|Negative Adjmt.","Entry No.",I1885,"Location Code",$L$7)</t>
  </si>
  <si>
    <t>=NL("Sum","Item Ledger Entry","Quantity","Entry Type","Positive Adjmt.|Negative Adjmt.","Entry No.",I1886,"Location Code",$L$7)</t>
  </si>
  <si>
    <t>=NL("Sum","Item Ledger Entry","Quantity","Entry Type","Positive Adjmt.|Negative Adjmt.","Entry No.",I1887,"Location Code",$L$7)</t>
  </si>
  <si>
    <t>=NL("Sum","Item Ledger Entry","Quantity","Entry Type","Positive Adjmt.|Negative Adjmt.","Entry No.",I1888,"Location Code",$L$7)</t>
  </si>
  <si>
    <t>=NL("Sum","Item Ledger Entry","Quantity","Entry Type","Positive Adjmt.|Negative Adjmt.","Entry No.",I1889,"Location Code",$L$7)</t>
  </si>
  <si>
    <t>=NL("Sum","Item Ledger Entry","Quantity","Entry Type","Positive Adjmt.|Negative Adjmt.","Entry No.",I1890,"Location Code",$L$7)</t>
  </si>
  <si>
    <t>=NL("Sum","Item Ledger Entry","Quantity","Entry Type","Positive Adjmt.|Negative Adjmt.","Entry No.",I1891,"Location Code",$L$7)</t>
  </si>
  <si>
    <t>=NL("Sum","Item Ledger Entry","Quantity","Entry Type","Positive Adjmt.|Negative Adjmt.","Entry No.",I1892,"Location Code",$L$7)</t>
  </si>
  <si>
    <t>=NL("Sum","Item Ledger Entry","Quantity","Entry Type","Positive Adjmt.|Negative Adjmt.","Entry No.",I1893,"Location Code",$L$7)</t>
  </si>
  <si>
    <t>=NL("Sum","Item Ledger Entry","Quantity","Entry Type","Positive Adjmt.|Negative Adjmt.","Entry No.",I1894,"Location Code",$L$7)</t>
  </si>
  <si>
    <t>=NL("Sum","Item Ledger Entry","Quantity","Entry Type","Positive Adjmt.|Negative Adjmt.","Entry No.",I1895,"Location Code",$L$7)</t>
  </si>
  <si>
    <t>=NL("Sum","Item Ledger Entry","Quantity","Entry Type","Transfer","Entry No.",I1873,"Location Code",$L$7)</t>
  </si>
  <si>
    <t>=NL("Sum","Item Ledger Entry","Quantity","Entry Type","Transfer","Entry No.",I1874,"Location Code",$L$7)</t>
  </si>
  <si>
    <t>=NL("Sum","Item Ledger Entry","Quantity","Entry Type","Transfer","Entry No.",I1875,"Location Code",$L$7)</t>
  </si>
  <si>
    <t>=NL("Sum","Item Ledger Entry","Quantity","Entry Type","Transfer","Entry No.",I1876,"Location Code",$L$7)</t>
  </si>
  <si>
    <t>=NL("Sum","Item Ledger Entry","Quantity","Entry Type","Transfer","Entry No.",I1877,"Location Code",$L$7)</t>
  </si>
  <si>
    <t>=NL("Sum","Item Ledger Entry","Quantity","Entry Type","Transfer","Entry No.",I1878,"Location Code",$L$7)</t>
  </si>
  <si>
    <t>=NL("Sum","Item Ledger Entry","Quantity","Entry Type","Transfer","Entry No.",I1879,"Location Code",$L$7)</t>
  </si>
  <si>
    <t>=NL("Sum","Item Ledger Entry","Quantity","Entry Type","Transfer","Entry No.",I1880,"Location Code",$L$7)</t>
  </si>
  <si>
    <t>=NL("Sum","Item Ledger Entry","Quantity","Entry Type","Transfer","Entry No.",I1881,"Location Code",$L$7)</t>
  </si>
  <si>
    <t>=NL("Sum","Item Ledger Entry","Quantity","Entry Type","Transfer","Entry No.",I1882,"Location Code",$L$7)</t>
  </si>
  <si>
    <t>=NL("Sum","Item Ledger Entry","Quantity","Entry Type","Transfer","Entry No.",I1883,"Location Code",$L$7)</t>
  </si>
  <si>
    <t>=NL("Sum","Item Ledger Entry","Quantity","Entry Type","Transfer","Entry No.",I1884,"Location Code",$L$7)</t>
  </si>
  <si>
    <t>=NL("Sum","Item Ledger Entry","Quantity","Entry Type","Transfer","Entry No.",I1885,"Location Code",$L$7)</t>
  </si>
  <si>
    <t>=NL("Sum","Item Ledger Entry","Quantity","Entry Type","Transfer","Entry No.",I1886,"Location Code",$L$7)</t>
  </si>
  <si>
    <t>=NL("Sum","Item Ledger Entry","Quantity","Entry Type","Transfer","Entry No.",I1887,"Location Code",$L$7)</t>
  </si>
  <si>
    <t>=NL("Sum","Item Ledger Entry","Quantity","Entry Type","Transfer","Entry No.",I1888,"Location Code",$L$7)</t>
  </si>
  <si>
    <t>=NL("Sum","Item Ledger Entry","Quantity","Entry Type","Transfer","Entry No.",I1889,"Location Code",$L$7)</t>
  </si>
  <si>
    <t>=NL("Sum","Item Ledger Entry","Quantity","Entry Type","Transfer","Entry No.",I1890,"Location Code",$L$7)</t>
  </si>
  <si>
    <t>=NL("Sum","Item Ledger Entry","Quantity","Entry Type","Transfer","Entry No.",I1891,"Location Code",$L$7)</t>
  </si>
  <si>
    <t>=NL("Sum","Item Ledger Entry","Quantity","Entry Type","Transfer","Entry No.",I1892,"Location Code",$L$7)</t>
  </si>
  <si>
    <t>=NL("Sum","Item Ledger Entry","Quantity","Entry Type","Transfer","Entry No.",I1893,"Location Code",$L$7)</t>
  </si>
  <si>
    <t>=NL("Sum","Item Ledger Entry","Quantity","Entry Type","Transfer","Entry No.",I1894,"Location Code",$L$7)</t>
  </si>
  <si>
    <t>=NL("Sum","Item Ledger Entry","Quantity","Entry Type","Transfer","Entry No.",I1895,"Location Code",$L$7)</t>
  </si>
  <si>
    <t>=NL("Sum","Item Ledger Entry","Quantity","Entry Type","Consumption","Entry No.",I1873,"Location Code",$L$7)</t>
  </si>
  <si>
    <t>=NL("Sum","Item Ledger Entry","Quantity","Entry Type","Consumption","Entry No.",I1874,"Location Code",$L$7)</t>
  </si>
  <si>
    <t>=NL("Sum","Item Ledger Entry","Quantity","Entry Type","Consumption","Entry No.",I1875,"Location Code",$L$7)</t>
  </si>
  <si>
    <t>=NL("Sum","Item Ledger Entry","Quantity","Entry Type","Consumption","Entry No.",I1876,"Location Code",$L$7)</t>
  </si>
  <si>
    <t>=NL("Sum","Item Ledger Entry","Quantity","Entry Type","Consumption","Entry No.",I1877,"Location Code",$L$7)</t>
  </si>
  <si>
    <t>=NL("Sum","Item Ledger Entry","Quantity","Entry Type","Consumption","Entry No.",I1878,"Location Code",$L$7)</t>
  </si>
  <si>
    <t>=NL("Sum","Item Ledger Entry","Quantity","Entry Type","Consumption","Entry No.",I1879,"Location Code",$L$7)</t>
  </si>
  <si>
    <t>=NL("Sum","Item Ledger Entry","Quantity","Entry Type","Consumption","Entry No.",I1880,"Location Code",$L$7)</t>
  </si>
  <si>
    <t>=NL("Sum","Item Ledger Entry","Quantity","Entry Type","Consumption","Entry No.",I1881,"Location Code",$L$7)</t>
  </si>
  <si>
    <t>=NL("Sum","Item Ledger Entry","Quantity","Entry Type","Consumption","Entry No.",I1882,"Location Code",$L$7)</t>
  </si>
  <si>
    <t>=NL("Sum","Item Ledger Entry","Quantity","Entry Type","Consumption","Entry No.",I1883,"Location Code",$L$7)</t>
  </si>
  <si>
    <t>=NL("Sum","Item Ledger Entry","Quantity","Entry Type","Consumption","Entry No.",I1884,"Location Code",$L$7)</t>
  </si>
  <si>
    <t>=NL("Sum","Item Ledger Entry","Quantity","Entry Type","Consumption","Entry No.",I1885,"Location Code",$L$7)</t>
  </si>
  <si>
    <t>=NL("Sum","Item Ledger Entry","Quantity","Entry Type","Consumption","Entry No.",I1886,"Location Code",$L$7)</t>
  </si>
  <si>
    <t>=NL("Sum","Item Ledger Entry","Quantity","Entry Type","Consumption","Entry No.",I1887,"Location Code",$L$7)</t>
  </si>
  <si>
    <t>=NL("Sum","Item Ledger Entry","Quantity","Entry Type","Consumption","Entry No.",I1888,"Location Code",$L$7)</t>
  </si>
  <si>
    <t>=NL("Sum","Item Ledger Entry","Quantity","Entry Type","Consumption","Entry No.",I1889,"Location Code",$L$7)</t>
  </si>
  <si>
    <t>=NL("Sum","Item Ledger Entry","Quantity","Entry Type","Consumption","Entry No.",I1890,"Location Code",$L$7)</t>
  </si>
  <si>
    <t>=NL("Sum","Item Ledger Entry","Quantity","Entry Type","Consumption","Entry No.",I1891,"Location Code",$L$7)</t>
  </si>
  <si>
    <t>=NL("Sum","Item Ledger Entry","Quantity","Entry Type","Consumption","Entry No.",I1892,"Location Code",$L$7)</t>
  </si>
  <si>
    <t>=NL("Sum","Item Ledger Entry","Quantity","Entry Type","Consumption","Entry No.",I1893,"Location Code",$L$7)</t>
  </si>
  <si>
    <t>=NL("Sum","Item Ledger Entry","Quantity","Entry Type","Consumption","Entry No.",I1894,"Location Code",$L$7)</t>
  </si>
  <si>
    <t>=NL("Sum","Item Ledger Entry","Quantity","Entry Type","Consumption","Entry No.",I1895,"Location Code",$L$7)</t>
  </si>
  <si>
    <t>=NL("Sum","Item Ledger Entry","Quantity","Entry Type","Output","Entry No.",I1873,"Location Code",$L$7)</t>
  </si>
  <si>
    <t>=NL("Sum","Item Ledger Entry","Quantity","Entry Type","Output","Entry No.",I1874,"Location Code",$L$7)</t>
  </si>
  <si>
    <t>=NL("Sum","Item Ledger Entry","Quantity","Entry Type","Output","Entry No.",I1875,"Location Code",$L$7)</t>
  </si>
  <si>
    <t>=NL("Sum","Item Ledger Entry","Quantity","Entry Type","Output","Entry No.",I1876,"Location Code",$L$7)</t>
  </si>
  <si>
    <t>=NL("Sum","Item Ledger Entry","Quantity","Entry Type","Output","Entry No.",I1877,"Location Code",$L$7)</t>
  </si>
  <si>
    <t>=NL("Sum","Item Ledger Entry","Quantity","Entry Type","Output","Entry No.",I1878,"Location Code",$L$7)</t>
  </si>
  <si>
    <t>=NL("Sum","Item Ledger Entry","Quantity","Entry Type","Output","Entry No.",I1879,"Location Code",$L$7)</t>
  </si>
  <si>
    <t>=NL("Sum","Item Ledger Entry","Quantity","Entry Type","Output","Entry No.",I1880,"Location Code",$L$7)</t>
  </si>
  <si>
    <t>=NL("Sum","Item Ledger Entry","Quantity","Entry Type","Output","Entry No.",I1881,"Location Code",$L$7)</t>
  </si>
  <si>
    <t>=NL("Sum","Item Ledger Entry","Quantity","Entry Type","Output","Entry No.",I1882,"Location Code",$L$7)</t>
  </si>
  <si>
    <t>=NL("Sum","Item Ledger Entry","Quantity","Entry Type","Output","Entry No.",I1883,"Location Code",$L$7)</t>
  </si>
  <si>
    <t>=NL("Sum","Item Ledger Entry","Quantity","Entry Type","Output","Entry No.",I1884,"Location Code",$L$7)</t>
  </si>
  <si>
    <t>=NL("Sum","Item Ledger Entry","Quantity","Entry Type","Output","Entry No.",I1885,"Location Code",$L$7)</t>
  </si>
  <si>
    <t>=NL("Sum","Item Ledger Entry","Quantity","Entry Type","Output","Entry No.",I1886,"Location Code",$L$7)</t>
  </si>
  <si>
    <t>=NL("Sum","Item Ledger Entry","Quantity","Entry Type","Output","Entry No.",I1887,"Location Code",$L$7)</t>
  </si>
  <si>
    <t>=NL("Sum","Item Ledger Entry","Quantity","Entry Type","Output","Entry No.",I1888,"Location Code",$L$7)</t>
  </si>
  <si>
    <t>=NL("Sum","Item Ledger Entry","Quantity","Entry Type","Output","Entry No.",I1889,"Location Code",$L$7)</t>
  </si>
  <si>
    <t>=NL("Sum","Item Ledger Entry","Quantity","Entry Type","Output","Entry No.",I1890,"Location Code",$L$7)</t>
  </si>
  <si>
    <t>=NL("Sum","Item Ledger Entry","Quantity","Entry Type","Output","Entry No.",I1891,"Location Code",$L$7)</t>
  </si>
  <si>
    <t>=NL("Sum","Item Ledger Entry","Quantity","Entry Type","Output","Entry No.",I1892,"Location Code",$L$7)</t>
  </si>
  <si>
    <t>=NL("Sum","Item Ledger Entry","Quantity","Entry Type","Output","Entry No.",I1893,"Location Code",$L$7)</t>
  </si>
  <si>
    <t>=NL("Sum","Item Ledger Entry","Quantity","Entry Type","Output","Entry No.",I1894,"Location Code",$L$7)</t>
  </si>
  <si>
    <t>=NL("Sum","Item Ledger Entry","Quantity","Entry Type","Output","Entry No.",I1895,"Location Code",$L$7)</t>
  </si>
  <si>
    <t>=NF(G1873,"Source Type")</t>
  </si>
  <si>
    <t>=NF(G1874,"Source Type")</t>
  </si>
  <si>
    <t>=NF(G1875,"Source Type")</t>
  </si>
  <si>
    <t>=NF(G1876,"Source Type")</t>
  </si>
  <si>
    <t>=NF(G1877,"Source Type")</t>
  </si>
  <si>
    <t>=NF(G1878,"Source Type")</t>
  </si>
  <si>
    <t>=NF(G1879,"Source Type")</t>
  </si>
  <si>
    <t>=NF(G1880,"Source Type")</t>
  </si>
  <si>
    <t>=NF(G1881,"Source Type")</t>
  </si>
  <si>
    <t>=NF(G1882,"Source Type")</t>
  </si>
  <si>
    <t>=NF(G1883,"Source Type")</t>
  </si>
  <si>
    <t>=NF(G1884,"Source Type")</t>
  </si>
  <si>
    <t>=NF(G1885,"Source Type")</t>
  </si>
  <si>
    <t>=NF(G1886,"Source Type")</t>
  </si>
  <si>
    <t>=NF(G1887,"Source Type")</t>
  </si>
  <si>
    <t>=NF(G1888,"Source Type")</t>
  </si>
  <si>
    <t>=NF(G1889,"Source Type")</t>
  </si>
  <si>
    <t>=NF(G1890,"Source Type")</t>
  </si>
  <si>
    <t>=NF(G1891,"Source Type")</t>
  </si>
  <si>
    <t>=NF(G1892,"Source Type")</t>
  </si>
  <si>
    <t>=NF(G1893,"Source Type")</t>
  </si>
  <si>
    <t>=NF(G1894,"Source Type")</t>
  </si>
  <si>
    <t>=NF(G1895,"Source Type")</t>
  </si>
  <si>
    <t>=NF($G1873,"Source No.")</t>
  </si>
  <si>
    <t>=NF($G1874,"Source No.")</t>
  </si>
  <si>
    <t>=NF($G1875,"Source No.")</t>
  </si>
  <si>
    <t>=NF($G1876,"Source No.")</t>
  </si>
  <si>
    <t>=NF($G1877,"Source No.")</t>
  </si>
  <si>
    <t>=NF($G1878,"Source No.")</t>
  </si>
  <si>
    <t>=NF($G1879,"Source No.")</t>
  </si>
  <si>
    <t>=NF($G1880,"Source No.")</t>
  </si>
  <si>
    <t>=NF($G1881,"Source No.")</t>
  </si>
  <si>
    <t>=NF($G1882,"Source No.")</t>
  </si>
  <si>
    <t>=NF($G1883,"Source No.")</t>
  </si>
  <si>
    <t>=NF($G1884,"Source No.")</t>
  </si>
  <si>
    <t>=NF($G1885,"Source No.")</t>
  </si>
  <si>
    <t>=NF($G1886,"Source No.")</t>
  </si>
  <si>
    <t>=NF($G1887,"Source No.")</t>
  </si>
  <si>
    <t>=NF($G1888,"Source No.")</t>
  </si>
  <si>
    <t>=NF($G1889,"Source No.")</t>
  </si>
  <si>
    <t>=NF($G1890,"Source No.")</t>
  </si>
  <si>
    <t>=NF($G1891,"Source No.")</t>
  </si>
  <si>
    <t>=NF($G1892,"Source No.")</t>
  </si>
  <si>
    <t>=NF($G1893,"Source No.")</t>
  </si>
  <si>
    <t>=NF($G1894,"Source No.")</t>
  </si>
  <si>
    <t>=NF($G1895,"Source No.")</t>
  </si>
  <si>
    <t>=NF($G1857,"Posting Date")</t>
  </si>
  <si>
    <t>=NF($G1858,"Posting Date")</t>
  </si>
  <si>
    <t>=NF($G1859,"Posting Date")</t>
  </si>
  <si>
    <t>=NF($G1860,"Posting Date")</t>
  </si>
  <si>
    <t>=NF($G1861,"Posting Date")</t>
  </si>
  <si>
    <t>=NF($G1862,"Posting Date")</t>
  </si>
  <si>
    <t>=NF($G1863,"Posting Date")</t>
  </si>
  <si>
    <t>=NF($G1864,"Posting Date")</t>
  </si>
  <si>
    <t>=NF($G1865,"Posting Date")</t>
  </si>
  <si>
    <t>=NF($G1866,"Posting Date")</t>
  </si>
  <si>
    <t>=NF($G1867,"Posting Date")</t>
  </si>
  <si>
    <t>=NF($G1868,"Posting Date")</t>
  </si>
  <si>
    <t>=NF($G1869,"Posting Date")</t>
  </si>
  <si>
    <t>=NF($G1857,"Entry No.")</t>
  </si>
  <si>
    <t>=NF($G1858,"Entry No.")</t>
  </si>
  <si>
    <t>=NF($G1859,"Entry No.")</t>
  </si>
  <si>
    <t>=NF($G1860,"Entry No.")</t>
  </si>
  <si>
    <t>=NF($G1861,"Entry No.")</t>
  </si>
  <si>
    <t>=NF($G1862,"Entry No.")</t>
  </si>
  <si>
    <t>=NF($G1863,"Entry No.")</t>
  </si>
  <si>
    <t>=NF($G1864,"Entry No.")</t>
  </si>
  <si>
    <t>=NF($G1865,"Entry No.")</t>
  </si>
  <si>
    <t>=NF($G1866,"Entry No.")</t>
  </si>
  <si>
    <t>=NF($G1867,"Entry No.")</t>
  </si>
  <si>
    <t>=NF($G1868,"Entry No.")</t>
  </si>
  <si>
    <t>=NF($G1869,"Entry No.")</t>
  </si>
  <si>
    <t>=NL("Sum","Item Ledger Entry","Quantity","Entry Type","Purchase","Entry No.",I1857,"Location Code",$L$7)</t>
  </si>
  <si>
    <t>=NL("Sum","Item Ledger Entry","Quantity","Entry Type","Purchase","Entry No.",I1858,"Location Code",$L$7)</t>
  </si>
  <si>
    <t>=NL("Sum","Item Ledger Entry","Quantity","Entry Type","Purchase","Entry No.",I1859,"Location Code",$L$7)</t>
  </si>
  <si>
    <t>=NL("Sum","Item Ledger Entry","Quantity","Entry Type","Purchase","Entry No.",I1860,"Location Code",$L$7)</t>
  </si>
  <si>
    <t>=NL("Sum","Item Ledger Entry","Quantity","Entry Type","Purchase","Entry No.",I1861,"Location Code",$L$7)</t>
  </si>
  <si>
    <t>=NL("Sum","Item Ledger Entry","Quantity","Entry Type","Purchase","Entry No.",I1862,"Location Code",$L$7)</t>
  </si>
  <si>
    <t>=NL("Sum","Item Ledger Entry","Quantity","Entry Type","Purchase","Entry No.",I1863,"Location Code",$L$7)</t>
  </si>
  <si>
    <t>=NL("Sum","Item Ledger Entry","Quantity","Entry Type","Purchase","Entry No.",I1864,"Location Code",$L$7)</t>
  </si>
  <si>
    <t>=NL("Sum","Item Ledger Entry","Quantity","Entry Type","Purchase","Entry No.",I1865,"Location Code",$L$7)</t>
  </si>
  <si>
    <t>=NL("Sum","Item Ledger Entry","Quantity","Entry Type","Purchase","Entry No.",I1866,"Location Code",$L$7)</t>
  </si>
  <si>
    <t>=NL("Sum","Item Ledger Entry","Quantity","Entry Type","Purchase","Entry No.",I1867,"Location Code",$L$7)</t>
  </si>
  <si>
    <t>=NL("Sum","Item Ledger Entry","Quantity","Entry Type","Purchase","Entry No.",I1868,"Location Code",$L$7)</t>
  </si>
  <si>
    <t>=NL("Sum","Item Ledger Entry","Quantity","Entry Type","Purchase","Entry No.",I1869,"Location Code",$L$7)</t>
  </si>
  <si>
    <t>=NL("Sum","Item Ledger Entry","Quantity","Entry Type","Sale","Entry No.",I1857,"Location Code",$L$7)</t>
  </si>
  <si>
    <t>=NL("Sum","Item Ledger Entry","Quantity","Entry Type","Sale","Entry No.",I1858,"Location Code",$L$7)</t>
  </si>
  <si>
    <t>=NL("Sum","Item Ledger Entry","Quantity","Entry Type","Sale","Entry No.",I1859,"Location Code",$L$7)</t>
  </si>
  <si>
    <t>=NL("Sum","Item Ledger Entry","Quantity","Entry Type","Sale","Entry No.",I1860,"Location Code",$L$7)</t>
  </si>
  <si>
    <t>=NL("Sum","Item Ledger Entry","Quantity","Entry Type","Sale","Entry No.",I1861,"Location Code",$L$7)</t>
  </si>
  <si>
    <t>=NL("Sum","Item Ledger Entry","Quantity","Entry Type","Sale","Entry No.",I1862,"Location Code",$L$7)</t>
  </si>
  <si>
    <t>=NL("Sum","Item Ledger Entry","Quantity","Entry Type","Sale","Entry No.",I1863,"Location Code",$L$7)</t>
  </si>
  <si>
    <t>=NL("Sum","Item Ledger Entry","Quantity","Entry Type","Sale","Entry No.",I1864,"Location Code",$L$7)</t>
  </si>
  <si>
    <t>=NL("Sum","Item Ledger Entry","Quantity","Entry Type","Sale","Entry No.",I1865,"Location Code",$L$7)</t>
  </si>
  <si>
    <t>=NL("Sum","Item Ledger Entry","Quantity","Entry Type","Sale","Entry No.",I1866,"Location Code",$L$7)</t>
  </si>
  <si>
    <t>=NL("Sum","Item Ledger Entry","Quantity","Entry Type","Sale","Entry No.",I1867,"Location Code",$L$7)</t>
  </si>
  <si>
    <t>=NL("Sum","Item Ledger Entry","Quantity","Entry Type","Sale","Entry No.",I1868,"Location Code",$L$7)</t>
  </si>
  <si>
    <t>=NL("Sum","Item Ledger Entry","Quantity","Entry Type","Sale","Entry No.",I1869,"Location Code",$L$7)</t>
  </si>
  <si>
    <t>=NL("Sum","Item Ledger Entry","Quantity","Entry Type","Positive Adjmt.|Negative Adjmt.","Entry No.",I1857,"Location Code",$L$7)</t>
  </si>
  <si>
    <t>=NL("Sum","Item Ledger Entry","Quantity","Entry Type","Positive Adjmt.|Negative Adjmt.","Entry No.",I1858,"Location Code",$L$7)</t>
  </si>
  <si>
    <t>=NL("Sum","Item Ledger Entry","Quantity","Entry Type","Positive Adjmt.|Negative Adjmt.","Entry No.",I1859,"Location Code",$L$7)</t>
  </si>
  <si>
    <t>=NL("Sum","Item Ledger Entry","Quantity","Entry Type","Positive Adjmt.|Negative Adjmt.","Entry No.",I1860,"Location Code",$L$7)</t>
  </si>
  <si>
    <t>=NL("Sum","Item Ledger Entry","Quantity","Entry Type","Positive Adjmt.|Negative Adjmt.","Entry No.",I1861,"Location Code",$L$7)</t>
  </si>
  <si>
    <t>=NL("Sum","Item Ledger Entry","Quantity","Entry Type","Positive Adjmt.|Negative Adjmt.","Entry No.",I1862,"Location Code",$L$7)</t>
  </si>
  <si>
    <t>=NL("Sum","Item Ledger Entry","Quantity","Entry Type","Positive Adjmt.|Negative Adjmt.","Entry No.",I1863,"Location Code",$L$7)</t>
  </si>
  <si>
    <t>=NL("Sum","Item Ledger Entry","Quantity","Entry Type","Positive Adjmt.|Negative Adjmt.","Entry No.",I1864,"Location Code",$L$7)</t>
  </si>
  <si>
    <t>=NL("Sum","Item Ledger Entry","Quantity","Entry Type","Positive Adjmt.|Negative Adjmt.","Entry No.",I1865,"Location Code",$L$7)</t>
  </si>
  <si>
    <t>=NL("Sum","Item Ledger Entry","Quantity","Entry Type","Positive Adjmt.|Negative Adjmt.","Entry No.",I1866,"Location Code",$L$7)</t>
  </si>
  <si>
    <t>=NL("Sum","Item Ledger Entry","Quantity","Entry Type","Positive Adjmt.|Negative Adjmt.","Entry No.",I1867,"Location Code",$L$7)</t>
  </si>
  <si>
    <t>=NL("Sum","Item Ledger Entry","Quantity","Entry Type","Positive Adjmt.|Negative Adjmt.","Entry No.",I1868,"Location Code",$L$7)</t>
  </si>
  <si>
    <t>=NL("Sum","Item Ledger Entry","Quantity","Entry Type","Positive Adjmt.|Negative Adjmt.","Entry No.",I1869,"Location Code",$L$7)</t>
  </si>
  <si>
    <t>=NL("Sum","Item Ledger Entry","Quantity","Entry Type","Transfer","Entry No.",I1857,"Location Code",$L$7)</t>
  </si>
  <si>
    <t>=NL("Sum","Item Ledger Entry","Quantity","Entry Type","Transfer","Entry No.",I1858,"Location Code",$L$7)</t>
  </si>
  <si>
    <t>=NL("Sum","Item Ledger Entry","Quantity","Entry Type","Transfer","Entry No.",I1859,"Location Code",$L$7)</t>
  </si>
  <si>
    <t>=NL("Sum","Item Ledger Entry","Quantity","Entry Type","Transfer","Entry No.",I1860,"Location Code",$L$7)</t>
  </si>
  <si>
    <t>=NL("Sum","Item Ledger Entry","Quantity","Entry Type","Transfer","Entry No.",I1861,"Location Code",$L$7)</t>
  </si>
  <si>
    <t>=NL("Sum","Item Ledger Entry","Quantity","Entry Type","Transfer","Entry No.",I1862,"Location Code",$L$7)</t>
  </si>
  <si>
    <t>=NL("Sum","Item Ledger Entry","Quantity","Entry Type","Transfer","Entry No.",I1863,"Location Code",$L$7)</t>
  </si>
  <si>
    <t>=NL("Sum","Item Ledger Entry","Quantity","Entry Type","Transfer","Entry No.",I1864,"Location Code",$L$7)</t>
  </si>
  <si>
    <t>=NL("Sum","Item Ledger Entry","Quantity","Entry Type","Transfer","Entry No.",I1865,"Location Code",$L$7)</t>
  </si>
  <si>
    <t>=NL("Sum","Item Ledger Entry","Quantity","Entry Type","Transfer","Entry No.",I1866,"Location Code",$L$7)</t>
  </si>
  <si>
    <t>=NL("Sum","Item Ledger Entry","Quantity","Entry Type","Transfer","Entry No.",I1867,"Location Code",$L$7)</t>
  </si>
  <si>
    <t>=NL("Sum","Item Ledger Entry","Quantity","Entry Type","Transfer","Entry No.",I1868,"Location Code",$L$7)</t>
  </si>
  <si>
    <t>=NL("Sum","Item Ledger Entry","Quantity","Entry Type","Transfer","Entry No.",I1869,"Location Code",$L$7)</t>
  </si>
  <si>
    <t>=NL("Sum","Item Ledger Entry","Quantity","Entry Type","Consumption","Entry No.",I1857,"Location Code",$L$7)</t>
  </si>
  <si>
    <t>=NL("Sum","Item Ledger Entry","Quantity","Entry Type","Consumption","Entry No.",I1858,"Location Code",$L$7)</t>
  </si>
  <si>
    <t>=NL("Sum","Item Ledger Entry","Quantity","Entry Type","Consumption","Entry No.",I1859,"Location Code",$L$7)</t>
  </si>
  <si>
    <t>=NL("Sum","Item Ledger Entry","Quantity","Entry Type","Consumption","Entry No.",I1860,"Location Code",$L$7)</t>
  </si>
  <si>
    <t>=NL("Sum","Item Ledger Entry","Quantity","Entry Type","Consumption","Entry No.",I1861,"Location Code",$L$7)</t>
  </si>
  <si>
    <t>=NL("Sum","Item Ledger Entry","Quantity","Entry Type","Consumption","Entry No.",I1862,"Location Code",$L$7)</t>
  </si>
  <si>
    <t>=NL("Sum","Item Ledger Entry","Quantity","Entry Type","Consumption","Entry No.",I1863,"Location Code",$L$7)</t>
  </si>
  <si>
    <t>=NL("Sum","Item Ledger Entry","Quantity","Entry Type","Consumption","Entry No.",I1864,"Location Code",$L$7)</t>
  </si>
  <si>
    <t>=NL("Sum","Item Ledger Entry","Quantity","Entry Type","Consumption","Entry No.",I1865,"Location Code",$L$7)</t>
  </si>
  <si>
    <t>=NL("Sum","Item Ledger Entry","Quantity","Entry Type","Consumption","Entry No.",I1866,"Location Code",$L$7)</t>
  </si>
  <si>
    <t>=NL("Sum","Item Ledger Entry","Quantity","Entry Type","Consumption","Entry No.",I1867,"Location Code",$L$7)</t>
  </si>
  <si>
    <t>=NL("Sum","Item Ledger Entry","Quantity","Entry Type","Consumption","Entry No.",I1868,"Location Code",$L$7)</t>
  </si>
  <si>
    <t>=NL("Sum","Item Ledger Entry","Quantity","Entry Type","Consumption","Entry No.",I1869,"Location Code",$L$7)</t>
  </si>
  <si>
    <t>=NL("Sum","Item Ledger Entry","Quantity","Entry Type","Output","Entry No.",I1857,"Location Code",$L$7)</t>
  </si>
  <si>
    <t>=NL("Sum","Item Ledger Entry","Quantity","Entry Type","Output","Entry No.",I1858,"Location Code",$L$7)</t>
  </si>
  <si>
    <t>=NL("Sum","Item Ledger Entry","Quantity","Entry Type","Output","Entry No.",I1859,"Location Code",$L$7)</t>
  </si>
  <si>
    <t>=NL("Sum","Item Ledger Entry","Quantity","Entry Type","Output","Entry No.",I1860,"Location Code",$L$7)</t>
  </si>
  <si>
    <t>=NL("Sum","Item Ledger Entry","Quantity","Entry Type","Output","Entry No.",I1861,"Location Code",$L$7)</t>
  </si>
  <si>
    <t>=NL("Sum","Item Ledger Entry","Quantity","Entry Type","Output","Entry No.",I1862,"Location Code",$L$7)</t>
  </si>
  <si>
    <t>=NL("Sum","Item Ledger Entry","Quantity","Entry Type","Output","Entry No.",I1863,"Location Code",$L$7)</t>
  </si>
  <si>
    <t>=NL("Sum","Item Ledger Entry","Quantity","Entry Type","Output","Entry No.",I1864,"Location Code",$L$7)</t>
  </si>
  <si>
    <t>=NL("Sum","Item Ledger Entry","Quantity","Entry Type","Output","Entry No.",I1865,"Location Code",$L$7)</t>
  </si>
  <si>
    <t>=NL("Sum","Item Ledger Entry","Quantity","Entry Type","Output","Entry No.",I1866,"Location Code",$L$7)</t>
  </si>
  <si>
    <t>=NL("Sum","Item Ledger Entry","Quantity","Entry Type","Output","Entry No.",I1867,"Location Code",$L$7)</t>
  </si>
  <si>
    <t>=NL("Sum","Item Ledger Entry","Quantity","Entry Type","Output","Entry No.",I1868,"Location Code",$L$7)</t>
  </si>
  <si>
    <t>=NL("Sum","Item Ledger Entry","Quantity","Entry Type","Output","Entry No.",I1869,"Location Code",$L$7)</t>
  </si>
  <si>
    <t>=NF(G1857,"Source Type")</t>
  </si>
  <si>
    <t>=NF(G1858,"Source Type")</t>
  </si>
  <si>
    <t>=NF(G1859,"Source Type")</t>
  </si>
  <si>
    <t>=NF(G1860,"Source Type")</t>
  </si>
  <si>
    <t>=NF(G1861,"Source Type")</t>
  </si>
  <si>
    <t>=NF(G1862,"Source Type")</t>
  </si>
  <si>
    <t>=NF(G1863,"Source Type")</t>
  </si>
  <si>
    <t>=NF(G1864,"Source Type")</t>
  </si>
  <si>
    <t>=NF(G1865,"Source Type")</t>
  </si>
  <si>
    <t>=NF(G1866,"Source Type")</t>
  </si>
  <si>
    <t>=NF(G1867,"Source Type")</t>
  </si>
  <si>
    <t>=NF(G1868,"Source Type")</t>
  </si>
  <si>
    <t>=NF(G1869,"Source Type")</t>
  </si>
  <si>
    <t>=NF($G1857,"Source No.")</t>
  </si>
  <si>
    <t>=NF($G1858,"Source No.")</t>
  </si>
  <si>
    <t>=NF($G1859,"Source No.")</t>
  </si>
  <si>
    <t>=NF($G1860,"Source No.")</t>
  </si>
  <si>
    <t>=NF($G1861,"Source No.")</t>
  </si>
  <si>
    <t>=NF($G1862,"Source No.")</t>
  </si>
  <si>
    <t>=NF($G1863,"Source No.")</t>
  </si>
  <si>
    <t>=NF($G1864,"Source No.")</t>
  </si>
  <si>
    <t>=NF($G1865,"Source No.")</t>
  </si>
  <si>
    <t>=NF($G1866,"Source No.")</t>
  </si>
  <si>
    <t>=NF($G1867,"Source No.")</t>
  </si>
  <si>
    <t>=NF($G1868,"Source No.")</t>
  </si>
  <si>
    <t>=NF($G1869,"Source No.")</t>
  </si>
  <si>
    <t>=NF($G1842,"Posting Date")</t>
  </si>
  <si>
    <t>=NF($G1843,"Posting Date")</t>
  </si>
  <si>
    <t>=NF($G1844,"Posting Date")</t>
  </si>
  <si>
    <t>=NF($G1845,"Posting Date")</t>
  </si>
  <si>
    <t>=NF($G1846,"Posting Date")</t>
  </si>
  <si>
    <t>=NF($G1847,"Posting Date")</t>
  </si>
  <si>
    <t>=NF($G1848,"Posting Date")</t>
  </si>
  <si>
    <t>=NF($G1849,"Posting Date")</t>
  </si>
  <si>
    <t>=NF($G1850,"Posting Date")</t>
  </si>
  <si>
    <t>=NF($G1851,"Posting Date")</t>
  </si>
  <si>
    <t>=NF($G1852,"Posting Date")</t>
  </si>
  <si>
    <t>=NF($G1853,"Posting Date")</t>
  </si>
  <si>
    <t>=NF($G1842,"Entry No.")</t>
  </si>
  <si>
    <t>=NF($G1843,"Entry No.")</t>
  </si>
  <si>
    <t>=NF($G1844,"Entry No.")</t>
  </si>
  <si>
    <t>=NF($G1845,"Entry No.")</t>
  </si>
  <si>
    <t>=NF($G1846,"Entry No.")</t>
  </si>
  <si>
    <t>=NF($G1847,"Entry No.")</t>
  </si>
  <si>
    <t>=NF($G1848,"Entry No.")</t>
  </si>
  <si>
    <t>=NF($G1849,"Entry No.")</t>
  </si>
  <si>
    <t>=NF($G1850,"Entry No.")</t>
  </si>
  <si>
    <t>=NF($G1851,"Entry No.")</t>
  </si>
  <si>
    <t>=NF($G1852,"Entry No.")</t>
  </si>
  <si>
    <t>=NF($G1853,"Entry No.")</t>
  </si>
  <si>
    <t>=NL("Sum","Item Ledger Entry","Quantity","Entry Type","Purchase","Entry No.",I1842,"Location Code",$L$7)</t>
  </si>
  <si>
    <t>=NL("Sum","Item Ledger Entry","Quantity","Entry Type","Purchase","Entry No.",I1843,"Location Code",$L$7)</t>
  </si>
  <si>
    <t>=NL("Sum","Item Ledger Entry","Quantity","Entry Type","Purchase","Entry No.",I1844,"Location Code",$L$7)</t>
  </si>
  <si>
    <t>=NL("Sum","Item Ledger Entry","Quantity","Entry Type","Purchase","Entry No.",I1845,"Location Code",$L$7)</t>
  </si>
  <si>
    <t>=NL("Sum","Item Ledger Entry","Quantity","Entry Type","Purchase","Entry No.",I1846,"Location Code",$L$7)</t>
  </si>
  <si>
    <t>=NL("Sum","Item Ledger Entry","Quantity","Entry Type","Purchase","Entry No.",I1847,"Location Code",$L$7)</t>
  </si>
  <si>
    <t>=NL("Sum","Item Ledger Entry","Quantity","Entry Type","Purchase","Entry No.",I1848,"Location Code",$L$7)</t>
  </si>
  <si>
    <t>=NL("Sum","Item Ledger Entry","Quantity","Entry Type","Purchase","Entry No.",I1849,"Location Code",$L$7)</t>
  </si>
  <si>
    <t>=NL("Sum","Item Ledger Entry","Quantity","Entry Type","Purchase","Entry No.",I1850,"Location Code",$L$7)</t>
  </si>
  <si>
    <t>=NL("Sum","Item Ledger Entry","Quantity","Entry Type","Purchase","Entry No.",I1851,"Location Code",$L$7)</t>
  </si>
  <si>
    <t>=NL("Sum","Item Ledger Entry","Quantity","Entry Type","Purchase","Entry No.",I1852,"Location Code",$L$7)</t>
  </si>
  <si>
    <t>=NL("Sum","Item Ledger Entry","Quantity","Entry Type","Purchase","Entry No.",I1853,"Location Code",$L$7)</t>
  </si>
  <si>
    <t>=NL("Sum","Item Ledger Entry","Quantity","Entry Type","Sale","Entry No.",I1842,"Location Code",$L$7)</t>
  </si>
  <si>
    <t>=NL("Sum","Item Ledger Entry","Quantity","Entry Type","Sale","Entry No.",I1843,"Location Code",$L$7)</t>
  </si>
  <si>
    <t>=NL("Sum","Item Ledger Entry","Quantity","Entry Type","Sale","Entry No.",I1844,"Location Code",$L$7)</t>
  </si>
  <si>
    <t>=NL("Sum","Item Ledger Entry","Quantity","Entry Type","Sale","Entry No.",I1845,"Location Code",$L$7)</t>
  </si>
  <si>
    <t>=NL("Sum","Item Ledger Entry","Quantity","Entry Type","Sale","Entry No.",I1846,"Location Code",$L$7)</t>
  </si>
  <si>
    <t>=NL("Sum","Item Ledger Entry","Quantity","Entry Type","Sale","Entry No.",I1847,"Location Code",$L$7)</t>
  </si>
  <si>
    <t>=NL("Sum","Item Ledger Entry","Quantity","Entry Type","Sale","Entry No.",I1848,"Location Code",$L$7)</t>
  </si>
  <si>
    <t>=NL("Sum","Item Ledger Entry","Quantity","Entry Type","Sale","Entry No.",I1849,"Location Code",$L$7)</t>
  </si>
  <si>
    <t>=NL("Sum","Item Ledger Entry","Quantity","Entry Type","Sale","Entry No.",I1850,"Location Code",$L$7)</t>
  </si>
  <si>
    <t>=NL("Sum","Item Ledger Entry","Quantity","Entry Type","Sale","Entry No.",I1851,"Location Code",$L$7)</t>
  </si>
  <si>
    <t>=NL("Sum","Item Ledger Entry","Quantity","Entry Type","Sale","Entry No.",I1852,"Location Code",$L$7)</t>
  </si>
  <si>
    <t>=NL("Sum","Item Ledger Entry","Quantity","Entry Type","Sale","Entry No.",I1853,"Location Code",$L$7)</t>
  </si>
  <si>
    <t>=NL("Sum","Item Ledger Entry","Quantity","Entry Type","Positive Adjmt.|Negative Adjmt.","Entry No.",I1842,"Location Code",$L$7)</t>
  </si>
  <si>
    <t>=NL("Sum","Item Ledger Entry","Quantity","Entry Type","Positive Adjmt.|Negative Adjmt.","Entry No.",I1843,"Location Code",$L$7)</t>
  </si>
  <si>
    <t>=NL("Sum","Item Ledger Entry","Quantity","Entry Type","Positive Adjmt.|Negative Adjmt.","Entry No.",I1844,"Location Code",$L$7)</t>
  </si>
  <si>
    <t>=NL("Sum","Item Ledger Entry","Quantity","Entry Type","Positive Adjmt.|Negative Adjmt.","Entry No.",I1845,"Location Code",$L$7)</t>
  </si>
  <si>
    <t>=NL("Sum","Item Ledger Entry","Quantity","Entry Type","Positive Adjmt.|Negative Adjmt.","Entry No.",I1846,"Location Code",$L$7)</t>
  </si>
  <si>
    <t>=NL("Sum","Item Ledger Entry","Quantity","Entry Type","Positive Adjmt.|Negative Adjmt.","Entry No.",I1847,"Location Code",$L$7)</t>
  </si>
  <si>
    <t>=NL("Sum","Item Ledger Entry","Quantity","Entry Type","Positive Adjmt.|Negative Adjmt.","Entry No.",I1848,"Location Code",$L$7)</t>
  </si>
  <si>
    <t>=NL("Sum","Item Ledger Entry","Quantity","Entry Type","Positive Adjmt.|Negative Adjmt.","Entry No.",I1849,"Location Code",$L$7)</t>
  </si>
  <si>
    <t>=NL("Sum","Item Ledger Entry","Quantity","Entry Type","Positive Adjmt.|Negative Adjmt.","Entry No.",I1850,"Location Code",$L$7)</t>
  </si>
  <si>
    <t>=NL("Sum","Item Ledger Entry","Quantity","Entry Type","Positive Adjmt.|Negative Adjmt.","Entry No.",I1851,"Location Code",$L$7)</t>
  </si>
  <si>
    <t>=NL("Sum","Item Ledger Entry","Quantity","Entry Type","Positive Adjmt.|Negative Adjmt.","Entry No.",I1852,"Location Code",$L$7)</t>
  </si>
  <si>
    <t>=NL("Sum","Item Ledger Entry","Quantity","Entry Type","Positive Adjmt.|Negative Adjmt.","Entry No.",I1853,"Location Code",$L$7)</t>
  </si>
  <si>
    <t>=NL("Sum","Item Ledger Entry","Quantity","Entry Type","Transfer","Entry No.",I1842,"Location Code",$L$7)</t>
  </si>
  <si>
    <t>=NL("Sum","Item Ledger Entry","Quantity","Entry Type","Transfer","Entry No.",I1843,"Location Code",$L$7)</t>
  </si>
  <si>
    <t>=NL("Sum","Item Ledger Entry","Quantity","Entry Type","Transfer","Entry No.",I1844,"Location Code",$L$7)</t>
  </si>
  <si>
    <t>=NL("Sum","Item Ledger Entry","Quantity","Entry Type","Transfer","Entry No.",I1845,"Location Code",$L$7)</t>
  </si>
  <si>
    <t>=NL("Sum","Item Ledger Entry","Quantity","Entry Type","Transfer","Entry No.",I1846,"Location Code",$L$7)</t>
  </si>
  <si>
    <t>=NL("Sum","Item Ledger Entry","Quantity","Entry Type","Transfer","Entry No.",I1847,"Location Code",$L$7)</t>
  </si>
  <si>
    <t>=NL("Sum","Item Ledger Entry","Quantity","Entry Type","Transfer","Entry No.",I1848,"Location Code",$L$7)</t>
  </si>
  <si>
    <t>=NL("Sum","Item Ledger Entry","Quantity","Entry Type","Transfer","Entry No.",I1849,"Location Code",$L$7)</t>
  </si>
  <si>
    <t>=NL("Sum","Item Ledger Entry","Quantity","Entry Type","Transfer","Entry No.",I1850,"Location Code",$L$7)</t>
  </si>
  <si>
    <t>=NL("Sum","Item Ledger Entry","Quantity","Entry Type","Transfer","Entry No.",I1851,"Location Code",$L$7)</t>
  </si>
  <si>
    <t>=NL("Sum","Item Ledger Entry","Quantity","Entry Type","Transfer","Entry No.",I1852,"Location Code",$L$7)</t>
  </si>
  <si>
    <t>=NL("Sum","Item Ledger Entry","Quantity","Entry Type","Transfer","Entry No.",I1853,"Location Code",$L$7)</t>
  </si>
  <si>
    <t>=NL("Sum","Item Ledger Entry","Quantity","Entry Type","Consumption","Entry No.",I1842,"Location Code",$L$7)</t>
  </si>
  <si>
    <t>=NL("Sum","Item Ledger Entry","Quantity","Entry Type","Consumption","Entry No.",I1843,"Location Code",$L$7)</t>
  </si>
  <si>
    <t>=NL("Sum","Item Ledger Entry","Quantity","Entry Type","Consumption","Entry No.",I1844,"Location Code",$L$7)</t>
  </si>
  <si>
    <t>=NL("Sum","Item Ledger Entry","Quantity","Entry Type","Consumption","Entry No.",I1845,"Location Code",$L$7)</t>
  </si>
  <si>
    <t>=NL("Sum","Item Ledger Entry","Quantity","Entry Type","Consumption","Entry No.",I1846,"Location Code",$L$7)</t>
  </si>
  <si>
    <t>=NL("Sum","Item Ledger Entry","Quantity","Entry Type","Consumption","Entry No.",I1847,"Location Code",$L$7)</t>
  </si>
  <si>
    <t>=NL("Sum","Item Ledger Entry","Quantity","Entry Type","Consumption","Entry No.",I1848,"Location Code",$L$7)</t>
  </si>
  <si>
    <t>=NL("Sum","Item Ledger Entry","Quantity","Entry Type","Consumption","Entry No.",I1849,"Location Code",$L$7)</t>
  </si>
  <si>
    <t>=NL("Sum","Item Ledger Entry","Quantity","Entry Type","Consumption","Entry No.",I1850,"Location Code",$L$7)</t>
  </si>
  <si>
    <t>=NL("Sum","Item Ledger Entry","Quantity","Entry Type","Consumption","Entry No.",I1851,"Location Code",$L$7)</t>
  </si>
  <si>
    <t>=NL("Sum","Item Ledger Entry","Quantity","Entry Type","Consumption","Entry No.",I1852,"Location Code",$L$7)</t>
  </si>
  <si>
    <t>=NL("Sum","Item Ledger Entry","Quantity","Entry Type","Consumption","Entry No.",I1853,"Location Code",$L$7)</t>
  </si>
  <si>
    <t>=NL("Sum","Item Ledger Entry","Quantity","Entry Type","Output","Entry No.",I1842,"Location Code",$L$7)</t>
  </si>
  <si>
    <t>=NL("Sum","Item Ledger Entry","Quantity","Entry Type","Output","Entry No.",I1843,"Location Code",$L$7)</t>
  </si>
  <si>
    <t>=NL("Sum","Item Ledger Entry","Quantity","Entry Type","Output","Entry No.",I1844,"Location Code",$L$7)</t>
  </si>
  <si>
    <t>=NL("Sum","Item Ledger Entry","Quantity","Entry Type","Output","Entry No.",I1845,"Location Code",$L$7)</t>
  </si>
  <si>
    <t>=NL("Sum","Item Ledger Entry","Quantity","Entry Type","Output","Entry No.",I1846,"Location Code",$L$7)</t>
  </si>
  <si>
    <t>=NL("Sum","Item Ledger Entry","Quantity","Entry Type","Output","Entry No.",I1847,"Location Code",$L$7)</t>
  </si>
  <si>
    <t>=NL("Sum","Item Ledger Entry","Quantity","Entry Type","Output","Entry No.",I1848,"Location Code",$L$7)</t>
  </si>
  <si>
    <t>=NL("Sum","Item Ledger Entry","Quantity","Entry Type","Output","Entry No.",I1849,"Location Code",$L$7)</t>
  </si>
  <si>
    <t>=NL("Sum","Item Ledger Entry","Quantity","Entry Type","Output","Entry No.",I1850,"Location Code",$L$7)</t>
  </si>
  <si>
    <t>=NL("Sum","Item Ledger Entry","Quantity","Entry Type","Output","Entry No.",I1851,"Location Code",$L$7)</t>
  </si>
  <si>
    <t>=NL("Sum","Item Ledger Entry","Quantity","Entry Type","Output","Entry No.",I1852,"Location Code",$L$7)</t>
  </si>
  <si>
    <t>=NL("Sum","Item Ledger Entry","Quantity","Entry Type","Output","Entry No.",I1853,"Location Code",$L$7)</t>
  </si>
  <si>
    <t>=NF(G1842,"Source Type")</t>
  </si>
  <si>
    <t>=NF(G1843,"Source Type")</t>
  </si>
  <si>
    <t>=NF(G1844,"Source Type")</t>
  </si>
  <si>
    <t>=NF(G1845,"Source Type")</t>
  </si>
  <si>
    <t>=NF(G1846,"Source Type")</t>
  </si>
  <si>
    <t>=NF(G1847,"Source Type")</t>
  </si>
  <si>
    <t>=NF(G1848,"Source Type")</t>
  </si>
  <si>
    <t>=NF(G1849,"Source Type")</t>
  </si>
  <si>
    <t>=NF(G1850,"Source Type")</t>
  </si>
  <si>
    <t>=NF(G1851,"Source Type")</t>
  </si>
  <si>
    <t>=NF(G1852,"Source Type")</t>
  </si>
  <si>
    <t>=NF(G1853,"Source Type")</t>
  </si>
  <si>
    <t>=NF($G1842,"Source No.")</t>
  </si>
  <si>
    <t>=NF($G1843,"Source No.")</t>
  </si>
  <si>
    <t>=NF($G1844,"Source No.")</t>
  </si>
  <si>
    <t>=NF($G1845,"Source No.")</t>
  </si>
  <si>
    <t>=NF($G1846,"Source No.")</t>
  </si>
  <si>
    <t>=NF($G1847,"Source No.")</t>
  </si>
  <si>
    <t>=NF($G1848,"Source No.")</t>
  </si>
  <si>
    <t>=NF($G1849,"Source No.")</t>
  </si>
  <si>
    <t>=NF($G1850,"Source No.")</t>
  </si>
  <si>
    <t>=NF($G1851,"Source No.")</t>
  </si>
  <si>
    <t>=NF($G1852,"Source No.")</t>
  </si>
  <si>
    <t>=NF($G1853,"Source No.")</t>
  </si>
  <si>
    <t>=NF($G1828,"Posting Date")</t>
  </si>
  <si>
    <t>=NF($G1829,"Posting Date")</t>
  </si>
  <si>
    <t>=NF($G1830,"Posting Date")</t>
  </si>
  <si>
    <t>=NF($G1831,"Posting Date")</t>
  </si>
  <si>
    <t>=NF($G1832,"Posting Date")</t>
  </si>
  <si>
    <t>=NF($G1833,"Posting Date")</t>
  </si>
  <si>
    <t>=NF($G1834,"Posting Date")</t>
  </si>
  <si>
    <t>=NF($G1835,"Posting Date")</t>
  </si>
  <si>
    <t>=NF($G1836,"Posting Date")</t>
  </si>
  <si>
    <t>=NF($G1837,"Posting Date")</t>
  </si>
  <si>
    <t>=NF($G1838,"Posting Date")</t>
  </si>
  <si>
    <t>=NF($G1828,"Entry No.")</t>
  </si>
  <si>
    <t>=NF($G1829,"Entry No.")</t>
  </si>
  <si>
    <t>=NF($G1830,"Entry No.")</t>
  </si>
  <si>
    <t>=NF($G1831,"Entry No.")</t>
  </si>
  <si>
    <t>=NF($G1832,"Entry No.")</t>
  </si>
  <si>
    <t>=NF($G1833,"Entry No.")</t>
  </si>
  <si>
    <t>=NF($G1834,"Entry No.")</t>
  </si>
  <si>
    <t>=NF($G1835,"Entry No.")</t>
  </si>
  <si>
    <t>=NF($G1836,"Entry No.")</t>
  </si>
  <si>
    <t>=NF($G1837,"Entry No.")</t>
  </si>
  <si>
    <t>=NF($G1838,"Entry No.")</t>
  </si>
  <si>
    <t>=NL("Sum","Item Ledger Entry","Quantity","Entry Type","Purchase","Entry No.",I1828,"Location Code",$L$7)</t>
  </si>
  <si>
    <t>=NL("Sum","Item Ledger Entry","Quantity","Entry Type","Purchase","Entry No.",I1829,"Location Code",$L$7)</t>
  </si>
  <si>
    <t>=NL("Sum","Item Ledger Entry","Quantity","Entry Type","Purchase","Entry No.",I1830,"Location Code",$L$7)</t>
  </si>
  <si>
    <t>=NL("Sum","Item Ledger Entry","Quantity","Entry Type","Purchase","Entry No.",I1831,"Location Code",$L$7)</t>
  </si>
  <si>
    <t>=NL("Sum","Item Ledger Entry","Quantity","Entry Type","Purchase","Entry No.",I1832,"Location Code",$L$7)</t>
  </si>
  <si>
    <t>=NL("Sum","Item Ledger Entry","Quantity","Entry Type","Purchase","Entry No.",I1833,"Location Code",$L$7)</t>
  </si>
  <si>
    <t>=NL("Sum","Item Ledger Entry","Quantity","Entry Type","Purchase","Entry No.",I1834,"Location Code",$L$7)</t>
  </si>
  <si>
    <t>=NL("Sum","Item Ledger Entry","Quantity","Entry Type","Purchase","Entry No.",I1835,"Location Code",$L$7)</t>
  </si>
  <si>
    <t>=NL("Sum","Item Ledger Entry","Quantity","Entry Type","Purchase","Entry No.",I1836,"Location Code",$L$7)</t>
  </si>
  <si>
    <t>=NL("Sum","Item Ledger Entry","Quantity","Entry Type","Purchase","Entry No.",I1837,"Location Code",$L$7)</t>
  </si>
  <si>
    <t>=NL("Sum","Item Ledger Entry","Quantity","Entry Type","Purchase","Entry No.",I1838,"Location Code",$L$7)</t>
  </si>
  <si>
    <t>=NL("Sum","Item Ledger Entry","Quantity","Entry Type","Sale","Entry No.",I1828,"Location Code",$L$7)</t>
  </si>
  <si>
    <t>=NL("Sum","Item Ledger Entry","Quantity","Entry Type","Sale","Entry No.",I1829,"Location Code",$L$7)</t>
  </si>
  <si>
    <t>=NL("Sum","Item Ledger Entry","Quantity","Entry Type","Sale","Entry No.",I1830,"Location Code",$L$7)</t>
  </si>
  <si>
    <t>=NL("Sum","Item Ledger Entry","Quantity","Entry Type","Sale","Entry No.",I1831,"Location Code",$L$7)</t>
  </si>
  <si>
    <t>=NL("Sum","Item Ledger Entry","Quantity","Entry Type","Sale","Entry No.",I1832,"Location Code",$L$7)</t>
  </si>
  <si>
    <t>=NL("Sum","Item Ledger Entry","Quantity","Entry Type","Sale","Entry No.",I1833,"Location Code",$L$7)</t>
  </si>
  <si>
    <t>=NL("Sum","Item Ledger Entry","Quantity","Entry Type","Sale","Entry No.",I1834,"Location Code",$L$7)</t>
  </si>
  <si>
    <t>=NL("Sum","Item Ledger Entry","Quantity","Entry Type","Sale","Entry No.",I1835,"Location Code",$L$7)</t>
  </si>
  <si>
    <t>=NL("Sum","Item Ledger Entry","Quantity","Entry Type","Sale","Entry No.",I1836,"Location Code",$L$7)</t>
  </si>
  <si>
    <t>=NL("Sum","Item Ledger Entry","Quantity","Entry Type","Sale","Entry No.",I1837,"Location Code",$L$7)</t>
  </si>
  <si>
    <t>=NL("Sum","Item Ledger Entry","Quantity","Entry Type","Sale","Entry No.",I1838,"Location Code",$L$7)</t>
  </si>
  <si>
    <t>=NL("Sum","Item Ledger Entry","Quantity","Entry Type","Positive Adjmt.|Negative Adjmt.","Entry No.",I1828,"Location Code",$L$7)</t>
  </si>
  <si>
    <t>=NL("Sum","Item Ledger Entry","Quantity","Entry Type","Positive Adjmt.|Negative Adjmt.","Entry No.",I1829,"Location Code",$L$7)</t>
  </si>
  <si>
    <t>=NL("Sum","Item Ledger Entry","Quantity","Entry Type","Positive Adjmt.|Negative Adjmt.","Entry No.",I1830,"Location Code",$L$7)</t>
  </si>
  <si>
    <t>=NL("Sum","Item Ledger Entry","Quantity","Entry Type","Positive Adjmt.|Negative Adjmt.","Entry No.",I1831,"Location Code",$L$7)</t>
  </si>
  <si>
    <t>=NL("Sum","Item Ledger Entry","Quantity","Entry Type","Positive Adjmt.|Negative Adjmt.","Entry No.",I1832,"Location Code",$L$7)</t>
  </si>
  <si>
    <t>=NL("Sum","Item Ledger Entry","Quantity","Entry Type","Positive Adjmt.|Negative Adjmt.","Entry No.",I1833,"Location Code",$L$7)</t>
  </si>
  <si>
    <t>=NL("Sum","Item Ledger Entry","Quantity","Entry Type","Positive Adjmt.|Negative Adjmt.","Entry No.",I1834,"Location Code",$L$7)</t>
  </si>
  <si>
    <t>=NL("Sum","Item Ledger Entry","Quantity","Entry Type","Positive Adjmt.|Negative Adjmt.","Entry No.",I1835,"Location Code",$L$7)</t>
  </si>
  <si>
    <t>=NL("Sum","Item Ledger Entry","Quantity","Entry Type","Positive Adjmt.|Negative Adjmt.","Entry No.",I1836,"Location Code",$L$7)</t>
  </si>
  <si>
    <t>=NL("Sum","Item Ledger Entry","Quantity","Entry Type","Positive Adjmt.|Negative Adjmt.","Entry No.",I1837,"Location Code",$L$7)</t>
  </si>
  <si>
    <t>=NL("Sum","Item Ledger Entry","Quantity","Entry Type","Positive Adjmt.|Negative Adjmt.","Entry No.",I1838,"Location Code",$L$7)</t>
  </si>
  <si>
    <t>=NL("Sum","Item Ledger Entry","Quantity","Entry Type","Transfer","Entry No.",I1828,"Location Code",$L$7)</t>
  </si>
  <si>
    <t>=NL("Sum","Item Ledger Entry","Quantity","Entry Type","Transfer","Entry No.",I1829,"Location Code",$L$7)</t>
  </si>
  <si>
    <t>=NL("Sum","Item Ledger Entry","Quantity","Entry Type","Transfer","Entry No.",I1830,"Location Code",$L$7)</t>
  </si>
  <si>
    <t>=NL("Sum","Item Ledger Entry","Quantity","Entry Type","Transfer","Entry No.",I1831,"Location Code",$L$7)</t>
  </si>
  <si>
    <t>=NL("Sum","Item Ledger Entry","Quantity","Entry Type","Transfer","Entry No.",I1832,"Location Code",$L$7)</t>
  </si>
  <si>
    <t>=NL("Sum","Item Ledger Entry","Quantity","Entry Type","Transfer","Entry No.",I1833,"Location Code",$L$7)</t>
  </si>
  <si>
    <t>=NL("Sum","Item Ledger Entry","Quantity","Entry Type","Transfer","Entry No.",I1834,"Location Code",$L$7)</t>
  </si>
  <si>
    <t>=NL("Sum","Item Ledger Entry","Quantity","Entry Type","Transfer","Entry No.",I1835,"Location Code",$L$7)</t>
  </si>
  <si>
    <t>=NL("Sum","Item Ledger Entry","Quantity","Entry Type","Transfer","Entry No.",I1836,"Location Code",$L$7)</t>
  </si>
  <si>
    <t>=NL("Sum","Item Ledger Entry","Quantity","Entry Type","Transfer","Entry No.",I1837,"Location Code",$L$7)</t>
  </si>
  <si>
    <t>=NL("Sum","Item Ledger Entry","Quantity","Entry Type","Transfer","Entry No.",I1838,"Location Code",$L$7)</t>
  </si>
  <si>
    <t>=NL("Sum","Item Ledger Entry","Quantity","Entry Type","Consumption","Entry No.",I1828,"Location Code",$L$7)</t>
  </si>
  <si>
    <t>=NL("Sum","Item Ledger Entry","Quantity","Entry Type","Consumption","Entry No.",I1829,"Location Code",$L$7)</t>
  </si>
  <si>
    <t>=NL("Sum","Item Ledger Entry","Quantity","Entry Type","Consumption","Entry No.",I1830,"Location Code",$L$7)</t>
  </si>
  <si>
    <t>=NL("Sum","Item Ledger Entry","Quantity","Entry Type","Consumption","Entry No.",I1831,"Location Code",$L$7)</t>
  </si>
  <si>
    <t>=NL("Sum","Item Ledger Entry","Quantity","Entry Type","Consumption","Entry No.",I1832,"Location Code",$L$7)</t>
  </si>
  <si>
    <t>=NL("Sum","Item Ledger Entry","Quantity","Entry Type","Consumption","Entry No.",I1833,"Location Code",$L$7)</t>
  </si>
  <si>
    <t>=NL("Sum","Item Ledger Entry","Quantity","Entry Type","Consumption","Entry No.",I1834,"Location Code",$L$7)</t>
  </si>
  <si>
    <t>=NL("Sum","Item Ledger Entry","Quantity","Entry Type","Consumption","Entry No.",I1835,"Location Code",$L$7)</t>
  </si>
  <si>
    <t>=NL("Sum","Item Ledger Entry","Quantity","Entry Type","Consumption","Entry No.",I1836,"Location Code",$L$7)</t>
  </si>
  <si>
    <t>=NL("Sum","Item Ledger Entry","Quantity","Entry Type","Consumption","Entry No.",I1837,"Location Code",$L$7)</t>
  </si>
  <si>
    <t>=NL("Sum","Item Ledger Entry","Quantity","Entry Type","Consumption","Entry No.",I1838,"Location Code",$L$7)</t>
  </si>
  <si>
    <t>=NL("Sum","Item Ledger Entry","Quantity","Entry Type","Output","Entry No.",I1828,"Location Code",$L$7)</t>
  </si>
  <si>
    <t>=NL("Sum","Item Ledger Entry","Quantity","Entry Type","Output","Entry No.",I1829,"Location Code",$L$7)</t>
  </si>
  <si>
    <t>=NL("Sum","Item Ledger Entry","Quantity","Entry Type","Output","Entry No.",I1830,"Location Code",$L$7)</t>
  </si>
  <si>
    <t>=NL("Sum","Item Ledger Entry","Quantity","Entry Type","Output","Entry No.",I1831,"Location Code",$L$7)</t>
  </si>
  <si>
    <t>=NL("Sum","Item Ledger Entry","Quantity","Entry Type","Output","Entry No.",I1832,"Location Code",$L$7)</t>
  </si>
  <si>
    <t>=NL("Sum","Item Ledger Entry","Quantity","Entry Type","Output","Entry No.",I1833,"Location Code",$L$7)</t>
  </si>
  <si>
    <t>=NL("Sum","Item Ledger Entry","Quantity","Entry Type","Output","Entry No.",I1834,"Location Code",$L$7)</t>
  </si>
  <si>
    <t>=NL("Sum","Item Ledger Entry","Quantity","Entry Type","Output","Entry No.",I1835,"Location Code",$L$7)</t>
  </si>
  <si>
    <t>=NL("Sum","Item Ledger Entry","Quantity","Entry Type","Output","Entry No.",I1836,"Location Code",$L$7)</t>
  </si>
  <si>
    <t>=NL("Sum","Item Ledger Entry","Quantity","Entry Type","Output","Entry No.",I1837,"Location Code",$L$7)</t>
  </si>
  <si>
    <t>=NL("Sum","Item Ledger Entry","Quantity","Entry Type","Output","Entry No.",I1838,"Location Code",$L$7)</t>
  </si>
  <si>
    <t>=NF(G1828,"Source Type")</t>
  </si>
  <si>
    <t>=NF(G1829,"Source Type")</t>
  </si>
  <si>
    <t>=NF(G1830,"Source Type")</t>
  </si>
  <si>
    <t>=NF(G1831,"Source Type")</t>
  </si>
  <si>
    <t>=NF(G1832,"Source Type")</t>
  </si>
  <si>
    <t>=NF(G1833,"Source Type")</t>
  </si>
  <si>
    <t>=NF(G1834,"Source Type")</t>
  </si>
  <si>
    <t>=NF(G1835,"Source Type")</t>
  </si>
  <si>
    <t>=NF(G1836,"Source Type")</t>
  </si>
  <si>
    <t>=NF(G1837,"Source Type")</t>
  </si>
  <si>
    <t>=NF(G1838,"Source Type")</t>
  </si>
  <si>
    <t>=NF($G1828,"Source No.")</t>
  </si>
  <si>
    <t>=NF($G1829,"Source No.")</t>
  </si>
  <si>
    <t>=NF($G1830,"Source No.")</t>
  </si>
  <si>
    <t>=NF($G1831,"Source No.")</t>
  </si>
  <si>
    <t>=NF($G1832,"Source No.")</t>
  </si>
  <si>
    <t>=NF($G1833,"Source No.")</t>
  </si>
  <si>
    <t>=NF($G1834,"Source No.")</t>
  </si>
  <si>
    <t>=NF($G1835,"Source No.")</t>
  </si>
  <si>
    <t>=NF($G1836,"Source No.")</t>
  </si>
  <si>
    <t>=NF($G1837,"Source No.")</t>
  </si>
  <si>
    <t>=NF($G1838,"Source No.")</t>
  </si>
  <si>
    <t>=NF($G1817,"Posting Date")</t>
  </si>
  <si>
    <t>=NF($G1818,"Posting Date")</t>
  </si>
  <si>
    <t>=NF($G1819,"Posting Date")</t>
  </si>
  <si>
    <t>=NF($G1820,"Posting Date")</t>
  </si>
  <si>
    <t>=NF($G1821,"Posting Date")</t>
  </si>
  <si>
    <t>=NF($G1822,"Posting Date")</t>
  </si>
  <si>
    <t>=NF($G1823,"Posting Date")</t>
  </si>
  <si>
    <t>=NF($G1824,"Posting Date")</t>
  </si>
  <si>
    <t>=NF($G1817,"Entry No.")</t>
  </si>
  <si>
    <t>=NF($G1818,"Entry No.")</t>
  </si>
  <si>
    <t>=NF($G1819,"Entry No.")</t>
  </si>
  <si>
    <t>=NF($G1820,"Entry No.")</t>
  </si>
  <si>
    <t>=NF($G1821,"Entry No.")</t>
  </si>
  <si>
    <t>=NF($G1822,"Entry No.")</t>
  </si>
  <si>
    <t>=NF($G1823,"Entry No.")</t>
  </si>
  <si>
    <t>=NF($G1824,"Entry No.")</t>
  </si>
  <si>
    <t>=NL("Sum","Item Ledger Entry","Quantity","Entry Type","Purchase","Entry No.",I1817,"Location Code",$L$7)</t>
  </si>
  <si>
    <t>=NL("Sum","Item Ledger Entry","Quantity","Entry Type","Purchase","Entry No.",I1818,"Location Code",$L$7)</t>
  </si>
  <si>
    <t>=NL("Sum","Item Ledger Entry","Quantity","Entry Type","Purchase","Entry No.",I1819,"Location Code",$L$7)</t>
  </si>
  <si>
    <t>=NL("Sum","Item Ledger Entry","Quantity","Entry Type","Purchase","Entry No.",I1820,"Location Code",$L$7)</t>
  </si>
  <si>
    <t>=NL("Sum","Item Ledger Entry","Quantity","Entry Type","Purchase","Entry No.",I1821,"Location Code",$L$7)</t>
  </si>
  <si>
    <t>=NL("Sum","Item Ledger Entry","Quantity","Entry Type","Purchase","Entry No.",I1822,"Location Code",$L$7)</t>
  </si>
  <si>
    <t>=NL("Sum","Item Ledger Entry","Quantity","Entry Type","Purchase","Entry No.",I1823,"Location Code",$L$7)</t>
  </si>
  <si>
    <t>=NL("Sum","Item Ledger Entry","Quantity","Entry Type","Purchase","Entry No.",I1824,"Location Code",$L$7)</t>
  </si>
  <si>
    <t>=NL("Sum","Item Ledger Entry","Quantity","Entry Type","Sale","Entry No.",I1817,"Location Code",$L$7)</t>
  </si>
  <si>
    <t>=NL("Sum","Item Ledger Entry","Quantity","Entry Type","Sale","Entry No.",I1818,"Location Code",$L$7)</t>
  </si>
  <si>
    <t>=NL("Sum","Item Ledger Entry","Quantity","Entry Type","Sale","Entry No.",I1819,"Location Code",$L$7)</t>
  </si>
  <si>
    <t>=NL("Sum","Item Ledger Entry","Quantity","Entry Type","Sale","Entry No.",I1820,"Location Code",$L$7)</t>
  </si>
  <si>
    <t>=NL("Sum","Item Ledger Entry","Quantity","Entry Type","Sale","Entry No.",I1821,"Location Code",$L$7)</t>
  </si>
  <si>
    <t>=NL("Sum","Item Ledger Entry","Quantity","Entry Type","Sale","Entry No.",I1822,"Location Code",$L$7)</t>
  </si>
  <si>
    <t>=NL("Sum","Item Ledger Entry","Quantity","Entry Type","Sale","Entry No.",I1823,"Location Code",$L$7)</t>
  </si>
  <si>
    <t>=NL("Sum","Item Ledger Entry","Quantity","Entry Type","Sale","Entry No.",I1824,"Location Code",$L$7)</t>
  </si>
  <si>
    <t>=NL("Sum","Item Ledger Entry","Quantity","Entry Type","Positive Adjmt.|Negative Adjmt.","Entry No.",I1817,"Location Code",$L$7)</t>
  </si>
  <si>
    <t>=NL("Sum","Item Ledger Entry","Quantity","Entry Type","Positive Adjmt.|Negative Adjmt.","Entry No.",I1818,"Location Code",$L$7)</t>
  </si>
  <si>
    <t>=NL("Sum","Item Ledger Entry","Quantity","Entry Type","Positive Adjmt.|Negative Adjmt.","Entry No.",I1819,"Location Code",$L$7)</t>
  </si>
  <si>
    <t>=NL("Sum","Item Ledger Entry","Quantity","Entry Type","Positive Adjmt.|Negative Adjmt.","Entry No.",I1820,"Location Code",$L$7)</t>
  </si>
  <si>
    <t>=NL("Sum","Item Ledger Entry","Quantity","Entry Type","Positive Adjmt.|Negative Adjmt.","Entry No.",I1821,"Location Code",$L$7)</t>
  </si>
  <si>
    <t>=NL("Sum","Item Ledger Entry","Quantity","Entry Type","Positive Adjmt.|Negative Adjmt.","Entry No.",I1822,"Location Code",$L$7)</t>
  </si>
  <si>
    <t>=NL("Sum","Item Ledger Entry","Quantity","Entry Type","Positive Adjmt.|Negative Adjmt.","Entry No.",I1823,"Location Code",$L$7)</t>
  </si>
  <si>
    <t>=NL("Sum","Item Ledger Entry","Quantity","Entry Type","Positive Adjmt.|Negative Adjmt.","Entry No.",I1824,"Location Code",$L$7)</t>
  </si>
  <si>
    <t>=NL("Sum","Item Ledger Entry","Quantity","Entry Type","Transfer","Entry No.",I1817,"Location Code",$L$7)</t>
  </si>
  <si>
    <t>=NL("Sum","Item Ledger Entry","Quantity","Entry Type","Transfer","Entry No.",I1818,"Location Code",$L$7)</t>
  </si>
  <si>
    <t>=NL("Sum","Item Ledger Entry","Quantity","Entry Type","Transfer","Entry No.",I1819,"Location Code",$L$7)</t>
  </si>
  <si>
    <t>=NL("Sum","Item Ledger Entry","Quantity","Entry Type","Transfer","Entry No.",I1820,"Location Code",$L$7)</t>
  </si>
  <si>
    <t>=NL("Sum","Item Ledger Entry","Quantity","Entry Type","Transfer","Entry No.",I1821,"Location Code",$L$7)</t>
  </si>
  <si>
    <t>=NL("Sum","Item Ledger Entry","Quantity","Entry Type","Transfer","Entry No.",I1822,"Location Code",$L$7)</t>
  </si>
  <si>
    <t>=NL("Sum","Item Ledger Entry","Quantity","Entry Type","Transfer","Entry No.",I1823,"Location Code",$L$7)</t>
  </si>
  <si>
    <t>=NL("Sum","Item Ledger Entry","Quantity","Entry Type","Transfer","Entry No.",I1824,"Location Code",$L$7)</t>
  </si>
  <si>
    <t>=NL("Sum","Item Ledger Entry","Quantity","Entry Type","Consumption","Entry No.",I1817,"Location Code",$L$7)</t>
  </si>
  <si>
    <t>=NL("Sum","Item Ledger Entry","Quantity","Entry Type","Consumption","Entry No.",I1818,"Location Code",$L$7)</t>
  </si>
  <si>
    <t>=NL("Sum","Item Ledger Entry","Quantity","Entry Type","Consumption","Entry No.",I1819,"Location Code",$L$7)</t>
  </si>
  <si>
    <t>=NL("Sum","Item Ledger Entry","Quantity","Entry Type","Consumption","Entry No.",I1820,"Location Code",$L$7)</t>
  </si>
  <si>
    <t>=NL("Sum","Item Ledger Entry","Quantity","Entry Type","Consumption","Entry No.",I1821,"Location Code",$L$7)</t>
  </si>
  <si>
    <t>=NL("Sum","Item Ledger Entry","Quantity","Entry Type","Consumption","Entry No.",I1822,"Location Code",$L$7)</t>
  </si>
  <si>
    <t>=NL("Sum","Item Ledger Entry","Quantity","Entry Type","Consumption","Entry No.",I1823,"Location Code",$L$7)</t>
  </si>
  <si>
    <t>=NL("Sum","Item Ledger Entry","Quantity","Entry Type","Consumption","Entry No.",I1824,"Location Code",$L$7)</t>
  </si>
  <si>
    <t>=NL("Sum","Item Ledger Entry","Quantity","Entry Type","Output","Entry No.",I1817,"Location Code",$L$7)</t>
  </si>
  <si>
    <t>=NL("Sum","Item Ledger Entry","Quantity","Entry Type","Output","Entry No.",I1818,"Location Code",$L$7)</t>
  </si>
  <si>
    <t>=NL("Sum","Item Ledger Entry","Quantity","Entry Type","Output","Entry No.",I1819,"Location Code",$L$7)</t>
  </si>
  <si>
    <t>=NL("Sum","Item Ledger Entry","Quantity","Entry Type","Output","Entry No.",I1820,"Location Code",$L$7)</t>
  </si>
  <si>
    <t>=NL("Sum","Item Ledger Entry","Quantity","Entry Type","Output","Entry No.",I1821,"Location Code",$L$7)</t>
  </si>
  <si>
    <t>=NL("Sum","Item Ledger Entry","Quantity","Entry Type","Output","Entry No.",I1822,"Location Code",$L$7)</t>
  </si>
  <si>
    <t>=NL("Sum","Item Ledger Entry","Quantity","Entry Type","Output","Entry No.",I1823,"Location Code",$L$7)</t>
  </si>
  <si>
    <t>=NL("Sum","Item Ledger Entry","Quantity","Entry Type","Output","Entry No.",I1824,"Location Code",$L$7)</t>
  </si>
  <si>
    <t>=NF(G1817,"Source Type")</t>
  </si>
  <si>
    <t>=NF(G1818,"Source Type")</t>
  </si>
  <si>
    <t>=NF(G1819,"Source Type")</t>
  </si>
  <si>
    <t>=NF(G1820,"Source Type")</t>
  </si>
  <si>
    <t>=NF(G1821,"Source Type")</t>
  </si>
  <si>
    <t>=NF(G1822,"Source Type")</t>
  </si>
  <si>
    <t>=NF(G1823,"Source Type")</t>
  </si>
  <si>
    <t>=NF(G1824,"Source Type")</t>
  </si>
  <si>
    <t>=NF($G1817,"Source No.")</t>
  </si>
  <si>
    <t>=NF($G1818,"Source No.")</t>
  </si>
  <si>
    <t>=NF($G1819,"Source No.")</t>
  </si>
  <si>
    <t>=NF($G1820,"Source No.")</t>
  </si>
  <si>
    <t>=NF($G1821,"Source No.")</t>
  </si>
  <si>
    <t>=NF($G1822,"Source No.")</t>
  </si>
  <si>
    <t>=NF($G1823,"Source No.")</t>
  </si>
  <si>
    <t>=NF($G1824,"Source No.")</t>
  </si>
  <si>
    <t>=NF($G1789,"Posting Date")</t>
  </si>
  <si>
    <t>=NF($G1790,"Posting Date")</t>
  </si>
  <si>
    <t>=NF($G1791,"Posting Date")</t>
  </si>
  <si>
    <t>=NF($G1792,"Posting Date")</t>
  </si>
  <si>
    <t>=NF($G1793,"Posting Date")</t>
  </si>
  <si>
    <t>=NF($G1794,"Posting Date")</t>
  </si>
  <si>
    <t>=NF($G1795,"Posting Date")</t>
  </si>
  <si>
    <t>=NF($G1796,"Posting Date")</t>
  </si>
  <si>
    <t>=NF($G1797,"Posting Date")</t>
  </si>
  <si>
    <t>=NF($G1798,"Posting Date")</t>
  </si>
  <si>
    <t>=NF($G1799,"Posting Date")</t>
  </si>
  <si>
    <t>=NF($G1800,"Posting Date")</t>
  </si>
  <si>
    <t>=NF($G1801,"Posting Date")</t>
  </si>
  <si>
    <t>=NF($G1802,"Posting Date")</t>
  </si>
  <si>
    <t>=NF($G1803,"Posting Date")</t>
  </si>
  <si>
    <t>=NF($G1804,"Posting Date")</t>
  </si>
  <si>
    <t>=NF($G1805,"Posting Date")</t>
  </si>
  <si>
    <t>=NF($G1806,"Posting Date")</t>
  </si>
  <si>
    <t>=NF($G1807,"Posting Date")</t>
  </si>
  <si>
    <t>=NF($G1808,"Posting Date")</t>
  </si>
  <si>
    <t>=NF($G1809,"Posting Date")</t>
  </si>
  <si>
    <t>=NF($G1810,"Posting Date")</t>
  </si>
  <si>
    <t>=NF($G1811,"Posting Date")</t>
  </si>
  <si>
    <t>=NF($G1812,"Posting Date")</t>
  </si>
  <si>
    <t>=NF($G1813,"Posting Date")</t>
  </si>
  <si>
    <t>=NF($G1789,"Entry No.")</t>
  </si>
  <si>
    <t>=NF($G1790,"Entry No.")</t>
  </si>
  <si>
    <t>=NF($G1791,"Entry No.")</t>
  </si>
  <si>
    <t>=NF($G1792,"Entry No.")</t>
  </si>
  <si>
    <t>=NF($G1793,"Entry No.")</t>
  </si>
  <si>
    <t>=NF($G1794,"Entry No.")</t>
  </si>
  <si>
    <t>=NF($G1795,"Entry No.")</t>
  </si>
  <si>
    <t>=NF($G1796,"Entry No.")</t>
  </si>
  <si>
    <t>=NF($G1797,"Entry No.")</t>
  </si>
  <si>
    <t>=NF($G1798,"Entry No.")</t>
  </si>
  <si>
    <t>=NF($G1799,"Entry No.")</t>
  </si>
  <si>
    <t>=NF($G1800,"Entry No.")</t>
  </si>
  <si>
    <t>=NF($G1801,"Entry No.")</t>
  </si>
  <si>
    <t>=NF($G1802,"Entry No.")</t>
  </si>
  <si>
    <t>=NF($G1803,"Entry No.")</t>
  </si>
  <si>
    <t>=NF($G1804,"Entry No.")</t>
  </si>
  <si>
    <t>=NF($G1805,"Entry No.")</t>
  </si>
  <si>
    <t>=NF($G1806,"Entry No.")</t>
  </si>
  <si>
    <t>=NF($G1807,"Entry No.")</t>
  </si>
  <si>
    <t>=NF($G1808,"Entry No.")</t>
  </si>
  <si>
    <t>=NF($G1809,"Entry No.")</t>
  </si>
  <si>
    <t>=NF($G1810,"Entry No.")</t>
  </si>
  <si>
    <t>=NF($G1811,"Entry No.")</t>
  </si>
  <si>
    <t>=NF($G1812,"Entry No.")</t>
  </si>
  <si>
    <t>=NF($G1813,"Entry No.")</t>
  </si>
  <si>
    <t>=NL("Sum","Item Ledger Entry","Quantity","Entry Type","Purchase","Entry No.",I1789,"Location Code",$L$7)</t>
  </si>
  <si>
    <t>=NL("Sum","Item Ledger Entry","Quantity","Entry Type","Purchase","Entry No.",I1790,"Location Code",$L$7)</t>
  </si>
  <si>
    <t>=NL("Sum","Item Ledger Entry","Quantity","Entry Type","Purchase","Entry No.",I1791,"Location Code",$L$7)</t>
  </si>
  <si>
    <t>=NL("Sum","Item Ledger Entry","Quantity","Entry Type","Purchase","Entry No.",I1792,"Location Code",$L$7)</t>
  </si>
  <si>
    <t>=NL("Sum","Item Ledger Entry","Quantity","Entry Type","Purchase","Entry No.",I1793,"Location Code",$L$7)</t>
  </si>
  <si>
    <t>=NL("Sum","Item Ledger Entry","Quantity","Entry Type","Purchase","Entry No.",I1794,"Location Code",$L$7)</t>
  </si>
  <si>
    <t>=NL("Sum","Item Ledger Entry","Quantity","Entry Type","Purchase","Entry No.",I1795,"Location Code",$L$7)</t>
  </si>
  <si>
    <t>=NL("Sum","Item Ledger Entry","Quantity","Entry Type","Purchase","Entry No.",I1796,"Location Code",$L$7)</t>
  </si>
  <si>
    <t>=NL("Sum","Item Ledger Entry","Quantity","Entry Type","Purchase","Entry No.",I1797,"Location Code",$L$7)</t>
  </si>
  <si>
    <t>=NL("Sum","Item Ledger Entry","Quantity","Entry Type","Purchase","Entry No.",I1798,"Location Code",$L$7)</t>
  </si>
  <si>
    <t>=NL("Sum","Item Ledger Entry","Quantity","Entry Type","Purchase","Entry No.",I1799,"Location Code",$L$7)</t>
  </si>
  <si>
    <t>=NL("Sum","Item Ledger Entry","Quantity","Entry Type","Purchase","Entry No.",I1800,"Location Code",$L$7)</t>
  </si>
  <si>
    <t>=NL("Sum","Item Ledger Entry","Quantity","Entry Type","Purchase","Entry No.",I1801,"Location Code",$L$7)</t>
  </si>
  <si>
    <t>=NL("Sum","Item Ledger Entry","Quantity","Entry Type","Purchase","Entry No.",I1802,"Location Code",$L$7)</t>
  </si>
  <si>
    <t>=NL("Sum","Item Ledger Entry","Quantity","Entry Type","Purchase","Entry No.",I1803,"Location Code",$L$7)</t>
  </si>
  <si>
    <t>=NL("Sum","Item Ledger Entry","Quantity","Entry Type","Purchase","Entry No.",I1804,"Location Code",$L$7)</t>
  </si>
  <si>
    <t>=NL("Sum","Item Ledger Entry","Quantity","Entry Type","Purchase","Entry No.",I1805,"Location Code",$L$7)</t>
  </si>
  <si>
    <t>=NL("Sum","Item Ledger Entry","Quantity","Entry Type","Purchase","Entry No.",I1806,"Location Code",$L$7)</t>
  </si>
  <si>
    <t>=NL("Sum","Item Ledger Entry","Quantity","Entry Type","Purchase","Entry No.",I1807,"Location Code",$L$7)</t>
  </si>
  <si>
    <t>=NL("Sum","Item Ledger Entry","Quantity","Entry Type","Purchase","Entry No.",I1808,"Location Code",$L$7)</t>
  </si>
  <si>
    <t>=NL("Sum","Item Ledger Entry","Quantity","Entry Type","Purchase","Entry No.",I1809,"Location Code",$L$7)</t>
  </si>
  <si>
    <t>=NL("Sum","Item Ledger Entry","Quantity","Entry Type","Purchase","Entry No.",I1810,"Location Code",$L$7)</t>
  </si>
  <si>
    <t>=NL("Sum","Item Ledger Entry","Quantity","Entry Type","Purchase","Entry No.",I1811,"Location Code",$L$7)</t>
  </si>
  <si>
    <t>=NL("Sum","Item Ledger Entry","Quantity","Entry Type","Purchase","Entry No.",I1812,"Location Code",$L$7)</t>
  </si>
  <si>
    <t>=NL("Sum","Item Ledger Entry","Quantity","Entry Type","Purchase","Entry No.",I1813,"Location Code",$L$7)</t>
  </si>
  <si>
    <t>=NL("Sum","Item Ledger Entry","Quantity","Entry Type","Sale","Entry No.",I1789,"Location Code",$L$7)</t>
  </si>
  <si>
    <t>=NL("Sum","Item Ledger Entry","Quantity","Entry Type","Sale","Entry No.",I1790,"Location Code",$L$7)</t>
  </si>
  <si>
    <t>=NL("Sum","Item Ledger Entry","Quantity","Entry Type","Sale","Entry No.",I1791,"Location Code",$L$7)</t>
  </si>
  <si>
    <t>=NL("Sum","Item Ledger Entry","Quantity","Entry Type","Sale","Entry No.",I1792,"Location Code",$L$7)</t>
  </si>
  <si>
    <t>=NL("Sum","Item Ledger Entry","Quantity","Entry Type","Sale","Entry No.",I1793,"Location Code",$L$7)</t>
  </si>
  <si>
    <t>=NL("Sum","Item Ledger Entry","Quantity","Entry Type","Sale","Entry No.",I1794,"Location Code",$L$7)</t>
  </si>
  <si>
    <t>=NL("Sum","Item Ledger Entry","Quantity","Entry Type","Sale","Entry No.",I1795,"Location Code",$L$7)</t>
  </si>
  <si>
    <t>=NL("Sum","Item Ledger Entry","Quantity","Entry Type","Sale","Entry No.",I1796,"Location Code",$L$7)</t>
  </si>
  <si>
    <t>=NL("Sum","Item Ledger Entry","Quantity","Entry Type","Sale","Entry No.",I1797,"Location Code",$L$7)</t>
  </si>
  <si>
    <t>=NL("Sum","Item Ledger Entry","Quantity","Entry Type","Sale","Entry No.",I1798,"Location Code",$L$7)</t>
  </si>
  <si>
    <t>=NL("Sum","Item Ledger Entry","Quantity","Entry Type","Sale","Entry No.",I1799,"Location Code",$L$7)</t>
  </si>
  <si>
    <t>=NL("Sum","Item Ledger Entry","Quantity","Entry Type","Sale","Entry No.",I1800,"Location Code",$L$7)</t>
  </si>
  <si>
    <t>=NL("Sum","Item Ledger Entry","Quantity","Entry Type","Sale","Entry No.",I1801,"Location Code",$L$7)</t>
  </si>
  <si>
    <t>=NL("Sum","Item Ledger Entry","Quantity","Entry Type","Sale","Entry No.",I1802,"Location Code",$L$7)</t>
  </si>
  <si>
    <t>=NL("Sum","Item Ledger Entry","Quantity","Entry Type","Sale","Entry No.",I1803,"Location Code",$L$7)</t>
  </si>
  <si>
    <t>=NL("Sum","Item Ledger Entry","Quantity","Entry Type","Sale","Entry No.",I1804,"Location Code",$L$7)</t>
  </si>
  <si>
    <t>=NL("Sum","Item Ledger Entry","Quantity","Entry Type","Sale","Entry No.",I1805,"Location Code",$L$7)</t>
  </si>
  <si>
    <t>=NL("Sum","Item Ledger Entry","Quantity","Entry Type","Sale","Entry No.",I1806,"Location Code",$L$7)</t>
  </si>
  <si>
    <t>=NL("Sum","Item Ledger Entry","Quantity","Entry Type","Sale","Entry No.",I1807,"Location Code",$L$7)</t>
  </si>
  <si>
    <t>=NL("Sum","Item Ledger Entry","Quantity","Entry Type","Sale","Entry No.",I1808,"Location Code",$L$7)</t>
  </si>
  <si>
    <t>=NL("Sum","Item Ledger Entry","Quantity","Entry Type","Sale","Entry No.",I1809,"Location Code",$L$7)</t>
  </si>
  <si>
    <t>=NL("Sum","Item Ledger Entry","Quantity","Entry Type","Sale","Entry No.",I1810,"Location Code",$L$7)</t>
  </si>
  <si>
    <t>=NL("Sum","Item Ledger Entry","Quantity","Entry Type","Sale","Entry No.",I1811,"Location Code",$L$7)</t>
  </si>
  <si>
    <t>=NL("Sum","Item Ledger Entry","Quantity","Entry Type","Sale","Entry No.",I1812,"Location Code",$L$7)</t>
  </si>
  <si>
    <t>=NL("Sum","Item Ledger Entry","Quantity","Entry Type","Sale","Entry No.",I1813,"Location Code",$L$7)</t>
  </si>
  <si>
    <t>=NL("Sum","Item Ledger Entry","Quantity","Entry Type","Positive Adjmt.|Negative Adjmt.","Entry No.",I1789,"Location Code",$L$7)</t>
  </si>
  <si>
    <t>=NL("Sum","Item Ledger Entry","Quantity","Entry Type","Positive Adjmt.|Negative Adjmt.","Entry No.",I1790,"Location Code",$L$7)</t>
  </si>
  <si>
    <t>=NL("Sum","Item Ledger Entry","Quantity","Entry Type","Positive Adjmt.|Negative Adjmt.","Entry No.",I1791,"Location Code",$L$7)</t>
  </si>
  <si>
    <t>=NL("Sum","Item Ledger Entry","Quantity","Entry Type","Positive Adjmt.|Negative Adjmt.","Entry No.",I1792,"Location Code",$L$7)</t>
  </si>
  <si>
    <t>=NL("Sum","Item Ledger Entry","Quantity","Entry Type","Positive Adjmt.|Negative Adjmt.","Entry No.",I1793,"Location Code",$L$7)</t>
  </si>
  <si>
    <t>=NL("Sum","Item Ledger Entry","Quantity","Entry Type","Positive Adjmt.|Negative Adjmt.","Entry No.",I1794,"Location Code",$L$7)</t>
  </si>
  <si>
    <t>=NL("Sum","Item Ledger Entry","Quantity","Entry Type","Positive Adjmt.|Negative Adjmt.","Entry No.",I1795,"Location Code",$L$7)</t>
  </si>
  <si>
    <t>=NL("Sum","Item Ledger Entry","Quantity","Entry Type","Positive Adjmt.|Negative Adjmt.","Entry No.",I1796,"Location Code",$L$7)</t>
  </si>
  <si>
    <t>=NL("Sum","Item Ledger Entry","Quantity","Entry Type","Positive Adjmt.|Negative Adjmt.","Entry No.",I1797,"Location Code",$L$7)</t>
  </si>
  <si>
    <t>=NL("Sum","Item Ledger Entry","Quantity","Entry Type","Positive Adjmt.|Negative Adjmt.","Entry No.",I1798,"Location Code",$L$7)</t>
  </si>
  <si>
    <t>=NL("Sum","Item Ledger Entry","Quantity","Entry Type","Positive Adjmt.|Negative Adjmt.","Entry No.",I1799,"Location Code",$L$7)</t>
  </si>
  <si>
    <t>=NL("Sum","Item Ledger Entry","Quantity","Entry Type","Positive Adjmt.|Negative Adjmt.","Entry No.",I1800,"Location Code",$L$7)</t>
  </si>
  <si>
    <t>=NL("Sum","Item Ledger Entry","Quantity","Entry Type","Positive Adjmt.|Negative Adjmt.","Entry No.",I1801,"Location Code",$L$7)</t>
  </si>
  <si>
    <t>=NL("Sum","Item Ledger Entry","Quantity","Entry Type","Positive Adjmt.|Negative Adjmt.","Entry No.",I1802,"Location Code",$L$7)</t>
  </si>
  <si>
    <t>=NL("Sum","Item Ledger Entry","Quantity","Entry Type","Positive Adjmt.|Negative Adjmt.","Entry No.",I1803,"Location Code",$L$7)</t>
  </si>
  <si>
    <t>=NL("Sum","Item Ledger Entry","Quantity","Entry Type","Positive Adjmt.|Negative Adjmt.","Entry No.",I1804,"Location Code",$L$7)</t>
  </si>
  <si>
    <t>=NL("Sum","Item Ledger Entry","Quantity","Entry Type","Positive Adjmt.|Negative Adjmt.","Entry No.",I1805,"Location Code",$L$7)</t>
  </si>
  <si>
    <t>=NL("Sum","Item Ledger Entry","Quantity","Entry Type","Positive Adjmt.|Negative Adjmt.","Entry No.",I1806,"Location Code",$L$7)</t>
  </si>
  <si>
    <t>=NL("Sum","Item Ledger Entry","Quantity","Entry Type","Positive Adjmt.|Negative Adjmt.","Entry No.",I1807,"Location Code",$L$7)</t>
  </si>
  <si>
    <t>=NL("Sum","Item Ledger Entry","Quantity","Entry Type","Positive Adjmt.|Negative Adjmt.","Entry No.",I1808,"Location Code",$L$7)</t>
  </si>
  <si>
    <t>=NL("Sum","Item Ledger Entry","Quantity","Entry Type","Positive Adjmt.|Negative Adjmt.","Entry No.",I1809,"Location Code",$L$7)</t>
  </si>
  <si>
    <t>=NL("Sum","Item Ledger Entry","Quantity","Entry Type","Positive Adjmt.|Negative Adjmt.","Entry No.",I1810,"Location Code",$L$7)</t>
  </si>
  <si>
    <t>=NL("Sum","Item Ledger Entry","Quantity","Entry Type","Positive Adjmt.|Negative Adjmt.","Entry No.",I1811,"Location Code",$L$7)</t>
  </si>
  <si>
    <t>=NL("Sum","Item Ledger Entry","Quantity","Entry Type","Positive Adjmt.|Negative Adjmt.","Entry No.",I1812,"Location Code",$L$7)</t>
  </si>
  <si>
    <t>=NL("Sum","Item Ledger Entry","Quantity","Entry Type","Positive Adjmt.|Negative Adjmt.","Entry No.",I1813,"Location Code",$L$7)</t>
  </si>
  <si>
    <t>=NL("Sum","Item Ledger Entry","Quantity","Entry Type","Transfer","Entry No.",I1789,"Location Code",$L$7)</t>
  </si>
  <si>
    <t>=NL("Sum","Item Ledger Entry","Quantity","Entry Type","Transfer","Entry No.",I1790,"Location Code",$L$7)</t>
  </si>
  <si>
    <t>=NL("Sum","Item Ledger Entry","Quantity","Entry Type","Transfer","Entry No.",I1791,"Location Code",$L$7)</t>
  </si>
  <si>
    <t>=NL("Sum","Item Ledger Entry","Quantity","Entry Type","Transfer","Entry No.",I1792,"Location Code",$L$7)</t>
  </si>
  <si>
    <t>=NL("Sum","Item Ledger Entry","Quantity","Entry Type","Transfer","Entry No.",I1793,"Location Code",$L$7)</t>
  </si>
  <si>
    <t>=NL("Sum","Item Ledger Entry","Quantity","Entry Type","Transfer","Entry No.",I1794,"Location Code",$L$7)</t>
  </si>
  <si>
    <t>=NL("Sum","Item Ledger Entry","Quantity","Entry Type","Transfer","Entry No.",I1795,"Location Code",$L$7)</t>
  </si>
  <si>
    <t>=NL("Sum","Item Ledger Entry","Quantity","Entry Type","Transfer","Entry No.",I1796,"Location Code",$L$7)</t>
  </si>
  <si>
    <t>=NL("Sum","Item Ledger Entry","Quantity","Entry Type","Transfer","Entry No.",I1797,"Location Code",$L$7)</t>
  </si>
  <si>
    <t>=NL("Sum","Item Ledger Entry","Quantity","Entry Type","Transfer","Entry No.",I1798,"Location Code",$L$7)</t>
  </si>
  <si>
    <t>=NL("Sum","Item Ledger Entry","Quantity","Entry Type","Transfer","Entry No.",I1799,"Location Code",$L$7)</t>
  </si>
  <si>
    <t>=NL("Sum","Item Ledger Entry","Quantity","Entry Type","Transfer","Entry No.",I1800,"Location Code",$L$7)</t>
  </si>
  <si>
    <t>=NL("Sum","Item Ledger Entry","Quantity","Entry Type","Transfer","Entry No.",I1801,"Location Code",$L$7)</t>
  </si>
  <si>
    <t>=NL("Sum","Item Ledger Entry","Quantity","Entry Type","Transfer","Entry No.",I1802,"Location Code",$L$7)</t>
  </si>
  <si>
    <t>=NL("Sum","Item Ledger Entry","Quantity","Entry Type","Transfer","Entry No.",I1803,"Location Code",$L$7)</t>
  </si>
  <si>
    <t>=NL("Sum","Item Ledger Entry","Quantity","Entry Type","Transfer","Entry No.",I1804,"Location Code",$L$7)</t>
  </si>
  <si>
    <t>=NL("Sum","Item Ledger Entry","Quantity","Entry Type","Transfer","Entry No.",I1805,"Location Code",$L$7)</t>
  </si>
  <si>
    <t>=NL("Sum","Item Ledger Entry","Quantity","Entry Type","Transfer","Entry No.",I1806,"Location Code",$L$7)</t>
  </si>
  <si>
    <t>=NL("Sum","Item Ledger Entry","Quantity","Entry Type","Transfer","Entry No.",I1807,"Location Code",$L$7)</t>
  </si>
  <si>
    <t>=NL("Sum","Item Ledger Entry","Quantity","Entry Type","Transfer","Entry No.",I1808,"Location Code",$L$7)</t>
  </si>
  <si>
    <t>=NL("Sum","Item Ledger Entry","Quantity","Entry Type","Transfer","Entry No.",I1809,"Location Code",$L$7)</t>
  </si>
  <si>
    <t>=NL("Sum","Item Ledger Entry","Quantity","Entry Type","Transfer","Entry No.",I1810,"Location Code",$L$7)</t>
  </si>
  <si>
    <t>=NL("Sum","Item Ledger Entry","Quantity","Entry Type","Transfer","Entry No.",I1811,"Location Code",$L$7)</t>
  </si>
  <si>
    <t>=NL("Sum","Item Ledger Entry","Quantity","Entry Type","Transfer","Entry No.",I1812,"Location Code",$L$7)</t>
  </si>
  <si>
    <t>=NL("Sum","Item Ledger Entry","Quantity","Entry Type","Transfer","Entry No.",I1813,"Location Code",$L$7)</t>
  </si>
  <si>
    <t>=NL("Sum","Item Ledger Entry","Quantity","Entry Type","Consumption","Entry No.",I1789,"Location Code",$L$7)</t>
  </si>
  <si>
    <t>=NL("Sum","Item Ledger Entry","Quantity","Entry Type","Consumption","Entry No.",I1790,"Location Code",$L$7)</t>
  </si>
  <si>
    <t>=NL("Sum","Item Ledger Entry","Quantity","Entry Type","Consumption","Entry No.",I1791,"Location Code",$L$7)</t>
  </si>
  <si>
    <t>=NL("Sum","Item Ledger Entry","Quantity","Entry Type","Consumption","Entry No.",I1792,"Location Code",$L$7)</t>
  </si>
  <si>
    <t>=NL("Sum","Item Ledger Entry","Quantity","Entry Type","Consumption","Entry No.",I1793,"Location Code",$L$7)</t>
  </si>
  <si>
    <t>=NL("Sum","Item Ledger Entry","Quantity","Entry Type","Consumption","Entry No.",I1794,"Location Code",$L$7)</t>
  </si>
  <si>
    <t>=NL("Sum","Item Ledger Entry","Quantity","Entry Type","Consumption","Entry No.",I1795,"Location Code",$L$7)</t>
  </si>
  <si>
    <t>=NL("Sum","Item Ledger Entry","Quantity","Entry Type","Consumption","Entry No.",I1796,"Location Code",$L$7)</t>
  </si>
  <si>
    <t>=NL("Sum","Item Ledger Entry","Quantity","Entry Type","Consumption","Entry No.",I1797,"Location Code",$L$7)</t>
  </si>
  <si>
    <t>=NL("Sum","Item Ledger Entry","Quantity","Entry Type","Consumption","Entry No.",I1798,"Location Code",$L$7)</t>
  </si>
  <si>
    <t>=NL("Sum","Item Ledger Entry","Quantity","Entry Type","Consumption","Entry No.",I1799,"Location Code",$L$7)</t>
  </si>
  <si>
    <t>=NL("Sum","Item Ledger Entry","Quantity","Entry Type","Consumption","Entry No.",I1800,"Location Code",$L$7)</t>
  </si>
  <si>
    <t>=NL("Sum","Item Ledger Entry","Quantity","Entry Type","Consumption","Entry No.",I1801,"Location Code",$L$7)</t>
  </si>
  <si>
    <t>=NL("Sum","Item Ledger Entry","Quantity","Entry Type","Consumption","Entry No.",I1802,"Location Code",$L$7)</t>
  </si>
  <si>
    <t>=NL("Sum","Item Ledger Entry","Quantity","Entry Type","Consumption","Entry No.",I1803,"Location Code",$L$7)</t>
  </si>
  <si>
    <t>=NL("Sum","Item Ledger Entry","Quantity","Entry Type","Consumption","Entry No.",I1804,"Location Code",$L$7)</t>
  </si>
  <si>
    <t>=NL("Sum","Item Ledger Entry","Quantity","Entry Type","Consumption","Entry No.",I1805,"Location Code",$L$7)</t>
  </si>
  <si>
    <t>=NL("Sum","Item Ledger Entry","Quantity","Entry Type","Consumption","Entry No.",I1806,"Location Code",$L$7)</t>
  </si>
  <si>
    <t>=NL("Sum","Item Ledger Entry","Quantity","Entry Type","Consumption","Entry No.",I1807,"Location Code",$L$7)</t>
  </si>
  <si>
    <t>=NL("Sum","Item Ledger Entry","Quantity","Entry Type","Consumption","Entry No.",I1808,"Location Code",$L$7)</t>
  </si>
  <si>
    <t>=NL("Sum","Item Ledger Entry","Quantity","Entry Type","Consumption","Entry No.",I1809,"Location Code",$L$7)</t>
  </si>
  <si>
    <t>=NL("Sum","Item Ledger Entry","Quantity","Entry Type","Consumption","Entry No.",I1810,"Location Code",$L$7)</t>
  </si>
  <si>
    <t>=NL("Sum","Item Ledger Entry","Quantity","Entry Type","Consumption","Entry No.",I1811,"Location Code",$L$7)</t>
  </si>
  <si>
    <t>=NL("Sum","Item Ledger Entry","Quantity","Entry Type","Consumption","Entry No.",I1812,"Location Code",$L$7)</t>
  </si>
  <si>
    <t>=NL("Sum","Item Ledger Entry","Quantity","Entry Type","Consumption","Entry No.",I1813,"Location Code",$L$7)</t>
  </si>
  <si>
    <t>=NL("Sum","Item Ledger Entry","Quantity","Entry Type","Output","Entry No.",I1789,"Location Code",$L$7)</t>
  </si>
  <si>
    <t>=NL("Sum","Item Ledger Entry","Quantity","Entry Type","Output","Entry No.",I1790,"Location Code",$L$7)</t>
  </si>
  <si>
    <t>=NL("Sum","Item Ledger Entry","Quantity","Entry Type","Output","Entry No.",I1791,"Location Code",$L$7)</t>
  </si>
  <si>
    <t>=NL("Sum","Item Ledger Entry","Quantity","Entry Type","Output","Entry No.",I1792,"Location Code",$L$7)</t>
  </si>
  <si>
    <t>=NL("Sum","Item Ledger Entry","Quantity","Entry Type","Output","Entry No.",I1793,"Location Code",$L$7)</t>
  </si>
  <si>
    <t>=NL("Sum","Item Ledger Entry","Quantity","Entry Type","Output","Entry No.",I1794,"Location Code",$L$7)</t>
  </si>
  <si>
    <t>=NL("Sum","Item Ledger Entry","Quantity","Entry Type","Output","Entry No.",I1795,"Location Code",$L$7)</t>
  </si>
  <si>
    <t>=NL("Sum","Item Ledger Entry","Quantity","Entry Type","Output","Entry No.",I1796,"Location Code",$L$7)</t>
  </si>
  <si>
    <t>=NL("Sum","Item Ledger Entry","Quantity","Entry Type","Output","Entry No.",I1797,"Location Code",$L$7)</t>
  </si>
  <si>
    <t>=NL("Sum","Item Ledger Entry","Quantity","Entry Type","Output","Entry No.",I1798,"Location Code",$L$7)</t>
  </si>
  <si>
    <t>=NL("Sum","Item Ledger Entry","Quantity","Entry Type","Output","Entry No.",I1799,"Location Code",$L$7)</t>
  </si>
  <si>
    <t>=NL("Sum","Item Ledger Entry","Quantity","Entry Type","Output","Entry No.",I1800,"Location Code",$L$7)</t>
  </si>
  <si>
    <t>=NL("Sum","Item Ledger Entry","Quantity","Entry Type","Output","Entry No.",I1801,"Location Code",$L$7)</t>
  </si>
  <si>
    <t>=NL("Sum","Item Ledger Entry","Quantity","Entry Type","Output","Entry No.",I1802,"Location Code",$L$7)</t>
  </si>
  <si>
    <t>=NL("Sum","Item Ledger Entry","Quantity","Entry Type","Output","Entry No.",I1803,"Location Code",$L$7)</t>
  </si>
  <si>
    <t>=NL("Sum","Item Ledger Entry","Quantity","Entry Type","Output","Entry No.",I1804,"Location Code",$L$7)</t>
  </si>
  <si>
    <t>=NL("Sum","Item Ledger Entry","Quantity","Entry Type","Output","Entry No.",I1805,"Location Code",$L$7)</t>
  </si>
  <si>
    <t>=NL("Sum","Item Ledger Entry","Quantity","Entry Type","Output","Entry No.",I1806,"Location Code",$L$7)</t>
  </si>
  <si>
    <t>=NL("Sum","Item Ledger Entry","Quantity","Entry Type","Output","Entry No.",I1807,"Location Code",$L$7)</t>
  </si>
  <si>
    <t>=NL("Sum","Item Ledger Entry","Quantity","Entry Type","Output","Entry No.",I1808,"Location Code",$L$7)</t>
  </si>
  <si>
    <t>=NL("Sum","Item Ledger Entry","Quantity","Entry Type","Output","Entry No.",I1809,"Location Code",$L$7)</t>
  </si>
  <si>
    <t>=NL("Sum","Item Ledger Entry","Quantity","Entry Type","Output","Entry No.",I1810,"Location Code",$L$7)</t>
  </si>
  <si>
    <t>=NL("Sum","Item Ledger Entry","Quantity","Entry Type","Output","Entry No.",I1811,"Location Code",$L$7)</t>
  </si>
  <si>
    <t>=NL("Sum","Item Ledger Entry","Quantity","Entry Type","Output","Entry No.",I1812,"Location Code",$L$7)</t>
  </si>
  <si>
    <t>=NL("Sum","Item Ledger Entry","Quantity","Entry Type","Output","Entry No.",I1813,"Location Code",$L$7)</t>
  </si>
  <si>
    <t>=NF(G1789,"Source Type")</t>
  </si>
  <si>
    <t>=NF(G1790,"Source Type")</t>
  </si>
  <si>
    <t>=NF(G1791,"Source Type")</t>
  </si>
  <si>
    <t>=NF(G1792,"Source Type")</t>
  </si>
  <si>
    <t>=NF(G1793,"Source Type")</t>
  </si>
  <si>
    <t>=NF(G1794,"Source Type")</t>
  </si>
  <si>
    <t>=NF(G1795,"Source Type")</t>
  </si>
  <si>
    <t>=NF(G1796,"Source Type")</t>
  </si>
  <si>
    <t>=NF(G1797,"Source Type")</t>
  </si>
  <si>
    <t>=NF(G1798,"Source Type")</t>
  </si>
  <si>
    <t>=NF(G1799,"Source Type")</t>
  </si>
  <si>
    <t>=NF(G1800,"Source Type")</t>
  </si>
  <si>
    <t>=NF(G1801,"Source Type")</t>
  </si>
  <si>
    <t>=NF(G1802,"Source Type")</t>
  </si>
  <si>
    <t>=NF(G1803,"Source Type")</t>
  </si>
  <si>
    <t>=NF(G1804,"Source Type")</t>
  </si>
  <si>
    <t>=NF(G1805,"Source Type")</t>
  </si>
  <si>
    <t>=NF(G1806,"Source Type")</t>
  </si>
  <si>
    <t>=NF(G1807,"Source Type")</t>
  </si>
  <si>
    <t>=NF(G1808,"Source Type")</t>
  </si>
  <si>
    <t>=NF(G1809,"Source Type")</t>
  </si>
  <si>
    <t>=NF(G1810,"Source Type")</t>
  </si>
  <si>
    <t>=NF(G1811,"Source Type")</t>
  </si>
  <si>
    <t>=NF(G1812,"Source Type")</t>
  </si>
  <si>
    <t>=NF(G1813,"Source Type")</t>
  </si>
  <si>
    <t>=NF($G1789,"Source No.")</t>
  </si>
  <si>
    <t>=NF($G1790,"Source No.")</t>
  </si>
  <si>
    <t>=NF($G1791,"Source No.")</t>
  </si>
  <si>
    <t>=NF($G1792,"Source No.")</t>
  </si>
  <si>
    <t>=NF($G1793,"Source No.")</t>
  </si>
  <si>
    <t>=NF($G1794,"Source No.")</t>
  </si>
  <si>
    <t>=NF($G1795,"Source No.")</t>
  </si>
  <si>
    <t>=NF($G1796,"Source No.")</t>
  </si>
  <si>
    <t>=NF($G1797,"Source No.")</t>
  </si>
  <si>
    <t>=NF($G1798,"Source No.")</t>
  </si>
  <si>
    <t>=NF($G1799,"Source No.")</t>
  </si>
  <si>
    <t>=NF($G1800,"Source No.")</t>
  </si>
  <si>
    <t>=NF($G1801,"Source No.")</t>
  </si>
  <si>
    <t>=NF($G1802,"Source No.")</t>
  </si>
  <si>
    <t>=NF($G1803,"Source No.")</t>
  </si>
  <si>
    <t>=NF($G1804,"Source No.")</t>
  </si>
  <si>
    <t>=NF($G1805,"Source No.")</t>
  </si>
  <si>
    <t>=NF($G1806,"Source No.")</t>
  </si>
  <si>
    <t>=NF($G1807,"Source No.")</t>
  </si>
  <si>
    <t>=NF($G1808,"Source No.")</t>
  </si>
  <si>
    <t>=NF($G1809,"Source No.")</t>
  </si>
  <si>
    <t>=NF($G1810,"Source No.")</t>
  </si>
  <si>
    <t>=NF($G1811,"Source No.")</t>
  </si>
  <si>
    <t>=NF($G1812,"Source No.")</t>
  </si>
  <si>
    <t>=NF($G1813,"Source No.")</t>
  </si>
  <si>
    <t>=NF($G1767,"Posting Date")</t>
  </si>
  <si>
    <t>=NF($G1768,"Posting Date")</t>
  </si>
  <si>
    <t>=NF($G1769,"Posting Date")</t>
  </si>
  <si>
    <t>=NF($G1770,"Posting Date")</t>
  </si>
  <si>
    <t>=NF($G1771,"Posting Date")</t>
  </si>
  <si>
    <t>=NF($G1772,"Posting Date")</t>
  </si>
  <si>
    <t>=NF($G1773,"Posting Date")</t>
  </si>
  <si>
    <t>=NF($G1774,"Posting Date")</t>
  </si>
  <si>
    <t>=NF($G1775,"Posting Date")</t>
  </si>
  <si>
    <t>=NF($G1776,"Posting Date")</t>
  </si>
  <si>
    <t>=NF($G1777,"Posting Date")</t>
  </si>
  <si>
    <t>=NF($G1778,"Posting Date")</t>
  </si>
  <si>
    <t>=NF($G1779,"Posting Date")</t>
  </si>
  <si>
    <t>=NF($G1780,"Posting Date")</t>
  </si>
  <si>
    <t>=NF($G1781,"Posting Date")</t>
  </si>
  <si>
    <t>=NF($G1782,"Posting Date")</t>
  </si>
  <si>
    <t>=NF($G1783,"Posting Date")</t>
  </si>
  <si>
    <t>=NF($G1784,"Posting Date")</t>
  </si>
  <si>
    <t>=NF($G1785,"Posting Date")</t>
  </si>
  <si>
    <t>=NF($G1767,"Entry No.")</t>
  </si>
  <si>
    <t>=NF($G1768,"Entry No.")</t>
  </si>
  <si>
    <t>=NF($G1769,"Entry No.")</t>
  </si>
  <si>
    <t>=NF($G1770,"Entry No.")</t>
  </si>
  <si>
    <t>=NF($G1771,"Entry No.")</t>
  </si>
  <si>
    <t>=NF($G1772,"Entry No.")</t>
  </si>
  <si>
    <t>=NF($G1773,"Entry No.")</t>
  </si>
  <si>
    <t>=NF($G1774,"Entry No.")</t>
  </si>
  <si>
    <t>=NF($G1775,"Entry No.")</t>
  </si>
  <si>
    <t>=NF($G1776,"Entry No.")</t>
  </si>
  <si>
    <t>=NF($G1777,"Entry No.")</t>
  </si>
  <si>
    <t>=NF($G1778,"Entry No.")</t>
  </si>
  <si>
    <t>=NF($G1779,"Entry No.")</t>
  </si>
  <si>
    <t>=NF($G1780,"Entry No.")</t>
  </si>
  <si>
    <t>=NF($G1781,"Entry No.")</t>
  </si>
  <si>
    <t>=NF($G1782,"Entry No.")</t>
  </si>
  <si>
    <t>=NF($G1783,"Entry No.")</t>
  </si>
  <si>
    <t>=NF($G1784,"Entry No.")</t>
  </si>
  <si>
    <t>=NF($G1785,"Entry No.")</t>
  </si>
  <si>
    <t>=NL("Sum","Item Ledger Entry","Quantity","Entry Type","Purchase","Entry No.",I1767,"Location Code",$L$7)</t>
  </si>
  <si>
    <t>=NL("Sum","Item Ledger Entry","Quantity","Entry Type","Purchase","Entry No.",I1768,"Location Code",$L$7)</t>
  </si>
  <si>
    <t>=NL("Sum","Item Ledger Entry","Quantity","Entry Type","Purchase","Entry No.",I1769,"Location Code",$L$7)</t>
  </si>
  <si>
    <t>=NL("Sum","Item Ledger Entry","Quantity","Entry Type","Purchase","Entry No.",I1770,"Location Code",$L$7)</t>
  </si>
  <si>
    <t>=NL("Sum","Item Ledger Entry","Quantity","Entry Type","Purchase","Entry No.",I1771,"Location Code",$L$7)</t>
  </si>
  <si>
    <t>=NL("Sum","Item Ledger Entry","Quantity","Entry Type","Purchase","Entry No.",I1772,"Location Code",$L$7)</t>
  </si>
  <si>
    <t>=NL("Sum","Item Ledger Entry","Quantity","Entry Type","Purchase","Entry No.",I1773,"Location Code",$L$7)</t>
  </si>
  <si>
    <t>=NL("Sum","Item Ledger Entry","Quantity","Entry Type","Purchase","Entry No.",I1774,"Location Code",$L$7)</t>
  </si>
  <si>
    <t>=NL("Sum","Item Ledger Entry","Quantity","Entry Type","Purchase","Entry No.",I1775,"Location Code",$L$7)</t>
  </si>
  <si>
    <t>=NL("Sum","Item Ledger Entry","Quantity","Entry Type","Purchase","Entry No.",I1776,"Location Code",$L$7)</t>
  </si>
  <si>
    <t>=NL("Sum","Item Ledger Entry","Quantity","Entry Type","Purchase","Entry No.",I1777,"Location Code",$L$7)</t>
  </si>
  <si>
    <t>=NL("Sum","Item Ledger Entry","Quantity","Entry Type","Purchase","Entry No.",I1778,"Location Code",$L$7)</t>
  </si>
  <si>
    <t>=NL("Sum","Item Ledger Entry","Quantity","Entry Type","Purchase","Entry No.",I1779,"Location Code",$L$7)</t>
  </si>
  <si>
    <t>=NL("Sum","Item Ledger Entry","Quantity","Entry Type","Purchase","Entry No.",I1780,"Location Code",$L$7)</t>
  </si>
  <si>
    <t>=NL("Sum","Item Ledger Entry","Quantity","Entry Type","Purchase","Entry No.",I1781,"Location Code",$L$7)</t>
  </si>
  <si>
    <t>=NL("Sum","Item Ledger Entry","Quantity","Entry Type","Purchase","Entry No.",I1782,"Location Code",$L$7)</t>
  </si>
  <si>
    <t>=NL("Sum","Item Ledger Entry","Quantity","Entry Type","Purchase","Entry No.",I1783,"Location Code",$L$7)</t>
  </si>
  <si>
    <t>=NL("Sum","Item Ledger Entry","Quantity","Entry Type","Purchase","Entry No.",I1784,"Location Code",$L$7)</t>
  </si>
  <si>
    <t>=NL("Sum","Item Ledger Entry","Quantity","Entry Type","Purchase","Entry No.",I1785,"Location Code",$L$7)</t>
  </si>
  <si>
    <t>=NL("Sum","Item Ledger Entry","Quantity","Entry Type","Sale","Entry No.",I1767,"Location Code",$L$7)</t>
  </si>
  <si>
    <t>=NL("Sum","Item Ledger Entry","Quantity","Entry Type","Sale","Entry No.",I1768,"Location Code",$L$7)</t>
  </si>
  <si>
    <t>=NL("Sum","Item Ledger Entry","Quantity","Entry Type","Sale","Entry No.",I1769,"Location Code",$L$7)</t>
  </si>
  <si>
    <t>=NL("Sum","Item Ledger Entry","Quantity","Entry Type","Sale","Entry No.",I1770,"Location Code",$L$7)</t>
  </si>
  <si>
    <t>=NL("Sum","Item Ledger Entry","Quantity","Entry Type","Sale","Entry No.",I1771,"Location Code",$L$7)</t>
  </si>
  <si>
    <t>=NL("Sum","Item Ledger Entry","Quantity","Entry Type","Sale","Entry No.",I1772,"Location Code",$L$7)</t>
  </si>
  <si>
    <t>=NL("Sum","Item Ledger Entry","Quantity","Entry Type","Sale","Entry No.",I1773,"Location Code",$L$7)</t>
  </si>
  <si>
    <t>=NL("Sum","Item Ledger Entry","Quantity","Entry Type","Sale","Entry No.",I1774,"Location Code",$L$7)</t>
  </si>
  <si>
    <t>=NL("Sum","Item Ledger Entry","Quantity","Entry Type","Sale","Entry No.",I1775,"Location Code",$L$7)</t>
  </si>
  <si>
    <t>=NL("Sum","Item Ledger Entry","Quantity","Entry Type","Sale","Entry No.",I1776,"Location Code",$L$7)</t>
  </si>
  <si>
    <t>=NL("Sum","Item Ledger Entry","Quantity","Entry Type","Sale","Entry No.",I1777,"Location Code",$L$7)</t>
  </si>
  <si>
    <t>=NL("Sum","Item Ledger Entry","Quantity","Entry Type","Sale","Entry No.",I1778,"Location Code",$L$7)</t>
  </si>
  <si>
    <t>=NL("Sum","Item Ledger Entry","Quantity","Entry Type","Sale","Entry No.",I1779,"Location Code",$L$7)</t>
  </si>
  <si>
    <t>=NL("Sum","Item Ledger Entry","Quantity","Entry Type","Sale","Entry No.",I1780,"Location Code",$L$7)</t>
  </si>
  <si>
    <t>=NL("Sum","Item Ledger Entry","Quantity","Entry Type","Sale","Entry No.",I1781,"Location Code",$L$7)</t>
  </si>
  <si>
    <t>=NL("Sum","Item Ledger Entry","Quantity","Entry Type","Sale","Entry No.",I1782,"Location Code",$L$7)</t>
  </si>
  <si>
    <t>=NL("Sum","Item Ledger Entry","Quantity","Entry Type","Sale","Entry No.",I1783,"Location Code",$L$7)</t>
  </si>
  <si>
    <t>=NL("Sum","Item Ledger Entry","Quantity","Entry Type","Sale","Entry No.",I1784,"Location Code",$L$7)</t>
  </si>
  <si>
    <t>=NL("Sum","Item Ledger Entry","Quantity","Entry Type","Sale","Entry No.",I1785,"Location Code",$L$7)</t>
  </si>
  <si>
    <t>=NL("Sum","Item Ledger Entry","Quantity","Entry Type","Positive Adjmt.|Negative Adjmt.","Entry No.",I1767,"Location Code",$L$7)</t>
  </si>
  <si>
    <t>=NL("Sum","Item Ledger Entry","Quantity","Entry Type","Positive Adjmt.|Negative Adjmt.","Entry No.",I1768,"Location Code",$L$7)</t>
  </si>
  <si>
    <t>=NL("Sum","Item Ledger Entry","Quantity","Entry Type","Positive Adjmt.|Negative Adjmt.","Entry No.",I1769,"Location Code",$L$7)</t>
  </si>
  <si>
    <t>=NL("Sum","Item Ledger Entry","Quantity","Entry Type","Positive Adjmt.|Negative Adjmt.","Entry No.",I1770,"Location Code",$L$7)</t>
  </si>
  <si>
    <t>=NL("Sum","Item Ledger Entry","Quantity","Entry Type","Positive Adjmt.|Negative Adjmt.","Entry No.",I1771,"Location Code",$L$7)</t>
  </si>
  <si>
    <t>=NL("Sum","Item Ledger Entry","Quantity","Entry Type","Positive Adjmt.|Negative Adjmt.","Entry No.",I1772,"Location Code",$L$7)</t>
  </si>
  <si>
    <t>=NL("Sum","Item Ledger Entry","Quantity","Entry Type","Positive Adjmt.|Negative Adjmt.","Entry No.",I1773,"Location Code",$L$7)</t>
  </si>
  <si>
    <t>=NL("Sum","Item Ledger Entry","Quantity","Entry Type","Positive Adjmt.|Negative Adjmt.","Entry No.",I1774,"Location Code",$L$7)</t>
  </si>
  <si>
    <t>=NL("Sum","Item Ledger Entry","Quantity","Entry Type","Positive Adjmt.|Negative Adjmt.","Entry No.",I1775,"Location Code",$L$7)</t>
  </si>
  <si>
    <t>=NL("Sum","Item Ledger Entry","Quantity","Entry Type","Positive Adjmt.|Negative Adjmt.","Entry No.",I1776,"Location Code",$L$7)</t>
  </si>
  <si>
    <t>=NL("Sum","Item Ledger Entry","Quantity","Entry Type","Positive Adjmt.|Negative Adjmt.","Entry No.",I1777,"Location Code",$L$7)</t>
  </si>
  <si>
    <t>=NL("Sum","Item Ledger Entry","Quantity","Entry Type","Positive Adjmt.|Negative Adjmt.","Entry No.",I1778,"Location Code",$L$7)</t>
  </si>
  <si>
    <t>=NL("Sum","Item Ledger Entry","Quantity","Entry Type","Positive Adjmt.|Negative Adjmt.","Entry No.",I1779,"Location Code",$L$7)</t>
  </si>
  <si>
    <t>=NL("Sum","Item Ledger Entry","Quantity","Entry Type","Positive Adjmt.|Negative Adjmt.","Entry No.",I1780,"Location Code",$L$7)</t>
  </si>
  <si>
    <t>=NL("Sum","Item Ledger Entry","Quantity","Entry Type","Positive Adjmt.|Negative Adjmt.","Entry No.",I1781,"Location Code",$L$7)</t>
  </si>
  <si>
    <t>=NL("Sum","Item Ledger Entry","Quantity","Entry Type","Positive Adjmt.|Negative Adjmt.","Entry No.",I1782,"Location Code",$L$7)</t>
  </si>
  <si>
    <t>=NL("Sum","Item Ledger Entry","Quantity","Entry Type","Positive Adjmt.|Negative Adjmt.","Entry No.",I1783,"Location Code",$L$7)</t>
  </si>
  <si>
    <t>=NL("Sum","Item Ledger Entry","Quantity","Entry Type","Positive Adjmt.|Negative Adjmt.","Entry No.",I1784,"Location Code",$L$7)</t>
  </si>
  <si>
    <t>=NL("Sum","Item Ledger Entry","Quantity","Entry Type","Positive Adjmt.|Negative Adjmt.","Entry No.",I1785,"Location Code",$L$7)</t>
  </si>
  <si>
    <t>=NL("Sum","Item Ledger Entry","Quantity","Entry Type","Transfer","Entry No.",I1767,"Location Code",$L$7)</t>
  </si>
  <si>
    <t>=NL("Sum","Item Ledger Entry","Quantity","Entry Type","Transfer","Entry No.",I1768,"Location Code",$L$7)</t>
  </si>
  <si>
    <t>=NL("Sum","Item Ledger Entry","Quantity","Entry Type","Transfer","Entry No.",I1769,"Location Code",$L$7)</t>
  </si>
  <si>
    <t>=NL("Sum","Item Ledger Entry","Quantity","Entry Type","Transfer","Entry No.",I1770,"Location Code",$L$7)</t>
  </si>
  <si>
    <t>=NL("Sum","Item Ledger Entry","Quantity","Entry Type","Transfer","Entry No.",I1771,"Location Code",$L$7)</t>
  </si>
  <si>
    <t>=NL("Sum","Item Ledger Entry","Quantity","Entry Type","Transfer","Entry No.",I1772,"Location Code",$L$7)</t>
  </si>
  <si>
    <t>=NL("Sum","Item Ledger Entry","Quantity","Entry Type","Transfer","Entry No.",I1773,"Location Code",$L$7)</t>
  </si>
  <si>
    <t>=NL("Sum","Item Ledger Entry","Quantity","Entry Type","Transfer","Entry No.",I1774,"Location Code",$L$7)</t>
  </si>
  <si>
    <t>=NL("Sum","Item Ledger Entry","Quantity","Entry Type","Transfer","Entry No.",I1775,"Location Code",$L$7)</t>
  </si>
  <si>
    <t>=NL("Sum","Item Ledger Entry","Quantity","Entry Type","Transfer","Entry No.",I1776,"Location Code",$L$7)</t>
  </si>
  <si>
    <t>=NL("Sum","Item Ledger Entry","Quantity","Entry Type","Transfer","Entry No.",I1777,"Location Code",$L$7)</t>
  </si>
  <si>
    <t>=NL("Sum","Item Ledger Entry","Quantity","Entry Type","Transfer","Entry No.",I1778,"Location Code",$L$7)</t>
  </si>
  <si>
    <t>=NL("Sum","Item Ledger Entry","Quantity","Entry Type","Transfer","Entry No.",I1779,"Location Code",$L$7)</t>
  </si>
  <si>
    <t>=NL("Sum","Item Ledger Entry","Quantity","Entry Type","Transfer","Entry No.",I1780,"Location Code",$L$7)</t>
  </si>
  <si>
    <t>=NL("Sum","Item Ledger Entry","Quantity","Entry Type","Transfer","Entry No.",I1781,"Location Code",$L$7)</t>
  </si>
  <si>
    <t>=NL("Sum","Item Ledger Entry","Quantity","Entry Type","Transfer","Entry No.",I1782,"Location Code",$L$7)</t>
  </si>
  <si>
    <t>=NL("Sum","Item Ledger Entry","Quantity","Entry Type","Transfer","Entry No.",I1783,"Location Code",$L$7)</t>
  </si>
  <si>
    <t>=NL("Sum","Item Ledger Entry","Quantity","Entry Type","Transfer","Entry No.",I1784,"Location Code",$L$7)</t>
  </si>
  <si>
    <t>=NL("Sum","Item Ledger Entry","Quantity","Entry Type","Transfer","Entry No.",I1785,"Location Code",$L$7)</t>
  </si>
  <si>
    <t>=NL("Sum","Item Ledger Entry","Quantity","Entry Type","Consumption","Entry No.",I1767,"Location Code",$L$7)</t>
  </si>
  <si>
    <t>=NL("Sum","Item Ledger Entry","Quantity","Entry Type","Consumption","Entry No.",I1768,"Location Code",$L$7)</t>
  </si>
  <si>
    <t>=NL("Sum","Item Ledger Entry","Quantity","Entry Type","Consumption","Entry No.",I1769,"Location Code",$L$7)</t>
  </si>
  <si>
    <t>=NL("Sum","Item Ledger Entry","Quantity","Entry Type","Consumption","Entry No.",I1770,"Location Code",$L$7)</t>
  </si>
  <si>
    <t>=NL("Sum","Item Ledger Entry","Quantity","Entry Type","Consumption","Entry No.",I1771,"Location Code",$L$7)</t>
  </si>
  <si>
    <t>=NL("Sum","Item Ledger Entry","Quantity","Entry Type","Consumption","Entry No.",I1772,"Location Code",$L$7)</t>
  </si>
  <si>
    <t>=NL("Sum","Item Ledger Entry","Quantity","Entry Type","Consumption","Entry No.",I1773,"Location Code",$L$7)</t>
  </si>
  <si>
    <t>=NL("Sum","Item Ledger Entry","Quantity","Entry Type","Consumption","Entry No.",I1774,"Location Code",$L$7)</t>
  </si>
  <si>
    <t>=NL("Sum","Item Ledger Entry","Quantity","Entry Type","Consumption","Entry No.",I1775,"Location Code",$L$7)</t>
  </si>
  <si>
    <t>=NL("Sum","Item Ledger Entry","Quantity","Entry Type","Consumption","Entry No.",I1776,"Location Code",$L$7)</t>
  </si>
  <si>
    <t>=NL("Sum","Item Ledger Entry","Quantity","Entry Type","Consumption","Entry No.",I1777,"Location Code",$L$7)</t>
  </si>
  <si>
    <t>=NL("Sum","Item Ledger Entry","Quantity","Entry Type","Consumption","Entry No.",I1778,"Location Code",$L$7)</t>
  </si>
  <si>
    <t>=NL("Sum","Item Ledger Entry","Quantity","Entry Type","Consumption","Entry No.",I1779,"Location Code",$L$7)</t>
  </si>
  <si>
    <t>=NL("Sum","Item Ledger Entry","Quantity","Entry Type","Consumption","Entry No.",I1780,"Location Code",$L$7)</t>
  </si>
  <si>
    <t>=NL("Sum","Item Ledger Entry","Quantity","Entry Type","Consumption","Entry No.",I1781,"Location Code",$L$7)</t>
  </si>
  <si>
    <t>=NL("Sum","Item Ledger Entry","Quantity","Entry Type","Consumption","Entry No.",I1782,"Location Code",$L$7)</t>
  </si>
  <si>
    <t>=NL("Sum","Item Ledger Entry","Quantity","Entry Type","Consumption","Entry No.",I1783,"Location Code",$L$7)</t>
  </si>
  <si>
    <t>=NL("Sum","Item Ledger Entry","Quantity","Entry Type","Consumption","Entry No.",I1784,"Location Code",$L$7)</t>
  </si>
  <si>
    <t>=NL("Sum","Item Ledger Entry","Quantity","Entry Type","Consumption","Entry No.",I1785,"Location Code",$L$7)</t>
  </si>
  <si>
    <t>=NL("Sum","Item Ledger Entry","Quantity","Entry Type","Output","Entry No.",I1767,"Location Code",$L$7)</t>
  </si>
  <si>
    <t>=NL("Sum","Item Ledger Entry","Quantity","Entry Type","Output","Entry No.",I1768,"Location Code",$L$7)</t>
  </si>
  <si>
    <t>=NL("Sum","Item Ledger Entry","Quantity","Entry Type","Output","Entry No.",I1769,"Location Code",$L$7)</t>
  </si>
  <si>
    <t>=NL("Sum","Item Ledger Entry","Quantity","Entry Type","Output","Entry No.",I1770,"Location Code",$L$7)</t>
  </si>
  <si>
    <t>=NL("Sum","Item Ledger Entry","Quantity","Entry Type","Output","Entry No.",I1771,"Location Code",$L$7)</t>
  </si>
  <si>
    <t>=NL("Sum","Item Ledger Entry","Quantity","Entry Type","Output","Entry No.",I1772,"Location Code",$L$7)</t>
  </si>
  <si>
    <t>=NL("Sum","Item Ledger Entry","Quantity","Entry Type","Output","Entry No.",I1773,"Location Code",$L$7)</t>
  </si>
  <si>
    <t>=NL("Sum","Item Ledger Entry","Quantity","Entry Type","Output","Entry No.",I1774,"Location Code",$L$7)</t>
  </si>
  <si>
    <t>=NL("Sum","Item Ledger Entry","Quantity","Entry Type","Output","Entry No.",I1775,"Location Code",$L$7)</t>
  </si>
  <si>
    <t>=NL("Sum","Item Ledger Entry","Quantity","Entry Type","Output","Entry No.",I1776,"Location Code",$L$7)</t>
  </si>
  <si>
    <t>=NL("Sum","Item Ledger Entry","Quantity","Entry Type","Output","Entry No.",I1777,"Location Code",$L$7)</t>
  </si>
  <si>
    <t>=NL("Sum","Item Ledger Entry","Quantity","Entry Type","Output","Entry No.",I1778,"Location Code",$L$7)</t>
  </si>
  <si>
    <t>=NL("Sum","Item Ledger Entry","Quantity","Entry Type","Output","Entry No.",I1779,"Location Code",$L$7)</t>
  </si>
  <si>
    <t>=NL("Sum","Item Ledger Entry","Quantity","Entry Type","Output","Entry No.",I1780,"Location Code",$L$7)</t>
  </si>
  <si>
    <t>=NL("Sum","Item Ledger Entry","Quantity","Entry Type","Output","Entry No.",I1781,"Location Code",$L$7)</t>
  </si>
  <si>
    <t>=NL("Sum","Item Ledger Entry","Quantity","Entry Type","Output","Entry No.",I1782,"Location Code",$L$7)</t>
  </si>
  <si>
    <t>=NL("Sum","Item Ledger Entry","Quantity","Entry Type","Output","Entry No.",I1783,"Location Code",$L$7)</t>
  </si>
  <si>
    <t>=NL("Sum","Item Ledger Entry","Quantity","Entry Type","Output","Entry No.",I1784,"Location Code",$L$7)</t>
  </si>
  <si>
    <t>=NL("Sum","Item Ledger Entry","Quantity","Entry Type","Output","Entry No.",I1785,"Location Code",$L$7)</t>
  </si>
  <si>
    <t>=NF(G1767,"Source Type")</t>
  </si>
  <si>
    <t>=NF(G1768,"Source Type")</t>
  </si>
  <si>
    <t>=NF(G1769,"Source Type")</t>
  </si>
  <si>
    <t>=NF(G1770,"Source Type")</t>
  </si>
  <si>
    <t>=NF(G1771,"Source Type")</t>
  </si>
  <si>
    <t>=NF(G1772,"Source Type")</t>
  </si>
  <si>
    <t>=NF(G1773,"Source Type")</t>
  </si>
  <si>
    <t>=NF(G1774,"Source Type")</t>
  </si>
  <si>
    <t>=NF(G1775,"Source Type")</t>
  </si>
  <si>
    <t>=NF(G1776,"Source Type")</t>
  </si>
  <si>
    <t>=NF(G1777,"Source Type")</t>
  </si>
  <si>
    <t>=NF(G1778,"Source Type")</t>
  </si>
  <si>
    <t>=NF(G1779,"Source Type")</t>
  </si>
  <si>
    <t>=NF(G1780,"Source Type")</t>
  </si>
  <si>
    <t>=NF(G1781,"Source Type")</t>
  </si>
  <si>
    <t>=NF(G1782,"Source Type")</t>
  </si>
  <si>
    <t>=NF(G1783,"Source Type")</t>
  </si>
  <si>
    <t>=NF(G1784,"Source Type")</t>
  </si>
  <si>
    <t>=NF(G1785,"Source Type")</t>
  </si>
  <si>
    <t>=NF($G1767,"Source No.")</t>
  </si>
  <si>
    <t>=NF($G1768,"Source No.")</t>
  </si>
  <si>
    <t>=NF($G1769,"Source No.")</t>
  </si>
  <si>
    <t>=NF($G1770,"Source No.")</t>
  </si>
  <si>
    <t>=NF($G1771,"Source No.")</t>
  </si>
  <si>
    <t>=NF($G1772,"Source No.")</t>
  </si>
  <si>
    <t>=NF($G1773,"Source No.")</t>
  </si>
  <si>
    <t>=NF($G1774,"Source No.")</t>
  </si>
  <si>
    <t>=NF($G1775,"Source No.")</t>
  </si>
  <si>
    <t>=NF($G1776,"Source No.")</t>
  </si>
  <si>
    <t>=NF($G1777,"Source No.")</t>
  </si>
  <si>
    <t>=NF($G1778,"Source No.")</t>
  </si>
  <si>
    <t>=NF($G1779,"Source No.")</t>
  </si>
  <si>
    <t>=NF($G1780,"Source No.")</t>
  </si>
  <si>
    <t>=NF($G1781,"Source No.")</t>
  </si>
  <si>
    <t>=NF($G1782,"Source No.")</t>
  </si>
  <si>
    <t>=NF($G1783,"Source No.")</t>
  </si>
  <si>
    <t>=NF($G1784,"Source No.")</t>
  </si>
  <si>
    <t>=NF($G1785,"Source No.")</t>
  </si>
  <si>
    <t>=NF($G1749,"Posting Date")</t>
  </si>
  <si>
    <t>=NF($G1750,"Posting Date")</t>
  </si>
  <si>
    <t>=NF($G1751,"Posting Date")</t>
  </si>
  <si>
    <t>=NF($G1752,"Posting Date")</t>
  </si>
  <si>
    <t>=NF($G1753,"Posting Date")</t>
  </si>
  <si>
    <t>=NF($G1754,"Posting Date")</t>
  </si>
  <si>
    <t>=NF($G1755,"Posting Date")</t>
  </si>
  <si>
    <t>=NF($G1756,"Posting Date")</t>
  </si>
  <si>
    <t>=NF($G1757,"Posting Date")</t>
  </si>
  <si>
    <t>=NF($G1758,"Posting Date")</t>
  </si>
  <si>
    <t>=NF($G1759,"Posting Date")</t>
  </si>
  <si>
    <t>=NF($G1760,"Posting Date")</t>
  </si>
  <si>
    <t>=NF($G1761,"Posting Date")</t>
  </si>
  <si>
    <t>=NF($G1762,"Posting Date")</t>
  </si>
  <si>
    <t>=NF($G1763,"Posting Date")</t>
  </si>
  <si>
    <t>=NF($G1749,"Entry No.")</t>
  </si>
  <si>
    <t>=NF($G1750,"Entry No.")</t>
  </si>
  <si>
    <t>=NF($G1751,"Entry No.")</t>
  </si>
  <si>
    <t>=NF($G1752,"Entry No.")</t>
  </si>
  <si>
    <t>=NF($G1753,"Entry No.")</t>
  </si>
  <si>
    <t>=NF($G1754,"Entry No.")</t>
  </si>
  <si>
    <t>=NF($G1755,"Entry No.")</t>
  </si>
  <si>
    <t>=NF($G1756,"Entry No.")</t>
  </si>
  <si>
    <t>=NF($G1757,"Entry No.")</t>
  </si>
  <si>
    <t>=NF($G1758,"Entry No.")</t>
  </si>
  <si>
    <t>=NF($G1759,"Entry No.")</t>
  </si>
  <si>
    <t>=NF($G1760,"Entry No.")</t>
  </si>
  <si>
    <t>=NF($G1761,"Entry No.")</t>
  </si>
  <si>
    <t>=NF($G1762,"Entry No.")</t>
  </si>
  <si>
    <t>=NF($G1763,"Entry No.")</t>
  </si>
  <si>
    <t>=NL("Sum","Item Ledger Entry","Quantity","Entry Type","Purchase","Entry No.",I1749,"Location Code",$L$7)</t>
  </si>
  <si>
    <t>=NL("Sum","Item Ledger Entry","Quantity","Entry Type","Purchase","Entry No.",I1750,"Location Code",$L$7)</t>
  </si>
  <si>
    <t>=NL("Sum","Item Ledger Entry","Quantity","Entry Type","Purchase","Entry No.",I1751,"Location Code",$L$7)</t>
  </si>
  <si>
    <t>=NL("Sum","Item Ledger Entry","Quantity","Entry Type","Purchase","Entry No.",I1752,"Location Code",$L$7)</t>
  </si>
  <si>
    <t>=NL("Sum","Item Ledger Entry","Quantity","Entry Type","Purchase","Entry No.",I1753,"Location Code",$L$7)</t>
  </si>
  <si>
    <t>=NL("Sum","Item Ledger Entry","Quantity","Entry Type","Purchase","Entry No.",I1754,"Location Code",$L$7)</t>
  </si>
  <si>
    <t>=NL("Sum","Item Ledger Entry","Quantity","Entry Type","Purchase","Entry No.",I1755,"Location Code",$L$7)</t>
  </si>
  <si>
    <t>=NL("Sum","Item Ledger Entry","Quantity","Entry Type","Purchase","Entry No.",I1756,"Location Code",$L$7)</t>
  </si>
  <si>
    <t>=NL("Sum","Item Ledger Entry","Quantity","Entry Type","Purchase","Entry No.",I1757,"Location Code",$L$7)</t>
  </si>
  <si>
    <t>=NL("Sum","Item Ledger Entry","Quantity","Entry Type","Purchase","Entry No.",I1758,"Location Code",$L$7)</t>
  </si>
  <si>
    <t>=NL("Sum","Item Ledger Entry","Quantity","Entry Type","Purchase","Entry No.",I1759,"Location Code",$L$7)</t>
  </si>
  <si>
    <t>=NL("Sum","Item Ledger Entry","Quantity","Entry Type","Purchase","Entry No.",I1760,"Location Code",$L$7)</t>
  </si>
  <si>
    <t>=NL("Sum","Item Ledger Entry","Quantity","Entry Type","Purchase","Entry No.",I1761,"Location Code",$L$7)</t>
  </si>
  <si>
    <t>=NL("Sum","Item Ledger Entry","Quantity","Entry Type","Purchase","Entry No.",I1762,"Location Code",$L$7)</t>
  </si>
  <si>
    <t>=NL("Sum","Item Ledger Entry","Quantity","Entry Type","Purchase","Entry No.",I1763,"Location Code",$L$7)</t>
  </si>
  <si>
    <t>=NL("Sum","Item Ledger Entry","Quantity","Entry Type","Sale","Entry No.",I1749,"Location Code",$L$7)</t>
  </si>
  <si>
    <t>=NL("Sum","Item Ledger Entry","Quantity","Entry Type","Sale","Entry No.",I1750,"Location Code",$L$7)</t>
  </si>
  <si>
    <t>=NL("Sum","Item Ledger Entry","Quantity","Entry Type","Sale","Entry No.",I1751,"Location Code",$L$7)</t>
  </si>
  <si>
    <t>=NL("Sum","Item Ledger Entry","Quantity","Entry Type","Sale","Entry No.",I1752,"Location Code",$L$7)</t>
  </si>
  <si>
    <t>=NL("Sum","Item Ledger Entry","Quantity","Entry Type","Sale","Entry No.",I1753,"Location Code",$L$7)</t>
  </si>
  <si>
    <t>=NL("Sum","Item Ledger Entry","Quantity","Entry Type","Sale","Entry No.",I1754,"Location Code",$L$7)</t>
  </si>
  <si>
    <t>=NL("Sum","Item Ledger Entry","Quantity","Entry Type","Sale","Entry No.",I1755,"Location Code",$L$7)</t>
  </si>
  <si>
    <t>=NL("Sum","Item Ledger Entry","Quantity","Entry Type","Sale","Entry No.",I1756,"Location Code",$L$7)</t>
  </si>
  <si>
    <t>=NL("Sum","Item Ledger Entry","Quantity","Entry Type","Sale","Entry No.",I1757,"Location Code",$L$7)</t>
  </si>
  <si>
    <t>=NL("Sum","Item Ledger Entry","Quantity","Entry Type","Sale","Entry No.",I1758,"Location Code",$L$7)</t>
  </si>
  <si>
    <t>=NL("Sum","Item Ledger Entry","Quantity","Entry Type","Sale","Entry No.",I1759,"Location Code",$L$7)</t>
  </si>
  <si>
    <t>=NL("Sum","Item Ledger Entry","Quantity","Entry Type","Sale","Entry No.",I1760,"Location Code",$L$7)</t>
  </si>
  <si>
    <t>=NL("Sum","Item Ledger Entry","Quantity","Entry Type","Sale","Entry No.",I1761,"Location Code",$L$7)</t>
  </si>
  <si>
    <t>=NL("Sum","Item Ledger Entry","Quantity","Entry Type","Sale","Entry No.",I1762,"Location Code",$L$7)</t>
  </si>
  <si>
    <t>=NL("Sum","Item Ledger Entry","Quantity","Entry Type","Sale","Entry No.",I1763,"Location Code",$L$7)</t>
  </si>
  <si>
    <t>=NL("Sum","Item Ledger Entry","Quantity","Entry Type","Positive Adjmt.|Negative Adjmt.","Entry No.",I1749,"Location Code",$L$7)</t>
  </si>
  <si>
    <t>=NL("Sum","Item Ledger Entry","Quantity","Entry Type","Positive Adjmt.|Negative Adjmt.","Entry No.",I1750,"Location Code",$L$7)</t>
  </si>
  <si>
    <t>=NL("Sum","Item Ledger Entry","Quantity","Entry Type","Positive Adjmt.|Negative Adjmt.","Entry No.",I1751,"Location Code",$L$7)</t>
  </si>
  <si>
    <t>=NL("Sum","Item Ledger Entry","Quantity","Entry Type","Positive Adjmt.|Negative Adjmt.","Entry No.",I1752,"Location Code",$L$7)</t>
  </si>
  <si>
    <t>=NL("Sum","Item Ledger Entry","Quantity","Entry Type","Positive Adjmt.|Negative Adjmt.","Entry No.",I1753,"Location Code",$L$7)</t>
  </si>
  <si>
    <t>=NL("Sum","Item Ledger Entry","Quantity","Entry Type","Positive Adjmt.|Negative Adjmt.","Entry No.",I1754,"Location Code",$L$7)</t>
  </si>
  <si>
    <t>=NL("Sum","Item Ledger Entry","Quantity","Entry Type","Positive Adjmt.|Negative Adjmt.","Entry No.",I1755,"Location Code",$L$7)</t>
  </si>
  <si>
    <t>=NL("Sum","Item Ledger Entry","Quantity","Entry Type","Positive Adjmt.|Negative Adjmt.","Entry No.",I1756,"Location Code",$L$7)</t>
  </si>
  <si>
    <t>=NL("Sum","Item Ledger Entry","Quantity","Entry Type","Positive Adjmt.|Negative Adjmt.","Entry No.",I1757,"Location Code",$L$7)</t>
  </si>
  <si>
    <t>=NL("Sum","Item Ledger Entry","Quantity","Entry Type","Positive Adjmt.|Negative Adjmt.","Entry No.",I1758,"Location Code",$L$7)</t>
  </si>
  <si>
    <t>=NL("Sum","Item Ledger Entry","Quantity","Entry Type","Positive Adjmt.|Negative Adjmt.","Entry No.",I1759,"Location Code",$L$7)</t>
  </si>
  <si>
    <t>=NL("Sum","Item Ledger Entry","Quantity","Entry Type","Positive Adjmt.|Negative Adjmt.","Entry No.",I1760,"Location Code",$L$7)</t>
  </si>
  <si>
    <t>=NL("Sum","Item Ledger Entry","Quantity","Entry Type","Positive Adjmt.|Negative Adjmt.","Entry No.",I1761,"Location Code",$L$7)</t>
  </si>
  <si>
    <t>=NL("Sum","Item Ledger Entry","Quantity","Entry Type","Positive Adjmt.|Negative Adjmt.","Entry No.",I1762,"Location Code",$L$7)</t>
  </si>
  <si>
    <t>=NL("Sum","Item Ledger Entry","Quantity","Entry Type","Positive Adjmt.|Negative Adjmt.","Entry No.",I1763,"Location Code",$L$7)</t>
  </si>
  <si>
    <t>=NL("Sum","Item Ledger Entry","Quantity","Entry Type","Transfer","Entry No.",I1749,"Location Code",$L$7)</t>
  </si>
  <si>
    <t>=NL("Sum","Item Ledger Entry","Quantity","Entry Type","Transfer","Entry No.",I1750,"Location Code",$L$7)</t>
  </si>
  <si>
    <t>=NL("Sum","Item Ledger Entry","Quantity","Entry Type","Transfer","Entry No.",I1751,"Location Code",$L$7)</t>
  </si>
  <si>
    <t>=NL("Sum","Item Ledger Entry","Quantity","Entry Type","Transfer","Entry No.",I1752,"Location Code",$L$7)</t>
  </si>
  <si>
    <t>=NL("Sum","Item Ledger Entry","Quantity","Entry Type","Transfer","Entry No.",I1753,"Location Code",$L$7)</t>
  </si>
  <si>
    <t>=NL("Sum","Item Ledger Entry","Quantity","Entry Type","Transfer","Entry No.",I1754,"Location Code",$L$7)</t>
  </si>
  <si>
    <t>=NL("Sum","Item Ledger Entry","Quantity","Entry Type","Transfer","Entry No.",I1755,"Location Code",$L$7)</t>
  </si>
  <si>
    <t>=NL("Sum","Item Ledger Entry","Quantity","Entry Type","Transfer","Entry No.",I1756,"Location Code",$L$7)</t>
  </si>
  <si>
    <t>=NL("Sum","Item Ledger Entry","Quantity","Entry Type","Transfer","Entry No.",I1757,"Location Code",$L$7)</t>
  </si>
  <si>
    <t>=NL("Sum","Item Ledger Entry","Quantity","Entry Type","Transfer","Entry No.",I1758,"Location Code",$L$7)</t>
  </si>
  <si>
    <t>=NL("Sum","Item Ledger Entry","Quantity","Entry Type","Transfer","Entry No.",I1759,"Location Code",$L$7)</t>
  </si>
  <si>
    <t>=NL("Sum","Item Ledger Entry","Quantity","Entry Type","Transfer","Entry No.",I1760,"Location Code",$L$7)</t>
  </si>
  <si>
    <t>=NL("Sum","Item Ledger Entry","Quantity","Entry Type","Transfer","Entry No.",I1761,"Location Code",$L$7)</t>
  </si>
  <si>
    <t>=NL("Sum","Item Ledger Entry","Quantity","Entry Type","Transfer","Entry No.",I1762,"Location Code",$L$7)</t>
  </si>
  <si>
    <t>=NL("Sum","Item Ledger Entry","Quantity","Entry Type","Transfer","Entry No.",I1763,"Location Code",$L$7)</t>
  </si>
  <si>
    <t>=NL("Sum","Item Ledger Entry","Quantity","Entry Type","Consumption","Entry No.",I1749,"Location Code",$L$7)</t>
  </si>
  <si>
    <t>=NL("Sum","Item Ledger Entry","Quantity","Entry Type","Consumption","Entry No.",I1750,"Location Code",$L$7)</t>
  </si>
  <si>
    <t>=NL("Sum","Item Ledger Entry","Quantity","Entry Type","Consumption","Entry No.",I1751,"Location Code",$L$7)</t>
  </si>
  <si>
    <t>=NL("Sum","Item Ledger Entry","Quantity","Entry Type","Consumption","Entry No.",I1752,"Location Code",$L$7)</t>
  </si>
  <si>
    <t>=NL("Sum","Item Ledger Entry","Quantity","Entry Type","Consumption","Entry No.",I1753,"Location Code",$L$7)</t>
  </si>
  <si>
    <t>=NL("Sum","Item Ledger Entry","Quantity","Entry Type","Consumption","Entry No.",I1754,"Location Code",$L$7)</t>
  </si>
  <si>
    <t>=NL("Sum","Item Ledger Entry","Quantity","Entry Type","Consumption","Entry No.",I1755,"Location Code",$L$7)</t>
  </si>
  <si>
    <t>=NL("Sum","Item Ledger Entry","Quantity","Entry Type","Consumption","Entry No.",I1756,"Location Code",$L$7)</t>
  </si>
  <si>
    <t>=NL("Sum","Item Ledger Entry","Quantity","Entry Type","Consumption","Entry No.",I1757,"Location Code",$L$7)</t>
  </si>
  <si>
    <t>=NL("Sum","Item Ledger Entry","Quantity","Entry Type","Consumption","Entry No.",I1758,"Location Code",$L$7)</t>
  </si>
  <si>
    <t>=NL("Sum","Item Ledger Entry","Quantity","Entry Type","Consumption","Entry No.",I1759,"Location Code",$L$7)</t>
  </si>
  <si>
    <t>=NL("Sum","Item Ledger Entry","Quantity","Entry Type","Consumption","Entry No.",I1760,"Location Code",$L$7)</t>
  </si>
  <si>
    <t>=NL("Sum","Item Ledger Entry","Quantity","Entry Type","Consumption","Entry No.",I1761,"Location Code",$L$7)</t>
  </si>
  <si>
    <t>=NL("Sum","Item Ledger Entry","Quantity","Entry Type","Consumption","Entry No.",I1762,"Location Code",$L$7)</t>
  </si>
  <si>
    <t>=NL("Sum","Item Ledger Entry","Quantity","Entry Type","Consumption","Entry No.",I1763,"Location Code",$L$7)</t>
  </si>
  <si>
    <t>=NL("Sum","Item Ledger Entry","Quantity","Entry Type","Output","Entry No.",I1749,"Location Code",$L$7)</t>
  </si>
  <si>
    <t>=NL("Sum","Item Ledger Entry","Quantity","Entry Type","Output","Entry No.",I1750,"Location Code",$L$7)</t>
  </si>
  <si>
    <t>=NL("Sum","Item Ledger Entry","Quantity","Entry Type","Output","Entry No.",I1751,"Location Code",$L$7)</t>
  </si>
  <si>
    <t>=NL("Sum","Item Ledger Entry","Quantity","Entry Type","Output","Entry No.",I1752,"Location Code",$L$7)</t>
  </si>
  <si>
    <t>=NL("Sum","Item Ledger Entry","Quantity","Entry Type","Output","Entry No.",I1753,"Location Code",$L$7)</t>
  </si>
  <si>
    <t>=NL("Sum","Item Ledger Entry","Quantity","Entry Type","Output","Entry No.",I1754,"Location Code",$L$7)</t>
  </si>
  <si>
    <t>=NL("Sum","Item Ledger Entry","Quantity","Entry Type","Output","Entry No.",I1755,"Location Code",$L$7)</t>
  </si>
  <si>
    <t>=NL("Sum","Item Ledger Entry","Quantity","Entry Type","Output","Entry No.",I1756,"Location Code",$L$7)</t>
  </si>
  <si>
    <t>=NL("Sum","Item Ledger Entry","Quantity","Entry Type","Output","Entry No.",I1757,"Location Code",$L$7)</t>
  </si>
  <si>
    <t>=NL("Sum","Item Ledger Entry","Quantity","Entry Type","Output","Entry No.",I1758,"Location Code",$L$7)</t>
  </si>
  <si>
    <t>=NL("Sum","Item Ledger Entry","Quantity","Entry Type","Output","Entry No.",I1759,"Location Code",$L$7)</t>
  </si>
  <si>
    <t>=NL("Sum","Item Ledger Entry","Quantity","Entry Type","Output","Entry No.",I1760,"Location Code",$L$7)</t>
  </si>
  <si>
    <t>=NL("Sum","Item Ledger Entry","Quantity","Entry Type","Output","Entry No.",I1761,"Location Code",$L$7)</t>
  </si>
  <si>
    <t>=NL("Sum","Item Ledger Entry","Quantity","Entry Type","Output","Entry No.",I1762,"Location Code",$L$7)</t>
  </si>
  <si>
    <t>=NL("Sum","Item Ledger Entry","Quantity","Entry Type","Output","Entry No.",I1763,"Location Code",$L$7)</t>
  </si>
  <si>
    <t>=NF(G1749,"Source Type")</t>
  </si>
  <si>
    <t>=NF(G1750,"Source Type")</t>
  </si>
  <si>
    <t>=NF(G1751,"Source Type")</t>
  </si>
  <si>
    <t>=NF(G1752,"Source Type")</t>
  </si>
  <si>
    <t>=NF(G1753,"Source Type")</t>
  </si>
  <si>
    <t>=NF(G1754,"Source Type")</t>
  </si>
  <si>
    <t>=NF(G1755,"Source Type")</t>
  </si>
  <si>
    <t>=NF(G1756,"Source Type")</t>
  </si>
  <si>
    <t>=NF(G1757,"Source Type")</t>
  </si>
  <si>
    <t>=NF(G1758,"Source Type")</t>
  </si>
  <si>
    <t>=NF(G1759,"Source Type")</t>
  </si>
  <si>
    <t>=NF(G1760,"Source Type")</t>
  </si>
  <si>
    <t>=NF(G1761,"Source Type")</t>
  </si>
  <si>
    <t>=NF(G1762,"Source Type")</t>
  </si>
  <si>
    <t>=NF(G1763,"Source Type")</t>
  </si>
  <si>
    <t>=NF($G1749,"Source No.")</t>
  </si>
  <si>
    <t>=NF($G1750,"Source No.")</t>
  </si>
  <si>
    <t>=NF($G1751,"Source No.")</t>
  </si>
  <si>
    <t>=NF($G1752,"Source No.")</t>
  </si>
  <si>
    <t>=NF($G1753,"Source No.")</t>
  </si>
  <si>
    <t>=NF($G1754,"Source No.")</t>
  </si>
  <si>
    <t>=NF($G1755,"Source No.")</t>
  </si>
  <si>
    <t>=NF($G1756,"Source No.")</t>
  </si>
  <si>
    <t>=NF($G1757,"Source No.")</t>
  </si>
  <si>
    <t>=NF($G1758,"Source No.")</t>
  </si>
  <si>
    <t>=NF($G1759,"Source No.")</t>
  </si>
  <si>
    <t>=NF($G1760,"Source No.")</t>
  </si>
  <si>
    <t>=NF($G1761,"Source No.")</t>
  </si>
  <si>
    <t>=NF($G1762,"Source No.")</t>
  </si>
  <si>
    <t>=NF($G1763,"Source No.")</t>
  </si>
  <si>
    <t>=NF($G1727,"Posting Date")</t>
  </si>
  <si>
    <t>=NF($G1728,"Posting Date")</t>
  </si>
  <si>
    <t>=NF($G1729,"Posting Date")</t>
  </si>
  <si>
    <t>=NF($G1730,"Posting Date")</t>
  </si>
  <si>
    <t>=NF($G1731,"Posting Date")</t>
  </si>
  <si>
    <t>=NF($G1732,"Posting Date")</t>
  </si>
  <si>
    <t>=NF($G1733,"Posting Date")</t>
  </si>
  <si>
    <t>=NF($G1734,"Posting Date")</t>
  </si>
  <si>
    <t>=NF($G1735,"Posting Date")</t>
  </si>
  <si>
    <t>=NF($G1736,"Posting Date")</t>
  </si>
  <si>
    <t>=NF($G1737,"Posting Date")</t>
  </si>
  <si>
    <t>=NF($G1738,"Posting Date")</t>
  </si>
  <si>
    <t>=NF($G1739,"Posting Date")</t>
  </si>
  <si>
    <t>=NF($G1740,"Posting Date")</t>
  </si>
  <si>
    <t>=NF($G1741,"Posting Date")</t>
  </si>
  <si>
    <t>=NF($G1742,"Posting Date")</t>
  </si>
  <si>
    <t>=NF($G1743,"Posting Date")</t>
  </si>
  <si>
    <t>=NF($G1744,"Posting Date")</t>
  </si>
  <si>
    <t>=NF($G1745,"Posting Date")</t>
  </si>
  <si>
    <t>=NF($G1727,"Entry No.")</t>
  </si>
  <si>
    <t>=NF($G1728,"Entry No.")</t>
  </si>
  <si>
    <t>=NF($G1729,"Entry No.")</t>
  </si>
  <si>
    <t>=NF($G1730,"Entry No.")</t>
  </si>
  <si>
    <t>=NF($G1731,"Entry No.")</t>
  </si>
  <si>
    <t>=NF($G1732,"Entry No.")</t>
  </si>
  <si>
    <t>=NF($G1733,"Entry No.")</t>
  </si>
  <si>
    <t>=NF($G1734,"Entry No.")</t>
  </si>
  <si>
    <t>=NF($G1735,"Entry No.")</t>
  </si>
  <si>
    <t>=NF($G1736,"Entry No.")</t>
  </si>
  <si>
    <t>=NF($G1737,"Entry No.")</t>
  </si>
  <si>
    <t>=NF($G1738,"Entry No.")</t>
  </si>
  <si>
    <t>=NF($G1739,"Entry No.")</t>
  </si>
  <si>
    <t>=NF($G1740,"Entry No.")</t>
  </si>
  <si>
    <t>=NF($G1741,"Entry No.")</t>
  </si>
  <si>
    <t>=NF($G1742,"Entry No.")</t>
  </si>
  <si>
    <t>=NF($G1743,"Entry No.")</t>
  </si>
  <si>
    <t>=NF($G1744,"Entry No.")</t>
  </si>
  <si>
    <t>=NF($G1745,"Entry No.")</t>
  </si>
  <si>
    <t>=NL("Sum","Item Ledger Entry","Quantity","Entry Type","Purchase","Entry No.",I1727,"Location Code",$L$7)</t>
  </si>
  <si>
    <t>=NL("Sum","Item Ledger Entry","Quantity","Entry Type","Purchase","Entry No.",I1728,"Location Code",$L$7)</t>
  </si>
  <si>
    <t>=NL("Sum","Item Ledger Entry","Quantity","Entry Type","Purchase","Entry No.",I1729,"Location Code",$L$7)</t>
  </si>
  <si>
    <t>=NL("Sum","Item Ledger Entry","Quantity","Entry Type","Purchase","Entry No.",I1730,"Location Code",$L$7)</t>
  </si>
  <si>
    <t>=NL("Sum","Item Ledger Entry","Quantity","Entry Type","Purchase","Entry No.",I1731,"Location Code",$L$7)</t>
  </si>
  <si>
    <t>=NL("Sum","Item Ledger Entry","Quantity","Entry Type","Purchase","Entry No.",I1732,"Location Code",$L$7)</t>
  </si>
  <si>
    <t>=NL("Sum","Item Ledger Entry","Quantity","Entry Type","Purchase","Entry No.",I1733,"Location Code",$L$7)</t>
  </si>
  <si>
    <t>=NL("Sum","Item Ledger Entry","Quantity","Entry Type","Purchase","Entry No.",I1734,"Location Code",$L$7)</t>
  </si>
  <si>
    <t>=NL("Sum","Item Ledger Entry","Quantity","Entry Type","Purchase","Entry No.",I1735,"Location Code",$L$7)</t>
  </si>
  <si>
    <t>=NL("Sum","Item Ledger Entry","Quantity","Entry Type","Purchase","Entry No.",I1736,"Location Code",$L$7)</t>
  </si>
  <si>
    <t>=NL("Sum","Item Ledger Entry","Quantity","Entry Type","Purchase","Entry No.",I1737,"Location Code",$L$7)</t>
  </si>
  <si>
    <t>=NL("Sum","Item Ledger Entry","Quantity","Entry Type","Purchase","Entry No.",I1738,"Location Code",$L$7)</t>
  </si>
  <si>
    <t>=NL("Sum","Item Ledger Entry","Quantity","Entry Type","Purchase","Entry No.",I1739,"Location Code",$L$7)</t>
  </si>
  <si>
    <t>=NL("Sum","Item Ledger Entry","Quantity","Entry Type","Purchase","Entry No.",I1740,"Location Code",$L$7)</t>
  </si>
  <si>
    <t>=NL("Sum","Item Ledger Entry","Quantity","Entry Type","Purchase","Entry No.",I1741,"Location Code",$L$7)</t>
  </si>
  <si>
    <t>=NL("Sum","Item Ledger Entry","Quantity","Entry Type","Purchase","Entry No.",I1742,"Location Code",$L$7)</t>
  </si>
  <si>
    <t>=NL("Sum","Item Ledger Entry","Quantity","Entry Type","Purchase","Entry No.",I1743,"Location Code",$L$7)</t>
  </si>
  <si>
    <t>=NL("Sum","Item Ledger Entry","Quantity","Entry Type","Purchase","Entry No.",I1744,"Location Code",$L$7)</t>
  </si>
  <si>
    <t>=NL("Sum","Item Ledger Entry","Quantity","Entry Type","Purchase","Entry No.",I1745,"Location Code",$L$7)</t>
  </si>
  <si>
    <t>=NL("Sum","Item Ledger Entry","Quantity","Entry Type","Sale","Entry No.",I1727,"Location Code",$L$7)</t>
  </si>
  <si>
    <t>=NL("Sum","Item Ledger Entry","Quantity","Entry Type","Sale","Entry No.",I1728,"Location Code",$L$7)</t>
  </si>
  <si>
    <t>=NL("Sum","Item Ledger Entry","Quantity","Entry Type","Sale","Entry No.",I1729,"Location Code",$L$7)</t>
  </si>
  <si>
    <t>=NL("Sum","Item Ledger Entry","Quantity","Entry Type","Sale","Entry No.",I1730,"Location Code",$L$7)</t>
  </si>
  <si>
    <t>=NL("Sum","Item Ledger Entry","Quantity","Entry Type","Sale","Entry No.",I1731,"Location Code",$L$7)</t>
  </si>
  <si>
    <t>=NL("Sum","Item Ledger Entry","Quantity","Entry Type","Sale","Entry No.",I1732,"Location Code",$L$7)</t>
  </si>
  <si>
    <t>=NL("Sum","Item Ledger Entry","Quantity","Entry Type","Sale","Entry No.",I1733,"Location Code",$L$7)</t>
  </si>
  <si>
    <t>=NL("Sum","Item Ledger Entry","Quantity","Entry Type","Sale","Entry No.",I1734,"Location Code",$L$7)</t>
  </si>
  <si>
    <t>=NL("Sum","Item Ledger Entry","Quantity","Entry Type","Sale","Entry No.",I1735,"Location Code",$L$7)</t>
  </si>
  <si>
    <t>=NL("Sum","Item Ledger Entry","Quantity","Entry Type","Sale","Entry No.",I1736,"Location Code",$L$7)</t>
  </si>
  <si>
    <t>=NL("Sum","Item Ledger Entry","Quantity","Entry Type","Sale","Entry No.",I1737,"Location Code",$L$7)</t>
  </si>
  <si>
    <t>=NL("Sum","Item Ledger Entry","Quantity","Entry Type","Sale","Entry No.",I1738,"Location Code",$L$7)</t>
  </si>
  <si>
    <t>=NL("Sum","Item Ledger Entry","Quantity","Entry Type","Sale","Entry No.",I1739,"Location Code",$L$7)</t>
  </si>
  <si>
    <t>=NL("Sum","Item Ledger Entry","Quantity","Entry Type","Sale","Entry No.",I1740,"Location Code",$L$7)</t>
  </si>
  <si>
    <t>=NL("Sum","Item Ledger Entry","Quantity","Entry Type","Sale","Entry No.",I1741,"Location Code",$L$7)</t>
  </si>
  <si>
    <t>=NL("Sum","Item Ledger Entry","Quantity","Entry Type","Sale","Entry No.",I1742,"Location Code",$L$7)</t>
  </si>
  <si>
    <t>=NL("Sum","Item Ledger Entry","Quantity","Entry Type","Sale","Entry No.",I1743,"Location Code",$L$7)</t>
  </si>
  <si>
    <t>=NL("Sum","Item Ledger Entry","Quantity","Entry Type","Sale","Entry No.",I1744,"Location Code",$L$7)</t>
  </si>
  <si>
    <t>=NL("Sum","Item Ledger Entry","Quantity","Entry Type","Sale","Entry No.",I1745,"Location Code",$L$7)</t>
  </si>
  <si>
    <t>=NL("Sum","Item Ledger Entry","Quantity","Entry Type","Positive Adjmt.|Negative Adjmt.","Entry No.",I1727,"Location Code",$L$7)</t>
  </si>
  <si>
    <t>=NL("Sum","Item Ledger Entry","Quantity","Entry Type","Positive Adjmt.|Negative Adjmt.","Entry No.",I1728,"Location Code",$L$7)</t>
  </si>
  <si>
    <t>=NL("Sum","Item Ledger Entry","Quantity","Entry Type","Positive Adjmt.|Negative Adjmt.","Entry No.",I1729,"Location Code",$L$7)</t>
  </si>
  <si>
    <t>=NL("Sum","Item Ledger Entry","Quantity","Entry Type","Positive Adjmt.|Negative Adjmt.","Entry No.",I1730,"Location Code",$L$7)</t>
  </si>
  <si>
    <t>=NL("Sum","Item Ledger Entry","Quantity","Entry Type","Positive Adjmt.|Negative Adjmt.","Entry No.",I1731,"Location Code",$L$7)</t>
  </si>
  <si>
    <t>=NL("Sum","Item Ledger Entry","Quantity","Entry Type","Positive Adjmt.|Negative Adjmt.","Entry No.",I1732,"Location Code",$L$7)</t>
  </si>
  <si>
    <t>=NL("Sum","Item Ledger Entry","Quantity","Entry Type","Positive Adjmt.|Negative Adjmt.","Entry No.",I1733,"Location Code",$L$7)</t>
  </si>
  <si>
    <t>=NL("Sum","Item Ledger Entry","Quantity","Entry Type","Positive Adjmt.|Negative Adjmt.","Entry No.",I1734,"Location Code",$L$7)</t>
  </si>
  <si>
    <t>=NL("Sum","Item Ledger Entry","Quantity","Entry Type","Positive Adjmt.|Negative Adjmt.","Entry No.",I1735,"Location Code",$L$7)</t>
  </si>
  <si>
    <t>=NL("Sum","Item Ledger Entry","Quantity","Entry Type","Positive Adjmt.|Negative Adjmt.","Entry No.",I1736,"Location Code",$L$7)</t>
  </si>
  <si>
    <t>=NL("Sum","Item Ledger Entry","Quantity","Entry Type","Positive Adjmt.|Negative Adjmt.","Entry No.",I1737,"Location Code",$L$7)</t>
  </si>
  <si>
    <t>=NL("Sum","Item Ledger Entry","Quantity","Entry Type","Positive Adjmt.|Negative Adjmt.","Entry No.",I1738,"Location Code",$L$7)</t>
  </si>
  <si>
    <t>=NL("Sum","Item Ledger Entry","Quantity","Entry Type","Positive Adjmt.|Negative Adjmt.","Entry No.",I1739,"Location Code",$L$7)</t>
  </si>
  <si>
    <t>=NL("Sum","Item Ledger Entry","Quantity","Entry Type","Positive Adjmt.|Negative Adjmt.","Entry No.",I1740,"Location Code",$L$7)</t>
  </si>
  <si>
    <t>=NL("Sum","Item Ledger Entry","Quantity","Entry Type","Positive Adjmt.|Negative Adjmt.","Entry No.",I1741,"Location Code",$L$7)</t>
  </si>
  <si>
    <t>=NL("Sum","Item Ledger Entry","Quantity","Entry Type","Positive Adjmt.|Negative Adjmt.","Entry No.",I1742,"Location Code",$L$7)</t>
  </si>
  <si>
    <t>=NL("Sum","Item Ledger Entry","Quantity","Entry Type","Positive Adjmt.|Negative Adjmt.","Entry No.",I1743,"Location Code",$L$7)</t>
  </si>
  <si>
    <t>=NL("Sum","Item Ledger Entry","Quantity","Entry Type","Positive Adjmt.|Negative Adjmt.","Entry No.",I1744,"Location Code",$L$7)</t>
  </si>
  <si>
    <t>=NL("Sum","Item Ledger Entry","Quantity","Entry Type","Positive Adjmt.|Negative Adjmt.","Entry No.",I1745,"Location Code",$L$7)</t>
  </si>
  <si>
    <t>=NL("Sum","Item Ledger Entry","Quantity","Entry Type","Transfer","Entry No.",I1727,"Location Code",$L$7)</t>
  </si>
  <si>
    <t>=NL("Sum","Item Ledger Entry","Quantity","Entry Type","Transfer","Entry No.",I1728,"Location Code",$L$7)</t>
  </si>
  <si>
    <t>=NL("Sum","Item Ledger Entry","Quantity","Entry Type","Transfer","Entry No.",I1729,"Location Code",$L$7)</t>
  </si>
  <si>
    <t>=NL("Sum","Item Ledger Entry","Quantity","Entry Type","Transfer","Entry No.",I1730,"Location Code",$L$7)</t>
  </si>
  <si>
    <t>=NL("Sum","Item Ledger Entry","Quantity","Entry Type","Transfer","Entry No.",I1731,"Location Code",$L$7)</t>
  </si>
  <si>
    <t>=NL("Sum","Item Ledger Entry","Quantity","Entry Type","Transfer","Entry No.",I1732,"Location Code",$L$7)</t>
  </si>
  <si>
    <t>=NL("Sum","Item Ledger Entry","Quantity","Entry Type","Transfer","Entry No.",I1733,"Location Code",$L$7)</t>
  </si>
  <si>
    <t>=NL("Sum","Item Ledger Entry","Quantity","Entry Type","Transfer","Entry No.",I1734,"Location Code",$L$7)</t>
  </si>
  <si>
    <t>=NL("Sum","Item Ledger Entry","Quantity","Entry Type","Transfer","Entry No.",I1735,"Location Code",$L$7)</t>
  </si>
  <si>
    <t>=NL("Sum","Item Ledger Entry","Quantity","Entry Type","Transfer","Entry No.",I1736,"Location Code",$L$7)</t>
  </si>
  <si>
    <t>=NL("Sum","Item Ledger Entry","Quantity","Entry Type","Transfer","Entry No.",I1737,"Location Code",$L$7)</t>
  </si>
  <si>
    <t>=NL("Sum","Item Ledger Entry","Quantity","Entry Type","Transfer","Entry No.",I1738,"Location Code",$L$7)</t>
  </si>
  <si>
    <t>=NL("Sum","Item Ledger Entry","Quantity","Entry Type","Transfer","Entry No.",I1739,"Location Code",$L$7)</t>
  </si>
  <si>
    <t>=NL("Sum","Item Ledger Entry","Quantity","Entry Type","Transfer","Entry No.",I1740,"Location Code",$L$7)</t>
  </si>
  <si>
    <t>=NL("Sum","Item Ledger Entry","Quantity","Entry Type","Transfer","Entry No.",I1741,"Location Code",$L$7)</t>
  </si>
  <si>
    <t>=NL("Sum","Item Ledger Entry","Quantity","Entry Type","Transfer","Entry No.",I1742,"Location Code",$L$7)</t>
  </si>
  <si>
    <t>=NL("Sum","Item Ledger Entry","Quantity","Entry Type","Transfer","Entry No.",I1743,"Location Code",$L$7)</t>
  </si>
  <si>
    <t>=NL("Sum","Item Ledger Entry","Quantity","Entry Type","Transfer","Entry No.",I1744,"Location Code",$L$7)</t>
  </si>
  <si>
    <t>=NL("Sum","Item Ledger Entry","Quantity","Entry Type","Transfer","Entry No.",I1745,"Location Code",$L$7)</t>
  </si>
  <si>
    <t>=NL("Sum","Item Ledger Entry","Quantity","Entry Type","Consumption","Entry No.",I1727,"Location Code",$L$7)</t>
  </si>
  <si>
    <t>=NL("Sum","Item Ledger Entry","Quantity","Entry Type","Consumption","Entry No.",I1728,"Location Code",$L$7)</t>
  </si>
  <si>
    <t>=NL("Sum","Item Ledger Entry","Quantity","Entry Type","Consumption","Entry No.",I1729,"Location Code",$L$7)</t>
  </si>
  <si>
    <t>=NL("Sum","Item Ledger Entry","Quantity","Entry Type","Consumption","Entry No.",I1730,"Location Code",$L$7)</t>
  </si>
  <si>
    <t>=NL("Sum","Item Ledger Entry","Quantity","Entry Type","Consumption","Entry No.",I1731,"Location Code",$L$7)</t>
  </si>
  <si>
    <t>=NL("Sum","Item Ledger Entry","Quantity","Entry Type","Consumption","Entry No.",I1732,"Location Code",$L$7)</t>
  </si>
  <si>
    <t>=NL("Sum","Item Ledger Entry","Quantity","Entry Type","Consumption","Entry No.",I1733,"Location Code",$L$7)</t>
  </si>
  <si>
    <t>=NL("Sum","Item Ledger Entry","Quantity","Entry Type","Consumption","Entry No.",I1734,"Location Code",$L$7)</t>
  </si>
  <si>
    <t>=NL("Sum","Item Ledger Entry","Quantity","Entry Type","Consumption","Entry No.",I1735,"Location Code",$L$7)</t>
  </si>
  <si>
    <t>=NL("Sum","Item Ledger Entry","Quantity","Entry Type","Consumption","Entry No.",I1736,"Location Code",$L$7)</t>
  </si>
  <si>
    <t>=NL("Sum","Item Ledger Entry","Quantity","Entry Type","Consumption","Entry No.",I1737,"Location Code",$L$7)</t>
  </si>
  <si>
    <t>=NL("Sum","Item Ledger Entry","Quantity","Entry Type","Consumption","Entry No.",I1738,"Location Code",$L$7)</t>
  </si>
  <si>
    <t>=NL("Sum","Item Ledger Entry","Quantity","Entry Type","Consumption","Entry No.",I1739,"Location Code",$L$7)</t>
  </si>
  <si>
    <t>=NL("Sum","Item Ledger Entry","Quantity","Entry Type","Consumption","Entry No.",I1740,"Location Code",$L$7)</t>
  </si>
  <si>
    <t>=NL("Sum","Item Ledger Entry","Quantity","Entry Type","Consumption","Entry No.",I1741,"Location Code",$L$7)</t>
  </si>
  <si>
    <t>=NL("Sum","Item Ledger Entry","Quantity","Entry Type","Consumption","Entry No.",I1742,"Location Code",$L$7)</t>
  </si>
  <si>
    <t>=NL("Sum","Item Ledger Entry","Quantity","Entry Type","Consumption","Entry No.",I1743,"Location Code",$L$7)</t>
  </si>
  <si>
    <t>=NL("Sum","Item Ledger Entry","Quantity","Entry Type","Consumption","Entry No.",I1744,"Location Code",$L$7)</t>
  </si>
  <si>
    <t>=NL("Sum","Item Ledger Entry","Quantity","Entry Type","Consumption","Entry No.",I1745,"Location Code",$L$7)</t>
  </si>
  <si>
    <t>=NL("Sum","Item Ledger Entry","Quantity","Entry Type","Output","Entry No.",I1727,"Location Code",$L$7)</t>
  </si>
  <si>
    <t>=NL("Sum","Item Ledger Entry","Quantity","Entry Type","Output","Entry No.",I1728,"Location Code",$L$7)</t>
  </si>
  <si>
    <t>=NL("Sum","Item Ledger Entry","Quantity","Entry Type","Output","Entry No.",I1729,"Location Code",$L$7)</t>
  </si>
  <si>
    <t>=NL("Sum","Item Ledger Entry","Quantity","Entry Type","Output","Entry No.",I1730,"Location Code",$L$7)</t>
  </si>
  <si>
    <t>=NL("Sum","Item Ledger Entry","Quantity","Entry Type","Output","Entry No.",I1731,"Location Code",$L$7)</t>
  </si>
  <si>
    <t>=NL("Sum","Item Ledger Entry","Quantity","Entry Type","Output","Entry No.",I1732,"Location Code",$L$7)</t>
  </si>
  <si>
    <t>=NL("Sum","Item Ledger Entry","Quantity","Entry Type","Output","Entry No.",I1733,"Location Code",$L$7)</t>
  </si>
  <si>
    <t>=NL("Sum","Item Ledger Entry","Quantity","Entry Type","Output","Entry No.",I1734,"Location Code",$L$7)</t>
  </si>
  <si>
    <t>=NL("Sum","Item Ledger Entry","Quantity","Entry Type","Output","Entry No.",I1735,"Location Code",$L$7)</t>
  </si>
  <si>
    <t>=NL("Sum","Item Ledger Entry","Quantity","Entry Type","Output","Entry No.",I1736,"Location Code",$L$7)</t>
  </si>
  <si>
    <t>=NL("Sum","Item Ledger Entry","Quantity","Entry Type","Output","Entry No.",I1737,"Location Code",$L$7)</t>
  </si>
  <si>
    <t>=NL("Sum","Item Ledger Entry","Quantity","Entry Type","Output","Entry No.",I1738,"Location Code",$L$7)</t>
  </si>
  <si>
    <t>=NL("Sum","Item Ledger Entry","Quantity","Entry Type","Output","Entry No.",I1739,"Location Code",$L$7)</t>
  </si>
  <si>
    <t>=NL("Sum","Item Ledger Entry","Quantity","Entry Type","Output","Entry No.",I1740,"Location Code",$L$7)</t>
  </si>
  <si>
    <t>=NL("Sum","Item Ledger Entry","Quantity","Entry Type","Output","Entry No.",I1741,"Location Code",$L$7)</t>
  </si>
  <si>
    <t>=NL("Sum","Item Ledger Entry","Quantity","Entry Type","Output","Entry No.",I1742,"Location Code",$L$7)</t>
  </si>
  <si>
    <t>=NL("Sum","Item Ledger Entry","Quantity","Entry Type","Output","Entry No.",I1743,"Location Code",$L$7)</t>
  </si>
  <si>
    <t>=NL("Sum","Item Ledger Entry","Quantity","Entry Type","Output","Entry No.",I1744,"Location Code",$L$7)</t>
  </si>
  <si>
    <t>=NL("Sum","Item Ledger Entry","Quantity","Entry Type","Output","Entry No.",I1745,"Location Code",$L$7)</t>
  </si>
  <si>
    <t>=NF(G1727,"Source Type")</t>
  </si>
  <si>
    <t>=NF(G1728,"Source Type")</t>
  </si>
  <si>
    <t>=NF(G1729,"Source Type")</t>
  </si>
  <si>
    <t>=NF(G1730,"Source Type")</t>
  </si>
  <si>
    <t>=NF(G1731,"Source Type")</t>
  </si>
  <si>
    <t>=NF(G1732,"Source Type")</t>
  </si>
  <si>
    <t>=NF(G1733,"Source Type")</t>
  </si>
  <si>
    <t>=NF(G1734,"Source Type")</t>
  </si>
  <si>
    <t>=NF(G1735,"Source Type")</t>
  </si>
  <si>
    <t>=NF(G1736,"Source Type")</t>
  </si>
  <si>
    <t>=NF(G1737,"Source Type")</t>
  </si>
  <si>
    <t>=NF(G1738,"Source Type")</t>
  </si>
  <si>
    <t>=NF(G1739,"Source Type")</t>
  </si>
  <si>
    <t>=NF(G1740,"Source Type")</t>
  </si>
  <si>
    <t>=NF(G1741,"Source Type")</t>
  </si>
  <si>
    <t>=NF(G1742,"Source Type")</t>
  </si>
  <si>
    <t>=NF(G1743,"Source Type")</t>
  </si>
  <si>
    <t>=NF(G1744,"Source Type")</t>
  </si>
  <si>
    <t>=NF(G1745,"Source Type")</t>
  </si>
  <si>
    <t>=NF($G1727,"Source No.")</t>
  </si>
  <si>
    <t>=NF($G1728,"Source No.")</t>
  </si>
  <si>
    <t>=NF($G1729,"Source No.")</t>
  </si>
  <si>
    <t>=NF($G1730,"Source No.")</t>
  </si>
  <si>
    <t>=NF($G1731,"Source No.")</t>
  </si>
  <si>
    <t>=NF($G1732,"Source No.")</t>
  </si>
  <si>
    <t>=NF($G1733,"Source No.")</t>
  </si>
  <si>
    <t>=NF($G1734,"Source No.")</t>
  </si>
  <si>
    <t>=NF($G1735,"Source No.")</t>
  </si>
  <si>
    <t>=NF($G1736,"Source No.")</t>
  </si>
  <si>
    <t>=NF($G1737,"Source No.")</t>
  </si>
  <si>
    <t>=NF($G1738,"Source No.")</t>
  </si>
  <si>
    <t>=NF($G1739,"Source No.")</t>
  </si>
  <si>
    <t>=NF($G1740,"Source No.")</t>
  </si>
  <si>
    <t>=NF($G1741,"Source No.")</t>
  </si>
  <si>
    <t>=NF($G1742,"Source No.")</t>
  </si>
  <si>
    <t>=NF($G1743,"Source No.")</t>
  </si>
  <si>
    <t>=NF($G1744,"Source No.")</t>
  </si>
  <si>
    <t>=NF($G1745,"Source No.")</t>
  </si>
  <si>
    <t>=NF($G1708,"Posting Date")</t>
  </si>
  <si>
    <t>=NF($G1709,"Posting Date")</t>
  </si>
  <si>
    <t>=NF($G1710,"Posting Date")</t>
  </si>
  <si>
    <t>=NF($G1711,"Posting Date")</t>
  </si>
  <si>
    <t>=NF($G1712,"Posting Date")</t>
  </si>
  <si>
    <t>=NF($G1713,"Posting Date")</t>
  </si>
  <si>
    <t>=NF($G1714,"Posting Date")</t>
  </si>
  <si>
    <t>=NF($G1715,"Posting Date")</t>
  </si>
  <si>
    <t>=NF($G1716,"Posting Date")</t>
  </si>
  <si>
    <t>=NF($G1717,"Posting Date")</t>
  </si>
  <si>
    <t>=NF($G1718,"Posting Date")</t>
  </si>
  <si>
    <t>=NF($G1719,"Posting Date")</t>
  </si>
  <si>
    <t>=NF($G1720,"Posting Date")</t>
  </si>
  <si>
    <t>=NF($G1721,"Posting Date")</t>
  </si>
  <si>
    <t>=NF($G1722,"Posting Date")</t>
  </si>
  <si>
    <t>=NF($G1723,"Posting Date")</t>
  </si>
  <si>
    <t>=NF($G1708,"Entry No.")</t>
  </si>
  <si>
    <t>=NF($G1709,"Entry No.")</t>
  </si>
  <si>
    <t>=NF($G1710,"Entry No.")</t>
  </si>
  <si>
    <t>=NF($G1711,"Entry No.")</t>
  </si>
  <si>
    <t>=NF($G1712,"Entry No.")</t>
  </si>
  <si>
    <t>=NF($G1713,"Entry No.")</t>
  </si>
  <si>
    <t>=NF($G1714,"Entry No.")</t>
  </si>
  <si>
    <t>=NF($G1715,"Entry No.")</t>
  </si>
  <si>
    <t>=NF($G1716,"Entry No.")</t>
  </si>
  <si>
    <t>=NF($G1717,"Entry No.")</t>
  </si>
  <si>
    <t>=NF($G1718,"Entry No.")</t>
  </si>
  <si>
    <t>=NF($G1719,"Entry No.")</t>
  </si>
  <si>
    <t>=NF($G1720,"Entry No.")</t>
  </si>
  <si>
    <t>=NF($G1721,"Entry No.")</t>
  </si>
  <si>
    <t>=NF($G1722,"Entry No.")</t>
  </si>
  <si>
    <t>=NF($G1723,"Entry No.")</t>
  </si>
  <si>
    <t>=NL("Sum","Item Ledger Entry","Quantity","Entry Type","Purchase","Entry No.",I1708,"Location Code",$L$7)</t>
  </si>
  <si>
    <t>=NL("Sum","Item Ledger Entry","Quantity","Entry Type","Purchase","Entry No.",I1709,"Location Code",$L$7)</t>
  </si>
  <si>
    <t>=NL("Sum","Item Ledger Entry","Quantity","Entry Type","Purchase","Entry No.",I1710,"Location Code",$L$7)</t>
  </si>
  <si>
    <t>=NL("Sum","Item Ledger Entry","Quantity","Entry Type","Purchase","Entry No.",I1711,"Location Code",$L$7)</t>
  </si>
  <si>
    <t>=NL("Sum","Item Ledger Entry","Quantity","Entry Type","Purchase","Entry No.",I1712,"Location Code",$L$7)</t>
  </si>
  <si>
    <t>=NL("Sum","Item Ledger Entry","Quantity","Entry Type","Purchase","Entry No.",I1713,"Location Code",$L$7)</t>
  </si>
  <si>
    <t>=NL("Sum","Item Ledger Entry","Quantity","Entry Type","Purchase","Entry No.",I1714,"Location Code",$L$7)</t>
  </si>
  <si>
    <t>=NL("Sum","Item Ledger Entry","Quantity","Entry Type","Purchase","Entry No.",I1715,"Location Code",$L$7)</t>
  </si>
  <si>
    <t>=NL("Sum","Item Ledger Entry","Quantity","Entry Type","Purchase","Entry No.",I1716,"Location Code",$L$7)</t>
  </si>
  <si>
    <t>=NL("Sum","Item Ledger Entry","Quantity","Entry Type","Purchase","Entry No.",I1717,"Location Code",$L$7)</t>
  </si>
  <si>
    <t>=NL("Sum","Item Ledger Entry","Quantity","Entry Type","Purchase","Entry No.",I1718,"Location Code",$L$7)</t>
  </si>
  <si>
    <t>=NL("Sum","Item Ledger Entry","Quantity","Entry Type","Purchase","Entry No.",I1719,"Location Code",$L$7)</t>
  </si>
  <si>
    <t>=NL("Sum","Item Ledger Entry","Quantity","Entry Type","Purchase","Entry No.",I1720,"Location Code",$L$7)</t>
  </si>
  <si>
    <t>=NL("Sum","Item Ledger Entry","Quantity","Entry Type","Purchase","Entry No.",I1721,"Location Code",$L$7)</t>
  </si>
  <si>
    <t>=NL("Sum","Item Ledger Entry","Quantity","Entry Type","Purchase","Entry No.",I1722,"Location Code",$L$7)</t>
  </si>
  <si>
    <t>=NL("Sum","Item Ledger Entry","Quantity","Entry Type","Purchase","Entry No.",I1723,"Location Code",$L$7)</t>
  </si>
  <si>
    <t>=NL("Sum","Item Ledger Entry","Quantity","Entry Type","Sale","Entry No.",I1708,"Location Code",$L$7)</t>
  </si>
  <si>
    <t>=NL("Sum","Item Ledger Entry","Quantity","Entry Type","Sale","Entry No.",I1709,"Location Code",$L$7)</t>
  </si>
  <si>
    <t>=NL("Sum","Item Ledger Entry","Quantity","Entry Type","Sale","Entry No.",I1710,"Location Code",$L$7)</t>
  </si>
  <si>
    <t>=NL("Sum","Item Ledger Entry","Quantity","Entry Type","Sale","Entry No.",I1711,"Location Code",$L$7)</t>
  </si>
  <si>
    <t>=NL("Sum","Item Ledger Entry","Quantity","Entry Type","Sale","Entry No.",I1712,"Location Code",$L$7)</t>
  </si>
  <si>
    <t>=NL("Sum","Item Ledger Entry","Quantity","Entry Type","Sale","Entry No.",I1713,"Location Code",$L$7)</t>
  </si>
  <si>
    <t>=NL("Sum","Item Ledger Entry","Quantity","Entry Type","Sale","Entry No.",I1714,"Location Code",$L$7)</t>
  </si>
  <si>
    <t>=NL("Sum","Item Ledger Entry","Quantity","Entry Type","Sale","Entry No.",I1715,"Location Code",$L$7)</t>
  </si>
  <si>
    <t>=NL("Sum","Item Ledger Entry","Quantity","Entry Type","Sale","Entry No.",I1716,"Location Code",$L$7)</t>
  </si>
  <si>
    <t>=NL("Sum","Item Ledger Entry","Quantity","Entry Type","Sale","Entry No.",I1717,"Location Code",$L$7)</t>
  </si>
  <si>
    <t>=NL("Sum","Item Ledger Entry","Quantity","Entry Type","Sale","Entry No.",I1718,"Location Code",$L$7)</t>
  </si>
  <si>
    <t>=NL("Sum","Item Ledger Entry","Quantity","Entry Type","Sale","Entry No.",I1719,"Location Code",$L$7)</t>
  </si>
  <si>
    <t>=NL("Sum","Item Ledger Entry","Quantity","Entry Type","Sale","Entry No.",I1720,"Location Code",$L$7)</t>
  </si>
  <si>
    <t>=NL("Sum","Item Ledger Entry","Quantity","Entry Type","Sale","Entry No.",I1721,"Location Code",$L$7)</t>
  </si>
  <si>
    <t>=NL("Sum","Item Ledger Entry","Quantity","Entry Type","Sale","Entry No.",I1722,"Location Code",$L$7)</t>
  </si>
  <si>
    <t>=NL("Sum","Item Ledger Entry","Quantity","Entry Type","Sale","Entry No.",I1723,"Location Code",$L$7)</t>
  </si>
  <si>
    <t>=NL("Sum","Item Ledger Entry","Quantity","Entry Type","Positive Adjmt.|Negative Adjmt.","Entry No.",I1708,"Location Code",$L$7)</t>
  </si>
  <si>
    <t>=NL("Sum","Item Ledger Entry","Quantity","Entry Type","Positive Adjmt.|Negative Adjmt.","Entry No.",I1709,"Location Code",$L$7)</t>
  </si>
  <si>
    <t>=NL("Sum","Item Ledger Entry","Quantity","Entry Type","Positive Adjmt.|Negative Adjmt.","Entry No.",I1710,"Location Code",$L$7)</t>
  </si>
  <si>
    <t>=NL("Sum","Item Ledger Entry","Quantity","Entry Type","Positive Adjmt.|Negative Adjmt.","Entry No.",I1711,"Location Code",$L$7)</t>
  </si>
  <si>
    <t>=NL("Sum","Item Ledger Entry","Quantity","Entry Type","Positive Adjmt.|Negative Adjmt.","Entry No.",I1712,"Location Code",$L$7)</t>
  </si>
  <si>
    <t>=NL("Sum","Item Ledger Entry","Quantity","Entry Type","Positive Adjmt.|Negative Adjmt.","Entry No.",I1713,"Location Code",$L$7)</t>
  </si>
  <si>
    <t>=NL("Sum","Item Ledger Entry","Quantity","Entry Type","Positive Adjmt.|Negative Adjmt.","Entry No.",I1714,"Location Code",$L$7)</t>
  </si>
  <si>
    <t>=NL("Sum","Item Ledger Entry","Quantity","Entry Type","Positive Adjmt.|Negative Adjmt.","Entry No.",I1715,"Location Code",$L$7)</t>
  </si>
  <si>
    <t>=NL("Sum","Item Ledger Entry","Quantity","Entry Type","Positive Adjmt.|Negative Adjmt.","Entry No.",I1716,"Location Code",$L$7)</t>
  </si>
  <si>
    <t>=NL("Sum","Item Ledger Entry","Quantity","Entry Type","Positive Adjmt.|Negative Adjmt.","Entry No.",I1717,"Location Code",$L$7)</t>
  </si>
  <si>
    <t>=NL("Sum","Item Ledger Entry","Quantity","Entry Type","Positive Adjmt.|Negative Adjmt.","Entry No.",I1718,"Location Code",$L$7)</t>
  </si>
  <si>
    <t>=NL("Sum","Item Ledger Entry","Quantity","Entry Type","Positive Adjmt.|Negative Adjmt.","Entry No.",I1719,"Location Code",$L$7)</t>
  </si>
  <si>
    <t>=NL("Sum","Item Ledger Entry","Quantity","Entry Type","Positive Adjmt.|Negative Adjmt.","Entry No.",I1720,"Location Code",$L$7)</t>
  </si>
  <si>
    <t>=NL("Sum","Item Ledger Entry","Quantity","Entry Type","Positive Adjmt.|Negative Adjmt.","Entry No.",I1721,"Location Code",$L$7)</t>
  </si>
  <si>
    <t>=NL("Sum","Item Ledger Entry","Quantity","Entry Type","Positive Adjmt.|Negative Adjmt.","Entry No.",I1722,"Location Code",$L$7)</t>
  </si>
  <si>
    <t>=NL("Sum","Item Ledger Entry","Quantity","Entry Type","Positive Adjmt.|Negative Adjmt.","Entry No.",I1723,"Location Code",$L$7)</t>
  </si>
  <si>
    <t>=NL("Sum","Item Ledger Entry","Quantity","Entry Type","Transfer","Entry No.",I1708,"Location Code",$L$7)</t>
  </si>
  <si>
    <t>=NL("Sum","Item Ledger Entry","Quantity","Entry Type","Transfer","Entry No.",I1709,"Location Code",$L$7)</t>
  </si>
  <si>
    <t>=NL("Sum","Item Ledger Entry","Quantity","Entry Type","Transfer","Entry No.",I1710,"Location Code",$L$7)</t>
  </si>
  <si>
    <t>=NL("Sum","Item Ledger Entry","Quantity","Entry Type","Transfer","Entry No.",I1711,"Location Code",$L$7)</t>
  </si>
  <si>
    <t>=NL("Sum","Item Ledger Entry","Quantity","Entry Type","Transfer","Entry No.",I1712,"Location Code",$L$7)</t>
  </si>
  <si>
    <t>=NL("Sum","Item Ledger Entry","Quantity","Entry Type","Transfer","Entry No.",I1713,"Location Code",$L$7)</t>
  </si>
  <si>
    <t>=NL("Sum","Item Ledger Entry","Quantity","Entry Type","Transfer","Entry No.",I1714,"Location Code",$L$7)</t>
  </si>
  <si>
    <t>=NL("Sum","Item Ledger Entry","Quantity","Entry Type","Transfer","Entry No.",I1715,"Location Code",$L$7)</t>
  </si>
  <si>
    <t>=NL("Sum","Item Ledger Entry","Quantity","Entry Type","Transfer","Entry No.",I1716,"Location Code",$L$7)</t>
  </si>
  <si>
    <t>=NL("Sum","Item Ledger Entry","Quantity","Entry Type","Transfer","Entry No.",I1717,"Location Code",$L$7)</t>
  </si>
  <si>
    <t>=NL("Sum","Item Ledger Entry","Quantity","Entry Type","Transfer","Entry No.",I1718,"Location Code",$L$7)</t>
  </si>
  <si>
    <t>=NL("Sum","Item Ledger Entry","Quantity","Entry Type","Transfer","Entry No.",I1719,"Location Code",$L$7)</t>
  </si>
  <si>
    <t>=NL("Sum","Item Ledger Entry","Quantity","Entry Type","Transfer","Entry No.",I1720,"Location Code",$L$7)</t>
  </si>
  <si>
    <t>=NL("Sum","Item Ledger Entry","Quantity","Entry Type","Transfer","Entry No.",I1721,"Location Code",$L$7)</t>
  </si>
  <si>
    <t>=NL("Sum","Item Ledger Entry","Quantity","Entry Type","Transfer","Entry No.",I1722,"Location Code",$L$7)</t>
  </si>
  <si>
    <t>=NL("Sum","Item Ledger Entry","Quantity","Entry Type","Transfer","Entry No.",I1723,"Location Code",$L$7)</t>
  </si>
  <si>
    <t>=NL("Sum","Item Ledger Entry","Quantity","Entry Type","Consumption","Entry No.",I1708,"Location Code",$L$7)</t>
  </si>
  <si>
    <t>=NL("Sum","Item Ledger Entry","Quantity","Entry Type","Consumption","Entry No.",I1709,"Location Code",$L$7)</t>
  </si>
  <si>
    <t>=NL("Sum","Item Ledger Entry","Quantity","Entry Type","Consumption","Entry No.",I1710,"Location Code",$L$7)</t>
  </si>
  <si>
    <t>=NL("Sum","Item Ledger Entry","Quantity","Entry Type","Consumption","Entry No.",I1711,"Location Code",$L$7)</t>
  </si>
  <si>
    <t>=NL("Sum","Item Ledger Entry","Quantity","Entry Type","Consumption","Entry No.",I1712,"Location Code",$L$7)</t>
  </si>
  <si>
    <t>=NL("Sum","Item Ledger Entry","Quantity","Entry Type","Consumption","Entry No.",I1713,"Location Code",$L$7)</t>
  </si>
  <si>
    <t>=NL("Sum","Item Ledger Entry","Quantity","Entry Type","Consumption","Entry No.",I1714,"Location Code",$L$7)</t>
  </si>
  <si>
    <t>=NL("Sum","Item Ledger Entry","Quantity","Entry Type","Consumption","Entry No.",I1715,"Location Code",$L$7)</t>
  </si>
  <si>
    <t>=NL("Sum","Item Ledger Entry","Quantity","Entry Type","Consumption","Entry No.",I1716,"Location Code",$L$7)</t>
  </si>
  <si>
    <t>=NL("Sum","Item Ledger Entry","Quantity","Entry Type","Consumption","Entry No.",I1717,"Location Code",$L$7)</t>
  </si>
  <si>
    <t>=NL("Sum","Item Ledger Entry","Quantity","Entry Type","Consumption","Entry No.",I1718,"Location Code",$L$7)</t>
  </si>
  <si>
    <t>=NL("Sum","Item Ledger Entry","Quantity","Entry Type","Consumption","Entry No.",I1719,"Location Code",$L$7)</t>
  </si>
  <si>
    <t>=NL("Sum","Item Ledger Entry","Quantity","Entry Type","Consumption","Entry No.",I1720,"Location Code",$L$7)</t>
  </si>
  <si>
    <t>=NL("Sum","Item Ledger Entry","Quantity","Entry Type","Consumption","Entry No.",I1721,"Location Code",$L$7)</t>
  </si>
  <si>
    <t>=NL("Sum","Item Ledger Entry","Quantity","Entry Type","Consumption","Entry No.",I1722,"Location Code",$L$7)</t>
  </si>
  <si>
    <t>=NL("Sum","Item Ledger Entry","Quantity","Entry Type","Consumption","Entry No.",I1723,"Location Code",$L$7)</t>
  </si>
  <si>
    <t>=NL("Sum","Item Ledger Entry","Quantity","Entry Type","Output","Entry No.",I1708,"Location Code",$L$7)</t>
  </si>
  <si>
    <t>=NL("Sum","Item Ledger Entry","Quantity","Entry Type","Output","Entry No.",I1709,"Location Code",$L$7)</t>
  </si>
  <si>
    <t>=NL("Sum","Item Ledger Entry","Quantity","Entry Type","Output","Entry No.",I1710,"Location Code",$L$7)</t>
  </si>
  <si>
    <t>=NL("Sum","Item Ledger Entry","Quantity","Entry Type","Output","Entry No.",I1711,"Location Code",$L$7)</t>
  </si>
  <si>
    <t>=NL("Sum","Item Ledger Entry","Quantity","Entry Type","Output","Entry No.",I1712,"Location Code",$L$7)</t>
  </si>
  <si>
    <t>=NL("Sum","Item Ledger Entry","Quantity","Entry Type","Output","Entry No.",I1713,"Location Code",$L$7)</t>
  </si>
  <si>
    <t>=NL("Sum","Item Ledger Entry","Quantity","Entry Type","Output","Entry No.",I1714,"Location Code",$L$7)</t>
  </si>
  <si>
    <t>=NL("Sum","Item Ledger Entry","Quantity","Entry Type","Output","Entry No.",I1715,"Location Code",$L$7)</t>
  </si>
  <si>
    <t>=NL("Sum","Item Ledger Entry","Quantity","Entry Type","Output","Entry No.",I1716,"Location Code",$L$7)</t>
  </si>
  <si>
    <t>=NL("Sum","Item Ledger Entry","Quantity","Entry Type","Output","Entry No.",I1717,"Location Code",$L$7)</t>
  </si>
  <si>
    <t>=NL("Sum","Item Ledger Entry","Quantity","Entry Type","Output","Entry No.",I1718,"Location Code",$L$7)</t>
  </si>
  <si>
    <t>=NL("Sum","Item Ledger Entry","Quantity","Entry Type","Output","Entry No.",I1719,"Location Code",$L$7)</t>
  </si>
  <si>
    <t>=NL("Sum","Item Ledger Entry","Quantity","Entry Type","Output","Entry No.",I1720,"Location Code",$L$7)</t>
  </si>
  <si>
    <t>=NL("Sum","Item Ledger Entry","Quantity","Entry Type","Output","Entry No.",I1721,"Location Code",$L$7)</t>
  </si>
  <si>
    <t>=NL("Sum","Item Ledger Entry","Quantity","Entry Type","Output","Entry No.",I1722,"Location Code",$L$7)</t>
  </si>
  <si>
    <t>=NL("Sum","Item Ledger Entry","Quantity","Entry Type","Output","Entry No.",I1723,"Location Code",$L$7)</t>
  </si>
  <si>
    <t>=NF(G1708,"Source Type")</t>
  </si>
  <si>
    <t>=NF(G1709,"Source Type")</t>
  </si>
  <si>
    <t>=NF(G1710,"Source Type")</t>
  </si>
  <si>
    <t>=NF(G1711,"Source Type")</t>
  </si>
  <si>
    <t>=NF(G1712,"Source Type")</t>
  </si>
  <si>
    <t>=NF(G1713,"Source Type")</t>
  </si>
  <si>
    <t>=NF(G1714,"Source Type")</t>
  </si>
  <si>
    <t>=NF(G1715,"Source Type")</t>
  </si>
  <si>
    <t>=NF(G1716,"Source Type")</t>
  </si>
  <si>
    <t>=NF(G1717,"Source Type")</t>
  </si>
  <si>
    <t>=NF(G1718,"Source Type")</t>
  </si>
  <si>
    <t>=NF(G1719,"Source Type")</t>
  </si>
  <si>
    <t>=NF(G1720,"Source Type")</t>
  </si>
  <si>
    <t>=NF(G1721,"Source Type")</t>
  </si>
  <si>
    <t>=NF(G1722,"Source Type")</t>
  </si>
  <si>
    <t>=NF(G1723,"Source Type")</t>
  </si>
  <si>
    <t>=NF($G1708,"Source No.")</t>
  </si>
  <si>
    <t>=NF($G1709,"Source No.")</t>
  </si>
  <si>
    <t>=NF($G1710,"Source No.")</t>
  </si>
  <si>
    <t>=NF($G1711,"Source No.")</t>
  </si>
  <si>
    <t>=NF($G1712,"Source No.")</t>
  </si>
  <si>
    <t>=NF($G1713,"Source No.")</t>
  </si>
  <si>
    <t>=NF($G1714,"Source No.")</t>
  </si>
  <si>
    <t>=NF($G1715,"Source No.")</t>
  </si>
  <si>
    <t>=NF($G1716,"Source No.")</t>
  </si>
  <si>
    <t>=NF($G1717,"Source No.")</t>
  </si>
  <si>
    <t>=NF($G1718,"Source No.")</t>
  </si>
  <si>
    <t>=NF($G1719,"Source No.")</t>
  </si>
  <si>
    <t>=NF($G1720,"Source No.")</t>
  </si>
  <si>
    <t>=NF($G1721,"Source No.")</t>
  </si>
  <si>
    <t>=NF($G1722,"Source No.")</t>
  </si>
  <si>
    <t>=NF($G1723,"Source No.")</t>
  </si>
  <si>
    <t>=NF($G1693,"Posting Date")</t>
  </si>
  <si>
    <t>=NF($G1694,"Posting Date")</t>
  </si>
  <si>
    <t>=NF($G1695,"Posting Date")</t>
  </si>
  <si>
    <t>=NF($G1696,"Posting Date")</t>
  </si>
  <si>
    <t>=NF($G1697,"Posting Date")</t>
  </si>
  <si>
    <t>=NF($G1698,"Posting Date")</t>
  </si>
  <si>
    <t>=NF($G1699,"Posting Date")</t>
  </si>
  <si>
    <t>=NF($G1700,"Posting Date")</t>
  </si>
  <si>
    <t>=NF($G1701,"Posting Date")</t>
  </si>
  <si>
    <t>=NF($G1702,"Posting Date")</t>
  </si>
  <si>
    <t>=NF($G1703,"Posting Date")</t>
  </si>
  <si>
    <t>=NF($G1704,"Posting Date")</t>
  </si>
  <si>
    <t>=NF($G1693,"Entry No.")</t>
  </si>
  <si>
    <t>=NF($G1694,"Entry No.")</t>
  </si>
  <si>
    <t>=NF($G1695,"Entry No.")</t>
  </si>
  <si>
    <t>=NF($G1696,"Entry No.")</t>
  </si>
  <si>
    <t>=NF($G1697,"Entry No.")</t>
  </si>
  <si>
    <t>=NF($G1698,"Entry No.")</t>
  </si>
  <si>
    <t>=NF($G1699,"Entry No.")</t>
  </si>
  <si>
    <t>=NF($G1700,"Entry No.")</t>
  </si>
  <si>
    <t>=NF($G1701,"Entry No.")</t>
  </si>
  <si>
    <t>=NF($G1702,"Entry No.")</t>
  </si>
  <si>
    <t>=NF($G1703,"Entry No.")</t>
  </si>
  <si>
    <t>=NF($G1704,"Entry No.")</t>
  </si>
  <si>
    <t>=NL("Sum","Item Ledger Entry","Quantity","Entry Type","Purchase","Entry No.",I1693,"Location Code",$L$7)</t>
  </si>
  <si>
    <t>=NL("Sum","Item Ledger Entry","Quantity","Entry Type","Purchase","Entry No.",I1694,"Location Code",$L$7)</t>
  </si>
  <si>
    <t>=NL("Sum","Item Ledger Entry","Quantity","Entry Type","Purchase","Entry No.",I1695,"Location Code",$L$7)</t>
  </si>
  <si>
    <t>=NL("Sum","Item Ledger Entry","Quantity","Entry Type","Purchase","Entry No.",I1696,"Location Code",$L$7)</t>
  </si>
  <si>
    <t>=NL("Sum","Item Ledger Entry","Quantity","Entry Type","Purchase","Entry No.",I1697,"Location Code",$L$7)</t>
  </si>
  <si>
    <t>=NL("Sum","Item Ledger Entry","Quantity","Entry Type","Purchase","Entry No.",I1698,"Location Code",$L$7)</t>
  </si>
  <si>
    <t>=NL("Sum","Item Ledger Entry","Quantity","Entry Type","Purchase","Entry No.",I1699,"Location Code",$L$7)</t>
  </si>
  <si>
    <t>=NL("Sum","Item Ledger Entry","Quantity","Entry Type","Purchase","Entry No.",I1700,"Location Code",$L$7)</t>
  </si>
  <si>
    <t>=NL("Sum","Item Ledger Entry","Quantity","Entry Type","Purchase","Entry No.",I1701,"Location Code",$L$7)</t>
  </si>
  <si>
    <t>=NL("Sum","Item Ledger Entry","Quantity","Entry Type","Purchase","Entry No.",I1702,"Location Code",$L$7)</t>
  </si>
  <si>
    <t>=NL("Sum","Item Ledger Entry","Quantity","Entry Type","Purchase","Entry No.",I1703,"Location Code",$L$7)</t>
  </si>
  <si>
    <t>=NL("Sum","Item Ledger Entry","Quantity","Entry Type","Purchase","Entry No.",I1704,"Location Code",$L$7)</t>
  </si>
  <si>
    <t>=NL("Sum","Item Ledger Entry","Quantity","Entry Type","Sale","Entry No.",I1693,"Location Code",$L$7)</t>
  </si>
  <si>
    <t>=NL("Sum","Item Ledger Entry","Quantity","Entry Type","Sale","Entry No.",I1694,"Location Code",$L$7)</t>
  </si>
  <si>
    <t>=NL("Sum","Item Ledger Entry","Quantity","Entry Type","Sale","Entry No.",I1695,"Location Code",$L$7)</t>
  </si>
  <si>
    <t>=NL("Sum","Item Ledger Entry","Quantity","Entry Type","Sale","Entry No.",I1696,"Location Code",$L$7)</t>
  </si>
  <si>
    <t>=NL("Sum","Item Ledger Entry","Quantity","Entry Type","Sale","Entry No.",I1697,"Location Code",$L$7)</t>
  </si>
  <si>
    <t>=NL("Sum","Item Ledger Entry","Quantity","Entry Type","Sale","Entry No.",I1698,"Location Code",$L$7)</t>
  </si>
  <si>
    <t>=NL("Sum","Item Ledger Entry","Quantity","Entry Type","Sale","Entry No.",I1699,"Location Code",$L$7)</t>
  </si>
  <si>
    <t>=NL("Sum","Item Ledger Entry","Quantity","Entry Type","Sale","Entry No.",I1700,"Location Code",$L$7)</t>
  </si>
  <si>
    <t>=NL("Sum","Item Ledger Entry","Quantity","Entry Type","Sale","Entry No.",I1701,"Location Code",$L$7)</t>
  </si>
  <si>
    <t>=NL("Sum","Item Ledger Entry","Quantity","Entry Type","Sale","Entry No.",I1702,"Location Code",$L$7)</t>
  </si>
  <si>
    <t>=NL("Sum","Item Ledger Entry","Quantity","Entry Type","Sale","Entry No.",I1703,"Location Code",$L$7)</t>
  </si>
  <si>
    <t>=NL("Sum","Item Ledger Entry","Quantity","Entry Type","Sale","Entry No.",I1704,"Location Code",$L$7)</t>
  </si>
  <si>
    <t>=NL("Sum","Item Ledger Entry","Quantity","Entry Type","Positive Adjmt.|Negative Adjmt.","Entry No.",I1693,"Location Code",$L$7)</t>
  </si>
  <si>
    <t>=NL("Sum","Item Ledger Entry","Quantity","Entry Type","Positive Adjmt.|Negative Adjmt.","Entry No.",I1694,"Location Code",$L$7)</t>
  </si>
  <si>
    <t>=NL("Sum","Item Ledger Entry","Quantity","Entry Type","Positive Adjmt.|Negative Adjmt.","Entry No.",I1695,"Location Code",$L$7)</t>
  </si>
  <si>
    <t>=NL("Sum","Item Ledger Entry","Quantity","Entry Type","Positive Adjmt.|Negative Adjmt.","Entry No.",I1696,"Location Code",$L$7)</t>
  </si>
  <si>
    <t>=NL("Sum","Item Ledger Entry","Quantity","Entry Type","Positive Adjmt.|Negative Adjmt.","Entry No.",I1697,"Location Code",$L$7)</t>
  </si>
  <si>
    <t>=NL("Sum","Item Ledger Entry","Quantity","Entry Type","Positive Adjmt.|Negative Adjmt.","Entry No.",I1698,"Location Code",$L$7)</t>
  </si>
  <si>
    <t>=NL("Sum","Item Ledger Entry","Quantity","Entry Type","Positive Adjmt.|Negative Adjmt.","Entry No.",I1699,"Location Code",$L$7)</t>
  </si>
  <si>
    <t>=NL("Sum","Item Ledger Entry","Quantity","Entry Type","Positive Adjmt.|Negative Adjmt.","Entry No.",I1700,"Location Code",$L$7)</t>
  </si>
  <si>
    <t>=NL("Sum","Item Ledger Entry","Quantity","Entry Type","Positive Adjmt.|Negative Adjmt.","Entry No.",I1701,"Location Code",$L$7)</t>
  </si>
  <si>
    <t>=NL("Sum","Item Ledger Entry","Quantity","Entry Type","Positive Adjmt.|Negative Adjmt.","Entry No.",I1702,"Location Code",$L$7)</t>
  </si>
  <si>
    <t>=NL("Sum","Item Ledger Entry","Quantity","Entry Type","Positive Adjmt.|Negative Adjmt.","Entry No.",I1703,"Location Code",$L$7)</t>
  </si>
  <si>
    <t>=NL("Sum","Item Ledger Entry","Quantity","Entry Type","Positive Adjmt.|Negative Adjmt.","Entry No.",I1704,"Location Code",$L$7)</t>
  </si>
  <si>
    <t>=NL("Sum","Item Ledger Entry","Quantity","Entry Type","Transfer","Entry No.",I1693,"Location Code",$L$7)</t>
  </si>
  <si>
    <t>=NL("Sum","Item Ledger Entry","Quantity","Entry Type","Transfer","Entry No.",I1694,"Location Code",$L$7)</t>
  </si>
  <si>
    <t>=NL("Sum","Item Ledger Entry","Quantity","Entry Type","Transfer","Entry No.",I1695,"Location Code",$L$7)</t>
  </si>
  <si>
    <t>=NL("Sum","Item Ledger Entry","Quantity","Entry Type","Transfer","Entry No.",I1696,"Location Code",$L$7)</t>
  </si>
  <si>
    <t>=NL("Sum","Item Ledger Entry","Quantity","Entry Type","Transfer","Entry No.",I1697,"Location Code",$L$7)</t>
  </si>
  <si>
    <t>=NL("Sum","Item Ledger Entry","Quantity","Entry Type","Transfer","Entry No.",I1698,"Location Code",$L$7)</t>
  </si>
  <si>
    <t>=NL("Sum","Item Ledger Entry","Quantity","Entry Type","Transfer","Entry No.",I1699,"Location Code",$L$7)</t>
  </si>
  <si>
    <t>=NL("Sum","Item Ledger Entry","Quantity","Entry Type","Transfer","Entry No.",I1700,"Location Code",$L$7)</t>
  </si>
  <si>
    <t>=NL("Sum","Item Ledger Entry","Quantity","Entry Type","Transfer","Entry No.",I1701,"Location Code",$L$7)</t>
  </si>
  <si>
    <t>=NL("Sum","Item Ledger Entry","Quantity","Entry Type","Transfer","Entry No.",I1702,"Location Code",$L$7)</t>
  </si>
  <si>
    <t>=NL("Sum","Item Ledger Entry","Quantity","Entry Type","Transfer","Entry No.",I1703,"Location Code",$L$7)</t>
  </si>
  <si>
    <t>=NL("Sum","Item Ledger Entry","Quantity","Entry Type","Transfer","Entry No.",I1704,"Location Code",$L$7)</t>
  </si>
  <si>
    <t>=NL("Sum","Item Ledger Entry","Quantity","Entry Type","Consumption","Entry No.",I1693,"Location Code",$L$7)</t>
  </si>
  <si>
    <t>=NL("Sum","Item Ledger Entry","Quantity","Entry Type","Consumption","Entry No.",I1694,"Location Code",$L$7)</t>
  </si>
  <si>
    <t>=NL("Sum","Item Ledger Entry","Quantity","Entry Type","Consumption","Entry No.",I1695,"Location Code",$L$7)</t>
  </si>
  <si>
    <t>=NL("Sum","Item Ledger Entry","Quantity","Entry Type","Consumption","Entry No.",I1696,"Location Code",$L$7)</t>
  </si>
  <si>
    <t>=NL("Sum","Item Ledger Entry","Quantity","Entry Type","Consumption","Entry No.",I1697,"Location Code",$L$7)</t>
  </si>
  <si>
    <t>=NL("Sum","Item Ledger Entry","Quantity","Entry Type","Consumption","Entry No.",I1698,"Location Code",$L$7)</t>
  </si>
  <si>
    <t>=NL("Sum","Item Ledger Entry","Quantity","Entry Type","Consumption","Entry No.",I1699,"Location Code",$L$7)</t>
  </si>
  <si>
    <t>=NL("Sum","Item Ledger Entry","Quantity","Entry Type","Consumption","Entry No.",I1700,"Location Code",$L$7)</t>
  </si>
  <si>
    <t>=NL("Sum","Item Ledger Entry","Quantity","Entry Type","Consumption","Entry No.",I1701,"Location Code",$L$7)</t>
  </si>
  <si>
    <t>=NL("Sum","Item Ledger Entry","Quantity","Entry Type","Consumption","Entry No.",I1702,"Location Code",$L$7)</t>
  </si>
  <si>
    <t>=NL("Sum","Item Ledger Entry","Quantity","Entry Type","Consumption","Entry No.",I1703,"Location Code",$L$7)</t>
  </si>
  <si>
    <t>=NL("Sum","Item Ledger Entry","Quantity","Entry Type","Consumption","Entry No.",I1704,"Location Code",$L$7)</t>
  </si>
  <si>
    <t>=NL("Sum","Item Ledger Entry","Quantity","Entry Type","Output","Entry No.",I1693,"Location Code",$L$7)</t>
  </si>
  <si>
    <t>=NL("Sum","Item Ledger Entry","Quantity","Entry Type","Output","Entry No.",I1694,"Location Code",$L$7)</t>
  </si>
  <si>
    <t>=NL("Sum","Item Ledger Entry","Quantity","Entry Type","Output","Entry No.",I1695,"Location Code",$L$7)</t>
  </si>
  <si>
    <t>=NL("Sum","Item Ledger Entry","Quantity","Entry Type","Output","Entry No.",I1696,"Location Code",$L$7)</t>
  </si>
  <si>
    <t>=NL("Sum","Item Ledger Entry","Quantity","Entry Type","Output","Entry No.",I1697,"Location Code",$L$7)</t>
  </si>
  <si>
    <t>=NL("Sum","Item Ledger Entry","Quantity","Entry Type","Output","Entry No.",I1698,"Location Code",$L$7)</t>
  </si>
  <si>
    <t>=NL("Sum","Item Ledger Entry","Quantity","Entry Type","Output","Entry No.",I1699,"Location Code",$L$7)</t>
  </si>
  <si>
    <t>=NL("Sum","Item Ledger Entry","Quantity","Entry Type","Output","Entry No.",I1700,"Location Code",$L$7)</t>
  </si>
  <si>
    <t>=NL("Sum","Item Ledger Entry","Quantity","Entry Type","Output","Entry No.",I1701,"Location Code",$L$7)</t>
  </si>
  <si>
    <t>=NL("Sum","Item Ledger Entry","Quantity","Entry Type","Output","Entry No.",I1702,"Location Code",$L$7)</t>
  </si>
  <si>
    <t>=NL("Sum","Item Ledger Entry","Quantity","Entry Type","Output","Entry No.",I1703,"Location Code",$L$7)</t>
  </si>
  <si>
    <t>=NL("Sum","Item Ledger Entry","Quantity","Entry Type","Output","Entry No.",I1704,"Location Code",$L$7)</t>
  </si>
  <si>
    <t>=NF(G1693,"Source Type")</t>
  </si>
  <si>
    <t>=NF(G1694,"Source Type")</t>
  </si>
  <si>
    <t>=NF(G1695,"Source Type")</t>
  </si>
  <si>
    <t>=NF(G1696,"Source Type")</t>
  </si>
  <si>
    <t>=NF(G1697,"Source Type")</t>
  </si>
  <si>
    <t>=NF(G1698,"Source Type")</t>
  </si>
  <si>
    <t>=NF(G1699,"Source Type")</t>
  </si>
  <si>
    <t>=NF(G1700,"Source Type")</t>
  </si>
  <si>
    <t>=NF(G1701,"Source Type")</t>
  </si>
  <si>
    <t>=NF(G1702,"Source Type")</t>
  </si>
  <si>
    <t>=NF(G1703,"Source Type")</t>
  </si>
  <si>
    <t>=NF(G1704,"Source Type")</t>
  </si>
  <si>
    <t>=NF($G1693,"Source No.")</t>
  </si>
  <si>
    <t>=NF($G1694,"Source No.")</t>
  </si>
  <si>
    <t>=NF($G1695,"Source No.")</t>
  </si>
  <si>
    <t>=NF($G1696,"Source No.")</t>
  </si>
  <si>
    <t>=NF($G1697,"Source No.")</t>
  </si>
  <si>
    <t>=NF($G1698,"Source No.")</t>
  </si>
  <si>
    <t>=NF($G1699,"Source No.")</t>
  </si>
  <si>
    <t>=NF($G1700,"Source No.")</t>
  </si>
  <si>
    <t>=NF($G1701,"Source No.")</t>
  </si>
  <si>
    <t>=NF($G1702,"Source No.")</t>
  </si>
  <si>
    <t>=NF($G1703,"Source No.")</t>
  </si>
  <si>
    <t>=NF($G1704,"Source No.")</t>
  </si>
  <si>
    <t>=NF($G1676,"Posting Date")</t>
  </si>
  <si>
    <t>=NF($G1677,"Posting Date")</t>
  </si>
  <si>
    <t>=NF($G1678,"Posting Date")</t>
  </si>
  <si>
    <t>=NF($G1679,"Posting Date")</t>
  </si>
  <si>
    <t>=NF($G1680,"Posting Date")</t>
  </si>
  <si>
    <t>=NF($G1681,"Posting Date")</t>
  </si>
  <si>
    <t>=NF($G1682,"Posting Date")</t>
  </si>
  <si>
    <t>=NF($G1683,"Posting Date")</t>
  </si>
  <si>
    <t>=NF($G1684,"Posting Date")</t>
  </si>
  <si>
    <t>=NF($G1685,"Posting Date")</t>
  </si>
  <si>
    <t>=NF($G1686,"Posting Date")</t>
  </si>
  <si>
    <t>=NF($G1687,"Posting Date")</t>
  </si>
  <si>
    <t>=NF($G1688,"Posting Date")</t>
  </si>
  <si>
    <t>=NF($G1689,"Posting Date")</t>
  </si>
  <si>
    <t>=NF($G1676,"Entry No.")</t>
  </si>
  <si>
    <t>=NF($G1677,"Entry No.")</t>
  </si>
  <si>
    <t>=NF($G1678,"Entry No.")</t>
  </si>
  <si>
    <t>=NF($G1679,"Entry No.")</t>
  </si>
  <si>
    <t>=NF($G1680,"Entry No.")</t>
  </si>
  <si>
    <t>=NF($G1681,"Entry No.")</t>
  </si>
  <si>
    <t>=NF($G1682,"Entry No.")</t>
  </si>
  <si>
    <t>=NF($G1683,"Entry No.")</t>
  </si>
  <si>
    <t>=NF($G1684,"Entry No.")</t>
  </si>
  <si>
    <t>=NF($G1685,"Entry No.")</t>
  </si>
  <si>
    <t>=NF($G1686,"Entry No.")</t>
  </si>
  <si>
    <t>=NF($G1687,"Entry No.")</t>
  </si>
  <si>
    <t>=NF($G1688,"Entry No.")</t>
  </si>
  <si>
    <t>=NF($G1689,"Entry No.")</t>
  </si>
  <si>
    <t>=NL("Sum","Item Ledger Entry","Quantity","Entry Type","Purchase","Entry No.",I1676,"Location Code",$L$7)</t>
  </si>
  <si>
    <t>=NL("Sum","Item Ledger Entry","Quantity","Entry Type","Purchase","Entry No.",I1677,"Location Code",$L$7)</t>
  </si>
  <si>
    <t>=NL("Sum","Item Ledger Entry","Quantity","Entry Type","Purchase","Entry No.",I1678,"Location Code",$L$7)</t>
  </si>
  <si>
    <t>=NL("Sum","Item Ledger Entry","Quantity","Entry Type","Purchase","Entry No.",I1679,"Location Code",$L$7)</t>
  </si>
  <si>
    <t>=NL("Sum","Item Ledger Entry","Quantity","Entry Type","Purchase","Entry No.",I1680,"Location Code",$L$7)</t>
  </si>
  <si>
    <t>=NL("Sum","Item Ledger Entry","Quantity","Entry Type","Purchase","Entry No.",I1681,"Location Code",$L$7)</t>
  </si>
  <si>
    <t>=NL("Sum","Item Ledger Entry","Quantity","Entry Type","Purchase","Entry No.",I1682,"Location Code",$L$7)</t>
  </si>
  <si>
    <t>=NL("Sum","Item Ledger Entry","Quantity","Entry Type","Purchase","Entry No.",I1683,"Location Code",$L$7)</t>
  </si>
  <si>
    <t>=NL("Sum","Item Ledger Entry","Quantity","Entry Type","Purchase","Entry No.",I1684,"Location Code",$L$7)</t>
  </si>
  <si>
    <t>=NL("Sum","Item Ledger Entry","Quantity","Entry Type","Purchase","Entry No.",I1685,"Location Code",$L$7)</t>
  </si>
  <si>
    <t>=NL("Sum","Item Ledger Entry","Quantity","Entry Type","Purchase","Entry No.",I1686,"Location Code",$L$7)</t>
  </si>
  <si>
    <t>=NL("Sum","Item Ledger Entry","Quantity","Entry Type","Purchase","Entry No.",I1687,"Location Code",$L$7)</t>
  </si>
  <si>
    <t>=NL("Sum","Item Ledger Entry","Quantity","Entry Type","Purchase","Entry No.",I1688,"Location Code",$L$7)</t>
  </si>
  <si>
    <t>=NL("Sum","Item Ledger Entry","Quantity","Entry Type","Purchase","Entry No.",I1689,"Location Code",$L$7)</t>
  </si>
  <si>
    <t>=NL("Sum","Item Ledger Entry","Quantity","Entry Type","Sale","Entry No.",I1676,"Location Code",$L$7)</t>
  </si>
  <si>
    <t>=NL("Sum","Item Ledger Entry","Quantity","Entry Type","Sale","Entry No.",I1677,"Location Code",$L$7)</t>
  </si>
  <si>
    <t>=NL("Sum","Item Ledger Entry","Quantity","Entry Type","Sale","Entry No.",I1678,"Location Code",$L$7)</t>
  </si>
  <si>
    <t>=NL("Sum","Item Ledger Entry","Quantity","Entry Type","Sale","Entry No.",I1679,"Location Code",$L$7)</t>
  </si>
  <si>
    <t>=NL("Sum","Item Ledger Entry","Quantity","Entry Type","Sale","Entry No.",I1680,"Location Code",$L$7)</t>
  </si>
  <si>
    <t>=NL("Sum","Item Ledger Entry","Quantity","Entry Type","Sale","Entry No.",I1681,"Location Code",$L$7)</t>
  </si>
  <si>
    <t>=NL("Sum","Item Ledger Entry","Quantity","Entry Type","Sale","Entry No.",I1682,"Location Code",$L$7)</t>
  </si>
  <si>
    <t>=NL("Sum","Item Ledger Entry","Quantity","Entry Type","Sale","Entry No.",I1683,"Location Code",$L$7)</t>
  </si>
  <si>
    <t>=NL("Sum","Item Ledger Entry","Quantity","Entry Type","Sale","Entry No.",I1684,"Location Code",$L$7)</t>
  </si>
  <si>
    <t>=NL("Sum","Item Ledger Entry","Quantity","Entry Type","Sale","Entry No.",I1685,"Location Code",$L$7)</t>
  </si>
  <si>
    <t>=NL("Sum","Item Ledger Entry","Quantity","Entry Type","Sale","Entry No.",I1686,"Location Code",$L$7)</t>
  </si>
  <si>
    <t>=NL("Sum","Item Ledger Entry","Quantity","Entry Type","Sale","Entry No.",I1687,"Location Code",$L$7)</t>
  </si>
  <si>
    <t>=NL("Sum","Item Ledger Entry","Quantity","Entry Type","Sale","Entry No.",I1688,"Location Code",$L$7)</t>
  </si>
  <si>
    <t>=NL("Sum","Item Ledger Entry","Quantity","Entry Type","Sale","Entry No.",I1689,"Location Code",$L$7)</t>
  </si>
  <si>
    <t>=NL("Sum","Item Ledger Entry","Quantity","Entry Type","Positive Adjmt.|Negative Adjmt.","Entry No.",I1676,"Location Code",$L$7)</t>
  </si>
  <si>
    <t>=NL("Sum","Item Ledger Entry","Quantity","Entry Type","Positive Adjmt.|Negative Adjmt.","Entry No.",I1677,"Location Code",$L$7)</t>
  </si>
  <si>
    <t>=NL("Sum","Item Ledger Entry","Quantity","Entry Type","Positive Adjmt.|Negative Adjmt.","Entry No.",I1678,"Location Code",$L$7)</t>
  </si>
  <si>
    <t>=NL("Sum","Item Ledger Entry","Quantity","Entry Type","Positive Adjmt.|Negative Adjmt.","Entry No.",I1679,"Location Code",$L$7)</t>
  </si>
  <si>
    <t>=NL("Sum","Item Ledger Entry","Quantity","Entry Type","Positive Adjmt.|Negative Adjmt.","Entry No.",I1680,"Location Code",$L$7)</t>
  </si>
  <si>
    <t>=NL("Sum","Item Ledger Entry","Quantity","Entry Type","Positive Adjmt.|Negative Adjmt.","Entry No.",I1681,"Location Code",$L$7)</t>
  </si>
  <si>
    <t>=NL("Sum","Item Ledger Entry","Quantity","Entry Type","Positive Adjmt.|Negative Adjmt.","Entry No.",I1682,"Location Code",$L$7)</t>
  </si>
  <si>
    <t>=NL("Sum","Item Ledger Entry","Quantity","Entry Type","Positive Adjmt.|Negative Adjmt.","Entry No.",I1683,"Location Code",$L$7)</t>
  </si>
  <si>
    <t>=NL("Sum","Item Ledger Entry","Quantity","Entry Type","Positive Adjmt.|Negative Adjmt.","Entry No.",I1684,"Location Code",$L$7)</t>
  </si>
  <si>
    <t>=NL("Sum","Item Ledger Entry","Quantity","Entry Type","Positive Adjmt.|Negative Adjmt.","Entry No.",I1685,"Location Code",$L$7)</t>
  </si>
  <si>
    <t>=NL("Sum","Item Ledger Entry","Quantity","Entry Type","Positive Adjmt.|Negative Adjmt.","Entry No.",I1686,"Location Code",$L$7)</t>
  </si>
  <si>
    <t>=NL("Sum","Item Ledger Entry","Quantity","Entry Type","Positive Adjmt.|Negative Adjmt.","Entry No.",I1687,"Location Code",$L$7)</t>
  </si>
  <si>
    <t>=NL("Sum","Item Ledger Entry","Quantity","Entry Type","Positive Adjmt.|Negative Adjmt.","Entry No.",I1688,"Location Code",$L$7)</t>
  </si>
  <si>
    <t>=NL("Sum","Item Ledger Entry","Quantity","Entry Type","Positive Adjmt.|Negative Adjmt.","Entry No.",I1689,"Location Code",$L$7)</t>
  </si>
  <si>
    <t>=NL("Sum","Item Ledger Entry","Quantity","Entry Type","Transfer","Entry No.",I1676,"Location Code",$L$7)</t>
  </si>
  <si>
    <t>=NL("Sum","Item Ledger Entry","Quantity","Entry Type","Transfer","Entry No.",I1677,"Location Code",$L$7)</t>
  </si>
  <si>
    <t>=NL("Sum","Item Ledger Entry","Quantity","Entry Type","Transfer","Entry No.",I1678,"Location Code",$L$7)</t>
  </si>
  <si>
    <t>=NL("Sum","Item Ledger Entry","Quantity","Entry Type","Transfer","Entry No.",I1679,"Location Code",$L$7)</t>
  </si>
  <si>
    <t>=NL("Sum","Item Ledger Entry","Quantity","Entry Type","Transfer","Entry No.",I1680,"Location Code",$L$7)</t>
  </si>
  <si>
    <t>=NL("Sum","Item Ledger Entry","Quantity","Entry Type","Transfer","Entry No.",I1681,"Location Code",$L$7)</t>
  </si>
  <si>
    <t>=NL("Sum","Item Ledger Entry","Quantity","Entry Type","Transfer","Entry No.",I1682,"Location Code",$L$7)</t>
  </si>
  <si>
    <t>=NL("Sum","Item Ledger Entry","Quantity","Entry Type","Transfer","Entry No.",I1683,"Location Code",$L$7)</t>
  </si>
  <si>
    <t>=NL("Sum","Item Ledger Entry","Quantity","Entry Type","Transfer","Entry No.",I1684,"Location Code",$L$7)</t>
  </si>
  <si>
    <t>=NL("Sum","Item Ledger Entry","Quantity","Entry Type","Transfer","Entry No.",I1685,"Location Code",$L$7)</t>
  </si>
  <si>
    <t>=NL("Sum","Item Ledger Entry","Quantity","Entry Type","Transfer","Entry No.",I1686,"Location Code",$L$7)</t>
  </si>
  <si>
    <t>=NL("Sum","Item Ledger Entry","Quantity","Entry Type","Transfer","Entry No.",I1687,"Location Code",$L$7)</t>
  </si>
  <si>
    <t>=NL("Sum","Item Ledger Entry","Quantity","Entry Type","Transfer","Entry No.",I1688,"Location Code",$L$7)</t>
  </si>
  <si>
    <t>=NL("Sum","Item Ledger Entry","Quantity","Entry Type","Transfer","Entry No.",I1689,"Location Code",$L$7)</t>
  </si>
  <si>
    <t>=NL("Sum","Item Ledger Entry","Quantity","Entry Type","Consumption","Entry No.",I1676,"Location Code",$L$7)</t>
  </si>
  <si>
    <t>=NL("Sum","Item Ledger Entry","Quantity","Entry Type","Consumption","Entry No.",I1677,"Location Code",$L$7)</t>
  </si>
  <si>
    <t>=NL("Sum","Item Ledger Entry","Quantity","Entry Type","Consumption","Entry No.",I1678,"Location Code",$L$7)</t>
  </si>
  <si>
    <t>=NL("Sum","Item Ledger Entry","Quantity","Entry Type","Consumption","Entry No.",I1679,"Location Code",$L$7)</t>
  </si>
  <si>
    <t>=NL("Sum","Item Ledger Entry","Quantity","Entry Type","Consumption","Entry No.",I1680,"Location Code",$L$7)</t>
  </si>
  <si>
    <t>=NL("Sum","Item Ledger Entry","Quantity","Entry Type","Consumption","Entry No.",I1681,"Location Code",$L$7)</t>
  </si>
  <si>
    <t>=NL("Sum","Item Ledger Entry","Quantity","Entry Type","Consumption","Entry No.",I1682,"Location Code",$L$7)</t>
  </si>
  <si>
    <t>=NL("Sum","Item Ledger Entry","Quantity","Entry Type","Consumption","Entry No.",I1683,"Location Code",$L$7)</t>
  </si>
  <si>
    <t>=NL("Sum","Item Ledger Entry","Quantity","Entry Type","Consumption","Entry No.",I1684,"Location Code",$L$7)</t>
  </si>
  <si>
    <t>=NL("Sum","Item Ledger Entry","Quantity","Entry Type","Consumption","Entry No.",I1685,"Location Code",$L$7)</t>
  </si>
  <si>
    <t>=NL("Sum","Item Ledger Entry","Quantity","Entry Type","Consumption","Entry No.",I1686,"Location Code",$L$7)</t>
  </si>
  <si>
    <t>=NL("Sum","Item Ledger Entry","Quantity","Entry Type","Consumption","Entry No.",I1687,"Location Code",$L$7)</t>
  </si>
  <si>
    <t>=NL("Sum","Item Ledger Entry","Quantity","Entry Type","Consumption","Entry No.",I1688,"Location Code",$L$7)</t>
  </si>
  <si>
    <t>=NL("Sum","Item Ledger Entry","Quantity","Entry Type","Consumption","Entry No.",I1689,"Location Code",$L$7)</t>
  </si>
  <si>
    <t>=NL("Sum","Item Ledger Entry","Quantity","Entry Type","Output","Entry No.",I1676,"Location Code",$L$7)</t>
  </si>
  <si>
    <t>=NL("Sum","Item Ledger Entry","Quantity","Entry Type","Output","Entry No.",I1677,"Location Code",$L$7)</t>
  </si>
  <si>
    <t>=NL("Sum","Item Ledger Entry","Quantity","Entry Type","Output","Entry No.",I1678,"Location Code",$L$7)</t>
  </si>
  <si>
    <t>=NL("Sum","Item Ledger Entry","Quantity","Entry Type","Output","Entry No.",I1679,"Location Code",$L$7)</t>
  </si>
  <si>
    <t>=NL("Sum","Item Ledger Entry","Quantity","Entry Type","Output","Entry No.",I1680,"Location Code",$L$7)</t>
  </si>
  <si>
    <t>=NL("Sum","Item Ledger Entry","Quantity","Entry Type","Output","Entry No.",I1681,"Location Code",$L$7)</t>
  </si>
  <si>
    <t>=NL("Sum","Item Ledger Entry","Quantity","Entry Type","Output","Entry No.",I1682,"Location Code",$L$7)</t>
  </si>
  <si>
    <t>=NL("Sum","Item Ledger Entry","Quantity","Entry Type","Output","Entry No.",I1683,"Location Code",$L$7)</t>
  </si>
  <si>
    <t>=NL("Sum","Item Ledger Entry","Quantity","Entry Type","Output","Entry No.",I1684,"Location Code",$L$7)</t>
  </si>
  <si>
    <t>=NL("Sum","Item Ledger Entry","Quantity","Entry Type","Output","Entry No.",I1685,"Location Code",$L$7)</t>
  </si>
  <si>
    <t>=NL("Sum","Item Ledger Entry","Quantity","Entry Type","Output","Entry No.",I1686,"Location Code",$L$7)</t>
  </si>
  <si>
    <t>=NL("Sum","Item Ledger Entry","Quantity","Entry Type","Output","Entry No.",I1687,"Location Code",$L$7)</t>
  </si>
  <si>
    <t>=NL("Sum","Item Ledger Entry","Quantity","Entry Type","Output","Entry No.",I1688,"Location Code",$L$7)</t>
  </si>
  <si>
    <t>=NL("Sum","Item Ledger Entry","Quantity","Entry Type","Output","Entry No.",I1689,"Location Code",$L$7)</t>
  </si>
  <si>
    <t>=NF(G1676,"Source Type")</t>
  </si>
  <si>
    <t>=NF(G1677,"Source Type")</t>
  </si>
  <si>
    <t>=NF(G1678,"Source Type")</t>
  </si>
  <si>
    <t>=NF(G1679,"Source Type")</t>
  </si>
  <si>
    <t>=NF(G1680,"Source Type")</t>
  </si>
  <si>
    <t>=NF(G1681,"Source Type")</t>
  </si>
  <si>
    <t>=NF(G1682,"Source Type")</t>
  </si>
  <si>
    <t>=NF(G1683,"Source Type")</t>
  </si>
  <si>
    <t>=NF(G1684,"Source Type")</t>
  </si>
  <si>
    <t>=NF(G1685,"Source Type")</t>
  </si>
  <si>
    <t>=NF(G1686,"Source Type")</t>
  </si>
  <si>
    <t>=NF(G1687,"Source Type")</t>
  </si>
  <si>
    <t>=NF(G1688,"Source Type")</t>
  </si>
  <si>
    <t>=NF(G1689,"Source Type")</t>
  </si>
  <si>
    <t>=NF($G1676,"Source No.")</t>
  </si>
  <si>
    <t>=NF($G1677,"Source No.")</t>
  </si>
  <si>
    <t>=NF($G1678,"Source No.")</t>
  </si>
  <si>
    <t>=NF($G1679,"Source No.")</t>
  </si>
  <si>
    <t>=NF($G1680,"Source No.")</t>
  </si>
  <si>
    <t>=NF($G1681,"Source No.")</t>
  </si>
  <si>
    <t>=NF($G1682,"Source No.")</t>
  </si>
  <si>
    <t>=NF($G1683,"Source No.")</t>
  </si>
  <si>
    <t>=NF($G1684,"Source No.")</t>
  </si>
  <si>
    <t>=NF($G1685,"Source No.")</t>
  </si>
  <si>
    <t>=NF($G1686,"Source No.")</t>
  </si>
  <si>
    <t>=NF($G1687,"Source No.")</t>
  </si>
  <si>
    <t>=NF($G1688,"Source No.")</t>
  </si>
  <si>
    <t>=NF($G1689,"Source No.")</t>
  </si>
  <si>
    <t>=NF($G1658,"Posting Date")</t>
  </si>
  <si>
    <t>=NF($G1659,"Posting Date")</t>
  </si>
  <si>
    <t>=NF($G1660,"Posting Date")</t>
  </si>
  <si>
    <t>=NF($G1661,"Posting Date")</t>
  </si>
  <si>
    <t>=NF($G1662,"Posting Date")</t>
  </si>
  <si>
    <t>=NF($G1663,"Posting Date")</t>
  </si>
  <si>
    <t>=NF($G1664,"Posting Date")</t>
  </si>
  <si>
    <t>=NF($G1665,"Posting Date")</t>
  </si>
  <si>
    <t>=NF($G1666,"Posting Date")</t>
  </si>
  <si>
    <t>=NF($G1667,"Posting Date")</t>
  </si>
  <si>
    <t>=NF($G1668,"Posting Date")</t>
  </si>
  <si>
    <t>=NF($G1669,"Posting Date")</t>
  </si>
  <si>
    <t>=NF($G1670,"Posting Date")</t>
  </si>
  <si>
    <t>=NF($G1671,"Posting Date")</t>
  </si>
  <si>
    <t>=NF($G1672,"Posting Date")</t>
  </si>
  <si>
    <t>=NF($G1658,"Entry No.")</t>
  </si>
  <si>
    <t>=NF($G1659,"Entry No.")</t>
  </si>
  <si>
    <t>=NF($G1660,"Entry No.")</t>
  </si>
  <si>
    <t>=NF($G1661,"Entry No.")</t>
  </si>
  <si>
    <t>=NF($G1662,"Entry No.")</t>
  </si>
  <si>
    <t>=NF($G1663,"Entry No.")</t>
  </si>
  <si>
    <t>=NF($G1664,"Entry No.")</t>
  </si>
  <si>
    <t>=NF($G1665,"Entry No.")</t>
  </si>
  <si>
    <t>=NF($G1666,"Entry No.")</t>
  </si>
  <si>
    <t>=NF($G1667,"Entry No.")</t>
  </si>
  <si>
    <t>=NF($G1668,"Entry No.")</t>
  </si>
  <si>
    <t>=NF($G1669,"Entry No.")</t>
  </si>
  <si>
    <t>=NF($G1670,"Entry No.")</t>
  </si>
  <si>
    <t>=NF($G1671,"Entry No.")</t>
  </si>
  <si>
    <t>=NF($G1672,"Entry No.")</t>
  </si>
  <si>
    <t>=NL("Sum","Item Ledger Entry","Quantity","Entry Type","Purchase","Entry No.",I1658,"Location Code",$L$7)</t>
  </si>
  <si>
    <t>=NL("Sum","Item Ledger Entry","Quantity","Entry Type","Purchase","Entry No.",I1659,"Location Code",$L$7)</t>
  </si>
  <si>
    <t>=NL("Sum","Item Ledger Entry","Quantity","Entry Type","Purchase","Entry No.",I1660,"Location Code",$L$7)</t>
  </si>
  <si>
    <t>=NL("Sum","Item Ledger Entry","Quantity","Entry Type","Purchase","Entry No.",I1661,"Location Code",$L$7)</t>
  </si>
  <si>
    <t>=NL("Sum","Item Ledger Entry","Quantity","Entry Type","Purchase","Entry No.",I1662,"Location Code",$L$7)</t>
  </si>
  <si>
    <t>=NL("Sum","Item Ledger Entry","Quantity","Entry Type","Purchase","Entry No.",I1663,"Location Code",$L$7)</t>
  </si>
  <si>
    <t>=NL("Sum","Item Ledger Entry","Quantity","Entry Type","Purchase","Entry No.",I1664,"Location Code",$L$7)</t>
  </si>
  <si>
    <t>=NL("Sum","Item Ledger Entry","Quantity","Entry Type","Purchase","Entry No.",I1665,"Location Code",$L$7)</t>
  </si>
  <si>
    <t>=NL("Sum","Item Ledger Entry","Quantity","Entry Type","Purchase","Entry No.",I1666,"Location Code",$L$7)</t>
  </si>
  <si>
    <t>=NL("Sum","Item Ledger Entry","Quantity","Entry Type","Purchase","Entry No.",I1667,"Location Code",$L$7)</t>
  </si>
  <si>
    <t>=NL("Sum","Item Ledger Entry","Quantity","Entry Type","Purchase","Entry No.",I1668,"Location Code",$L$7)</t>
  </si>
  <si>
    <t>=NL("Sum","Item Ledger Entry","Quantity","Entry Type","Purchase","Entry No.",I1669,"Location Code",$L$7)</t>
  </si>
  <si>
    <t>=NL("Sum","Item Ledger Entry","Quantity","Entry Type","Purchase","Entry No.",I1670,"Location Code",$L$7)</t>
  </si>
  <si>
    <t>=NL("Sum","Item Ledger Entry","Quantity","Entry Type","Purchase","Entry No.",I1671,"Location Code",$L$7)</t>
  </si>
  <si>
    <t>=NL("Sum","Item Ledger Entry","Quantity","Entry Type","Purchase","Entry No.",I1672,"Location Code",$L$7)</t>
  </si>
  <si>
    <t>=NL("Sum","Item Ledger Entry","Quantity","Entry Type","Sale","Entry No.",I1658,"Location Code",$L$7)</t>
  </si>
  <si>
    <t>=NL("Sum","Item Ledger Entry","Quantity","Entry Type","Sale","Entry No.",I1659,"Location Code",$L$7)</t>
  </si>
  <si>
    <t>=NL("Sum","Item Ledger Entry","Quantity","Entry Type","Sale","Entry No.",I1660,"Location Code",$L$7)</t>
  </si>
  <si>
    <t>=NL("Sum","Item Ledger Entry","Quantity","Entry Type","Sale","Entry No.",I1661,"Location Code",$L$7)</t>
  </si>
  <si>
    <t>=NL("Sum","Item Ledger Entry","Quantity","Entry Type","Sale","Entry No.",I1662,"Location Code",$L$7)</t>
  </si>
  <si>
    <t>=NL("Sum","Item Ledger Entry","Quantity","Entry Type","Sale","Entry No.",I1663,"Location Code",$L$7)</t>
  </si>
  <si>
    <t>=NL("Sum","Item Ledger Entry","Quantity","Entry Type","Sale","Entry No.",I1664,"Location Code",$L$7)</t>
  </si>
  <si>
    <t>=NL("Sum","Item Ledger Entry","Quantity","Entry Type","Sale","Entry No.",I1665,"Location Code",$L$7)</t>
  </si>
  <si>
    <t>=NL("Sum","Item Ledger Entry","Quantity","Entry Type","Sale","Entry No.",I1666,"Location Code",$L$7)</t>
  </si>
  <si>
    <t>=NL("Sum","Item Ledger Entry","Quantity","Entry Type","Sale","Entry No.",I1667,"Location Code",$L$7)</t>
  </si>
  <si>
    <t>=NL("Sum","Item Ledger Entry","Quantity","Entry Type","Sale","Entry No.",I1668,"Location Code",$L$7)</t>
  </si>
  <si>
    <t>=NL("Sum","Item Ledger Entry","Quantity","Entry Type","Sale","Entry No.",I1669,"Location Code",$L$7)</t>
  </si>
  <si>
    <t>=NL("Sum","Item Ledger Entry","Quantity","Entry Type","Sale","Entry No.",I1670,"Location Code",$L$7)</t>
  </si>
  <si>
    <t>=NL("Sum","Item Ledger Entry","Quantity","Entry Type","Sale","Entry No.",I1671,"Location Code",$L$7)</t>
  </si>
  <si>
    <t>=NL("Sum","Item Ledger Entry","Quantity","Entry Type","Sale","Entry No.",I1672,"Location Code",$L$7)</t>
  </si>
  <si>
    <t>=NL("Sum","Item Ledger Entry","Quantity","Entry Type","Positive Adjmt.|Negative Adjmt.","Entry No.",I1658,"Location Code",$L$7)</t>
  </si>
  <si>
    <t>=NL("Sum","Item Ledger Entry","Quantity","Entry Type","Positive Adjmt.|Negative Adjmt.","Entry No.",I1659,"Location Code",$L$7)</t>
  </si>
  <si>
    <t>=NL("Sum","Item Ledger Entry","Quantity","Entry Type","Positive Adjmt.|Negative Adjmt.","Entry No.",I1660,"Location Code",$L$7)</t>
  </si>
  <si>
    <t>=NL("Sum","Item Ledger Entry","Quantity","Entry Type","Positive Adjmt.|Negative Adjmt.","Entry No.",I1661,"Location Code",$L$7)</t>
  </si>
  <si>
    <t>=NL("Sum","Item Ledger Entry","Quantity","Entry Type","Positive Adjmt.|Negative Adjmt.","Entry No.",I1662,"Location Code",$L$7)</t>
  </si>
  <si>
    <t>=NL("Sum","Item Ledger Entry","Quantity","Entry Type","Positive Adjmt.|Negative Adjmt.","Entry No.",I1663,"Location Code",$L$7)</t>
  </si>
  <si>
    <t>=NL("Sum","Item Ledger Entry","Quantity","Entry Type","Positive Adjmt.|Negative Adjmt.","Entry No.",I1664,"Location Code",$L$7)</t>
  </si>
  <si>
    <t>=NL("Sum","Item Ledger Entry","Quantity","Entry Type","Positive Adjmt.|Negative Adjmt.","Entry No.",I1665,"Location Code",$L$7)</t>
  </si>
  <si>
    <t>=NL("Sum","Item Ledger Entry","Quantity","Entry Type","Positive Adjmt.|Negative Adjmt.","Entry No.",I1666,"Location Code",$L$7)</t>
  </si>
  <si>
    <t>=NL("Sum","Item Ledger Entry","Quantity","Entry Type","Positive Adjmt.|Negative Adjmt.","Entry No.",I1667,"Location Code",$L$7)</t>
  </si>
  <si>
    <t>=NL("Sum","Item Ledger Entry","Quantity","Entry Type","Positive Adjmt.|Negative Adjmt.","Entry No.",I1668,"Location Code",$L$7)</t>
  </si>
  <si>
    <t>=NL("Sum","Item Ledger Entry","Quantity","Entry Type","Positive Adjmt.|Negative Adjmt.","Entry No.",I1669,"Location Code",$L$7)</t>
  </si>
  <si>
    <t>=NL("Sum","Item Ledger Entry","Quantity","Entry Type","Positive Adjmt.|Negative Adjmt.","Entry No.",I1670,"Location Code",$L$7)</t>
  </si>
  <si>
    <t>=NL("Sum","Item Ledger Entry","Quantity","Entry Type","Positive Adjmt.|Negative Adjmt.","Entry No.",I1671,"Location Code",$L$7)</t>
  </si>
  <si>
    <t>=NL("Sum","Item Ledger Entry","Quantity","Entry Type","Positive Adjmt.|Negative Adjmt.","Entry No.",I1672,"Location Code",$L$7)</t>
  </si>
  <si>
    <t>=NL("Sum","Item Ledger Entry","Quantity","Entry Type","Transfer","Entry No.",I1658,"Location Code",$L$7)</t>
  </si>
  <si>
    <t>=NL("Sum","Item Ledger Entry","Quantity","Entry Type","Transfer","Entry No.",I1659,"Location Code",$L$7)</t>
  </si>
  <si>
    <t>=NL("Sum","Item Ledger Entry","Quantity","Entry Type","Transfer","Entry No.",I1660,"Location Code",$L$7)</t>
  </si>
  <si>
    <t>=NL("Sum","Item Ledger Entry","Quantity","Entry Type","Transfer","Entry No.",I1661,"Location Code",$L$7)</t>
  </si>
  <si>
    <t>=NL("Sum","Item Ledger Entry","Quantity","Entry Type","Transfer","Entry No.",I1662,"Location Code",$L$7)</t>
  </si>
  <si>
    <t>=NL("Sum","Item Ledger Entry","Quantity","Entry Type","Transfer","Entry No.",I1663,"Location Code",$L$7)</t>
  </si>
  <si>
    <t>=NL("Sum","Item Ledger Entry","Quantity","Entry Type","Transfer","Entry No.",I1664,"Location Code",$L$7)</t>
  </si>
  <si>
    <t>=NL("Sum","Item Ledger Entry","Quantity","Entry Type","Transfer","Entry No.",I1665,"Location Code",$L$7)</t>
  </si>
  <si>
    <t>=NL("Sum","Item Ledger Entry","Quantity","Entry Type","Transfer","Entry No.",I1666,"Location Code",$L$7)</t>
  </si>
  <si>
    <t>=NL("Sum","Item Ledger Entry","Quantity","Entry Type","Transfer","Entry No.",I1667,"Location Code",$L$7)</t>
  </si>
  <si>
    <t>=NL("Sum","Item Ledger Entry","Quantity","Entry Type","Transfer","Entry No.",I1668,"Location Code",$L$7)</t>
  </si>
  <si>
    <t>=NL("Sum","Item Ledger Entry","Quantity","Entry Type","Transfer","Entry No.",I1669,"Location Code",$L$7)</t>
  </si>
  <si>
    <t>=NL("Sum","Item Ledger Entry","Quantity","Entry Type","Transfer","Entry No.",I1670,"Location Code",$L$7)</t>
  </si>
  <si>
    <t>=NL("Sum","Item Ledger Entry","Quantity","Entry Type","Transfer","Entry No.",I1671,"Location Code",$L$7)</t>
  </si>
  <si>
    <t>=NL("Sum","Item Ledger Entry","Quantity","Entry Type","Transfer","Entry No.",I1672,"Location Code",$L$7)</t>
  </si>
  <si>
    <t>=NL("Sum","Item Ledger Entry","Quantity","Entry Type","Consumption","Entry No.",I1658,"Location Code",$L$7)</t>
  </si>
  <si>
    <t>=NL("Sum","Item Ledger Entry","Quantity","Entry Type","Consumption","Entry No.",I1659,"Location Code",$L$7)</t>
  </si>
  <si>
    <t>=NL("Sum","Item Ledger Entry","Quantity","Entry Type","Consumption","Entry No.",I1660,"Location Code",$L$7)</t>
  </si>
  <si>
    <t>=NL("Sum","Item Ledger Entry","Quantity","Entry Type","Consumption","Entry No.",I1661,"Location Code",$L$7)</t>
  </si>
  <si>
    <t>=NL("Sum","Item Ledger Entry","Quantity","Entry Type","Consumption","Entry No.",I1662,"Location Code",$L$7)</t>
  </si>
  <si>
    <t>=NL("Sum","Item Ledger Entry","Quantity","Entry Type","Consumption","Entry No.",I1663,"Location Code",$L$7)</t>
  </si>
  <si>
    <t>=NL("Sum","Item Ledger Entry","Quantity","Entry Type","Consumption","Entry No.",I1664,"Location Code",$L$7)</t>
  </si>
  <si>
    <t>=NL("Sum","Item Ledger Entry","Quantity","Entry Type","Consumption","Entry No.",I1665,"Location Code",$L$7)</t>
  </si>
  <si>
    <t>=NL("Sum","Item Ledger Entry","Quantity","Entry Type","Consumption","Entry No.",I1666,"Location Code",$L$7)</t>
  </si>
  <si>
    <t>=NL("Sum","Item Ledger Entry","Quantity","Entry Type","Consumption","Entry No.",I1667,"Location Code",$L$7)</t>
  </si>
  <si>
    <t>=NL("Sum","Item Ledger Entry","Quantity","Entry Type","Consumption","Entry No.",I1668,"Location Code",$L$7)</t>
  </si>
  <si>
    <t>=NL("Sum","Item Ledger Entry","Quantity","Entry Type","Consumption","Entry No.",I1669,"Location Code",$L$7)</t>
  </si>
  <si>
    <t>=NL("Sum","Item Ledger Entry","Quantity","Entry Type","Consumption","Entry No.",I1670,"Location Code",$L$7)</t>
  </si>
  <si>
    <t>=NL("Sum","Item Ledger Entry","Quantity","Entry Type","Consumption","Entry No.",I1671,"Location Code",$L$7)</t>
  </si>
  <si>
    <t>=NL("Sum","Item Ledger Entry","Quantity","Entry Type","Consumption","Entry No.",I1672,"Location Code",$L$7)</t>
  </si>
  <si>
    <t>=NL("Sum","Item Ledger Entry","Quantity","Entry Type","Output","Entry No.",I1658,"Location Code",$L$7)</t>
  </si>
  <si>
    <t>=NL("Sum","Item Ledger Entry","Quantity","Entry Type","Output","Entry No.",I1659,"Location Code",$L$7)</t>
  </si>
  <si>
    <t>=NL("Sum","Item Ledger Entry","Quantity","Entry Type","Output","Entry No.",I1660,"Location Code",$L$7)</t>
  </si>
  <si>
    <t>=NL("Sum","Item Ledger Entry","Quantity","Entry Type","Output","Entry No.",I1661,"Location Code",$L$7)</t>
  </si>
  <si>
    <t>=NL("Sum","Item Ledger Entry","Quantity","Entry Type","Output","Entry No.",I1662,"Location Code",$L$7)</t>
  </si>
  <si>
    <t>=NL("Sum","Item Ledger Entry","Quantity","Entry Type","Output","Entry No.",I1663,"Location Code",$L$7)</t>
  </si>
  <si>
    <t>=NL("Sum","Item Ledger Entry","Quantity","Entry Type","Output","Entry No.",I1664,"Location Code",$L$7)</t>
  </si>
  <si>
    <t>=NL("Sum","Item Ledger Entry","Quantity","Entry Type","Output","Entry No.",I1665,"Location Code",$L$7)</t>
  </si>
  <si>
    <t>=NL("Sum","Item Ledger Entry","Quantity","Entry Type","Output","Entry No.",I1666,"Location Code",$L$7)</t>
  </si>
  <si>
    <t>=NL("Sum","Item Ledger Entry","Quantity","Entry Type","Output","Entry No.",I1667,"Location Code",$L$7)</t>
  </si>
  <si>
    <t>=NL("Sum","Item Ledger Entry","Quantity","Entry Type","Output","Entry No.",I1668,"Location Code",$L$7)</t>
  </si>
  <si>
    <t>=NL("Sum","Item Ledger Entry","Quantity","Entry Type","Output","Entry No.",I1669,"Location Code",$L$7)</t>
  </si>
  <si>
    <t>=NL("Sum","Item Ledger Entry","Quantity","Entry Type","Output","Entry No.",I1670,"Location Code",$L$7)</t>
  </si>
  <si>
    <t>=NL("Sum","Item Ledger Entry","Quantity","Entry Type","Output","Entry No.",I1671,"Location Code",$L$7)</t>
  </si>
  <si>
    <t>=NL("Sum","Item Ledger Entry","Quantity","Entry Type","Output","Entry No.",I1672,"Location Code",$L$7)</t>
  </si>
  <si>
    <t>=NF(G1658,"Source Type")</t>
  </si>
  <si>
    <t>=NF(G1659,"Source Type")</t>
  </si>
  <si>
    <t>=NF(G1660,"Source Type")</t>
  </si>
  <si>
    <t>=NF(G1661,"Source Type")</t>
  </si>
  <si>
    <t>=NF(G1662,"Source Type")</t>
  </si>
  <si>
    <t>=NF(G1663,"Source Type")</t>
  </si>
  <si>
    <t>=NF(G1664,"Source Type")</t>
  </si>
  <si>
    <t>=NF(G1665,"Source Type")</t>
  </si>
  <si>
    <t>=NF(G1666,"Source Type")</t>
  </si>
  <si>
    <t>=NF(G1667,"Source Type")</t>
  </si>
  <si>
    <t>=NF(G1668,"Source Type")</t>
  </si>
  <si>
    <t>=NF(G1669,"Source Type")</t>
  </si>
  <si>
    <t>=NF(G1670,"Source Type")</t>
  </si>
  <si>
    <t>=NF(G1671,"Source Type")</t>
  </si>
  <si>
    <t>=NF(G1672,"Source Type")</t>
  </si>
  <si>
    <t>=NF($G1658,"Source No.")</t>
  </si>
  <si>
    <t>=NF($G1659,"Source No.")</t>
  </si>
  <si>
    <t>=NF($G1660,"Source No.")</t>
  </si>
  <si>
    <t>=NF($G1661,"Source No.")</t>
  </si>
  <si>
    <t>=NF($G1662,"Source No.")</t>
  </si>
  <si>
    <t>=NF($G1663,"Source No.")</t>
  </si>
  <si>
    <t>=NF($G1664,"Source No.")</t>
  </si>
  <si>
    <t>=NF($G1665,"Source No.")</t>
  </si>
  <si>
    <t>=NF($G1666,"Source No.")</t>
  </si>
  <si>
    <t>=NF($G1667,"Source No.")</t>
  </si>
  <si>
    <t>=NF($G1668,"Source No.")</t>
  </si>
  <si>
    <t>=NF($G1669,"Source No.")</t>
  </si>
  <si>
    <t>=NF($G1670,"Source No.")</t>
  </si>
  <si>
    <t>=NF($G1671,"Source No.")</t>
  </si>
  <si>
    <t>=NF($G1672,"Source No.")</t>
  </si>
  <si>
    <t>=NF($G1630,"Posting Date")</t>
  </si>
  <si>
    <t>=NF($G1631,"Posting Date")</t>
  </si>
  <si>
    <t>=NF($G1632,"Posting Date")</t>
  </si>
  <si>
    <t>=NF($G1633,"Posting Date")</t>
  </si>
  <si>
    <t>=NF($G1634,"Posting Date")</t>
  </si>
  <si>
    <t>=NF($G1635,"Posting Date")</t>
  </si>
  <si>
    <t>=NF($G1636,"Posting Date")</t>
  </si>
  <si>
    <t>=NF($G1637,"Posting Date")</t>
  </si>
  <si>
    <t>=NF($G1638,"Posting Date")</t>
  </si>
  <si>
    <t>=NF($G1639,"Posting Date")</t>
  </si>
  <si>
    <t>=NF($G1640,"Posting Date")</t>
  </si>
  <si>
    <t>=NF($G1641,"Posting Date")</t>
  </si>
  <si>
    <t>=NF($G1642,"Posting Date")</t>
  </si>
  <si>
    <t>=NF($G1643,"Posting Date")</t>
  </si>
  <si>
    <t>=NF($G1644,"Posting Date")</t>
  </si>
  <si>
    <t>=NF($G1645,"Posting Date")</t>
  </si>
  <si>
    <t>=NF($G1646,"Posting Date")</t>
  </si>
  <si>
    <t>=NF($G1647,"Posting Date")</t>
  </si>
  <si>
    <t>=NF($G1648,"Posting Date")</t>
  </si>
  <si>
    <t>=NF($G1649,"Posting Date")</t>
  </si>
  <si>
    <t>=NF($G1650,"Posting Date")</t>
  </si>
  <si>
    <t>=NF($G1651,"Posting Date")</t>
  </si>
  <si>
    <t>=NF($G1652,"Posting Date")</t>
  </si>
  <si>
    <t>=NF($G1653,"Posting Date")</t>
  </si>
  <si>
    <t>=NF($G1654,"Posting Date")</t>
  </si>
  <si>
    <t>=NF($G1630,"Entry No.")</t>
  </si>
  <si>
    <t>=NF($G1631,"Entry No.")</t>
  </si>
  <si>
    <t>=NF($G1632,"Entry No.")</t>
  </si>
  <si>
    <t>=NF($G1633,"Entry No.")</t>
  </si>
  <si>
    <t>=NF($G1634,"Entry No.")</t>
  </si>
  <si>
    <t>=NF($G1635,"Entry No.")</t>
  </si>
  <si>
    <t>=NF($G1636,"Entry No.")</t>
  </si>
  <si>
    <t>=NF($G1637,"Entry No.")</t>
  </si>
  <si>
    <t>=NF($G1638,"Entry No.")</t>
  </si>
  <si>
    <t>=NF($G1639,"Entry No.")</t>
  </si>
  <si>
    <t>=NF($G1640,"Entry No.")</t>
  </si>
  <si>
    <t>=NF($G1641,"Entry No.")</t>
  </si>
  <si>
    <t>=NF($G1642,"Entry No.")</t>
  </si>
  <si>
    <t>=NF($G1643,"Entry No.")</t>
  </si>
  <si>
    <t>=NF($G1644,"Entry No.")</t>
  </si>
  <si>
    <t>=NF($G1645,"Entry No.")</t>
  </si>
  <si>
    <t>=NF($G1646,"Entry No.")</t>
  </si>
  <si>
    <t>=NF($G1647,"Entry No.")</t>
  </si>
  <si>
    <t>=NF($G1648,"Entry No.")</t>
  </si>
  <si>
    <t>=NF($G1649,"Entry No.")</t>
  </si>
  <si>
    <t>=NF($G1650,"Entry No.")</t>
  </si>
  <si>
    <t>=NF($G1651,"Entry No.")</t>
  </si>
  <si>
    <t>=NF($G1652,"Entry No.")</t>
  </si>
  <si>
    <t>=NF($G1653,"Entry No.")</t>
  </si>
  <si>
    <t>=NF($G1654,"Entry No.")</t>
  </si>
  <si>
    <t>=NL("Sum","Item Ledger Entry","Quantity","Entry Type","Purchase","Entry No.",I1630,"Location Code",$L$7)</t>
  </si>
  <si>
    <t>=NL("Sum","Item Ledger Entry","Quantity","Entry Type","Purchase","Entry No.",I1631,"Location Code",$L$7)</t>
  </si>
  <si>
    <t>=NL("Sum","Item Ledger Entry","Quantity","Entry Type","Purchase","Entry No.",I1632,"Location Code",$L$7)</t>
  </si>
  <si>
    <t>=NL("Sum","Item Ledger Entry","Quantity","Entry Type","Purchase","Entry No.",I1633,"Location Code",$L$7)</t>
  </si>
  <si>
    <t>=NL("Sum","Item Ledger Entry","Quantity","Entry Type","Purchase","Entry No.",I1634,"Location Code",$L$7)</t>
  </si>
  <si>
    <t>=NL("Sum","Item Ledger Entry","Quantity","Entry Type","Purchase","Entry No.",I1635,"Location Code",$L$7)</t>
  </si>
  <si>
    <t>=NL("Sum","Item Ledger Entry","Quantity","Entry Type","Purchase","Entry No.",I1636,"Location Code",$L$7)</t>
  </si>
  <si>
    <t>=NL("Sum","Item Ledger Entry","Quantity","Entry Type","Purchase","Entry No.",I1637,"Location Code",$L$7)</t>
  </si>
  <si>
    <t>=NL("Sum","Item Ledger Entry","Quantity","Entry Type","Purchase","Entry No.",I1638,"Location Code",$L$7)</t>
  </si>
  <si>
    <t>=NL("Sum","Item Ledger Entry","Quantity","Entry Type","Purchase","Entry No.",I1639,"Location Code",$L$7)</t>
  </si>
  <si>
    <t>=NL("Sum","Item Ledger Entry","Quantity","Entry Type","Purchase","Entry No.",I1640,"Location Code",$L$7)</t>
  </si>
  <si>
    <t>=NL("Sum","Item Ledger Entry","Quantity","Entry Type","Purchase","Entry No.",I1641,"Location Code",$L$7)</t>
  </si>
  <si>
    <t>=NL("Sum","Item Ledger Entry","Quantity","Entry Type","Purchase","Entry No.",I1642,"Location Code",$L$7)</t>
  </si>
  <si>
    <t>=NL("Sum","Item Ledger Entry","Quantity","Entry Type","Purchase","Entry No.",I1643,"Location Code",$L$7)</t>
  </si>
  <si>
    <t>=NL("Sum","Item Ledger Entry","Quantity","Entry Type","Purchase","Entry No.",I1644,"Location Code",$L$7)</t>
  </si>
  <si>
    <t>=NL("Sum","Item Ledger Entry","Quantity","Entry Type","Purchase","Entry No.",I1645,"Location Code",$L$7)</t>
  </si>
  <si>
    <t>=NL("Sum","Item Ledger Entry","Quantity","Entry Type","Purchase","Entry No.",I1646,"Location Code",$L$7)</t>
  </si>
  <si>
    <t>=NL("Sum","Item Ledger Entry","Quantity","Entry Type","Purchase","Entry No.",I1647,"Location Code",$L$7)</t>
  </si>
  <si>
    <t>=NL("Sum","Item Ledger Entry","Quantity","Entry Type","Purchase","Entry No.",I1648,"Location Code",$L$7)</t>
  </si>
  <si>
    <t>=NL("Sum","Item Ledger Entry","Quantity","Entry Type","Purchase","Entry No.",I1649,"Location Code",$L$7)</t>
  </si>
  <si>
    <t>=NL("Sum","Item Ledger Entry","Quantity","Entry Type","Purchase","Entry No.",I1650,"Location Code",$L$7)</t>
  </si>
  <si>
    <t>=NL("Sum","Item Ledger Entry","Quantity","Entry Type","Purchase","Entry No.",I1651,"Location Code",$L$7)</t>
  </si>
  <si>
    <t>=NL("Sum","Item Ledger Entry","Quantity","Entry Type","Purchase","Entry No.",I1652,"Location Code",$L$7)</t>
  </si>
  <si>
    <t>=NL("Sum","Item Ledger Entry","Quantity","Entry Type","Purchase","Entry No.",I1653,"Location Code",$L$7)</t>
  </si>
  <si>
    <t>=NL("Sum","Item Ledger Entry","Quantity","Entry Type","Purchase","Entry No.",I1654,"Location Code",$L$7)</t>
  </si>
  <si>
    <t>=NL("Sum","Item Ledger Entry","Quantity","Entry Type","Sale","Entry No.",I1630,"Location Code",$L$7)</t>
  </si>
  <si>
    <t>=NL("Sum","Item Ledger Entry","Quantity","Entry Type","Sale","Entry No.",I1631,"Location Code",$L$7)</t>
  </si>
  <si>
    <t>=NL("Sum","Item Ledger Entry","Quantity","Entry Type","Sale","Entry No.",I1632,"Location Code",$L$7)</t>
  </si>
  <si>
    <t>=NL("Sum","Item Ledger Entry","Quantity","Entry Type","Sale","Entry No.",I1633,"Location Code",$L$7)</t>
  </si>
  <si>
    <t>=NL("Sum","Item Ledger Entry","Quantity","Entry Type","Sale","Entry No.",I1634,"Location Code",$L$7)</t>
  </si>
  <si>
    <t>=NL("Sum","Item Ledger Entry","Quantity","Entry Type","Sale","Entry No.",I1635,"Location Code",$L$7)</t>
  </si>
  <si>
    <t>=NL("Sum","Item Ledger Entry","Quantity","Entry Type","Sale","Entry No.",I1636,"Location Code",$L$7)</t>
  </si>
  <si>
    <t>=NL("Sum","Item Ledger Entry","Quantity","Entry Type","Sale","Entry No.",I1637,"Location Code",$L$7)</t>
  </si>
  <si>
    <t>=NL("Sum","Item Ledger Entry","Quantity","Entry Type","Sale","Entry No.",I1638,"Location Code",$L$7)</t>
  </si>
  <si>
    <t>=NL("Sum","Item Ledger Entry","Quantity","Entry Type","Sale","Entry No.",I1639,"Location Code",$L$7)</t>
  </si>
  <si>
    <t>=NL("Sum","Item Ledger Entry","Quantity","Entry Type","Sale","Entry No.",I1640,"Location Code",$L$7)</t>
  </si>
  <si>
    <t>=NL("Sum","Item Ledger Entry","Quantity","Entry Type","Sale","Entry No.",I1641,"Location Code",$L$7)</t>
  </si>
  <si>
    <t>=NL("Sum","Item Ledger Entry","Quantity","Entry Type","Sale","Entry No.",I1642,"Location Code",$L$7)</t>
  </si>
  <si>
    <t>=NL("Sum","Item Ledger Entry","Quantity","Entry Type","Sale","Entry No.",I1643,"Location Code",$L$7)</t>
  </si>
  <si>
    <t>=NL("Sum","Item Ledger Entry","Quantity","Entry Type","Sale","Entry No.",I1644,"Location Code",$L$7)</t>
  </si>
  <si>
    <t>=NL("Sum","Item Ledger Entry","Quantity","Entry Type","Sale","Entry No.",I1645,"Location Code",$L$7)</t>
  </si>
  <si>
    <t>=NL("Sum","Item Ledger Entry","Quantity","Entry Type","Sale","Entry No.",I1646,"Location Code",$L$7)</t>
  </si>
  <si>
    <t>=NL("Sum","Item Ledger Entry","Quantity","Entry Type","Sale","Entry No.",I1647,"Location Code",$L$7)</t>
  </si>
  <si>
    <t>=NL("Sum","Item Ledger Entry","Quantity","Entry Type","Sale","Entry No.",I1648,"Location Code",$L$7)</t>
  </si>
  <si>
    <t>=NL("Sum","Item Ledger Entry","Quantity","Entry Type","Sale","Entry No.",I1649,"Location Code",$L$7)</t>
  </si>
  <si>
    <t>=NL("Sum","Item Ledger Entry","Quantity","Entry Type","Sale","Entry No.",I1650,"Location Code",$L$7)</t>
  </si>
  <si>
    <t>=NL("Sum","Item Ledger Entry","Quantity","Entry Type","Sale","Entry No.",I1651,"Location Code",$L$7)</t>
  </si>
  <si>
    <t>=NL("Sum","Item Ledger Entry","Quantity","Entry Type","Sale","Entry No.",I1652,"Location Code",$L$7)</t>
  </si>
  <si>
    <t>=NL("Sum","Item Ledger Entry","Quantity","Entry Type","Sale","Entry No.",I1653,"Location Code",$L$7)</t>
  </si>
  <si>
    <t>=NL("Sum","Item Ledger Entry","Quantity","Entry Type","Sale","Entry No.",I1654,"Location Code",$L$7)</t>
  </si>
  <si>
    <t>=NL("Sum","Item Ledger Entry","Quantity","Entry Type","Positive Adjmt.|Negative Adjmt.","Entry No.",I1630,"Location Code",$L$7)</t>
  </si>
  <si>
    <t>=NL("Sum","Item Ledger Entry","Quantity","Entry Type","Positive Adjmt.|Negative Adjmt.","Entry No.",I1631,"Location Code",$L$7)</t>
  </si>
  <si>
    <t>=NL("Sum","Item Ledger Entry","Quantity","Entry Type","Positive Adjmt.|Negative Adjmt.","Entry No.",I1632,"Location Code",$L$7)</t>
  </si>
  <si>
    <t>=NL("Sum","Item Ledger Entry","Quantity","Entry Type","Positive Adjmt.|Negative Adjmt.","Entry No.",I1633,"Location Code",$L$7)</t>
  </si>
  <si>
    <t>=NL("Sum","Item Ledger Entry","Quantity","Entry Type","Positive Adjmt.|Negative Adjmt.","Entry No.",I1634,"Location Code",$L$7)</t>
  </si>
  <si>
    <t>=NL("Sum","Item Ledger Entry","Quantity","Entry Type","Positive Adjmt.|Negative Adjmt.","Entry No.",I1635,"Location Code",$L$7)</t>
  </si>
  <si>
    <t>=NL("Sum","Item Ledger Entry","Quantity","Entry Type","Positive Adjmt.|Negative Adjmt.","Entry No.",I1636,"Location Code",$L$7)</t>
  </si>
  <si>
    <t>=NL("Sum","Item Ledger Entry","Quantity","Entry Type","Positive Adjmt.|Negative Adjmt.","Entry No.",I1637,"Location Code",$L$7)</t>
  </si>
  <si>
    <t>=NL("Sum","Item Ledger Entry","Quantity","Entry Type","Positive Adjmt.|Negative Adjmt.","Entry No.",I1638,"Location Code",$L$7)</t>
  </si>
  <si>
    <t>=NL("Sum","Item Ledger Entry","Quantity","Entry Type","Positive Adjmt.|Negative Adjmt.","Entry No.",I1639,"Location Code",$L$7)</t>
  </si>
  <si>
    <t>=NL("Sum","Item Ledger Entry","Quantity","Entry Type","Positive Adjmt.|Negative Adjmt.","Entry No.",I1640,"Location Code",$L$7)</t>
  </si>
  <si>
    <t>=NL("Sum","Item Ledger Entry","Quantity","Entry Type","Positive Adjmt.|Negative Adjmt.","Entry No.",I1641,"Location Code",$L$7)</t>
  </si>
  <si>
    <t>=NL("Sum","Item Ledger Entry","Quantity","Entry Type","Positive Adjmt.|Negative Adjmt.","Entry No.",I1642,"Location Code",$L$7)</t>
  </si>
  <si>
    <t>=NL("Sum","Item Ledger Entry","Quantity","Entry Type","Positive Adjmt.|Negative Adjmt.","Entry No.",I1643,"Location Code",$L$7)</t>
  </si>
  <si>
    <t>=NL("Sum","Item Ledger Entry","Quantity","Entry Type","Positive Adjmt.|Negative Adjmt.","Entry No.",I1644,"Location Code",$L$7)</t>
  </si>
  <si>
    <t>=NL("Sum","Item Ledger Entry","Quantity","Entry Type","Positive Adjmt.|Negative Adjmt.","Entry No.",I1645,"Location Code",$L$7)</t>
  </si>
  <si>
    <t>=NL("Sum","Item Ledger Entry","Quantity","Entry Type","Positive Adjmt.|Negative Adjmt.","Entry No.",I1646,"Location Code",$L$7)</t>
  </si>
  <si>
    <t>=NL("Sum","Item Ledger Entry","Quantity","Entry Type","Positive Adjmt.|Negative Adjmt.","Entry No.",I1647,"Location Code",$L$7)</t>
  </si>
  <si>
    <t>=NL("Sum","Item Ledger Entry","Quantity","Entry Type","Positive Adjmt.|Negative Adjmt.","Entry No.",I1648,"Location Code",$L$7)</t>
  </si>
  <si>
    <t>=NL("Sum","Item Ledger Entry","Quantity","Entry Type","Positive Adjmt.|Negative Adjmt.","Entry No.",I1649,"Location Code",$L$7)</t>
  </si>
  <si>
    <t>=NL("Sum","Item Ledger Entry","Quantity","Entry Type","Positive Adjmt.|Negative Adjmt.","Entry No.",I1650,"Location Code",$L$7)</t>
  </si>
  <si>
    <t>=NL("Sum","Item Ledger Entry","Quantity","Entry Type","Positive Adjmt.|Negative Adjmt.","Entry No.",I1651,"Location Code",$L$7)</t>
  </si>
  <si>
    <t>=NL("Sum","Item Ledger Entry","Quantity","Entry Type","Positive Adjmt.|Negative Adjmt.","Entry No.",I1652,"Location Code",$L$7)</t>
  </si>
  <si>
    <t>=NL("Sum","Item Ledger Entry","Quantity","Entry Type","Positive Adjmt.|Negative Adjmt.","Entry No.",I1653,"Location Code",$L$7)</t>
  </si>
  <si>
    <t>=NL("Sum","Item Ledger Entry","Quantity","Entry Type","Positive Adjmt.|Negative Adjmt.","Entry No.",I1654,"Location Code",$L$7)</t>
  </si>
  <si>
    <t>=NL("Sum","Item Ledger Entry","Quantity","Entry Type","Transfer","Entry No.",I1630,"Location Code",$L$7)</t>
  </si>
  <si>
    <t>=NL("Sum","Item Ledger Entry","Quantity","Entry Type","Transfer","Entry No.",I1631,"Location Code",$L$7)</t>
  </si>
  <si>
    <t>=NL("Sum","Item Ledger Entry","Quantity","Entry Type","Transfer","Entry No.",I1632,"Location Code",$L$7)</t>
  </si>
  <si>
    <t>=NL("Sum","Item Ledger Entry","Quantity","Entry Type","Transfer","Entry No.",I1633,"Location Code",$L$7)</t>
  </si>
  <si>
    <t>=NL("Sum","Item Ledger Entry","Quantity","Entry Type","Transfer","Entry No.",I1634,"Location Code",$L$7)</t>
  </si>
  <si>
    <t>=NL("Sum","Item Ledger Entry","Quantity","Entry Type","Transfer","Entry No.",I1635,"Location Code",$L$7)</t>
  </si>
  <si>
    <t>=NL("Sum","Item Ledger Entry","Quantity","Entry Type","Transfer","Entry No.",I1636,"Location Code",$L$7)</t>
  </si>
  <si>
    <t>=NL("Sum","Item Ledger Entry","Quantity","Entry Type","Transfer","Entry No.",I1637,"Location Code",$L$7)</t>
  </si>
  <si>
    <t>=NL("Sum","Item Ledger Entry","Quantity","Entry Type","Transfer","Entry No.",I1638,"Location Code",$L$7)</t>
  </si>
  <si>
    <t>=NL("Sum","Item Ledger Entry","Quantity","Entry Type","Transfer","Entry No.",I1639,"Location Code",$L$7)</t>
  </si>
  <si>
    <t>=NL("Sum","Item Ledger Entry","Quantity","Entry Type","Transfer","Entry No.",I1640,"Location Code",$L$7)</t>
  </si>
  <si>
    <t>=NL("Sum","Item Ledger Entry","Quantity","Entry Type","Transfer","Entry No.",I1641,"Location Code",$L$7)</t>
  </si>
  <si>
    <t>=NL("Sum","Item Ledger Entry","Quantity","Entry Type","Transfer","Entry No.",I1642,"Location Code",$L$7)</t>
  </si>
  <si>
    <t>=NL("Sum","Item Ledger Entry","Quantity","Entry Type","Transfer","Entry No.",I1643,"Location Code",$L$7)</t>
  </si>
  <si>
    <t>=NL("Sum","Item Ledger Entry","Quantity","Entry Type","Transfer","Entry No.",I1644,"Location Code",$L$7)</t>
  </si>
  <si>
    <t>=NL("Sum","Item Ledger Entry","Quantity","Entry Type","Transfer","Entry No.",I1645,"Location Code",$L$7)</t>
  </si>
  <si>
    <t>=NL("Sum","Item Ledger Entry","Quantity","Entry Type","Transfer","Entry No.",I1646,"Location Code",$L$7)</t>
  </si>
  <si>
    <t>=NL("Sum","Item Ledger Entry","Quantity","Entry Type","Transfer","Entry No.",I1647,"Location Code",$L$7)</t>
  </si>
  <si>
    <t>=NL("Sum","Item Ledger Entry","Quantity","Entry Type","Transfer","Entry No.",I1648,"Location Code",$L$7)</t>
  </si>
  <si>
    <t>=NL("Sum","Item Ledger Entry","Quantity","Entry Type","Transfer","Entry No.",I1649,"Location Code",$L$7)</t>
  </si>
  <si>
    <t>=NL("Sum","Item Ledger Entry","Quantity","Entry Type","Transfer","Entry No.",I1650,"Location Code",$L$7)</t>
  </si>
  <si>
    <t>=NL("Sum","Item Ledger Entry","Quantity","Entry Type","Transfer","Entry No.",I1651,"Location Code",$L$7)</t>
  </si>
  <si>
    <t>=NL("Sum","Item Ledger Entry","Quantity","Entry Type","Transfer","Entry No.",I1652,"Location Code",$L$7)</t>
  </si>
  <si>
    <t>=NL("Sum","Item Ledger Entry","Quantity","Entry Type","Transfer","Entry No.",I1653,"Location Code",$L$7)</t>
  </si>
  <si>
    <t>=NL("Sum","Item Ledger Entry","Quantity","Entry Type","Transfer","Entry No.",I1654,"Location Code",$L$7)</t>
  </si>
  <si>
    <t>=NL("Sum","Item Ledger Entry","Quantity","Entry Type","Consumption","Entry No.",I1630,"Location Code",$L$7)</t>
  </si>
  <si>
    <t>=NL("Sum","Item Ledger Entry","Quantity","Entry Type","Consumption","Entry No.",I1631,"Location Code",$L$7)</t>
  </si>
  <si>
    <t>=NL("Sum","Item Ledger Entry","Quantity","Entry Type","Consumption","Entry No.",I1632,"Location Code",$L$7)</t>
  </si>
  <si>
    <t>=NL("Sum","Item Ledger Entry","Quantity","Entry Type","Consumption","Entry No.",I1633,"Location Code",$L$7)</t>
  </si>
  <si>
    <t>=NL("Sum","Item Ledger Entry","Quantity","Entry Type","Consumption","Entry No.",I1634,"Location Code",$L$7)</t>
  </si>
  <si>
    <t>=NL("Sum","Item Ledger Entry","Quantity","Entry Type","Consumption","Entry No.",I1635,"Location Code",$L$7)</t>
  </si>
  <si>
    <t>=NL("Sum","Item Ledger Entry","Quantity","Entry Type","Consumption","Entry No.",I1636,"Location Code",$L$7)</t>
  </si>
  <si>
    <t>=NL("Sum","Item Ledger Entry","Quantity","Entry Type","Consumption","Entry No.",I1637,"Location Code",$L$7)</t>
  </si>
  <si>
    <t>=NL("Sum","Item Ledger Entry","Quantity","Entry Type","Consumption","Entry No.",I1638,"Location Code",$L$7)</t>
  </si>
  <si>
    <t>=NL("Sum","Item Ledger Entry","Quantity","Entry Type","Consumption","Entry No.",I1639,"Location Code",$L$7)</t>
  </si>
  <si>
    <t>=NL("Sum","Item Ledger Entry","Quantity","Entry Type","Consumption","Entry No.",I1640,"Location Code",$L$7)</t>
  </si>
  <si>
    <t>=NL("Sum","Item Ledger Entry","Quantity","Entry Type","Consumption","Entry No.",I1641,"Location Code",$L$7)</t>
  </si>
  <si>
    <t>=NL("Sum","Item Ledger Entry","Quantity","Entry Type","Consumption","Entry No.",I1642,"Location Code",$L$7)</t>
  </si>
  <si>
    <t>=NL("Sum","Item Ledger Entry","Quantity","Entry Type","Consumption","Entry No.",I1643,"Location Code",$L$7)</t>
  </si>
  <si>
    <t>=NL("Sum","Item Ledger Entry","Quantity","Entry Type","Consumption","Entry No.",I1644,"Location Code",$L$7)</t>
  </si>
  <si>
    <t>=NL("Sum","Item Ledger Entry","Quantity","Entry Type","Consumption","Entry No.",I1645,"Location Code",$L$7)</t>
  </si>
  <si>
    <t>=NL("Sum","Item Ledger Entry","Quantity","Entry Type","Consumption","Entry No.",I1646,"Location Code",$L$7)</t>
  </si>
  <si>
    <t>=NL("Sum","Item Ledger Entry","Quantity","Entry Type","Consumption","Entry No.",I1647,"Location Code",$L$7)</t>
  </si>
  <si>
    <t>=NL("Sum","Item Ledger Entry","Quantity","Entry Type","Consumption","Entry No.",I1648,"Location Code",$L$7)</t>
  </si>
  <si>
    <t>=NL("Sum","Item Ledger Entry","Quantity","Entry Type","Consumption","Entry No.",I1649,"Location Code",$L$7)</t>
  </si>
  <si>
    <t>=NL("Sum","Item Ledger Entry","Quantity","Entry Type","Consumption","Entry No.",I1650,"Location Code",$L$7)</t>
  </si>
  <si>
    <t>=NL("Sum","Item Ledger Entry","Quantity","Entry Type","Consumption","Entry No.",I1651,"Location Code",$L$7)</t>
  </si>
  <si>
    <t>=NL("Sum","Item Ledger Entry","Quantity","Entry Type","Consumption","Entry No.",I1652,"Location Code",$L$7)</t>
  </si>
  <si>
    <t>=NL("Sum","Item Ledger Entry","Quantity","Entry Type","Consumption","Entry No.",I1653,"Location Code",$L$7)</t>
  </si>
  <si>
    <t>=NL("Sum","Item Ledger Entry","Quantity","Entry Type","Consumption","Entry No.",I1654,"Location Code",$L$7)</t>
  </si>
  <si>
    <t>=NL("Sum","Item Ledger Entry","Quantity","Entry Type","Output","Entry No.",I1630,"Location Code",$L$7)</t>
  </si>
  <si>
    <t>=NL("Sum","Item Ledger Entry","Quantity","Entry Type","Output","Entry No.",I1631,"Location Code",$L$7)</t>
  </si>
  <si>
    <t>=NL("Sum","Item Ledger Entry","Quantity","Entry Type","Output","Entry No.",I1632,"Location Code",$L$7)</t>
  </si>
  <si>
    <t>=NL("Sum","Item Ledger Entry","Quantity","Entry Type","Output","Entry No.",I1633,"Location Code",$L$7)</t>
  </si>
  <si>
    <t>=NL("Sum","Item Ledger Entry","Quantity","Entry Type","Output","Entry No.",I1634,"Location Code",$L$7)</t>
  </si>
  <si>
    <t>=NL("Sum","Item Ledger Entry","Quantity","Entry Type","Output","Entry No.",I1635,"Location Code",$L$7)</t>
  </si>
  <si>
    <t>=NL("Sum","Item Ledger Entry","Quantity","Entry Type","Output","Entry No.",I1636,"Location Code",$L$7)</t>
  </si>
  <si>
    <t>=NL("Sum","Item Ledger Entry","Quantity","Entry Type","Output","Entry No.",I1637,"Location Code",$L$7)</t>
  </si>
  <si>
    <t>=NL("Sum","Item Ledger Entry","Quantity","Entry Type","Output","Entry No.",I1638,"Location Code",$L$7)</t>
  </si>
  <si>
    <t>=NL("Sum","Item Ledger Entry","Quantity","Entry Type","Output","Entry No.",I1639,"Location Code",$L$7)</t>
  </si>
  <si>
    <t>=NL("Sum","Item Ledger Entry","Quantity","Entry Type","Output","Entry No.",I1640,"Location Code",$L$7)</t>
  </si>
  <si>
    <t>=NL("Sum","Item Ledger Entry","Quantity","Entry Type","Output","Entry No.",I1641,"Location Code",$L$7)</t>
  </si>
  <si>
    <t>=NL("Sum","Item Ledger Entry","Quantity","Entry Type","Output","Entry No.",I1642,"Location Code",$L$7)</t>
  </si>
  <si>
    <t>=NL("Sum","Item Ledger Entry","Quantity","Entry Type","Output","Entry No.",I1643,"Location Code",$L$7)</t>
  </si>
  <si>
    <t>=NL("Sum","Item Ledger Entry","Quantity","Entry Type","Output","Entry No.",I1644,"Location Code",$L$7)</t>
  </si>
  <si>
    <t>=NL("Sum","Item Ledger Entry","Quantity","Entry Type","Output","Entry No.",I1645,"Location Code",$L$7)</t>
  </si>
  <si>
    <t>=NL("Sum","Item Ledger Entry","Quantity","Entry Type","Output","Entry No.",I1646,"Location Code",$L$7)</t>
  </si>
  <si>
    <t>=NL("Sum","Item Ledger Entry","Quantity","Entry Type","Output","Entry No.",I1647,"Location Code",$L$7)</t>
  </si>
  <si>
    <t>=NL("Sum","Item Ledger Entry","Quantity","Entry Type","Output","Entry No.",I1648,"Location Code",$L$7)</t>
  </si>
  <si>
    <t>=NL("Sum","Item Ledger Entry","Quantity","Entry Type","Output","Entry No.",I1649,"Location Code",$L$7)</t>
  </si>
  <si>
    <t>=NL("Sum","Item Ledger Entry","Quantity","Entry Type","Output","Entry No.",I1650,"Location Code",$L$7)</t>
  </si>
  <si>
    <t>=NL("Sum","Item Ledger Entry","Quantity","Entry Type","Output","Entry No.",I1651,"Location Code",$L$7)</t>
  </si>
  <si>
    <t>=NL("Sum","Item Ledger Entry","Quantity","Entry Type","Output","Entry No.",I1652,"Location Code",$L$7)</t>
  </si>
  <si>
    <t>=NL("Sum","Item Ledger Entry","Quantity","Entry Type","Output","Entry No.",I1653,"Location Code",$L$7)</t>
  </si>
  <si>
    <t>=NL("Sum","Item Ledger Entry","Quantity","Entry Type","Output","Entry No.",I1654,"Location Code",$L$7)</t>
  </si>
  <si>
    <t>=NF(G1630,"Source Type")</t>
  </si>
  <si>
    <t>=NF(G1631,"Source Type")</t>
  </si>
  <si>
    <t>=NF(G1632,"Source Type")</t>
  </si>
  <si>
    <t>=NF(G1633,"Source Type")</t>
  </si>
  <si>
    <t>=NF(G1634,"Source Type")</t>
  </si>
  <si>
    <t>=NF(G1635,"Source Type")</t>
  </si>
  <si>
    <t>=NF(G1636,"Source Type")</t>
  </si>
  <si>
    <t>=NF(G1637,"Source Type")</t>
  </si>
  <si>
    <t>=NF(G1638,"Source Type")</t>
  </si>
  <si>
    <t>=NF(G1639,"Source Type")</t>
  </si>
  <si>
    <t>=NF(G1640,"Source Type")</t>
  </si>
  <si>
    <t>=NF(G1641,"Source Type")</t>
  </si>
  <si>
    <t>=NF(G1642,"Source Type")</t>
  </si>
  <si>
    <t>=NF(G1643,"Source Type")</t>
  </si>
  <si>
    <t>=NF(G1644,"Source Type")</t>
  </si>
  <si>
    <t>=NF(G1645,"Source Type")</t>
  </si>
  <si>
    <t>=NF(G1646,"Source Type")</t>
  </si>
  <si>
    <t>=NF(G1647,"Source Type")</t>
  </si>
  <si>
    <t>=NF(G1648,"Source Type")</t>
  </si>
  <si>
    <t>=NF(G1649,"Source Type")</t>
  </si>
  <si>
    <t>=NF(G1650,"Source Type")</t>
  </si>
  <si>
    <t>=NF(G1651,"Source Type")</t>
  </si>
  <si>
    <t>=NF(G1652,"Source Type")</t>
  </si>
  <si>
    <t>=NF(G1653,"Source Type")</t>
  </si>
  <si>
    <t>=NF(G1654,"Source Type")</t>
  </si>
  <si>
    <t>=NF($G1630,"Source No.")</t>
  </si>
  <si>
    <t>=NF($G1631,"Source No.")</t>
  </si>
  <si>
    <t>=NF($G1632,"Source No.")</t>
  </si>
  <si>
    <t>=NF($G1633,"Source No.")</t>
  </si>
  <si>
    <t>=NF($G1634,"Source No.")</t>
  </si>
  <si>
    <t>=NF($G1635,"Source No.")</t>
  </si>
  <si>
    <t>=NF($G1636,"Source No.")</t>
  </si>
  <si>
    <t>=NF($G1637,"Source No.")</t>
  </si>
  <si>
    <t>=NF($G1638,"Source No.")</t>
  </si>
  <si>
    <t>=NF($G1639,"Source No.")</t>
  </si>
  <si>
    <t>=NF($G1640,"Source No.")</t>
  </si>
  <si>
    <t>=NF($G1641,"Source No.")</t>
  </si>
  <si>
    <t>=NF($G1642,"Source No.")</t>
  </si>
  <si>
    <t>=NF($G1643,"Source No.")</t>
  </si>
  <si>
    <t>=NF($G1644,"Source No.")</t>
  </si>
  <si>
    <t>=NF($G1645,"Source No.")</t>
  </si>
  <si>
    <t>=NF($G1646,"Source No.")</t>
  </si>
  <si>
    <t>=NF($G1647,"Source No.")</t>
  </si>
  <si>
    <t>=NF($G1648,"Source No.")</t>
  </si>
  <si>
    <t>=NF($G1649,"Source No.")</t>
  </si>
  <si>
    <t>=NF($G1650,"Source No.")</t>
  </si>
  <si>
    <t>=NF($G1651,"Source No.")</t>
  </si>
  <si>
    <t>=NF($G1652,"Source No.")</t>
  </si>
  <si>
    <t>=NF($G1653,"Source No.")</t>
  </si>
  <si>
    <t>=NF($G1654,"Source No.")</t>
  </si>
  <si>
    <t>=NF($G1620,"Posting Date")</t>
  </si>
  <si>
    <t>=NF($G1621,"Posting Date")</t>
  </si>
  <si>
    <t>=NF($G1622,"Posting Date")</t>
  </si>
  <si>
    <t>=NF($G1623,"Posting Date")</t>
  </si>
  <si>
    <t>=NF($G1624,"Posting Date")</t>
  </si>
  <si>
    <t>=NF($G1625,"Posting Date")</t>
  </si>
  <si>
    <t>=NF($G1626,"Posting Date")</t>
  </si>
  <si>
    <t>=NF($G1620,"Entry No.")</t>
  </si>
  <si>
    <t>=NF($G1621,"Entry No.")</t>
  </si>
  <si>
    <t>=NF($G1622,"Entry No.")</t>
  </si>
  <si>
    <t>=NF($G1623,"Entry No.")</t>
  </si>
  <si>
    <t>=NF($G1624,"Entry No.")</t>
  </si>
  <si>
    <t>=NF($G1625,"Entry No.")</t>
  </si>
  <si>
    <t>=NF($G1626,"Entry No.")</t>
  </si>
  <si>
    <t>=NL("Sum","Item Ledger Entry","Quantity","Entry Type","Purchase","Entry No.",I1620,"Location Code",$L$7)</t>
  </si>
  <si>
    <t>=NL("Sum","Item Ledger Entry","Quantity","Entry Type","Purchase","Entry No.",I1621,"Location Code",$L$7)</t>
  </si>
  <si>
    <t>=NL("Sum","Item Ledger Entry","Quantity","Entry Type","Purchase","Entry No.",I1622,"Location Code",$L$7)</t>
  </si>
  <si>
    <t>=NL("Sum","Item Ledger Entry","Quantity","Entry Type","Purchase","Entry No.",I1623,"Location Code",$L$7)</t>
  </si>
  <si>
    <t>=NL("Sum","Item Ledger Entry","Quantity","Entry Type","Purchase","Entry No.",I1624,"Location Code",$L$7)</t>
  </si>
  <si>
    <t>=NL("Sum","Item Ledger Entry","Quantity","Entry Type","Purchase","Entry No.",I1625,"Location Code",$L$7)</t>
  </si>
  <si>
    <t>=NL("Sum","Item Ledger Entry","Quantity","Entry Type","Purchase","Entry No.",I1626,"Location Code",$L$7)</t>
  </si>
  <si>
    <t>=NL("Sum","Item Ledger Entry","Quantity","Entry Type","Sale","Entry No.",I1620,"Location Code",$L$7)</t>
  </si>
  <si>
    <t>=NL("Sum","Item Ledger Entry","Quantity","Entry Type","Sale","Entry No.",I1621,"Location Code",$L$7)</t>
  </si>
  <si>
    <t>=NL("Sum","Item Ledger Entry","Quantity","Entry Type","Sale","Entry No.",I1622,"Location Code",$L$7)</t>
  </si>
  <si>
    <t>=NL("Sum","Item Ledger Entry","Quantity","Entry Type","Sale","Entry No.",I1623,"Location Code",$L$7)</t>
  </si>
  <si>
    <t>=NL("Sum","Item Ledger Entry","Quantity","Entry Type","Sale","Entry No.",I1624,"Location Code",$L$7)</t>
  </si>
  <si>
    <t>=NL("Sum","Item Ledger Entry","Quantity","Entry Type","Sale","Entry No.",I1625,"Location Code",$L$7)</t>
  </si>
  <si>
    <t>=NL("Sum","Item Ledger Entry","Quantity","Entry Type","Sale","Entry No.",I1626,"Location Code",$L$7)</t>
  </si>
  <si>
    <t>=NL("Sum","Item Ledger Entry","Quantity","Entry Type","Positive Adjmt.|Negative Adjmt.","Entry No.",I1620,"Location Code",$L$7)</t>
  </si>
  <si>
    <t>=NL("Sum","Item Ledger Entry","Quantity","Entry Type","Positive Adjmt.|Negative Adjmt.","Entry No.",I1621,"Location Code",$L$7)</t>
  </si>
  <si>
    <t>=NL("Sum","Item Ledger Entry","Quantity","Entry Type","Positive Adjmt.|Negative Adjmt.","Entry No.",I1622,"Location Code",$L$7)</t>
  </si>
  <si>
    <t>=NL("Sum","Item Ledger Entry","Quantity","Entry Type","Positive Adjmt.|Negative Adjmt.","Entry No.",I1623,"Location Code",$L$7)</t>
  </si>
  <si>
    <t>=NL("Sum","Item Ledger Entry","Quantity","Entry Type","Positive Adjmt.|Negative Adjmt.","Entry No.",I1624,"Location Code",$L$7)</t>
  </si>
  <si>
    <t>=NL("Sum","Item Ledger Entry","Quantity","Entry Type","Positive Adjmt.|Negative Adjmt.","Entry No.",I1625,"Location Code",$L$7)</t>
  </si>
  <si>
    <t>=NL("Sum","Item Ledger Entry","Quantity","Entry Type","Positive Adjmt.|Negative Adjmt.","Entry No.",I1626,"Location Code",$L$7)</t>
  </si>
  <si>
    <t>=NL("Sum","Item Ledger Entry","Quantity","Entry Type","Transfer","Entry No.",I1620,"Location Code",$L$7)</t>
  </si>
  <si>
    <t>=NL("Sum","Item Ledger Entry","Quantity","Entry Type","Transfer","Entry No.",I1621,"Location Code",$L$7)</t>
  </si>
  <si>
    <t>=NL("Sum","Item Ledger Entry","Quantity","Entry Type","Transfer","Entry No.",I1622,"Location Code",$L$7)</t>
  </si>
  <si>
    <t>=NL("Sum","Item Ledger Entry","Quantity","Entry Type","Transfer","Entry No.",I1623,"Location Code",$L$7)</t>
  </si>
  <si>
    <t>=NL("Sum","Item Ledger Entry","Quantity","Entry Type","Transfer","Entry No.",I1624,"Location Code",$L$7)</t>
  </si>
  <si>
    <t>=NL("Sum","Item Ledger Entry","Quantity","Entry Type","Transfer","Entry No.",I1625,"Location Code",$L$7)</t>
  </si>
  <si>
    <t>=NL("Sum","Item Ledger Entry","Quantity","Entry Type","Transfer","Entry No.",I1626,"Location Code",$L$7)</t>
  </si>
  <si>
    <t>=NL("Sum","Item Ledger Entry","Quantity","Entry Type","Consumption","Entry No.",I1620,"Location Code",$L$7)</t>
  </si>
  <si>
    <t>=NL("Sum","Item Ledger Entry","Quantity","Entry Type","Consumption","Entry No.",I1621,"Location Code",$L$7)</t>
  </si>
  <si>
    <t>=NL("Sum","Item Ledger Entry","Quantity","Entry Type","Consumption","Entry No.",I1622,"Location Code",$L$7)</t>
  </si>
  <si>
    <t>=NL("Sum","Item Ledger Entry","Quantity","Entry Type","Consumption","Entry No.",I1623,"Location Code",$L$7)</t>
  </si>
  <si>
    <t>=NL("Sum","Item Ledger Entry","Quantity","Entry Type","Consumption","Entry No.",I1624,"Location Code",$L$7)</t>
  </si>
  <si>
    <t>=NL("Sum","Item Ledger Entry","Quantity","Entry Type","Consumption","Entry No.",I1625,"Location Code",$L$7)</t>
  </si>
  <si>
    <t>=NL("Sum","Item Ledger Entry","Quantity","Entry Type","Consumption","Entry No.",I1626,"Location Code",$L$7)</t>
  </si>
  <si>
    <t>=NL("Sum","Item Ledger Entry","Quantity","Entry Type","Output","Entry No.",I1620,"Location Code",$L$7)</t>
  </si>
  <si>
    <t>=NL("Sum","Item Ledger Entry","Quantity","Entry Type","Output","Entry No.",I1621,"Location Code",$L$7)</t>
  </si>
  <si>
    <t>=NL("Sum","Item Ledger Entry","Quantity","Entry Type","Output","Entry No.",I1622,"Location Code",$L$7)</t>
  </si>
  <si>
    <t>=NL("Sum","Item Ledger Entry","Quantity","Entry Type","Output","Entry No.",I1623,"Location Code",$L$7)</t>
  </si>
  <si>
    <t>=NL("Sum","Item Ledger Entry","Quantity","Entry Type","Output","Entry No.",I1624,"Location Code",$L$7)</t>
  </si>
  <si>
    <t>=NL("Sum","Item Ledger Entry","Quantity","Entry Type","Output","Entry No.",I1625,"Location Code",$L$7)</t>
  </si>
  <si>
    <t>=NL("Sum","Item Ledger Entry","Quantity","Entry Type","Output","Entry No.",I1626,"Location Code",$L$7)</t>
  </si>
  <si>
    <t>=NF(G1620,"Source Type")</t>
  </si>
  <si>
    <t>=NF(G1621,"Source Type")</t>
  </si>
  <si>
    <t>=NF(G1622,"Source Type")</t>
  </si>
  <si>
    <t>=NF(G1623,"Source Type")</t>
  </si>
  <si>
    <t>=NF(G1624,"Source Type")</t>
  </si>
  <si>
    <t>=NF(G1625,"Source Type")</t>
  </si>
  <si>
    <t>=NF(G1626,"Source Type")</t>
  </si>
  <si>
    <t>=NF($G1620,"Source No.")</t>
  </si>
  <si>
    <t>=NF($G1621,"Source No.")</t>
  </si>
  <si>
    <t>=NF($G1622,"Source No.")</t>
  </si>
  <si>
    <t>=NF($G1623,"Source No.")</t>
  </si>
  <si>
    <t>=NF($G1624,"Source No.")</t>
  </si>
  <si>
    <t>=NF($G1625,"Source No.")</t>
  </si>
  <si>
    <t>=NF($G1626,"Source No.")</t>
  </si>
  <si>
    <t>=NF($G1604,"Posting Date")</t>
  </si>
  <si>
    <t>=NF($G1605,"Posting Date")</t>
  </si>
  <si>
    <t>=NF($G1606,"Posting Date")</t>
  </si>
  <si>
    <t>=NF($G1607,"Posting Date")</t>
  </si>
  <si>
    <t>=NF($G1608,"Posting Date")</t>
  </si>
  <si>
    <t>=NF($G1609,"Posting Date")</t>
  </si>
  <si>
    <t>=NF($G1610,"Posting Date")</t>
  </si>
  <si>
    <t>=NF($G1611,"Posting Date")</t>
  </si>
  <si>
    <t>=NF($G1612,"Posting Date")</t>
  </si>
  <si>
    <t>=NF($G1613,"Posting Date")</t>
  </si>
  <si>
    <t>=NF($G1614,"Posting Date")</t>
  </si>
  <si>
    <t>=NF($G1615,"Posting Date")</t>
  </si>
  <si>
    <t>=NF($G1616,"Posting Date")</t>
  </si>
  <si>
    <t>=NF($G1604,"Entry No.")</t>
  </si>
  <si>
    <t>=NF($G1605,"Entry No.")</t>
  </si>
  <si>
    <t>=NF($G1606,"Entry No.")</t>
  </si>
  <si>
    <t>=NF($G1607,"Entry No.")</t>
  </si>
  <si>
    <t>=NF($G1608,"Entry No.")</t>
  </si>
  <si>
    <t>=NF($G1609,"Entry No.")</t>
  </si>
  <si>
    <t>=NF($G1610,"Entry No.")</t>
  </si>
  <si>
    <t>=NF($G1611,"Entry No.")</t>
  </si>
  <si>
    <t>=NF($G1612,"Entry No.")</t>
  </si>
  <si>
    <t>=NF($G1613,"Entry No.")</t>
  </si>
  <si>
    <t>=NF($G1614,"Entry No.")</t>
  </si>
  <si>
    <t>=NF($G1615,"Entry No.")</t>
  </si>
  <si>
    <t>=NF($G1616,"Entry No.")</t>
  </si>
  <si>
    <t>=NL("Sum","Item Ledger Entry","Quantity","Entry Type","Purchase","Entry No.",I1604,"Location Code",$L$7)</t>
  </si>
  <si>
    <t>=NL("Sum","Item Ledger Entry","Quantity","Entry Type","Purchase","Entry No.",I1605,"Location Code",$L$7)</t>
  </si>
  <si>
    <t>=NL("Sum","Item Ledger Entry","Quantity","Entry Type","Purchase","Entry No.",I1606,"Location Code",$L$7)</t>
  </si>
  <si>
    <t>=NL("Sum","Item Ledger Entry","Quantity","Entry Type","Purchase","Entry No.",I1607,"Location Code",$L$7)</t>
  </si>
  <si>
    <t>=NL("Sum","Item Ledger Entry","Quantity","Entry Type","Purchase","Entry No.",I1608,"Location Code",$L$7)</t>
  </si>
  <si>
    <t>=NL("Sum","Item Ledger Entry","Quantity","Entry Type","Purchase","Entry No.",I1609,"Location Code",$L$7)</t>
  </si>
  <si>
    <t>=NL("Sum","Item Ledger Entry","Quantity","Entry Type","Purchase","Entry No.",I1610,"Location Code",$L$7)</t>
  </si>
  <si>
    <t>=NL("Sum","Item Ledger Entry","Quantity","Entry Type","Purchase","Entry No.",I1611,"Location Code",$L$7)</t>
  </si>
  <si>
    <t>=NL("Sum","Item Ledger Entry","Quantity","Entry Type","Purchase","Entry No.",I1612,"Location Code",$L$7)</t>
  </si>
  <si>
    <t>=NL("Sum","Item Ledger Entry","Quantity","Entry Type","Purchase","Entry No.",I1613,"Location Code",$L$7)</t>
  </si>
  <si>
    <t>=NL("Sum","Item Ledger Entry","Quantity","Entry Type","Purchase","Entry No.",I1614,"Location Code",$L$7)</t>
  </si>
  <si>
    <t>=NL("Sum","Item Ledger Entry","Quantity","Entry Type","Purchase","Entry No.",I1615,"Location Code",$L$7)</t>
  </si>
  <si>
    <t>=NL("Sum","Item Ledger Entry","Quantity","Entry Type","Purchase","Entry No.",I1616,"Location Code",$L$7)</t>
  </si>
  <si>
    <t>=NL("Sum","Item Ledger Entry","Quantity","Entry Type","Sale","Entry No.",I1604,"Location Code",$L$7)</t>
  </si>
  <si>
    <t>=NL("Sum","Item Ledger Entry","Quantity","Entry Type","Sale","Entry No.",I1605,"Location Code",$L$7)</t>
  </si>
  <si>
    <t>=NL("Sum","Item Ledger Entry","Quantity","Entry Type","Sale","Entry No.",I1606,"Location Code",$L$7)</t>
  </si>
  <si>
    <t>=NL("Sum","Item Ledger Entry","Quantity","Entry Type","Sale","Entry No.",I1607,"Location Code",$L$7)</t>
  </si>
  <si>
    <t>=NL("Sum","Item Ledger Entry","Quantity","Entry Type","Sale","Entry No.",I1608,"Location Code",$L$7)</t>
  </si>
  <si>
    <t>=NL("Sum","Item Ledger Entry","Quantity","Entry Type","Sale","Entry No.",I1609,"Location Code",$L$7)</t>
  </si>
  <si>
    <t>=NL("Sum","Item Ledger Entry","Quantity","Entry Type","Sale","Entry No.",I1610,"Location Code",$L$7)</t>
  </si>
  <si>
    <t>=NL("Sum","Item Ledger Entry","Quantity","Entry Type","Sale","Entry No.",I1611,"Location Code",$L$7)</t>
  </si>
  <si>
    <t>=NL("Sum","Item Ledger Entry","Quantity","Entry Type","Sale","Entry No.",I1612,"Location Code",$L$7)</t>
  </si>
  <si>
    <t>=NL("Sum","Item Ledger Entry","Quantity","Entry Type","Sale","Entry No.",I1613,"Location Code",$L$7)</t>
  </si>
  <si>
    <t>=NL("Sum","Item Ledger Entry","Quantity","Entry Type","Sale","Entry No.",I1614,"Location Code",$L$7)</t>
  </si>
  <si>
    <t>=NL("Sum","Item Ledger Entry","Quantity","Entry Type","Sale","Entry No.",I1615,"Location Code",$L$7)</t>
  </si>
  <si>
    <t>=NL("Sum","Item Ledger Entry","Quantity","Entry Type","Sale","Entry No.",I1616,"Location Code",$L$7)</t>
  </si>
  <si>
    <t>=NL("Sum","Item Ledger Entry","Quantity","Entry Type","Positive Adjmt.|Negative Adjmt.","Entry No.",I1604,"Location Code",$L$7)</t>
  </si>
  <si>
    <t>=NL("Sum","Item Ledger Entry","Quantity","Entry Type","Positive Adjmt.|Negative Adjmt.","Entry No.",I1605,"Location Code",$L$7)</t>
  </si>
  <si>
    <t>=NL("Sum","Item Ledger Entry","Quantity","Entry Type","Positive Adjmt.|Negative Adjmt.","Entry No.",I1606,"Location Code",$L$7)</t>
  </si>
  <si>
    <t>=NL("Sum","Item Ledger Entry","Quantity","Entry Type","Positive Adjmt.|Negative Adjmt.","Entry No.",I1607,"Location Code",$L$7)</t>
  </si>
  <si>
    <t>=NL("Sum","Item Ledger Entry","Quantity","Entry Type","Positive Adjmt.|Negative Adjmt.","Entry No.",I1608,"Location Code",$L$7)</t>
  </si>
  <si>
    <t>=NL("Sum","Item Ledger Entry","Quantity","Entry Type","Positive Adjmt.|Negative Adjmt.","Entry No.",I1609,"Location Code",$L$7)</t>
  </si>
  <si>
    <t>=NL("Sum","Item Ledger Entry","Quantity","Entry Type","Positive Adjmt.|Negative Adjmt.","Entry No.",I1610,"Location Code",$L$7)</t>
  </si>
  <si>
    <t>=NL("Sum","Item Ledger Entry","Quantity","Entry Type","Positive Adjmt.|Negative Adjmt.","Entry No.",I1611,"Location Code",$L$7)</t>
  </si>
  <si>
    <t>=NL("Sum","Item Ledger Entry","Quantity","Entry Type","Positive Adjmt.|Negative Adjmt.","Entry No.",I1612,"Location Code",$L$7)</t>
  </si>
  <si>
    <t>=NL("Sum","Item Ledger Entry","Quantity","Entry Type","Positive Adjmt.|Negative Adjmt.","Entry No.",I1613,"Location Code",$L$7)</t>
  </si>
  <si>
    <t>=NL("Sum","Item Ledger Entry","Quantity","Entry Type","Positive Adjmt.|Negative Adjmt.","Entry No.",I1614,"Location Code",$L$7)</t>
  </si>
  <si>
    <t>=NL("Sum","Item Ledger Entry","Quantity","Entry Type","Positive Adjmt.|Negative Adjmt.","Entry No.",I1615,"Location Code",$L$7)</t>
  </si>
  <si>
    <t>=NL("Sum","Item Ledger Entry","Quantity","Entry Type","Positive Adjmt.|Negative Adjmt.","Entry No.",I1616,"Location Code",$L$7)</t>
  </si>
  <si>
    <t>=NL("Sum","Item Ledger Entry","Quantity","Entry Type","Transfer","Entry No.",I1604,"Location Code",$L$7)</t>
  </si>
  <si>
    <t>=NL("Sum","Item Ledger Entry","Quantity","Entry Type","Transfer","Entry No.",I1605,"Location Code",$L$7)</t>
  </si>
  <si>
    <t>=NL("Sum","Item Ledger Entry","Quantity","Entry Type","Transfer","Entry No.",I1606,"Location Code",$L$7)</t>
  </si>
  <si>
    <t>=NL("Sum","Item Ledger Entry","Quantity","Entry Type","Transfer","Entry No.",I1607,"Location Code",$L$7)</t>
  </si>
  <si>
    <t>=NL("Sum","Item Ledger Entry","Quantity","Entry Type","Transfer","Entry No.",I1608,"Location Code",$L$7)</t>
  </si>
  <si>
    <t>=NL("Sum","Item Ledger Entry","Quantity","Entry Type","Transfer","Entry No.",I1609,"Location Code",$L$7)</t>
  </si>
  <si>
    <t>=NL("Sum","Item Ledger Entry","Quantity","Entry Type","Transfer","Entry No.",I1610,"Location Code",$L$7)</t>
  </si>
  <si>
    <t>=NL("Sum","Item Ledger Entry","Quantity","Entry Type","Transfer","Entry No.",I1611,"Location Code",$L$7)</t>
  </si>
  <si>
    <t>=NL("Sum","Item Ledger Entry","Quantity","Entry Type","Transfer","Entry No.",I1612,"Location Code",$L$7)</t>
  </si>
  <si>
    <t>=NL("Sum","Item Ledger Entry","Quantity","Entry Type","Transfer","Entry No.",I1613,"Location Code",$L$7)</t>
  </si>
  <si>
    <t>=NL("Sum","Item Ledger Entry","Quantity","Entry Type","Transfer","Entry No.",I1614,"Location Code",$L$7)</t>
  </si>
  <si>
    <t>=NL("Sum","Item Ledger Entry","Quantity","Entry Type","Transfer","Entry No.",I1615,"Location Code",$L$7)</t>
  </si>
  <si>
    <t>=NL("Sum","Item Ledger Entry","Quantity","Entry Type","Transfer","Entry No.",I1616,"Location Code",$L$7)</t>
  </si>
  <si>
    <t>=NL("Sum","Item Ledger Entry","Quantity","Entry Type","Consumption","Entry No.",I1604,"Location Code",$L$7)</t>
  </si>
  <si>
    <t>=NL("Sum","Item Ledger Entry","Quantity","Entry Type","Consumption","Entry No.",I1605,"Location Code",$L$7)</t>
  </si>
  <si>
    <t>=NL("Sum","Item Ledger Entry","Quantity","Entry Type","Consumption","Entry No.",I1606,"Location Code",$L$7)</t>
  </si>
  <si>
    <t>=NL("Sum","Item Ledger Entry","Quantity","Entry Type","Consumption","Entry No.",I1607,"Location Code",$L$7)</t>
  </si>
  <si>
    <t>=NL("Sum","Item Ledger Entry","Quantity","Entry Type","Consumption","Entry No.",I1608,"Location Code",$L$7)</t>
  </si>
  <si>
    <t>=NL("Sum","Item Ledger Entry","Quantity","Entry Type","Consumption","Entry No.",I1609,"Location Code",$L$7)</t>
  </si>
  <si>
    <t>=NL("Sum","Item Ledger Entry","Quantity","Entry Type","Consumption","Entry No.",I1610,"Location Code",$L$7)</t>
  </si>
  <si>
    <t>=NL("Sum","Item Ledger Entry","Quantity","Entry Type","Consumption","Entry No.",I1611,"Location Code",$L$7)</t>
  </si>
  <si>
    <t>=NL("Sum","Item Ledger Entry","Quantity","Entry Type","Consumption","Entry No.",I1612,"Location Code",$L$7)</t>
  </si>
  <si>
    <t>=NL("Sum","Item Ledger Entry","Quantity","Entry Type","Consumption","Entry No.",I1613,"Location Code",$L$7)</t>
  </si>
  <si>
    <t>=NL("Sum","Item Ledger Entry","Quantity","Entry Type","Consumption","Entry No.",I1614,"Location Code",$L$7)</t>
  </si>
  <si>
    <t>=NL("Sum","Item Ledger Entry","Quantity","Entry Type","Consumption","Entry No.",I1615,"Location Code",$L$7)</t>
  </si>
  <si>
    <t>=NL("Sum","Item Ledger Entry","Quantity","Entry Type","Consumption","Entry No.",I1616,"Location Code",$L$7)</t>
  </si>
  <si>
    <t>=NL("Sum","Item Ledger Entry","Quantity","Entry Type","Output","Entry No.",I1604,"Location Code",$L$7)</t>
  </si>
  <si>
    <t>=NL("Sum","Item Ledger Entry","Quantity","Entry Type","Output","Entry No.",I1605,"Location Code",$L$7)</t>
  </si>
  <si>
    <t>=NL("Sum","Item Ledger Entry","Quantity","Entry Type","Output","Entry No.",I1606,"Location Code",$L$7)</t>
  </si>
  <si>
    <t>=NL("Sum","Item Ledger Entry","Quantity","Entry Type","Output","Entry No.",I1607,"Location Code",$L$7)</t>
  </si>
  <si>
    <t>=NL("Sum","Item Ledger Entry","Quantity","Entry Type","Output","Entry No.",I1608,"Location Code",$L$7)</t>
  </si>
  <si>
    <t>=NL("Sum","Item Ledger Entry","Quantity","Entry Type","Output","Entry No.",I1609,"Location Code",$L$7)</t>
  </si>
  <si>
    <t>=NL("Sum","Item Ledger Entry","Quantity","Entry Type","Output","Entry No.",I1610,"Location Code",$L$7)</t>
  </si>
  <si>
    <t>=NL("Sum","Item Ledger Entry","Quantity","Entry Type","Output","Entry No.",I1611,"Location Code",$L$7)</t>
  </si>
  <si>
    <t>=NL("Sum","Item Ledger Entry","Quantity","Entry Type","Output","Entry No.",I1612,"Location Code",$L$7)</t>
  </si>
  <si>
    <t>=NL("Sum","Item Ledger Entry","Quantity","Entry Type","Output","Entry No.",I1613,"Location Code",$L$7)</t>
  </si>
  <si>
    <t>=NL("Sum","Item Ledger Entry","Quantity","Entry Type","Output","Entry No.",I1614,"Location Code",$L$7)</t>
  </si>
  <si>
    <t>=NL("Sum","Item Ledger Entry","Quantity","Entry Type","Output","Entry No.",I1615,"Location Code",$L$7)</t>
  </si>
  <si>
    <t>=NL("Sum","Item Ledger Entry","Quantity","Entry Type","Output","Entry No.",I1616,"Location Code",$L$7)</t>
  </si>
  <si>
    <t>=NF(G1604,"Source Type")</t>
  </si>
  <si>
    <t>=NF(G1605,"Source Type")</t>
  </si>
  <si>
    <t>=NF(G1606,"Source Type")</t>
  </si>
  <si>
    <t>=NF(G1607,"Source Type")</t>
  </si>
  <si>
    <t>=NF(G1608,"Source Type")</t>
  </si>
  <si>
    <t>=NF(G1609,"Source Type")</t>
  </si>
  <si>
    <t>=NF(G1610,"Source Type")</t>
  </si>
  <si>
    <t>=NF(G1611,"Source Type")</t>
  </si>
  <si>
    <t>=NF(G1612,"Source Type")</t>
  </si>
  <si>
    <t>=NF(G1613,"Source Type")</t>
  </si>
  <si>
    <t>=NF(G1614,"Source Type")</t>
  </si>
  <si>
    <t>=NF(G1615,"Source Type")</t>
  </si>
  <si>
    <t>=NF(G1616,"Source Type")</t>
  </si>
  <si>
    <t>=NF($G1604,"Source No.")</t>
  </si>
  <si>
    <t>=NF($G1605,"Source No.")</t>
  </si>
  <si>
    <t>=NF($G1606,"Source No.")</t>
  </si>
  <si>
    <t>=NF($G1607,"Source No.")</t>
  </si>
  <si>
    <t>=NF($G1608,"Source No.")</t>
  </si>
  <si>
    <t>=NF($G1609,"Source No.")</t>
  </si>
  <si>
    <t>=NF($G1610,"Source No.")</t>
  </si>
  <si>
    <t>=NF($G1611,"Source No.")</t>
  </si>
  <si>
    <t>=NF($G1612,"Source No.")</t>
  </si>
  <si>
    <t>=NF($G1613,"Source No.")</t>
  </si>
  <si>
    <t>=NF($G1614,"Source No.")</t>
  </si>
  <si>
    <t>=NF($G1615,"Source No.")</t>
  </si>
  <si>
    <t>=NF($G1616,"Source No.")</t>
  </si>
  <si>
    <t>=NF($G1588,"Posting Date")</t>
  </si>
  <si>
    <t>=NF($G1589,"Posting Date")</t>
  </si>
  <si>
    <t>=NF($G1590,"Posting Date")</t>
  </si>
  <si>
    <t>=NF($G1591,"Posting Date")</t>
  </si>
  <si>
    <t>=NF($G1592,"Posting Date")</t>
  </si>
  <si>
    <t>=NF($G1593,"Posting Date")</t>
  </si>
  <si>
    <t>=NF($G1594,"Posting Date")</t>
  </si>
  <si>
    <t>=NF($G1595,"Posting Date")</t>
  </si>
  <si>
    <t>=NF($G1596,"Posting Date")</t>
  </si>
  <si>
    <t>=NF($G1597,"Posting Date")</t>
  </si>
  <si>
    <t>=NF($G1598,"Posting Date")</t>
  </si>
  <si>
    <t>=NF($G1599,"Posting Date")</t>
  </si>
  <si>
    <t>=NF($G1600,"Posting Date")</t>
  </si>
  <si>
    <t>=NF($G1588,"Entry No.")</t>
  </si>
  <si>
    <t>=NF($G1589,"Entry No.")</t>
  </si>
  <si>
    <t>=NF($G1590,"Entry No.")</t>
  </si>
  <si>
    <t>=NF($G1591,"Entry No.")</t>
  </si>
  <si>
    <t>=NF($G1592,"Entry No.")</t>
  </si>
  <si>
    <t>=NF($G1593,"Entry No.")</t>
  </si>
  <si>
    <t>=NF($G1594,"Entry No.")</t>
  </si>
  <si>
    <t>=NF($G1595,"Entry No.")</t>
  </si>
  <si>
    <t>=NF($G1596,"Entry No.")</t>
  </si>
  <si>
    <t>=NF($G1597,"Entry No.")</t>
  </si>
  <si>
    <t>=NF($G1598,"Entry No.")</t>
  </si>
  <si>
    <t>=NF($G1599,"Entry No.")</t>
  </si>
  <si>
    <t>=NF($G1600,"Entry No.")</t>
  </si>
  <si>
    <t>=NL("Sum","Item Ledger Entry","Quantity","Entry Type","Purchase","Entry No.",I1588,"Location Code",$L$7)</t>
  </si>
  <si>
    <t>=NL("Sum","Item Ledger Entry","Quantity","Entry Type","Purchase","Entry No.",I1589,"Location Code",$L$7)</t>
  </si>
  <si>
    <t>=NL("Sum","Item Ledger Entry","Quantity","Entry Type","Purchase","Entry No.",I1590,"Location Code",$L$7)</t>
  </si>
  <si>
    <t>=NL("Sum","Item Ledger Entry","Quantity","Entry Type","Purchase","Entry No.",I1591,"Location Code",$L$7)</t>
  </si>
  <si>
    <t>=NL("Sum","Item Ledger Entry","Quantity","Entry Type","Purchase","Entry No.",I1592,"Location Code",$L$7)</t>
  </si>
  <si>
    <t>=NL("Sum","Item Ledger Entry","Quantity","Entry Type","Purchase","Entry No.",I1593,"Location Code",$L$7)</t>
  </si>
  <si>
    <t>=NL("Sum","Item Ledger Entry","Quantity","Entry Type","Purchase","Entry No.",I1594,"Location Code",$L$7)</t>
  </si>
  <si>
    <t>=NL("Sum","Item Ledger Entry","Quantity","Entry Type","Purchase","Entry No.",I1595,"Location Code",$L$7)</t>
  </si>
  <si>
    <t>=NL("Sum","Item Ledger Entry","Quantity","Entry Type","Purchase","Entry No.",I1596,"Location Code",$L$7)</t>
  </si>
  <si>
    <t>=NL("Sum","Item Ledger Entry","Quantity","Entry Type","Purchase","Entry No.",I1597,"Location Code",$L$7)</t>
  </si>
  <si>
    <t>=NL("Sum","Item Ledger Entry","Quantity","Entry Type","Purchase","Entry No.",I1598,"Location Code",$L$7)</t>
  </si>
  <si>
    <t>=NL("Sum","Item Ledger Entry","Quantity","Entry Type","Purchase","Entry No.",I1599,"Location Code",$L$7)</t>
  </si>
  <si>
    <t>=NL("Sum","Item Ledger Entry","Quantity","Entry Type","Purchase","Entry No.",I1600,"Location Code",$L$7)</t>
  </si>
  <si>
    <t>=NL("Sum","Item Ledger Entry","Quantity","Entry Type","Sale","Entry No.",I1588,"Location Code",$L$7)</t>
  </si>
  <si>
    <t>=NL("Sum","Item Ledger Entry","Quantity","Entry Type","Sale","Entry No.",I1589,"Location Code",$L$7)</t>
  </si>
  <si>
    <t>=NL("Sum","Item Ledger Entry","Quantity","Entry Type","Sale","Entry No.",I1590,"Location Code",$L$7)</t>
  </si>
  <si>
    <t>=NL("Sum","Item Ledger Entry","Quantity","Entry Type","Sale","Entry No.",I1591,"Location Code",$L$7)</t>
  </si>
  <si>
    <t>=NL("Sum","Item Ledger Entry","Quantity","Entry Type","Sale","Entry No.",I1592,"Location Code",$L$7)</t>
  </si>
  <si>
    <t>=NL("Sum","Item Ledger Entry","Quantity","Entry Type","Sale","Entry No.",I1593,"Location Code",$L$7)</t>
  </si>
  <si>
    <t>=NL("Sum","Item Ledger Entry","Quantity","Entry Type","Sale","Entry No.",I1594,"Location Code",$L$7)</t>
  </si>
  <si>
    <t>=NL("Sum","Item Ledger Entry","Quantity","Entry Type","Sale","Entry No.",I1595,"Location Code",$L$7)</t>
  </si>
  <si>
    <t>=NL("Sum","Item Ledger Entry","Quantity","Entry Type","Sale","Entry No.",I1596,"Location Code",$L$7)</t>
  </si>
  <si>
    <t>=NL("Sum","Item Ledger Entry","Quantity","Entry Type","Sale","Entry No.",I1597,"Location Code",$L$7)</t>
  </si>
  <si>
    <t>=NL("Sum","Item Ledger Entry","Quantity","Entry Type","Sale","Entry No.",I1598,"Location Code",$L$7)</t>
  </si>
  <si>
    <t>=NL("Sum","Item Ledger Entry","Quantity","Entry Type","Sale","Entry No.",I1599,"Location Code",$L$7)</t>
  </si>
  <si>
    <t>=NL("Sum","Item Ledger Entry","Quantity","Entry Type","Sale","Entry No.",I1600,"Location Code",$L$7)</t>
  </si>
  <si>
    <t>=NL("Sum","Item Ledger Entry","Quantity","Entry Type","Positive Adjmt.|Negative Adjmt.","Entry No.",I1588,"Location Code",$L$7)</t>
  </si>
  <si>
    <t>=NL("Sum","Item Ledger Entry","Quantity","Entry Type","Positive Adjmt.|Negative Adjmt.","Entry No.",I1589,"Location Code",$L$7)</t>
  </si>
  <si>
    <t>=NL("Sum","Item Ledger Entry","Quantity","Entry Type","Positive Adjmt.|Negative Adjmt.","Entry No.",I1590,"Location Code",$L$7)</t>
  </si>
  <si>
    <t>=NL("Sum","Item Ledger Entry","Quantity","Entry Type","Positive Adjmt.|Negative Adjmt.","Entry No.",I1591,"Location Code",$L$7)</t>
  </si>
  <si>
    <t>=NL("Sum","Item Ledger Entry","Quantity","Entry Type","Positive Adjmt.|Negative Adjmt.","Entry No.",I1592,"Location Code",$L$7)</t>
  </si>
  <si>
    <t>=NL("Sum","Item Ledger Entry","Quantity","Entry Type","Positive Adjmt.|Negative Adjmt.","Entry No.",I1593,"Location Code",$L$7)</t>
  </si>
  <si>
    <t>=NL("Sum","Item Ledger Entry","Quantity","Entry Type","Positive Adjmt.|Negative Adjmt.","Entry No.",I1594,"Location Code",$L$7)</t>
  </si>
  <si>
    <t>=NL("Sum","Item Ledger Entry","Quantity","Entry Type","Positive Adjmt.|Negative Adjmt.","Entry No.",I1595,"Location Code",$L$7)</t>
  </si>
  <si>
    <t>=NL("Sum","Item Ledger Entry","Quantity","Entry Type","Positive Adjmt.|Negative Adjmt.","Entry No.",I1596,"Location Code",$L$7)</t>
  </si>
  <si>
    <t>=NL("Sum","Item Ledger Entry","Quantity","Entry Type","Positive Adjmt.|Negative Adjmt.","Entry No.",I1597,"Location Code",$L$7)</t>
  </si>
  <si>
    <t>=NL("Sum","Item Ledger Entry","Quantity","Entry Type","Positive Adjmt.|Negative Adjmt.","Entry No.",I1598,"Location Code",$L$7)</t>
  </si>
  <si>
    <t>=NL("Sum","Item Ledger Entry","Quantity","Entry Type","Positive Adjmt.|Negative Adjmt.","Entry No.",I1599,"Location Code",$L$7)</t>
  </si>
  <si>
    <t>=NL("Sum","Item Ledger Entry","Quantity","Entry Type","Positive Adjmt.|Negative Adjmt.","Entry No.",I1600,"Location Code",$L$7)</t>
  </si>
  <si>
    <t>=NL("Sum","Item Ledger Entry","Quantity","Entry Type","Transfer","Entry No.",I1588,"Location Code",$L$7)</t>
  </si>
  <si>
    <t>=NL("Sum","Item Ledger Entry","Quantity","Entry Type","Transfer","Entry No.",I1589,"Location Code",$L$7)</t>
  </si>
  <si>
    <t>=NL("Sum","Item Ledger Entry","Quantity","Entry Type","Transfer","Entry No.",I1590,"Location Code",$L$7)</t>
  </si>
  <si>
    <t>=NL("Sum","Item Ledger Entry","Quantity","Entry Type","Transfer","Entry No.",I1591,"Location Code",$L$7)</t>
  </si>
  <si>
    <t>=NL("Sum","Item Ledger Entry","Quantity","Entry Type","Transfer","Entry No.",I1592,"Location Code",$L$7)</t>
  </si>
  <si>
    <t>=NL("Sum","Item Ledger Entry","Quantity","Entry Type","Transfer","Entry No.",I1593,"Location Code",$L$7)</t>
  </si>
  <si>
    <t>=NL("Sum","Item Ledger Entry","Quantity","Entry Type","Transfer","Entry No.",I1594,"Location Code",$L$7)</t>
  </si>
  <si>
    <t>=NL("Sum","Item Ledger Entry","Quantity","Entry Type","Transfer","Entry No.",I1595,"Location Code",$L$7)</t>
  </si>
  <si>
    <t>=NL("Sum","Item Ledger Entry","Quantity","Entry Type","Transfer","Entry No.",I1596,"Location Code",$L$7)</t>
  </si>
  <si>
    <t>=NL("Sum","Item Ledger Entry","Quantity","Entry Type","Transfer","Entry No.",I1597,"Location Code",$L$7)</t>
  </si>
  <si>
    <t>=NL("Sum","Item Ledger Entry","Quantity","Entry Type","Transfer","Entry No.",I1598,"Location Code",$L$7)</t>
  </si>
  <si>
    <t>=NL("Sum","Item Ledger Entry","Quantity","Entry Type","Transfer","Entry No.",I1599,"Location Code",$L$7)</t>
  </si>
  <si>
    <t>=NL("Sum","Item Ledger Entry","Quantity","Entry Type","Transfer","Entry No.",I1600,"Location Code",$L$7)</t>
  </si>
  <si>
    <t>=NL("Sum","Item Ledger Entry","Quantity","Entry Type","Consumption","Entry No.",I1588,"Location Code",$L$7)</t>
  </si>
  <si>
    <t>=NL("Sum","Item Ledger Entry","Quantity","Entry Type","Consumption","Entry No.",I1589,"Location Code",$L$7)</t>
  </si>
  <si>
    <t>=NL("Sum","Item Ledger Entry","Quantity","Entry Type","Consumption","Entry No.",I1590,"Location Code",$L$7)</t>
  </si>
  <si>
    <t>=NL("Sum","Item Ledger Entry","Quantity","Entry Type","Consumption","Entry No.",I1591,"Location Code",$L$7)</t>
  </si>
  <si>
    <t>=NL("Sum","Item Ledger Entry","Quantity","Entry Type","Consumption","Entry No.",I1592,"Location Code",$L$7)</t>
  </si>
  <si>
    <t>=NL("Sum","Item Ledger Entry","Quantity","Entry Type","Consumption","Entry No.",I1593,"Location Code",$L$7)</t>
  </si>
  <si>
    <t>=NL("Sum","Item Ledger Entry","Quantity","Entry Type","Consumption","Entry No.",I1594,"Location Code",$L$7)</t>
  </si>
  <si>
    <t>=NL("Sum","Item Ledger Entry","Quantity","Entry Type","Consumption","Entry No.",I1595,"Location Code",$L$7)</t>
  </si>
  <si>
    <t>=NL("Sum","Item Ledger Entry","Quantity","Entry Type","Consumption","Entry No.",I1596,"Location Code",$L$7)</t>
  </si>
  <si>
    <t>=NL("Sum","Item Ledger Entry","Quantity","Entry Type","Consumption","Entry No.",I1597,"Location Code",$L$7)</t>
  </si>
  <si>
    <t>=NL("Sum","Item Ledger Entry","Quantity","Entry Type","Consumption","Entry No.",I1598,"Location Code",$L$7)</t>
  </si>
  <si>
    <t>=NL("Sum","Item Ledger Entry","Quantity","Entry Type","Consumption","Entry No.",I1599,"Location Code",$L$7)</t>
  </si>
  <si>
    <t>=NL("Sum","Item Ledger Entry","Quantity","Entry Type","Consumption","Entry No.",I1600,"Location Code",$L$7)</t>
  </si>
  <si>
    <t>=NL("Sum","Item Ledger Entry","Quantity","Entry Type","Output","Entry No.",I1588,"Location Code",$L$7)</t>
  </si>
  <si>
    <t>=NL("Sum","Item Ledger Entry","Quantity","Entry Type","Output","Entry No.",I1589,"Location Code",$L$7)</t>
  </si>
  <si>
    <t>=NL("Sum","Item Ledger Entry","Quantity","Entry Type","Output","Entry No.",I1590,"Location Code",$L$7)</t>
  </si>
  <si>
    <t>=NL("Sum","Item Ledger Entry","Quantity","Entry Type","Output","Entry No.",I1591,"Location Code",$L$7)</t>
  </si>
  <si>
    <t>=NL("Sum","Item Ledger Entry","Quantity","Entry Type","Output","Entry No.",I1592,"Location Code",$L$7)</t>
  </si>
  <si>
    <t>=NL("Sum","Item Ledger Entry","Quantity","Entry Type","Output","Entry No.",I1593,"Location Code",$L$7)</t>
  </si>
  <si>
    <t>=NL("Sum","Item Ledger Entry","Quantity","Entry Type","Output","Entry No.",I1594,"Location Code",$L$7)</t>
  </si>
  <si>
    <t>=NL("Sum","Item Ledger Entry","Quantity","Entry Type","Output","Entry No.",I1595,"Location Code",$L$7)</t>
  </si>
  <si>
    <t>=NL("Sum","Item Ledger Entry","Quantity","Entry Type","Output","Entry No.",I1596,"Location Code",$L$7)</t>
  </si>
  <si>
    <t>=NL("Sum","Item Ledger Entry","Quantity","Entry Type","Output","Entry No.",I1597,"Location Code",$L$7)</t>
  </si>
  <si>
    <t>=NL("Sum","Item Ledger Entry","Quantity","Entry Type","Output","Entry No.",I1598,"Location Code",$L$7)</t>
  </si>
  <si>
    <t>=NL("Sum","Item Ledger Entry","Quantity","Entry Type","Output","Entry No.",I1599,"Location Code",$L$7)</t>
  </si>
  <si>
    <t>=NL("Sum","Item Ledger Entry","Quantity","Entry Type","Output","Entry No.",I1600,"Location Code",$L$7)</t>
  </si>
  <si>
    <t>=NF(G1588,"Source Type")</t>
  </si>
  <si>
    <t>=NF(G1589,"Source Type")</t>
  </si>
  <si>
    <t>=NF(G1590,"Source Type")</t>
  </si>
  <si>
    <t>=NF(G1591,"Source Type")</t>
  </si>
  <si>
    <t>=NF(G1592,"Source Type")</t>
  </si>
  <si>
    <t>=NF(G1593,"Source Type")</t>
  </si>
  <si>
    <t>=NF(G1594,"Source Type")</t>
  </si>
  <si>
    <t>=NF(G1595,"Source Type")</t>
  </si>
  <si>
    <t>=NF(G1596,"Source Type")</t>
  </si>
  <si>
    <t>=NF(G1597,"Source Type")</t>
  </si>
  <si>
    <t>=NF(G1598,"Source Type")</t>
  </si>
  <si>
    <t>=NF(G1599,"Source Type")</t>
  </si>
  <si>
    <t>=NF(G1600,"Source Type")</t>
  </si>
  <si>
    <t>=NF($G1588,"Source No.")</t>
  </si>
  <si>
    <t>=NF($G1589,"Source No.")</t>
  </si>
  <si>
    <t>=NF($G1590,"Source No.")</t>
  </si>
  <si>
    <t>=NF($G1591,"Source No.")</t>
  </si>
  <si>
    <t>=NF($G1592,"Source No.")</t>
  </si>
  <si>
    <t>=NF($G1593,"Source No.")</t>
  </si>
  <si>
    <t>=NF($G1594,"Source No.")</t>
  </si>
  <si>
    <t>=NF($G1595,"Source No.")</t>
  </si>
  <si>
    <t>=NF($G1596,"Source No.")</t>
  </si>
  <si>
    <t>=NF($G1597,"Source No.")</t>
  </si>
  <si>
    <t>=NF($G1598,"Source No.")</t>
  </si>
  <si>
    <t>=NF($G1599,"Source No.")</t>
  </si>
  <si>
    <t>=NF($G1600,"Source No.")</t>
  </si>
  <si>
    <t>=NF($G1576,"Posting Date")</t>
  </si>
  <si>
    <t>=NF($G1577,"Posting Date")</t>
  </si>
  <si>
    <t>=NF($G1578,"Posting Date")</t>
  </si>
  <si>
    <t>=NF($G1579,"Posting Date")</t>
  </si>
  <si>
    <t>=NF($G1580,"Posting Date")</t>
  </si>
  <si>
    <t>=NF($G1581,"Posting Date")</t>
  </si>
  <si>
    <t>=NF($G1582,"Posting Date")</t>
  </si>
  <si>
    <t>=NF($G1583,"Posting Date")</t>
  </si>
  <si>
    <t>=NF($G1584,"Posting Date")</t>
  </si>
  <si>
    <t>=NF($G1576,"Entry No.")</t>
  </si>
  <si>
    <t>=NF($G1577,"Entry No.")</t>
  </si>
  <si>
    <t>=NF($G1578,"Entry No.")</t>
  </si>
  <si>
    <t>=NF($G1579,"Entry No.")</t>
  </si>
  <si>
    <t>=NF($G1580,"Entry No.")</t>
  </si>
  <si>
    <t>=NF($G1581,"Entry No.")</t>
  </si>
  <si>
    <t>=NF($G1582,"Entry No.")</t>
  </si>
  <si>
    <t>=NF($G1583,"Entry No.")</t>
  </si>
  <si>
    <t>=NF($G1584,"Entry No.")</t>
  </si>
  <si>
    <t>=NL("Sum","Item Ledger Entry","Quantity","Entry Type","Purchase","Entry No.",I1576,"Location Code",$L$7)</t>
  </si>
  <si>
    <t>=NL("Sum","Item Ledger Entry","Quantity","Entry Type","Purchase","Entry No.",I1577,"Location Code",$L$7)</t>
  </si>
  <si>
    <t>=NL("Sum","Item Ledger Entry","Quantity","Entry Type","Purchase","Entry No.",I1578,"Location Code",$L$7)</t>
  </si>
  <si>
    <t>=NL("Sum","Item Ledger Entry","Quantity","Entry Type","Purchase","Entry No.",I1579,"Location Code",$L$7)</t>
  </si>
  <si>
    <t>=NL("Sum","Item Ledger Entry","Quantity","Entry Type","Purchase","Entry No.",I1580,"Location Code",$L$7)</t>
  </si>
  <si>
    <t>=NL("Sum","Item Ledger Entry","Quantity","Entry Type","Purchase","Entry No.",I1581,"Location Code",$L$7)</t>
  </si>
  <si>
    <t>=NL("Sum","Item Ledger Entry","Quantity","Entry Type","Purchase","Entry No.",I1582,"Location Code",$L$7)</t>
  </si>
  <si>
    <t>=NL("Sum","Item Ledger Entry","Quantity","Entry Type","Purchase","Entry No.",I1583,"Location Code",$L$7)</t>
  </si>
  <si>
    <t>=NL("Sum","Item Ledger Entry","Quantity","Entry Type","Purchase","Entry No.",I1584,"Location Code",$L$7)</t>
  </si>
  <si>
    <t>=NL("Sum","Item Ledger Entry","Quantity","Entry Type","Sale","Entry No.",I1576,"Location Code",$L$7)</t>
  </si>
  <si>
    <t>=NL("Sum","Item Ledger Entry","Quantity","Entry Type","Sale","Entry No.",I1577,"Location Code",$L$7)</t>
  </si>
  <si>
    <t>=NL("Sum","Item Ledger Entry","Quantity","Entry Type","Sale","Entry No.",I1578,"Location Code",$L$7)</t>
  </si>
  <si>
    <t>=NL("Sum","Item Ledger Entry","Quantity","Entry Type","Sale","Entry No.",I1579,"Location Code",$L$7)</t>
  </si>
  <si>
    <t>=NL("Sum","Item Ledger Entry","Quantity","Entry Type","Sale","Entry No.",I1580,"Location Code",$L$7)</t>
  </si>
  <si>
    <t>=NL("Sum","Item Ledger Entry","Quantity","Entry Type","Sale","Entry No.",I1581,"Location Code",$L$7)</t>
  </si>
  <si>
    <t>=NL("Sum","Item Ledger Entry","Quantity","Entry Type","Sale","Entry No.",I1582,"Location Code",$L$7)</t>
  </si>
  <si>
    <t>=NL("Sum","Item Ledger Entry","Quantity","Entry Type","Sale","Entry No.",I1583,"Location Code",$L$7)</t>
  </si>
  <si>
    <t>=NL("Sum","Item Ledger Entry","Quantity","Entry Type","Sale","Entry No.",I1584,"Location Code",$L$7)</t>
  </si>
  <si>
    <t>=NL("Sum","Item Ledger Entry","Quantity","Entry Type","Positive Adjmt.|Negative Adjmt.","Entry No.",I1576,"Location Code",$L$7)</t>
  </si>
  <si>
    <t>=NL("Sum","Item Ledger Entry","Quantity","Entry Type","Positive Adjmt.|Negative Adjmt.","Entry No.",I1577,"Location Code",$L$7)</t>
  </si>
  <si>
    <t>=NL("Sum","Item Ledger Entry","Quantity","Entry Type","Positive Adjmt.|Negative Adjmt.","Entry No.",I1578,"Location Code",$L$7)</t>
  </si>
  <si>
    <t>=NL("Sum","Item Ledger Entry","Quantity","Entry Type","Positive Adjmt.|Negative Adjmt.","Entry No.",I1579,"Location Code",$L$7)</t>
  </si>
  <si>
    <t>=NL("Sum","Item Ledger Entry","Quantity","Entry Type","Positive Adjmt.|Negative Adjmt.","Entry No.",I1580,"Location Code",$L$7)</t>
  </si>
  <si>
    <t>=NL("Sum","Item Ledger Entry","Quantity","Entry Type","Positive Adjmt.|Negative Adjmt.","Entry No.",I1581,"Location Code",$L$7)</t>
  </si>
  <si>
    <t>=NL("Sum","Item Ledger Entry","Quantity","Entry Type","Positive Adjmt.|Negative Adjmt.","Entry No.",I1582,"Location Code",$L$7)</t>
  </si>
  <si>
    <t>=NL("Sum","Item Ledger Entry","Quantity","Entry Type","Positive Adjmt.|Negative Adjmt.","Entry No.",I1583,"Location Code",$L$7)</t>
  </si>
  <si>
    <t>=NL("Sum","Item Ledger Entry","Quantity","Entry Type","Positive Adjmt.|Negative Adjmt.","Entry No.",I1584,"Location Code",$L$7)</t>
  </si>
  <si>
    <t>=NL("Sum","Item Ledger Entry","Quantity","Entry Type","Transfer","Entry No.",I1576,"Location Code",$L$7)</t>
  </si>
  <si>
    <t>=NL("Sum","Item Ledger Entry","Quantity","Entry Type","Transfer","Entry No.",I1577,"Location Code",$L$7)</t>
  </si>
  <si>
    <t>=NL("Sum","Item Ledger Entry","Quantity","Entry Type","Transfer","Entry No.",I1578,"Location Code",$L$7)</t>
  </si>
  <si>
    <t>=NL("Sum","Item Ledger Entry","Quantity","Entry Type","Transfer","Entry No.",I1579,"Location Code",$L$7)</t>
  </si>
  <si>
    <t>=NL("Sum","Item Ledger Entry","Quantity","Entry Type","Transfer","Entry No.",I1580,"Location Code",$L$7)</t>
  </si>
  <si>
    <t>=NL("Sum","Item Ledger Entry","Quantity","Entry Type","Transfer","Entry No.",I1581,"Location Code",$L$7)</t>
  </si>
  <si>
    <t>=NL("Sum","Item Ledger Entry","Quantity","Entry Type","Transfer","Entry No.",I1582,"Location Code",$L$7)</t>
  </si>
  <si>
    <t>=NL("Sum","Item Ledger Entry","Quantity","Entry Type","Transfer","Entry No.",I1583,"Location Code",$L$7)</t>
  </si>
  <si>
    <t>=NL("Sum","Item Ledger Entry","Quantity","Entry Type","Transfer","Entry No.",I1584,"Location Code",$L$7)</t>
  </si>
  <si>
    <t>=NL("Sum","Item Ledger Entry","Quantity","Entry Type","Consumption","Entry No.",I1576,"Location Code",$L$7)</t>
  </si>
  <si>
    <t>=NL("Sum","Item Ledger Entry","Quantity","Entry Type","Consumption","Entry No.",I1577,"Location Code",$L$7)</t>
  </si>
  <si>
    <t>=NL("Sum","Item Ledger Entry","Quantity","Entry Type","Consumption","Entry No.",I1578,"Location Code",$L$7)</t>
  </si>
  <si>
    <t>=NL("Sum","Item Ledger Entry","Quantity","Entry Type","Consumption","Entry No.",I1579,"Location Code",$L$7)</t>
  </si>
  <si>
    <t>=NL("Sum","Item Ledger Entry","Quantity","Entry Type","Consumption","Entry No.",I1580,"Location Code",$L$7)</t>
  </si>
  <si>
    <t>=NL("Sum","Item Ledger Entry","Quantity","Entry Type","Consumption","Entry No.",I1581,"Location Code",$L$7)</t>
  </si>
  <si>
    <t>=NL("Sum","Item Ledger Entry","Quantity","Entry Type","Consumption","Entry No.",I1582,"Location Code",$L$7)</t>
  </si>
  <si>
    <t>=NL("Sum","Item Ledger Entry","Quantity","Entry Type","Consumption","Entry No.",I1583,"Location Code",$L$7)</t>
  </si>
  <si>
    <t>=NL("Sum","Item Ledger Entry","Quantity","Entry Type","Consumption","Entry No.",I1584,"Location Code",$L$7)</t>
  </si>
  <si>
    <t>=NL("Sum","Item Ledger Entry","Quantity","Entry Type","Output","Entry No.",I1576,"Location Code",$L$7)</t>
  </si>
  <si>
    <t>=NL("Sum","Item Ledger Entry","Quantity","Entry Type","Output","Entry No.",I1577,"Location Code",$L$7)</t>
  </si>
  <si>
    <t>=NL("Sum","Item Ledger Entry","Quantity","Entry Type","Output","Entry No.",I1578,"Location Code",$L$7)</t>
  </si>
  <si>
    <t>=NL("Sum","Item Ledger Entry","Quantity","Entry Type","Output","Entry No.",I1579,"Location Code",$L$7)</t>
  </si>
  <si>
    <t>=NL("Sum","Item Ledger Entry","Quantity","Entry Type","Output","Entry No.",I1580,"Location Code",$L$7)</t>
  </si>
  <si>
    <t>=NL("Sum","Item Ledger Entry","Quantity","Entry Type","Output","Entry No.",I1581,"Location Code",$L$7)</t>
  </si>
  <si>
    <t>=NL("Sum","Item Ledger Entry","Quantity","Entry Type","Output","Entry No.",I1582,"Location Code",$L$7)</t>
  </si>
  <si>
    <t>=NL("Sum","Item Ledger Entry","Quantity","Entry Type","Output","Entry No.",I1583,"Location Code",$L$7)</t>
  </si>
  <si>
    <t>=NL("Sum","Item Ledger Entry","Quantity","Entry Type","Output","Entry No.",I1584,"Location Code",$L$7)</t>
  </si>
  <si>
    <t>=NF(G1576,"Source Type")</t>
  </si>
  <si>
    <t>=NF(G1577,"Source Type")</t>
  </si>
  <si>
    <t>=NF(G1578,"Source Type")</t>
  </si>
  <si>
    <t>=NF(G1579,"Source Type")</t>
  </si>
  <si>
    <t>=NF(G1580,"Source Type")</t>
  </si>
  <si>
    <t>=NF(G1581,"Source Type")</t>
  </si>
  <si>
    <t>=NF(G1582,"Source Type")</t>
  </si>
  <si>
    <t>=NF(G1583,"Source Type")</t>
  </si>
  <si>
    <t>=NF(G1584,"Source Type")</t>
  </si>
  <si>
    <t>=NF($G1576,"Source No.")</t>
  </si>
  <si>
    <t>=NF($G1577,"Source No.")</t>
  </si>
  <si>
    <t>=NF($G1578,"Source No.")</t>
  </si>
  <si>
    <t>=NF($G1579,"Source No.")</t>
  </si>
  <si>
    <t>=NF($G1580,"Source No.")</t>
  </si>
  <si>
    <t>=NF($G1581,"Source No.")</t>
  </si>
  <si>
    <t>=NF($G1582,"Source No.")</t>
  </si>
  <si>
    <t>=NF($G1583,"Source No.")</t>
  </si>
  <si>
    <t>=NF($G1584,"Source No.")</t>
  </si>
  <si>
    <t>=NF($G1566,"Posting Date")</t>
  </si>
  <si>
    <t>=NF($G1567,"Posting Date")</t>
  </si>
  <si>
    <t>=NF($G1568,"Posting Date")</t>
  </si>
  <si>
    <t>=NF($G1569,"Posting Date")</t>
  </si>
  <si>
    <t>=NF($G1570,"Posting Date")</t>
  </si>
  <si>
    <t>=NF($G1571,"Posting Date")</t>
  </si>
  <si>
    <t>=NF($G1572,"Posting Date")</t>
  </si>
  <si>
    <t>=NF($G1566,"Entry No.")</t>
  </si>
  <si>
    <t>=NF($G1567,"Entry No.")</t>
  </si>
  <si>
    <t>=NF($G1568,"Entry No.")</t>
  </si>
  <si>
    <t>=NF($G1569,"Entry No.")</t>
  </si>
  <si>
    <t>=NF($G1570,"Entry No.")</t>
  </si>
  <si>
    <t>=NF($G1571,"Entry No.")</t>
  </si>
  <si>
    <t>=NF($G1572,"Entry No.")</t>
  </si>
  <si>
    <t>=NL("Sum","Item Ledger Entry","Quantity","Entry Type","Purchase","Entry No.",I1566,"Location Code",$L$7)</t>
  </si>
  <si>
    <t>=NL("Sum","Item Ledger Entry","Quantity","Entry Type","Purchase","Entry No.",I1567,"Location Code",$L$7)</t>
  </si>
  <si>
    <t>=NL("Sum","Item Ledger Entry","Quantity","Entry Type","Purchase","Entry No.",I1568,"Location Code",$L$7)</t>
  </si>
  <si>
    <t>=NL("Sum","Item Ledger Entry","Quantity","Entry Type","Purchase","Entry No.",I1569,"Location Code",$L$7)</t>
  </si>
  <si>
    <t>=NL("Sum","Item Ledger Entry","Quantity","Entry Type","Purchase","Entry No.",I1570,"Location Code",$L$7)</t>
  </si>
  <si>
    <t>=NL("Sum","Item Ledger Entry","Quantity","Entry Type","Purchase","Entry No.",I1571,"Location Code",$L$7)</t>
  </si>
  <si>
    <t>=NL("Sum","Item Ledger Entry","Quantity","Entry Type","Purchase","Entry No.",I1572,"Location Code",$L$7)</t>
  </si>
  <si>
    <t>=NL("Sum","Item Ledger Entry","Quantity","Entry Type","Sale","Entry No.",I1566,"Location Code",$L$7)</t>
  </si>
  <si>
    <t>=NL("Sum","Item Ledger Entry","Quantity","Entry Type","Sale","Entry No.",I1567,"Location Code",$L$7)</t>
  </si>
  <si>
    <t>=NL("Sum","Item Ledger Entry","Quantity","Entry Type","Sale","Entry No.",I1568,"Location Code",$L$7)</t>
  </si>
  <si>
    <t>=NL("Sum","Item Ledger Entry","Quantity","Entry Type","Sale","Entry No.",I1569,"Location Code",$L$7)</t>
  </si>
  <si>
    <t>=NL("Sum","Item Ledger Entry","Quantity","Entry Type","Sale","Entry No.",I1570,"Location Code",$L$7)</t>
  </si>
  <si>
    <t>=NL("Sum","Item Ledger Entry","Quantity","Entry Type","Sale","Entry No.",I1571,"Location Code",$L$7)</t>
  </si>
  <si>
    <t>=NL("Sum","Item Ledger Entry","Quantity","Entry Type","Sale","Entry No.",I1572,"Location Code",$L$7)</t>
  </si>
  <si>
    <t>=NL("Sum","Item Ledger Entry","Quantity","Entry Type","Positive Adjmt.|Negative Adjmt.","Entry No.",I1566,"Location Code",$L$7)</t>
  </si>
  <si>
    <t>=NL("Sum","Item Ledger Entry","Quantity","Entry Type","Positive Adjmt.|Negative Adjmt.","Entry No.",I1567,"Location Code",$L$7)</t>
  </si>
  <si>
    <t>=NL("Sum","Item Ledger Entry","Quantity","Entry Type","Positive Adjmt.|Negative Adjmt.","Entry No.",I1568,"Location Code",$L$7)</t>
  </si>
  <si>
    <t>=NL("Sum","Item Ledger Entry","Quantity","Entry Type","Positive Adjmt.|Negative Adjmt.","Entry No.",I1569,"Location Code",$L$7)</t>
  </si>
  <si>
    <t>=NL("Sum","Item Ledger Entry","Quantity","Entry Type","Positive Adjmt.|Negative Adjmt.","Entry No.",I1570,"Location Code",$L$7)</t>
  </si>
  <si>
    <t>=NL("Sum","Item Ledger Entry","Quantity","Entry Type","Positive Adjmt.|Negative Adjmt.","Entry No.",I1571,"Location Code",$L$7)</t>
  </si>
  <si>
    <t>=NL("Sum","Item Ledger Entry","Quantity","Entry Type","Positive Adjmt.|Negative Adjmt.","Entry No.",I1572,"Location Code",$L$7)</t>
  </si>
  <si>
    <t>=NL("Sum","Item Ledger Entry","Quantity","Entry Type","Transfer","Entry No.",I1566,"Location Code",$L$7)</t>
  </si>
  <si>
    <t>=NL("Sum","Item Ledger Entry","Quantity","Entry Type","Transfer","Entry No.",I1567,"Location Code",$L$7)</t>
  </si>
  <si>
    <t>=NL("Sum","Item Ledger Entry","Quantity","Entry Type","Transfer","Entry No.",I1568,"Location Code",$L$7)</t>
  </si>
  <si>
    <t>=NL("Sum","Item Ledger Entry","Quantity","Entry Type","Transfer","Entry No.",I1569,"Location Code",$L$7)</t>
  </si>
  <si>
    <t>=NL("Sum","Item Ledger Entry","Quantity","Entry Type","Transfer","Entry No.",I1570,"Location Code",$L$7)</t>
  </si>
  <si>
    <t>=NL("Sum","Item Ledger Entry","Quantity","Entry Type","Transfer","Entry No.",I1571,"Location Code",$L$7)</t>
  </si>
  <si>
    <t>=NL("Sum","Item Ledger Entry","Quantity","Entry Type","Transfer","Entry No.",I1572,"Location Code",$L$7)</t>
  </si>
  <si>
    <t>=NL("Sum","Item Ledger Entry","Quantity","Entry Type","Consumption","Entry No.",I1566,"Location Code",$L$7)</t>
  </si>
  <si>
    <t>=NL("Sum","Item Ledger Entry","Quantity","Entry Type","Consumption","Entry No.",I1567,"Location Code",$L$7)</t>
  </si>
  <si>
    <t>=NL("Sum","Item Ledger Entry","Quantity","Entry Type","Consumption","Entry No.",I1568,"Location Code",$L$7)</t>
  </si>
  <si>
    <t>=NL("Sum","Item Ledger Entry","Quantity","Entry Type","Consumption","Entry No.",I1569,"Location Code",$L$7)</t>
  </si>
  <si>
    <t>=NL("Sum","Item Ledger Entry","Quantity","Entry Type","Consumption","Entry No.",I1570,"Location Code",$L$7)</t>
  </si>
  <si>
    <t>=NL("Sum","Item Ledger Entry","Quantity","Entry Type","Consumption","Entry No.",I1571,"Location Code",$L$7)</t>
  </si>
  <si>
    <t>=NL("Sum","Item Ledger Entry","Quantity","Entry Type","Consumption","Entry No.",I1572,"Location Code",$L$7)</t>
  </si>
  <si>
    <t>=NL("Sum","Item Ledger Entry","Quantity","Entry Type","Output","Entry No.",I1566,"Location Code",$L$7)</t>
  </si>
  <si>
    <t>=NL("Sum","Item Ledger Entry","Quantity","Entry Type","Output","Entry No.",I1567,"Location Code",$L$7)</t>
  </si>
  <si>
    <t>=NL("Sum","Item Ledger Entry","Quantity","Entry Type","Output","Entry No.",I1568,"Location Code",$L$7)</t>
  </si>
  <si>
    <t>=NL("Sum","Item Ledger Entry","Quantity","Entry Type","Output","Entry No.",I1569,"Location Code",$L$7)</t>
  </si>
  <si>
    <t>=NL("Sum","Item Ledger Entry","Quantity","Entry Type","Output","Entry No.",I1570,"Location Code",$L$7)</t>
  </si>
  <si>
    <t>=NL("Sum","Item Ledger Entry","Quantity","Entry Type","Output","Entry No.",I1571,"Location Code",$L$7)</t>
  </si>
  <si>
    <t>=NL("Sum","Item Ledger Entry","Quantity","Entry Type","Output","Entry No.",I1572,"Location Code",$L$7)</t>
  </si>
  <si>
    <t>=NF(G1566,"Source Type")</t>
  </si>
  <si>
    <t>=NF(G1567,"Source Type")</t>
  </si>
  <si>
    <t>=NF(G1568,"Source Type")</t>
  </si>
  <si>
    <t>=NF(G1569,"Source Type")</t>
  </si>
  <si>
    <t>=NF(G1570,"Source Type")</t>
  </si>
  <si>
    <t>=NF(G1571,"Source Type")</t>
  </si>
  <si>
    <t>=NF(G1572,"Source Type")</t>
  </si>
  <si>
    <t>=NF($G1566,"Source No.")</t>
  </si>
  <si>
    <t>=NF($G1567,"Source No.")</t>
  </si>
  <si>
    <t>=NF($G1568,"Source No.")</t>
  </si>
  <si>
    <t>=NF($G1569,"Source No.")</t>
  </si>
  <si>
    <t>=NF($G1570,"Source No.")</t>
  </si>
  <si>
    <t>=NF($G1571,"Source No.")</t>
  </si>
  <si>
    <t>=NF($G1572,"Source No.")</t>
  </si>
  <si>
    <t>=NF($G1551,"Posting Date")</t>
  </si>
  <si>
    <t>=NF($G1552,"Posting Date")</t>
  </si>
  <si>
    <t>=NF($G1553,"Posting Date")</t>
  </si>
  <si>
    <t>=NF($G1554,"Posting Date")</t>
  </si>
  <si>
    <t>=NF($G1555,"Posting Date")</t>
  </si>
  <si>
    <t>=NF($G1556,"Posting Date")</t>
  </si>
  <si>
    <t>=NF($G1557,"Posting Date")</t>
  </si>
  <si>
    <t>=NF($G1558,"Posting Date")</t>
  </si>
  <si>
    <t>=NF($G1559,"Posting Date")</t>
  </si>
  <si>
    <t>=NF($G1560,"Posting Date")</t>
  </si>
  <si>
    <t>=NF($G1561,"Posting Date")</t>
  </si>
  <si>
    <t>=NF($G1562,"Posting Date")</t>
  </si>
  <si>
    <t>=NF($G1551,"Entry No.")</t>
  </si>
  <si>
    <t>=NF($G1552,"Entry No.")</t>
  </si>
  <si>
    <t>=NF($G1553,"Entry No.")</t>
  </si>
  <si>
    <t>=NF($G1554,"Entry No.")</t>
  </si>
  <si>
    <t>=NF($G1555,"Entry No.")</t>
  </si>
  <si>
    <t>=NF($G1556,"Entry No.")</t>
  </si>
  <si>
    <t>=NF($G1557,"Entry No.")</t>
  </si>
  <si>
    <t>=NF($G1558,"Entry No.")</t>
  </si>
  <si>
    <t>=NF($G1559,"Entry No.")</t>
  </si>
  <si>
    <t>=NF($G1560,"Entry No.")</t>
  </si>
  <si>
    <t>=NF($G1561,"Entry No.")</t>
  </si>
  <si>
    <t>=NF($G1562,"Entry No.")</t>
  </si>
  <si>
    <t>=NL("Sum","Item Ledger Entry","Quantity","Entry Type","Purchase","Entry No.",I1551,"Location Code",$L$7)</t>
  </si>
  <si>
    <t>=NL("Sum","Item Ledger Entry","Quantity","Entry Type","Purchase","Entry No.",I1552,"Location Code",$L$7)</t>
  </si>
  <si>
    <t>=NL("Sum","Item Ledger Entry","Quantity","Entry Type","Purchase","Entry No.",I1553,"Location Code",$L$7)</t>
  </si>
  <si>
    <t>=NL("Sum","Item Ledger Entry","Quantity","Entry Type","Purchase","Entry No.",I1554,"Location Code",$L$7)</t>
  </si>
  <si>
    <t>=NL("Sum","Item Ledger Entry","Quantity","Entry Type","Purchase","Entry No.",I1555,"Location Code",$L$7)</t>
  </si>
  <si>
    <t>=NL("Sum","Item Ledger Entry","Quantity","Entry Type","Purchase","Entry No.",I1556,"Location Code",$L$7)</t>
  </si>
  <si>
    <t>=NL("Sum","Item Ledger Entry","Quantity","Entry Type","Purchase","Entry No.",I1557,"Location Code",$L$7)</t>
  </si>
  <si>
    <t>=NL("Sum","Item Ledger Entry","Quantity","Entry Type","Purchase","Entry No.",I1558,"Location Code",$L$7)</t>
  </si>
  <si>
    <t>=NL("Sum","Item Ledger Entry","Quantity","Entry Type","Purchase","Entry No.",I1559,"Location Code",$L$7)</t>
  </si>
  <si>
    <t>=NL("Sum","Item Ledger Entry","Quantity","Entry Type","Purchase","Entry No.",I1560,"Location Code",$L$7)</t>
  </si>
  <si>
    <t>=NL("Sum","Item Ledger Entry","Quantity","Entry Type","Purchase","Entry No.",I1561,"Location Code",$L$7)</t>
  </si>
  <si>
    <t>=NL("Sum","Item Ledger Entry","Quantity","Entry Type","Purchase","Entry No.",I1562,"Location Code",$L$7)</t>
  </si>
  <si>
    <t>=NL("Sum","Item Ledger Entry","Quantity","Entry Type","Sale","Entry No.",I1551,"Location Code",$L$7)</t>
  </si>
  <si>
    <t>=NL("Sum","Item Ledger Entry","Quantity","Entry Type","Sale","Entry No.",I1552,"Location Code",$L$7)</t>
  </si>
  <si>
    <t>=NL("Sum","Item Ledger Entry","Quantity","Entry Type","Sale","Entry No.",I1553,"Location Code",$L$7)</t>
  </si>
  <si>
    <t>=NL("Sum","Item Ledger Entry","Quantity","Entry Type","Sale","Entry No.",I1554,"Location Code",$L$7)</t>
  </si>
  <si>
    <t>=NL("Sum","Item Ledger Entry","Quantity","Entry Type","Sale","Entry No.",I1555,"Location Code",$L$7)</t>
  </si>
  <si>
    <t>=NL("Sum","Item Ledger Entry","Quantity","Entry Type","Sale","Entry No.",I1556,"Location Code",$L$7)</t>
  </si>
  <si>
    <t>=NL("Sum","Item Ledger Entry","Quantity","Entry Type","Sale","Entry No.",I1557,"Location Code",$L$7)</t>
  </si>
  <si>
    <t>=NL("Sum","Item Ledger Entry","Quantity","Entry Type","Sale","Entry No.",I1558,"Location Code",$L$7)</t>
  </si>
  <si>
    <t>=NL("Sum","Item Ledger Entry","Quantity","Entry Type","Sale","Entry No.",I1559,"Location Code",$L$7)</t>
  </si>
  <si>
    <t>=NL("Sum","Item Ledger Entry","Quantity","Entry Type","Sale","Entry No.",I1560,"Location Code",$L$7)</t>
  </si>
  <si>
    <t>=NL("Sum","Item Ledger Entry","Quantity","Entry Type","Sale","Entry No.",I1561,"Location Code",$L$7)</t>
  </si>
  <si>
    <t>=NL("Sum","Item Ledger Entry","Quantity","Entry Type","Sale","Entry No.",I1562,"Location Code",$L$7)</t>
  </si>
  <si>
    <t>=NL("Sum","Item Ledger Entry","Quantity","Entry Type","Positive Adjmt.|Negative Adjmt.","Entry No.",I1551,"Location Code",$L$7)</t>
  </si>
  <si>
    <t>=NL("Sum","Item Ledger Entry","Quantity","Entry Type","Positive Adjmt.|Negative Adjmt.","Entry No.",I1552,"Location Code",$L$7)</t>
  </si>
  <si>
    <t>=NL("Sum","Item Ledger Entry","Quantity","Entry Type","Positive Adjmt.|Negative Adjmt.","Entry No.",I1553,"Location Code",$L$7)</t>
  </si>
  <si>
    <t>=NL("Sum","Item Ledger Entry","Quantity","Entry Type","Positive Adjmt.|Negative Adjmt.","Entry No.",I1554,"Location Code",$L$7)</t>
  </si>
  <si>
    <t>=NL("Sum","Item Ledger Entry","Quantity","Entry Type","Positive Adjmt.|Negative Adjmt.","Entry No.",I1555,"Location Code",$L$7)</t>
  </si>
  <si>
    <t>=NL("Sum","Item Ledger Entry","Quantity","Entry Type","Positive Adjmt.|Negative Adjmt.","Entry No.",I1556,"Location Code",$L$7)</t>
  </si>
  <si>
    <t>=NL("Sum","Item Ledger Entry","Quantity","Entry Type","Positive Adjmt.|Negative Adjmt.","Entry No.",I1557,"Location Code",$L$7)</t>
  </si>
  <si>
    <t>=NL("Sum","Item Ledger Entry","Quantity","Entry Type","Positive Adjmt.|Negative Adjmt.","Entry No.",I1558,"Location Code",$L$7)</t>
  </si>
  <si>
    <t>=NL("Sum","Item Ledger Entry","Quantity","Entry Type","Positive Adjmt.|Negative Adjmt.","Entry No.",I1559,"Location Code",$L$7)</t>
  </si>
  <si>
    <t>=NL("Sum","Item Ledger Entry","Quantity","Entry Type","Positive Adjmt.|Negative Adjmt.","Entry No.",I1560,"Location Code",$L$7)</t>
  </si>
  <si>
    <t>=NL("Sum","Item Ledger Entry","Quantity","Entry Type","Positive Adjmt.|Negative Adjmt.","Entry No.",I1561,"Location Code",$L$7)</t>
  </si>
  <si>
    <t>=NL("Sum","Item Ledger Entry","Quantity","Entry Type","Positive Adjmt.|Negative Adjmt.","Entry No.",I1562,"Location Code",$L$7)</t>
  </si>
  <si>
    <t>=NL("Sum","Item Ledger Entry","Quantity","Entry Type","Transfer","Entry No.",I1551,"Location Code",$L$7)</t>
  </si>
  <si>
    <t>=NL("Sum","Item Ledger Entry","Quantity","Entry Type","Transfer","Entry No.",I1552,"Location Code",$L$7)</t>
  </si>
  <si>
    <t>=NL("Sum","Item Ledger Entry","Quantity","Entry Type","Transfer","Entry No.",I1553,"Location Code",$L$7)</t>
  </si>
  <si>
    <t>=NL("Sum","Item Ledger Entry","Quantity","Entry Type","Transfer","Entry No.",I1554,"Location Code",$L$7)</t>
  </si>
  <si>
    <t>=NL("Sum","Item Ledger Entry","Quantity","Entry Type","Transfer","Entry No.",I1555,"Location Code",$L$7)</t>
  </si>
  <si>
    <t>=NL("Sum","Item Ledger Entry","Quantity","Entry Type","Transfer","Entry No.",I1556,"Location Code",$L$7)</t>
  </si>
  <si>
    <t>=NL("Sum","Item Ledger Entry","Quantity","Entry Type","Transfer","Entry No.",I1557,"Location Code",$L$7)</t>
  </si>
  <si>
    <t>=NL("Sum","Item Ledger Entry","Quantity","Entry Type","Transfer","Entry No.",I1558,"Location Code",$L$7)</t>
  </si>
  <si>
    <t>=NL("Sum","Item Ledger Entry","Quantity","Entry Type","Transfer","Entry No.",I1559,"Location Code",$L$7)</t>
  </si>
  <si>
    <t>=NL("Sum","Item Ledger Entry","Quantity","Entry Type","Transfer","Entry No.",I1560,"Location Code",$L$7)</t>
  </si>
  <si>
    <t>=NL("Sum","Item Ledger Entry","Quantity","Entry Type","Transfer","Entry No.",I1561,"Location Code",$L$7)</t>
  </si>
  <si>
    <t>=NL("Sum","Item Ledger Entry","Quantity","Entry Type","Transfer","Entry No.",I1562,"Location Code",$L$7)</t>
  </si>
  <si>
    <t>=NL("Sum","Item Ledger Entry","Quantity","Entry Type","Consumption","Entry No.",I1551,"Location Code",$L$7)</t>
  </si>
  <si>
    <t>=NL("Sum","Item Ledger Entry","Quantity","Entry Type","Consumption","Entry No.",I1552,"Location Code",$L$7)</t>
  </si>
  <si>
    <t>=NL("Sum","Item Ledger Entry","Quantity","Entry Type","Consumption","Entry No.",I1553,"Location Code",$L$7)</t>
  </si>
  <si>
    <t>=NL("Sum","Item Ledger Entry","Quantity","Entry Type","Consumption","Entry No.",I1554,"Location Code",$L$7)</t>
  </si>
  <si>
    <t>=NL("Sum","Item Ledger Entry","Quantity","Entry Type","Consumption","Entry No.",I1555,"Location Code",$L$7)</t>
  </si>
  <si>
    <t>=NL("Sum","Item Ledger Entry","Quantity","Entry Type","Consumption","Entry No.",I1556,"Location Code",$L$7)</t>
  </si>
  <si>
    <t>=NL("Sum","Item Ledger Entry","Quantity","Entry Type","Consumption","Entry No.",I1557,"Location Code",$L$7)</t>
  </si>
  <si>
    <t>=NL("Sum","Item Ledger Entry","Quantity","Entry Type","Consumption","Entry No.",I1558,"Location Code",$L$7)</t>
  </si>
  <si>
    <t>=NL("Sum","Item Ledger Entry","Quantity","Entry Type","Consumption","Entry No.",I1559,"Location Code",$L$7)</t>
  </si>
  <si>
    <t>=NL("Sum","Item Ledger Entry","Quantity","Entry Type","Consumption","Entry No.",I1560,"Location Code",$L$7)</t>
  </si>
  <si>
    <t>=NL("Sum","Item Ledger Entry","Quantity","Entry Type","Consumption","Entry No.",I1561,"Location Code",$L$7)</t>
  </si>
  <si>
    <t>=NL("Sum","Item Ledger Entry","Quantity","Entry Type","Consumption","Entry No.",I1562,"Location Code",$L$7)</t>
  </si>
  <si>
    <t>=NL("Sum","Item Ledger Entry","Quantity","Entry Type","Output","Entry No.",I1551,"Location Code",$L$7)</t>
  </si>
  <si>
    <t>=NL("Sum","Item Ledger Entry","Quantity","Entry Type","Output","Entry No.",I1552,"Location Code",$L$7)</t>
  </si>
  <si>
    <t>=NL("Sum","Item Ledger Entry","Quantity","Entry Type","Output","Entry No.",I1553,"Location Code",$L$7)</t>
  </si>
  <si>
    <t>=NL("Sum","Item Ledger Entry","Quantity","Entry Type","Output","Entry No.",I1554,"Location Code",$L$7)</t>
  </si>
  <si>
    <t>=NL("Sum","Item Ledger Entry","Quantity","Entry Type","Output","Entry No.",I1555,"Location Code",$L$7)</t>
  </si>
  <si>
    <t>=NL("Sum","Item Ledger Entry","Quantity","Entry Type","Output","Entry No.",I1556,"Location Code",$L$7)</t>
  </si>
  <si>
    <t>=NL("Sum","Item Ledger Entry","Quantity","Entry Type","Output","Entry No.",I1557,"Location Code",$L$7)</t>
  </si>
  <si>
    <t>=NL("Sum","Item Ledger Entry","Quantity","Entry Type","Output","Entry No.",I1558,"Location Code",$L$7)</t>
  </si>
  <si>
    <t>=NL("Sum","Item Ledger Entry","Quantity","Entry Type","Output","Entry No.",I1559,"Location Code",$L$7)</t>
  </si>
  <si>
    <t>=NL("Sum","Item Ledger Entry","Quantity","Entry Type","Output","Entry No.",I1560,"Location Code",$L$7)</t>
  </si>
  <si>
    <t>=NL("Sum","Item Ledger Entry","Quantity","Entry Type","Output","Entry No.",I1561,"Location Code",$L$7)</t>
  </si>
  <si>
    <t>=NL("Sum","Item Ledger Entry","Quantity","Entry Type","Output","Entry No.",I1562,"Location Code",$L$7)</t>
  </si>
  <si>
    <t>=NF(G1551,"Source Type")</t>
  </si>
  <si>
    <t>=NF(G1552,"Source Type")</t>
  </si>
  <si>
    <t>=NF(G1553,"Source Type")</t>
  </si>
  <si>
    <t>=NF(G1554,"Source Type")</t>
  </si>
  <si>
    <t>=NF(G1555,"Source Type")</t>
  </si>
  <si>
    <t>=NF(G1556,"Source Type")</t>
  </si>
  <si>
    <t>=NF(G1557,"Source Type")</t>
  </si>
  <si>
    <t>=NF(G1558,"Source Type")</t>
  </si>
  <si>
    <t>=NF(G1559,"Source Type")</t>
  </si>
  <si>
    <t>=NF(G1560,"Source Type")</t>
  </si>
  <si>
    <t>=NF(G1561,"Source Type")</t>
  </si>
  <si>
    <t>=NF(G1562,"Source Type")</t>
  </si>
  <si>
    <t>=NF($G1551,"Source No.")</t>
  </si>
  <si>
    <t>=NF($G1552,"Source No.")</t>
  </si>
  <si>
    <t>=NF($G1553,"Source No.")</t>
  </si>
  <si>
    <t>=NF($G1554,"Source No.")</t>
  </si>
  <si>
    <t>=NF($G1555,"Source No.")</t>
  </si>
  <si>
    <t>=NF($G1556,"Source No.")</t>
  </si>
  <si>
    <t>=NF($G1557,"Source No.")</t>
  </si>
  <si>
    <t>=NF($G1558,"Source No.")</t>
  </si>
  <si>
    <t>=NF($G1559,"Source No.")</t>
  </si>
  <si>
    <t>=NF($G1560,"Source No.")</t>
  </si>
  <si>
    <t>=NF($G1561,"Source No.")</t>
  </si>
  <si>
    <t>=NF($G1562,"Source No.")</t>
  </si>
  <si>
    <t>=NF($G1537,"Posting Date")</t>
  </si>
  <si>
    <t>=NF($G1538,"Posting Date")</t>
  </si>
  <si>
    <t>=NF($G1539,"Posting Date")</t>
  </si>
  <si>
    <t>=NF($G1540,"Posting Date")</t>
  </si>
  <si>
    <t>=NF($G1541,"Posting Date")</t>
  </si>
  <si>
    <t>=NF($G1542,"Posting Date")</t>
  </si>
  <si>
    <t>=NF($G1543,"Posting Date")</t>
  </si>
  <si>
    <t>=NF($G1544,"Posting Date")</t>
  </si>
  <si>
    <t>=NF($G1545,"Posting Date")</t>
  </si>
  <si>
    <t>=NF($G1546,"Posting Date")</t>
  </si>
  <si>
    <t>=NF($G1547,"Posting Date")</t>
  </si>
  <si>
    <t>=NF($G1537,"Entry No.")</t>
  </si>
  <si>
    <t>=NF($G1538,"Entry No.")</t>
  </si>
  <si>
    <t>=NF($G1539,"Entry No.")</t>
  </si>
  <si>
    <t>=NF($G1540,"Entry No.")</t>
  </si>
  <si>
    <t>=NF($G1541,"Entry No.")</t>
  </si>
  <si>
    <t>=NF($G1542,"Entry No.")</t>
  </si>
  <si>
    <t>=NF($G1543,"Entry No.")</t>
  </si>
  <si>
    <t>=NF($G1544,"Entry No.")</t>
  </si>
  <si>
    <t>=NF($G1545,"Entry No.")</t>
  </si>
  <si>
    <t>=NF($G1546,"Entry No.")</t>
  </si>
  <si>
    <t>=NF($G1547,"Entry No.")</t>
  </si>
  <si>
    <t>=NL("Sum","Item Ledger Entry","Quantity","Entry Type","Purchase","Entry No.",I1537,"Location Code",$L$7)</t>
  </si>
  <si>
    <t>=NL("Sum","Item Ledger Entry","Quantity","Entry Type","Purchase","Entry No.",I1538,"Location Code",$L$7)</t>
  </si>
  <si>
    <t>=NL("Sum","Item Ledger Entry","Quantity","Entry Type","Purchase","Entry No.",I1539,"Location Code",$L$7)</t>
  </si>
  <si>
    <t>=NL("Sum","Item Ledger Entry","Quantity","Entry Type","Purchase","Entry No.",I1540,"Location Code",$L$7)</t>
  </si>
  <si>
    <t>=NL("Sum","Item Ledger Entry","Quantity","Entry Type","Purchase","Entry No.",I1541,"Location Code",$L$7)</t>
  </si>
  <si>
    <t>=NL("Sum","Item Ledger Entry","Quantity","Entry Type","Purchase","Entry No.",I1542,"Location Code",$L$7)</t>
  </si>
  <si>
    <t>=NL("Sum","Item Ledger Entry","Quantity","Entry Type","Purchase","Entry No.",I1543,"Location Code",$L$7)</t>
  </si>
  <si>
    <t>=NL("Sum","Item Ledger Entry","Quantity","Entry Type","Purchase","Entry No.",I1544,"Location Code",$L$7)</t>
  </si>
  <si>
    <t>=NL("Sum","Item Ledger Entry","Quantity","Entry Type","Purchase","Entry No.",I1545,"Location Code",$L$7)</t>
  </si>
  <si>
    <t>=NL("Sum","Item Ledger Entry","Quantity","Entry Type","Purchase","Entry No.",I1546,"Location Code",$L$7)</t>
  </si>
  <si>
    <t>=NL("Sum","Item Ledger Entry","Quantity","Entry Type","Purchase","Entry No.",I1547,"Location Code",$L$7)</t>
  </si>
  <si>
    <t>=NL("Sum","Item Ledger Entry","Quantity","Entry Type","Sale","Entry No.",I1537,"Location Code",$L$7)</t>
  </si>
  <si>
    <t>=NL("Sum","Item Ledger Entry","Quantity","Entry Type","Sale","Entry No.",I1538,"Location Code",$L$7)</t>
  </si>
  <si>
    <t>=NL("Sum","Item Ledger Entry","Quantity","Entry Type","Sale","Entry No.",I1539,"Location Code",$L$7)</t>
  </si>
  <si>
    <t>=NL("Sum","Item Ledger Entry","Quantity","Entry Type","Sale","Entry No.",I1540,"Location Code",$L$7)</t>
  </si>
  <si>
    <t>=NL("Sum","Item Ledger Entry","Quantity","Entry Type","Sale","Entry No.",I1541,"Location Code",$L$7)</t>
  </si>
  <si>
    <t>=NL("Sum","Item Ledger Entry","Quantity","Entry Type","Sale","Entry No.",I1542,"Location Code",$L$7)</t>
  </si>
  <si>
    <t>=NL("Sum","Item Ledger Entry","Quantity","Entry Type","Sale","Entry No.",I1543,"Location Code",$L$7)</t>
  </si>
  <si>
    <t>=NL("Sum","Item Ledger Entry","Quantity","Entry Type","Sale","Entry No.",I1544,"Location Code",$L$7)</t>
  </si>
  <si>
    <t>=NL("Sum","Item Ledger Entry","Quantity","Entry Type","Sale","Entry No.",I1545,"Location Code",$L$7)</t>
  </si>
  <si>
    <t>=NL("Sum","Item Ledger Entry","Quantity","Entry Type","Sale","Entry No.",I1546,"Location Code",$L$7)</t>
  </si>
  <si>
    <t>=NL("Sum","Item Ledger Entry","Quantity","Entry Type","Sale","Entry No.",I1547,"Location Code",$L$7)</t>
  </si>
  <si>
    <t>=NL("Sum","Item Ledger Entry","Quantity","Entry Type","Positive Adjmt.|Negative Adjmt.","Entry No.",I1537,"Location Code",$L$7)</t>
  </si>
  <si>
    <t>=NL("Sum","Item Ledger Entry","Quantity","Entry Type","Positive Adjmt.|Negative Adjmt.","Entry No.",I1538,"Location Code",$L$7)</t>
  </si>
  <si>
    <t>=NL("Sum","Item Ledger Entry","Quantity","Entry Type","Positive Adjmt.|Negative Adjmt.","Entry No.",I1539,"Location Code",$L$7)</t>
  </si>
  <si>
    <t>=NL("Sum","Item Ledger Entry","Quantity","Entry Type","Positive Adjmt.|Negative Adjmt.","Entry No.",I1540,"Location Code",$L$7)</t>
  </si>
  <si>
    <t>=NL("Sum","Item Ledger Entry","Quantity","Entry Type","Positive Adjmt.|Negative Adjmt.","Entry No.",I1541,"Location Code",$L$7)</t>
  </si>
  <si>
    <t>=NL("Sum","Item Ledger Entry","Quantity","Entry Type","Positive Adjmt.|Negative Adjmt.","Entry No.",I1542,"Location Code",$L$7)</t>
  </si>
  <si>
    <t>=NL("Sum","Item Ledger Entry","Quantity","Entry Type","Positive Adjmt.|Negative Adjmt.","Entry No.",I1543,"Location Code",$L$7)</t>
  </si>
  <si>
    <t>=NL("Sum","Item Ledger Entry","Quantity","Entry Type","Positive Adjmt.|Negative Adjmt.","Entry No.",I1544,"Location Code",$L$7)</t>
  </si>
  <si>
    <t>=NL("Sum","Item Ledger Entry","Quantity","Entry Type","Positive Adjmt.|Negative Adjmt.","Entry No.",I1545,"Location Code",$L$7)</t>
  </si>
  <si>
    <t>=NL("Sum","Item Ledger Entry","Quantity","Entry Type","Positive Adjmt.|Negative Adjmt.","Entry No.",I1546,"Location Code",$L$7)</t>
  </si>
  <si>
    <t>=NL("Sum","Item Ledger Entry","Quantity","Entry Type","Positive Adjmt.|Negative Adjmt.","Entry No.",I1547,"Location Code",$L$7)</t>
  </si>
  <si>
    <t>=NL("Sum","Item Ledger Entry","Quantity","Entry Type","Transfer","Entry No.",I1537,"Location Code",$L$7)</t>
  </si>
  <si>
    <t>=NL("Sum","Item Ledger Entry","Quantity","Entry Type","Transfer","Entry No.",I1538,"Location Code",$L$7)</t>
  </si>
  <si>
    <t>=NL("Sum","Item Ledger Entry","Quantity","Entry Type","Transfer","Entry No.",I1539,"Location Code",$L$7)</t>
  </si>
  <si>
    <t>=NL("Sum","Item Ledger Entry","Quantity","Entry Type","Transfer","Entry No.",I1540,"Location Code",$L$7)</t>
  </si>
  <si>
    <t>=NL("Sum","Item Ledger Entry","Quantity","Entry Type","Transfer","Entry No.",I1541,"Location Code",$L$7)</t>
  </si>
  <si>
    <t>=NL("Sum","Item Ledger Entry","Quantity","Entry Type","Transfer","Entry No.",I1542,"Location Code",$L$7)</t>
  </si>
  <si>
    <t>=NL("Sum","Item Ledger Entry","Quantity","Entry Type","Transfer","Entry No.",I1543,"Location Code",$L$7)</t>
  </si>
  <si>
    <t>=NL("Sum","Item Ledger Entry","Quantity","Entry Type","Transfer","Entry No.",I1544,"Location Code",$L$7)</t>
  </si>
  <si>
    <t>=NL("Sum","Item Ledger Entry","Quantity","Entry Type","Transfer","Entry No.",I1545,"Location Code",$L$7)</t>
  </si>
  <si>
    <t>=NL("Sum","Item Ledger Entry","Quantity","Entry Type","Transfer","Entry No.",I1546,"Location Code",$L$7)</t>
  </si>
  <si>
    <t>=NL("Sum","Item Ledger Entry","Quantity","Entry Type","Transfer","Entry No.",I1547,"Location Code",$L$7)</t>
  </si>
  <si>
    <t>=NL("Sum","Item Ledger Entry","Quantity","Entry Type","Consumption","Entry No.",I1537,"Location Code",$L$7)</t>
  </si>
  <si>
    <t>=NL("Sum","Item Ledger Entry","Quantity","Entry Type","Consumption","Entry No.",I1538,"Location Code",$L$7)</t>
  </si>
  <si>
    <t>=NL("Sum","Item Ledger Entry","Quantity","Entry Type","Consumption","Entry No.",I1539,"Location Code",$L$7)</t>
  </si>
  <si>
    <t>=NL("Sum","Item Ledger Entry","Quantity","Entry Type","Consumption","Entry No.",I1540,"Location Code",$L$7)</t>
  </si>
  <si>
    <t>=NL("Sum","Item Ledger Entry","Quantity","Entry Type","Consumption","Entry No.",I1541,"Location Code",$L$7)</t>
  </si>
  <si>
    <t>=NL("Sum","Item Ledger Entry","Quantity","Entry Type","Consumption","Entry No.",I1542,"Location Code",$L$7)</t>
  </si>
  <si>
    <t>=NL("Sum","Item Ledger Entry","Quantity","Entry Type","Consumption","Entry No.",I1543,"Location Code",$L$7)</t>
  </si>
  <si>
    <t>=NL("Sum","Item Ledger Entry","Quantity","Entry Type","Consumption","Entry No.",I1544,"Location Code",$L$7)</t>
  </si>
  <si>
    <t>=NL("Sum","Item Ledger Entry","Quantity","Entry Type","Consumption","Entry No.",I1545,"Location Code",$L$7)</t>
  </si>
  <si>
    <t>=NL("Sum","Item Ledger Entry","Quantity","Entry Type","Consumption","Entry No.",I1546,"Location Code",$L$7)</t>
  </si>
  <si>
    <t>=NL("Sum","Item Ledger Entry","Quantity","Entry Type","Consumption","Entry No.",I1547,"Location Code",$L$7)</t>
  </si>
  <si>
    <t>=NL("Sum","Item Ledger Entry","Quantity","Entry Type","Output","Entry No.",I1537,"Location Code",$L$7)</t>
  </si>
  <si>
    <t>=NL("Sum","Item Ledger Entry","Quantity","Entry Type","Output","Entry No.",I1538,"Location Code",$L$7)</t>
  </si>
  <si>
    <t>=NL("Sum","Item Ledger Entry","Quantity","Entry Type","Output","Entry No.",I1539,"Location Code",$L$7)</t>
  </si>
  <si>
    <t>=NL("Sum","Item Ledger Entry","Quantity","Entry Type","Output","Entry No.",I1540,"Location Code",$L$7)</t>
  </si>
  <si>
    <t>=NL("Sum","Item Ledger Entry","Quantity","Entry Type","Output","Entry No.",I1541,"Location Code",$L$7)</t>
  </si>
  <si>
    <t>=NL("Sum","Item Ledger Entry","Quantity","Entry Type","Output","Entry No.",I1542,"Location Code",$L$7)</t>
  </si>
  <si>
    <t>=NL("Sum","Item Ledger Entry","Quantity","Entry Type","Output","Entry No.",I1543,"Location Code",$L$7)</t>
  </si>
  <si>
    <t>=NL("Sum","Item Ledger Entry","Quantity","Entry Type","Output","Entry No.",I1544,"Location Code",$L$7)</t>
  </si>
  <si>
    <t>=NL("Sum","Item Ledger Entry","Quantity","Entry Type","Output","Entry No.",I1545,"Location Code",$L$7)</t>
  </si>
  <si>
    <t>=NL("Sum","Item Ledger Entry","Quantity","Entry Type","Output","Entry No.",I1546,"Location Code",$L$7)</t>
  </si>
  <si>
    <t>=NL("Sum","Item Ledger Entry","Quantity","Entry Type","Output","Entry No.",I1547,"Location Code",$L$7)</t>
  </si>
  <si>
    <t>=NF(G1537,"Source Type")</t>
  </si>
  <si>
    <t>=NF(G1538,"Source Type")</t>
  </si>
  <si>
    <t>=NF(G1539,"Source Type")</t>
  </si>
  <si>
    <t>=NF(G1540,"Source Type")</t>
  </si>
  <si>
    <t>=NF(G1541,"Source Type")</t>
  </si>
  <si>
    <t>=NF(G1542,"Source Type")</t>
  </si>
  <si>
    <t>=NF(G1543,"Source Type")</t>
  </si>
  <si>
    <t>=NF(G1544,"Source Type")</t>
  </si>
  <si>
    <t>=NF(G1545,"Source Type")</t>
  </si>
  <si>
    <t>=NF(G1546,"Source Type")</t>
  </si>
  <si>
    <t>=NF(G1547,"Source Type")</t>
  </si>
  <si>
    <t>=NF($G1537,"Source No.")</t>
  </si>
  <si>
    <t>=NF($G1538,"Source No.")</t>
  </si>
  <si>
    <t>=NF($G1539,"Source No.")</t>
  </si>
  <si>
    <t>=NF($G1540,"Source No.")</t>
  </si>
  <si>
    <t>=NF($G1541,"Source No.")</t>
  </si>
  <si>
    <t>=NF($G1542,"Source No.")</t>
  </si>
  <si>
    <t>=NF($G1543,"Source No.")</t>
  </si>
  <si>
    <t>=NF($G1544,"Source No.")</t>
  </si>
  <si>
    <t>=NF($G1545,"Source No.")</t>
  </si>
  <si>
    <t>=NF($G1546,"Source No.")</t>
  </si>
  <si>
    <t>=NF($G1547,"Source No.")</t>
  </si>
  <si>
    <t>=NF($G1525,"Posting Date")</t>
  </si>
  <si>
    <t>=NF($G1526,"Posting Date")</t>
  </si>
  <si>
    <t>=NF($G1527,"Posting Date")</t>
  </si>
  <si>
    <t>=NF($G1528,"Posting Date")</t>
  </si>
  <si>
    <t>=NF($G1529,"Posting Date")</t>
  </si>
  <si>
    <t>=NF($G1530,"Posting Date")</t>
  </si>
  <si>
    <t>=NF($G1531,"Posting Date")</t>
  </si>
  <si>
    <t>=NF($G1532,"Posting Date")</t>
  </si>
  <si>
    <t>=NF($G1533,"Posting Date")</t>
  </si>
  <si>
    <t>=NF($G1525,"Entry No.")</t>
  </si>
  <si>
    <t>=NF($G1526,"Entry No.")</t>
  </si>
  <si>
    <t>=NF($G1527,"Entry No.")</t>
  </si>
  <si>
    <t>=NF($G1528,"Entry No.")</t>
  </si>
  <si>
    <t>=NF($G1529,"Entry No.")</t>
  </si>
  <si>
    <t>=NF($G1530,"Entry No.")</t>
  </si>
  <si>
    <t>=NF($G1531,"Entry No.")</t>
  </si>
  <si>
    <t>=NF($G1532,"Entry No.")</t>
  </si>
  <si>
    <t>=NF($G1533,"Entry No.")</t>
  </si>
  <si>
    <t>=NL("Sum","Item Ledger Entry","Quantity","Entry Type","Purchase","Entry No.",I1525,"Location Code",$L$7)</t>
  </si>
  <si>
    <t>=NL("Sum","Item Ledger Entry","Quantity","Entry Type","Purchase","Entry No.",I1526,"Location Code",$L$7)</t>
  </si>
  <si>
    <t>=NL("Sum","Item Ledger Entry","Quantity","Entry Type","Purchase","Entry No.",I1527,"Location Code",$L$7)</t>
  </si>
  <si>
    <t>=NL("Sum","Item Ledger Entry","Quantity","Entry Type","Purchase","Entry No.",I1528,"Location Code",$L$7)</t>
  </si>
  <si>
    <t>=NL("Sum","Item Ledger Entry","Quantity","Entry Type","Purchase","Entry No.",I1529,"Location Code",$L$7)</t>
  </si>
  <si>
    <t>=NL("Sum","Item Ledger Entry","Quantity","Entry Type","Purchase","Entry No.",I1530,"Location Code",$L$7)</t>
  </si>
  <si>
    <t>=NL("Sum","Item Ledger Entry","Quantity","Entry Type","Purchase","Entry No.",I1531,"Location Code",$L$7)</t>
  </si>
  <si>
    <t>=NL("Sum","Item Ledger Entry","Quantity","Entry Type","Purchase","Entry No.",I1532,"Location Code",$L$7)</t>
  </si>
  <si>
    <t>=NL("Sum","Item Ledger Entry","Quantity","Entry Type","Purchase","Entry No.",I1533,"Location Code",$L$7)</t>
  </si>
  <si>
    <t>=NL("Sum","Item Ledger Entry","Quantity","Entry Type","Sale","Entry No.",I1525,"Location Code",$L$7)</t>
  </si>
  <si>
    <t>=NL("Sum","Item Ledger Entry","Quantity","Entry Type","Sale","Entry No.",I1526,"Location Code",$L$7)</t>
  </si>
  <si>
    <t>=NL("Sum","Item Ledger Entry","Quantity","Entry Type","Sale","Entry No.",I1527,"Location Code",$L$7)</t>
  </si>
  <si>
    <t>=NL("Sum","Item Ledger Entry","Quantity","Entry Type","Sale","Entry No.",I1528,"Location Code",$L$7)</t>
  </si>
  <si>
    <t>=NL("Sum","Item Ledger Entry","Quantity","Entry Type","Sale","Entry No.",I1529,"Location Code",$L$7)</t>
  </si>
  <si>
    <t>=NL("Sum","Item Ledger Entry","Quantity","Entry Type","Sale","Entry No.",I1530,"Location Code",$L$7)</t>
  </si>
  <si>
    <t>=NL("Sum","Item Ledger Entry","Quantity","Entry Type","Sale","Entry No.",I1531,"Location Code",$L$7)</t>
  </si>
  <si>
    <t>=NL("Sum","Item Ledger Entry","Quantity","Entry Type","Sale","Entry No.",I1532,"Location Code",$L$7)</t>
  </si>
  <si>
    <t>=NL("Sum","Item Ledger Entry","Quantity","Entry Type","Sale","Entry No.",I1533,"Location Code",$L$7)</t>
  </si>
  <si>
    <t>=NL("Sum","Item Ledger Entry","Quantity","Entry Type","Positive Adjmt.|Negative Adjmt.","Entry No.",I1525,"Location Code",$L$7)</t>
  </si>
  <si>
    <t>=NL("Sum","Item Ledger Entry","Quantity","Entry Type","Positive Adjmt.|Negative Adjmt.","Entry No.",I1526,"Location Code",$L$7)</t>
  </si>
  <si>
    <t>=NL("Sum","Item Ledger Entry","Quantity","Entry Type","Positive Adjmt.|Negative Adjmt.","Entry No.",I1527,"Location Code",$L$7)</t>
  </si>
  <si>
    <t>=NL("Sum","Item Ledger Entry","Quantity","Entry Type","Positive Adjmt.|Negative Adjmt.","Entry No.",I1528,"Location Code",$L$7)</t>
  </si>
  <si>
    <t>=NL("Sum","Item Ledger Entry","Quantity","Entry Type","Positive Adjmt.|Negative Adjmt.","Entry No.",I1529,"Location Code",$L$7)</t>
  </si>
  <si>
    <t>=NL("Sum","Item Ledger Entry","Quantity","Entry Type","Positive Adjmt.|Negative Adjmt.","Entry No.",I1530,"Location Code",$L$7)</t>
  </si>
  <si>
    <t>=NL("Sum","Item Ledger Entry","Quantity","Entry Type","Positive Adjmt.|Negative Adjmt.","Entry No.",I1531,"Location Code",$L$7)</t>
  </si>
  <si>
    <t>=NL("Sum","Item Ledger Entry","Quantity","Entry Type","Positive Adjmt.|Negative Adjmt.","Entry No.",I1532,"Location Code",$L$7)</t>
  </si>
  <si>
    <t>=NL("Sum","Item Ledger Entry","Quantity","Entry Type","Positive Adjmt.|Negative Adjmt.","Entry No.",I1533,"Location Code",$L$7)</t>
  </si>
  <si>
    <t>=NL("Sum","Item Ledger Entry","Quantity","Entry Type","Transfer","Entry No.",I1525,"Location Code",$L$7)</t>
  </si>
  <si>
    <t>=NL("Sum","Item Ledger Entry","Quantity","Entry Type","Transfer","Entry No.",I1526,"Location Code",$L$7)</t>
  </si>
  <si>
    <t>=NL("Sum","Item Ledger Entry","Quantity","Entry Type","Transfer","Entry No.",I1527,"Location Code",$L$7)</t>
  </si>
  <si>
    <t>=NL("Sum","Item Ledger Entry","Quantity","Entry Type","Transfer","Entry No.",I1528,"Location Code",$L$7)</t>
  </si>
  <si>
    <t>=NL("Sum","Item Ledger Entry","Quantity","Entry Type","Transfer","Entry No.",I1529,"Location Code",$L$7)</t>
  </si>
  <si>
    <t>=NL("Sum","Item Ledger Entry","Quantity","Entry Type","Transfer","Entry No.",I1530,"Location Code",$L$7)</t>
  </si>
  <si>
    <t>=NL("Sum","Item Ledger Entry","Quantity","Entry Type","Transfer","Entry No.",I1531,"Location Code",$L$7)</t>
  </si>
  <si>
    <t>=NL("Sum","Item Ledger Entry","Quantity","Entry Type","Transfer","Entry No.",I1532,"Location Code",$L$7)</t>
  </si>
  <si>
    <t>=NL("Sum","Item Ledger Entry","Quantity","Entry Type","Transfer","Entry No.",I1533,"Location Code",$L$7)</t>
  </si>
  <si>
    <t>=NL("Sum","Item Ledger Entry","Quantity","Entry Type","Consumption","Entry No.",I1525,"Location Code",$L$7)</t>
  </si>
  <si>
    <t>=NL("Sum","Item Ledger Entry","Quantity","Entry Type","Consumption","Entry No.",I1526,"Location Code",$L$7)</t>
  </si>
  <si>
    <t>=NL("Sum","Item Ledger Entry","Quantity","Entry Type","Consumption","Entry No.",I1527,"Location Code",$L$7)</t>
  </si>
  <si>
    <t>=NL("Sum","Item Ledger Entry","Quantity","Entry Type","Consumption","Entry No.",I1528,"Location Code",$L$7)</t>
  </si>
  <si>
    <t>=NL("Sum","Item Ledger Entry","Quantity","Entry Type","Consumption","Entry No.",I1529,"Location Code",$L$7)</t>
  </si>
  <si>
    <t>=NL("Sum","Item Ledger Entry","Quantity","Entry Type","Consumption","Entry No.",I1530,"Location Code",$L$7)</t>
  </si>
  <si>
    <t>=NL("Sum","Item Ledger Entry","Quantity","Entry Type","Consumption","Entry No.",I1531,"Location Code",$L$7)</t>
  </si>
  <si>
    <t>=NL("Sum","Item Ledger Entry","Quantity","Entry Type","Consumption","Entry No.",I1532,"Location Code",$L$7)</t>
  </si>
  <si>
    <t>=NL("Sum","Item Ledger Entry","Quantity","Entry Type","Consumption","Entry No.",I1533,"Location Code",$L$7)</t>
  </si>
  <si>
    <t>=NL("Sum","Item Ledger Entry","Quantity","Entry Type","Output","Entry No.",I1525,"Location Code",$L$7)</t>
  </si>
  <si>
    <t>=NL("Sum","Item Ledger Entry","Quantity","Entry Type","Output","Entry No.",I1526,"Location Code",$L$7)</t>
  </si>
  <si>
    <t>=NL("Sum","Item Ledger Entry","Quantity","Entry Type","Output","Entry No.",I1527,"Location Code",$L$7)</t>
  </si>
  <si>
    <t>=NL("Sum","Item Ledger Entry","Quantity","Entry Type","Output","Entry No.",I1528,"Location Code",$L$7)</t>
  </si>
  <si>
    <t>=NL("Sum","Item Ledger Entry","Quantity","Entry Type","Output","Entry No.",I1529,"Location Code",$L$7)</t>
  </si>
  <si>
    <t>=NL("Sum","Item Ledger Entry","Quantity","Entry Type","Output","Entry No.",I1530,"Location Code",$L$7)</t>
  </si>
  <si>
    <t>=NL("Sum","Item Ledger Entry","Quantity","Entry Type","Output","Entry No.",I1531,"Location Code",$L$7)</t>
  </si>
  <si>
    <t>=NL("Sum","Item Ledger Entry","Quantity","Entry Type","Output","Entry No.",I1532,"Location Code",$L$7)</t>
  </si>
  <si>
    <t>=NL("Sum","Item Ledger Entry","Quantity","Entry Type","Output","Entry No.",I1533,"Location Code",$L$7)</t>
  </si>
  <si>
    <t>=NF(G1525,"Source Type")</t>
  </si>
  <si>
    <t>=NF(G1526,"Source Type")</t>
  </si>
  <si>
    <t>=NF(G1527,"Source Type")</t>
  </si>
  <si>
    <t>=NF(G1528,"Source Type")</t>
  </si>
  <si>
    <t>=NF(G1529,"Source Type")</t>
  </si>
  <si>
    <t>=NF(G1530,"Source Type")</t>
  </si>
  <si>
    <t>=NF(G1531,"Source Type")</t>
  </si>
  <si>
    <t>=NF(G1532,"Source Type")</t>
  </si>
  <si>
    <t>=NF(G1533,"Source Type")</t>
  </si>
  <si>
    <t>=NF($G1525,"Source No.")</t>
  </si>
  <si>
    <t>=NF($G1526,"Source No.")</t>
  </si>
  <si>
    <t>=NF($G1527,"Source No.")</t>
  </si>
  <si>
    <t>=NF($G1528,"Source No.")</t>
  </si>
  <si>
    <t>=NF($G1529,"Source No.")</t>
  </si>
  <si>
    <t>=NF($G1530,"Source No.")</t>
  </si>
  <si>
    <t>=NF($G1531,"Source No.")</t>
  </si>
  <si>
    <t>=NF($G1532,"Source No.")</t>
  </si>
  <si>
    <t>=NF($G1533,"Source No.")</t>
  </si>
  <si>
    <t>=NF($G1511,"Posting Date")</t>
  </si>
  <si>
    <t>=NF($G1512,"Posting Date")</t>
  </si>
  <si>
    <t>=NF($G1513,"Posting Date")</t>
  </si>
  <si>
    <t>=NF($G1514,"Posting Date")</t>
  </si>
  <si>
    <t>=NF($G1515,"Posting Date")</t>
  </si>
  <si>
    <t>=NF($G1516,"Posting Date")</t>
  </si>
  <si>
    <t>=NF($G1517,"Posting Date")</t>
  </si>
  <si>
    <t>=NF($G1518,"Posting Date")</t>
  </si>
  <si>
    <t>=NF($G1519,"Posting Date")</t>
  </si>
  <si>
    <t>=NF($G1520,"Posting Date")</t>
  </si>
  <si>
    <t>=NF($G1521,"Posting Date")</t>
  </si>
  <si>
    <t>=NF($G1511,"Entry No.")</t>
  </si>
  <si>
    <t>=NF($G1512,"Entry No.")</t>
  </si>
  <si>
    <t>=NF($G1513,"Entry No.")</t>
  </si>
  <si>
    <t>=NF($G1514,"Entry No.")</t>
  </si>
  <si>
    <t>=NF($G1515,"Entry No.")</t>
  </si>
  <si>
    <t>=NF($G1516,"Entry No.")</t>
  </si>
  <si>
    <t>=NF($G1517,"Entry No.")</t>
  </si>
  <si>
    <t>=NF($G1518,"Entry No.")</t>
  </si>
  <si>
    <t>=NF($G1519,"Entry No.")</t>
  </si>
  <si>
    <t>=NF($G1520,"Entry No.")</t>
  </si>
  <si>
    <t>=NF($G1521,"Entry No.")</t>
  </si>
  <si>
    <t>=NL("Sum","Item Ledger Entry","Quantity","Entry Type","Purchase","Entry No.",I1511,"Location Code",$L$7)</t>
  </si>
  <si>
    <t>=NL("Sum","Item Ledger Entry","Quantity","Entry Type","Purchase","Entry No.",I1512,"Location Code",$L$7)</t>
  </si>
  <si>
    <t>=NL("Sum","Item Ledger Entry","Quantity","Entry Type","Purchase","Entry No.",I1513,"Location Code",$L$7)</t>
  </si>
  <si>
    <t>=NL("Sum","Item Ledger Entry","Quantity","Entry Type","Purchase","Entry No.",I1514,"Location Code",$L$7)</t>
  </si>
  <si>
    <t>=NL("Sum","Item Ledger Entry","Quantity","Entry Type","Purchase","Entry No.",I1515,"Location Code",$L$7)</t>
  </si>
  <si>
    <t>=NL("Sum","Item Ledger Entry","Quantity","Entry Type","Purchase","Entry No.",I1516,"Location Code",$L$7)</t>
  </si>
  <si>
    <t>=NL("Sum","Item Ledger Entry","Quantity","Entry Type","Purchase","Entry No.",I1517,"Location Code",$L$7)</t>
  </si>
  <si>
    <t>=NL("Sum","Item Ledger Entry","Quantity","Entry Type","Purchase","Entry No.",I1518,"Location Code",$L$7)</t>
  </si>
  <si>
    <t>=NL("Sum","Item Ledger Entry","Quantity","Entry Type","Purchase","Entry No.",I1519,"Location Code",$L$7)</t>
  </si>
  <si>
    <t>=NL("Sum","Item Ledger Entry","Quantity","Entry Type","Purchase","Entry No.",I1520,"Location Code",$L$7)</t>
  </si>
  <si>
    <t>=NL("Sum","Item Ledger Entry","Quantity","Entry Type","Purchase","Entry No.",I1521,"Location Code",$L$7)</t>
  </si>
  <si>
    <t>=NL("Sum","Item Ledger Entry","Quantity","Entry Type","Sale","Entry No.",I1511,"Location Code",$L$7)</t>
  </si>
  <si>
    <t>=NL("Sum","Item Ledger Entry","Quantity","Entry Type","Sale","Entry No.",I1512,"Location Code",$L$7)</t>
  </si>
  <si>
    <t>=NL("Sum","Item Ledger Entry","Quantity","Entry Type","Sale","Entry No.",I1513,"Location Code",$L$7)</t>
  </si>
  <si>
    <t>=NL("Sum","Item Ledger Entry","Quantity","Entry Type","Sale","Entry No.",I1514,"Location Code",$L$7)</t>
  </si>
  <si>
    <t>=NL("Sum","Item Ledger Entry","Quantity","Entry Type","Sale","Entry No.",I1515,"Location Code",$L$7)</t>
  </si>
  <si>
    <t>=NL("Sum","Item Ledger Entry","Quantity","Entry Type","Sale","Entry No.",I1516,"Location Code",$L$7)</t>
  </si>
  <si>
    <t>=NL("Sum","Item Ledger Entry","Quantity","Entry Type","Sale","Entry No.",I1517,"Location Code",$L$7)</t>
  </si>
  <si>
    <t>=NL("Sum","Item Ledger Entry","Quantity","Entry Type","Sale","Entry No.",I1518,"Location Code",$L$7)</t>
  </si>
  <si>
    <t>=NL("Sum","Item Ledger Entry","Quantity","Entry Type","Sale","Entry No.",I1519,"Location Code",$L$7)</t>
  </si>
  <si>
    <t>=NL("Sum","Item Ledger Entry","Quantity","Entry Type","Sale","Entry No.",I1520,"Location Code",$L$7)</t>
  </si>
  <si>
    <t>=NL("Sum","Item Ledger Entry","Quantity","Entry Type","Sale","Entry No.",I1521,"Location Code",$L$7)</t>
  </si>
  <si>
    <t>=NL("Sum","Item Ledger Entry","Quantity","Entry Type","Positive Adjmt.|Negative Adjmt.","Entry No.",I1511,"Location Code",$L$7)</t>
  </si>
  <si>
    <t>=NL("Sum","Item Ledger Entry","Quantity","Entry Type","Positive Adjmt.|Negative Adjmt.","Entry No.",I1512,"Location Code",$L$7)</t>
  </si>
  <si>
    <t>=NL("Sum","Item Ledger Entry","Quantity","Entry Type","Positive Adjmt.|Negative Adjmt.","Entry No.",I1513,"Location Code",$L$7)</t>
  </si>
  <si>
    <t>=NL("Sum","Item Ledger Entry","Quantity","Entry Type","Positive Adjmt.|Negative Adjmt.","Entry No.",I1514,"Location Code",$L$7)</t>
  </si>
  <si>
    <t>=NL("Sum","Item Ledger Entry","Quantity","Entry Type","Positive Adjmt.|Negative Adjmt.","Entry No.",I1515,"Location Code",$L$7)</t>
  </si>
  <si>
    <t>=NL("Sum","Item Ledger Entry","Quantity","Entry Type","Positive Adjmt.|Negative Adjmt.","Entry No.",I1516,"Location Code",$L$7)</t>
  </si>
  <si>
    <t>=NL("Sum","Item Ledger Entry","Quantity","Entry Type","Positive Adjmt.|Negative Adjmt.","Entry No.",I1517,"Location Code",$L$7)</t>
  </si>
  <si>
    <t>=NL("Sum","Item Ledger Entry","Quantity","Entry Type","Positive Adjmt.|Negative Adjmt.","Entry No.",I1518,"Location Code",$L$7)</t>
  </si>
  <si>
    <t>=NL("Sum","Item Ledger Entry","Quantity","Entry Type","Positive Adjmt.|Negative Adjmt.","Entry No.",I1519,"Location Code",$L$7)</t>
  </si>
  <si>
    <t>=NL("Sum","Item Ledger Entry","Quantity","Entry Type","Positive Adjmt.|Negative Adjmt.","Entry No.",I1520,"Location Code",$L$7)</t>
  </si>
  <si>
    <t>=NL("Sum","Item Ledger Entry","Quantity","Entry Type","Positive Adjmt.|Negative Adjmt.","Entry No.",I1521,"Location Code",$L$7)</t>
  </si>
  <si>
    <t>=NL("Sum","Item Ledger Entry","Quantity","Entry Type","Transfer","Entry No.",I1511,"Location Code",$L$7)</t>
  </si>
  <si>
    <t>=NL("Sum","Item Ledger Entry","Quantity","Entry Type","Transfer","Entry No.",I1512,"Location Code",$L$7)</t>
  </si>
  <si>
    <t>=NL("Sum","Item Ledger Entry","Quantity","Entry Type","Transfer","Entry No.",I1513,"Location Code",$L$7)</t>
  </si>
  <si>
    <t>=NL("Sum","Item Ledger Entry","Quantity","Entry Type","Transfer","Entry No.",I1514,"Location Code",$L$7)</t>
  </si>
  <si>
    <t>=NL("Sum","Item Ledger Entry","Quantity","Entry Type","Transfer","Entry No.",I1515,"Location Code",$L$7)</t>
  </si>
  <si>
    <t>=NL("Sum","Item Ledger Entry","Quantity","Entry Type","Transfer","Entry No.",I1516,"Location Code",$L$7)</t>
  </si>
  <si>
    <t>=NL("Sum","Item Ledger Entry","Quantity","Entry Type","Transfer","Entry No.",I1517,"Location Code",$L$7)</t>
  </si>
  <si>
    <t>=NL("Sum","Item Ledger Entry","Quantity","Entry Type","Transfer","Entry No.",I1518,"Location Code",$L$7)</t>
  </si>
  <si>
    <t>=NL("Sum","Item Ledger Entry","Quantity","Entry Type","Transfer","Entry No.",I1519,"Location Code",$L$7)</t>
  </si>
  <si>
    <t>=NL("Sum","Item Ledger Entry","Quantity","Entry Type","Transfer","Entry No.",I1520,"Location Code",$L$7)</t>
  </si>
  <si>
    <t>=NL("Sum","Item Ledger Entry","Quantity","Entry Type","Transfer","Entry No.",I1521,"Location Code",$L$7)</t>
  </si>
  <si>
    <t>=NL("Sum","Item Ledger Entry","Quantity","Entry Type","Consumption","Entry No.",I1511,"Location Code",$L$7)</t>
  </si>
  <si>
    <t>=NL("Sum","Item Ledger Entry","Quantity","Entry Type","Consumption","Entry No.",I1512,"Location Code",$L$7)</t>
  </si>
  <si>
    <t>=NL("Sum","Item Ledger Entry","Quantity","Entry Type","Consumption","Entry No.",I1513,"Location Code",$L$7)</t>
  </si>
  <si>
    <t>=NL("Sum","Item Ledger Entry","Quantity","Entry Type","Consumption","Entry No.",I1514,"Location Code",$L$7)</t>
  </si>
  <si>
    <t>=NL("Sum","Item Ledger Entry","Quantity","Entry Type","Consumption","Entry No.",I1515,"Location Code",$L$7)</t>
  </si>
  <si>
    <t>=NL("Sum","Item Ledger Entry","Quantity","Entry Type","Consumption","Entry No.",I1516,"Location Code",$L$7)</t>
  </si>
  <si>
    <t>=NL("Sum","Item Ledger Entry","Quantity","Entry Type","Consumption","Entry No.",I1517,"Location Code",$L$7)</t>
  </si>
  <si>
    <t>=NL("Sum","Item Ledger Entry","Quantity","Entry Type","Consumption","Entry No.",I1518,"Location Code",$L$7)</t>
  </si>
  <si>
    <t>=NL("Sum","Item Ledger Entry","Quantity","Entry Type","Consumption","Entry No.",I1519,"Location Code",$L$7)</t>
  </si>
  <si>
    <t>=NL("Sum","Item Ledger Entry","Quantity","Entry Type","Consumption","Entry No.",I1520,"Location Code",$L$7)</t>
  </si>
  <si>
    <t>=NL("Sum","Item Ledger Entry","Quantity","Entry Type","Consumption","Entry No.",I1521,"Location Code",$L$7)</t>
  </si>
  <si>
    <t>=NL("Sum","Item Ledger Entry","Quantity","Entry Type","Output","Entry No.",I1511,"Location Code",$L$7)</t>
  </si>
  <si>
    <t>=NL("Sum","Item Ledger Entry","Quantity","Entry Type","Output","Entry No.",I1512,"Location Code",$L$7)</t>
  </si>
  <si>
    <t>=NL("Sum","Item Ledger Entry","Quantity","Entry Type","Output","Entry No.",I1513,"Location Code",$L$7)</t>
  </si>
  <si>
    <t>=NL("Sum","Item Ledger Entry","Quantity","Entry Type","Output","Entry No.",I1514,"Location Code",$L$7)</t>
  </si>
  <si>
    <t>=NL("Sum","Item Ledger Entry","Quantity","Entry Type","Output","Entry No.",I1515,"Location Code",$L$7)</t>
  </si>
  <si>
    <t>=NL("Sum","Item Ledger Entry","Quantity","Entry Type","Output","Entry No.",I1516,"Location Code",$L$7)</t>
  </si>
  <si>
    <t>=NL("Sum","Item Ledger Entry","Quantity","Entry Type","Output","Entry No.",I1517,"Location Code",$L$7)</t>
  </si>
  <si>
    <t>=NL("Sum","Item Ledger Entry","Quantity","Entry Type","Output","Entry No.",I1518,"Location Code",$L$7)</t>
  </si>
  <si>
    <t>=NL("Sum","Item Ledger Entry","Quantity","Entry Type","Output","Entry No.",I1519,"Location Code",$L$7)</t>
  </si>
  <si>
    <t>=NL("Sum","Item Ledger Entry","Quantity","Entry Type","Output","Entry No.",I1520,"Location Code",$L$7)</t>
  </si>
  <si>
    <t>=NL("Sum","Item Ledger Entry","Quantity","Entry Type","Output","Entry No.",I1521,"Location Code",$L$7)</t>
  </si>
  <si>
    <t>=NF(G1511,"Source Type")</t>
  </si>
  <si>
    <t>=NF(G1512,"Source Type")</t>
  </si>
  <si>
    <t>=NF(G1513,"Source Type")</t>
  </si>
  <si>
    <t>=NF(G1514,"Source Type")</t>
  </si>
  <si>
    <t>=NF(G1515,"Source Type")</t>
  </si>
  <si>
    <t>=NF(G1516,"Source Type")</t>
  </si>
  <si>
    <t>=NF(G1517,"Source Type")</t>
  </si>
  <si>
    <t>=NF(G1518,"Source Type")</t>
  </si>
  <si>
    <t>=NF(G1519,"Source Type")</t>
  </si>
  <si>
    <t>=NF(G1520,"Source Type")</t>
  </si>
  <si>
    <t>=NF(G1521,"Source Type")</t>
  </si>
  <si>
    <t>=NF($G1511,"Source No.")</t>
  </si>
  <si>
    <t>=NF($G1512,"Source No.")</t>
  </si>
  <si>
    <t>=NF($G1513,"Source No.")</t>
  </si>
  <si>
    <t>=NF($G1514,"Source No.")</t>
  </si>
  <si>
    <t>=NF($G1515,"Source No.")</t>
  </si>
  <si>
    <t>=NF($G1516,"Source No.")</t>
  </si>
  <si>
    <t>=NF($G1517,"Source No.")</t>
  </si>
  <si>
    <t>=NF($G1518,"Source No.")</t>
  </si>
  <si>
    <t>=NF($G1519,"Source No.")</t>
  </si>
  <si>
    <t>=NF($G1520,"Source No.")</t>
  </si>
  <si>
    <t>=NF($G1521,"Source No.")</t>
  </si>
  <si>
    <t>=NF($G1499,"Posting Date")</t>
  </si>
  <si>
    <t>=NF($G1500,"Posting Date")</t>
  </si>
  <si>
    <t>=NF($G1501,"Posting Date")</t>
  </si>
  <si>
    <t>=NF($G1502,"Posting Date")</t>
  </si>
  <si>
    <t>=NF($G1503,"Posting Date")</t>
  </si>
  <si>
    <t>=NF($G1504,"Posting Date")</t>
  </si>
  <si>
    <t>=NF($G1505,"Posting Date")</t>
  </si>
  <si>
    <t>=NF($G1506,"Posting Date")</t>
  </si>
  <si>
    <t>=NF($G1507,"Posting Date")</t>
  </si>
  <si>
    <t>=NF($G1499,"Entry No.")</t>
  </si>
  <si>
    <t>=NF($G1500,"Entry No.")</t>
  </si>
  <si>
    <t>=NF($G1501,"Entry No.")</t>
  </si>
  <si>
    <t>=NF($G1502,"Entry No.")</t>
  </si>
  <si>
    <t>=NF($G1503,"Entry No.")</t>
  </si>
  <si>
    <t>=NF($G1504,"Entry No.")</t>
  </si>
  <si>
    <t>=NF($G1505,"Entry No.")</t>
  </si>
  <si>
    <t>=NF($G1506,"Entry No.")</t>
  </si>
  <si>
    <t>=NF($G1507,"Entry No.")</t>
  </si>
  <si>
    <t>=NL("Sum","Item Ledger Entry","Quantity","Entry Type","Purchase","Entry No.",I1499,"Location Code",$L$7)</t>
  </si>
  <si>
    <t>=NL("Sum","Item Ledger Entry","Quantity","Entry Type","Purchase","Entry No.",I1500,"Location Code",$L$7)</t>
  </si>
  <si>
    <t>=NL("Sum","Item Ledger Entry","Quantity","Entry Type","Purchase","Entry No.",I1501,"Location Code",$L$7)</t>
  </si>
  <si>
    <t>=NL("Sum","Item Ledger Entry","Quantity","Entry Type","Purchase","Entry No.",I1502,"Location Code",$L$7)</t>
  </si>
  <si>
    <t>=NL("Sum","Item Ledger Entry","Quantity","Entry Type","Purchase","Entry No.",I1503,"Location Code",$L$7)</t>
  </si>
  <si>
    <t>=NL("Sum","Item Ledger Entry","Quantity","Entry Type","Purchase","Entry No.",I1504,"Location Code",$L$7)</t>
  </si>
  <si>
    <t>=NL("Sum","Item Ledger Entry","Quantity","Entry Type","Purchase","Entry No.",I1505,"Location Code",$L$7)</t>
  </si>
  <si>
    <t>=NL("Sum","Item Ledger Entry","Quantity","Entry Type","Purchase","Entry No.",I1506,"Location Code",$L$7)</t>
  </si>
  <si>
    <t>=NL("Sum","Item Ledger Entry","Quantity","Entry Type","Purchase","Entry No.",I1507,"Location Code",$L$7)</t>
  </si>
  <si>
    <t>=NL("Sum","Item Ledger Entry","Quantity","Entry Type","Sale","Entry No.",I1499,"Location Code",$L$7)</t>
  </si>
  <si>
    <t>=NL("Sum","Item Ledger Entry","Quantity","Entry Type","Sale","Entry No.",I1500,"Location Code",$L$7)</t>
  </si>
  <si>
    <t>=NL("Sum","Item Ledger Entry","Quantity","Entry Type","Sale","Entry No.",I1501,"Location Code",$L$7)</t>
  </si>
  <si>
    <t>=NL("Sum","Item Ledger Entry","Quantity","Entry Type","Sale","Entry No.",I1502,"Location Code",$L$7)</t>
  </si>
  <si>
    <t>=NL("Sum","Item Ledger Entry","Quantity","Entry Type","Sale","Entry No.",I1503,"Location Code",$L$7)</t>
  </si>
  <si>
    <t>=NL("Sum","Item Ledger Entry","Quantity","Entry Type","Sale","Entry No.",I1504,"Location Code",$L$7)</t>
  </si>
  <si>
    <t>=NL("Sum","Item Ledger Entry","Quantity","Entry Type","Sale","Entry No.",I1505,"Location Code",$L$7)</t>
  </si>
  <si>
    <t>=NL("Sum","Item Ledger Entry","Quantity","Entry Type","Sale","Entry No.",I1506,"Location Code",$L$7)</t>
  </si>
  <si>
    <t>=NL("Sum","Item Ledger Entry","Quantity","Entry Type","Sale","Entry No.",I1507,"Location Code",$L$7)</t>
  </si>
  <si>
    <t>=NL("Sum","Item Ledger Entry","Quantity","Entry Type","Positive Adjmt.|Negative Adjmt.","Entry No.",I1499,"Location Code",$L$7)</t>
  </si>
  <si>
    <t>=NL("Sum","Item Ledger Entry","Quantity","Entry Type","Positive Adjmt.|Negative Adjmt.","Entry No.",I1500,"Location Code",$L$7)</t>
  </si>
  <si>
    <t>=NL("Sum","Item Ledger Entry","Quantity","Entry Type","Positive Adjmt.|Negative Adjmt.","Entry No.",I1501,"Location Code",$L$7)</t>
  </si>
  <si>
    <t>=NL("Sum","Item Ledger Entry","Quantity","Entry Type","Positive Adjmt.|Negative Adjmt.","Entry No.",I1502,"Location Code",$L$7)</t>
  </si>
  <si>
    <t>=NL("Sum","Item Ledger Entry","Quantity","Entry Type","Positive Adjmt.|Negative Adjmt.","Entry No.",I1503,"Location Code",$L$7)</t>
  </si>
  <si>
    <t>=NL("Sum","Item Ledger Entry","Quantity","Entry Type","Positive Adjmt.|Negative Adjmt.","Entry No.",I1504,"Location Code",$L$7)</t>
  </si>
  <si>
    <t>=NL("Sum","Item Ledger Entry","Quantity","Entry Type","Positive Adjmt.|Negative Adjmt.","Entry No.",I1505,"Location Code",$L$7)</t>
  </si>
  <si>
    <t>=NL("Sum","Item Ledger Entry","Quantity","Entry Type","Positive Adjmt.|Negative Adjmt.","Entry No.",I1506,"Location Code",$L$7)</t>
  </si>
  <si>
    <t>=NL("Sum","Item Ledger Entry","Quantity","Entry Type","Positive Adjmt.|Negative Adjmt.","Entry No.",I1507,"Location Code",$L$7)</t>
  </si>
  <si>
    <t>=NL("Sum","Item Ledger Entry","Quantity","Entry Type","Transfer","Entry No.",I1499,"Location Code",$L$7)</t>
  </si>
  <si>
    <t>=NL("Sum","Item Ledger Entry","Quantity","Entry Type","Transfer","Entry No.",I1500,"Location Code",$L$7)</t>
  </si>
  <si>
    <t>=NL("Sum","Item Ledger Entry","Quantity","Entry Type","Transfer","Entry No.",I1501,"Location Code",$L$7)</t>
  </si>
  <si>
    <t>=NL("Sum","Item Ledger Entry","Quantity","Entry Type","Transfer","Entry No.",I1502,"Location Code",$L$7)</t>
  </si>
  <si>
    <t>=NL("Sum","Item Ledger Entry","Quantity","Entry Type","Transfer","Entry No.",I1503,"Location Code",$L$7)</t>
  </si>
  <si>
    <t>=NL("Sum","Item Ledger Entry","Quantity","Entry Type","Transfer","Entry No.",I1504,"Location Code",$L$7)</t>
  </si>
  <si>
    <t>=NL("Sum","Item Ledger Entry","Quantity","Entry Type","Transfer","Entry No.",I1505,"Location Code",$L$7)</t>
  </si>
  <si>
    <t>=NL("Sum","Item Ledger Entry","Quantity","Entry Type","Transfer","Entry No.",I1506,"Location Code",$L$7)</t>
  </si>
  <si>
    <t>=NL("Sum","Item Ledger Entry","Quantity","Entry Type","Transfer","Entry No.",I1507,"Location Code",$L$7)</t>
  </si>
  <si>
    <t>=NL("Sum","Item Ledger Entry","Quantity","Entry Type","Consumption","Entry No.",I1499,"Location Code",$L$7)</t>
  </si>
  <si>
    <t>=NL("Sum","Item Ledger Entry","Quantity","Entry Type","Consumption","Entry No.",I1500,"Location Code",$L$7)</t>
  </si>
  <si>
    <t>=NL("Sum","Item Ledger Entry","Quantity","Entry Type","Consumption","Entry No.",I1501,"Location Code",$L$7)</t>
  </si>
  <si>
    <t>=NL("Sum","Item Ledger Entry","Quantity","Entry Type","Consumption","Entry No.",I1502,"Location Code",$L$7)</t>
  </si>
  <si>
    <t>=NL("Sum","Item Ledger Entry","Quantity","Entry Type","Consumption","Entry No.",I1503,"Location Code",$L$7)</t>
  </si>
  <si>
    <t>=NL("Sum","Item Ledger Entry","Quantity","Entry Type","Consumption","Entry No.",I1504,"Location Code",$L$7)</t>
  </si>
  <si>
    <t>=NL("Sum","Item Ledger Entry","Quantity","Entry Type","Consumption","Entry No.",I1505,"Location Code",$L$7)</t>
  </si>
  <si>
    <t>=NL("Sum","Item Ledger Entry","Quantity","Entry Type","Consumption","Entry No.",I1506,"Location Code",$L$7)</t>
  </si>
  <si>
    <t>=NL("Sum","Item Ledger Entry","Quantity","Entry Type","Consumption","Entry No.",I1507,"Location Code",$L$7)</t>
  </si>
  <si>
    <t>=NL("Sum","Item Ledger Entry","Quantity","Entry Type","Output","Entry No.",I1499,"Location Code",$L$7)</t>
  </si>
  <si>
    <t>=NL("Sum","Item Ledger Entry","Quantity","Entry Type","Output","Entry No.",I1500,"Location Code",$L$7)</t>
  </si>
  <si>
    <t>=NL("Sum","Item Ledger Entry","Quantity","Entry Type","Output","Entry No.",I1501,"Location Code",$L$7)</t>
  </si>
  <si>
    <t>=NL("Sum","Item Ledger Entry","Quantity","Entry Type","Output","Entry No.",I1502,"Location Code",$L$7)</t>
  </si>
  <si>
    <t>=NL("Sum","Item Ledger Entry","Quantity","Entry Type","Output","Entry No.",I1503,"Location Code",$L$7)</t>
  </si>
  <si>
    <t>=NL("Sum","Item Ledger Entry","Quantity","Entry Type","Output","Entry No.",I1504,"Location Code",$L$7)</t>
  </si>
  <si>
    <t>=NL("Sum","Item Ledger Entry","Quantity","Entry Type","Output","Entry No.",I1505,"Location Code",$L$7)</t>
  </si>
  <si>
    <t>=NL("Sum","Item Ledger Entry","Quantity","Entry Type","Output","Entry No.",I1506,"Location Code",$L$7)</t>
  </si>
  <si>
    <t>=NL("Sum","Item Ledger Entry","Quantity","Entry Type","Output","Entry No.",I1507,"Location Code",$L$7)</t>
  </si>
  <si>
    <t>=NF(G1499,"Source Type")</t>
  </si>
  <si>
    <t>=NF(G1500,"Source Type")</t>
  </si>
  <si>
    <t>=NF(G1501,"Source Type")</t>
  </si>
  <si>
    <t>=NF(G1502,"Source Type")</t>
  </si>
  <si>
    <t>=NF(G1503,"Source Type")</t>
  </si>
  <si>
    <t>=NF(G1504,"Source Type")</t>
  </si>
  <si>
    <t>=NF(G1505,"Source Type")</t>
  </si>
  <si>
    <t>=NF(G1506,"Source Type")</t>
  </si>
  <si>
    <t>=NF(G1507,"Source Type")</t>
  </si>
  <si>
    <t>=NF($G1499,"Source No.")</t>
  </si>
  <si>
    <t>=NF($G1500,"Source No.")</t>
  </si>
  <si>
    <t>=NF($G1501,"Source No.")</t>
  </si>
  <si>
    <t>=NF($G1502,"Source No.")</t>
  </si>
  <si>
    <t>=NF($G1503,"Source No.")</t>
  </si>
  <si>
    <t>=NF($G1504,"Source No.")</t>
  </si>
  <si>
    <t>=NF($G1505,"Source No.")</t>
  </si>
  <si>
    <t>=NF($G1506,"Source No.")</t>
  </si>
  <si>
    <t>=NF($G1507,"Source No.")</t>
  </si>
  <si>
    <t>=NF($G1487,"Posting Date")</t>
  </si>
  <si>
    <t>=NF($G1488,"Posting Date")</t>
  </si>
  <si>
    <t>=NF($G1489,"Posting Date")</t>
  </si>
  <si>
    <t>=NF($G1490,"Posting Date")</t>
  </si>
  <si>
    <t>=NF($G1491,"Posting Date")</t>
  </si>
  <si>
    <t>=NF($G1492,"Posting Date")</t>
  </si>
  <si>
    <t>=NF($G1493,"Posting Date")</t>
  </si>
  <si>
    <t>=NF($G1494,"Posting Date")</t>
  </si>
  <si>
    <t>=NF($G1495,"Posting Date")</t>
  </si>
  <si>
    <t>=NF($G1487,"Entry No.")</t>
  </si>
  <si>
    <t>=NF($G1488,"Entry No.")</t>
  </si>
  <si>
    <t>=NF($G1489,"Entry No.")</t>
  </si>
  <si>
    <t>=NF($G1490,"Entry No.")</t>
  </si>
  <si>
    <t>=NF($G1491,"Entry No.")</t>
  </si>
  <si>
    <t>=NF($G1492,"Entry No.")</t>
  </si>
  <si>
    <t>=NF($G1493,"Entry No.")</t>
  </si>
  <si>
    <t>=NF($G1494,"Entry No.")</t>
  </si>
  <si>
    <t>=NF($G1495,"Entry No.")</t>
  </si>
  <si>
    <t>=NL("Sum","Item Ledger Entry","Quantity","Entry Type","Purchase","Entry No.",I1487,"Location Code",$L$7)</t>
  </si>
  <si>
    <t>=NL("Sum","Item Ledger Entry","Quantity","Entry Type","Purchase","Entry No.",I1488,"Location Code",$L$7)</t>
  </si>
  <si>
    <t>=NL("Sum","Item Ledger Entry","Quantity","Entry Type","Purchase","Entry No.",I1489,"Location Code",$L$7)</t>
  </si>
  <si>
    <t>=NL("Sum","Item Ledger Entry","Quantity","Entry Type","Purchase","Entry No.",I1490,"Location Code",$L$7)</t>
  </si>
  <si>
    <t>=NL("Sum","Item Ledger Entry","Quantity","Entry Type","Purchase","Entry No.",I1491,"Location Code",$L$7)</t>
  </si>
  <si>
    <t>=NL("Sum","Item Ledger Entry","Quantity","Entry Type","Purchase","Entry No.",I1492,"Location Code",$L$7)</t>
  </si>
  <si>
    <t>=NL("Sum","Item Ledger Entry","Quantity","Entry Type","Purchase","Entry No.",I1493,"Location Code",$L$7)</t>
  </si>
  <si>
    <t>=NL("Sum","Item Ledger Entry","Quantity","Entry Type","Purchase","Entry No.",I1494,"Location Code",$L$7)</t>
  </si>
  <si>
    <t>=NL("Sum","Item Ledger Entry","Quantity","Entry Type","Purchase","Entry No.",I1495,"Location Code",$L$7)</t>
  </si>
  <si>
    <t>=NL("Sum","Item Ledger Entry","Quantity","Entry Type","Sale","Entry No.",I1487,"Location Code",$L$7)</t>
  </si>
  <si>
    <t>=NL("Sum","Item Ledger Entry","Quantity","Entry Type","Sale","Entry No.",I1488,"Location Code",$L$7)</t>
  </si>
  <si>
    <t>=NL("Sum","Item Ledger Entry","Quantity","Entry Type","Sale","Entry No.",I1489,"Location Code",$L$7)</t>
  </si>
  <si>
    <t>=NL("Sum","Item Ledger Entry","Quantity","Entry Type","Sale","Entry No.",I1490,"Location Code",$L$7)</t>
  </si>
  <si>
    <t>=NL("Sum","Item Ledger Entry","Quantity","Entry Type","Sale","Entry No.",I1491,"Location Code",$L$7)</t>
  </si>
  <si>
    <t>=NL("Sum","Item Ledger Entry","Quantity","Entry Type","Sale","Entry No.",I1492,"Location Code",$L$7)</t>
  </si>
  <si>
    <t>=NL("Sum","Item Ledger Entry","Quantity","Entry Type","Sale","Entry No.",I1493,"Location Code",$L$7)</t>
  </si>
  <si>
    <t>=NL("Sum","Item Ledger Entry","Quantity","Entry Type","Sale","Entry No.",I1494,"Location Code",$L$7)</t>
  </si>
  <si>
    <t>=NL("Sum","Item Ledger Entry","Quantity","Entry Type","Sale","Entry No.",I1495,"Location Code",$L$7)</t>
  </si>
  <si>
    <t>=NL("Sum","Item Ledger Entry","Quantity","Entry Type","Positive Adjmt.|Negative Adjmt.","Entry No.",I1487,"Location Code",$L$7)</t>
  </si>
  <si>
    <t>=NL("Sum","Item Ledger Entry","Quantity","Entry Type","Positive Adjmt.|Negative Adjmt.","Entry No.",I1488,"Location Code",$L$7)</t>
  </si>
  <si>
    <t>=NL("Sum","Item Ledger Entry","Quantity","Entry Type","Positive Adjmt.|Negative Adjmt.","Entry No.",I1489,"Location Code",$L$7)</t>
  </si>
  <si>
    <t>=NL("Sum","Item Ledger Entry","Quantity","Entry Type","Positive Adjmt.|Negative Adjmt.","Entry No.",I1490,"Location Code",$L$7)</t>
  </si>
  <si>
    <t>=NL("Sum","Item Ledger Entry","Quantity","Entry Type","Positive Adjmt.|Negative Adjmt.","Entry No.",I1491,"Location Code",$L$7)</t>
  </si>
  <si>
    <t>=NL("Sum","Item Ledger Entry","Quantity","Entry Type","Positive Adjmt.|Negative Adjmt.","Entry No.",I1492,"Location Code",$L$7)</t>
  </si>
  <si>
    <t>=NL("Sum","Item Ledger Entry","Quantity","Entry Type","Positive Adjmt.|Negative Adjmt.","Entry No.",I1493,"Location Code",$L$7)</t>
  </si>
  <si>
    <t>=NL("Sum","Item Ledger Entry","Quantity","Entry Type","Positive Adjmt.|Negative Adjmt.","Entry No.",I1494,"Location Code",$L$7)</t>
  </si>
  <si>
    <t>=NL("Sum","Item Ledger Entry","Quantity","Entry Type","Positive Adjmt.|Negative Adjmt.","Entry No.",I1495,"Location Code",$L$7)</t>
  </si>
  <si>
    <t>=NL("Sum","Item Ledger Entry","Quantity","Entry Type","Transfer","Entry No.",I1487,"Location Code",$L$7)</t>
  </si>
  <si>
    <t>=NL("Sum","Item Ledger Entry","Quantity","Entry Type","Transfer","Entry No.",I1488,"Location Code",$L$7)</t>
  </si>
  <si>
    <t>=NL("Sum","Item Ledger Entry","Quantity","Entry Type","Transfer","Entry No.",I1489,"Location Code",$L$7)</t>
  </si>
  <si>
    <t>=NL("Sum","Item Ledger Entry","Quantity","Entry Type","Transfer","Entry No.",I1490,"Location Code",$L$7)</t>
  </si>
  <si>
    <t>=NL("Sum","Item Ledger Entry","Quantity","Entry Type","Transfer","Entry No.",I1491,"Location Code",$L$7)</t>
  </si>
  <si>
    <t>=NL("Sum","Item Ledger Entry","Quantity","Entry Type","Transfer","Entry No.",I1492,"Location Code",$L$7)</t>
  </si>
  <si>
    <t>=NL("Sum","Item Ledger Entry","Quantity","Entry Type","Transfer","Entry No.",I1493,"Location Code",$L$7)</t>
  </si>
  <si>
    <t>=NL("Sum","Item Ledger Entry","Quantity","Entry Type","Transfer","Entry No.",I1494,"Location Code",$L$7)</t>
  </si>
  <si>
    <t>=NL("Sum","Item Ledger Entry","Quantity","Entry Type","Transfer","Entry No.",I1495,"Location Code",$L$7)</t>
  </si>
  <si>
    <t>=NL("Sum","Item Ledger Entry","Quantity","Entry Type","Consumption","Entry No.",I1487,"Location Code",$L$7)</t>
  </si>
  <si>
    <t>=NL("Sum","Item Ledger Entry","Quantity","Entry Type","Consumption","Entry No.",I1488,"Location Code",$L$7)</t>
  </si>
  <si>
    <t>=NL("Sum","Item Ledger Entry","Quantity","Entry Type","Consumption","Entry No.",I1489,"Location Code",$L$7)</t>
  </si>
  <si>
    <t>=NL("Sum","Item Ledger Entry","Quantity","Entry Type","Consumption","Entry No.",I1490,"Location Code",$L$7)</t>
  </si>
  <si>
    <t>=NL("Sum","Item Ledger Entry","Quantity","Entry Type","Consumption","Entry No.",I1491,"Location Code",$L$7)</t>
  </si>
  <si>
    <t>=NL("Sum","Item Ledger Entry","Quantity","Entry Type","Consumption","Entry No.",I1492,"Location Code",$L$7)</t>
  </si>
  <si>
    <t>=NL("Sum","Item Ledger Entry","Quantity","Entry Type","Consumption","Entry No.",I1493,"Location Code",$L$7)</t>
  </si>
  <si>
    <t>=NL("Sum","Item Ledger Entry","Quantity","Entry Type","Consumption","Entry No.",I1494,"Location Code",$L$7)</t>
  </si>
  <si>
    <t>=NL("Sum","Item Ledger Entry","Quantity","Entry Type","Consumption","Entry No.",I1495,"Location Code",$L$7)</t>
  </si>
  <si>
    <t>=NL("Sum","Item Ledger Entry","Quantity","Entry Type","Output","Entry No.",I1487,"Location Code",$L$7)</t>
  </si>
  <si>
    <t>=NL("Sum","Item Ledger Entry","Quantity","Entry Type","Output","Entry No.",I1488,"Location Code",$L$7)</t>
  </si>
  <si>
    <t>=NL("Sum","Item Ledger Entry","Quantity","Entry Type","Output","Entry No.",I1489,"Location Code",$L$7)</t>
  </si>
  <si>
    <t>=NL("Sum","Item Ledger Entry","Quantity","Entry Type","Output","Entry No.",I1490,"Location Code",$L$7)</t>
  </si>
  <si>
    <t>=NL("Sum","Item Ledger Entry","Quantity","Entry Type","Output","Entry No.",I1491,"Location Code",$L$7)</t>
  </si>
  <si>
    <t>=NL("Sum","Item Ledger Entry","Quantity","Entry Type","Output","Entry No.",I1492,"Location Code",$L$7)</t>
  </si>
  <si>
    <t>=NL("Sum","Item Ledger Entry","Quantity","Entry Type","Output","Entry No.",I1493,"Location Code",$L$7)</t>
  </si>
  <si>
    <t>=NL("Sum","Item Ledger Entry","Quantity","Entry Type","Output","Entry No.",I1494,"Location Code",$L$7)</t>
  </si>
  <si>
    <t>=NL("Sum","Item Ledger Entry","Quantity","Entry Type","Output","Entry No.",I1495,"Location Code",$L$7)</t>
  </si>
  <si>
    <t>=NF(G1487,"Source Type")</t>
  </si>
  <si>
    <t>=NF(G1488,"Source Type")</t>
  </si>
  <si>
    <t>=NF(G1489,"Source Type")</t>
  </si>
  <si>
    <t>=NF(G1490,"Source Type")</t>
  </si>
  <si>
    <t>=NF(G1491,"Source Type")</t>
  </si>
  <si>
    <t>=NF(G1492,"Source Type")</t>
  </si>
  <si>
    <t>=NF(G1493,"Source Type")</t>
  </si>
  <si>
    <t>=NF(G1494,"Source Type")</t>
  </si>
  <si>
    <t>=NF(G1495,"Source Type")</t>
  </si>
  <si>
    <t>=NF($G1487,"Source No.")</t>
  </si>
  <si>
    <t>=NF($G1488,"Source No.")</t>
  </si>
  <si>
    <t>=NF($G1489,"Source No.")</t>
  </si>
  <si>
    <t>=NF($G1490,"Source No.")</t>
  </si>
  <si>
    <t>=NF($G1491,"Source No.")</t>
  </si>
  <si>
    <t>=NF($G1492,"Source No.")</t>
  </si>
  <si>
    <t>=NF($G1493,"Source No.")</t>
  </si>
  <si>
    <t>=NF($G1494,"Source No.")</t>
  </si>
  <si>
    <t>=NF($G1495,"Source No.")</t>
  </si>
  <si>
    <t>=NF($G1477,"Posting Date")</t>
  </si>
  <si>
    <t>=NF($G1478,"Posting Date")</t>
  </si>
  <si>
    <t>=NF($G1479,"Posting Date")</t>
  </si>
  <si>
    <t>=NF($G1480,"Posting Date")</t>
  </si>
  <si>
    <t>=NF($G1481,"Posting Date")</t>
  </si>
  <si>
    <t>=NF($G1482,"Posting Date")</t>
  </si>
  <si>
    <t>=NF($G1483,"Posting Date")</t>
  </si>
  <si>
    <t>=NF($G1477,"Entry No.")</t>
  </si>
  <si>
    <t>=NF($G1478,"Entry No.")</t>
  </si>
  <si>
    <t>=NF($G1479,"Entry No.")</t>
  </si>
  <si>
    <t>=NF($G1480,"Entry No.")</t>
  </si>
  <si>
    <t>=NF($G1481,"Entry No.")</t>
  </si>
  <si>
    <t>=NF($G1482,"Entry No.")</t>
  </si>
  <si>
    <t>=NF($G1483,"Entry No.")</t>
  </si>
  <si>
    <t>=NL("Sum","Item Ledger Entry","Quantity","Entry Type","Purchase","Entry No.",I1477,"Location Code",$L$7)</t>
  </si>
  <si>
    <t>=NL("Sum","Item Ledger Entry","Quantity","Entry Type","Purchase","Entry No.",I1478,"Location Code",$L$7)</t>
  </si>
  <si>
    <t>=NL("Sum","Item Ledger Entry","Quantity","Entry Type","Purchase","Entry No.",I1479,"Location Code",$L$7)</t>
  </si>
  <si>
    <t>=NL("Sum","Item Ledger Entry","Quantity","Entry Type","Purchase","Entry No.",I1480,"Location Code",$L$7)</t>
  </si>
  <si>
    <t>=NL("Sum","Item Ledger Entry","Quantity","Entry Type","Purchase","Entry No.",I1481,"Location Code",$L$7)</t>
  </si>
  <si>
    <t>=NL("Sum","Item Ledger Entry","Quantity","Entry Type","Purchase","Entry No.",I1482,"Location Code",$L$7)</t>
  </si>
  <si>
    <t>=NL("Sum","Item Ledger Entry","Quantity","Entry Type","Purchase","Entry No.",I1483,"Location Code",$L$7)</t>
  </si>
  <si>
    <t>=NL("Sum","Item Ledger Entry","Quantity","Entry Type","Sale","Entry No.",I1477,"Location Code",$L$7)</t>
  </si>
  <si>
    <t>=NL("Sum","Item Ledger Entry","Quantity","Entry Type","Sale","Entry No.",I1478,"Location Code",$L$7)</t>
  </si>
  <si>
    <t>=NL("Sum","Item Ledger Entry","Quantity","Entry Type","Sale","Entry No.",I1479,"Location Code",$L$7)</t>
  </si>
  <si>
    <t>=NL("Sum","Item Ledger Entry","Quantity","Entry Type","Sale","Entry No.",I1480,"Location Code",$L$7)</t>
  </si>
  <si>
    <t>=NL("Sum","Item Ledger Entry","Quantity","Entry Type","Sale","Entry No.",I1481,"Location Code",$L$7)</t>
  </si>
  <si>
    <t>=NL("Sum","Item Ledger Entry","Quantity","Entry Type","Sale","Entry No.",I1482,"Location Code",$L$7)</t>
  </si>
  <si>
    <t>=NL("Sum","Item Ledger Entry","Quantity","Entry Type","Sale","Entry No.",I1483,"Location Code",$L$7)</t>
  </si>
  <si>
    <t>=NL("Sum","Item Ledger Entry","Quantity","Entry Type","Positive Adjmt.|Negative Adjmt.","Entry No.",I1477,"Location Code",$L$7)</t>
  </si>
  <si>
    <t>=NL("Sum","Item Ledger Entry","Quantity","Entry Type","Positive Adjmt.|Negative Adjmt.","Entry No.",I1478,"Location Code",$L$7)</t>
  </si>
  <si>
    <t>=NL("Sum","Item Ledger Entry","Quantity","Entry Type","Positive Adjmt.|Negative Adjmt.","Entry No.",I1479,"Location Code",$L$7)</t>
  </si>
  <si>
    <t>=NL("Sum","Item Ledger Entry","Quantity","Entry Type","Positive Adjmt.|Negative Adjmt.","Entry No.",I1480,"Location Code",$L$7)</t>
  </si>
  <si>
    <t>=NL("Sum","Item Ledger Entry","Quantity","Entry Type","Positive Adjmt.|Negative Adjmt.","Entry No.",I1481,"Location Code",$L$7)</t>
  </si>
  <si>
    <t>=NL("Sum","Item Ledger Entry","Quantity","Entry Type","Positive Adjmt.|Negative Adjmt.","Entry No.",I1482,"Location Code",$L$7)</t>
  </si>
  <si>
    <t>=NL("Sum","Item Ledger Entry","Quantity","Entry Type","Positive Adjmt.|Negative Adjmt.","Entry No.",I1483,"Location Code",$L$7)</t>
  </si>
  <si>
    <t>=NL("Sum","Item Ledger Entry","Quantity","Entry Type","Transfer","Entry No.",I1477,"Location Code",$L$7)</t>
  </si>
  <si>
    <t>=NL("Sum","Item Ledger Entry","Quantity","Entry Type","Transfer","Entry No.",I1478,"Location Code",$L$7)</t>
  </si>
  <si>
    <t>=NL("Sum","Item Ledger Entry","Quantity","Entry Type","Transfer","Entry No.",I1479,"Location Code",$L$7)</t>
  </si>
  <si>
    <t>=NL("Sum","Item Ledger Entry","Quantity","Entry Type","Transfer","Entry No.",I1480,"Location Code",$L$7)</t>
  </si>
  <si>
    <t>=NL("Sum","Item Ledger Entry","Quantity","Entry Type","Transfer","Entry No.",I1481,"Location Code",$L$7)</t>
  </si>
  <si>
    <t>=NL("Sum","Item Ledger Entry","Quantity","Entry Type","Transfer","Entry No.",I1482,"Location Code",$L$7)</t>
  </si>
  <si>
    <t>=NL("Sum","Item Ledger Entry","Quantity","Entry Type","Transfer","Entry No.",I1483,"Location Code",$L$7)</t>
  </si>
  <si>
    <t>=NL("Sum","Item Ledger Entry","Quantity","Entry Type","Consumption","Entry No.",I1477,"Location Code",$L$7)</t>
  </si>
  <si>
    <t>=NL("Sum","Item Ledger Entry","Quantity","Entry Type","Consumption","Entry No.",I1478,"Location Code",$L$7)</t>
  </si>
  <si>
    <t>=NL("Sum","Item Ledger Entry","Quantity","Entry Type","Consumption","Entry No.",I1479,"Location Code",$L$7)</t>
  </si>
  <si>
    <t>=NL("Sum","Item Ledger Entry","Quantity","Entry Type","Consumption","Entry No.",I1480,"Location Code",$L$7)</t>
  </si>
  <si>
    <t>=NL("Sum","Item Ledger Entry","Quantity","Entry Type","Consumption","Entry No.",I1481,"Location Code",$L$7)</t>
  </si>
  <si>
    <t>=NL("Sum","Item Ledger Entry","Quantity","Entry Type","Consumption","Entry No.",I1482,"Location Code",$L$7)</t>
  </si>
  <si>
    <t>=NL("Sum","Item Ledger Entry","Quantity","Entry Type","Consumption","Entry No.",I1483,"Location Code",$L$7)</t>
  </si>
  <si>
    <t>=NL("Sum","Item Ledger Entry","Quantity","Entry Type","Output","Entry No.",I1477,"Location Code",$L$7)</t>
  </si>
  <si>
    <t>=NL("Sum","Item Ledger Entry","Quantity","Entry Type","Output","Entry No.",I1478,"Location Code",$L$7)</t>
  </si>
  <si>
    <t>=NL("Sum","Item Ledger Entry","Quantity","Entry Type","Output","Entry No.",I1479,"Location Code",$L$7)</t>
  </si>
  <si>
    <t>=NL("Sum","Item Ledger Entry","Quantity","Entry Type","Output","Entry No.",I1480,"Location Code",$L$7)</t>
  </si>
  <si>
    <t>=NL("Sum","Item Ledger Entry","Quantity","Entry Type","Output","Entry No.",I1481,"Location Code",$L$7)</t>
  </si>
  <si>
    <t>=NL("Sum","Item Ledger Entry","Quantity","Entry Type","Output","Entry No.",I1482,"Location Code",$L$7)</t>
  </si>
  <si>
    <t>=NL("Sum","Item Ledger Entry","Quantity","Entry Type","Output","Entry No.",I1483,"Location Code",$L$7)</t>
  </si>
  <si>
    <t>=NF(G1477,"Source Type")</t>
  </si>
  <si>
    <t>=NF(G1478,"Source Type")</t>
  </si>
  <si>
    <t>=NF(G1479,"Source Type")</t>
  </si>
  <si>
    <t>=NF(G1480,"Source Type")</t>
  </si>
  <si>
    <t>=NF(G1481,"Source Type")</t>
  </si>
  <si>
    <t>=NF(G1482,"Source Type")</t>
  </si>
  <si>
    <t>=NF(G1483,"Source Type")</t>
  </si>
  <si>
    <t>=NF($G1477,"Source No.")</t>
  </si>
  <si>
    <t>=NF($G1478,"Source No.")</t>
  </si>
  <si>
    <t>=NF($G1479,"Source No.")</t>
  </si>
  <si>
    <t>=NF($G1480,"Source No.")</t>
  </si>
  <si>
    <t>=NF($G1481,"Source No.")</t>
  </si>
  <si>
    <t>=NF($G1482,"Source No.")</t>
  </si>
  <si>
    <t>=NF($G1483,"Source No.")</t>
  </si>
  <si>
    <t>=NF($G1466,"Posting Date")</t>
  </si>
  <si>
    <t>=NF($G1467,"Posting Date")</t>
  </si>
  <si>
    <t>=NF($G1468,"Posting Date")</t>
  </si>
  <si>
    <t>=NF($G1469,"Posting Date")</t>
  </si>
  <si>
    <t>=NF($G1470,"Posting Date")</t>
  </si>
  <si>
    <t>=NF($G1471,"Posting Date")</t>
  </si>
  <si>
    <t>=NF($G1472,"Posting Date")</t>
  </si>
  <si>
    <t>=NF($G1473,"Posting Date")</t>
  </si>
  <si>
    <t>=NF($G1466,"Entry No.")</t>
  </si>
  <si>
    <t>=NF($G1467,"Entry No.")</t>
  </si>
  <si>
    <t>=NF($G1468,"Entry No.")</t>
  </si>
  <si>
    <t>=NF($G1469,"Entry No.")</t>
  </si>
  <si>
    <t>=NF($G1470,"Entry No.")</t>
  </si>
  <si>
    <t>=NF($G1471,"Entry No.")</t>
  </si>
  <si>
    <t>=NF($G1472,"Entry No.")</t>
  </si>
  <si>
    <t>=NF($G1473,"Entry No.")</t>
  </si>
  <si>
    <t>=NL("Sum","Item Ledger Entry","Quantity","Entry Type","Purchase","Entry No.",I1466,"Location Code",$L$7)</t>
  </si>
  <si>
    <t>=NL("Sum","Item Ledger Entry","Quantity","Entry Type","Purchase","Entry No.",I1467,"Location Code",$L$7)</t>
  </si>
  <si>
    <t>=NL("Sum","Item Ledger Entry","Quantity","Entry Type","Purchase","Entry No.",I1468,"Location Code",$L$7)</t>
  </si>
  <si>
    <t>=NL("Sum","Item Ledger Entry","Quantity","Entry Type","Purchase","Entry No.",I1469,"Location Code",$L$7)</t>
  </si>
  <si>
    <t>=NL("Sum","Item Ledger Entry","Quantity","Entry Type","Purchase","Entry No.",I1470,"Location Code",$L$7)</t>
  </si>
  <si>
    <t>=NL("Sum","Item Ledger Entry","Quantity","Entry Type","Purchase","Entry No.",I1471,"Location Code",$L$7)</t>
  </si>
  <si>
    <t>=NL("Sum","Item Ledger Entry","Quantity","Entry Type","Purchase","Entry No.",I1472,"Location Code",$L$7)</t>
  </si>
  <si>
    <t>=NL("Sum","Item Ledger Entry","Quantity","Entry Type","Purchase","Entry No.",I1473,"Location Code",$L$7)</t>
  </si>
  <si>
    <t>=NL("Sum","Item Ledger Entry","Quantity","Entry Type","Sale","Entry No.",I1466,"Location Code",$L$7)</t>
  </si>
  <si>
    <t>=NL("Sum","Item Ledger Entry","Quantity","Entry Type","Sale","Entry No.",I1467,"Location Code",$L$7)</t>
  </si>
  <si>
    <t>=NL("Sum","Item Ledger Entry","Quantity","Entry Type","Sale","Entry No.",I1468,"Location Code",$L$7)</t>
  </si>
  <si>
    <t>=NL("Sum","Item Ledger Entry","Quantity","Entry Type","Sale","Entry No.",I1469,"Location Code",$L$7)</t>
  </si>
  <si>
    <t>=NL("Sum","Item Ledger Entry","Quantity","Entry Type","Sale","Entry No.",I1470,"Location Code",$L$7)</t>
  </si>
  <si>
    <t>=NL("Sum","Item Ledger Entry","Quantity","Entry Type","Sale","Entry No.",I1471,"Location Code",$L$7)</t>
  </si>
  <si>
    <t>=NL("Sum","Item Ledger Entry","Quantity","Entry Type","Sale","Entry No.",I1472,"Location Code",$L$7)</t>
  </si>
  <si>
    <t>=NL("Sum","Item Ledger Entry","Quantity","Entry Type","Sale","Entry No.",I1473,"Location Code",$L$7)</t>
  </si>
  <si>
    <t>=NL("Sum","Item Ledger Entry","Quantity","Entry Type","Positive Adjmt.|Negative Adjmt.","Entry No.",I1466,"Location Code",$L$7)</t>
  </si>
  <si>
    <t>=NL("Sum","Item Ledger Entry","Quantity","Entry Type","Positive Adjmt.|Negative Adjmt.","Entry No.",I1467,"Location Code",$L$7)</t>
  </si>
  <si>
    <t>=NL("Sum","Item Ledger Entry","Quantity","Entry Type","Positive Adjmt.|Negative Adjmt.","Entry No.",I1468,"Location Code",$L$7)</t>
  </si>
  <si>
    <t>=NL("Sum","Item Ledger Entry","Quantity","Entry Type","Positive Adjmt.|Negative Adjmt.","Entry No.",I1469,"Location Code",$L$7)</t>
  </si>
  <si>
    <t>=NL("Sum","Item Ledger Entry","Quantity","Entry Type","Positive Adjmt.|Negative Adjmt.","Entry No.",I1470,"Location Code",$L$7)</t>
  </si>
  <si>
    <t>=NL("Sum","Item Ledger Entry","Quantity","Entry Type","Positive Adjmt.|Negative Adjmt.","Entry No.",I1471,"Location Code",$L$7)</t>
  </si>
  <si>
    <t>=NL("Sum","Item Ledger Entry","Quantity","Entry Type","Positive Adjmt.|Negative Adjmt.","Entry No.",I1472,"Location Code",$L$7)</t>
  </si>
  <si>
    <t>=NL("Sum","Item Ledger Entry","Quantity","Entry Type","Positive Adjmt.|Negative Adjmt.","Entry No.",I1473,"Location Code",$L$7)</t>
  </si>
  <si>
    <t>=NL("Sum","Item Ledger Entry","Quantity","Entry Type","Transfer","Entry No.",I1466,"Location Code",$L$7)</t>
  </si>
  <si>
    <t>=NL("Sum","Item Ledger Entry","Quantity","Entry Type","Transfer","Entry No.",I1467,"Location Code",$L$7)</t>
  </si>
  <si>
    <t>=NL("Sum","Item Ledger Entry","Quantity","Entry Type","Transfer","Entry No.",I1468,"Location Code",$L$7)</t>
  </si>
  <si>
    <t>=NL("Sum","Item Ledger Entry","Quantity","Entry Type","Transfer","Entry No.",I1469,"Location Code",$L$7)</t>
  </si>
  <si>
    <t>=NL("Sum","Item Ledger Entry","Quantity","Entry Type","Transfer","Entry No.",I1470,"Location Code",$L$7)</t>
  </si>
  <si>
    <t>=NL("Sum","Item Ledger Entry","Quantity","Entry Type","Transfer","Entry No.",I1471,"Location Code",$L$7)</t>
  </si>
  <si>
    <t>=NL("Sum","Item Ledger Entry","Quantity","Entry Type","Transfer","Entry No.",I1472,"Location Code",$L$7)</t>
  </si>
  <si>
    <t>=NL("Sum","Item Ledger Entry","Quantity","Entry Type","Transfer","Entry No.",I1473,"Location Code",$L$7)</t>
  </si>
  <si>
    <t>=NL("Sum","Item Ledger Entry","Quantity","Entry Type","Consumption","Entry No.",I1466,"Location Code",$L$7)</t>
  </si>
  <si>
    <t>=NL("Sum","Item Ledger Entry","Quantity","Entry Type","Consumption","Entry No.",I1467,"Location Code",$L$7)</t>
  </si>
  <si>
    <t>=NL("Sum","Item Ledger Entry","Quantity","Entry Type","Consumption","Entry No.",I1468,"Location Code",$L$7)</t>
  </si>
  <si>
    <t>=NL("Sum","Item Ledger Entry","Quantity","Entry Type","Consumption","Entry No.",I1469,"Location Code",$L$7)</t>
  </si>
  <si>
    <t>=NL("Sum","Item Ledger Entry","Quantity","Entry Type","Consumption","Entry No.",I1470,"Location Code",$L$7)</t>
  </si>
  <si>
    <t>=NL("Sum","Item Ledger Entry","Quantity","Entry Type","Consumption","Entry No.",I1471,"Location Code",$L$7)</t>
  </si>
  <si>
    <t>=NL("Sum","Item Ledger Entry","Quantity","Entry Type","Consumption","Entry No.",I1472,"Location Code",$L$7)</t>
  </si>
  <si>
    <t>=NL("Sum","Item Ledger Entry","Quantity","Entry Type","Consumption","Entry No.",I1473,"Location Code",$L$7)</t>
  </si>
  <si>
    <t>=NL("Sum","Item Ledger Entry","Quantity","Entry Type","Output","Entry No.",I1466,"Location Code",$L$7)</t>
  </si>
  <si>
    <t>=NL("Sum","Item Ledger Entry","Quantity","Entry Type","Output","Entry No.",I1467,"Location Code",$L$7)</t>
  </si>
  <si>
    <t>=NL("Sum","Item Ledger Entry","Quantity","Entry Type","Output","Entry No.",I1468,"Location Code",$L$7)</t>
  </si>
  <si>
    <t>=NL("Sum","Item Ledger Entry","Quantity","Entry Type","Output","Entry No.",I1469,"Location Code",$L$7)</t>
  </si>
  <si>
    <t>=NL("Sum","Item Ledger Entry","Quantity","Entry Type","Output","Entry No.",I1470,"Location Code",$L$7)</t>
  </si>
  <si>
    <t>=NL("Sum","Item Ledger Entry","Quantity","Entry Type","Output","Entry No.",I1471,"Location Code",$L$7)</t>
  </si>
  <si>
    <t>=NL("Sum","Item Ledger Entry","Quantity","Entry Type","Output","Entry No.",I1472,"Location Code",$L$7)</t>
  </si>
  <si>
    <t>=NL("Sum","Item Ledger Entry","Quantity","Entry Type","Output","Entry No.",I1473,"Location Code",$L$7)</t>
  </si>
  <si>
    <t>=NF(G1466,"Source Type")</t>
  </si>
  <si>
    <t>=NF(G1467,"Source Type")</t>
  </si>
  <si>
    <t>=NF(G1468,"Source Type")</t>
  </si>
  <si>
    <t>=NF(G1469,"Source Type")</t>
  </si>
  <si>
    <t>=NF(G1470,"Source Type")</t>
  </si>
  <si>
    <t>=NF(G1471,"Source Type")</t>
  </si>
  <si>
    <t>=NF(G1472,"Source Type")</t>
  </si>
  <si>
    <t>=NF(G1473,"Source Type")</t>
  </si>
  <si>
    <t>=NF($G1466,"Source No.")</t>
  </si>
  <si>
    <t>=NF($G1467,"Source No.")</t>
  </si>
  <si>
    <t>=NF($G1468,"Source No.")</t>
  </si>
  <si>
    <t>=NF($G1469,"Source No.")</t>
  </si>
  <si>
    <t>=NF($G1470,"Source No.")</t>
  </si>
  <si>
    <t>=NF($G1471,"Source No.")</t>
  </si>
  <si>
    <t>=NF($G1472,"Source No.")</t>
  </si>
  <si>
    <t>=NF($G1473,"Source No.")</t>
  </si>
  <si>
    <t>=NF($G1453,"Posting Date")</t>
  </si>
  <si>
    <t>=NF($G1454,"Posting Date")</t>
  </si>
  <si>
    <t>=NF($G1455,"Posting Date")</t>
  </si>
  <si>
    <t>=NF($G1456,"Posting Date")</t>
  </si>
  <si>
    <t>=NF($G1457,"Posting Date")</t>
  </si>
  <si>
    <t>=NF($G1458,"Posting Date")</t>
  </si>
  <si>
    <t>=NF($G1459,"Posting Date")</t>
  </si>
  <si>
    <t>=NF($G1460,"Posting Date")</t>
  </si>
  <si>
    <t>=NF($G1461,"Posting Date")</t>
  </si>
  <si>
    <t>=NF($G1462,"Posting Date")</t>
  </si>
  <si>
    <t>=NF($G1453,"Entry No.")</t>
  </si>
  <si>
    <t>=NF($G1454,"Entry No.")</t>
  </si>
  <si>
    <t>=NF($G1455,"Entry No.")</t>
  </si>
  <si>
    <t>=NF($G1456,"Entry No.")</t>
  </si>
  <si>
    <t>=NF($G1457,"Entry No.")</t>
  </si>
  <si>
    <t>=NF($G1458,"Entry No.")</t>
  </si>
  <si>
    <t>=NF($G1459,"Entry No.")</t>
  </si>
  <si>
    <t>=NF($G1460,"Entry No.")</t>
  </si>
  <si>
    <t>=NF($G1461,"Entry No.")</t>
  </si>
  <si>
    <t>=NF($G1462,"Entry No.")</t>
  </si>
  <si>
    <t>=NL("Sum","Item Ledger Entry","Quantity","Entry Type","Purchase","Entry No.",I1453,"Location Code",$L$7)</t>
  </si>
  <si>
    <t>=NL("Sum","Item Ledger Entry","Quantity","Entry Type","Purchase","Entry No.",I1454,"Location Code",$L$7)</t>
  </si>
  <si>
    <t>=NL("Sum","Item Ledger Entry","Quantity","Entry Type","Purchase","Entry No.",I1455,"Location Code",$L$7)</t>
  </si>
  <si>
    <t>=NL("Sum","Item Ledger Entry","Quantity","Entry Type","Purchase","Entry No.",I1456,"Location Code",$L$7)</t>
  </si>
  <si>
    <t>=NL("Sum","Item Ledger Entry","Quantity","Entry Type","Purchase","Entry No.",I1457,"Location Code",$L$7)</t>
  </si>
  <si>
    <t>=NL("Sum","Item Ledger Entry","Quantity","Entry Type","Purchase","Entry No.",I1458,"Location Code",$L$7)</t>
  </si>
  <si>
    <t>=NL("Sum","Item Ledger Entry","Quantity","Entry Type","Purchase","Entry No.",I1459,"Location Code",$L$7)</t>
  </si>
  <si>
    <t>=NL("Sum","Item Ledger Entry","Quantity","Entry Type","Purchase","Entry No.",I1460,"Location Code",$L$7)</t>
  </si>
  <si>
    <t>=NL("Sum","Item Ledger Entry","Quantity","Entry Type","Purchase","Entry No.",I1461,"Location Code",$L$7)</t>
  </si>
  <si>
    <t>=NL("Sum","Item Ledger Entry","Quantity","Entry Type","Purchase","Entry No.",I1462,"Location Code",$L$7)</t>
  </si>
  <si>
    <t>=NL("Sum","Item Ledger Entry","Quantity","Entry Type","Sale","Entry No.",I1453,"Location Code",$L$7)</t>
  </si>
  <si>
    <t>=NL("Sum","Item Ledger Entry","Quantity","Entry Type","Sale","Entry No.",I1454,"Location Code",$L$7)</t>
  </si>
  <si>
    <t>=NL("Sum","Item Ledger Entry","Quantity","Entry Type","Sale","Entry No.",I1455,"Location Code",$L$7)</t>
  </si>
  <si>
    <t>=NL("Sum","Item Ledger Entry","Quantity","Entry Type","Sale","Entry No.",I1456,"Location Code",$L$7)</t>
  </si>
  <si>
    <t>=NL("Sum","Item Ledger Entry","Quantity","Entry Type","Sale","Entry No.",I1457,"Location Code",$L$7)</t>
  </si>
  <si>
    <t>=NL("Sum","Item Ledger Entry","Quantity","Entry Type","Sale","Entry No.",I1458,"Location Code",$L$7)</t>
  </si>
  <si>
    <t>=NL("Sum","Item Ledger Entry","Quantity","Entry Type","Sale","Entry No.",I1459,"Location Code",$L$7)</t>
  </si>
  <si>
    <t>=NL("Sum","Item Ledger Entry","Quantity","Entry Type","Sale","Entry No.",I1460,"Location Code",$L$7)</t>
  </si>
  <si>
    <t>=NL("Sum","Item Ledger Entry","Quantity","Entry Type","Sale","Entry No.",I1461,"Location Code",$L$7)</t>
  </si>
  <si>
    <t>=NL("Sum","Item Ledger Entry","Quantity","Entry Type","Sale","Entry No.",I1462,"Location Code",$L$7)</t>
  </si>
  <si>
    <t>=NL("Sum","Item Ledger Entry","Quantity","Entry Type","Positive Adjmt.|Negative Adjmt.","Entry No.",I1453,"Location Code",$L$7)</t>
  </si>
  <si>
    <t>=NL("Sum","Item Ledger Entry","Quantity","Entry Type","Positive Adjmt.|Negative Adjmt.","Entry No.",I1454,"Location Code",$L$7)</t>
  </si>
  <si>
    <t>=NL("Sum","Item Ledger Entry","Quantity","Entry Type","Positive Adjmt.|Negative Adjmt.","Entry No.",I1455,"Location Code",$L$7)</t>
  </si>
  <si>
    <t>=NL("Sum","Item Ledger Entry","Quantity","Entry Type","Positive Adjmt.|Negative Adjmt.","Entry No.",I1456,"Location Code",$L$7)</t>
  </si>
  <si>
    <t>=NL("Sum","Item Ledger Entry","Quantity","Entry Type","Positive Adjmt.|Negative Adjmt.","Entry No.",I1457,"Location Code",$L$7)</t>
  </si>
  <si>
    <t>=NL("Sum","Item Ledger Entry","Quantity","Entry Type","Positive Adjmt.|Negative Adjmt.","Entry No.",I1458,"Location Code",$L$7)</t>
  </si>
  <si>
    <t>=NL("Sum","Item Ledger Entry","Quantity","Entry Type","Positive Adjmt.|Negative Adjmt.","Entry No.",I1459,"Location Code",$L$7)</t>
  </si>
  <si>
    <t>=NL("Sum","Item Ledger Entry","Quantity","Entry Type","Positive Adjmt.|Negative Adjmt.","Entry No.",I1460,"Location Code",$L$7)</t>
  </si>
  <si>
    <t>=NL("Sum","Item Ledger Entry","Quantity","Entry Type","Positive Adjmt.|Negative Adjmt.","Entry No.",I1461,"Location Code",$L$7)</t>
  </si>
  <si>
    <t>=NL("Sum","Item Ledger Entry","Quantity","Entry Type","Positive Adjmt.|Negative Adjmt.","Entry No.",I1462,"Location Code",$L$7)</t>
  </si>
  <si>
    <t>=NL("Sum","Item Ledger Entry","Quantity","Entry Type","Transfer","Entry No.",I1453,"Location Code",$L$7)</t>
  </si>
  <si>
    <t>=NL("Sum","Item Ledger Entry","Quantity","Entry Type","Transfer","Entry No.",I1454,"Location Code",$L$7)</t>
  </si>
  <si>
    <t>=NL("Sum","Item Ledger Entry","Quantity","Entry Type","Transfer","Entry No.",I1455,"Location Code",$L$7)</t>
  </si>
  <si>
    <t>=NL("Sum","Item Ledger Entry","Quantity","Entry Type","Transfer","Entry No.",I1456,"Location Code",$L$7)</t>
  </si>
  <si>
    <t>=NL("Sum","Item Ledger Entry","Quantity","Entry Type","Transfer","Entry No.",I1457,"Location Code",$L$7)</t>
  </si>
  <si>
    <t>=NL("Sum","Item Ledger Entry","Quantity","Entry Type","Transfer","Entry No.",I1458,"Location Code",$L$7)</t>
  </si>
  <si>
    <t>=NL("Sum","Item Ledger Entry","Quantity","Entry Type","Transfer","Entry No.",I1459,"Location Code",$L$7)</t>
  </si>
  <si>
    <t>=NL("Sum","Item Ledger Entry","Quantity","Entry Type","Transfer","Entry No.",I1460,"Location Code",$L$7)</t>
  </si>
  <si>
    <t>=NL("Sum","Item Ledger Entry","Quantity","Entry Type","Transfer","Entry No.",I1461,"Location Code",$L$7)</t>
  </si>
  <si>
    <t>=NL("Sum","Item Ledger Entry","Quantity","Entry Type","Transfer","Entry No.",I1462,"Location Code",$L$7)</t>
  </si>
  <si>
    <t>=NL("Sum","Item Ledger Entry","Quantity","Entry Type","Consumption","Entry No.",I1453,"Location Code",$L$7)</t>
  </si>
  <si>
    <t>=NL("Sum","Item Ledger Entry","Quantity","Entry Type","Consumption","Entry No.",I1454,"Location Code",$L$7)</t>
  </si>
  <si>
    <t>=NL("Sum","Item Ledger Entry","Quantity","Entry Type","Consumption","Entry No.",I1455,"Location Code",$L$7)</t>
  </si>
  <si>
    <t>=NL("Sum","Item Ledger Entry","Quantity","Entry Type","Consumption","Entry No.",I1456,"Location Code",$L$7)</t>
  </si>
  <si>
    <t>=NL("Sum","Item Ledger Entry","Quantity","Entry Type","Consumption","Entry No.",I1457,"Location Code",$L$7)</t>
  </si>
  <si>
    <t>=NL("Sum","Item Ledger Entry","Quantity","Entry Type","Consumption","Entry No.",I1458,"Location Code",$L$7)</t>
  </si>
  <si>
    <t>=NL("Sum","Item Ledger Entry","Quantity","Entry Type","Consumption","Entry No.",I1459,"Location Code",$L$7)</t>
  </si>
  <si>
    <t>=NL("Sum","Item Ledger Entry","Quantity","Entry Type","Consumption","Entry No.",I1460,"Location Code",$L$7)</t>
  </si>
  <si>
    <t>=NL("Sum","Item Ledger Entry","Quantity","Entry Type","Consumption","Entry No.",I1461,"Location Code",$L$7)</t>
  </si>
  <si>
    <t>=NL("Sum","Item Ledger Entry","Quantity","Entry Type","Consumption","Entry No.",I1462,"Location Code",$L$7)</t>
  </si>
  <si>
    <t>=NL("Sum","Item Ledger Entry","Quantity","Entry Type","Output","Entry No.",I1453,"Location Code",$L$7)</t>
  </si>
  <si>
    <t>=NL("Sum","Item Ledger Entry","Quantity","Entry Type","Output","Entry No.",I1454,"Location Code",$L$7)</t>
  </si>
  <si>
    <t>=NL("Sum","Item Ledger Entry","Quantity","Entry Type","Output","Entry No.",I1455,"Location Code",$L$7)</t>
  </si>
  <si>
    <t>=NL("Sum","Item Ledger Entry","Quantity","Entry Type","Output","Entry No.",I1456,"Location Code",$L$7)</t>
  </si>
  <si>
    <t>=NL("Sum","Item Ledger Entry","Quantity","Entry Type","Output","Entry No.",I1457,"Location Code",$L$7)</t>
  </si>
  <si>
    <t>=NL("Sum","Item Ledger Entry","Quantity","Entry Type","Output","Entry No.",I1458,"Location Code",$L$7)</t>
  </si>
  <si>
    <t>=NL("Sum","Item Ledger Entry","Quantity","Entry Type","Output","Entry No.",I1459,"Location Code",$L$7)</t>
  </si>
  <si>
    <t>=NL("Sum","Item Ledger Entry","Quantity","Entry Type","Output","Entry No.",I1460,"Location Code",$L$7)</t>
  </si>
  <si>
    <t>=NL("Sum","Item Ledger Entry","Quantity","Entry Type","Output","Entry No.",I1461,"Location Code",$L$7)</t>
  </si>
  <si>
    <t>=NL("Sum","Item Ledger Entry","Quantity","Entry Type","Output","Entry No.",I1462,"Location Code",$L$7)</t>
  </si>
  <si>
    <t>=NF(G1453,"Source Type")</t>
  </si>
  <si>
    <t>=NF(G1454,"Source Type")</t>
  </si>
  <si>
    <t>=NF(G1455,"Source Type")</t>
  </si>
  <si>
    <t>=NF(G1456,"Source Type")</t>
  </si>
  <si>
    <t>=NF(G1457,"Source Type")</t>
  </si>
  <si>
    <t>=NF(G1458,"Source Type")</t>
  </si>
  <si>
    <t>=NF(G1459,"Source Type")</t>
  </si>
  <si>
    <t>=NF(G1460,"Source Type")</t>
  </si>
  <si>
    <t>=NF(G1461,"Source Type")</t>
  </si>
  <si>
    <t>=NF(G1462,"Source Type")</t>
  </si>
  <si>
    <t>=NF($G1453,"Source No.")</t>
  </si>
  <si>
    <t>=NF($G1454,"Source No.")</t>
  </si>
  <si>
    <t>=NF($G1455,"Source No.")</t>
  </si>
  <si>
    <t>=NF($G1456,"Source No.")</t>
  </si>
  <si>
    <t>=NF($G1457,"Source No.")</t>
  </si>
  <si>
    <t>=NF($G1458,"Source No.")</t>
  </si>
  <si>
    <t>=NF($G1459,"Source No.")</t>
  </si>
  <si>
    <t>=NF($G1460,"Source No.")</t>
  </si>
  <si>
    <t>=NF($G1461,"Source No.")</t>
  </si>
  <si>
    <t>=NF($G1462,"Source No.")</t>
  </si>
  <si>
    <t>=NF($G1438,"Posting Date")</t>
  </si>
  <si>
    <t>=NF($G1439,"Posting Date")</t>
  </si>
  <si>
    <t>=NF($G1440,"Posting Date")</t>
  </si>
  <si>
    <t>=NF($G1441,"Posting Date")</t>
  </si>
  <si>
    <t>=NF($G1442,"Posting Date")</t>
  </si>
  <si>
    <t>=NF($G1443,"Posting Date")</t>
  </si>
  <si>
    <t>=NF($G1444,"Posting Date")</t>
  </si>
  <si>
    <t>=NF($G1445,"Posting Date")</t>
  </si>
  <si>
    <t>=NF($G1446,"Posting Date")</t>
  </si>
  <si>
    <t>=NF($G1447,"Posting Date")</t>
  </si>
  <si>
    <t>=NF($G1448,"Posting Date")</t>
  </si>
  <si>
    <t>=NF($G1449,"Posting Date")</t>
  </si>
  <si>
    <t>=NF($G1438,"Entry No.")</t>
  </si>
  <si>
    <t>=NF($G1439,"Entry No.")</t>
  </si>
  <si>
    <t>=NF($G1440,"Entry No.")</t>
  </si>
  <si>
    <t>=NF($G1441,"Entry No.")</t>
  </si>
  <si>
    <t>=NF($G1442,"Entry No.")</t>
  </si>
  <si>
    <t>=NF($G1443,"Entry No.")</t>
  </si>
  <si>
    <t>=NF($G1444,"Entry No.")</t>
  </si>
  <si>
    <t>=NF($G1445,"Entry No.")</t>
  </si>
  <si>
    <t>=NF($G1446,"Entry No.")</t>
  </si>
  <si>
    <t>=NF($G1447,"Entry No.")</t>
  </si>
  <si>
    <t>=NF($G1448,"Entry No.")</t>
  </si>
  <si>
    <t>=NF($G1449,"Entry No.")</t>
  </si>
  <si>
    <t>=NL("Sum","Item Ledger Entry","Quantity","Entry Type","Purchase","Entry No.",I1438,"Location Code",$L$7)</t>
  </si>
  <si>
    <t>=NL("Sum","Item Ledger Entry","Quantity","Entry Type","Purchase","Entry No.",I1439,"Location Code",$L$7)</t>
  </si>
  <si>
    <t>=NL("Sum","Item Ledger Entry","Quantity","Entry Type","Purchase","Entry No.",I1440,"Location Code",$L$7)</t>
  </si>
  <si>
    <t>=NL("Sum","Item Ledger Entry","Quantity","Entry Type","Purchase","Entry No.",I1441,"Location Code",$L$7)</t>
  </si>
  <si>
    <t>=NL("Sum","Item Ledger Entry","Quantity","Entry Type","Purchase","Entry No.",I1442,"Location Code",$L$7)</t>
  </si>
  <si>
    <t>=NL("Sum","Item Ledger Entry","Quantity","Entry Type","Purchase","Entry No.",I1443,"Location Code",$L$7)</t>
  </si>
  <si>
    <t>=NL("Sum","Item Ledger Entry","Quantity","Entry Type","Purchase","Entry No.",I1444,"Location Code",$L$7)</t>
  </si>
  <si>
    <t>=NL("Sum","Item Ledger Entry","Quantity","Entry Type","Purchase","Entry No.",I1445,"Location Code",$L$7)</t>
  </si>
  <si>
    <t>=NL("Sum","Item Ledger Entry","Quantity","Entry Type","Purchase","Entry No.",I1446,"Location Code",$L$7)</t>
  </si>
  <si>
    <t>=NL("Sum","Item Ledger Entry","Quantity","Entry Type","Purchase","Entry No.",I1447,"Location Code",$L$7)</t>
  </si>
  <si>
    <t>=NL("Sum","Item Ledger Entry","Quantity","Entry Type","Purchase","Entry No.",I1448,"Location Code",$L$7)</t>
  </si>
  <si>
    <t>=NL("Sum","Item Ledger Entry","Quantity","Entry Type","Purchase","Entry No.",I1449,"Location Code",$L$7)</t>
  </si>
  <si>
    <t>=NL("Sum","Item Ledger Entry","Quantity","Entry Type","Sale","Entry No.",I1438,"Location Code",$L$7)</t>
  </si>
  <si>
    <t>=NL("Sum","Item Ledger Entry","Quantity","Entry Type","Sale","Entry No.",I1439,"Location Code",$L$7)</t>
  </si>
  <si>
    <t>=NL("Sum","Item Ledger Entry","Quantity","Entry Type","Sale","Entry No.",I1440,"Location Code",$L$7)</t>
  </si>
  <si>
    <t>=NL("Sum","Item Ledger Entry","Quantity","Entry Type","Sale","Entry No.",I1441,"Location Code",$L$7)</t>
  </si>
  <si>
    <t>=NL("Sum","Item Ledger Entry","Quantity","Entry Type","Sale","Entry No.",I1442,"Location Code",$L$7)</t>
  </si>
  <si>
    <t>=NL("Sum","Item Ledger Entry","Quantity","Entry Type","Sale","Entry No.",I1443,"Location Code",$L$7)</t>
  </si>
  <si>
    <t>=NL("Sum","Item Ledger Entry","Quantity","Entry Type","Sale","Entry No.",I1444,"Location Code",$L$7)</t>
  </si>
  <si>
    <t>=NL("Sum","Item Ledger Entry","Quantity","Entry Type","Sale","Entry No.",I1445,"Location Code",$L$7)</t>
  </si>
  <si>
    <t>=NL("Sum","Item Ledger Entry","Quantity","Entry Type","Sale","Entry No.",I1446,"Location Code",$L$7)</t>
  </si>
  <si>
    <t>=NL("Sum","Item Ledger Entry","Quantity","Entry Type","Sale","Entry No.",I1447,"Location Code",$L$7)</t>
  </si>
  <si>
    <t>=NL("Sum","Item Ledger Entry","Quantity","Entry Type","Sale","Entry No.",I1448,"Location Code",$L$7)</t>
  </si>
  <si>
    <t>=NL("Sum","Item Ledger Entry","Quantity","Entry Type","Sale","Entry No.",I1449,"Location Code",$L$7)</t>
  </si>
  <si>
    <t>=NL("Sum","Item Ledger Entry","Quantity","Entry Type","Positive Adjmt.|Negative Adjmt.","Entry No.",I1438,"Location Code",$L$7)</t>
  </si>
  <si>
    <t>=NL("Sum","Item Ledger Entry","Quantity","Entry Type","Positive Adjmt.|Negative Adjmt.","Entry No.",I1439,"Location Code",$L$7)</t>
  </si>
  <si>
    <t>=NL("Sum","Item Ledger Entry","Quantity","Entry Type","Positive Adjmt.|Negative Adjmt.","Entry No.",I1440,"Location Code",$L$7)</t>
  </si>
  <si>
    <t>=NL("Sum","Item Ledger Entry","Quantity","Entry Type","Positive Adjmt.|Negative Adjmt.","Entry No.",I1441,"Location Code",$L$7)</t>
  </si>
  <si>
    <t>=NL("Sum","Item Ledger Entry","Quantity","Entry Type","Positive Adjmt.|Negative Adjmt.","Entry No.",I1442,"Location Code",$L$7)</t>
  </si>
  <si>
    <t>=NL("Sum","Item Ledger Entry","Quantity","Entry Type","Positive Adjmt.|Negative Adjmt.","Entry No.",I1443,"Location Code",$L$7)</t>
  </si>
  <si>
    <t>=NL("Sum","Item Ledger Entry","Quantity","Entry Type","Positive Adjmt.|Negative Adjmt.","Entry No.",I1444,"Location Code",$L$7)</t>
  </si>
  <si>
    <t>=NL("Sum","Item Ledger Entry","Quantity","Entry Type","Positive Adjmt.|Negative Adjmt.","Entry No.",I1445,"Location Code",$L$7)</t>
  </si>
  <si>
    <t>=NL("Sum","Item Ledger Entry","Quantity","Entry Type","Positive Adjmt.|Negative Adjmt.","Entry No.",I1446,"Location Code",$L$7)</t>
  </si>
  <si>
    <t>=NL("Sum","Item Ledger Entry","Quantity","Entry Type","Positive Adjmt.|Negative Adjmt.","Entry No.",I1447,"Location Code",$L$7)</t>
  </si>
  <si>
    <t>=NL("Sum","Item Ledger Entry","Quantity","Entry Type","Positive Adjmt.|Negative Adjmt.","Entry No.",I1448,"Location Code",$L$7)</t>
  </si>
  <si>
    <t>=NL("Sum","Item Ledger Entry","Quantity","Entry Type","Positive Adjmt.|Negative Adjmt.","Entry No.",I1449,"Location Code",$L$7)</t>
  </si>
  <si>
    <t>=NL("Sum","Item Ledger Entry","Quantity","Entry Type","Transfer","Entry No.",I1438,"Location Code",$L$7)</t>
  </si>
  <si>
    <t>=NL("Sum","Item Ledger Entry","Quantity","Entry Type","Transfer","Entry No.",I1439,"Location Code",$L$7)</t>
  </si>
  <si>
    <t>=NL("Sum","Item Ledger Entry","Quantity","Entry Type","Transfer","Entry No.",I1440,"Location Code",$L$7)</t>
  </si>
  <si>
    <t>=NL("Sum","Item Ledger Entry","Quantity","Entry Type","Transfer","Entry No.",I1441,"Location Code",$L$7)</t>
  </si>
  <si>
    <t>=NL("Sum","Item Ledger Entry","Quantity","Entry Type","Transfer","Entry No.",I1442,"Location Code",$L$7)</t>
  </si>
  <si>
    <t>=NL("Sum","Item Ledger Entry","Quantity","Entry Type","Transfer","Entry No.",I1443,"Location Code",$L$7)</t>
  </si>
  <si>
    <t>=NL("Sum","Item Ledger Entry","Quantity","Entry Type","Transfer","Entry No.",I1444,"Location Code",$L$7)</t>
  </si>
  <si>
    <t>=NL("Sum","Item Ledger Entry","Quantity","Entry Type","Transfer","Entry No.",I1445,"Location Code",$L$7)</t>
  </si>
  <si>
    <t>=NL("Sum","Item Ledger Entry","Quantity","Entry Type","Transfer","Entry No.",I1446,"Location Code",$L$7)</t>
  </si>
  <si>
    <t>=NL("Sum","Item Ledger Entry","Quantity","Entry Type","Transfer","Entry No.",I1447,"Location Code",$L$7)</t>
  </si>
  <si>
    <t>=NL("Sum","Item Ledger Entry","Quantity","Entry Type","Transfer","Entry No.",I1448,"Location Code",$L$7)</t>
  </si>
  <si>
    <t>=NL("Sum","Item Ledger Entry","Quantity","Entry Type","Transfer","Entry No.",I1449,"Location Code",$L$7)</t>
  </si>
  <si>
    <t>=NL("Sum","Item Ledger Entry","Quantity","Entry Type","Consumption","Entry No.",I1438,"Location Code",$L$7)</t>
  </si>
  <si>
    <t>=NL("Sum","Item Ledger Entry","Quantity","Entry Type","Consumption","Entry No.",I1439,"Location Code",$L$7)</t>
  </si>
  <si>
    <t>=NL("Sum","Item Ledger Entry","Quantity","Entry Type","Consumption","Entry No.",I1440,"Location Code",$L$7)</t>
  </si>
  <si>
    <t>=NL("Sum","Item Ledger Entry","Quantity","Entry Type","Consumption","Entry No.",I1441,"Location Code",$L$7)</t>
  </si>
  <si>
    <t>=NL("Sum","Item Ledger Entry","Quantity","Entry Type","Consumption","Entry No.",I1442,"Location Code",$L$7)</t>
  </si>
  <si>
    <t>=NL("Sum","Item Ledger Entry","Quantity","Entry Type","Consumption","Entry No.",I1443,"Location Code",$L$7)</t>
  </si>
  <si>
    <t>=NL("Sum","Item Ledger Entry","Quantity","Entry Type","Consumption","Entry No.",I1444,"Location Code",$L$7)</t>
  </si>
  <si>
    <t>=NL("Sum","Item Ledger Entry","Quantity","Entry Type","Consumption","Entry No.",I1445,"Location Code",$L$7)</t>
  </si>
  <si>
    <t>=NL("Sum","Item Ledger Entry","Quantity","Entry Type","Consumption","Entry No.",I1446,"Location Code",$L$7)</t>
  </si>
  <si>
    <t>=NL("Sum","Item Ledger Entry","Quantity","Entry Type","Consumption","Entry No.",I1447,"Location Code",$L$7)</t>
  </si>
  <si>
    <t>=NL("Sum","Item Ledger Entry","Quantity","Entry Type","Consumption","Entry No.",I1448,"Location Code",$L$7)</t>
  </si>
  <si>
    <t>=NL("Sum","Item Ledger Entry","Quantity","Entry Type","Consumption","Entry No.",I1449,"Location Code",$L$7)</t>
  </si>
  <si>
    <t>=NL("Sum","Item Ledger Entry","Quantity","Entry Type","Output","Entry No.",I1438,"Location Code",$L$7)</t>
  </si>
  <si>
    <t>=NL("Sum","Item Ledger Entry","Quantity","Entry Type","Output","Entry No.",I1439,"Location Code",$L$7)</t>
  </si>
  <si>
    <t>=NL("Sum","Item Ledger Entry","Quantity","Entry Type","Output","Entry No.",I1440,"Location Code",$L$7)</t>
  </si>
  <si>
    <t>=NL("Sum","Item Ledger Entry","Quantity","Entry Type","Output","Entry No.",I1441,"Location Code",$L$7)</t>
  </si>
  <si>
    <t>=NL("Sum","Item Ledger Entry","Quantity","Entry Type","Output","Entry No.",I1442,"Location Code",$L$7)</t>
  </si>
  <si>
    <t>=NL("Sum","Item Ledger Entry","Quantity","Entry Type","Output","Entry No.",I1443,"Location Code",$L$7)</t>
  </si>
  <si>
    <t>=NL("Sum","Item Ledger Entry","Quantity","Entry Type","Output","Entry No.",I1444,"Location Code",$L$7)</t>
  </si>
  <si>
    <t>=NL("Sum","Item Ledger Entry","Quantity","Entry Type","Output","Entry No.",I1445,"Location Code",$L$7)</t>
  </si>
  <si>
    <t>=NL("Sum","Item Ledger Entry","Quantity","Entry Type","Output","Entry No.",I1446,"Location Code",$L$7)</t>
  </si>
  <si>
    <t>=NL("Sum","Item Ledger Entry","Quantity","Entry Type","Output","Entry No.",I1447,"Location Code",$L$7)</t>
  </si>
  <si>
    <t>=NL("Sum","Item Ledger Entry","Quantity","Entry Type","Output","Entry No.",I1448,"Location Code",$L$7)</t>
  </si>
  <si>
    <t>=NL("Sum","Item Ledger Entry","Quantity","Entry Type","Output","Entry No.",I1449,"Location Code",$L$7)</t>
  </si>
  <si>
    <t>=NF(G1438,"Source Type")</t>
  </si>
  <si>
    <t>=NF(G1439,"Source Type")</t>
  </si>
  <si>
    <t>=NF(G1440,"Source Type")</t>
  </si>
  <si>
    <t>=NF(G1441,"Source Type")</t>
  </si>
  <si>
    <t>=NF(G1442,"Source Type")</t>
  </si>
  <si>
    <t>=NF(G1443,"Source Type")</t>
  </si>
  <si>
    <t>=NF(G1444,"Source Type")</t>
  </si>
  <si>
    <t>=NF(G1445,"Source Type")</t>
  </si>
  <si>
    <t>=NF(G1446,"Source Type")</t>
  </si>
  <si>
    <t>=NF(G1447,"Source Type")</t>
  </si>
  <si>
    <t>=NF(G1448,"Source Type")</t>
  </si>
  <si>
    <t>=NF(G1449,"Source Type")</t>
  </si>
  <si>
    <t>=NF($G1438,"Source No.")</t>
  </si>
  <si>
    <t>=NF($G1439,"Source No.")</t>
  </si>
  <si>
    <t>=NF($G1440,"Source No.")</t>
  </si>
  <si>
    <t>=NF($G1441,"Source No.")</t>
  </si>
  <si>
    <t>=NF($G1442,"Source No.")</t>
  </si>
  <si>
    <t>=NF($G1443,"Source No.")</t>
  </si>
  <si>
    <t>=NF($G1444,"Source No.")</t>
  </si>
  <si>
    <t>=NF($G1445,"Source No.")</t>
  </si>
  <si>
    <t>=NF($G1446,"Source No.")</t>
  </si>
  <si>
    <t>=NF($G1447,"Source No.")</t>
  </si>
  <si>
    <t>=NF($G1448,"Source No.")</t>
  </si>
  <si>
    <t>=NF($G1449,"Source No.")</t>
  </si>
  <si>
    <t>=NF($G1423,"Posting Date")</t>
  </si>
  <si>
    <t>=NF($G1424,"Posting Date")</t>
  </si>
  <si>
    <t>=NF($G1425,"Posting Date")</t>
  </si>
  <si>
    <t>=NF($G1426,"Posting Date")</t>
  </si>
  <si>
    <t>=NF($G1427,"Posting Date")</t>
  </si>
  <si>
    <t>=NF($G1428,"Posting Date")</t>
  </si>
  <si>
    <t>=NF($G1429,"Posting Date")</t>
  </si>
  <si>
    <t>=NF($G1430,"Posting Date")</t>
  </si>
  <si>
    <t>=NF($G1431,"Posting Date")</t>
  </si>
  <si>
    <t>=NF($G1432,"Posting Date")</t>
  </si>
  <si>
    <t>=NF($G1433,"Posting Date")</t>
  </si>
  <si>
    <t>=NF($G1434,"Posting Date")</t>
  </si>
  <si>
    <t>=NF($G1423,"Entry No.")</t>
  </si>
  <si>
    <t>=NF($G1424,"Entry No.")</t>
  </si>
  <si>
    <t>=NF($G1425,"Entry No.")</t>
  </si>
  <si>
    <t>=NF($G1426,"Entry No.")</t>
  </si>
  <si>
    <t>=NF($G1427,"Entry No.")</t>
  </si>
  <si>
    <t>=NF($G1428,"Entry No.")</t>
  </si>
  <si>
    <t>=NF($G1429,"Entry No.")</t>
  </si>
  <si>
    <t>=NF($G1430,"Entry No.")</t>
  </si>
  <si>
    <t>=NF($G1431,"Entry No.")</t>
  </si>
  <si>
    <t>=NF($G1432,"Entry No.")</t>
  </si>
  <si>
    <t>=NF($G1433,"Entry No.")</t>
  </si>
  <si>
    <t>=NF($G1434,"Entry No.")</t>
  </si>
  <si>
    <t>=NL("Sum","Item Ledger Entry","Quantity","Entry Type","Purchase","Entry No.",I1423,"Location Code",$L$7)</t>
  </si>
  <si>
    <t>=NL("Sum","Item Ledger Entry","Quantity","Entry Type","Purchase","Entry No.",I1424,"Location Code",$L$7)</t>
  </si>
  <si>
    <t>=NL("Sum","Item Ledger Entry","Quantity","Entry Type","Purchase","Entry No.",I1425,"Location Code",$L$7)</t>
  </si>
  <si>
    <t>=NL("Sum","Item Ledger Entry","Quantity","Entry Type","Purchase","Entry No.",I1426,"Location Code",$L$7)</t>
  </si>
  <si>
    <t>=NL("Sum","Item Ledger Entry","Quantity","Entry Type","Purchase","Entry No.",I1427,"Location Code",$L$7)</t>
  </si>
  <si>
    <t>=NL("Sum","Item Ledger Entry","Quantity","Entry Type","Purchase","Entry No.",I1428,"Location Code",$L$7)</t>
  </si>
  <si>
    <t>=NL("Sum","Item Ledger Entry","Quantity","Entry Type","Purchase","Entry No.",I1429,"Location Code",$L$7)</t>
  </si>
  <si>
    <t>=NL("Sum","Item Ledger Entry","Quantity","Entry Type","Purchase","Entry No.",I1430,"Location Code",$L$7)</t>
  </si>
  <si>
    <t>=NL("Sum","Item Ledger Entry","Quantity","Entry Type","Purchase","Entry No.",I1431,"Location Code",$L$7)</t>
  </si>
  <si>
    <t>=NL("Sum","Item Ledger Entry","Quantity","Entry Type","Purchase","Entry No.",I1432,"Location Code",$L$7)</t>
  </si>
  <si>
    <t>=NL("Sum","Item Ledger Entry","Quantity","Entry Type","Purchase","Entry No.",I1433,"Location Code",$L$7)</t>
  </si>
  <si>
    <t>=NL("Sum","Item Ledger Entry","Quantity","Entry Type","Purchase","Entry No.",I1434,"Location Code",$L$7)</t>
  </si>
  <si>
    <t>=NL("Sum","Item Ledger Entry","Quantity","Entry Type","Sale","Entry No.",I1423,"Location Code",$L$7)</t>
  </si>
  <si>
    <t>=NL("Sum","Item Ledger Entry","Quantity","Entry Type","Sale","Entry No.",I1424,"Location Code",$L$7)</t>
  </si>
  <si>
    <t>=NL("Sum","Item Ledger Entry","Quantity","Entry Type","Sale","Entry No.",I1425,"Location Code",$L$7)</t>
  </si>
  <si>
    <t>=NL("Sum","Item Ledger Entry","Quantity","Entry Type","Sale","Entry No.",I1426,"Location Code",$L$7)</t>
  </si>
  <si>
    <t>=NL("Sum","Item Ledger Entry","Quantity","Entry Type","Sale","Entry No.",I1427,"Location Code",$L$7)</t>
  </si>
  <si>
    <t>=NL("Sum","Item Ledger Entry","Quantity","Entry Type","Sale","Entry No.",I1428,"Location Code",$L$7)</t>
  </si>
  <si>
    <t>=NL("Sum","Item Ledger Entry","Quantity","Entry Type","Sale","Entry No.",I1429,"Location Code",$L$7)</t>
  </si>
  <si>
    <t>=NL("Sum","Item Ledger Entry","Quantity","Entry Type","Sale","Entry No.",I1430,"Location Code",$L$7)</t>
  </si>
  <si>
    <t>=NL("Sum","Item Ledger Entry","Quantity","Entry Type","Sale","Entry No.",I1431,"Location Code",$L$7)</t>
  </si>
  <si>
    <t>=NL("Sum","Item Ledger Entry","Quantity","Entry Type","Sale","Entry No.",I1432,"Location Code",$L$7)</t>
  </si>
  <si>
    <t>=NL("Sum","Item Ledger Entry","Quantity","Entry Type","Sale","Entry No.",I1433,"Location Code",$L$7)</t>
  </si>
  <si>
    <t>=NL("Sum","Item Ledger Entry","Quantity","Entry Type","Sale","Entry No.",I1434,"Location Code",$L$7)</t>
  </si>
  <si>
    <t>=NL("Sum","Item Ledger Entry","Quantity","Entry Type","Positive Adjmt.|Negative Adjmt.","Entry No.",I1423,"Location Code",$L$7)</t>
  </si>
  <si>
    <t>=NL("Sum","Item Ledger Entry","Quantity","Entry Type","Positive Adjmt.|Negative Adjmt.","Entry No.",I1424,"Location Code",$L$7)</t>
  </si>
  <si>
    <t>=NL("Sum","Item Ledger Entry","Quantity","Entry Type","Positive Adjmt.|Negative Adjmt.","Entry No.",I1425,"Location Code",$L$7)</t>
  </si>
  <si>
    <t>=NL("Sum","Item Ledger Entry","Quantity","Entry Type","Positive Adjmt.|Negative Adjmt.","Entry No.",I1426,"Location Code",$L$7)</t>
  </si>
  <si>
    <t>=NL("Sum","Item Ledger Entry","Quantity","Entry Type","Positive Adjmt.|Negative Adjmt.","Entry No.",I1427,"Location Code",$L$7)</t>
  </si>
  <si>
    <t>=NL("Sum","Item Ledger Entry","Quantity","Entry Type","Positive Adjmt.|Negative Adjmt.","Entry No.",I1428,"Location Code",$L$7)</t>
  </si>
  <si>
    <t>=NL("Sum","Item Ledger Entry","Quantity","Entry Type","Positive Adjmt.|Negative Adjmt.","Entry No.",I1429,"Location Code",$L$7)</t>
  </si>
  <si>
    <t>=NL("Sum","Item Ledger Entry","Quantity","Entry Type","Positive Adjmt.|Negative Adjmt.","Entry No.",I1430,"Location Code",$L$7)</t>
  </si>
  <si>
    <t>=NL("Sum","Item Ledger Entry","Quantity","Entry Type","Positive Adjmt.|Negative Adjmt.","Entry No.",I1431,"Location Code",$L$7)</t>
  </si>
  <si>
    <t>=NL("Sum","Item Ledger Entry","Quantity","Entry Type","Positive Adjmt.|Negative Adjmt.","Entry No.",I1432,"Location Code",$L$7)</t>
  </si>
  <si>
    <t>=NL("Sum","Item Ledger Entry","Quantity","Entry Type","Positive Adjmt.|Negative Adjmt.","Entry No.",I1433,"Location Code",$L$7)</t>
  </si>
  <si>
    <t>=NL("Sum","Item Ledger Entry","Quantity","Entry Type","Positive Adjmt.|Negative Adjmt.","Entry No.",I1434,"Location Code",$L$7)</t>
  </si>
  <si>
    <t>=NL("Sum","Item Ledger Entry","Quantity","Entry Type","Transfer","Entry No.",I1423,"Location Code",$L$7)</t>
  </si>
  <si>
    <t>=NL("Sum","Item Ledger Entry","Quantity","Entry Type","Transfer","Entry No.",I1424,"Location Code",$L$7)</t>
  </si>
  <si>
    <t>=NL("Sum","Item Ledger Entry","Quantity","Entry Type","Transfer","Entry No.",I1425,"Location Code",$L$7)</t>
  </si>
  <si>
    <t>=NL("Sum","Item Ledger Entry","Quantity","Entry Type","Transfer","Entry No.",I1426,"Location Code",$L$7)</t>
  </si>
  <si>
    <t>=NL("Sum","Item Ledger Entry","Quantity","Entry Type","Transfer","Entry No.",I1427,"Location Code",$L$7)</t>
  </si>
  <si>
    <t>=NL("Sum","Item Ledger Entry","Quantity","Entry Type","Transfer","Entry No.",I1428,"Location Code",$L$7)</t>
  </si>
  <si>
    <t>=NL("Sum","Item Ledger Entry","Quantity","Entry Type","Transfer","Entry No.",I1429,"Location Code",$L$7)</t>
  </si>
  <si>
    <t>=NL("Sum","Item Ledger Entry","Quantity","Entry Type","Transfer","Entry No.",I1430,"Location Code",$L$7)</t>
  </si>
  <si>
    <t>=NL("Sum","Item Ledger Entry","Quantity","Entry Type","Transfer","Entry No.",I1431,"Location Code",$L$7)</t>
  </si>
  <si>
    <t>=NL("Sum","Item Ledger Entry","Quantity","Entry Type","Transfer","Entry No.",I1432,"Location Code",$L$7)</t>
  </si>
  <si>
    <t>=NL("Sum","Item Ledger Entry","Quantity","Entry Type","Transfer","Entry No.",I1433,"Location Code",$L$7)</t>
  </si>
  <si>
    <t>=NL("Sum","Item Ledger Entry","Quantity","Entry Type","Transfer","Entry No.",I1434,"Location Code",$L$7)</t>
  </si>
  <si>
    <t>=NL("Sum","Item Ledger Entry","Quantity","Entry Type","Consumption","Entry No.",I1423,"Location Code",$L$7)</t>
  </si>
  <si>
    <t>=NL("Sum","Item Ledger Entry","Quantity","Entry Type","Consumption","Entry No.",I1424,"Location Code",$L$7)</t>
  </si>
  <si>
    <t>=NL("Sum","Item Ledger Entry","Quantity","Entry Type","Consumption","Entry No.",I1425,"Location Code",$L$7)</t>
  </si>
  <si>
    <t>=NL("Sum","Item Ledger Entry","Quantity","Entry Type","Consumption","Entry No.",I1426,"Location Code",$L$7)</t>
  </si>
  <si>
    <t>=NL("Sum","Item Ledger Entry","Quantity","Entry Type","Consumption","Entry No.",I1427,"Location Code",$L$7)</t>
  </si>
  <si>
    <t>=NL("Sum","Item Ledger Entry","Quantity","Entry Type","Consumption","Entry No.",I1428,"Location Code",$L$7)</t>
  </si>
  <si>
    <t>=NL("Sum","Item Ledger Entry","Quantity","Entry Type","Consumption","Entry No.",I1429,"Location Code",$L$7)</t>
  </si>
  <si>
    <t>=NL("Sum","Item Ledger Entry","Quantity","Entry Type","Consumption","Entry No.",I1430,"Location Code",$L$7)</t>
  </si>
  <si>
    <t>=NL("Sum","Item Ledger Entry","Quantity","Entry Type","Consumption","Entry No.",I1431,"Location Code",$L$7)</t>
  </si>
  <si>
    <t>=NL("Sum","Item Ledger Entry","Quantity","Entry Type","Consumption","Entry No.",I1432,"Location Code",$L$7)</t>
  </si>
  <si>
    <t>=NL("Sum","Item Ledger Entry","Quantity","Entry Type","Consumption","Entry No.",I1433,"Location Code",$L$7)</t>
  </si>
  <si>
    <t>=NL("Sum","Item Ledger Entry","Quantity","Entry Type","Consumption","Entry No.",I1434,"Location Code",$L$7)</t>
  </si>
  <si>
    <t>=NL("Sum","Item Ledger Entry","Quantity","Entry Type","Output","Entry No.",I1423,"Location Code",$L$7)</t>
  </si>
  <si>
    <t>=NL("Sum","Item Ledger Entry","Quantity","Entry Type","Output","Entry No.",I1424,"Location Code",$L$7)</t>
  </si>
  <si>
    <t>=NL("Sum","Item Ledger Entry","Quantity","Entry Type","Output","Entry No.",I1425,"Location Code",$L$7)</t>
  </si>
  <si>
    <t>=NL("Sum","Item Ledger Entry","Quantity","Entry Type","Output","Entry No.",I1426,"Location Code",$L$7)</t>
  </si>
  <si>
    <t>=NL("Sum","Item Ledger Entry","Quantity","Entry Type","Output","Entry No.",I1427,"Location Code",$L$7)</t>
  </si>
  <si>
    <t>=NL("Sum","Item Ledger Entry","Quantity","Entry Type","Output","Entry No.",I1428,"Location Code",$L$7)</t>
  </si>
  <si>
    <t>=NL("Sum","Item Ledger Entry","Quantity","Entry Type","Output","Entry No.",I1429,"Location Code",$L$7)</t>
  </si>
  <si>
    <t>=NL("Sum","Item Ledger Entry","Quantity","Entry Type","Output","Entry No.",I1430,"Location Code",$L$7)</t>
  </si>
  <si>
    <t>=NL("Sum","Item Ledger Entry","Quantity","Entry Type","Output","Entry No.",I1431,"Location Code",$L$7)</t>
  </si>
  <si>
    <t>=NL("Sum","Item Ledger Entry","Quantity","Entry Type","Output","Entry No.",I1432,"Location Code",$L$7)</t>
  </si>
  <si>
    <t>=NL("Sum","Item Ledger Entry","Quantity","Entry Type","Output","Entry No.",I1433,"Location Code",$L$7)</t>
  </si>
  <si>
    <t>=NL("Sum","Item Ledger Entry","Quantity","Entry Type","Output","Entry No.",I1434,"Location Code",$L$7)</t>
  </si>
  <si>
    <t>=NF(G1423,"Source Type")</t>
  </si>
  <si>
    <t>=NF(G1424,"Source Type")</t>
  </si>
  <si>
    <t>=NF(G1425,"Source Type")</t>
  </si>
  <si>
    <t>=NF(G1426,"Source Type")</t>
  </si>
  <si>
    <t>=NF(G1427,"Source Type")</t>
  </si>
  <si>
    <t>=NF(G1428,"Source Type")</t>
  </si>
  <si>
    <t>=NF(G1429,"Source Type")</t>
  </si>
  <si>
    <t>=NF(G1430,"Source Type")</t>
  </si>
  <si>
    <t>=NF(G1431,"Source Type")</t>
  </si>
  <si>
    <t>=NF(G1432,"Source Type")</t>
  </si>
  <si>
    <t>=NF(G1433,"Source Type")</t>
  </si>
  <si>
    <t>=NF(G1434,"Source Type")</t>
  </si>
  <si>
    <t>=NF($G1423,"Source No.")</t>
  </si>
  <si>
    <t>=NF($G1424,"Source No.")</t>
  </si>
  <si>
    <t>=NF($G1425,"Source No.")</t>
  </si>
  <si>
    <t>=NF($G1426,"Source No.")</t>
  </si>
  <si>
    <t>=NF($G1427,"Source No.")</t>
  </si>
  <si>
    <t>=NF($G1428,"Source No.")</t>
  </si>
  <si>
    <t>=NF($G1429,"Source No.")</t>
  </si>
  <si>
    <t>=NF($G1430,"Source No.")</t>
  </si>
  <si>
    <t>=NF($G1431,"Source No.")</t>
  </si>
  <si>
    <t>=NF($G1432,"Source No.")</t>
  </si>
  <si>
    <t>=NF($G1433,"Source No.")</t>
  </si>
  <si>
    <t>=NF($G1434,"Source No.")</t>
  </si>
  <si>
    <t>=NF($G1417,"Posting Date")</t>
  </si>
  <si>
    <t>=NF($G1418,"Posting Date")</t>
  </si>
  <si>
    <t>=NF($G1419,"Posting Date")</t>
  </si>
  <si>
    <t>=NF($G1417,"Entry No.")</t>
  </si>
  <si>
    <t>=NF($G1418,"Entry No.")</t>
  </si>
  <si>
    <t>=NF($G1419,"Entry No.")</t>
  </si>
  <si>
    <t>=NL("Sum","Item Ledger Entry","Quantity","Entry Type","Purchase","Entry No.",I1417,"Location Code",$L$7)</t>
  </si>
  <si>
    <t>=NL("Sum","Item Ledger Entry","Quantity","Entry Type","Purchase","Entry No.",I1418,"Location Code",$L$7)</t>
  </si>
  <si>
    <t>=NL("Sum","Item Ledger Entry","Quantity","Entry Type","Purchase","Entry No.",I1419,"Location Code",$L$7)</t>
  </si>
  <si>
    <t>=NL("Sum","Item Ledger Entry","Quantity","Entry Type","Sale","Entry No.",I1417,"Location Code",$L$7)</t>
  </si>
  <si>
    <t>=NL("Sum","Item Ledger Entry","Quantity","Entry Type","Sale","Entry No.",I1418,"Location Code",$L$7)</t>
  </si>
  <si>
    <t>=NL("Sum","Item Ledger Entry","Quantity","Entry Type","Sale","Entry No.",I1419,"Location Code",$L$7)</t>
  </si>
  <si>
    <t>=NL("Sum","Item Ledger Entry","Quantity","Entry Type","Positive Adjmt.|Negative Adjmt.","Entry No.",I1417,"Location Code",$L$7)</t>
  </si>
  <si>
    <t>=NL("Sum","Item Ledger Entry","Quantity","Entry Type","Positive Adjmt.|Negative Adjmt.","Entry No.",I1418,"Location Code",$L$7)</t>
  </si>
  <si>
    <t>=NL("Sum","Item Ledger Entry","Quantity","Entry Type","Positive Adjmt.|Negative Adjmt.","Entry No.",I1419,"Location Code",$L$7)</t>
  </si>
  <si>
    <t>=NL("Sum","Item Ledger Entry","Quantity","Entry Type","Transfer","Entry No.",I1417,"Location Code",$L$7)</t>
  </si>
  <si>
    <t>=NL("Sum","Item Ledger Entry","Quantity","Entry Type","Transfer","Entry No.",I1418,"Location Code",$L$7)</t>
  </si>
  <si>
    <t>=NL("Sum","Item Ledger Entry","Quantity","Entry Type","Transfer","Entry No.",I1419,"Location Code",$L$7)</t>
  </si>
  <si>
    <t>=NL("Sum","Item Ledger Entry","Quantity","Entry Type","Consumption","Entry No.",I1417,"Location Code",$L$7)</t>
  </si>
  <si>
    <t>=NL("Sum","Item Ledger Entry","Quantity","Entry Type","Consumption","Entry No.",I1418,"Location Code",$L$7)</t>
  </si>
  <si>
    <t>=NL("Sum","Item Ledger Entry","Quantity","Entry Type","Consumption","Entry No.",I1419,"Location Code",$L$7)</t>
  </si>
  <si>
    <t>=NL("Sum","Item Ledger Entry","Quantity","Entry Type","Output","Entry No.",I1417,"Location Code",$L$7)</t>
  </si>
  <si>
    <t>=NL("Sum","Item Ledger Entry","Quantity","Entry Type","Output","Entry No.",I1418,"Location Code",$L$7)</t>
  </si>
  <si>
    <t>=NL("Sum","Item Ledger Entry","Quantity","Entry Type","Output","Entry No.",I1419,"Location Code",$L$7)</t>
  </si>
  <si>
    <t>=NF(G1417,"Source Type")</t>
  </si>
  <si>
    <t>=NF(G1418,"Source Type")</t>
  </si>
  <si>
    <t>=NF(G1419,"Source Type")</t>
  </si>
  <si>
    <t>=NF($G1417,"Source No.")</t>
  </si>
  <si>
    <t>=NF($G1418,"Source No.")</t>
  </si>
  <si>
    <t>=NF($G1419,"Source No.")</t>
  </si>
  <si>
    <t>=NF($G1406,"Posting Date")</t>
  </si>
  <si>
    <t>=NF($G1407,"Posting Date")</t>
  </si>
  <si>
    <t>=NF($G1408,"Posting Date")</t>
  </si>
  <si>
    <t>=NF($G1409,"Posting Date")</t>
  </si>
  <si>
    <t>=NF($G1410,"Posting Date")</t>
  </si>
  <si>
    <t>=NF($G1411,"Posting Date")</t>
  </si>
  <si>
    <t>=NF($G1412,"Posting Date")</t>
  </si>
  <si>
    <t>=NF($G1413,"Posting Date")</t>
  </si>
  <si>
    <t>=NF($G1406,"Entry No.")</t>
  </si>
  <si>
    <t>=NF($G1407,"Entry No.")</t>
  </si>
  <si>
    <t>=NF($G1408,"Entry No.")</t>
  </si>
  <si>
    <t>=NF($G1409,"Entry No.")</t>
  </si>
  <si>
    <t>=NF($G1410,"Entry No.")</t>
  </si>
  <si>
    <t>=NF($G1411,"Entry No.")</t>
  </si>
  <si>
    <t>=NF($G1412,"Entry No.")</t>
  </si>
  <si>
    <t>=NF($G1413,"Entry No.")</t>
  </si>
  <si>
    <t>=NL("Sum","Item Ledger Entry","Quantity","Entry Type","Purchase","Entry No.",I1406,"Location Code",$L$7)</t>
  </si>
  <si>
    <t>=NL("Sum","Item Ledger Entry","Quantity","Entry Type","Purchase","Entry No.",I1407,"Location Code",$L$7)</t>
  </si>
  <si>
    <t>=NL("Sum","Item Ledger Entry","Quantity","Entry Type","Purchase","Entry No.",I1408,"Location Code",$L$7)</t>
  </si>
  <si>
    <t>=NL("Sum","Item Ledger Entry","Quantity","Entry Type","Purchase","Entry No.",I1409,"Location Code",$L$7)</t>
  </si>
  <si>
    <t>=NL("Sum","Item Ledger Entry","Quantity","Entry Type","Purchase","Entry No.",I1410,"Location Code",$L$7)</t>
  </si>
  <si>
    <t>=NL("Sum","Item Ledger Entry","Quantity","Entry Type","Purchase","Entry No.",I1411,"Location Code",$L$7)</t>
  </si>
  <si>
    <t>=NL("Sum","Item Ledger Entry","Quantity","Entry Type","Purchase","Entry No.",I1412,"Location Code",$L$7)</t>
  </si>
  <si>
    <t>=NL("Sum","Item Ledger Entry","Quantity","Entry Type","Purchase","Entry No.",I1413,"Location Code",$L$7)</t>
  </si>
  <si>
    <t>=NL("Sum","Item Ledger Entry","Quantity","Entry Type","Sale","Entry No.",I1406,"Location Code",$L$7)</t>
  </si>
  <si>
    <t>=NL("Sum","Item Ledger Entry","Quantity","Entry Type","Sale","Entry No.",I1407,"Location Code",$L$7)</t>
  </si>
  <si>
    <t>=NL("Sum","Item Ledger Entry","Quantity","Entry Type","Sale","Entry No.",I1408,"Location Code",$L$7)</t>
  </si>
  <si>
    <t>=NL("Sum","Item Ledger Entry","Quantity","Entry Type","Sale","Entry No.",I1409,"Location Code",$L$7)</t>
  </si>
  <si>
    <t>=NL("Sum","Item Ledger Entry","Quantity","Entry Type","Sale","Entry No.",I1410,"Location Code",$L$7)</t>
  </si>
  <si>
    <t>=NL("Sum","Item Ledger Entry","Quantity","Entry Type","Sale","Entry No.",I1411,"Location Code",$L$7)</t>
  </si>
  <si>
    <t>=NL("Sum","Item Ledger Entry","Quantity","Entry Type","Sale","Entry No.",I1412,"Location Code",$L$7)</t>
  </si>
  <si>
    <t>=NL("Sum","Item Ledger Entry","Quantity","Entry Type","Sale","Entry No.",I1413,"Location Code",$L$7)</t>
  </si>
  <si>
    <t>=NL("Sum","Item Ledger Entry","Quantity","Entry Type","Positive Adjmt.|Negative Adjmt.","Entry No.",I1406,"Location Code",$L$7)</t>
  </si>
  <si>
    <t>=NL("Sum","Item Ledger Entry","Quantity","Entry Type","Positive Adjmt.|Negative Adjmt.","Entry No.",I1407,"Location Code",$L$7)</t>
  </si>
  <si>
    <t>=NL("Sum","Item Ledger Entry","Quantity","Entry Type","Positive Adjmt.|Negative Adjmt.","Entry No.",I1408,"Location Code",$L$7)</t>
  </si>
  <si>
    <t>=NL("Sum","Item Ledger Entry","Quantity","Entry Type","Positive Adjmt.|Negative Adjmt.","Entry No.",I1409,"Location Code",$L$7)</t>
  </si>
  <si>
    <t>=NL("Sum","Item Ledger Entry","Quantity","Entry Type","Positive Adjmt.|Negative Adjmt.","Entry No.",I1410,"Location Code",$L$7)</t>
  </si>
  <si>
    <t>=NL("Sum","Item Ledger Entry","Quantity","Entry Type","Positive Adjmt.|Negative Adjmt.","Entry No.",I1411,"Location Code",$L$7)</t>
  </si>
  <si>
    <t>=NL("Sum","Item Ledger Entry","Quantity","Entry Type","Positive Adjmt.|Negative Adjmt.","Entry No.",I1412,"Location Code",$L$7)</t>
  </si>
  <si>
    <t>=NL("Sum","Item Ledger Entry","Quantity","Entry Type","Positive Adjmt.|Negative Adjmt.","Entry No.",I1413,"Location Code",$L$7)</t>
  </si>
  <si>
    <t>=NL("Sum","Item Ledger Entry","Quantity","Entry Type","Transfer","Entry No.",I1406,"Location Code",$L$7)</t>
  </si>
  <si>
    <t>=NL("Sum","Item Ledger Entry","Quantity","Entry Type","Transfer","Entry No.",I1407,"Location Code",$L$7)</t>
  </si>
  <si>
    <t>=NL("Sum","Item Ledger Entry","Quantity","Entry Type","Transfer","Entry No.",I1408,"Location Code",$L$7)</t>
  </si>
  <si>
    <t>=NL("Sum","Item Ledger Entry","Quantity","Entry Type","Transfer","Entry No.",I1409,"Location Code",$L$7)</t>
  </si>
  <si>
    <t>=NL("Sum","Item Ledger Entry","Quantity","Entry Type","Transfer","Entry No.",I1410,"Location Code",$L$7)</t>
  </si>
  <si>
    <t>=NL("Sum","Item Ledger Entry","Quantity","Entry Type","Transfer","Entry No.",I1411,"Location Code",$L$7)</t>
  </si>
  <si>
    <t>=NL("Sum","Item Ledger Entry","Quantity","Entry Type","Transfer","Entry No.",I1412,"Location Code",$L$7)</t>
  </si>
  <si>
    <t>=NL("Sum","Item Ledger Entry","Quantity","Entry Type","Transfer","Entry No.",I1413,"Location Code",$L$7)</t>
  </si>
  <si>
    <t>=NL("Sum","Item Ledger Entry","Quantity","Entry Type","Consumption","Entry No.",I1406,"Location Code",$L$7)</t>
  </si>
  <si>
    <t>=NL("Sum","Item Ledger Entry","Quantity","Entry Type","Consumption","Entry No.",I1407,"Location Code",$L$7)</t>
  </si>
  <si>
    <t>=NL("Sum","Item Ledger Entry","Quantity","Entry Type","Consumption","Entry No.",I1408,"Location Code",$L$7)</t>
  </si>
  <si>
    <t>=NL("Sum","Item Ledger Entry","Quantity","Entry Type","Consumption","Entry No.",I1409,"Location Code",$L$7)</t>
  </si>
  <si>
    <t>=NL("Sum","Item Ledger Entry","Quantity","Entry Type","Consumption","Entry No.",I1410,"Location Code",$L$7)</t>
  </si>
  <si>
    <t>=NL("Sum","Item Ledger Entry","Quantity","Entry Type","Consumption","Entry No.",I1411,"Location Code",$L$7)</t>
  </si>
  <si>
    <t>=NL("Sum","Item Ledger Entry","Quantity","Entry Type","Consumption","Entry No.",I1412,"Location Code",$L$7)</t>
  </si>
  <si>
    <t>=NL("Sum","Item Ledger Entry","Quantity","Entry Type","Consumption","Entry No.",I1413,"Location Code",$L$7)</t>
  </si>
  <si>
    <t>=NL("Sum","Item Ledger Entry","Quantity","Entry Type","Output","Entry No.",I1406,"Location Code",$L$7)</t>
  </si>
  <si>
    <t>=NL("Sum","Item Ledger Entry","Quantity","Entry Type","Output","Entry No.",I1407,"Location Code",$L$7)</t>
  </si>
  <si>
    <t>=NL("Sum","Item Ledger Entry","Quantity","Entry Type","Output","Entry No.",I1408,"Location Code",$L$7)</t>
  </si>
  <si>
    <t>=NL("Sum","Item Ledger Entry","Quantity","Entry Type","Output","Entry No.",I1409,"Location Code",$L$7)</t>
  </si>
  <si>
    <t>=NL("Sum","Item Ledger Entry","Quantity","Entry Type","Output","Entry No.",I1410,"Location Code",$L$7)</t>
  </si>
  <si>
    <t>=NL("Sum","Item Ledger Entry","Quantity","Entry Type","Output","Entry No.",I1411,"Location Code",$L$7)</t>
  </si>
  <si>
    <t>=NL("Sum","Item Ledger Entry","Quantity","Entry Type","Output","Entry No.",I1412,"Location Code",$L$7)</t>
  </si>
  <si>
    <t>=NL("Sum","Item Ledger Entry","Quantity","Entry Type","Output","Entry No.",I1413,"Location Code",$L$7)</t>
  </si>
  <si>
    <t>=NF(G1406,"Source Type")</t>
  </si>
  <si>
    <t>=NF(G1407,"Source Type")</t>
  </si>
  <si>
    <t>=NF(G1408,"Source Type")</t>
  </si>
  <si>
    <t>=NF(G1409,"Source Type")</t>
  </si>
  <si>
    <t>=NF(G1410,"Source Type")</t>
  </si>
  <si>
    <t>=NF(G1411,"Source Type")</t>
  </si>
  <si>
    <t>=NF(G1412,"Source Type")</t>
  </si>
  <si>
    <t>=NF(G1413,"Source Type")</t>
  </si>
  <si>
    <t>=NF($G1406,"Source No.")</t>
  </si>
  <si>
    <t>=NF($G1407,"Source No.")</t>
  </si>
  <si>
    <t>=NF($G1408,"Source No.")</t>
  </si>
  <si>
    <t>=NF($G1409,"Source No.")</t>
  </si>
  <si>
    <t>=NF($G1410,"Source No.")</t>
  </si>
  <si>
    <t>=NF($G1411,"Source No.")</t>
  </si>
  <si>
    <t>=NF($G1412,"Source No.")</t>
  </si>
  <si>
    <t>=NF($G1413,"Source No.")</t>
  </si>
  <si>
    <t>=NF($G1398,"Posting Date")</t>
  </si>
  <si>
    <t>=NF($G1399,"Posting Date")</t>
  </si>
  <si>
    <t>=NF($G1400,"Posting Date")</t>
  </si>
  <si>
    <t>=NF($G1401,"Posting Date")</t>
  </si>
  <si>
    <t>=NF($G1402,"Posting Date")</t>
  </si>
  <si>
    <t>=NF($G1398,"Entry No.")</t>
  </si>
  <si>
    <t>=NF($G1399,"Entry No.")</t>
  </si>
  <si>
    <t>=NF($G1400,"Entry No.")</t>
  </si>
  <si>
    <t>=NF($G1401,"Entry No.")</t>
  </si>
  <si>
    <t>=NF($G1402,"Entry No.")</t>
  </si>
  <si>
    <t>=NL("Sum","Item Ledger Entry","Quantity","Entry Type","Purchase","Entry No.",I1398,"Location Code",$L$7)</t>
  </si>
  <si>
    <t>=NL("Sum","Item Ledger Entry","Quantity","Entry Type","Purchase","Entry No.",I1399,"Location Code",$L$7)</t>
  </si>
  <si>
    <t>=NL("Sum","Item Ledger Entry","Quantity","Entry Type","Purchase","Entry No.",I1400,"Location Code",$L$7)</t>
  </si>
  <si>
    <t>=NL("Sum","Item Ledger Entry","Quantity","Entry Type","Purchase","Entry No.",I1401,"Location Code",$L$7)</t>
  </si>
  <si>
    <t>=NL("Sum","Item Ledger Entry","Quantity","Entry Type","Purchase","Entry No.",I1402,"Location Code",$L$7)</t>
  </si>
  <si>
    <t>=NL("Sum","Item Ledger Entry","Quantity","Entry Type","Sale","Entry No.",I1398,"Location Code",$L$7)</t>
  </si>
  <si>
    <t>=NL("Sum","Item Ledger Entry","Quantity","Entry Type","Sale","Entry No.",I1399,"Location Code",$L$7)</t>
  </si>
  <si>
    <t>=NL("Sum","Item Ledger Entry","Quantity","Entry Type","Sale","Entry No.",I1400,"Location Code",$L$7)</t>
  </si>
  <si>
    <t>=NL("Sum","Item Ledger Entry","Quantity","Entry Type","Sale","Entry No.",I1401,"Location Code",$L$7)</t>
  </si>
  <si>
    <t>=NL("Sum","Item Ledger Entry","Quantity","Entry Type","Sale","Entry No.",I1402,"Location Code",$L$7)</t>
  </si>
  <si>
    <t>=NL("Sum","Item Ledger Entry","Quantity","Entry Type","Positive Adjmt.|Negative Adjmt.","Entry No.",I1398,"Location Code",$L$7)</t>
  </si>
  <si>
    <t>=NL("Sum","Item Ledger Entry","Quantity","Entry Type","Positive Adjmt.|Negative Adjmt.","Entry No.",I1399,"Location Code",$L$7)</t>
  </si>
  <si>
    <t>=NL("Sum","Item Ledger Entry","Quantity","Entry Type","Positive Adjmt.|Negative Adjmt.","Entry No.",I1400,"Location Code",$L$7)</t>
  </si>
  <si>
    <t>=NL("Sum","Item Ledger Entry","Quantity","Entry Type","Positive Adjmt.|Negative Adjmt.","Entry No.",I1401,"Location Code",$L$7)</t>
  </si>
  <si>
    <t>=NL("Sum","Item Ledger Entry","Quantity","Entry Type","Positive Adjmt.|Negative Adjmt.","Entry No.",I1402,"Location Code",$L$7)</t>
  </si>
  <si>
    <t>=NL("Sum","Item Ledger Entry","Quantity","Entry Type","Transfer","Entry No.",I1398,"Location Code",$L$7)</t>
  </si>
  <si>
    <t>=NL("Sum","Item Ledger Entry","Quantity","Entry Type","Transfer","Entry No.",I1399,"Location Code",$L$7)</t>
  </si>
  <si>
    <t>=NL("Sum","Item Ledger Entry","Quantity","Entry Type","Transfer","Entry No.",I1400,"Location Code",$L$7)</t>
  </si>
  <si>
    <t>=NL("Sum","Item Ledger Entry","Quantity","Entry Type","Transfer","Entry No.",I1401,"Location Code",$L$7)</t>
  </si>
  <si>
    <t>=NL("Sum","Item Ledger Entry","Quantity","Entry Type","Transfer","Entry No.",I1402,"Location Code",$L$7)</t>
  </si>
  <si>
    <t>=NL("Sum","Item Ledger Entry","Quantity","Entry Type","Consumption","Entry No.",I1398,"Location Code",$L$7)</t>
  </si>
  <si>
    <t>=NL("Sum","Item Ledger Entry","Quantity","Entry Type","Consumption","Entry No.",I1399,"Location Code",$L$7)</t>
  </si>
  <si>
    <t>=NL("Sum","Item Ledger Entry","Quantity","Entry Type","Consumption","Entry No.",I1400,"Location Code",$L$7)</t>
  </si>
  <si>
    <t>=NL("Sum","Item Ledger Entry","Quantity","Entry Type","Consumption","Entry No.",I1401,"Location Code",$L$7)</t>
  </si>
  <si>
    <t>=NL("Sum","Item Ledger Entry","Quantity","Entry Type","Consumption","Entry No.",I1402,"Location Code",$L$7)</t>
  </si>
  <si>
    <t>=NL("Sum","Item Ledger Entry","Quantity","Entry Type","Output","Entry No.",I1398,"Location Code",$L$7)</t>
  </si>
  <si>
    <t>=NL("Sum","Item Ledger Entry","Quantity","Entry Type","Output","Entry No.",I1399,"Location Code",$L$7)</t>
  </si>
  <si>
    <t>=NL("Sum","Item Ledger Entry","Quantity","Entry Type","Output","Entry No.",I1400,"Location Code",$L$7)</t>
  </si>
  <si>
    <t>=NL("Sum","Item Ledger Entry","Quantity","Entry Type","Output","Entry No.",I1401,"Location Code",$L$7)</t>
  </si>
  <si>
    <t>=NL("Sum","Item Ledger Entry","Quantity","Entry Type","Output","Entry No.",I1402,"Location Code",$L$7)</t>
  </si>
  <si>
    <t>=NF(G1398,"Source Type")</t>
  </si>
  <si>
    <t>=NF(G1399,"Source Type")</t>
  </si>
  <si>
    <t>=NF(G1400,"Source Type")</t>
  </si>
  <si>
    <t>=NF(G1401,"Source Type")</t>
  </si>
  <si>
    <t>=NF(G1402,"Source Type")</t>
  </si>
  <si>
    <t>=NF($G1398,"Source No.")</t>
  </si>
  <si>
    <t>=NF($G1399,"Source No.")</t>
  </si>
  <si>
    <t>=NF($G1400,"Source No.")</t>
  </si>
  <si>
    <t>=NF($G1401,"Source No.")</t>
  </si>
  <si>
    <t>=NF($G1402,"Source No.")</t>
  </si>
  <si>
    <t>=NF($G1389,"Posting Date")</t>
  </si>
  <si>
    <t>=NF($G1390,"Posting Date")</t>
  </si>
  <si>
    <t>=NF($G1391,"Posting Date")</t>
  </si>
  <si>
    <t>=NF($G1392,"Posting Date")</t>
  </si>
  <si>
    <t>=NF($G1393,"Posting Date")</t>
  </si>
  <si>
    <t>=NF($G1394,"Posting Date")</t>
  </si>
  <si>
    <t>=NF($G1389,"Entry No.")</t>
  </si>
  <si>
    <t>=NF($G1390,"Entry No.")</t>
  </si>
  <si>
    <t>=NF($G1391,"Entry No.")</t>
  </si>
  <si>
    <t>=NF($G1392,"Entry No.")</t>
  </si>
  <si>
    <t>=NF($G1393,"Entry No.")</t>
  </si>
  <si>
    <t>=NF($G1394,"Entry No.")</t>
  </si>
  <si>
    <t>=NL("Sum","Item Ledger Entry","Quantity","Entry Type","Purchase","Entry No.",I1389,"Location Code",$L$7)</t>
  </si>
  <si>
    <t>=NL("Sum","Item Ledger Entry","Quantity","Entry Type","Purchase","Entry No.",I1390,"Location Code",$L$7)</t>
  </si>
  <si>
    <t>=NL("Sum","Item Ledger Entry","Quantity","Entry Type","Purchase","Entry No.",I1391,"Location Code",$L$7)</t>
  </si>
  <si>
    <t>=NL("Sum","Item Ledger Entry","Quantity","Entry Type","Purchase","Entry No.",I1392,"Location Code",$L$7)</t>
  </si>
  <si>
    <t>=NL("Sum","Item Ledger Entry","Quantity","Entry Type","Purchase","Entry No.",I1393,"Location Code",$L$7)</t>
  </si>
  <si>
    <t>=NL("Sum","Item Ledger Entry","Quantity","Entry Type","Purchase","Entry No.",I1394,"Location Code",$L$7)</t>
  </si>
  <si>
    <t>=NL("Sum","Item Ledger Entry","Quantity","Entry Type","Sale","Entry No.",I1389,"Location Code",$L$7)</t>
  </si>
  <si>
    <t>=NL("Sum","Item Ledger Entry","Quantity","Entry Type","Sale","Entry No.",I1390,"Location Code",$L$7)</t>
  </si>
  <si>
    <t>=NL("Sum","Item Ledger Entry","Quantity","Entry Type","Sale","Entry No.",I1391,"Location Code",$L$7)</t>
  </si>
  <si>
    <t>=NL("Sum","Item Ledger Entry","Quantity","Entry Type","Sale","Entry No.",I1392,"Location Code",$L$7)</t>
  </si>
  <si>
    <t>=NL("Sum","Item Ledger Entry","Quantity","Entry Type","Sale","Entry No.",I1393,"Location Code",$L$7)</t>
  </si>
  <si>
    <t>=NL("Sum","Item Ledger Entry","Quantity","Entry Type","Sale","Entry No.",I1394,"Location Code",$L$7)</t>
  </si>
  <si>
    <t>=NL("Sum","Item Ledger Entry","Quantity","Entry Type","Positive Adjmt.|Negative Adjmt.","Entry No.",I1389,"Location Code",$L$7)</t>
  </si>
  <si>
    <t>=NL("Sum","Item Ledger Entry","Quantity","Entry Type","Positive Adjmt.|Negative Adjmt.","Entry No.",I1390,"Location Code",$L$7)</t>
  </si>
  <si>
    <t>=NL("Sum","Item Ledger Entry","Quantity","Entry Type","Positive Adjmt.|Negative Adjmt.","Entry No.",I1391,"Location Code",$L$7)</t>
  </si>
  <si>
    <t>=NL("Sum","Item Ledger Entry","Quantity","Entry Type","Positive Adjmt.|Negative Adjmt.","Entry No.",I1392,"Location Code",$L$7)</t>
  </si>
  <si>
    <t>=NL("Sum","Item Ledger Entry","Quantity","Entry Type","Positive Adjmt.|Negative Adjmt.","Entry No.",I1393,"Location Code",$L$7)</t>
  </si>
  <si>
    <t>=NL("Sum","Item Ledger Entry","Quantity","Entry Type","Positive Adjmt.|Negative Adjmt.","Entry No.",I1394,"Location Code",$L$7)</t>
  </si>
  <si>
    <t>=NL("Sum","Item Ledger Entry","Quantity","Entry Type","Transfer","Entry No.",I1389,"Location Code",$L$7)</t>
  </si>
  <si>
    <t>=NL("Sum","Item Ledger Entry","Quantity","Entry Type","Transfer","Entry No.",I1390,"Location Code",$L$7)</t>
  </si>
  <si>
    <t>=NL("Sum","Item Ledger Entry","Quantity","Entry Type","Transfer","Entry No.",I1391,"Location Code",$L$7)</t>
  </si>
  <si>
    <t>=NL("Sum","Item Ledger Entry","Quantity","Entry Type","Transfer","Entry No.",I1392,"Location Code",$L$7)</t>
  </si>
  <si>
    <t>=NL("Sum","Item Ledger Entry","Quantity","Entry Type","Transfer","Entry No.",I1393,"Location Code",$L$7)</t>
  </si>
  <si>
    <t>=NL("Sum","Item Ledger Entry","Quantity","Entry Type","Transfer","Entry No.",I1394,"Location Code",$L$7)</t>
  </si>
  <si>
    <t>=NL("Sum","Item Ledger Entry","Quantity","Entry Type","Consumption","Entry No.",I1389,"Location Code",$L$7)</t>
  </si>
  <si>
    <t>=NL("Sum","Item Ledger Entry","Quantity","Entry Type","Consumption","Entry No.",I1390,"Location Code",$L$7)</t>
  </si>
  <si>
    <t>=NL("Sum","Item Ledger Entry","Quantity","Entry Type","Consumption","Entry No.",I1391,"Location Code",$L$7)</t>
  </si>
  <si>
    <t>=NL("Sum","Item Ledger Entry","Quantity","Entry Type","Consumption","Entry No.",I1392,"Location Code",$L$7)</t>
  </si>
  <si>
    <t>=NL("Sum","Item Ledger Entry","Quantity","Entry Type","Consumption","Entry No.",I1393,"Location Code",$L$7)</t>
  </si>
  <si>
    <t>=NL("Sum","Item Ledger Entry","Quantity","Entry Type","Consumption","Entry No.",I1394,"Location Code",$L$7)</t>
  </si>
  <si>
    <t>=NL("Sum","Item Ledger Entry","Quantity","Entry Type","Output","Entry No.",I1389,"Location Code",$L$7)</t>
  </si>
  <si>
    <t>=NL("Sum","Item Ledger Entry","Quantity","Entry Type","Output","Entry No.",I1390,"Location Code",$L$7)</t>
  </si>
  <si>
    <t>=NL("Sum","Item Ledger Entry","Quantity","Entry Type","Output","Entry No.",I1391,"Location Code",$L$7)</t>
  </si>
  <si>
    <t>=NL("Sum","Item Ledger Entry","Quantity","Entry Type","Output","Entry No.",I1392,"Location Code",$L$7)</t>
  </si>
  <si>
    <t>=NL("Sum","Item Ledger Entry","Quantity","Entry Type","Output","Entry No.",I1393,"Location Code",$L$7)</t>
  </si>
  <si>
    <t>=NL("Sum","Item Ledger Entry","Quantity","Entry Type","Output","Entry No.",I1394,"Location Code",$L$7)</t>
  </si>
  <si>
    <t>=NF(G1389,"Source Type")</t>
  </si>
  <si>
    <t>=NF(G1390,"Source Type")</t>
  </si>
  <si>
    <t>=NF(G1391,"Source Type")</t>
  </si>
  <si>
    <t>=NF(G1392,"Source Type")</t>
  </si>
  <si>
    <t>=NF(G1393,"Source Type")</t>
  </si>
  <si>
    <t>=NF(G1394,"Source Type")</t>
  </si>
  <si>
    <t>=NF($G1389,"Source No.")</t>
  </si>
  <si>
    <t>=NF($G1390,"Source No.")</t>
  </si>
  <si>
    <t>=NF($G1391,"Source No.")</t>
  </si>
  <si>
    <t>=NF($G1392,"Source No.")</t>
  </si>
  <si>
    <t>=NF($G1393,"Source No.")</t>
  </si>
  <si>
    <t>=NF($G1394,"Source No.")</t>
  </si>
  <si>
    <t>=NF($G1376,"Posting Date")</t>
  </si>
  <si>
    <t>=NF($G1377,"Posting Date")</t>
  </si>
  <si>
    <t>=NF($G1378,"Posting Date")</t>
  </si>
  <si>
    <t>=NF($G1379,"Posting Date")</t>
  </si>
  <si>
    <t>=NF($G1380,"Posting Date")</t>
  </si>
  <si>
    <t>=NF($G1381,"Posting Date")</t>
  </si>
  <si>
    <t>=NF($G1382,"Posting Date")</t>
  </si>
  <si>
    <t>=NF($G1383,"Posting Date")</t>
  </si>
  <si>
    <t>=NF($G1384,"Posting Date")</t>
  </si>
  <si>
    <t>=NF($G1385,"Posting Date")</t>
  </si>
  <si>
    <t>=NF($G1376,"Entry No.")</t>
  </si>
  <si>
    <t>=NF($G1377,"Entry No.")</t>
  </si>
  <si>
    <t>=NF($G1378,"Entry No.")</t>
  </si>
  <si>
    <t>=NF($G1379,"Entry No.")</t>
  </si>
  <si>
    <t>=NF($G1380,"Entry No.")</t>
  </si>
  <si>
    <t>=NF($G1381,"Entry No.")</t>
  </si>
  <si>
    <t>=NF($G1382,"Entry No.")</t>
  </si>
  <si>
    <t>=NF($G1383,"Entry No.")</t>
  </si>
  <si>
    <t>=NF($G1384,"Entry No.")</t>
  </si>
  <si>
    <t>=NF($G1385,"Entry No.")</t>
  </si>
  <si>
    <t>=NL("Sum","Item Ledger Entry","Quantity","Entry Type","Purchase","Entry No.",I1376,"Location Code",$L$7)</t>
  </si>
  <si>
    <t>=NL("Sum","Item Ledger Entry","Quantity","Entry Type","Purchase","Entry No.",I1377,"Location Code",$L$7)</t>
  </si>
  <si>
    <t>=NL("Sum","Item Ledger Entry","Quantity","Entry Type","Purchase","Entry No.",I1378,"Location Code",$L$7)</t>
  </si>
  <si>
    <t>=NL("Sum","Item Ledger Entry","Quantity","Entry Type","Purchase","Entry No.",I1379,"Location Code",$L$7)</t>
  </si>
  <si>
    <t>=NL("Sum","Item Ledger Entry","Quantity","Entry Type","Purchase","Entry No.",I1380,"Location Code",$L$7)</t>
  </si>
  <si>
    <t>=NL("Sum","Item Ledger Entry","Quantity","Entry Type","Purchase","Entry No.",I1381,"Location Code",$L$7)</t>
  </si>
  <si>
    <t>=NL("Sum","Item Ledger Entry","Quantity","Entry Type","Purchase","Entry No.",I1382,"Location Code",$L$7)</t>
  </si>
  <si>
    <t>=NL("Sum","Item Ledger Entry","Quantity","Entry Type","Purchase","Entry No.",I1383,"Location Code",$L$7)</t>
  </si>
  <si>
    <t>=NL("Sum","Item Ledger Entry","Quantity","Entry Type","Purchase","Entry No.",I1384,"Location Code",$L$7)</t>
  </si>
  <si>
    <t>=NL("Sum","Item Ledger Entry","Quantity","Entry Type","Purchase","Entry No.",I1385,"Location Code",$L$7)</t>
  </si>
  <si>
    <t>=NL("Sum","Item Ledger Entry","Quantity","Entry Type","Sale","Entry No.",I1376,"Location Code",$L$7)</t>
  </si>
  <si>
    <t>=NL("Sum","Item Ledger Entry","Quantity","Entry Type","Sale","Entry No.",I1377,"Location Code",$L$7)</t>
  </si>
  <si>
    <t>=NL("Sum","Item Ledger Entry","Quantity","Entry Type","Sale","Entry No.",I1378,"Location Code",$L$7)</t>
  </si>
  <si>
    <t>=NL("Sum","Item Ledger Entry","Quantity","Entry Type","Sale","Entry No.",I1379,"Location Code",$L$7)</t>
  </si>
  <si>
    <t>=NL("Sum","Item Ledger Entry","Quantity","Entry Type","Sale","Entry No.",I1380,"Location Code",$L$7)</t>
  </si>
  <si>
    <t>=NL("Sum","Item Ledger Entry","Quantity","Entry Type","Sale","Entry No.",I1381,"Location Code",$L$7)</t>
  </si>
  <si>
    <t>=NL("Sum","Item Ledger Entry","Quantity","Entry Type","Sale","Entry No.",I1382,"Location Code",$L$7)</t>
  </si>
  <si>
    <t>=NL("Sum","Item Ledger Entry","Quantity","Entry Type","Sale","Entry No.",I1383,"Location Code",$L$7)</t>
  </si>
  <si>
    <t>=NL("Sum","Item Ledger Entry","Quantity","Entry Type","Sale","Entry No.",I1384,"Location Code",$L$7)</t>
  </si>
  <si>
    <t>=NL("Sum","Item Ledger Entry","Quantity","Entry Type","Sale","Entry No.",I1385,"Location Code",$L$7)</t>
  </si>
  <si>
    <t>=NL("Sum","Item Ledger Entry","Quantity","Entry Type","Positive Adjmt.|Negative Adjmt.","Entry No.",I1376,"Location Code",$L$7)</t>
  </si>
  <si>
    <t>=NL("Sum","Item Ledger Entry","Quantity","Entry Type","Positive Adjmt.|Negative Adjmt.","Entry No.",I1377,"Location Code",$L$7)</t>
  </si>
  <si>
    <t>=NL("Sum","Item Ledger Entry","Quantity","Entry Type","Positive Adjmt.|Negative Adjmt.","Entry No.",I1378,"Location Code",$L$7)</t>
  </si>
  <si>
    <t>=NL("Sum","Item Ledger Entry","Quantity","Entry Type","Positive Adjmt.|Negative Adjmt.","Entry No.",I1379,"Location Code",$L$7)</t>
  </si>
  <si>
    <t>=NL("Sum","Item Ledger Entry","Quantity","Entry Type","Positive Adjmt.|Negative Adjmt.","Entry No.",I1380,"Location Code",$L$7)</t>
  </si>
  <si>
    <t>=NL("Sum","Item Ledger Entry","Quantity","Entry Type","Positive Adjmt.|Negative Adjmt.","Entry No.",I1381,"Location Code",$L$7)</t>
  </si>
  <si>
    <t>=NL("Sum","Item Ledger Entry","Quantity","Entry Type","Positive Adjmt.|Negative Adjmt.","Entry No.",I1382,"Location Code",$L$7)</t>
  </si>
  <si>
    <t>=NL("Sum","Item Ledger Entry","Quantity","Entry Type","Positive Adjmt.|Negative Adjmt.","Entry No.",I1383,"Location Code",$L$7)</t>
  </si>
  <si>
    <t>=NL("Sum","Item Ledger Entry","Quantity","Entry Type","Positive Adjmt.|Negative Adjmt.","Entry No.",I1384,"Location Code",$L$7)</t>
  </si>
  <si>
    <t>=NL("Sum","Item Ledger Entry","Quantity","Entry Type","Positive Adjmt.|Negative Adjmt.","Entry No.",I1385,"Location Code",$L$7)</t>
  </si>
  <si>
    <t>=NL("Sum","Item Ledger Entry","Quantity","Entry Type","Transfer","Entry No.",I1376,"Location Code",$L$7)</t>
  </si>
  <si>
    <t>=NL("Sum","Item Ledger Entry","Quantity","Entry Type","Transfer","Entry No.",I1377,"Location Code",$L$7)</t>
  </si>
  <si>
    <t>=NL("Sum","Item Ledger Entry","Quantity","Entry Type","Transfer","Entry No.",I1378,"Location Code",$L$7)</t>
  </si>
  <si>
    <t>=NL("Sum","Item Ledger Entry","Quantity","Entry Type","Transfer","Entry No.",I1379,"Location Code",$L$7)</t>
  </si>
  <si>
    <t>=NL("Sum","Item Ledger Entry","Quantity","Entry Type","Transfer","Entry No.",I1380,"Location Code",$L$7)</t>
  </si>
  <si>
    <t>=NL("Sum","Item Ledger Entry","Quantity","Entry Type","Transfer","Entry No.",I1381,"Location Code",$L$7)</t>
  </si>
  <si>
    <t>=NL("Sum","Item Ledger Entry","Quantity","Entry Type","Transfer","Entry No.",I1382,"Location Code",$L$7)</t>
  </si>
  <si>
    <t>=NL("Sum","Item Ledger Entry","Quantity","Entry Type","Transfer","Entry No.",I1383,"Location Code",$L$7)</t>
  </si>
  <si>
    <t>=NL("Sum","Item Ledger Entry","Quantity","Entry Type","Transfer","Entry No.",I1384,"Location Code",$L$7)</t>
  </si>
  <si>
    <t>=NL("Sum","Item Ledger Entry","Quantity","Entry Type","Transfer","Entry No.",I1385,"Location Code",$L$7)</t>
  </si>
  <si>
    <t>=NL("Sum","Item Ledger Entry","Quantity","Entry Type","Consumption","Entry No.",I1376,"Location Code",$L$7)</t>
  </si>
  <si>
    <t>=NL("Sum","Item Ledger Entry","Quantity","Entry Type","Consumption","Entry No.",I1377,"Location Code",$L$7)</t>
  </si>
  <si>
    <t>=NL("Sum","Item Ledger Entry","Quantity","Entry Type","Consumption","Entry No.",I1378,"Location Code",$L$7)</t>
  </si>
  <si>
    <t>=NL("Sum","Item Ledger Entry","Quantity","Entry Type","Consumption","Entry No.",I1379,"Location Code",$L$7)</t>
  </si>
  <si>
    <t>=NL("Sum","Item Ledger Entry","Quantity","Entry Type","Consumption","Entry No.",I1380,"Location Code",$L$7)</t>
  </si>
  <si>
    <t>=NL("Sum","Item Ledger Entry","Quantity","Entry Type","Consumption","Entry No.",I1381,"Location Code",$L$7)</t>
  </si>
  <si>
    <t>=NL("Sum","Item Ledger Entry","Quantity","Entry Type","Consumption","Entry No.",I1382,"Location Code",$L$7)</t>
  </si>
  <si>
    <t>=NL("Sum","Item Ledger Entry","Quantity","Entry Type","Consumption","Entry No.",I1383,"Location Code",$L$7)</t>
  </si>
  <si>
    <t>=NL("Sum","Item Ledger Entry","Quantity","Entry Type","Consumption","Entry No.",I1384,"Location Code",$L$7)</t>
  </si>
  <si>
    <t>=NL("Sum","Item Ledger Entry","Quantity","Entry Type","Consumption","Entry No.",I1385,"Location Code",$L$7)</t>
  </si>
  <si>
    <t>=NL("Sum","Item Ledger Entry","Quantity","Entry Type","Output","Entry No.",I1376,"Location Code",$L$7)</t>
  </si>
  <si>
    <t>=NL("Sum","Item Ledger Entry","Quantity","Entry Type","Output","Entry No.",I1377,"Location Code",$L$7)</t>
  </si>
  <si>
    <t>=NL("Sum","Item Ledger Entry","Quantity","Entry Type","Output","Entry No.",I1378,"Location Code",$L$7)</t>
  </si>
  <si>
    <t>=NL("Sum","Item Ledger Entry","Quantity","Entry Type","Output","Entry No.",I1379,"Location Code",$L$7)</t>
  </si>
  <si>
    <t>=NL("Sum","Item Ledger Entry","Quantity","Entry Type","Output","Entry No.",I1380,"Location Code",$L$7)</t>
  </si>
  <si>
    <t>=NL("Sum","Item Ledger Entry","Quantity","Entry Type","Output","Entry No.",I1381,"Location Code",$L$7)</t>
  </si>
  <si>
    <t>=NL("Sum","Item Ledger Entry","Quantity","Entry Type","Output","Entry No.",I1382,"Location Code",$L$7)</t>
  </si>
  <si>
    <t>=NL("Sum","Item Ledger Entry","Quantity","Entry Type","Output","Entry No.",I1383,"Location Code",$L$7)</t>
  </si>
  <si>
    <t>=NL("Sum","Item Ledger Entry","Quantity","Entry Type","Output","Entry No.",I1384,"Location Code",$L$7)</t>
  </si>
  <si>
    <t>=NL("Sum","Item Ledger Entry","Quantity","Entry Type","Output","Entry No.",I1385,"Location Code",$L$7)</t>
  </si>
  <si>
    <t>=NF(G1376,"Source Type")</t>
  </si>
  <si>
    <t>=NF(G1377,"Source Type")</t>
  </si>
  <si>
    <t>=NF(G1378,"Source Type")</t>
  </si>
  <si>
    <t>=NF(G1379,"Source Type")</t>
  </si>
  <si>
    <t>=NF(G1380,"Source Type")</t>
  </si>
  <si>
    <t>=NF(G1381,"Source Type")</t>
  </si>
  <si>
    <t>=NF(G1382,"Source Type")</t>
  </si>
  <si>
    <t>=NF(G1383,"Source Type")</t>
  </si>
  <si>
    <t>=NF(G1384,"Source Type")</t>
  </si>
  <si>
    <t>=NF(G1385,"Source Type")</t>
  </si>
  <si>
    <t>=NF($G1376,"Source No.")</t>
  </si>
  <si>
    <t>=NF($G1377,"Source No.")</t>
  </si>
  <si>
    <t>=NF($G1378,"Source No.")</t>
  </si>
  <si>
    <t>=NF($G1379,"Source No.")</t>
  </si>
  <si>
    <t>=NF($G1380,"Source No.")</t>
  </si>
  <si>
    <t>=NF($G1381,"Source No.")</t>
  </si>
  <si>
    <t>=NF($G1382,"Source No.")</t>
  </si>
  <si>
    <t>=NF($G1383,"Source No.")</t>
  </si>
  <si>
    <t>=NF($G1384,"Source No.")</t>
  </si>
  <si>
    <t>=NF($G1385,"Source No.")</t>
  </si>
  <si>
    <t>=NF($G1362,"Posting Date")</t>
  </si>
  <si>
    <t>=NF($G1363,"Posting Date")</t>
  </si>
  <si>
    <t>=NF($G1364,"Posting Date")</t>
  </si>
  <si>
    <t>=NF($G1365,"Posting Date")</t>
  </si>
  <si>
    <t>=NF($G1366,"Posting Date")</t>
  </si>
  <si>
    <t>=NF($G1367,"Posting Date")</t>
  </si>
  <si>
    <t>=NF($G1368,"Posting Date")</t>
  </si>
  <si>
    <t>=NF($G1369,"Posting Date")</t>
  </si>
  <si>
    <t>=NF($G1370,"Posting Date")</t>
  </si>
  <si>
    <t>=NF($G1371,"Posting Date")</t>
  </si>
  <si>
    <t>=NF($G1372,"Posting Date")</t>
  </si>
  <si>
    <t>=NF($G1362,"Entry No.")</t>
  </si>
  <si>
    <t>=NF($G1363,"Entry No.")</t>
  </si>
  <si>
    <t>=NF($G1364,"Entry No.")</t>
  </si>
  <si>
    <t>=NF($G1365,"Entry No.")</t>
  </si>
  <si>
    <t>=NF($G1366,"Entry No.")</t>
  </si>
  <si>
    <t>=NF($G1367,"Entry No.")</t>
  </si>
  <si>
    <t>=NF($G1368,"Entry No.")</t>
  </si>
  <si>
    <t>=NF($G1369,"Entry No.")</t>
  </si>
  <si>
    <t>=NF($G1370,"Entry No.")</t>
  </si>
  <si>
    <t>=NF($G1371,"Entry No.")</t>
  </si>
  <si>
    <t>=NF($G1372,"Entry No.")</t>
  </si>
  <si>
    <t>=NL("Sum","Item Ledger Entry","Quantity","Entry Type","Purchase","Entry No.",I1362,"Location Code",$L$7)</t>
  </si>
  <si>
    <t>=NL("Sum","Item Ledger Entry","Quantity","Entry Type","Purchase","Entry No.",I1363,"Location Code",$L$7)</t>
  </si>
  <si>
    <t>=NL("Sum","Item Ledger Entry","Quantity","Entry Type","Purchase","Entry No.",I1364,"Location Code",$L$7)</t>
  </si>
  <si>
    <t>=NL("Sum","Item Ledger Entry","Quantity","Entry Type","Purchase","Entry No.",I1365,"Location Code",$L$7)</t>
  </si>
  <si>
    <t>=NL("Sum","Item Ledger Entry","Quantity","Entry Type","Purchase","Entry No.",I1366,"Location Code",$L$7)</t>
  </si>
  <si>
    <t>=NL("Sum","Item Ledger Entry","Quantity","Entry Type","Purchase","Entry No.",I1367,"Location Code",$L$7)</t>
  </si>
  <si>
    <t>=NL("Sum","Item Ledger Entry","Quantity","Entry Type","Purchase","Entry No.",I1368,"Location Code",$L$7)</t>
  </si>
  <si>
    <t>=NL("Sum","Item Ledger Entry","Quantity","Entry Type","Purchase","Entry No.",I1369,"Location Code",$L$7)</t>
  </si>
  <si>
    <t>=NL("Sum","Item Ledger Entry","Quantity","Entry Type","Purchase","Entry No.",I1370,"Location Code",$L$7)</t>
  </si>
  <si>
    <t>=NL("Sum","Item Ledger Entry","Quantity","Entry Type","Purchase","Entry No.",I1371,"Location Code",$L$7)</t>
  </si>
  <si>
    <t>=NL("Sum","Item Ledger Entry","Quantity","Entry Type","Purchase","Entry No.",I1372,"Location Code",$L$7)</t>
  </si>
  <si>
    <t>=NL("Sum","Item Ledger Entry","Quantity","Entry Type","Sale","Entry No.",I1362,"Location Code",$L$7)</t>
  </si>
  <si>
    <t>=NL("Sum","Item Ledger Entry","Quantity","Entry Type","Sale","Entry No.",I1363,"Location Code",$L$7)</t>
  </si>
  <si>
    <t>=NL("Sum","Item Ledger Entry","Quantity","Entry Type","Sale","Entry No.",I1364,"Location Code",$L$7)</t>
  </si>
  <si>
    <t>=NL("Sum","Item Ledger Entry","Quantity","Entry Type","Sale","Entry No.",I1365,"Location Code",$L$7)</t>
  </si>
  <si>
    <t>=NL("Sum","Item Ledger Entry","Quantity","Entry Type","Sale","Entry No.",I1366,"Location Code",$L$7)</t>
  </si>
  <si>
    <t>=NL("Sum","Item Ledger Entry","Quantity","Entry Type","Sale","Entry No.",I1367,"Location Code",$L$7)</t>
  </si>
  <si>
    <t>=NL("Sum","Item Ledger Entry","Quantity","Entry Type","Sale","Entry No.",I1368,"Location Code",$L$7)</t>
  </si>
  <si>
    <t>=NL("Sum","Item Ledger Entry","Quantity","Entry Type","Sale","Entry No.",I1369,"Location Code",$L$7)</t>
  </si>
  <si>
    <t>=NL("Sum","Item Ledger Entry","Quantity","Entry Type","Sale","Entry No.",I1370,"Location Code",$L$7)</t>
  </si>
  <si>
    <t>=NL("Sum","Item Ledger Entry","Quantity","Entry Type","Sale","Entry No.",I1371,"Location Code",$L$7)</t>
  </si>
  <si>
    <t>=NL("Sum","Item Ledger Entry","Quantity","Entry Type","Sale","Entry No.",I1372,"Location Code",$L$7)</t>
  </si>
  <si>
    <t>=NL("Sum","Item Ledger Entry","Quantity","Entry Type","Positive Adjmt.|Negative Adjmt.","Entry No.",I1362,"Location Code",$L$7)</t>
  </si>
  <si>
    <t>=NL("Sum","Item Ledger Entry","Quantity","Entry Type","Positive Adjmt.|Negative Adjmt.","Entry No.",I1363,"Location Code",$L$7)</t>
  </si>
  <si>
    <t>=NL("Sum","Item Ledger Entry","Quantity","Entry Type","Positive Adjmt.|Negative Adjmt.","Entry No.",I1364,"Location Code",$L$7)</t>
  </si>
  <si>
    <t>=NL("Sum","Item Ledger Entry","Quantity","Entry Type","Positive Adjmt.|Negative Adjmt.","Entry No.",I1365,"Location Code",$L$7)</t>
  </si>
  <si>
    <t>=NL("Sum","Item Ledger Entry","Quantity","Entry Type","Positive Adjmt.|Negative Adjmt.","Entry No.",I1366,"Location Code",$L$7)</t>
  </si>
  <si>
    <t>=NL("Sum","Item Ledger Entry","Quantity","Entry Type","Positive Adjmt.|Negative Adjmt.","Entry No.",I1367,"Location Code",$L$7)</t>
  </si>
  <si>
    <t>=NL("Sum","Item Ledger Entry","Quantity","Entry Type","Positive Adjmt.|Negative Adjmt.","Entry No.",I1368,"Location Code",$L$7)</t>
  </si>
  <si>
    <t>=NL("Sum","Item Ledger Entry","Quantity","Entry Type","Positive Adjmt.|Negative Adjmt.","Entry No.",I1369,"Location Code",$L$7)</t>
  </si>
  <si>
    <t>=NL("Sum","Item Ledger Entry","Quantity","Entry Type","Positive Adjmt.|Negative Adjmt.","Entry No.",I1370,"Location Code",$L$7)</t>
  </si>
  <si>
    <t>=NL("Sum","Item Ledger Entry","Quantity","Entry Type","Positive Adjmt.|Negative Adjmt.","Entry No.",I1371,"Location Code",$L$7)</t>
  </si>
  <si>
    <t>=NL("Sum","Item Ledger Entry","Quantity","Entry Type","Positive Adjmt.|Negative Adjmt.","Entry No.",I1372,"Location Code",$L$7)</t>
  </si>
  <si>
    <t>=NL("Sum","Item Ledger Entry","Quantity","Entry Type","Transfer","Entry No.",I1362,"Location Code",$L$7)</t>
  </si>
  <si>
    <t>=NL("Sum","Item Ledger Entry","Quantity","Entry Type","Transfer","Entry No.",I1363,"Location Code",$L$7)</t>
  </si>
  <si>
    <t>=NL("Sum","Item Ledger Entry","Quantity","Entry Type","Transfer","Entry No.",I1364,"Location Code",$L$7)</t>
  </si>
  <si>
    <t>=NL("Sum","Item Ledger Entry","Quantity","Entry Type","Transfer","Entry No.",I1365,"Location Code",$L$7)</t>
  </si>
  <si>
    <t>=NL("Sum","Item Ledger Entry","Quantity","Entry Type","Transfer","Entry No.",I1366,"Location Code",$L$7)</t>
  </si>
  <si>
    <t>=NL("Sum","Item Ledger Entry","Quantity","Entry Type","Transfer","Entry No.",I1367,"Location Code",$L$7)</t>
  </si>
  <si>
    <t>=NL("Sum","Item Ledger Entry","Quantity","Entry Type","Transfer","Entry No.",I1368,"Location Code",$L$7)</t>
  </si>
  <si>
    <t>=NL("Sum","Item Ledger Entry","Quantity","Entry Type","Transfer","Entry No.",I1369,"Location Code",$L$7)</t>
  </si>
  <si>
    <t>=NL("Sum","Item Ledger Entry","Quantity","Entry Type","Transfer","Entry No.",I1370,"Location Code",$L$7)</t>
  </si>
  <si>
    <t>=NL("Sum","Item Ledger Entry","Quantity","Entry Type","Transfer","Entry No.",I1371,"Location Code",$L$7)</t>
  </si>
  <si>
    <t>=NL("Sum","Item Ledger Entry","Quantity","Entry Type","Transfer","Entry No.",I1372,"Location Code",$L$7)</t>
  </si>
  <si>
    <t>=NL("Sum","Item Ledger Entry","Quantity","Entry Type","Consumption","Entry No.",I1362,"Location Code",$L$7)</t>
  </si>
  <si>
    <t>=NL("Sum","Item Ledger Entry","Quantity","Entry Type","Consumption","Entry No.",I1363,"Location Code",$L$7)</t>
  </si>
  <si>
    <t>=NL("Sum","Item Ledger Entry","Quantity","Entry Type","Consumption","Entry No.",I1364,"Location Code",$L$7)</t>
  </si>
  <si>
    <t>=NL("Sum","Item Ledger Entry","Quantity","Entry Type","Consumption","Entry No.",I1365,"Location Code",$L$7)</t>
  </si>
  <si>
    <t>=NL("Sum","Item Ledger Entry","Quantity","Entry Type","Consumption","Entry No.",I1366,"Location Code",$L$7)</t>
  </si>
  <si>
    <t>=NL("Sum","Item Ledger Entry","Quantity","Entry Type","Consumption","Entry No.",I1367,"Location Code",$L$7)</t>
  </si>
  <si>
    <t>=NL("Sum","Item Ledger Entry","Quantity","Entry Type","Consumption","Entry No.",I1368,"Location Code",$L$7)</t>
  </si>
  <si>
    <t>=NL("Sum","Item Ledger Entry","Quantity","Entry Type","Consumption","Entry No.",I1369,"Location Code",$L$7)</t>
  </si>
  <si>
    <t>=NL("Sum","Item Ledger Entry","Quantity","Entry Type","Consumption","Entry No.",I1370,"Location Code",$L$7)</t>
  </si>
  <si>
    <t>=NL("Sum","Item Ledger Entry","Quantity","Entry Type","Consumption","Entry No.",I1371,"Location Code",$L$7)</t>
  </si>
  <si>
    <t>=NL("Sum","Item Ledger Entry","Quantity","Entry Type","Consumption","Entry No.",I1372,"Location Code",$L$7)</t>
  </si>
  <si>
    <t>=NL("Sum","Item Ledger Entry","Quantity","Entry Type","Output","Entry No.",I1362,"Location Code",$L$7)</t>
  </si>
  <si>
    <t>=NL("Sum","Item Ledger Entry","Quantity","Entry Type","Output","Entry No.",I1363,"Location Code",$L$7)</t>
  </si>
  <si>
    <t>=NL("Sum","Item Ledger Entry","Quantity","Entry Type","Output","Entry No.",I1364,"Location Code",$L$7)</t>
  </si>
  <si>
    <t>=NL("Sum","Item Ledger Entry","Quantity","Entry Type","Output","Entry No.",I1365,"Location Code",$L$7)</t>
  </si>
  <si>
    <t>=NL("Sum","Item Ledger Entry","Quantity","Entry Type","Output","Entry No.",I1366,"Location Code",$L$7)</t>
  </si>
  <si>
    <t>=NL("Sum","Item Ledger Entry","Quantity","Entry Type","Output","Entry No.",I1367,"Location Code",$L$7)</t>
  </si>
  <si>
    <t>=NL("Sum","Item Ledger Entry","Quantity","Entry Type","Output","Entry No.",I1368,"Location Code",$L$7)</t>
  </si>
  <si>
    <t>=NL("Sum","Item Ledger Entry","Quantity","Entry Type","Output","Entry No.",I1369,"Location Code",$L$7)</t>
  </si>
  <si>
    <t>=NL("Sum","Item Ledger Entry","Quantity","Entry Type","Output","Entry No.",I1370,"Location Code",$L$7)</t>
  </si>
  <si>
    <t>=NL("Sum","Item Ledger Entry","Quantity","Entry Type","Output","Entry No.",I1371,"Location Code",$L$7)</t>
  </si>
  <si>
    <t>=NL("Sum","Item Ledger Entry","Quantity","Entry Type","Output","Entry No.",I1372,"Location Code",$L$7)</t>
  </si>
  <si>
    <t>=NF(G1362,"Source Type")</t>
  </si>
  <si>
    <t>=NF(G1363,"Source Type")</t>
  </si>
  <si>
    <t>=NF(G1364,"Source Type")</t>
  </si>
  <si>
    <t>=NF(G1365,"Source Type")</t>
  </si>
  <si>
    <t>=NF(G1366,"Source Type")</t>
  </si>
  <si>
    <t>=NF(G1367,"Source Type")</t>
  </si>
  <si>
    <t>=NF(G1368,"Source Type")</t>
  </si>
  <si>
    <t>=NF(G1369,"Source Type")</t>
  </si>
  <si>
    <t>=NF(G1370,"Source Type")</t>
  </si>
  <si>
    <t>=NF(G1371,"Source Type")</t>
  </si>
  <si>
    <t>=NF(G1372,"Source Type")</t>
  </si>
  <si>
    <t>=NF($G1362,"Source No.")</t>
  </si>
  <si>
    <t>=NF($G1363,"Source No.")</t>
  </si>
  <si>
    <t>=NF($G1364,"Source No.")</t>
  </si>
  <si>
    <t>=NF($G1365,"Source No.")</t>
  </si>
  <si>
    <t>=NF($G1366,"Source No.")</t>
  </si>
  <si>
    <t>=NF($G1367,"Source No.")</t>
  </si>
  <si>
    <t>=NF($G1368,"Source No.")</t>
  </si>
  <si>
    <t>=NF($G1369,"Source No.")</t>
  </si>
  <si>
    <t>=NF($G1370,"Source No.")</t>
  </si>
  <si>
    <t>=NF($G1371,"Source No.")</t>
  </si>
  <si>
    <t>=NF($G1372,"Source No.")</t>
  </si>
  <si>
    <t>=NF($G1351,"Posting Date")</t>
  </si>
  <si>
    <t>=NF($G1352,"Posting Date")</t>
  </si>
  <si>
    <t>=NF($G1353,"Posting Date")</t>
  </si>
  <si>
    <t>=NF($G1354,"Posting Date")</t>
  </si>
  <si>
    <t>=NF($G1355,"Posting Date")</t>
  </si>
  <si>
    <t>=NF($G1356,"Posting Date")</t>
  </si>
  <si>
    <t>=NF($G1357,"Posting Date")</t>
  </si>
  <si>
    <t>=NF($G1358,"Posting Date")</t>
  </si>
  <si>
    <t>=NF($G1351,"Entry No.")</t>
  </si>
  <si>
    <t>=NF($G1352,"Entry No.")</t>
  </si>
  <si>
    <t>=NF($G1353,"Entry No.")</t>
  </si>
  <si>
    <t>=NF($G1354,"Entry No.")</t>
  </si>
  <si>
    <t>=NF($G1355,"Entry No.")</t>
  </si>
  <si>
    <t>=NF($G1356,"Entry No.")</t>
  </si>
  <si>
    <t>=NF($G1357,"Entry No.")</t>
  </si>
  <si>
    <t>=NF($G1358,"Entry No.")</t>
  </si>
  <si>
    <t>=NL("Sum","Item Ledger Entry","Quantity","Entry Type","Purchase","Entry No.",I1351,"Location Code",$L$7)</t>
  </si>
  <si>
    <t>=NL("Sum","Item Ledger Entry","Quantity","Entry Type","Purchase","Entry No.",I1352,"Location Code",$L$7)</t>
  </si>
  <si>
    <t>=NL("Sum","Item Ledger Entry","Quantity","Entry Type","Purchase","Entry No.",I1353,"Location Code",$L$7)</t>
  </si>
  <si>
    <t>=NL("Sum","Item Ledger Entry","Quantity","Entry Type","Purchase","Entry No.",I1354,"Location Code",$L$7)</t>
  </si>
  <si>
    <t>=NL("Sum","Item Ledger Entry","Quantity","Entry Type","Purchase","Entry No.",I1355,"Location Code",$L$7)</t>
  </si>
  <si>
    <t>=NL("Sum","Item Ledger Entry","Quantity","Entry Type","Purchase","Entry No.",I1356,"Location Code",$L$7)</t>
  </si>
  <si>
    <t>=NL("Sum","Item Ledger Entry","Quantity","Entry Type","Purchase","Entry No.",I1357,"Location Code",$L$7)</t>
  </si>
  <si>
    <t>=NL("Sum","Item Ledger Entry","Quantity","Entry Type","Purchase","Entry No.",I1358,"Location Code",$L$7)</t>
  </si>
  <si>
    <t>=NL("Sum","Item Ledger Entry","Quantity","Entry Type","Sale","Entry No.",I1351,"Location Code",$L$7)</t>
  </si>
  <si>
    <t>=NL("Sum","Item Ledger Entry","Quantity","Entry Type","Sale","Entry No.",I1352,"Location Code",$L$7)</t>
  </si>
  <si>
    <t>=NL("Sum","Item Ledger Entry","Quantity","Entry Type","Sale","Entry No.",I1353,"Location Code",$L$7)</t>
  </si>
  <si>
    <t>=NL("Sum","Item Ledger Entry","Quantity","Entry Type","Sale","Entry No.",I1354,"Location Code",$L$7)</t>
  </si>
  <si>
    <t>=NL("Sum","Item Ledger Entry","Quantity","Entry Type","Sale","Entry No.",I1355,"Location Code",$L$7)</t>
  </si>
  <si>
    <t>=NL("Sum","Item Ledger Entry","Quantity","Entry Type","Sale","Entry No.",I1356,"Location Code",$L$7)</t>
  </si>
  <si>
    <t>=NL("Sum","Item Ledger Entry","Quantity","Entry Type","Sale","Entry No.",I1357,"Location Code",$L$7)</t>
  </si>
  <si>
    <t>=NL("Sum","Item Ledger Entry","Quantity","Entry Type","Sale","Entry No.",I1358,"Location Code",$L$7)</t>
  </si>
  <si>
    <t>=NL("Sum","Item Ledger Entry","Quantity","Entry Type","Positive Adjmt.|Negative Adjmt.","Entry No.",I1351,"Location Code",$L$7)</t>
  </si>
  <si>
    <t>=NL("Sum","Item Ledger Entry","Quantity","Entry Type","Positive Adjmt.|Negative Adjmt.","Entry No.",I1352,"Location Code",$L$7)</t>
  </si>
  <si>
    <t>=NL("Sum","Item Ledger Entry","Quantity","Entry Type","Positive Adjmt.|Negative Adjmt.","Entry No.",I1353,"Location Code",$L$7)</t>
  </si>
  <si>
    <t>=NL("Sum","Item Ledger Entry","Quantity","Entry Type","Positive Adjmt.|Negative Adjmt.","Entry No.",I1354,"Location Code",$L$7)</t>
  </si>
  <si>
    <t>=NL("Sum","Item Ledger Entry","Quantity","Entry Type","Positive Adjmt.|Negative Adjmt.","Entry No.",I1355,"Location Code",$L$7)</t>
  </si>
  <si>
    <t>=NL("Sum","Item Ledger Entry","Quantity","Entry Type","Positive Adjmt.|Negative Adjmt.","Entry No.",I1356,"Location Code",$L$7)</t>
  </si>
  <si>
    <t>=NL("Sum","Item Ledger Entry","Quantity","Entry Type","Positive Adjmt.|Negative Adjmt.","Entry No.",I1357,"Location Code",$L$7)</t>
  </si>
  <si>
    <t>=NL("Sum","Item Ledger Entry","Quantity","Entry Type","Positive Adjmt.|Negative Adjmt.","Entry No.",I1358,"Location Code",$L$7)</t>
  </si>
  <si>
    <t>=NL("Sum","Item Ledger Entry","Quantity","Entry Type","Transfer","Entry No.",I1351,"Location Code",$L$7)</t>
  </si>
  <si>
    <t>=NL("Sum","Item Ledger Entry","Quantity","Entry Type","Transfer","Entry No.",I1352,"Location Code",$L$7)</t>
  </si>
  <si>
    <t>=NL("Sum","Item Ledger Entry","Quantity","Entry Type","Transfer","Entry No.",I1353,"Location Code",$L$7)</t>
  </si>
  <si>
    <t>=NL("Sum","Item Ledger Entry","Quantity","Entry Type","Transfer","Entry No.",I1354,"Location Code",$L$7)</t>
  </si>
  <si>
    <t>=NL("Sum","Item Ledger Entry","Quantity","Entry Type","Transfer","Entry No.",I1355,"Location Code",$L$7)</t>
  </si>
  <si>
    <t>=NL("Sum","Item Ledger Entry","Quantity","Entry Type","Transfer","Entry No.",I1356,"Location Code",$L$7)</t>
  </si>
  <si>
    <t>=NL("Sum","Item Ledger Entry","Quantity","Entry Type","Transfer","Entry No.",I1357,"Location Code",$L$7)</t>
  </si>
  <si>
    <t>=NL("Sum","Item Ledger Entry","Quantity","Entry Type","Transfer","Entry No.",I1358,"Location Code",$L$7)</t>
  </si>
  <si>
    <t>=NL("Sum","Item Ledger Entry","Quantity","Entry Type","Consumption","Entry No.",I1351,"Location Code",$L$7)</t>
  </si>
  <si>
    <t>=NL("Sum","Item Ledger Entry","Quantity","Entry Type","Consumption","Entry No.",I1352,"Location Code",$L$7)</t>
  </si>
  <si>
    <t>=NL("Sum","Item Ledger Entry","Quantity","Entry Type","Consumption","Entry No.",I1353,"Location Code",$L$7)</t>
  </si>
  <si>
    <t>=NL("Sum","Item Ledger Entry","Quantity","Entry Type","Consumption","Entry No.",I1354,"Location Code",$L$7)</t>
  </si>
  <si>
    <t>=NL("Sum","Item Ledger Entry","Quantity","Entry Type","Consumption","Entry No.",I1355,"Location Code",$L$7)</t>
  </si>
  <si>
    <t>=NL("Sum","Item Ledger Entry","Quantity","Entry Type","Consumption","Entry No.",I1356,"Location Code",$L$7)</t>
  </si>
  <si>
    <t>=NL("Sum","Item Ledger Entry","Quantity","Entry Type","Consumption","Entry No.",I1357,"Location Code",$L$7)</t>
  </si>
  <si>
    <t>=NL("Sum","Item Ledger Entry","Quantity","Entry Type","Consumption","Entry No.",I1358,"Location Code",$L$7)</t>
  </si>
  <si>
    <t>=NL("Sum","Item Ledger Entry","Quantity","Entry Type","Output","Entry No.",I1351,"Location Code",$L$7)</t>
  </si>
  <si>
    <t>=NL("Sum","Item Ledger Entry","Quantity","Entry Type","Output","Entry No.",I1352,"Location Code",$L$7)</t>
  </si>
  <si>
    <t>=NL("Sum","Item Ledger Entry","Quantity","Entry Type","Output","Entry No.",I1353,"Location Code",$L$7)</t>
  </si>
  <si>
    <t>=NL("Sum","Item Ledger Entry","Quantity","Entry Type","Output","Entry No.",I1354,"Location Code",$L$7)</t>
  </si>
  <si>
    <t>=NL("Sum","Item Ledger Entry","Quantity","Entry Type","Output","Entry No.",I1355,"Location Code",$L$7)</t>
  </si>
  <si>
    <t>=NL("Sum","Item Ledger Entry","Quantity","Entry Type","Output","Entry No.",I1356,"Location Code",$L$7)</t>
  </si>
  <si>
    <t>=NL("Sum","Item Ledger Entry","Quantity","Entry Type","Output","Entry No.",I1357,"Location Code",$L$7)</t>
  </si>
  <si>
    <t>=NL("Sum","Item Ledger Entry","Quantity","Entry Type","Output","Entry No.",I1358,"Location Code",$L$7)</t>
  </si>
  <si>
    <t>=NF(G1351,"Source Type")</t>
  </si>
  <si>
    <t>=NF(G1352,"Source Type")</t>
  </si>
  <si>
    <t>=NF(G1353,"Source Type")</t>
  </si>
  <si>
    <t>=NF(G1354,"Source Type")</t>
  </si>
  <si>
    <t>=NF(G1355,"Source Type")</t>
  </si>
  <si>
    <t>=NF(G1356,"Source Type")</t>
  </si>
  <si>
    <t>=NF(G1357,"Source Type")</t>
  </si>
  <si>
    <t>=NF(G1358,"Source Type")</t>
  </si>
  <si>
    <t>=NF($G1351,"Source No.")</t>
  </si>
  <si>
    <t>=NF($G1352,"Source No.")</t>
  </si>
  <si>
    <t>=NF($G1353,"Source No.")</t>
  </si>
  <si>
    <t>=NF($G1354,"Source No.")</t>
  </si>
  <si>
    <t>=NF($G1355,"Source No.")</t>
  </si>
  <si>
    <t>=NF($G1356,"Source No.")</t>
  </si>
  <si>
    <t>=NF($G1357,"Source No.")</t>
  </si>
  <si>
    <t>=NF($G1358,"Source No.")</t>
  </si>
  <si>
    <t>=NF($G1335,"Posting Date")</t>
  </si>
  <si>
    <t>=NF($G1336,"Posting Date")</t>
  </si>
  <si>
    <t>=NF($G1337,"Posting Date")</t>
  </si>
  <si>
    <t>=NF($G1338,"Posting Date")</t>
  </si>
  <si>
    <t>=NF($G1339,"Posting Date")</t>
  </si>
  <si>
    <t>=NF($G1340,"Posting Date")</t>
  </si>
  <si>
    <t>=NF($G1341,"Posting Date")</t>
  </si>
  <si>
    <t>=NF($G1342,"Posting Date")</t>
  </si>
  <si>
    <t>=NF($G1343,"Posting Date")</t>
  </si>
  <si>
    <t>=NF($G1344,"Posting Date")</t>
  </si>
  <si>
    <t>=NF($G1345,"Posting Date")</t>
  </si>
  <si>
    <t>=NF($G1346,"Posting Date")</t>
  </si>
  <si>
    <t>=NF($G1347,"Posting Date")</t>
  </si>
  <si>
    <t>=NF($G1335,"Entry No.")</t>
  </si>
  <si>
    <t>=NF($G1336,"Entry No.")</t>
  </si>
  <si>
    <t>=NF($G1337,"Entry No.")</t>
  </si>
  <si>
    <t>=NF($G1338,"Entry No.")</t>
  </si>
  <si>
    <t>=NF($G1339,"Entry No.")</t>
  </si>
  <si>
    <t>=NF($G1340,"Entry No.")</t>
  </si>
  <si>
    <t>=NF($G1341,"Entry No.")</t>
  </si>
  <si>
    <t>=NF($G1342,"Entry No.")</t>
  </si>
  <si>
    <t>=NF($G1343,"Entry No.")</t>
  </si>
  <si>
    <t>=NF($G1344,"Entry No.")</t>
  </si>
  <si>
    <t>=NF($G1345,"Entry No.")</t>
  </si>
  <si>
    <t>=NF($G1346,"Entry No.")</t>
  </si>
  <si>
    <t>=NF($G1347,"Entry No.")</t>
  </si>
  <si>
    <t>=NL("Sum","Item Ledger Entry","Quantity","Entry Type","Purchase","Entry No.",I1335,"Location Code",$L$7)</t>
  </si>
  <si>
    <t>=NL("Sum","Item Ledger Entry","Quantity","Entry Type","Purchase","Entry No.",I1336,"Location Code",$L$7)</t>
  </si>
  <si>
    <t>=NL("Sum","Item Ledger Entry","Quantity","Entry Type","Purchase","Entry No.",I1337,"Location Code",$L$7)</t>
  </si>
  <si>
    <t>=NL("Sum","Item Ledger Entry","Quantity","Entry Type","Purchase","Entry No.",I1338,"Location Code",$L$7)</t>
  </si>
  <si>
    <t>=NL("Sum","Item Ledger Entry","Quantity","Entry Type","Purchase","Entry No.",I1339,"Location Code",$L$7)</t>
  </si>
  <si>
    <t>=NL("Sum","Item Ledger Entry","Quantity","Entry Type","Purchase","Entry No.",I1340,"Location Code",$L$7)</t>
  </si>
  <si>
    <t>=NL("Sum","Item Ledger Entry","Quantity","Entry Type","Purchase","Entry No.",I1341,"Location Code",$L$7)</t>
  </si>
  <si>
    <t>=NL("Sum","Item Ledger Entry","Quantity","Entry Type","Purchase","Entry No.",I1342,"Location Code",$L$7)</t>
  </si>
  <si>
    <t>=NL("Sum","Item Ledger Entry","Quantity","Entry Type","Purchase","Entry No.",I1343,"Location Code",$L$7)</t>
  </si>
  <si>
    <t>=NL("Sum","Item Ledger Entry","Quantity","Entry Type","Purchase","Entry No.",I1344,"Location Code",$L$7)</t>
  </si>
  <si>
    <t>=NL("Sum","Item Ledger Entry","Quantity","Entry Type","Purchase","Entry No.",I1345,"Location Code",$L$7)</t>
  </si>
  <si>
    <t>=NL("Sum","Item Ledger Entry","Quantity","Entry Type","Purchase","Entry No.",I1346,"Location Code",$L$7)</t>
  </si>
  <si>
    <t>=NL("Sum","Item Ledger Entry","Quantity","Entry Type","Purchase","Entry No.",I1347,"Location Code",$L$7)</t>
  </si>
  <si>
    <t>=NL("Sum","Item Ledger Entry","Quantity","Entry Type","Sale","Entry No.",I1335,"Location Code",$L$7)</t>
  </si>
  <si>
    <t>=NL("Sum","Item Ledger Entry","Quantity","Entry Type","Sale","Entry No.",I1336,"Location Code",$L$7)</t>
  </si>
  <si>
    <t>=NL("Sum","Item Ledger Entry","Quantity","Entry Type","Sale","Entry No.",I1337,"Location Code",$L$7)</t>
  </si>
  <si>
    <t>=NL("Sum","Item Ledger Entry","Quantity","Entry Type","Sale","Entry No.",I1338,"Location Code",$L$7)</t>
  </si>
  <si>
    <t>=NL("Sum","Item Ledger Entry","Quantity","Entry Type","Sale","Entry No.",I1339,"Location Code",$L$7)</t>
  </si>
  <si>
    <t>=NL("Sum","Item Ledger Entry","Quantity","Entry Type","Sale","Entry No.",I1340,"Location Code",$L$7)</t>
  </si>
  <si>
    <t>=NL("Sum","Item Ledger Entry","Quantity","Entry Type","Sale","Entry No.",I1341,"Location Code",$L$7)</t>
  </si>
  <si>
    <t>=NL("Sum","Item Ledger Entry","Quantity","Entry Type","Sale","Entry No.",I1342,"Location Code",$L$7)</t>
  </si>
  <si>
    <t>=NL("Sum","Item Ledger Entry","Quantity","Entry Type","Sale","Entry No.",I1343,"Location Code",$L$7)</t>
  </si>
  <si>
    <t>=NL("Sum","Item Ledger Entry","Quantity","Entry Type","Sale","Entry No.",I1344,"Location Code",$L$7)</t>
  </si>
  <si>
    <t>=NL("Sum","Item Ledger Entry","Quantity","Entry Type","Sale","Entry No.",I1345,"Location Code",$L$7)</t>
  </si>
  <si>
    <t>=NL("Sum","Item Ledger Entry","Quantity","Entry Type","Sale","Entry No.",I1346,"Location Code",$L$7)</t>
  </si>
  <si>
    <t>=NL("Sum","Item Ledger Entry","Quantity","Entry Type","Sale","Entry No.",I1347,"Location Code",$L$7)</t>
  </si>
  <si>
    <t>=NL("Sum","Item Ledger Entry","Quantity","Entry Type","Positive Adjmt.|Negative Adjmt.","Entry No.",I1335,"Location Code",$L$7)</t>
  </si>
  <si>
    <t>=NL("Sum","Item Ledger Entry","Quantity","Entry Type","Positive Adjmt.|Negative Adjmt.","Entry No.",I1336,"Location Code",$L$7)</t>
  </si>
  <si>
    <t>=NL("Sum","Item Ledger Entry","Quantity","Entry Type","Positive Adjmt.|Negative Adjmt.","Entry No.",I1337,"Location Code",$L$7)</t>
  </si>
  <si>
    <t>=NL("Sum","Item Ledger Entry","Quantity","Entry Type","Positive Adjmt.|Negative Adjmt.","Entry No.",I1338,"Location Code",$L$7)</t>
  </si>
  <si>
    <t>=NL("Sum","Item Ledger Entry","Quantity","Entry Type","Positive Adjmt.|Negative Adjmt.","Entry No.",I1339,"Location Code",$L$7)</t>
  </si>
  <si>
    <t>=NL("Sum","Item Ledger Entry","Quantity","Entry Type","Positive Adjmt.|Negative Adjmt.","Entry No.",I1340,"Location Code",$L$7)</t>
  </si>
  <si>
    <t>=NL("Sum","Item Ledger Entry","Quantity","Entry Type","Positive Adjmt.|Negative Adjmt.","Entry No.",I1341,"Location Code",$L$7)</t>
  </si>
  <si>
    <t>=NL("Sum","Item Ledger Entry","Quantity","Entry Type","Positive Adjmt.|Negative Adjmt.","Entry No.",I1342,"Location Code",$L$7)</t>
  </si>
  <si>
    <t>=NL("Sum","Item Ledger Entry","Quantity","Entry Type","Positive Adjmt.|Negative Adjmt.","Entry No.",I1343,"Location Code",$L$7)</t>
  </si>
  <si>
    <t>=NL("Sum","Item Ledger Entry","Quantity","Entry Type","Positive Adjmt.|Negative Adjmt.","Entry No.",I1344,"Location Code",$L$7)</t>
  </si>
  <si>
    <t>=NL("Sum","Item Ledger Entry","Quantity","Entry Type","Positive Adjmt.|Negative Adjmt.","Entry No.",I1345,"Location Code",$L$7)</t>
  </si>
  <si>
    <t>=NL("Sum","Item Ledger Entry","Quantity","Entry Type","Positive Adjmt.|Negative Adjmt.","Entry No.",I1346,"Location Code",$L$7)</t>
  </si>
  <si>
    <t>=NL("Sum","Item Ledger Entry","Quantity","Entry Type","Positive Adjmt.|Negative Adjmt.","Entry No.",I1347,"Location Code",$L$7)</t>
  </si>
  <si>
    <t>=NL("Sum","Item Ledger Entry","Quantity","Entry Type","Transfer","Entry No.",I1335,"Location Code",$L$7)</t>
  </si>
  <si>
    <t>=NL("Sum","Item Ledger Entry","Quantity","Entry Type","Transfer","Entry No.",I1336,"Location Code",$L$7)</t>
  </si>
  <si>
    <t>=NL("Sum","Item Ledger Entry","Quantity","Entry Type","Transfer","Entry No.",I1337,"Location Code",$L$7)</t>
  </si>
  <si>
    <t>=NL("Sum","Item Ledger Entry","Quantity","Entry Type","Transfer","Entry No.",I1338,"Location Code",$L$7)</t>
  </si>
  <si>
    <t>=NL("Sum","Item Ledger Entry","Quantity","Entry Type","Transfer","Entry No.",I1339,"Location Code",$L$7)</t>
  </si>
  <si>
    <t>=NL("Sum","Item Ledger Entry","Quantity","Entry Type","Transfer","Entry No.",I1340,"Location Code",$L$7)</t>
  </si>
  <si>
    <t>=NL("Sum","Item Ledger Entry","Quantity","Entry Type","Transfer","Entry No.",I1341,"Location Code",$L$7)</t>
  </si>
  <si>
    <t>=NL("Sum","Item Ledger Entry","Quantity","Entry Type","Transfer","Entry No.",I1342,"Location Code",$L$7)</t>
  </si>
  <si>
    <t>=NL("Sum","Item Ledger Entry","Quantity","Entry Type","Transfer","Entry No.",I1343,"Location Code",$L$7)</t>
  </si>
  <si>
    <t>=NL("Sum","Item Ledger Entry","Quantity","Entry Type","Transfer","Entry No.",I1344,"Location Code",$L$7)</t>
  </si>
  <si>
    <t>=NL("Sum","Item Ledger Entry","Quantity","Entry Type","Transfer","Entry No.",I1345,"Location Code",$L$7)</t>
  </si>
  <si>
    <t>=NL("Sum","Item Ledger Entry","Quantity","Entry Type","Transfer","Entry No.",I1346,"Location Code",$L$7)</t>
  </si>
  <si>
    <t>=NL("Sum","Item Ledger Entry","Quantity","Entry Type","Transfer","Entry No.",I1347,"Location Code",$L$7)</t>
  </si>
  <si>
    <t>=NL("Sum","Item Ledger Entry","Quantity","Entry Type","Consumption","Entry No.",I1335,"Location Code",$L$7)</t>
  </si>
  <si>
    <t>=NL("Sum","Item Ledger Entry","Quantity","Entry Type","Consumption","Entry No.",I1336,"Location Code",$L$7)</t>
  </si>
  <si>
    <t>=NL("Sum","Item Ledger Entry","Quantity","Entry Type","Consumption","Entry No.",I1337,"Location Code",$L$7)</t>
  </si>
  <si>
    <t>=NL("Sum","Item Ledger Entry","Quantity","Entry Type","Consumption","Entry No.",I1338,"Location Code",$L$7)</t>
  </si>
  <si>
    <t>=NL("Sum","Item Ledger Entry","Quantity","Entry Type","Consumption","Entry No.",I1339,"Location Code",$L$7)</t>
  </si>
  <si>
    <t>=NL("Sum","Item Ledger Entry","Quantity","Entry Type","Consumption","Entry No.",I1340,"Location Code",$L$7)</t>
  </si>
  <si>
    <t>=NL("Sum","Item Ledger Entry","Quantity","Entry Type","Consumption","Entry No.",I1341,"Location Code",$L$7)</t>
  </si>
  <si>
    <t>=NL("Sum","Item Ledger Entry","Quantity","Entry Type","Consumption","Entry No.",I1342,"Location Code",$L$7)</t>
  </si>
  <si>
    <t>=NL("Sum","Item Ledger Entry","Quantity","Entry Type","Consumption","Entry No.",I1343,"Location Code",$L$7)</t>
  </si>
  <si>
    <t>=NL("Sum","Item Ledger Entry","Quantity","Entry Type","Consumption","Entry No.",I1344,"Location Code",$L$7)</t>
  </si>
  <si>
    <t>=NL("Sum","Item Ledger Entry","Quantity","Entry Type","Consumption","Entry No.",I1345,"Location Code",$L$7)</t>
  </si>
  <si>
    <t>=NL("Sum","Item Ledger Entry","Quantity","Entry Type","Consumption","Entry No.",I1346,"Location Code",$L$7)</t>
  </si>
  <si>
    <t>=NL("Sum","Item Ledger Entry","Quantity","Entry Type","Consumption","Entry No.",I1347,"Location Code",$L$7)</t>
  </si>
  <si>
    <t>=NL("Sum","Item Ledger Entry","Quantity","Entry Type","Output","Entry No.",I1335,"Location Code",$L$7)</t>
  </si>
  <si>
    <t>=NL("Sum","Item Ledger Entry","Quantity","Entry Type","Output","Entry No.",I1336,"Location Code",$L$7)</t>
  </si>
  <si>
    <t>=NL("Sum","Item Ledger Entry","Quantity","Entry Type","Output","Entry No.",I1337,"Location Code",$L$7)</t>
  </si>
  <si>
    <t>=NL("Sum","Item Ledger Entry","Quantity","Entry Type","Output","Entry No.",I1338,"Location Code",$L$7)</t>
  </si>
  <si>
    <t>=NL("Sum","Item Ledger Entry","Quantity","Entry Type","Output","Entry No.",I1339,"Location Code",$L$7)</t>
  </si>
  <si>
    <t>=NL("Sum","Item Ledger Entry","Quantity","Entry Type","Output","Entry No.",I1340,"Location Code",$L$7)</t>
  </si>
  <si>
    <t>=NL("Sum","Item Ledger Entry","Quantity","Entry Type","Output","Entry No.",I1341,"Location Code",$L$7)</t>
  </si>
  <si>
    <t>=NL("Sum","Item Ledger Entry","Quantity","Entry Type","Output","Entry No.",I1342,"Location Code",$L$7)</t>
  </si>
  <si>
    <t>=NL("Sum","Item Ledger Entry","Quantity","Entry Type","Output","Entry No.",I1343,"Location Code",$L$7)</t>
  </si>
  <si>
    <t>=NL("Sum","Item Ledger Entry","Quantity","Entry Type","Output","Entry No.",I1344,"Location Code",$L$7)</t>
  </si>
  <si>
    <t>=NL("Sum","Item Ledger Entry","Quantity","Entry Type","Output","Entry No.",I1345,"Location Code",$L$7)</t>
  </si>
  <si>
    <t>=NL("Sum","Item Ledger Entry","Quantity","Entry Type","Output","Entry No.",I1346,"Location Code",$L$7)</t>
  </si>
  <si>
    <t>=NL("Sum","Item Ledger Entry","Quantity","Entry Type","Output","Entry No.",I1347,"Location Code",$L$7)</t>
  </si>
  <si>
    <t>=NF(G1335,"Source Type")</t>
  </si>
  <si>
    <t>=NF(G1336,"Source Type")</t>
  </si>
  <si>
    <t>=NF(G1337,"Source Type")</t>
  </si>
  <si>
    <t>=NF(G1338,"Source Type")</t>
  </si>
  <si>
    <t>=NF(G1339,"Source Type")</t>
  </si>
  <si>
    <t>=NF(G1340,"Source Type")</t>
  </si>
  <si>
    <t>=NF(G1341,"Source Type")</t>
  </si>
  <si>
    <t>=NF(G1342,"Source Type")</t>
  </si>
  <si>
    <t>=NF(G1343,"Source Type")</t>
  </si>
  <si>
    <t>=NF(G1344,"Source Type")</t>
  </si>
  <si>
    <t>=NF(G1345,"Source Type")</t>
  </si>
  <si>
    <t>=NF(G1346,"Source Type")</t>
  </si>
  <si>
    <t>=NF(G1347,"Source Type")</t>
  </si>
  <si>
    <t>=NF($G1335,"Source No.")</t>
  </si>
  <si>
    <t>=NF($G1336,"Source No.")</t>
  </si>
  <si>
    <t>=NF($G1337,"Source No.")</t>
  </si>
  <si>
    <t>=NF($G1338,"Source No.")</t>
  </si>
  <si>
    <t>=NF($G1339,"Source No.")</t>
  </si>
  <si>
    <t>=NF($G1340,"Source No.")</t>
  </si>
  <si>
    <t>=NF($G1341,"Source No.")</t>
  </si>
  <si>
    <t>=NF($G1342,"Source No.")</t>
  </si>
  <si>
    <t>=NF($G1343,"Source No.")</t>
  </si>
  <si>
    <t>=NF($G1344,"Source No.")</t>
  </si>
  <si>
    <t>=NF($G1345,"Source No.")</t>
  </si>
  <si>
    <t>=NF($G1346,"Source No.")</t>
  </si>
  <si>
    <t>=NF($G1347,"Source No.")</t>
  </si>
  <si>
    <t>=NF($G1324,"Posting Date")</t>
  </si>
  <si>
    <t>=NF($G1325,"Posting Date")</t>
  </si>
  <si>
    <t>=NF($G1326,"Posting Date")</t>
  </si>
  <si>
    <t>=NF($G1327,"Posting Date")</t>
  </si>
  <si>
    <t>=NF($G1328,"Posting Date")</t>
  </si>
  <si>
    <t>=NF($G1329,"Posting Date")</t>
  </si>
  <si>
    <t>=NF($G1330,"Posting Date")</t>
  </si>
  <si>
    <t>=NF($G1331,"Posting Date")</t>
  </si>
  <si>
    <t>=NF($G1324,"Entry No.")</t>
  </si>
  <si>
    <t>=NF($G1325,"Entry No.")</t>
  </si>
  <si>
    <t>=NF($G1326,"Entry No.")</t>
  </si>
  <si>
    <t>=NF($G1327,"Entry No.")</t>
  </si>
  <si>
    <t>=NF($G1328,"Entry No.")</t>
  </si>
  <si>
    <t>=NF($G1329,"Entry No.")</t>
  </si>
  <si>
    <t>=NF($G1330,"Entry No.")</t>
  </si>
  <si>
    <t>=NF($G1331,"Entry No.")</t>
  </si>
  <si>
    <t>=NL("Sum","Item Ledger Entry","Quantity","Entry Type","Purchase","Entry No.",I1324,"Location Code",$L$7)</t>
  </si>
  <si>
    <t>=NL("Sum","Item Ledger Entry","Quantity","Entry Type","Purchase","Entry No.",I1325,"Location Code",$L$7)</t>
  </si>
  <si>
    <t>=NL("Sum","Item Ledger Entry","Quantity","Entry Type","Purchase","Entry No.",I1326,"Location Code",$L$7)</t>
  </si>
  <si>
    <t>=NL("Sum","Item Ledger Entry","Quantity","Entry Type","Purchase","Entry No.",I1327,"Location Code",$L$7)</t>
  </si>
  <si>
    <t>=NL("Sum","Item Ledger Entry","Quantity","Entry Type","Purchase","Entry No.",I1328,"Location Code",$L$7)</t>
  </si>
  <si>
    <t>=NL("Sum","Item Ledger Entry","Quantity","Entry Type","Purchase","Entry No.",I1329,"Location Code",$L$7)</t>
  </si>
  <si>
    <t>=NL("Sum","Item Ledger Entry","Quantity","Entry Type","Purchase","Entry No.",I1330,"Location Code",$L$7)</t>
  </si>
  <si>
    <t>=NL("Sum","Item Ledger Entry","Quantity","Entry Type","Purchase","Entry No.",I1331,"Location Code",$L$7)</t>
  </si>
  <si>
    <t>=NL("Sum","Item Ledger Entry","Quantity","Entry Type","Sale","Entry No.",I1324,"Location Code",$L$7)</t>
  </si>
  <si>
    <t>=NL("Sum","Item Ledger Entry","Quantity","Entry Type","Sale","Entry No.",I1325,"Location Code",$L$7)</t>
  </si>
  <si>
    <t>=NL("Sum","Item Ledger Entry","Quantity","Entry Type","Sale","Entry No.",I1326,"Location Code",$L$7)</t>
  </si>
  <si>
    <t>=NL("Sum","Item Ledger Entry","Quantity","Entry Type","Sale","Entry No.",I1327,"Location Code",$L$7)</t>
  </si>
  <si>
    <t>=NL("Sum","Item Ledger Entry","Quantity","Entry Type","Sale","Entry No.",I1328,"Location Code",$L$7)</t>
  </si>
  <si>
    <t>=NL("Sum","Item Ledger Entry","Quantity","Entry Type","Sale","Entry No.",I1329,"Location Code",$L$7)</t>
  </si>
  <si>
    <t>=NL("Sum","Item Ledger Entry","Quantity","Entry Type","Sale","Entry No.",I1330,"Location Code",$L$7)</t>
  </si>
  <si>
    <t>=NL("Sum","Item Ledger Entry","Quantity","Entry Type","Sale","Entry No.",I1331,"Location Code",$L$7)</t>
  </si>
  <si>
    <t>=NL("Sum","Item Ledger Entry","Quantity","Entry Type","Positive Adjmt.|Negative Adjmt.","Entry No.",I1324,"Location Code",$L$7)</t>
  </si>
  <si>
    <t>=NL("Sum","Item Ledger Entry","Quantity","Entry Type","Positive Adjmt.|Negative Adjmt.","Entry No.",I1325,"Location Code",$L$7)</t>
  </si>
  <si>
    <t>=NL("Sum","Item Ledger Entry","Quantity","Entry Type","Positive Adjmt.|Negative Adjmt.","Entry No.",I1326,"Location Code",$L$7)</t>
  </si>
  <si>
    <t>=NL("Sum","Item Ledger Entry","Quantity","Entry Type","Positive Adjmt.|Negative Adjmt.","Entry No.",I1327,"Location Code",$L$7)</t>
  </si>
  <si>
    <t>=NL("Sum","Item Ledger Entry","Quantity","Entry Type","Positive Adjmt.|Negative Adjmt.","Entry No.",I1328,"Location Code",$L$7)</t>
  </si>
  <si>
    <t>=NL("Sum","Item Ledger Entry","Quantity","Entry Type","Positive Adjmt.|Negative Adjmt.","Entry No.",I1329,"Location Code",$L$7)</t>
  </si>
  <si>
    <t>=NL("Sum","Item Ledger Entry","Quantity","Entry Type","Positive Adjmt.|Negative Adjmt.","Entry No.",I1330,"Location Code",$L$7)</t>
  </si>
  <si>
    <t>=NL("Sum","Item Ledger Entry","Quantity","Entry Type","Positive Adjmt.|Negative Adjmt.","Entry No.",I1331,"Location Code",$L$7)</t>
  </si>
  <si>
    <t>=NL("Sum","Item Ledger Entry","Quantity","Entry Type","Transfer","Entry No.",I1324,"Location Code",$L$7)</t>
  </si>
  <si>
    <t>=NL("Sum","Item Ledger Entry","Quantity","Entry Type","Transfer","Entry No.",I1325,"Location Code",$L$7)</t>
  </si>
  <si>
    <t>=NL("Sum","Item Ledger Entry","Quantity","Entry Type","Transfer","Entry No.",I1326,"Location Code",$L$7)</t>
  </si>
  <si>
    <t>=NL("Sum","Item Ledger Entry","Quantity","Entry Type","Transfer","Entry No.",I1327,"Location Code",$L$7)</t>
  </si>
  <si>
    <t>=NL("Sum","Item Ledger Entry","Quantity","Entry Type","Transfer","Entry No.",I1328,"Location Code",$L$7)</t>
  </si>
  <si>
    <t>=NL("Sum","Item Ledger Entry","Quantity","Entry Type","Transfer","Entry No.",I1329,"Location Code",$L$7)</t>
  </si>
  <si>
    <t>=NL("Sum","Item Ledger Entry","Quantity","Entry Type","Transfer","Entry No.",I1330,"Location Code",$L$7)</t>
  </si>
  <si>
    <t>=NL("Sum","Item Ledger Entry","Quantity","Entry Type","Transfer","Entry No.",I1331,"Location Code",$L$7)</t>
  </si>
  <si>
    <t>=NL("Sum","Item Ledger Entry","Quantity","Entry Type","Consumption","Entry No.",I1324,"Location Code",$L$7)</t>
  </si>
  <si>
    <t>=NL("Sum","Item Ledger Entry","Quantity","Entry Type","Consumption","Entry No.",I1325,"Location Code",$L$7)</t>
  </si>
  <si>
    <t>=NL("Sum","Item Ledger Entry","Quantity","Entry Type","Consumption","Entry No.",I1326,"Location Code",$L$7)</t>
  </si>
  <si>
    <t>=NL("Sum","Item Ledger Entry","Quantity","Entry Type","Consumption","Entry No.",I1327,"Location Code",$L$7)</t>
  </si>
  <si>
    <t>=NL("Sum","Item Ledger Entry","Quantity","Entry Type","Consumption","Entry No.",I1328,"Location Code",$L$7)</t>
  </si>
  <si>
    <t>=NL("Sum","Item Ledger Entry","Quantity","Entry Type","Consumption","Entry No.",I1329,"Location Code",$L$7)</t>
  </si>
  <si>
    <t>=NL("Sum","Item Ledger Entry","Quantity","Entry Type","Consumption","Entry No.",I1330,"Location Code",$L$7)</t>
  </si>
  <si>
    <t>=NL("Sum","Item Ledger Entry","Quantity","Entry Type","Consumption","Entry No.",I1331,"Location Code",$L$7)</t>
  </si>
  <si>
    <t>=NL("Sum","Item Ledger Entry","Quantity","Entry Type","Output","Entry No.",I1324,"Location Code",$L$7)</t>
  </si>
  <si>
    <t>=NL("Sum","Item Ledger Entry","Quantity","Entry Type","Output","Entry No.",I1325,"Location Code",$L$7)</t>
  </si>
  <si>
    <t>=NL("Sum","Item Ledger Entry","Quantity","Entry Type","Output","Entry No.",I1326,"Location Code",$L$7)</t>
  </si>
  <si>
    <t>=NL("Sum","Item Ledger Entry","Quantity","Entry Type","Output","Entry No.",I1327,"Location Code",$L$7)</t>
  </si>
  <si>
    <t>=NL("Sum","Item Ledger Entry","Quantity","Entry Type","Output","Entry No.",I1328,"Location Code",$L$7)</t>
  </si>
  <si>
    <t>=NL("Sum","Item Ledger Entry","Quantity","Entry Type","Output","Entry No.",I1329,"Location Code",$L$7)</t>
  </si>
  <si>
    <t>=NL("Sum","Item Ledger Entry","Quantity","Entry Type","Output","Entry No.",I1330,"Location Code",$L$7)</t>
  </si>
  <si>
    <t>=NL("Sum","Item Ledger Entry","Quantity","Entry Type","Output","Entry No.",I1331,"Location Code",$L$7)</t>
  </si>
  <si>
    <t>=NF(G1324,"Source Type")</t>
  </si>
  <si>
    <t>=NF(G1325,"Source Type")</t>
  </si>
  <si>
    <t>=NF(G1326,"Source Type")</t>
  </si>
  <si>
    <t>=NF(G1327,"Source Type")</t>
  </si>
  <si>
    <t>=NF(G1328,"Source Type")</t>
  </si>
  <si>
    <t>=NF(G1329,"Source Type")</t>
  </si>
  <si>
    <t>=NF(G1330,"Source Type")</t>
  </si>
  <si>
    <t>=NF(G1331,"Source Type")</t>
  </si>
  <si>
    <t>=NF($G1324,"Source No.")</t>
  </si>
  <si>
    <t>=NF($G1325,"Source No.")</t>
  </si>
  <si>
    <t>=NF($G1326,"Source No.")</t>
  </si>
  <si>
    <t>=NF($G1327,"Source No.")</t>
  </si>
  <si>
    <t>=NF($G1328,"Source No.")</t>
  </si>
  <si>
    <t>=NF($G1329,"Source No.")</t>
  </si>
  <si>
    <t>=NF($G1330,"Source No.")</t>
  </si>
  <si>
    <t>=NF($G1331,"Source No.")</t>
  </si>
  <si>
    <t>=NF($G1294,"Posting Date")</t>
  </si>
  <si>
    <t>=NF($G1295,"Posting Date")</t>
  </si>
  <si>
    <t>=NF($G1296,"Posting Date")</t>
  </si>
  <si>
    <t>=NF($G1297,"Posting Date")</t>
  </si>
  <si>
    <t>=NF($G1298,"Posting Date")</t>
  </si>
  <si>
    <t>=NF($G1299,"Posting Date")</t>
  </si>
  <si>
    <t>=NF($G1300,"Posting Date")</t>
  </si>
  <si>
    <t>=NF($G1301,"Posting Date")</t>
  </si>
  <si>
    <t>=NF($G1302,"Posting Date")</t>
  </si>
  <si>
    <t>=NF($G1303,"Posting Date")</t>
  </si>
  <si>
    <t>=NF($G1304,"Posting Date")</t>
  </si>
  <si>
    <t>=NF($G1305,"Posting Date")</t>
  </si>
  <si>
    <t>=NF($G1306,"Posting Date")</t>
  </si>
  <si>
    <t>=NF($G1307,"Posting Date")</t>
  </si>
  <si>
    <t>=NF($G1308,"Posting Date")</t>
  </si>
  <si>
    <t>=NF($G1309,"Posting Date")</t>
  </si>
  <si>
    <t>=NF($G1310,"Posting Date")</t>
  </si>
  <si>
    <t>=NF($G1311,"Posting Date")</t>
  </si>
  <si>
    <t>=NF($G1312,"Posting Date")</t>
  </si>
  <si>
    <t>=NF($G1313,"Posting Date")</t>
  </si>
  <si>
    <t>=NF($G1314,"Posting Date")</t>
  </si>
  <si>
    <t>=NF($G1315,"Posting Date")</t>
  </si>
  <si>
    <t>=NF($G1316,"Posting Date")</t>
  </si>
  <si>
    <t>=NF($G1317,"Posting Date")</t>
  </si>
  <si>
    <t>=NF($G1318,"Posting Date")</t>
  </si>
  <si>
    <t>=NF($G1319,"Posting Date")</t>
  </si>
  <si>
    <t>=NF($G1320,"Posting Date")</t>
  </si>
  <si>
    <t>=NF($G1294,"Entry No.")</t>
  </si>
  <si>
    <t>=NF($G1295,"Entry No.")</t>
  </si>
  <si>
    <t>=NF($G1296,"Entry No.")</t>
  </si>
  <si>
    <t>=NF($G1297,"Entry No.")</t>
  </si>
  <si>
    <t>=NF($G1298,"Entry No.")</t>
  </si>
  <si>
    <t>=NF($G1299,"Entry No.")</t>
  </si>
  <si>
    <t>=NF($G1300,"Entry No.")</t>
  </si>
  <si>
    <t>=NF($G1301,"Entry No.")</t>
  </si>
  <si>
    <t>=NF($G1302,"Entry No.")</t>
  </si>
  <si>
    <t>=NF($G1303,"Entry No.")</t>
  </si>
  <si>
    <t>=NF($G1304,"Entry No.")</t>
  </si>
  <si>
    <t>=NF($G1305,"Entry No.")</t>
  </si>
  <si>
    <t>=NF($G1306,"Entry No.")</t>
  </si>
  <si>
    <t>=NF($G1307,"Entry No.")</t>
  </si>
  <si>
    <t>=NF($G1308,"Entry No.")</t>
  </si>
  <si>
    <t>=NF($G1309,"Entry No.")</t>
  </si>
  <si>
    <t>=NF($G1310,"Entry No.")</t>
  </si>
  <si>
    <t>=NF($G1311,"Entry No.")</t>
  </si>
  <si>
    <t>=NF($G1312,"Entry No.")</t>
  </si>
  <si>
    <t>=NF($G1313,"Entry No.")</t>
  </si>
  <si>
    <t>=NF($G1314,"Entry No.")</t>
  </si>
  <si>
    <t>=NF($G1315,"Entry No.")</t>
  </si>
  <si>
    <t>=NF($G1316,"Entry No.")</t>
  </si>
  <si>
    <t>=NF($G1317,"Entry No.")</t>
  </si>
  <si>
    <t>=NF($G1318,"Entry No.")</t>
  </si>
  <si>
    <t>=NF($G1319,"Entry No.")</t>
  </si>
  <si>
    <t>=NF($G1320,"Entry No.")</t>
  </si>
  <si>
    <t>=NL("Sum","Item Ledger Entry","Quantity","Entry Type","Purchase","Entry No.",I1294,"Location Code",$L$7)</t>
  </si>
  <si>
    <t>=NL("Sum","Item Ledger Entry","Quantity","Entry Type","Purchase","Entry No.",I1295,"Location Code",$L$7)</t>
  </si>
  <si>
    <t>=NL("Sum","Item Ledger Entry","Quantity","Entry Type","Purchase","Entry No.",I1296,"Location Code",$L$7)</t>
  </si>
  <si>
    <t>=NL("Sum","Item Ledger Entry","Quantity","Entry Type","Purchase","Entry No.",I1297,"Location Code",$L$7)</t>
  </si>
  <si>
    <t>=NL("Sum","Item Ledger Entry","Quantity","Entry Type","Purchase","Entry No.",I1298,"Location Code",$L$7)</t>
  </si>
  <si>
    <t>=NL("Sum","Item Ledger Entry","Quantity","Entry Type","Purchase","Entry No.",I1299,"Location Code",$L$7)</t>
  </si>
  <si>
    <t>=NL("Sum","Item Ledger Entry","Quantity","Entry Type","Purchase","Entry No.",I1300,"Location Code",$L$7)</t>
  </si>
  <si>
    <t>=NL("Sum","Item Ledger Entry","Quantity","Entry Type","Purchase","Entry No.",I1301,"Location Code",$L$7)</t>
  </si>
  <si>
    <t>=NL("Sum","Item Ledger Entry","Quantity","Entry Type","Purchase","Entry No.",I1302,"Location Code",$L$7)</t>
  </si>
  <si>
    <t>=NL("Sum","Item Ledger Entry","Quantity","Entry Type","Purchase","Entry No.",I1303,"Location Code",$L$7)</t>
  </si>
  <si>
    <t>=NL("Sum","Item Ledger Entry","Quantity","Entry Type","Purchase","Entry No.",I1304,"Location Code",$L$7)</t>
  </si>
  <si>
    <t>=NL("Sum","Item Ledger Entry","Quantity","Entry Type","Purchase","Entry No.",I1305,"Location Code",$L$7)</t>
  </si>
  <si>
    <t>=NL("Sum","Item Ledger Entry","Quantity","Entry Type","Purchase","Entry No.",I1306,"Location Code",$L$7)</t>
  </si>
  <si>
    <t>=NL("Sum","Item Ledger Entry","Quantity","Entry Type","Purchase","Entry No.",I1307,"Location Code",$L$7)</t>
  </si>
  <si>
    <t>=NL("Sum","Item Ledger Entry","Quantity","Entry Type","Purchase","Entry No.",I1308,"Location Code",$L$7)</t>
  </si>
  <si>
    <t>=NL("Sum","Item Ledger Entry","Quantity","Entry Type","Purchase","Entry No.",I1309,"Location Code",$L$7)</t>
  </si>
  <si>
    <t>=NL("Sum","Item Ledger Entry","Quantity","Entry Type","Purchase","Entry No.",I1310,"Location Code",$L$7)</t>
  </si>
  <si>
    <t>=NL("Sum","Item Ledger Entry","Quantity","Entry Type","Purchase","Entry No.",I1311,"Location Code",$L$7)</t>
  </si>
  <si>
    <t>=NL("Sum","Item Ledger Entry","Quantity","Entry Type","Purchase","Entry No.",I1312,"Location Code",$L$7)</t>
  </si>
  <si>
    <t>=NL("Sum","Item Ledger Entry","Quantity","Entry Type","Purchase","Entry No.",I1313,"Location Code",$L$7)</t>
  </si>
  <si>
    <t>=NL("Sum","Item Ledger Entry","Quantity","Entry Type","Purchase","Entry No.",I1314,"Location Code",$L$7)</t>
  </si>
  <si>
    <t>=NL("Sum","Item Ledger Entry","Quantity","Entry Type","Purchase","Entry No.",I1315,"Location Code",$L$7)</t>
  </si>
  <si>
    <t>=NL("Sum","Item Ledger Entry","Quantity","Entry Type","Purchase","Entry No.",I1316,"Location Code",$L$7)</t>
  </si>
  <si>
    <t>=NL("Sum","Item Ledger Entry","Quantity","Entry Type","Purchase","Entry No.",I1317,"Location Code",$L$7)</t>
  </si>
  <si>
    <t>=NL("Sum","Item Ledger Entry","Quantity","Entry Type","Purchase","Entry No.",I1318,"Location Code",$L$7)</t>
  </si>
  <si>
    <t>=NL("Sum","Item Ledger Entry","Quantity","Entry Type","Purchase","Entry No.",I1319,"Location Code",$L$7)</t>
  </si>
  <si>
    <t>=NL("Sum","Item Ledger Entry","Quantity","Entry Type","Purchase","Entry No.",I1320,"Location Code",$L$7)</t>
  </si>
  <si>
    <t>=NL("Sum","Item Ledger Entry","Quantity","Entry Type","Sale","Entry No.",I1294,"Location Code",$L$7)</t>
  </si>
  <si>
    <t>=NL("Sum","Item Ledger Entry","Quantity","Entry Type","Sale","Entry No.",I1295,"Location Code",$L$7)</t>
  </si>
  <si>
    <t>=NL("Sum","Item Ledger Entry","Quantity","Entry Type","Sale","Entry No.",I1296,"Location Code",$L$7)</t>
  </si>
  <si>
    <t>=NL("Sum","Item Ledger Entry","Quantity","Entry Type","Sale","Entry No.",I1297,"Location Code",$L$7)</t>
  </si>
  <si>
    <t>=NL("Sum","Item Ledger Entry","Quantity","Entry Type","Sale","Entry No.",I1298,"Location Code",$L$7)</t>
  </si>
  <si>
    <t>=NL("Sum","Item Ledger Entry","Quantity","Entry Type","Sale","Entry No.",I1299,"Location Code",$L$7)</t>
  </si>
  <si>
    <t>=NL("Sum","Item Ledger Entry","Quantity","Entry Type","Sale","Entry No.",I1300,"Location Code",$L$7)</t>
  </si>
  <si>
    <t>=NL("Sum","Item Ledger Entry","Quantity","Entry Type","Sale","Entry No.",I1301,"Location Code",$L$7)</t>
  </si>
  <si>
    <t>=NL("Sum","Item Ledger Entry","Quantity","Entry Type","Sale","Entry No.",I1302,"Location Code",$L$7)</t>
  </si>
  <si>
    <t>=NL("Sum","Item Ledger Entry","Quantity","Entry Type","Sale","Entry No.",I1303,"Location Code",$L$7)</t>
  </si>
  <si>
    <t>=NL("Sum","Item Ledger Entry","Quantity","Entry Type","Sale","Entry No.",I1304,"Location Code",$L$7)</t>
  </si>
  <si>
    <t>=NL("Sum","Item Ledger Entry","Quantity","Entry Type","Sale","Entry No.",I1305,"Location Code",$L$7)</t>
  </si>
  <si>
    <t>=NL("Sum","Item Ledger Entry","Quantity","Entry Type","Sale","Entry No.",I1306,"Location Code",$L$7)</t>
  </si>
  <si>
    <t>=NL("Sum","Item Ledger Entry","Quantity","Entry Type","Sale","Entry No.",I1307,"Location Code",$L$7)</t>
  </si>
  <si>
    <t>=NL("Sum","Item Ledger Entry","Quantity","Entry Type","Sale","Entry No.",I1308,"Location Code",$L$7)</t>
  </si>
  <si>
    <t>=NL("Sum","Item Ledger Entry","Quantity","Entry Type","Sale","Entry No.",I1309,"Location Code",$L$7)</t>
  </si>
  <si>
    <t>=NL("Sum","Item Ledger Entry","Quantity","Entry Type","Sale","Entry No.",I1310,"Location Code",$L$7)</t>
  </si>
  <si>
    <t>=NL("Sum","Item Ledger Entry","Quantity","Entry Type","Sale","Entry No.",I1311,"Location Code",$L$7)</t>
  </si>
  <si>
    <t>=NL("Sum","Item Ledger Entry","Quantity","Entry Type","Sale","Entry No.",I1312,"Location Code",$L$7)</t>
  </si>
  <si>
    <t>=NL("Sum","Item Ledger Entry","Quantity","Entry Type","Sale","Entry No.",I1313,"Location Code",$L$7)</t>
  </si>
  <si>
    <t>=NL("Sum","Item Ledger Entry","Quantity","Entry Type","Sale","Entry No.",I1314,"Location Code",$L$7)</t>
  </si>
  <si>
    <t>=NL("Sum","Item Ledger Entry","Quantity","Entry Type","Sale","Entry No.",I1315,"Location Code",$L$7)</t>
  </si>
  <si>
    <t>=NL("Sum","Item Ledger Entry","Quantity","Entry Type","Sale","Entry No.",I1316,"Location Code",$L$7)</t>
  </si>
  <si>
    <t>=NL("Sum","Item Ledger Entry","Quantity","Entry Type","Sale","Entry No.",I1317,"Location Code",$L$7)</t>
  </si>
  <si>
    <t>=NL("Sum","Item Ledger Entry","Quantity","Entry Type","Sale","Entry No.",I1318,"Location Code",$L$7)</t>
  </si>
  <si>
    <t>=NL("Sum","Item Ledger Entry","Quantity","Entry Type","Sale","Entry No.",I1319,"Location Code",$L$7)</t>
  </si>
  <si>
    <t>=NL("Sum","Item Ledger Entry","Quantity","Entry Type","Sale","Entry No.",I1320,"Location Code",$L$7)</t>
  </si>
  <si>
    <t>=NL("Sum","Item Ledger Entry","Quantity","Entry Type","Positive Adjmt.|Negative Adjmt.","Entry No.",I1294,"Location Code",$L$7)</t>
  </si>
  <si>
    <t>=NL("Sum","Item Ledger Entry","Quantity","Entry Type","Positive Adjmt.|Negative Adjmt.","Entry No.",I1295,"Location Code",$L$7)</t>
  </si>
  <si>
    <t>=NL("Sum","Item Ledger Entry","Quantity","Entry Type","Positive Adjmt.|Negative Adjmt.","Entry No.",I1296,"Location Code",$L$7)</t>
  </si>
  <si>
    <t>=NL("Sum","Item Ledger Entry","Quantity","Entry Type","Positive Adjmt.|Negative Adjmt.","Entry No.",I1297,"Location Code",$L$7)</t>
  </si>
  <si>
    <t>=NL("Sum","Item Ledger Entry","Quantity","Entry Type","Positive Adjmt.|Negative Adjmt.","Entry No.",I1298,"Location Code",$L$7)</t>
  </si>
  <si>
    <t>=NL("Sum","Item Ledger Entry","Quantity","Entry Type","Positive Adjmt.|Negative Adjmt.","Entry No.",I1299,"Location Code",$L$7)</t>
  </si>
  <si>
    <t>=NL("Sum","Item Ledger Entry","Quantity","Entry Type","Positive Adjmt.|Negative Adjmt.","Entry No.",I1300,"Location Code",$L$7)</t>
  </si>
  <si>
    <t>=NL("Sum","Item Ledger Entry","Quantity","Entry Type","Positive Adjmt.|Negative Adjmt.","Entry No.",I1301,"Location Code",$L$7)</t>
  </si>
  <si>
    <t>=NL("Sum","Item Ledger Entry","Quantity","Entry Type","Positive Adjmt.|Negative Adjmt.","Entry No.",I1302,"Location Code",$L$7)</t>
  </si>
  <si>
    <t>=NL("Sum","Item Ledger Entry","Quantity","Entry Type","Positive Adjmt.|Negative Adjmt.","Entry No.",I1303,"Location Code",$L$7)</t>
  </si>
  <si>
    <t>=NL("Sum","Item Ledger Entry","Quantity","Entry Type","Positive Adjmt.|Negative Adjmt.","Entry No.",I1304,"Location Code",$L$7)</t>
  </si>
  <si>
    <t>=NL("Sum","Item Ledger Entry","Quantity","Entry Type","Positive Adjmt.|Negative Adjmt.","Entry No.",I1305,"Location Code",$L$7)</t>
  </si>
  <si>
    <t>=NL("Sum","Item Ledger Entry","Quantity","Entry Type","Positive Adjmt.|Negative Adjmt.","Entry No.",I1306,"Location Code",$L$7)</t>
  </si>
  <si>
    <t>=NL("Sum","Item Ledger Entry","Quantity","Entry Type","Positive Adjmt.|Negative Adjmt.","Entry No.",I1307,"Location Code",$L$7)</t>
  </si>
  <si>
    <t>=NL("Sum","Item Ledger Entry","Quantity","Entry Type","Positive Adjmt.|Negative Adjmt.","Entry No.",I1308,"Location Code",$L$7)</t>
  </si>
  <si>
    <t>=NL("Sum","Item Ledger Entry","Quantity","Entry Type","Positive Adjmt.|Negative Adjmt.","Entry No.",I1309,"Location Code",$L$7)</t>
  </si>
  <si>
    <t>=NL("Sum","Item Ledger Entry","Quantity","Entry Type","Positive Adjmt.|Negative Adjmt.","Entry No.",I1310,"Location Code",$L$7)</t>
  </si>
  <si>
    <t>=NL("Sum","Item Ledger Entry","Quantity","Entry Type","Positive Adjmt.|Negative Adjmt.","Entry No.",I1311,"Location Code",$L$7)</t>
  </si>
  <si>
    <t>=NL("Sum","Item Ledger Entry","Quantity","Entry Type","Positive Adjmt.|Negative Adjmt.","Entry No.",I1312,"Location Code",$L$7)</t>
  </si>
  <si>
    <t>=NL("Sum","Item Ledger Entry","Quantity","Entry Type","Positive Adjmt.|Negative Adjmt.","Entry No.",I1313,"Location Code",$L$7)</t>
  </si>
  <si>
    <t>=NL("Sum","Item Ledger Entry","Quantity","Entry Type","Positive Adjmt.|Negative Adjmt.","Entry No.",I1314,"Location Code",$L$7)</t>
  </si>
  <si>
    <t>=NL("Sum","Item Ledger Entry","Quantity","Entry Type","Positive Adjmt.|Negative Adjmt.","Entry No.",I1315,"Location Code",$L$7)</t>
  </si>
  <si>
    <t>=NL("Sum","Item Ledger Entry","Quantity","Entry Type","Positive Adjmt.|Negative Adjmt.","Entry No.",I1316,"Location Code",$L$7)</t>
  </si>
  <si>
    <t>=NL("Sum","Item Ledger Entry","Quantity","Entry Type","Positive Adjmt.|Negative Adjmt.","Entry No.",I1317,"Location Code",$L$7)</t>
  </si>
  <si>
    <t>=NL("Sum","Item Ledger Entry","Quantity","Entry Type","Positive Adjmt.|Negative Adjmt.","Entry No.",I1318,"Location Code",$L$7)</t>
  </si>
  <si>
    <t>=NL("Sum","Item Ledger Entry","Quantity","Entry Type","Positive Adjmt.|Negative Adjmt.","Entry No.",I1319,"Location Code",$L$7)</t>
  </si>
  <si>
    <t>=NL("Sum","Item Ledger Entry","Quantity","Entry Type","Positive Adjmt.|Negative Adjmt.","Entry No.",I1320,"Location Code",$L$7)</t>
  </si>
  <si>
    <t>=NL("Sum","Item Ledger Entry","Quantity","Entry Type","Transfer","Entry No.",I1294,"Location Code",$L$7)</t>
  </si>
  <si>
    <t>=NL("Sum","Item Ledger Entry","Quantity","Entry Type","Transfer","Entry No.",I1295,"Location Code",$L$7)</t>
  </si>
  <si>
    <t>=NL("Sum","Item Ledger Entry","Quantity","Entry Type","Transfer","Entry No.",I1296,"Location Code",$L$7)</t>
  </si>
  <si>
    <t>=NL("Sum","Item Ledger Entry","Quantity","Entry Type","Transfer","Entry No.",I1297,"Location Code",$L$7)</t>
  </si>
  <si>
    <t>=NL("Sum","Item Ledger Entry","Quantity","Entry Type","Transfer","Entry No.",I1298,"Location Code",$L$7)</t>
  </si>
  <si>
    <t>=NL("Sum","Item Ledger Entry","Quantity","Entry Type","Transfer","Entry No.",I1299,"Location Code",$L$7)</t>
  </si>
  <si>
    <t>=NL("Sum","Item Ledger Entry","Quantity","Entry Type","Transfer","Entry No.",I1300,"Location Code",$L$7)</t>
  </si>
  <si>
    <t>=NL("Sum","Item Ledger Entry","Quantity","Entry Type","Transfer","Entry No.",I1301,"Location Code",$L$7)</t>
  </si>
  <si>
    <t>=NL("Sum","Item Ledger Entry","Quantity","Entry Type","Transfer","Entry No.",I1302,"Location Code",$L$7)</t>
  </si>
  <si>
    <t>=NL("Sum","Item Ledger Entry","Quantity","Entry Type","Transfer","Entry No.",I1303,"Location Code",$L$7)</t>
  </si>
  <si>
    <t>=NL("Sum","Item Ledger Entry","Quantity","Entry Type","Transfer","Entry No.",I1304,"Location Code",$L$7)</t>
  </si>
  <si>
    <t>=NL("Sum","Item Ledger Entry","Quantity","Entry Type","Transfer","Entry No.",I1305,"Location Code",$L$7)</t>
  </si>
  <si>
    <t>=NL("Sum","Item Ledger Entry","Quantity","Entry Type","Transfer","Entry No.",I1306,"Location Code",$L$7)</t>
  </si>
  <si>
    <t>=NL("Sum","Item Ledger Entry","Quantity","Entry Type","Transfer","Entry No.",I1307,"Location Code",$L$7)</t>
  </si>
  <si>
    <t>=NL("Sum","Item Ledger Entry","Quantity","Entry Type","Transfer","Entry No.",I1308,"Location Code",$L$7)</t>
  </si>
  <si>
    <t>=NL("Sum","Item Ledger Entry","Quantity","Entry Type","Transfer","Entry No.",I1309,"Location Code",$L$7)</t>
  </si>
  <si>
    <t>=NL("Sum","Item Ledger Entry","Quantity","Entry Type","Transfer","Entry No.",I1310,"Location Code",$L$7)</t>
  </si>
  <si>
    <t>=NL("Sum","Item Ledger Entry","Quantity","Entry Type","Transfer","Entry No.",I1311,"Location Code",$L$7)</t>
  </si>
  <si>
    <t>=NL("Sum","Item Ledger Entry","Quantity","Entry Type","Transfer","Entry No.",I1312,"Location Code",$L$7)</t>
  </si>
  <si>
    <t>=NL("Sum","Item Ledger Entry","Quantity","Entry Type","Transfer","Entry No.",I1313,"Location Code",$L$7)</t>
  </si>
  <si>
    <t>=NL("Sum","Item Ledger Entry","Quantity","Entry Type","Transfer","Entry No.",I1314,"Location Code",$L$7)</t>
  </si>
  <si>
    <t>=NL("Sum","Item Ledger Entry","Quantity","Entry Type","Transfer","Entry No.",I1315,"Location Code",$L$7)</t>
  </si>
  <si>
    <t>=NL("Sum","Item Ledger Entry","Quantity","Entry Type","Transfer","Entry No.",I1316,"Location Code",$L$7)</t>
  </si>
  <si>
    <t>=NL("Sum","Item Ledger Entry","Quantity","Entry Type","Transfer","Entry No.",I1317,"Location Code",$L$7)</t>
  </si>
  <si>
    <t>=NL("Sum","Item Ledger Entry","Quantity","Entry Type","Transfer","Entry No.",I1318,"Location Code",$L$7)</t>
  </si>
  <si>
    <t>=NL("Sum","Item Ledger Entry","Quantity","Entry Type","Transfer","Entry No.",I1319,"Location Code",$L$7)</t>
  </si>
  <si>
    <t>=NL("Sum","Item Ledger Entry","Quantity","Entry Type","Transfer","Entry No.",I1320,"Location Code",$L$7)</t>
  </si>
  <si>
    <t>=NL("Sum","Item Ledger Entry","Quantity","Entry Type","Consumption","Entry No.",I1294,"Location Code",$L$7)</t>
  </si>
  <si>
    <t>=NL("Sum","Item Ledger Entry","Quantity","Entry Type","Consumption","Entry No.",I1295,"Location Code",$L$7)</t>
  </si>
  <si>
    <t>=NL("Sum","Item Ledger Entry","Quantity","Entry Type","Consumption","Entry No.",I1296,"Location Code",$L$7)</t>
  </si>
  <si>
    <t>=NL("Sum","Item Ledger Entry","Quantity","Entry Type","Consumption","Entry No.",I1297,"Location Code",$L$7)</t>
  </si>
  <si>
    <t>=NL("Sum","Item Ledger Entry","Quantity","Entry Type","Consumption","Entry No.",I1298,"Location Code",$L$7)</t>
  </si>
  <si>
    <t>=NL("Sum","Item Ledger Entry","Quantity","Entry Type","Consumption","Entry No.",I1299,"Location Code",$L$7)</t>
  </si>
  <si>
    <t>=NL("Sum","Item Ledger Entry","Quantity","Entry Type","Consumption","Entry No.",I1300,"Location Code",$L$7)</t>
  </si>
  <si>
    <t>=NL("Sum","Item Ledger Entry","Quantity","Entry Type","Consumption","Entry No.",I1301,"Location Code",$L$7)</t>
  </si>
  <si>
    <t>=NL("Sum","Item Ledger Entry","Quantity","Entry Type","Consumption","Entry No.",I1302,"Location Code",$L$7)</t>
  </si>
  <si>
    <t>=NL("Sum","Item Ledger Entry","Quantity","Entry Type","Consumption","Entry No.",I1303,"Location Code",$L$7)</t>
  </si>
  <si>
    <t>=NL("Sum","Item Ledger Entry","Quantity","Entry Type","Consumption","Entry No.",I1304,"Location Code",$L$7)</t>
  </si>
  <si>
    <t>=NL("Sum","Item Ledger Entry","Quantity","Entry Type","Consumption","Entry No.",I1305,"Location Code",$L$7)</t>
  </si>
  <si>
    <t>=NL("Sum","Item Ledger Entry","Quantity","Entry Type","Consumption","Entry No.",I1306,"Location Code",$L$7)</t>
  </si>
  <si>
    <t>=NL("Sum","Item Ledger Entry","Quantity","Entry Type","Consumption","Entry No.",I1307,"Location Code",$L$7)</t>
  </si>
  <si>
    <t>=NL("Sum","Item Ledger Entry","Quantity","Entry Type","Consumption","Entry No.",I1308,"Location Code",$L$7)</t>
  </si>
  <si>
    <t>=NL("Sum","Item Ledger Entry","Quantity","Entry Type","Consumption","Entry No.",I1309,"Location Code",$L$7)</t>
  </si>
  <si>
    <t>=NL("Sum","Item Ledger Entry","Quantity","Entry Type","Consumption","Entry No.",I1310,"Location Code",$L$7)</t>
  </si>
  <si>
    <t>=NL("Sum","Item Ledger Entry","Quantity","Entry Type","Consumption","Entry No.",I1311,"Location Code",$L$7)</t>
  </si>
  <si>
    <t>=NL("Sum","Item Ledger Entry","Quantity","Entry Type","Consumption","Entry No.",I1312,"Location Code",$L$7)</t>
  </si>
  <si>
    <t>=NL("Sum","Item Ledger Entry","Quantity","Entry Type","Consumption","Entry No.",I1313,"Location Code",$L$7)</t>
  </si>
  <si>
    <t>=NL("Sum","Item Ledger Entry","Quantity","Entry Type","Consumption","Entry No.",I1314,"Location Code",$L$7)</t>
  </si>
  <si>
    <t>=NL("Sum","Item Ledger Entry","Quantity","Entry Type","Consumption","Entry No.",I1315,"Location Code",$L$7)</t>
  </si>
  <si>
    <t>=NL("Sum","Item Ledger Entry","Quantity","Entry Type","Consumption","Entry No.",I1316,"Location Code",$L$7)</t>
  </si>
  <si>
    <t>=NL("Sum","Item Ledger Entry","Quantity","Entry Type","Consumption","Entry No.",I1317,"Location Code",$L$7)</t>
  </si>
  <si>
    <t>=NL("Sum","Item Ledger Entry","Quantity","Entry Type","Consumption","Entry No.",I1318,"Location Code",$L$7)</t>
  </si>
  <si>
    <t>=NL("Sum","Item Ledger Entry","Quantity","Entry Type","Consumption","Entry No.",I1319,"Location Code",$L$7)</t>
  </si>
  <si>
    <t>=NL("Sum","Item Ledger Entry","Quantity","Entry Type","Consumption","Entry No.",I1320,"Location Code",$L$7)</t>
  </si>
  <si>
    <t>=NL("Sum","Item Ledger Entry","Quantity","Entry Type","Output","Entry No.",I1294,"Location Code",$L$7)</t>
  </si>
  <si>
    <t>=NL("Sum","Item Ledger Entry","Quantity","Entry Type","Output","Entry No.",I1295,"Location Code",$L$7)</t>
  </si>
  <si>
    <t>=NL("Sum","Item Ledger Entry","Quantity","Entry Type","Output","Entry No.",I1296,"Location Code",$L$7)</t>
  </si>
  <si>
    <t>=NL("Sum","Item Ledger Entry","Quantity","Entry Type","Output","Entry No.",I1297,"Location Code",$L$7)</t>
  </si>
  <si>
    <t>=NL("Sum","Item Ledger Entry","Quantity","Entry Type","Output","Entry No.",I1298,"Location Code",$L$7)</t>
  </si>
  <si>
    <t>=NL("Sum","Item Ledger Entry","Quantity","Entry Type","Output","Entry No.",I1299,"Location Code",$L$7)</t>
  </si>
  <si>
    <t>=NL("Sum","Item Ledger Entry","Quantity","Entry Type","Output","Entry No.",I1300,"Location Code",$L$7)</t>
  </si>
  <si>
    <t>=NL("Sum","Item Ledger Entry","Quantity","Entry Type","Output","Entry No.",I1301,"Location Code",$L$7)</t>
  </si>
  <si>
    <t>=NL("Sum","Item Ledger Entry","Quantity","Entry Type","Output","Entry No.",I1302,"Location Code",$L$7)</t>
  </si>
  <si>
    <t>=NL("Sum","Item Ledger Entry","Quantity","Entry Type","Output","Entry No.",I1303,"Location Code",$L$7)</t>
  </si>
  <si>
    <t>=NL("Sum","Item Ledger Entry","Quantity","Entry Type","Output","Entry No.",I1304,"Location Code",$L$7)</t>
  </si>
  <si>
    <t>=NL("Sum","Item Ledger Entry","Quantity","Entry Type","Output","Entry No.",I1305,"Location Code",$L$7)</t>
  </si>
  <si>
    <t>=NL("Sum","Item Ledger Entry","Quantity","Entry Type","Output","Entry No.",I1306,"Location Code",$L$7)</t>
  </si>
  <si>
    <t>=NL("Sum","Item Ledger Entry","Quantity","Entry Type","Output","Entry No.",I1307,"Location Code",$L$7)</t>
  </si>
  <si>
    <t>=NL("Sum","Item Ledger Entry","Quantity","Entry Type","Output","Entry No.",I1308,"Location Code",$L$7)</t>
  </si>
  <si>
    <t>=NL("Sum","Item Ledger Entry","Quantity","Entry Type","Output","Entry No.",I1309,"Location Code",$L$7)</t>
  </si>
  <si>
    <t>=NL("Sum","Item Ledger Entry","Quantity","Entry Type","Output","Entry No.",I1310,"Location Code",$L$7)</t>
  </si>
  <si>
    <t>=NL("Sum","Item Ledger Entry","Quantity","Entry Type","Output","Entry No.",I1311,"Location Code",$L$7)</t>
  </si>
  <si>
    <t>=NL("Sum","Item Ledger Entry","Quantity","Entry Type","Output","Entry No.",I1312,"Location Code",$L$7)</t>
  </si>
  <si>
    <t>=NL("Sum","Item Ledger Entry","Quantity","Entry Type","Output","Entry No.",I1313,"Location Code",$L$7)</t>
  </si>
  <si>
    <t>=NL("Sum","Item Ledger Entry","Quantity","Entry Type","Output","Entry No.",I1314,"Location Code",$L$7)</t>
  </si>
  <si>
    <t>=NL("Sum","Item Ledger Entry","Quantity","Entry Type","Output","Entry No.",I1315,"Location Code",$L$7)</t>
  </si>
  <si>
    <t>=NL("Sum","Item Ledger Entry","Quantity","Entry Type","Output","Entry No.",I1316,"Location Code",$L$7)</t>
  </si>
  <si>
    <t>=NL("Sum","Item Ledger Entry","Quantity","Entry Type","Output","Entry No.",I1317,"Location Code",$L$7)</t>
  </si>
  <si>
    <t>=NL("Sum","Item Ledger Entry","Quantity","Entry Type","Output","Entry No.",I1318,"Location Code",$L$7)</t>
  </si>
  <si>
    <t>=NL("Sum","Item Ledger Entry","Quantity","Entry Type","Output","Entry No.",I1319,"Location Code",$L$7)</t>
  </si>
  <si>
    <t>=NL("Sum","Item Ledger Entry","Quantity","Entry Type","Output","Entry No.",I1320,"Location Code",$L$7)</t>
  </si>
  <si>
    <t>=NF(G1294,"Source Type")</t>
  </si>
  <si>
    <t>=NF(G1295,"Source Type")</t>
  </si>
  <si>
    <t>=NF(G1296,"Source Type")</t>
  </si>
  <si>
    <t>=NF(G1297,"Source Type")</t>
  </si>
  <si>
    <t>=NF(G1298,"Source Type")</t>
  </si>
  <si>
    <t>=NF(G1299,"Source Type")</t>
  </si>
  <si>
    <t>=NF(G1300,"Source Type")</t>
  </si>
  <si>
    <t>=NF(G1301,"Source Type")</t>
  </si>
  <si>
    <t>=NF(G1302,"Source Type")</t>
  </si>
  <si>
    <t>=NF(G1303,"Source Type")</t>
  </si>
  <si>
    <t>=NF(G1304,"Source Type")</t>
  </si>
  <si>
    <t>=NF(G1305,"Source Type")</t>
  </si>
  <si>
    <t>=NF(G1306,"Source Type")</t>
  </si>
  <si>
    <t>=NF(G1307,"Source Type")</t>
  </si>
  <si>
    <t>=NF(G1308,"Source Type")</t>
  </si>
  <si>
    <t>=NF(G1309,"Source Type")</t>
  </si>
  <si>
    <t>=NF(G1310,"Source Type")</t>
  </si>
  <si>
    <t>=NF(G1311,"Source Type")</t>
  </si>
  <si>
    <t>=NF(G1312,"Source Type")</t>
  </si>
  <si>
    <t>=NF(G1313,"Source Type")</t>
  </si>
  <si>
    <t>=NF(G1314,"Source Type")</t>
  </si>
  <si>
    <t>=NF(G1315,"Source Type")</t>
  </si>
  <si>
    <t>=NF(G1316,"Source Type")</t>
  </si>
  <si>
    <t>=NF(G1317,"Source Type")</t>
  </si>
  <si>
    <t>=NF(G1318,"Source Type")</t>
  </si>
  <si>
    <t>=NF(G1319,"Source Type")</t>
  </si>
  <si>
    <t>=NF(G1320,"Source Type")</t>
  </si>
  <si>
    <t>=NF($G1294,"Source No.")</t>
  </si>
  <si>
    <t>=NF($G1295,"Source No.")</t>
  </si>
  <si>
    <t>=NF($G1296,"Source No.")</t>
  </si>
  <si>
    <t>=NF($G1297,"Source No.")</t>
  </si>
  <si>
    <t>=NF($G1298,"Source No.")</t>
  </si>
  <si>
    <t>=NF($G1299,"Source No.")</t>
  </si>
  <si>
    <t>=NF($G1300,"Source No.")</t>
  </si>
  <si>
    <t>=NF($G1301,"Source No.")</t>
  </si>
  <si>
    <t>=NF($G1302,"Source No.")</t>
  </si>
  <si>
    <t>=NF($G1303,"Source No.")</t>
  </si>
  <si>
    <t>=NF($G1304,"Source No.")</t>
  </si>
  <si>
    <t>=NF($G1305,"Source No.")</t>
  </si>
  <si>
    <t>=NF($G1306,"Source No.")</t>
  </si>
  <si>
    <t>=NF($G1307,"Source No.")</t>
  </si>
  <si>
    <t>=NF($G1308,"Source No.")</t>
  </si>
  <si>
    <t>=NF($G1309,"Source No.")</t>
  </si>
  <si>
    <t>=NF($G1310,"Source No.")</t>
  </si>
  <si>
    <t>=NF($G1311,"Source No.")</t>
  </si>
  <si>
    <t>=NF($G1312,"Source No.")</t>
  </si>
  <si>
    <t>=NF($G1313,"Source No.")</t>
  </si>
  <si>
    <t>=NF($G1314,"Source No.")</t>
  </si>
  <si>
    <t>=NF($G1315,"Source No.")</t>
  </si>
  <si>
    <t>=NF($G1316,"Source No.")</t>
  </si>
  <si>
    <t>=NF($G1317,"Source No.")</t>
  </si>
  <si>
    <t>=NF($G1318,"Source No.")</t>
  </si>
  <si>
    <t>=NF($G1319,"Source No.")</t>
  </si>
  <si>
    <t>=NF($G1320,"Source No.")</t>
  </si>
  <si>
    <t>=NF($G1267,"Posting Date")</t>
  </si>
  <si>
    <t>=NF($G1268,"Posting Date")</t>
  </si>
  <si>
    <t>=NF($G1269,"Posting Date")</t>
  </si>
  <si>
    <t>=NF($G1270,"Posting Date")</t>
  </si>
  <si>
    <t>=NF($G1271,"Posting Date")</t>
  </si>
  <si>
    <t>=NF($G1272,"Posting Date")</t>
  </si>
  <si>
    <t>=NF($G1273,"Posting Date")</t>
  </si>
  <si>
    <t>=NF($G1274,"Posting Date")</t>
  </si>
  <si>
    <t>=NF($G1275,"Posting Date")</t>
  </si>
  <si>
    <t>=NF($G1276,"Posting Date")</t>
  </si>
  <si>
    <t>=NF($G1277,"Posting Date")</t>
  </si>
  <si>
    <t>=NF($G1278,"Posting Date")</t>
  </si>
  <si>
    <t>=NF($G1279,"Posting Date")</t>
  </si>
  <si>
    <t>=NF($G1280,"Posting Date")</t>
  </si>
  <si>
    <t>=NF($G1281,"Posting Date")</t>
  </si>
  <si>
    <t>=NF($G1282,"Posting Date")</t>
  </si>
  <si>
    <t>=NF($G1283,"Posting Date")</t>
  </si>
  <si>
    <t>=NF($G1284,"Posting Date")</t>
  </si>
  <si>
    <t>=NF($G1285,"Posting Date")</t>
  </si>
  <si>
    <t>=NF($G1286,"Posting Date")</t>
  </si>
  <si>
    <t>=NF($G1287,"Posting Date")</t>
  </si>
  <si>
    <t>=NF($G1288,"Posting Date")</t>
  </si>
  <si>
    <t>=NF($G1289,"Posting Date")</t>
  </si>
  <si>
    <t>=NF($G1290,"Posting Date")</t>
  </si>
  <si>
    <t>=NF($G1267,"Entry No.")</t>
  </si>
  <si>
    <t>=NF($G1268,"Entry No.")</t>
  </si>
  <si>
    <t>=NF($G1269,"Entry No.")</t>
  </si>
  <si>
    <t>=NF($G1270,"Entry No.")</t>
  </si>
  <si>
    <t>=NF($G1271,"Entry No.")</t>
  </si>
  <si>
    <t>=NF($G1272,"Entry No.")</t>
  </si>
  <si>
    <t>=NF($G1273,"Entry No.")</t>
  </si>
  <si>
    <t>=NF($G1274,"Entry No.")</t>
  </si>
  <si>
    <t>=NF($G1275,"Entry No.")</t>
  </si>
  <si>
    <t>=NF($G1276,"Entry No.")</t>
  </si>
  <si>
    <t>=NF($G1277,"Entry No.")</t>
  </si>
  <si>
    <t>=NF($G1278,"Entry No.")</t>
  </si>
  <si>
    <t>=NF($G1279,"Entry No.")</t>
  </si>
  <si>
    <t>=NF($G1280,"Entry No.")</t>
  </si>
  <si>
    <t>=NF($G1281,"Entry No.")</t>
  </si>
  <si>
    <t>=NF($G1282,"Entry No.")</t>
  </si>
  <si>
    <t>=NF($G1283,"Entry No.")</t>
  </si>
  <si>
    <t>=NF($G1284,"Entry No.")</t>
  </si>
  <si>
    <t>=NF($G1285,"Entry No.")</t>
  </si>
  <si>
    <t>=NF($G1286,"Entry No.")</t>
  </si>
  <si>
    <t>=NF($G1287,"Entry No.")</t>
  </si>
  <si>
    <t>=NF($G1288,"Entry No.")</t>
  </si>
  <si>
    <t>=NF($G1289,"Entry No.")</t>
  </si>
  <si>
    <t>=NF($G1290,"Entry No.")</t>
  </si>
  <si>
    <t>=NL("Sum","Item Ledger Entry","Quantity","Entry Type","Purchase","Entry No.",I1267,"Location Code",$L$7)</t>
  </si>
  <si>
    <t>=NL("Sum","Item Ledger Entry","Quantity","Entry Type","Purchase","Entry No.",I1268,"Location Code",$L$7)</t>
  </si>
  <si>
    <t>=NL("Sum","Item Ledger Entry","Quantity","Entry Type","Purchase","Entry No.",I1269,"Location Code",$L$7)</t>
  </si>
  <si>
    <t>=NL("Sum","Item Ledger Entry","Quantity","Entry Type","Purchase","Entry No.",I1270,"Location Code",$L$7)</t>
  </si>
  <si>
    <t>=NL("Sum","Item Ledger Entry","Quantity","Entry Type","Purchase","Entry No.",I1271,"Location Code",$L$7)</t>
  </si>
  <si>
    <t>=NL("Sum","Item Ledger Entry","Quantity","Entry Type","Purchase","Entry No.",I1272,"Location Code",$L$7)</t>
  </si>
  <si>
    <t>=NL("Sum","Item Ledger Entry","Quantity","Entry Type","Purchase","Entry No.",I1273,"Location Code",$L$7)</t>
  </si>
  <si>
    <t>=NL("Sum","Item Ledger Entry","Quantity","Entry Type","Purchase","Entry No.",I1274,"Location Code",$L$7)</t>
  </si>
  <si>
    <t>=NL("Sum","Item Ledger Entry","Quantity","Entry Type","Purchase","Entry No.",I1275,"Location Code",$L$7)</t>
  </si>
  <si>
    <t>=NL("Sum","Item Ledger Entry","Quantity","Entry Type","Purchase","Entry No.",I1276,"Location Code",$L$7)</t>
  </si>
  <si>
    <t>=NL("Sum","Item Ledger Entry","Quantity","Entry Type","Purchase","Entry No.",I1277,"Location Code",$L$7)</t>
  </si>
  <si>
    <t>=NL("Sum","Item Ledger Entry","Quantity","Entry Type","Purchase","Entry No.",I1278,"Location Code",$L$7)</t>
  </si>
  <si>
    <t>=NL("Sum","Item Ledger Entry","Quantity","Entry Type","Purchase","Entry No.",I1279,"Location Code",$L$7)</t>
  </si>
  <si>
    <t>=NL("Sum","Item Ledger Entry","Quantity","Entry Type","Purchase","Entry No.",I1280,"Location Code",$L$7)</t>
  </si>
  <si>
    <t>=NL("Sum","Item Ledger Entry","Quantity","Entry Type","Purchase","Entry No.",I1281,"Location Code",$L$7)</t>
  </si>
  <si>
    <t>=NL("Sum","Item Ledger Entry","Quantity","Entry Type","Purchase","Entry No.",I1282,"Location Code",$L$7)</t>
  </si>
  <si>
    <t>=NL("Sum","Item Ledger Entry","Quantity","Entry Type","Purchase","Entry No.",I1283,"Location Code",$L$7)</t>
  </si>
  <si>
    <t>=NL("Sum","Item Ledger Entry","Quantity","Entry Type","Purchase","Entry No.",I1284,"Location Code",$L$7)</t>
  </si>
  <si>
    <t>=NL("Sum","Item Ledger Entry","Quantity","Entry Type","Purchase","Entry No.",I1285,"Location Code",$L$7)</t>
  </si>
  <si>
    <t>=NL("Sum","Item Ledger Entry","Quantity","Entry Type","Purchase","Entry No.",I1286,"Location Code",$L$7)</t>
  </si>
  <si>
    <t>=NL("Sum","Item Ledger Entry","Quantity","Entry Type","Purchase","Entry No.",I1287,"Location Code",$L$7)</t>
  </si>
  <si>
    <t>=NL("Sum","Item Ledger Entry","Quantity","Entry Type","Purchase","Entry No.",I1288,"Location Code",$L$7)</t>
  </si>
  <si>
    <t>=NL("Sum","Item Ledger Entry","Quantity","Entry Type","Purchase","Entry No.",I1289,"Location Code",$L$7)</t>
  </si>
  <si>
    <t>=NL("Sum","Item Ledger Entry","Quantity","Entry Type","Purchase","Entry No.",I1290,"Location Code",$L$7)</t>
  </si>
  <si>
    <t>=NL("Sum","Item Ledger Entry","Quantity","Entry Type","Sale","Entry No.",I1267,"Location Code",$L$7)</t>
  </si>
  <si>
    <t>=NL("Sum","Item Ledger Entry","Quantity","Entry Type","Sale","Entry No.",I1268,"Location Code",$L$7)</t>
  </si>
  <si>
    <t>=NL("Sum","Item Ledger Entry","Quantity","Entry Type","Sale","Entry No.",I1269,"Location Code",$L$7)</t>
  </si>
  <si>
    <t>=NL("Sum","Item Ledger Entry","Quantity","Entry Type","Sale","Entry No.",I1270,"Location Code",$L$7)</t>
  </si>
  <si>
    <t>=NL("Sum","Item Ledger Entry","Quantity","Entry Type","Sale","Entry No.",I1271,"Location Code",$L$7)</t>
  </si>
  <si>
    <t>=NL("Sum","Item Ledger Entry","Quantity","Entry Type","Sale","Entry No.",I1272,"Location Code",$L$7)</t>
  </si>
  <si>
    <t>=NL("Sum","Item Ledger Entry","Quantity","Entry Type","Sale","Entry No.",I1273,"Location Code",$L$7)</t>
  </si>
  <si>
    <t>=NL("Sum","Item Ledger Entry","Quantity","Entry Type","Sale","Entry No.",I1274,"Location Code",$L$7)</t>
  </si>
  <si>
    <t>=NL("Sum","Item Ledger Entry","Quantity","Entry Type","Sale","Entry No.",I1275,"Location Code",$L$7)</t>
  </si>
  <si>
    <t>=NL("Sum","Item Ledger Entry","Quantity","Entry Type","Sale","Entry No.",I1276,"Location Code",$L$7)</t>
  </si>
  <si>
    <t>=NL("Sum","Item Ledger Entry","Quantity","Entry Type","Sale","Entry No.",I1277,"Location Code",$L$7)</t>
  </si>
  <si>
    <t>=NL("Sum","Item Ledger Entry","Quantity","Entry Type","Sale","Entry No.",I1278,"Location Code",$L$7)</t>
  </si>
  <si>
    <t>=NL("Sum","Item Ledger Entry","Quantity","Entry Type","Sale","Entry No.",I1279,"Location Code",$L$7)</t>
  </si>
  <si>
    <t>=NL("Sum","Item Ledger Entry","Quantity","Entry Type","Sale","Entry No.",I1280,"Location Code",$L$7)</t>
  </si>
  <si>
    <t>=NL("Sum","Item Ledger Entry","Quantity","Entry Type","Sale","Entry No.",I1281,"Location Code",$L$7)</t>
  </si>
  <si>
    <t>=NL("Sum","Item Ledger Entry","Quantity","Entry Type","Sale","Entry No.",I1282,"Location Code",$L$7)</t>
  </si>
  <si>
    <t>=NL("Sum","Item Ledger Entry","Quantity","Entry Type","Sale","Entry No.",I1283,"Location Code",$L$7)</t>
  </si>
  <si>
    <t>=NL("Sum","Item Ledger Entry","Quantity","Entry Type","Sale","Entry No.",I1284,"Location Code",$L$7)</t>
  </si>
  <si>
    <t>=NL("Sum","Item Ledger Entry","Quantity","Entry Type","Sale","Entry No.",I1285,"Location Code",$L$7)</t>
  </si>
  <si>
    <t>=NL("Sum","Item Ledger Entry","Quantity","Entry Type","Sale","Entry No.",I1286,"Location Code",$L$7)</t>
  </si>
  <si>
    <t>=NL("Sum","Item Ledger Entry","Quantity","Entry Type","Sale","Entry No.",I1287,"Location Code",$L$7)</t>
  </si>
  <si>
    <t>=NL("Sum","Item Ledger Entry","Quantity","Entry Type","Sale","Entry No.",I1288,"Location Code",$L$7)</t>
  </si>
  <si>
    <t>=NL("Sum","Item Ledger Entry","Quantity","Entry Type","Sale","Entry No.",I1289,"Location Code",$L$7)</t>
  </si>
  <si>
    <t>=NL("Sum","Item Ledger Entry","Quantity","Entry Type","Sale","Entry No.",I1290,"Location Code",$L$7)</t>
  </si>
  <si>
    <t>=NL("Sum","Item Ledger Entry","Quantity","Entry Type","Positive Adjmt.|Negative Adjmt.","Entry No.",I1267,"Location Code",$L$7)</t>
  </si>
  <si>
    <t>=NL("Sum","Item Ledger Entry","Quantity","Entry Type","Positive Adjmt.|Negative Adjmt.","Entry No.",I1268,"Location Code",$L$7)</t>
  </si>
  <si>
    <t>=NL("Sum","Item Ledger Entry","Quantity","Entry Type","Positive Adjmt.|Negative Adjmt.","Entry No.",I1269,"Location Code",$L$7)</t>
  </si>
  <si>
    <t>=NL("Sum","Item Ledger Entry","Quantity","Entry Type","Positive Adjmt.|Negative Adjmt.","Entry No.",I1270,"Location Code",$L$7)</t>
  </si>
  <si>
    <t>=NL("Sum","Item Ledger Entry","Quantity","Entry Type","Positive Adjmt.|Negative Adjmt.","Entry No.",I1271,"Location Code",$L$7)</t>
  </si>
  <si>
    <t>=NL("Sum","Item Ledger Entry","Quantity","Entry Type","Positive Adjmt.|Negative Adjmt.","Entry No.",I1272,"Location Code",$L$7)</t>
  </si>
  <si>
    <t>=NL("Sum","Item Ledger Entry","Quantity","Entry Type","Positive Adjmt.|Negative Adjmt.","Entry No.",I1273,"Location Code",$L$7)</t>
  </si>
  <si>
    <t>=NL("Sum","Item Ledger Entry","Quantity","Entry Type","Positive Adjmt.|Negative Adjmt.","Entry No.",I1274,"Location Code",$L$7)</t>
  </si>
  <si>
    <t>=NL("Sum","Item Ledger Entry","Quantity","Entry Type","Positive Adjmt.|Negative Adjmt.","Entry No.",I1275,"Location Code",$L$7)</t>
  </si>
  <si>
    <t>=NL("Sum","Item Ledger Entry","Quantity","Entry Type","Positive Adjmt.|Negative Adjmt.","Entry No.",I1276,"Location Code",$L$7)</t>
  </si>
  <si>
    <t>=NL("Sum","Item Ledger Entry","Quantity","Entry Type","Positive Adjmt.|Negative Adjmt.","Entry No.",I1277,"Location Code",$L$7)</t>
  </si>
  <si>
    <t>=NL("Sum","Item Ledger Entry","Quantity","Entry Type","Positive Adjmt.|Negative Adjmt.","Entry No.",I1278,"Location Code",$L$7)</t>
  </si>
  <si>
    <t>=NL("Sum","Item Ledger Entry","Quantity","Entry Type","Positive Adjmt.|Negative Adjmt.","Entry No.",I1279,"Location Code",$L$7)</t>
  </si>
  <si>
    <t>=NL("Sum","Item Ledger Entry","Quantity","Entry Type","Positive Adjmt.|Negative Adjmt.","Entry No.",I1280,"Location Code",$L$7)</t>
  </si>
  <si>
    <t>=NL("Sum","Item Ledger Entry","Quantity","Entry Type","Positive Adjmt.|Negative Adjmt.","Entry No.",I1281,"Location Code",$L$7)</t>
  </si>
  <si>
    <t>=NL("Sum","Item Ledger Entry","Quantity","Entry Type","Positive Adjmt.|Negative Adjmt.","Entry No.",I1282,"Location Code",$L$7)</t>
  </si>
  <si>
    <t>=NL("Sum","Item Ledger Entry","Quantity","Entry Type","Positive Adjmt.|Negative Adjmt.","Entry No.",I1283,"Location Code",$L$7)</t>
  </si>
  <si>
    <t>=NL("Sum","Item Ledger Entry","Quantity","Entry Type","Positive Adjmt.|Negative Adjmt.","Entry No.",I1284,"Location Code",$L$7)</t>
  </si>
  <si>
    <t>=NL("Sum","Item Ledger Entry","Quantity","Entry Type","Positive Adjmt.|Negative Adjmt.","Entry No.",I1285,"Location Code",$L$7)</t>
  </si>
  <si>
    <t>=NL("Sum","Item Ledger Entry","Quantity","Entry Type","Positive Adjmt.|Negative Adjmt.","Entry No.",I1286,"Location Code",$L$7)</t>
  </si>
  <si>
    <t>=NL("Sum","Item Ledger Entry","Quantity","Entry Type","Positive Adjmt.|Negative Adjmt.","Entry No.",I1287,"Location Code",$L$7)</t>
  </si>
  <si>
    <t>=NL("Sum","Item Ledger Entry","Quantity","Entry Type","Positive Adjmt.|Negative Adjmt.","Entry No.",I1288,"Location Code",$L$7)</t>
  </si>
  <si>
    <t>=NL("Sum","Item Ledger Entry","Quantity","Entry Type","Positive Adjmt.|Negative Adjmt.","Entry No.",I1289,"Location Code",$L$7)</t>
  </si>
  <si>
    <t>=NL("Sum","Item Ledger Entry","Quantity","Entry Type","Positive Adjmt.|Negative Adjmt.","Entry No.",I1290,"Location Code",$L$7)</t>
  </si>
  <si>
    <t>=NL("Sum","Item Ledger Entry","Quantity","Entry Type","Transfer","Entry No.",I1267,"Location Code",$L$7)</t>
  </si>
  <si>
    <t>=NL("Sum","Item Ledger Entry","Quantity","Entry Type","Transfer","Entry No.",I1268,"Location Code",$L$7)</t>
  </si>
  <si>
    <t>=NL("Sum","Item Ledger Entry","Quantity","Entry Type","Transfer","Entry No.",I1269,"Location Code",$L$7)</t>
  </si>
  <si>
    <t>=NL("Sum","Item Ledger Entry","Quantity","Entry Type","Transfer","Entry No.",I1270,"Location Code",$L$7)</t>
  </si>
  <si>
    <t>=NL("Sum","Item Ledger Entry","Quantity","Entry Type","Transfer","Entry No.",I1271,"Location Code",$L$7)</t>
  </si>
  <si>
    <t>=NL("Sum","Item Ledger Entry","Quantity","Entry Type","Transfer","Entry No.",I1272,"Location Code",$L$7)</t>
  </si>
  <si>
    <t>=NL("Sum","Item Ledger Entry","Quantity","Entry Type","Transfer","Entry No.",I1273,"Location Code",$L$7)</t>
  </si>
  <si>
    <t>=NL("Sum","Item Ledger Entry","Quantity","Entry Type","Transfer","Entry No.",I1274,"Location Code",$L$7)</t>
  </si>
  <si>
    <t>=NL("Sum","Item Ledger Entry","Quantity","Entry Type","Transfer","Entry No.",I1275,"Location Code",$L$7)</t>
  </si>
  <si>
    <t>=NL("Sum","Item Ledger Entry","Quantity","Entry Type","Transfer","Entry No.",I1276,"Location Code",$L$7)</t>
  </si>
  <si>
    <t>=NL("Sum","Item Ledger Entry","Quantity","Entry Type","Transfer","Entry No.",I1277,"Location Code",$L$7)</t>
  </si>
  <si>
    <t>=NL("Sum","Item Ledger Entry","Quantity","Entry Type","Transfer","Entry No.",I1278,"Location Code",$L$7)</t>
  </si>
  <si>
    <t>=NL("Sum","Item Ledger Entry","Quantity","Entry Type","Transfer","Entry No.",I1279,"Location Code",$L$7)</t>
  </si>
  <si>
    <t>=NL("Sum","Item Ledger Entry","Quantity","Entry Type","Transfer","Entry No.",I1280,"Location Code",$L$7)</t>
  </si>
  <si>
    <t>=NL("Sum","Item Ledger Entry","Quantity","Entry Type","Transfer","Entry No.",I1281,"Location Code",$L$7)</t>
  </si>
  <si>
    <t>=NL("Sum","Item Ledger Entry","Quantity","Entry Type","Transfer","Entry No.",I1282,"Location Code",$L$7)</t>
  </si>
  <si>
    <t>=NL("Sum","Item Ledger Entry","Quantity","Entry Type","Transfer","Entry No.",I1283,"Location Code",$L$7)</t>
  </si>
  <si>
    <t>=NL("Sum","Item Ledger Entry","Quantity","Entry Type","Transfer","Entry No.",I1284,"Location Code",$L$7)</t>
  </si>
  <si>
    <t>=NL("Sum","Item Ledger Entry","Quantity","Entry Type","Transfer","Entry No.",I1285,"Location Code",$L$7)</t>
  </si>
  <si>
    <t>=NL("Sum","Item Ledger Entry","Quantity","Entry Type","Transfer","Entry No.",I1286,"Location Code",$L$7)</t>
  </si>
  <si>
    <t>=NL("Sum","Item Ledger Entry","Quantity","Entry Type","Transfer","Entry No.",I1287,"Location Code",$L$7)</t>
  </si>
  <si>
    <t>=NL("Sum","Item Ledger Entry","Quantity","Entry Type","Transfer","Entry No.",I1288,"Location Code",$L$7)</t>
  </si>
  <si>
    <t>=NL("Sum","Item Ledger Entry","Quantity","Entry Type","Transfer","Entry No.",I1289,"Location Code",$L$7)</t>
  </si>
  <si>
    <t>=NL("Sum","Item Ledger Entry","Quantity","Entry Type","Transfer","Entry No.",I1290,"Location Code",$L$7)</t>
  </si>
  <si>
    <t>=NL("Sum","Item Ledger Entry","Quantity","Entry Type","Consumption","Entry No.",I1267,"Location Code",$L$7)</t>
  </si>
  <si>
    <t>=NL("Sum","Item Ledger Entry","Quantity","Entry Type","Consumption","Entry No.",I1268,"Location Code",$L$7)</t>
  </si>
  <si>
    <t>=NL("Sum","Item Ledger Entry","Quantity","Entry Type","Consumption","Entry No.",I1269,"Location Code",$L$7)</t>
  </si>
  <si>
    <t>=NL("Sum","Item Ledger Entry","Quantity","Entry Type","Consumption","Entry No.",I1270,"Location Code",$L$7)</t>
  </si>
  <si>
    <t>=NL("Sum","Item Ledger Entry","Quantity","Entry Type","Consumption","Entry No.",I1271,"Location Code",$L$7)</t>
  </si>
  <si>
    <t>=NL("Sum","Item Ledger Entry","Quantity","Entry Type","Consumption","Entry No.",I1272,"Location Code",$L$7)</t>
  </si>
  <si>
    <t>=NL("Sum","Item Ledger Entry","Quantity","Entry Type","Consumption","Entry No.",I1273,"Location Code",$L$7)</t>
  </si>
  <si>
    <t>=NL("Sum","Item Ledger Entry","Quantity","Entry Type","Consumption","Entry No.",I1274,"Location Code",$L$7)</t>
  </si>
  <si>
    <t>=NL("Sum","Item Ledger Entry","Quantity","Entry Type","Consumption","Entry No.",I1275,"Location Code",$L$7)</t>
  </si>
  <si>
    <t>=NL("Sum","Item Ledger Entry","Quantity","Entry Type","Consumption","Entry No.",I1276,"Location Code",$L$7)</t>
  </si>
  <si>
    <t>=NL("Sum","Item Ledger Entry","Quantity","Entry Type","Consumption","Entry No.",I1277,"Location Code",$L$7)</t>
  </si>
  <si>
    <t>=NL("Sum","Item Ledger Entry","Quantity","Entry Type","Consumption","Entry No.",I1278,"Location Code",$L$7)</t>
  </si>
  <si>
    <t>=NL("Sum","Item Ledger Entry","Quantity","Entry Type","Consumption","Entry No.",I1279,"Location Code",$L$7)</t>
  </si>
  <si>
    <t>=NL("Sum","Item Ledger Entry","Quantity","Entry Type","Consumption","Entry No.",I1280,"Location Code",$L$7)</t>
  </si>
  <si>
    <t>=NL("Sum","Item Ledger Entry","Quantity","Entry Type","Consumption","Entry No.",I1281,"Location Code",$L$7)</t>
  </si>
  <si>
    <t>=NL("Sum","Item Ledger Entry","Quantity","Entry Type","Consumption","Entry No.",I1282,"Location Code",$L$7)</t>
  </si>
  <si>
    <t>=NL("Sum","Item Ledger Entry","Quantity","Entry Type","Consumption","Entry No.",I1283,"Location Code",$L$7)</t>
  </si>
  <si>
    <t>=NL("Sum","Item Ledger Entry","Quantity","Entry Type","Consumption","Entry No.",I1284,"Location Code",$L$7)</t>
  </si>
  <si>
    <t>=NL("Sum","Item Ledger Entry","Quantity","Entry Type","Consumption","Entry No.",I1285,"Location Code",$L$7)</t>
  </si>
  <si>
    <t>=NL("Sum","Item Ledger Entry","Quantity","Entry Type","Consumption","Entry No.",I1286,"Location Code",$L$7)</t>
  </si>
  <si>
    <t>=NL("Sum","Item Ledger Entry","Quantity","Entry Type","Consumption","Entry No.",I1287,"Location Code",$L$7)</t>
  </si>
  <si>
    <t>=NL("Sum","Item Ledger Entry","Quantity","Entry Type","Consumption","Entry No.",I1288,"Location Code",$L$7)</t>
  </si>
  <si>
    <t>=NL("Sum","Item Ledger Entry","Quantity","Entry Type","Consumption","Entry No.",I1289,"Location Code",$L$7)</t>
  </si>
  <si>
    <t>=NL("Sum","Item Ledger Entry","Quantity","Entry Type","Consumption","Entry No.",I1290,"Location Code",$L$7)</t>
  </si>
  <si>
    <t>=NL("Sum","Item Ledger Entry","Quantity","Entry Type","Output","Entry No.",I1267,"Location Code",$L$7)</t>
  </si>
  <si>
    <t>=NL("Sum","Item Ledger Entry","Quantity","Entry Type","Output","Entry No.",I1268,"Location Code",$L$7)</t>
  </si>
  <si>
    <t>=NL("Sum","Item Ledger Entry","Quantity","Entry Type","Output","Entry No.",I1269,"Location Code",$L$7)</t>
  </si>
  <si>
    <t>=NL("Sum","Item Ledger Entry","Quantity","Entry Type","Output","Entry No.",I1270,"Location Code",$L$7)</t>
  </si>
  <si>
    <t>=NL("Sum","Item Ledger Entry","Quantity","Entry Type","Output","Entry No.",I1271,"Location Code",$L$7)</t>
  </si>
  <si>
    <t>=NL("Sum","Item Ledger Entry","Quantity","Entry Type","Output","Entry No.",I1272,"Location Code",$L$7)</t>
  </si>
  <si>
    <t>=NL("Sum","Item Ledger Entry","Quantity","Entry Type","Output","Entry No.",I1273,"Location Code",$L$7)</t>
  </si>
  <si>
    <t>=NL("Sum","Item Ledger Entry","Quantity","Entry Type","Output","Entry No.",I1274,"Location Code",$L$7)</t>
  </si>
  <si>
    <t>=NL("Sum","Item Ledger Entry","Quantity","Entry Type","Output","Entry No.",I1275,"Location Code",$L$7)</t>
  </si>
  <si>
    <t>=NL("Sum","Item Ledger Entry","Quantity","Entry Type","Output","Entry No.",I1276,"Location Code",$L$7)</t>
  </si>
  <si>
    <t>=NL("Sum","Item Ledger Entry","Quantity","Entry Type","Output","Entry No.",I1277,"Location Code",$L$7)</t>
  </si>
  <si>
    <t>=NL("Sum","Item Ledger Entry","Quantity","Entry Type","Output","Entry No.",I1278,"Location Code",$L$7)</t>
  </si>
  <si>
    <t>=NL("Sum","Item Ledger Entry","Quantity","Entry Type","Output","Entry No.",I1279,"Location Code",$L$7)</t>
  </si>
  <si>
    <t>=NL("Sum","Item Ledger Entry","Quantity","Entry Type","Output","Entry No.",I1280,"Location Code",$L$7)</t>
  </si>
  <si>
    <t>=NL("Sum","Item Ledger Entry","Quantity","Entry Type","Output","Entry No.",I1281,"Location Code",$L$7)</t>
  </si>
  <si>
    <t>=NL("Sum","Item Ledger Entry","Quantity","Entry Type","Output","Entry No.",I1282,"Location Code",$L$7)</t>
  </si>
  <si>
    <t>=NL("Sum","Item Ledger Entry","Quantity","Entry Type","Output","Entry No.",I1283,"Location Code",$L$7)</t>
  </si>
  <si>
    <t>=NL("Sum","Item Ledger Entry","Quantity","Entry Type","Output","Entry No.",I1284,"Location Code",$L$7)</t>
  </si>
  <si>
    <t>=NL("Sum","Item Ledger Entry","Quantity","Entry Type","Output","Entry No.",I1285,"Location Code",$L$7)</t>
  </si>
  <si>
    <t>=NL("Sum","Item Ledger Entry","Quantity","Entry Type","Output","Entry No.",I1286,"Location Code",$L$7)</t>
  </si>
  <si>
    <t>=NL("Sum","Item Ledger Entry","Quantity","Entry Type","Output","Entry No.",I1287,"Location Code",$L$7)</t>
  </si>
  <si>
    <t>=NL("Sum","Item Ledger Entry","Quantity","Entry Type","Output","Entry No.",I1288,"Location Code",$L$7)</t>
  </si>
  <si>
    <t>=NL("Sum","Item Ledger Entry","Quantity","Entry Type","Output","Entry No.",I1289,"Location Code",$L$7)</t>
  </si>
  <si>
    <t>=NL("Sum","Item Ledger Entry","Quantity","Entry Type","Output","Entry No.",I1290,"Location Code",$L$7)</t>
  </si>
  <si>
    <t>=NF(G1267,"Source Type")</t>
  </si>
  <si>
    <t>=NF(G1268,"Source Type")</t>
  </si>
  <si>
    <t>=NF(G1269,"Source Type")</t>
  </si>
  <si>
    <t>=NF(G1270,"Source Type")</t>
  </si>
  <si>
    <t>=NF(G1271,"Source Type")</t>
  </si>
  <si>
    <t>=NF(G1272,"Source Type")</t>
  </si>
  <si>
    <t>=NF(G1273,"Source Type")</t>
  </si>
  <si>
    <t>=NF(G1274,"Source Type")</t>
  </si>
  <si>
    <t>=NF(G1275,"Source Type")</t>
  </si>
  <si>
    <t>=NF(G1276,"Source Type")</t>
  </si>
  <si>
    <t>=NF(G1277,"Source Type")</t>
  </si>
  <si>
    <t>=NF(G1278,"Source Type")</t>
  </si>
  <si>
    <t>=NF(G1279,"Source Type")</t>
  </si>
  <si>
    <t>=NF(G1280,"Source Type")</t>
  </si>
  <si>
    <t>=NF(G1281,"Source Type")</t>
  </si>
  <si>
    <t>=NF(G1282,"Source Type")</t>
  </si>
  <si>
    <t>=NF(G1283,"Source Type")</t>
  </si>
  <si>
    <t>=NF(G1284,"Source Type")</t>
  </si>
  <si>
    <t>=NF(G1285,"Source Type")</t>
  </si>
  <si>
    <t>=NF(G1286,"Source Type")</t>
  </si>
  <si>
    <t>=NF(G1287,"Source Type")</t>
  </si>
  <si>
    <t>=NF(G1288,"Source Type")</t>
  </si>
  <si>
    <t>=NF(G1289,"Source Type")</t>
  </si>
  <si>
    <t>=NF(G1290,"Source Type")</t>
  </si>
  <si>
    <t>=NF($G1267,"Source No.")</t>
  </si>
  <si>
    <t>=NF($G1268,"Source No.")</t>
  </si>
  <si>
    <t>=NF($G1269,"Source No.")</t>
  </si>
  <si>
    <t>=NF($G1270,"Source No.")</t>
  </si>
  <si>
    <t>=NF($G1271,"Source No.")</t>
  </si>
  <si>
    <t>=NF($G1272,"Source No.")</t>
  </si>
  <si>
    <t>=NF($G1273,"Source No.")</t>
  </si>
  <si>
    <t>=NF($G1274,"Source No.")</t>
  </si>
  <si>
    <t>=NF($G1275,"Source No.")</t>
  </si>
  <si>
    <t>=NF($G1276,"Source No.")</t>
  </si>
  <si>
    <t>=NF($G1277,"Source No.")</t>
  </si>
  <si>
    <t>=NF($G1278,"Source No.")</t>
  </si>
  <si>
    <t>=NF($G1279,"Source No.")</t>
  </si>
  <si>
    <t>=NF($G1280,"Source No.")</t>
  </si>
  <si>
    <t>=NF($G1281,"Source No.")</t>
  </si>
  <si>
    <t>=NF($G1282,"Source No.")</t>
  </si>
  <si>
    <t>=NF($G1283,"Source No.")</t>
  </si>
  <si>
    <t>=NF($G1284,"Source No.")</t>
  </si>
  <si>
    <t>=NF($G1285,"Source No.")</t>
  </si>
  <si>
    <t>=NF($G1286,"Source No.")</t>
  </si>
  <si>
    <t>=NF($G1287,"Source No.")</t>
  </si>
  <si>
    <t>=NF($G1288,"Source No.")</t>
  </si>
  <si>
    <t>=NF($G1289,"Source No.")</t>
  </si>
  <si>
    <t>=NF($G1290,"Source No.")</t>
  </si>
  <si>
    <t>=NF($G1254,"Posting Date")</t>
  </si>
  <si>
    <t>=NF($G1255,"Posting Date")</t>
  </si>
  <si>
    <t>=NF($G1256,"Posting Date")</t>
  </si>
  <si>
    <t>=NF($G1257,"Posting Date")</t>
  </si>
  <si>
    <t>=NF($G1258,"Posting Date")</t>
  </si>
  <si>
    <t>=NF($G1259,"Posting Date")</t>
  </si>
  <si>
    <t>=NF($G1260,"Posting Date")</t>
  </si>
  <si>
    <t>=NF($G1261,"Posting Date")</t>
  </si>
  <si>
    <t>=NF($G1262,"Posting Date")</t>
  </si>
  <si>
    <t>=NF($G1263,"Posting Date")</t>
  </si>
  <si>
    <t>=NF($G1254,"Entry No.")</t>
  </si>
  <si>
    <t>=NF($G1255,"Entry No.")</t>
  </si>
  <si>
    <t>=NF($G1256,"Entry No.")</t>
  </si>
  <si>
    <t>=NF($G1257,"Entry No.")</t>
  </si>
  <si>
    <t>=NF($G1258,"Entry No.")</t>
  </si>
  <si>
    <t>=NF($G1259,"Entry No.")</t>
  </si>
  <si>
    <t>=NF($G1260,"Entry No.")</t>
  </si>
  <si>
    <t>=NF($G1261,"Entry No.")</t>
  </si>
  <si>
    <t>=NF($G1262,"Entry No.")</t>
  </si>
  <si>
    <t>=NF($G1263,"Entry No.")</t>
  </si>
  <si>
    <t>=NL("Sum","Item Ledger Entry","Quantity","Entry Type","Purchase","Entry No.",I1254,"Location Code",$L$7)</t>
  </si>
  <si>
    <t>=NL("Sum","Item Ledger Entry","Quantity","Entry Type","Purchase","Entry No.",I1255,"Location Code",$L$7)</t>
  </si>
  <si>
    <t>=NL("Sum","Item Ledger Entry","Quantity","Entry Type","Purchase","Entry No.",I1256,"Location Code",$L$7)</t>
  </si>
  <si>
    <t>=NL("Sum","Item Ledger Entry","Quantity","Entry Type","Purchase","Entry No.",I1257,"Location Code",$L$7)</t>
  </si>
  <si>
    <t>=NL("Sum","Item Ledger Entry","Quantity","Entry Type","Purchase","Entry No.",I1258,"Location Code",$L$7)</t>
  </si>
  <si>
    <t>=NL("Sum","Item Ledger Entry","Quantity","Entry Type","Purchase","Entry No.",I1259,"Location Code",$L$7)</t>
  </si>
  <si>
    <t>=NL("Sum","Item Ledger Entry","Quantity","Entry Type","Purchase","Entry No.",I1260,"Location Code",$L$7)</t>
  </si>
  <si>
    <t>=NL("Sum","Item Ledger Entry","Quantity","Entry Type","Purchase","Entry No.",I1261,"Location Code",$L$7)</t>
  </si>
  <si>
    <t>=NL("Sum","Item Ledger Entry","Quantity","Entry Type","Purchase","Entry No.",I1262,"Location Code",$L$7)</t>
  </si>
  <si>
    <t>=NL("Sum","Item Ledger Entry","Quantity","Entry Type","Purchase","Entry No.",I1263,"Location Code",$L$7)</t>
  </si>
  <si>
    <t>=NL("Sum","Item Ledger Entry","Quantity","Entry Type","Sale","Entry No.",I1254,"Location Code",$L$7)</t>
  </si>
  <si>
    <t>=NL("Sum","Item Ledger Entry","Quantity","Entry Type","Sale","Entry No.",I1255,"Location Code",$L$7)</t>
  </si>
  <si>
    <t>=NL("Sum","Item Ledger Entry","Quantity","Entry Type","Sale","Entry No.",I1256,"Location Code",$L$7)</t>
  </si>
  <si>
    <t>=NL("Sum","Item Ledger Entry","Quantity","Entry Type","Sale","Entry No.",I1257,"Location Code",$L$7)</t>
  </si>
  <si>
    <t>=NL("Sum","Item Ledger Entry","Quantity","Entry Type","Sale","Entry No.",I1258,"Location Code",$L$7)</t>
  </si>
  <si>
    <t>=NL("Sum","Item Ledger Entry","Quantity","Entry Type","Sale","Entry No.",I1259,"Location Code",$L$7)</t>
  </si>
  <si>
    <t>=NL("Sum","Item Ledger Entry","Quantity","Entry Type","Sale","Entry No.",I1260,"Location Code",$L$7)</t>
  </si>
  <si>
    <t>=NL("Sum","Item Ledger Entry","Quantity","Entry Type","Sale","Entry No.",I1261,"Location Code",$L$7)</t>
  </si>
  <si>
    <t>=NL("Sum","Item Ledger Entry","Quantity","Entry Type","Sale","Entry No.",I1262,"Location Code",$L$7)</t>
  </si>
  <si>
    <t>=NL("Sum","Item Ledger Entry","Quantity","Entry Type","Sale","Entry No.",I1263,"Location Code",$L$7)</t>
  </si>
  <si>
    <t>=NL("Sum","Item Ledger Entry","Quantity","Entry Type","Positive Adjmt.|Negative Adjmt.","Entry No.",I1254,"Location Code",$L$7)</t>
  </si>
  <si>
    <t>=NL("Sum","Item Ledger Entry","Quantity","Entry Type","Positive Adjmt.|Negative Adjmt.","Entry No.",I1255,"Location Code",$L$7)</t>
  </si>
  <si>
    <t>=NL("Sum","Item Ledger Entry","Quantity","Entry Type","Positive Adjmt.|Negative Adjmt.","Entry No.",I1256,"Location Code",$L$7)</t>
  </si>
  <si>
    <t>=NL("Sum","Item Ledger Entry","Quantity","Entry Type","Positive Adjmt.|Negative Adjmt.","Entry No.",I1257,"Location Code",$L$7)</t>
  </si>
  <si>
    <t>=NL("Sum","Item Ledger Entry","Quantity","Entry Type","Positive Adjmt.|Negative Adjmt.","Entry No.",I1258,"Location Code",$L$7)</t>
  </si>
  <si>
    <t>=NL("Sum","Item Ledger Entry","Quantity","Entry Type","Positive Adjmt.|Negative Adjmt.","Entry No.",I1259,"Location Code",$L$7)</t>
  </si>
  <si>
    <t>=NL("Sum","Item Ledger Entry","Quantity","Entry Type","Positive Adjmt.|Negative Adjmt.","Entry No.",I1260,"Location Code",$L$7)</t>
  </si>
  <si>
    <t>=NL("Sum","Item Ledger Entry","Quantity","Entry Type","Positive Adjmt.|Negative Adjmt.","Entry No.",I1261,"Location Code",$L$7)</t>
  </si>
  <si>
    <t>=NL("Sum","Item Ledger Entry","Quantity","Entry Type","Positive Adjmt.|Negative Adjmt.","Entry No.",I1262,"Location Code",$L$7)</t>
  </si>
  <si>
    <t>=NL("Sum","Item Ledger Entry","Quantity","Entry Type","Positive Adjmt.|Negative Adjmt.","Entry No.",I1263,"Location Code",$L$7)</t>
  </si>
  <si>
    <t>=NL("Sum","Item Ledger Entry","Quantity","Entry Type","Transfer","Entry No.",I1254,"Location Code",$L$7)</t>
  </si>
  <si>
    <t>=NL("Sum","Item Ledger Entry","Quantity","Entry Type","Transfer","Entry No.",I1255,"Location Code",$L$7)</t>
  </si>
  <si>
    <t>=NL("Sum","Item Ledger Entry","Quantity","Entry Type","Transfer","Entry No.",I1256,"Location Code",$L$7)</t>
  </si>
  <si>
    <t>=NL("Sum","Item Ledger Entry","Quantity","Entry Type","Transfer","Entry No.",I1257,"Location Code",$L$7)</t>
  </si>
  <si>
    <t>=NL("Sum","Item Ledger Entry","Quantity","Entry Type","Transfer","Entry No.",I1258,"Location Code",$L$7)</t>
  </si>
  <si>
    <t>=NL("Sum","Item Ledger Entry","Quantity","Entry Type","Transfer","Entry No.",I1259,"Location Code",$L$7)</t>
  </si>
  <si>
    <t>=NL("Sum","Item Ledger Entry","Quantity","Entry Type","Transfer","Entry No.",I1260,"Location Code",$L$7)</t>
  </si>
  <si>
    <t>=NL("Sum","Item Ledger Entry","Quantity","Entry Type","Transfer","Entry No.",I1261,"Location Code",$L$7)</t>
  </si>
  <si>
    <t>=NL("Sum","Item Ledger Entry","Quantity","Entry Type","Transfer","Entry No.",I1262,"Location Code",$L$7)</t>
  </si>
  <si>
    <t>=NL("Sum","Item Ledger Entry","Quantity","Entry Type","Transfer","Entry No.",I1263,"Location Code",$L$7)</t>
  </si>
  <si>
    <t>=NL("Sum","Item Ledger Entry","Quantity","Entry Type","Consumption","Entry No.",I1254,"Location Code",$L$7)</t>
  </si>
  <si>
    <t>=NL("Sum","Item Ledger Entry","Quantity","Entry Type","Consumption","Entry No.",I1255,"Location Code",$L$7)</t>
  </si>
  <si>
    <t>=NL("Sum","Item Ledger Entry","Quantity","Entry Type","Consumption","Entry No.",I1256,"Location Code",$L$7)</t>
  </si>
  <si>
    <t>=NL("Sum","Item Ledger Entry","Quantity","Entry Type","Consumption","Entry No.",I1257,"Location Code",$L$7)</t>
  </si>
  <si>
    <t>=NL("Sum","Item Ledger Entry","Quantity","Entry Type","Consumption","Entry No.",I1258,"Location Code",$L$7)</t>
  </si>
  <si>
    <t>=NL("Sum","Item Ledger Entry","Quantity","Entry Type","Consumption","Entry No.",I1259,"Location Code",$L$7)</t>
  </si>
  <si>
    <t>=NL("Sum","Item Ledger Entry","Quantity","Entry Type","Consumption","Entry No.",I1260,"Location Code",$L$7)</t>
  </si>
  <si>
    <t>=NL("Sum","Item Ledger Entry","Quantity","Entry Type","Consumption","Entry No.",I1261,"Location Code",$L$7)</t>
  </si>
  <si>
    <t>=NL("Sum","Item Ledger Entry","Quantity","Entry Type","Consumption","Entry No.",I1262,"Location Code",$L$7)</t>
  </si>
  <si>
    <t>=NL("Sum","Item Ledger Entry","Quantity","Entry Type","Consumption","Entry No.",I1263,"Location Code",$L$7)</t>
  </si>
  <si>
    <t>=NL("Sum","Item Ledger Entry","Quantity","Entry Type","Output","Entry No.",I1254,"Location Code",$L$7)</t>
  </si>
  <si>
    <t>=NL("Sum","Item Ledger Entry","Quantity","Entry Type","Output","Entry No.",I1255,"Location Code",$L$7)</t>
  </si>
  <si>
    <t>=NL("Sum","Item Ledger Entry","Quantity","Entry Type","Output","Entry No.",I1256,"Location Code",$L$7)</t>
  </si>
  <si>
    <t>=NL("Sum","Item Ledger Entry","Quantity","Entry Type","Output","Entry No.",I1257,"Location Code",$L$7)</t>
  </si>
  <si>
    <t>=NL("Sum","Item Ledger Entry","Quantity","Entry Type","Output","Entry No.",I1258,"Location Code",$L$7)</t>
  </si>
  <si>
    <t>=NL("Sum","Item Ledger Entry","Quantity","Entry Type","Output","Entry No.",I1259,"Location Code",$L$7)</t>
  </si>
  <si>
    <t>=NL("Sum","Item Ledger Entry","Quantity","Entry Type","Output","Entry No.",I1260,"Location Code",$L$7)</t>
  </si>
  <si>
    <t>=NL("Sum","Item Ledger Entry","Quantity","Entry Type","Output","Entry No.",I1261,"Location Code",$L$7)</t>
  </si>
  <si>
    <t>=NL("Sum","Item Ledger Entry","Quantity","Entry Type","Output","Entry No.",I1262,"Location Code",$L$7)</t>
  </si>
  <si>
    <t>=NL("Sum","Item Ledger Entry","Quantity","Entry Type","Output","Entry No.",I1263,"Location Code",$L$7)</t>
  </si>
  <si>
    <t>=NF(G1254,"Source Type")</t>
  </si>
  <si>
    <t>=NF(G1255,"Source Type")</t>
  </si>
  <si>
    <t>=NF(G1256,"Source Type")</t>
  </si>
  <si>
    <t>=NF(G1257,"Source Type")</t>
  </si>
  <si>
    <t>=NF(G1258,"Source Type")</t>
  </si>
  <si>
    <t>=NF(G1259,"Source Type")</t>
  </si>
  <si>
    <t>=NF(G1260,"Source Type")</t>
  </si>
  <si>
    <t>=NF(G1261,"Source Type")</t>
  </si>
  <si>
    <t>=NF(G1262,"Source Type")</t>
  </si>
  <si>
    <t>=NF(G1263,"Source Type")</t>
  </si>
  <si>
    <t>=NF($G1254,"Source No.")</t>
  </si>
  <si>
    <t>=NF($G1255,"Source No.")</t>
  </si>
  <si>
    <t>=NF($G1256,"Source No.")</t>
  </si>
  <si>
    <t>=NF($G1257,"Source No.")</t>
  </si>
  <si>
    <t>=NF($G1258,"Source No.")</t>
  </si>
  <si>
    <t>=NF($G1259,"Source No.")</t>
  </si>
  <si>
    <t>=NF($G1260,"Source No.")</t>
  </si>
  <si>
    <t>=NF($G1261,"Source No.")</t>
  </si>
  <si>
    <t>=NF($G1262,"Source No.")</t>
  </si>
  <si>
    <t>=NF($G1263,"Source No.")</t>
  </si>
  <si>
    <t>=NF($G1233,"Posting Date")</t>
  </si>
  <si>
    <t>=NF($G1234,"Posting Date")</t>
  </si>
  <si>
    <t>=NF($G1235,"Posting Date")</t>
  </si>
  <si>
    <t>=NF($G1236,"Posting Date")</t>
  </si>
  <si>
    <t>=NF($G1237,"Posting Date")</t>
  </si>
  <si>
    <t>=NF($G1238,"Posting Date")</t>
  </si>
  <si>
    <t>=NF($G1239,"Posting Date")</t>
  </si>
  <si>
    <t>=NF($G1240,"Posting Date")</t>
  </si>
  <si>
    <t>=NF($G1241,"Posting Date")</t>
  </si>
  <si>
    <t>=NF($G1242,"Posting Date")</t>
  </si>
  <si>
    <t>=NF($G1243,"Posting Date")</t>
  </si>
  <si>
    <t>=NF($G1244,"Posting Date")</t>
  </si>
  <si>
    <t>=NF($G1245,"Posting Date")</t>
  </si>
  <si>
    <t>=NF($G1246,"Posting Date")</t>
  </si>
  <si>
    <t>=NF($G1247,"Posting Date")</t>
  </si>
  <si>
    <t>=NF($G1248,"Posting Date")</t>
  </si>
  <si>
    <t>=NF($G1249,"Posting Date")</t>
  </si>
  <si>
    <t>=NF($G1250,"Posting Date")</t>
  </si>
  <si>
    <t>=NF($G1233,"Entry No.")</t>
  </si>
  <si>
    <t>=NF($G1234,"Entry No.")</t>
  </si>
  <si>
    <t>=NF($G1235,"Entry No.")</t>
  </si>
  <si>
    <t>=NF($G1236,"Entry No.")</t>
  </si>
  <si>
    <t>=NF($G1237,"Entry No.")</t>
  </si>
  <si>
    <t>=NF($G1238,"Entry No.")</t>
  </si>
  <si>
    <t>=NF($G1239,"Entry No.")</t>
  </si>
  <si>
    <t>=NF($G1240,"Entry No.")</t>
  </si>
  <si>
    <t>=NF($G1241,"Entry No.")</t>
  </si>
  <si>
    <t>=NF($G1242,"Entry No.")</t>
  </si>
  <si>
    <t>=NF($G1243,"Entry No.")</t>
  </si>
  <si>
    <t>=NF($G1244,"Entry No.")</t>
  </si>
  <si>
    <t>=NF($G1245,"Entry No.")</t>
  </si>
  <si>
    <t>=NF($G1246,"Entry No.")</t>
  </si>
  <si>
    <t>=NF($G1247,"Entry No.")</t>
  </si>
  <si>
    <t>=NF($G1248,"Entry No.")</t>
  </si>
  <si>
    <t>=NF($G1249,"Entry No.")</t>
  </si>
  <si>
    <t>=NF($G1250,"Entry No.")</t>
  </si>
  <si>
    <t>=NL("Sum","Item Ledger Entry","Quantity","Entry Type","Purchase","Entry No.",I1233,"Location Code",$L$7)</t>
  </si>
  <si>
    <t>=NL("Sum","Item Ledger Entry","Quantity","Entry Type","Purchase","Entry No.",I1234,"Location Code",$L$7)</t>
  </si>
  <si>
    <t>=NL("Sum","Item Ledger Entry","Quantity","Entry Type","Purchase","Entry No.",I1235,"Location Code",$L$7)</t>
  </si>
  <si>
    <t>=NL("Sum","Item Ledger Entry","Quantity","Entry Type","Purchase","Entry No.",I1236,"Location Code",$L$7)</t>
  </si>
  <si>
    <t>=NL("Sum","Item Ledger Entry","Quantity","Entry Type","Purchase","Entry No.",I1237,"Location Code",$L$7)</t>
  </si>
  <si>
    <t>=NL("Sum","Item Ledger Entry","Quantity","Entry Type","Purchase","Entry No.",I1238,"Location Code",$L$7)</t>
  </si>
  <si>
    <t>=NL("Sum","Item Ledger Entry","Quantity","Entry Type","Purchase","Entry No.",I1239,"Location Code",$L$7)</t>
  </si>
  <si>
    <t>=NL("Sum","Item Ledger Entry","Quantity","Entry Type","Purchase","Entry No.",I1240,"Location Code",$L$7)</t>
  </si>
  <si>
    <t>=NL("Sum","Item Ledger Entry","Quantity","Entry Type","Purchase","Entry No.",I1241,"Location Code",$L$7)</t>
  </si>
  <si>
    <t>=NL("Sum","Item Ledger Entry","Quantity","Entry Type","Purchase","Entry No.",I1242,"Location Code",$L$7)</t>
  </si>
  <si>
    <t>=NL("Sum","Item Ledger Entry","Quantity","Entry Type","Purchase","Entry No.",I1243,"Location Code",$L$7)</t>
  </si>
  <si>
    <t>=NL("Sum","Item Ledger Entry","Quantity","Entry Type","Purchase","Entry No.",I1244,"Location Code",$L$7)</t>
  </si>
  <si>
    <t>=NL("Sum","Item Ledger Entry","Quantity","Entry Type","Purchase","Entry No.",I1245,"Location Code",$L$7)</t>
  </si>
  <si>
    <t>=NL("Sum","Item Ledger Entry","Quantity","Entry Type","Purchase","Entry No.",I1246,"Location Code",$L$7)</t>
  </si>
  <si>
    <t>=NL("Sum","Item Ledger Entry","Quantity","Entry Type","Purchase","Entry No.",I1247,"Location Code",$L$7)</t>
  </si>
  <si>
    <t>=NL("Sum","Item Ledger Entry","Quantity","Entry Type","Purchase","Entry No.",I1248,"Location Code",$L$7)</t>
  </si>
  <si>
    <t>=NL("Sum","Item Ledger Entry","Quantity","Entry Type","Purchase","Entry No.",I1249,"Location Code",$L$7)</t>
  </si>
  <si>
    <t>=NL("Sum","Item Ledger Entry","Quantity","Entry Type","Purchase","Entry No.",I1250,"Location Code",$L$7)</t>
  </si>
  <si>
    <t>=NL("Sum","Item Ledger Entry","Quantity","Entry Type","Sale","Entry No.",I1233,"Location Code",$L$7)</t>
  </si>
  <si>
    <t>=NL("Sum","Item Ledger Entry","Quantity","Entry Type","Sale","Entry No.",I1234,"Location Code",$L$7)</t>
  </si>
  <si>
    <t>=NL("Sum","Item Ledger Entry","Quantity","Entry Type","Sale","Entry No.",I1235,"Location Code",$L$7)</t>
  </si>
  <si>
    <t>=NL("Sum","Item Ledger Entry","Quantity","Entry Type","Sale","Entry No.",I1236,"Location Code",$L$7)</t>
  </si>
  <si>
    <t>=NL("Sum","Item Ledger Entry","Quantity","Entry Type","Sale","Entry No.",I1237,"Location Code",$L$7)</t>
  </si>
  <si>
    <t>=NL("Sum","Item Ledger Entry","Quantity","Entry Type","Sale","Entry No.",I1238,"Location Code",$L$7)</t>
  </si>
  <si>
    <t>=NL("Sum","Item Ledger Entry","Quantity","Entry Type","Sale","Entry No.",I1239,"Location Code",$L$7)</t>
  </si>
  <si>
    <t>=NL("Sum","Item Ledger Entry","Quantity","Entry Type","Sale","Entry No.",I1240,"Location Code",$L$7)</t>
  </si>
  <si>
    <t>=NL("Sum","Item Ledger Entry","Quantity","Entry Type","Sale","Entry No.",I1241,"Location Code",$L$7)</t>
  </si>
  <si>
    <t>=NL("Sum","Item Ledger Entry","Quantity","Entry Type","Sale","Entry No.",I1242,"Location Code",$L$7)</t>
  </si>
  <si>
    <t>=NL("Sum","Item Ledger Entry","Quantity","Entry Type","Sale","Entry No.",I1243,"Location Code",$L$7)</t>
  </si>
  <si>
    <t>=NL("Sum","Item Ledger Entry","Quantity","Entry Type","Sale","Entry No.",I1244,"Location Code",$L$7)</t>
  </si>
  <si>
    <t>=NL("Sum","Item Ledger Entry","Quantity","Entry Type","Sale","Entry No.",I1245,"Location Code",$L$7)</t>
  </si>
  <si>
    <t>=NL("Sum","Item Ledger Entry","Quantity","Entry Type","Sale","Entry No.",I1246,"Location Code",$L$7)</t>
  </si>
  <si>
    <t>=NL("Sum","Item Ledger Entry","Quantity","Entry Type","Sale","Entry No.",I1247,"Location Code",$L$7)</t>
  </si>
  <si>
    <t>=NL("Sum","Item Ledger Entry","Quantity","Entry Type","Sale","Entry No.",I1248,"Location Code",$L$7)</t>
  </si>
  <si>
    <t>=NL("Sum","Item Ledger Entry","Quantity","Entry Type","Sale","Entry No.",I1249,"Location Code",$L$7)</t>
  </si>
  <si>
    <t>=NL("Sum","Item Ledger Entry","Quantity","Entry Type","Sale","Entry No.",I1250,"Location Code",$L$7)</t>
  </si>
  <si>
    <t>=NL("Sum","Item Ledger Entry","Quantity","Entry Type","Positive Adjmt.|Negative Adjmt.","Entry No.",I1233,"Location Code",$L$7)</t>
  </si>
  <si>
    <t>=NL("Sum","Item Ledger Entry","Quantity","Entry Type","Positive Adjmt.|Negative Adjmt.","Entry No.",I1234,"Location Code",$L$7)</t>
  </si>
  <si>
    <t>=NL("Sum","Item Ledger Entry","Quantity","Entry Type","Positive Adjmt.|Negative Adjmt.","Entry No.",I1235,"Location Code",$L$7)</t>
  </si>
  <si>
    <t>=NL("Sum","Item Ledger Entry","Quantity","Entry Type","Positive Adjmt.|Negative Adjmt.","Entry No.",I1236,"Location Code",$L$7)</t>
  </si>
  <si>
    <t>=NL("Sum","Item Ledger Entry","Quantity","Entry Type","Positive Adjmt.|Negative Adjmt.","Entry No.",I1237,"Location Code",$L$7)</t>
  </si>
  <si>
    <t>=NL("Sum","Item Ledger Entry","Quantity","Entry Type","Positive Adjmt.|Negative Adjmt.","Entry No.",I1238,"Location Code",$L$7)</t>
  </si>
  <si>
    <t>=NL("Sum","Item Ledger Entry","Quantity","Entry Type","Positive Adjmt.|Negative Adjmt.","Entry No.",I1239,"Location Code",$L$7)</t>
  </si>
  <si>
    <t>=NL("Sum","Item Ledger Entry","Quantity","Entry Type","Positive Adjmt.|Negative Adjmt.","Entry No.",I1240,"Location Code",$L$7)</t>
  </si>
  <si>
    <t>=NL("Sum","Item Ledger Entry","Quantity","Entry Type","Positive Adjmt.|Negative Adjmt.","Entry No.",I1241,"Location Code",$L$7)</t>
  </si>
  <si>
    <t>=NL("Sum","Item Ledger Entry","Quantity","Entry Type","Positive Adjmt.|Negative Adjmt.","Entry No.",I1242,"Location Code",$L$7)</t>
  </si>
  <si>
    <t>=NL("Sum","Item Ledger Entry","Quantity","Entry Type","Positive Adjmt.|Negative Adjmt.","Entry No.",I1243,"Location Code",$L$7)</t>
  </si>
  <si>
    <t>=NL("Sum","Item Ledger Entry","Quantity","Entry Type","Positive Adjmt.|Negative Adjmt.","Entry No.",I1244,"Location Code",$L$7)</t>
  </si>
  <si>
    <t>=NL("Sum","Item Ledger Entry","Quantity","Entry Type","Positive Adjmt.|Negative Adjmt.","Entry No.",I1245,"Location Code",$L$7)</t>
  </si>
  <si>
    <t>=NL("Sum","Item Ledger Entry","Quantity","Entry Type","Positive Adjmt.|Negative Adjmt.","Entry No.",I1246,"Location Code",$L$7)</t>
  </si>
  <si>
    <t>=NL("Sum","Item Ledger Entry","Quantity","Entry Type","Positive Adjmt.|Negative Adjmt.","Entry No.",I1247,"Location Code",$L$7)</t>
  </si>
  <si>
    <t>=NL("Sum","Item Ledger Entry","Quantity","Entry Type","Positive Adjmt.|Negative Adjmt.","Entry No.",I1248,"Location Code",$L$7)</t>
  </si>
  <si>
    <t>=NL("Sum","Item Ledger Entry","Quantity","Entry Type","Positive Adjmt.|Negative Adjmt.","Entry No.",I1249,"Location Code",$L$7)</t>
  </si>
  <si>
    <t>=NL("Sum","Item Ledger Entry","Quantity","Entry Type","Positive Adjmt.|Negative Adjmt.","Entry No.",I1250,"Location Code",$L$7)</t>
  </si>
  <si>
    <t>=NL("Sum","Item Ledger Entry","Quantity","Entry Type","Transfer","Entry No.",I1233,"Location Code",$L$7)</t>
  </si>
  <si>
    <t>=NL("Sum","Item Ledger Entry","Quantity","Entry Type","Transfer","Entry No.",I1234,"Location Code",$L$7)</t>
  </si>
  <si>
    <t>=NL("Sum","Item Ledger Entry","Quantity","Entry Type","Transfer","Entry No.",I1235,"Location Code",$L$7)</t>
  </si>
  <si>
    <t>=NL("Sum","Item Ledger Entry","Quantity","Entry Type","Transfer","Entry No.",I1236,"Location Code",$L$7)</t>
  </si>
  <si>
    <t>=NL("Sum","Item Ledger Entry","Quantity","Entry Type","Transfer","Entry No.",I1237,"Location Code",$L$7)</t>
  </si>
  <si>
    <t>=NL("Sum","Item Ledger Entry","Quantity","Entry Type","Transfer","Entry No.",I1238,"Location Code",$L$7)</t>
  </si>
  <si>
    <t>=NL("Sum","Item Ledger Entry","Quantity","Entry Type","Transfer","Entry No.",I1239,"Location Code",$L$7)</t>
  </si>
  <si>
    <t>=NL("Sum","Item Ledger Entry","Quantity","Entry Type","Transfer","Entry No.",I1240,"Location Code",$L$7)</t>
  </si>
  <si>
    <t>=NL("Sum","Item Ledger Entry","Quantity","Entry Type","Transfer","Entry No.",I1241,"Location Code",$L$7)</t>
  </si>
  <si>
    <t>=NL("Sum","Item Ledger Entry","Quantity","Entry Type","Transfer","Entry No.",I1242,"Location Code",$L$7)</t>
  </si>
  <si>
    <t>=NL("Sum","Item Ledger Entry","Quantity","Entry Type","Transfer","Entry No.",I1243,"Location Code",$L$7)</t>
  </si>
  <si>
    <t>=NL("Sum","Item Ledger Entry","Quantity","Entry Type","Transfer","Entry No.",I1244,"Location Code",$L$7)</t>
  </si>
  <si>
    <t>=NL("Sum","Item Ledger Entry","Quantity","Entry Type","Transfer","Entry No.",I1245,"Location Code",$L$7)</t>
  </si>
  <si>
    <t>=NL("Sum","Item Ledger Entry","Quantity","Entry Type","Transfer","Entry No.",I1246,"Location Code",$L$7)</t>
  </si>
  <si>
    <t>=NL("Sum","Item Ledger Entry","Quantity","Entry Type","Transfer","Entry No.",I1247,"Location Code",$L$7)</t>
  </si>
  <si>
    <t>=NL("Sum","Item Ledger Entry","Quantity","Entry Type","Transfer","Entry No.",I1248,"Location Code",$L$7)</t>
  </si>
  <si>
    <t>=NL("Sum","Item Ledger Entry","Quantity","Entry Type","Transfer","Entry No.",I1249,"Location Code",$L$7)</t>
  </si>
  <si>
    <t>=NL("Sum","Item Ledger Entry","Quantity","Entry Type","Transfer","Entry No.",I1250,"Location Code",$L$7)</t>
  </si>
  <si>
    <t>=NL("Sum","Item Ledger Entry","Quantity","Entry Type","Consumption","Entry No.",I1233,"Location Code",$L$7)</t>
  </si>
  <si>
    <t>=NL("Sum","Item Ledger Entry","Quantity","Entry Type","Consumption","Entry No.",I1234,"Location Code",$L$7)</t>
  </si>
  <si>
    <t>=NL("Sum","Item Ledger Entry","Quantity","Entry Type","Consumption","Entry No.",I1235,"Location Code",$L$7)</t>
  </si>
  <si>
    <t>=NL("Sum","Item Ledger Entry","Quantity","Entry Type","Consumption","Entry No.",I1236,"Location Code",$L$7)</t>
  </si>
  <si>
    <t>=NL("Sum","Item Ledger Entry","Quantity","Entry Type","Consumption","Entry No.",I1237,"Location Code",$L$7)</t>
  </si>
  <si>
    <t>=NL("Sum","Item Ledger Entry","Quantity","Entry Type","Consumption","Entry No.",I1238,"Location Code",$L$7)</t>
  </si>
  <si>
    <t>=NL("Sum","Item Ledger Entry","Quantity","Entry Type","Consumption","Entry No.",I1239,"Location Code",$L$7)</t>
  </si>
  <si>
    <t>=NL("Sum","Item Ledger Entry","Quantity","Entry Type","Consumption","Entry No.",I1240,"Location Code",$L$7)</t>
  </si>
  <si>
    <t>=NL("Sum","Item Ledger Entry","Quantity","Entry Type","Consumption","Entry No.",I1241,"Location Code",$L$7)</t>
  </si>
  <si>
    <t>=NL("Sum","Item Ledger Entry","Quantity","Entry Type","Consumption","Entry No.",I1242,"Location Code",$L$7)</t>
  </si>
  <si>
    <t>=NL("Sum","Item Ledger Entry","Quantity","Entry Type","Consumption","Entry No.",I1243,"Location Code",$L$7)</t>
  </si>
  <si>
    <t>=NL("Sum","Item Ledger Entry","Quantity","Entry Type","Consumption","Entry No.",I1244,"Location Code",$L$7)</t>
  </si>
  <si>
    <t>=NL("Sum","Item Ledger Entry","Quantity","Entry Type","Consumption","Entry No.",I1245,"Location Code",$L$7)</t>
  </si>
  <si>
    <t>=NL("Sum","Item Ledger Entry","Quantity","Entry Type","Consumption","Entry No.",I1246,"Location Code",$L$7)</t>
  </si>
  <si>
    <t>=NL("Sum","Item Ledger Entry","Quantity","Entry Type","Consumption","Entry No.",I1247,"Location Code",$L$7)</t>
  </si>
  <si>
    <t>=NL("Sum","Item Ledger Entry","Quantity","Entry Type","Consumption","Entry No.",I1248,"Location Code",$L$7)</t>
  </si>
  <si>
    <t>=NL("Sum","Item Ledger Entry","Quantity","Entry Type","Consumption","Entry No.",I1249,"Location Code",$L$7)</t>
  </si>
  <si>
    <t>=NL("Sum","Item Ledger Entry","Quantity","Entry Type","Consumption","Entry No.",I1250,"Location Code",$L$7)</t>
  </si>
  <si>
    <t>=NL("Sum","Item Ledger Entry","Quantity","Entry Type","Output","Entry No.",I1233,"Location Code",$L$7)</t>
  </si>
  <si>
    <t>=NL("Sum","Item Ledger Entry","Quantity","Entry Type","Output","Entry No.",I1234,"Location Code",$L$7)</t>
  </si>
  <si>
    <t>=NL("Sum","Item Ledger Entry","Quantity","Entry Type","Output","Entry No.",I1235,"Location Code",$L$7)</t>
  </si>
  <si>
    <t>=NL("Sum","Item Ledger Entry","Quantity","Entry Type","Output","Entry No.",I1236,"Location Code",$L$7)</t>
  </si>
  <si>
    <t>=NL("Sum","Item Ledger Entry","Quantity","Entry Type","Output","Entry No.",I1237,"Location Code",$L$7)</t>
  </si>
  <si>
    <t>=NL("Sum","Item Ledger Entry","Quantity","Entry Type","Output","Entry No.",I1238,"Location Code",$L$7)</t>
  </si>
  <si>
    <t>=NL("Sum","Item Ledger Entry","Quantity","Entry Type","Output","Entry No.",I1239,"Location Code",$L$7)</t>
  </si>
  <si>
    <t>=NL("Sum","Item Ledger Entry","Quantity","Entry Type","Output","Entry No.",I1240,"Location Code",$L$7)</t>
  </si>
  <si>
    <t>=NL("Sum","Item Ledger Entry","Quantity","Entry Type","Output","Entry No.",I1241,"Location Code",$L$7)</t>
  </si>
  <si>
    <t>=NL("Sum","Item Ledger Entry","Quantity","Entry Type","Output","Entry No.",I1242,"Location Code",$L$7)</t>
  </si>
  <si>
    <t>=NL("Sum","Item Ledger Entry","Quantity","Entry Type","Output","Entry No.",I1243,"Location Code",$L$7)</t>
  </si>
  <si>
    <t>=NL("Sum","Item Ledger Entry","Quantity","Entry Type","Output","Entry No.",I1244,"Location Code",$L$7)</t>
  </si>
  <si>
    <t>=NL("Sum","Item Ledger Entry","Quantity","Entry Type","Output","Entry No.",I1245,"Location Code",$L$7)</t>
  </si>
  <si>
    <t>=NL("Sum","Item Ledger Entry","Quantity","Entry Type","Output","Entry No.",I1246,"Location Code",$L$7)</t>
  </si>
  <si>
    <t>=NL("Sum","Item Ledger Entry","Quantity","Entry Type","Output","Entry No.",I1247,"Location Code",$L$7)</t>
  </si>
  <si>
    <t>=NL("Sum","Item Ledger Entry","Quantity","Entry Type","Output","Entry No.",I1248,"Location Code",$L$7)</t>
  </si>
  <si>
    <t>=NL("Sum","Item Ledger Entry","Quantity","Entry Type","Output","Entry No.",I1249,"Location Code",$L$7)</t>
  </si>
  <si>
    <t>=NL("Sum","Item Ledger Entry","Quantity","Entry Type","Output","Entry No.",I1250,"Location Code",$L$7)</t>
  </si>
  <si>
    <t>=NF(G1233,"Source Type")</t>
  </si>
  <si>
    <t>=NF(G1234,"Source Type")</t>
  </si>
  <si>
    <t>=NF(G1235,"Source Type")</t>
  </si>
  <si>
    <t>=NF(G1236,"Source Type")</t>
  </si>
  <si>
    <t>=NF(G1237,"Source Type")</t>
  </si>
  <si>
    <t>=NF(G1238,"Source Type")</t>
  </si>
  <si>
    <t>=NF(G1239,"Source Type")</t>
  </si>
  <si>
    <t>=NF(G1240,"Source Type")</t>
  </si>
  <si>
    <t>=NF(G1241,"Source Type")</t>
  </si>
  <si>
    <t>=NF(G1242,"Source Type")</t>
  </si>
  <si>
    <t>=NF(G1243,"Source Type")</t>
  </si>
  <si>
    <t>=NF(G1244,"Source Type")</t>
  </si>
  <si>
    <t>=NF(G1245,"Source Type")</t>
  </si>
  <si>
    <t>=NF(G1246,"Source Type")</t>
  </si>
  <si>
    <t>=NF(G1247,"Source Type")</t>
  </si>
  <si>
    <t>=NF(G1248,"Source Type")</t>
  </si>
  <si>
    <t>=NF(G1249,"Source Type")</t>
  </si>
  <si>
    <t>=NF(G1250,"Source Type")</t>
  </si>
  <si>
    <t>=NF($G1233,"Source No.")</t>
  </si>
  <si>
    <t>=NF($G1234,"Source No.")</t>
  </si>
  <si>
    <t>=NF($G1235,"Source No.")</t>
  </si>
  <si>
    <t>=NF($G1236,"Source No.")</t>
  </si>
  <si>
    <t>=NF($G1237,"Source No.")</t>
  </si>
  <si>
    <t>=NF($G1238,"Source No.")</t>
  </si>
  <si>
    <t>=NF($G1239,"Source No.")</t>
  </si>
  <si>
    <t>=NF($G1240,"Source No.")</t>
  </si>
  <si>
    <t>=NF($G1241,"Source No.")</t>
  </si>
  <si>
    <t>=NF($G1242,"Source No.")</t>
  </si>
  <si>
    <t>=NF($G1243,"Source No.")</t>
  </si>
  <si>
    <t>=NF($G1244,"Source No.")</t>
  </si>
  <si>
    <t>=NF($G1245,"Source No.")</t>
  </si>
  <si>
    <t>=NF($G1246,"Source No.")</t>
  </si>
  <si>
    <t>=NF($G1247,"Source No.")</t>
  </si>
  <si>
    <t>=NF($G1248,"Source No.")</t>
  </si>
  <si>
    <t>=NF($G1249,"Source No.")</t>
  </si>
  <si>
    <t>=NF($G1250,"Source No.")</t>
  </si>
  <si>
    <t>=NF($G1188,"Posting Date")</t>
  </si>
  <si>
    <t>=NF($G1189,"Posting Date")</t>
  </si>
  <si>
    <t>=NF($G1190,"Posting Date")</t>
  </si>
  <si>
    <t>=NF($G1191,"Posting Date")</t>
  </si>
  <si>
    <t>=NF($G1192,"Posting Date")</t>
  </si>
  <si>
    <t>=NF($G1193,"Posting Date")</t>
  </si>
  <si>
    <t>=NF($G1194,"Posting Date")</t>
  </si>
  <si>
    <t>=NF($G1195,"Posting Date")</t>
  </si>
  <si>
    <t>=NF($G1196,"Posting Date")</t>
  </si>
  <si>
    <t>=NF($G1197,"Posting Date")</t>
  </si>
  <si>
    <t>=NF($G1198,"Posting Date")</t>
  </si>
  <si>
    <t>=NF($G1199,"Posting Date")</t>
  </si>
  <si>
    <t>=NF($G1200,"Posting Date")</t>
  </si>
  <si>
    <t>=NF($G1201,"Posting Date")</t>
  </si>
  <si>
    <t>=NF($G1202,"Posting Date")</t>
  </si>
  <si>
    <t>=NF($G1203,"Posting Date")</t>
  </si>
  <si>
    <t>=NF($G1204,"Posting Date")</t>
  </si>
  <si>
    <t>=NF($G1205,"Posting Date")</t>
  </si>
  <si>
    <t>=NF($G1206,"Posting Date")</t>
  </si>
  <si>
    <t>=NF($G1207,"Posting Date")</t>
  </si>
  <si>
    <t>=NF($G1208,"Posting Date")</t>
  </si>
  <si>
    <t>=NF($G1209,"Posting Date")</t>
  </si>
  <si>
    <t>=NF($G1210,"Posting Date")</t>
  </si>
  <si>
    <t>=NF($G1211,"Posting Date")</t>
  </si>
  <si>
    <t>=NF($G1212,"Posting Date")</t>
  </si>
  <si>
    <t>=NF($G1213,"Posting Date")</t>
  </si>
  <si>
    <t>=NF($G1214,"Posting Date")</t>
  </si>
  <si>
    <t>=NF($G1215,"Posting Date")</t>
  </si>
  <si>
    <t>=NF($G1216,"Posting Date")</t>
  </si>
  <si>
    <t>=NF($G1217,"Posting Date")</t>
  </si>
  <si>
    <t>=NF($G1218,"Posting Date")</t>
  </si>
  <si>
    <t>=NF($G1219,"Posting Date")</t>
  </si>
  <si>
    <t>=NF($G1220,"Posting Date")</t>
  </si>
  <si>
    <t>=NF($G1221,"Posting Date")</t>
  </si>
  <si>
    <t>=NF($G1222,"Posting Date")</t>
  </si>
  <si>
    <t>=NF($G1223,"Posting Date")</t>
  </si>
  <si>
    <t>=NF($G1224,"Posting Date")</t>
  </si>
  <si>
    <t>=NF($G1225,"Posting Date")</t>
  </si>
  <si>
    <t>=NF($G1226,"Posting Date")</t>
  </si>
  <si>
    <t>=NF($G1227,"Posting Date")</t>
  </si>
  <si>
    <t>=NF($G1228,"Posting Date")</t>
  </si>
  <si>
    <t>=NF($G1229,"Posting Date")</t>
  </si>
  <si>
    <t>=NF($G1188,"Entry No.")</t>
  </si>
  <si>
    <t>=NF($G1189,"Entry No.")</t>
  </si>
  <si>
    <t>=NF($G1190,"Entry No.")</t>
  </si>
  <si>
    <t>=NF($G1191,"Entry No.")</t>
  </si>
  <si>
    <t>=NF($G1192,"Entry No.")</t>
  </si>
  <si>
    <t>=NF($G1193,"Entry No.")</t>
  </si>
  <si>
    <t>=NF($G1194,"Entry No.")</t>
  </si>
  <si>
    <t>=NF($G1195,"Entry No.")</t>
  </si>
  <si>
    <t>=NF($G1196,"Entry No.")</t>
  </si>
  <si>
    <t>=NF($G1197,"Entry No.")</t>
  </si>
  <si>
    <t>=NF($G1198,"Entry No.")</t>
  </si>
  <si>
    <t>=NF($G1199,"Entry No.")</t>
  </si>
  <si>
    <t>=NF($G1200,"Entry No.")</t>
  </si>
  <si>
    <t>=NF($G1201,"Entry No.")</t>
  </si>
  <si>
    <t>=NF($G1202,"Entry No.")</t>
  </si>
  <si>
    <t>=NF($G1203,"Entry No.")</t>
  </si>
  <si>
    <t>=NF($G1204,"Entry No.")</t>
  </si>
  <si>
    <t>=NF($G1205,"Entry No.")</t>
  </si>
  <si>
    <t>=NF($G1206,"Entry No.")</t>
  </si>
  <si>
    <t>=NF($G1207,"Entry No.")</t>
  </si>
  <si>
    <t>=NF($G1208,"Entry No.")</t>
  </si>
  <si>
    <t>=NF($G1209,"Entry No.")</t>
  </si>
  <si>
    <t>=NF($G1210,"Entry No.")</t>
  </si>
  <si>
    <t>=NF($G1211,"Entry No.")</t>
  </si>
  <si>
    <t>=NF($G1212,"Entry No.")</t>
  </si>
  <si>
    <t>=NF($G1213,"Entry No.")</t>
  </si>
  <si>
    <t>=NF($G1214,"Entry No.")</t>
  </si>
  <si>
    <t>=NF($G1215,"Entry No.")</t>
  </si>
  <si>
    <t>=NF($G1216,"Entry No.")</t>
  </si>
  <si>
    <t>=NF($G1217,"Entry No.")</t>
  </si>
  <si>
    <t>=NF($G1218,"Entry No.")</t>
  </si>
  <si>
    <t>=NF($G1219,"Entry No.")</t>
  </si>
  <si>
    <t>=NF($G1220,"Entry No.")</t>
  </si>
  <si>
    <t>=NF($G1221,"Entry No.")</t>
  </si>
  <si>
    <t>=NF($G1222,"Entry No.")</t>
  </si>
  <si>
    <t>=NF($G1223,"Entry No.")</t>
  </si>
  <si>
    <t>=NF($G1224,"Entry No.")</t>
  </si>
  <si>
    <t>=NF($G1225,"Entry No.")</t>
  </si>
  <si>
    <t>=NF($G1226,"Entry No.")</t>
  </si>
  <si>
    <t>=NF($G1227,"Entry No.")</t>
  </si>
  <si>
    <t>=NF($G1228,"Entry No.")</t>
  </si>
  <si>
    <t>=NF($G1229,"Entry No.")</t>
  </si>
  <si>
    <t>=NL("Sum","Item Ledger Entry","Quantity","Entry Type","Purchase","Entry No.",I1188,"Location Code",$L$7)</t>
  </si>
  <si>
    <t>=NL("Sum","Item Ledger Entry","Quantity","Entry Type","Purchase","Entry No.",I1189,"Location Code",$L$7)</t>
  </si>
  <si>
    <t>=NL("Sum","Item Ledger Entry","Quantity","Entry Type","Purchase","Entry No.",I1190,"Location Code",$L$7)</t>
  </si>
  <si>
    <t>=NL("Sum","Item Ledger Entry","Quantity","Entry Type","Purchase","Entry No.",I1191,"Location Code",$L$7)</t>
  </si>
  <si>
    <t>=NL("Sum","Item Ledger Entry","Quantity","Entry Type","Purchase","Entry No.",I1192,"Location Code",$L$7)</t>
  </si>
  <si>
    <t>=NL("Sum","Item Ledger Entry","Quantity","Entry Type","Purchase","Entry No.",I1193,"Location Code",$L$7)</t>
  </si>
  <si>
    <t>=NL("Sum","Item Ledger Entry","Quantity","Entry Type","Purchase","Entry No.",I1194,"Location Code",$L$7)</t>
  </si>
  <si>
    <t>=NL("Sum","Item Ledger Entry","Quantity","Entry Type","Purchase","Entry No.",I1195,"Location Code",$L$7)</t>
  </si>
  <si>
    <t>=NL("Sum","Item Ledger Entry","Quantity","Entry Type","Purchase","Entry No.",I1196,"Location Code",$L$7)</t>
  </si>
  <si>
    <t>=NL("Sum","Item Ledger Entry","Quantity","Entry Type","Purchase","Entry No.",I1197,"Location Code",$L$7)</t>
  </si>
  <si>
    <t>=NL("Sum","Item Ledger Entry","Quantity","Entry Type","Purchase","Entry No.",I1198,"Location Code",$L$7)</t>
  </si>
  <si>
    <t>=NL("Sum","Item Ledger Entry","Quantity","Entry Type","Purchase","Entry No.",I1199,"Location Code",$L$7)</t>
  </si>
  <si>
    <t>=NL("Sum","Item Ledger Entry","Quantity","Entry Type","Purchase","Entry No.",I1200,"Location Code",$L$7)</t>
  </si>
  <si>
    <t>=NL("Sum","Item Ledger Entry","Quantity","Entry Type","Purchase","Entry No.",I1201,"Location Code",$L$7)</t>
  </si>
  <si>
    <t>=NL("Sum","Item Ledger Entry","Quantity","Entry Type","Purchase","Entry No.",I1202,"Location Code",$L$7)</t>
  </si>
  <si>
    <t>=NL("Sum","Item Ledger Entry","Quantity","Entry Type","Purchase","Entry No.",I1203,"Location Code",$L$7)</t>
  </si>
  <si>
    <t>=NL("Sum","Item Ledger Entry","Quantity","Entry Type","Purchase","Entry No.",I1204,"Location Code",$L$7)</t>
  </si>
  <si>
    <t>=NL("Sum","Item Ledger Entry","Quantity","Entry Type","Purchase","Entry No.",I1205,"Location Code",$L$7)</t>
  </si>
  <si>
    <t>=NL("Sum","Item Ledger Entry","Quantity","Entry Type","Purchase","Entry No.",I1206,"Location Code",$L$7)</t>
  </si>
  <si>
    <t>=NL("Sum","Item Ledger Entry","Quantity","Entry Type","Purchase","Entry No.",I1207,"Location Code",$L$7)</t>
  </si>
  <si>
    <t>=NL("Sum","Item Ledger Entry","Quantity","Entry Type","Purchase","Entry No.",I1208,"Location Code",$L$7)</t>
  </si>
  <si>
    <t>=NL("Sum","Item Ledger Entry","Quantity","Entry Type","Purchase","Entry No.",I1209,"Location Code",$L$7)</t>
  </si>
  <si>
    <t>=NL("Sum","Item Ledger Entry","Quantity","Entry Type","Purchase","Entry No.",I1210,"Location Code",$L$7)</t>
  </si>
  <si>
    <t>=NL("Sum","Item Ledger Entry","Quantity","Entry Type","Purchase","Entry No.",I1211,"Location Code",$L$7)</t>
  </si>
  <si>
    <t>=NL("Sum","Item Ledger Entry","Quantity","Entry Type","Purchase","Entry No.",I1212,"Location Code",$L$7)</t>
  </si>
  <si>
    <t>=NL("Sum","Item Ledger Entry","Quantity","Entry Type","Purchase","Entry No.",I1213,"Location Code",$L$7)</t>
  </si>
  <si>
    <t>=NL("Sum","Item Ledger Entry","Quantity","Entry Type","Purchase","Entry No.",I1214,"Location Code",$L$7)</t>
  </si>
  <si>
    <t>=NL("Sum","Item Ledger Entry","Quantity","Entry Type","Purchase","Entry No.",I1215,"Location Code",$L$7)</t>
  </si>
  <si>
    <t>=NL("Sum","Item Ledger Entry","Quantity","Entry Type","Purchase","Entry No.",I1216,"Location Code",$L$7)</t>
  </si>
  <si>
    <t>=NL("Sum","Item Ledger Entry","Quantity","Entry Type","Purchase","Entry No.",I1217,"Location Code",$L$7)</t>
  </si>
  <si>
    <t>=NL("Sum","Item Ledger Entry","Quantity","Entry Type","Purchase","Entry No.",I1218,"Location Code",$L$7)</t>
  </si>
  <si>
    <t>=NL("Sum","Item Ledger Entry","Quantity","Entry Type","Purchase","Entry No.",I1219,"Location Code",$L$7)</t>
  </si>
  <si>
    <t>=NL("Sum","Item Ledger Entry","Quantity","Entry Type","Purchase","Entry No.",I1220,"Location Code",$L$7)</t>
  </si>
  <si>
    <t>=NL("Sum","Item Ledger Entry","Quantity","Entry Type","Purchase","Entry No.",I1221,"Location Code",$L$7)</t>
  </si>
  <si>
    <t>=NL("Sum","Item Ledger Entry","Quantity","Entry Type","Purchase","Entry No.",I1222,"Location Code",$L$7)</t>
  </si>
  <si>
    <t>=NL("Sum","Item Ledger Entry","Quantity","Entry Type","Purchase","Entry No.",I1223,"Location Code",$L$7)</t>
  </si>
  <si>
    <t>=NL("Sum","Item Ledger Entry","Quantity","Entry Type","Purchase","Entry No.",I1224,"Location Code",$L$7)</t>
  </si>
  <si>
    <t>=NL("Sum","Item Ledger Entry","Quantity","Entry Type","Purchase","Entry No.",I1225,"Location Code",$L$7)</t>
  </si>
  <si>
    <t>=NL("Sum","Item Ledger Entry","Quantity","Entry Type","Purchase","Entry No.",I1226,"Location Code",$L$7)</t>
  </si>
  <si>
    <t>=NL("Sum","Item Ledger Entry","Quantity","Entry Type","Purchase","Entry No.",I1227,"Location Code",$L$7)</t>
  </si>
  <si>
    <t>=NL("Sum","Item Ledger Entry","Quantity","Entry Type","Purchase","Entry No.",I1228,"Location Code",$L$7)</t>
  </si>
  <si>
    <t>=NL("Sum","Item Ledger Entry","Quantity","Entry Type","Purchase","Entry No.",I1229,"Location Code",$L$7)</t>
  </si>
  <si>
    <t>=NL("Sum","Item Ledger Entry","Quantity","Entry Type","Sale","Entry No.",I1188,"Location Code",$L$7)</t>
  </si>
  <si>
    <t>=NL("Sum","Item Ledger Entry","Quantity","Entry Type","Sale","Entry No.",I1189,"Location Code",$L$7)</t>
  </si>
  <si>
    <t>=NL("Sum","Item Ledger Entry","Quantity","Entry Type","Sale","Entry No.",I1190,"Location Code",$L$7)</t>
  </si>
  <si>
    <t>=NL("Sum","Item Ledger Entry","Quantity","Entry Type","Sale","Entry No.",I1191,"Location Code",$L$7)</t>
  </si>
  <si>
    <t>=NL("Sum","Item Ledger Entry","Quantity","Entry Type","Sale","Entry No.",I1192,"Location Code",$L$7)</t>
  </si>
  <si>
    <t>=NL("Sum","Item Ledger Entry","Quantity","Entry Type","Sale","Entry No.",I1193,"Location Code",$L$7)</t>
  </si>
  <si>
    <t>=NL("Sum","Item Ledger Entry","Quantity","Entry Type","Sale","Entry No.",I1194,"Location Code",$L$7)</t>
  </si>
  <si>
    <t>=NL("Sum","Item Ledger Entry","Quantity","Entry Type","Sale","Entry No.",I1195,"Location Code",$L$7)</t>
  </si>
  <si>
    <t>=NL("Sum","Item Ledger Entry","Quantity","Entry Type","Sale","Entry No.",I1196,"Location Code",$L$7)</t>
  </si>
  <si>
    <t>=NL("Sum","Item Ledger Entry","Quantity","Entry Type","Sale","Entry No.",I1197,"Location Code",$L$7)</t>
  </si>
  <si>
    <t>=NL("Sum","Item Ledger Entry","Quantity","Entry Type","Sale","Entry No.",I1198,"Location Code",$L$7)</t>
  </si>
  <si>
    <t>=NL("Sum","Item Ledger Entry","Quantity","Entry Type","Sale","Entry No.",I1199,"Location Code",$L$7)</t>
  </si>
  <si>
    <t>=NL("Sum","Item Ledger Entry","Quantity","Entry Type","Sale","Entry No.",I1200,"Location Code",$L$7)</t>
  </si>
  <si>
    <t>=NL("Sum","Item Ledger Entry","Quantity","Entry Type","Sale","Entry No.",I1201,"Location Code",$L$7)</t>
  </si>
  <si>
    <t>=NL("Sum","Item Ledger Entry","Quantity","Entry Type","Sale","Entry No.",I1202,"Location Code",$L$7)</t>
  </si>
  <si>
    <t>=NL("Sum","Item Ledger Entry","Quantity","Entry Type","Sale","Entry No.",I1203,"Location Code",$L$7)</t>
  </si>
  <si>
    <t>=NL("Sum","Item Ledger Entry","Quantity","Entry Type","Sale","Entry No.",I1204,"Location Code",$L$7)</t>
  </si>
  <si>
    <t>=NL("Sum","Item Ledger Entry","Quantity","Entry Type","Sale","Entry No.",I1205,"Location Code",$L$7)</t>
  </si>
  <si>
    <t>=NL("Sum","Item Ledger Entry","Quantity","Entry Type","Sale","Entry No.",I1206,"Location Code",$L$7)</t>
  </si>
  <si>
    <t>=NL("Sum","Item Ledger Entry","Quantity","Entry Type","Sale","Entry No.",I1207,"Location Code",$L$7)</t>
  </si>
  <si>
    <t>=NL("Sum","Item Ledger Entry","Quantity","Entry Type","Sale","Entry No.",I1208,"Location Code",$L$7)</t>
  </si>
  <si>
    <t>=NL("Sum","Item Ledger Entry","Quantity","Entry Type","Sale","Entry No.",I1209,"Location Code",$L$7)</t>
  </si>
  <si>
    <t>=NL("Sum","Item Ledger Entry","Quantity","Entry Type","Sale","Entry No.",I1210,"Location Code",$L$7)</t>
  </si>
  <si>
    <t>=NL("Sum","Item Ledger Entry","Quantity","Entry Type","Sale","Entry No.",I1211,"Location Code",$L$7)</t>
  </si>
  <si>
    <t>=NL("Sum","Item Ledger Entry","Quantity","Entry Type","Sale","Entry No.",I1212,"Location Code",$L$7)</t>
  </si>
  <si>
    <t>=NL("Sum","Item Ledger Entry","Quantity","Entry Type","Sale","Entry No.",I1213,"Location Code",$L$7)</t>
  </si>
  <si>
    <t>=NL("Sum","Item Ledger Entry","Quantity","Entry Type","Sale","Entry No.",I1214,"Location Code",$L$7)</t>
  </si>
  <si>
    <t>=NL("Sum","Item Ledger Entry","Quantity","Entry Type","Sale","Entry No.",I1215,"Location Code",$L$7)</t>
  </si>
  <si>
    <t>=NL("Sum","Item Ledger Entry","Quantity","Entry Type","Sale","Entry No.",I1216,"Location Code",$L$7)</t>
  </si>
  <si>
    <t>=NL("Sum","Item Ledger Entry","Quantity","Entry Type","Sale","Entry No.",I1217,"Location Code",$L$7)</t>
  </si>
  <si>
    <t>=NL("Sum","Item Ledger Entry","Quantity","Entry Type","Sale","Entry No.",I1218,"Location Code",$L$7)</t>
  </si>
  <si>
    <t>=NL("Sum","Item Ledger Entry","Quantity","Entry Type","Sale","Entry No.",I1219,"Location Code",$L$7)</t>
  </si>
  <si>
    <t>=NL("Sum","Item Ledger Entry","Quantity","Entry Type","Sale","Entry No.",I1220,"Location Code",$L$7)</t>
  </si>
  <si>
    <t>=NL("Sum","Item Ledger Entry","Quantity","Entry Type","Sale","Entry No.",I1221,"Location Code",$L$7)</t>
  </si>
  <si>
    <t>=NL("Sum","Item Ledger Entry","Quantity","Entry Type","Sale","Entry No.",I1222,"Location Code",$L$7)</t>
  </si>
  <si>
    <t>=NL("Sum","Item Ledger Entry","Quantity","Entry Type","Sale","Entry No.",I1223,"Location Code",$L$7)</t>
  </si>
  <si>
    <t>=NL("Sum","Item Ledger Entry","Quantity","Entry Type","Sale","Entry No.",I1224,"Location Code",$L$7)</t>
  </si>
  <si>
    <t>=NL("Sum","Item Ledger Entry","Quantity","Entry Type","Sale","Entry No.",I1225,"Location Code",$L$7)</t>
  </si>
  <si>
    <t>=NL("Sum","Item Ledger Entry","Quantity","Entry Type","Sale","Entry No.",I1226,"Location Code",$L$7)</t>
  </si>
  <si>
    <t>=NL("Sum","Item Ledger Entry","Quantity","Entry Type","Sale","Entry No.",I1227,"Location Code",$L$7)</t>
  </si>
  <si>
    <t>=NL("Sum","Item Ledger Entry","Quantity","Entry Type","Sale","Entry No.",I1228,"Location Code",$L$7)</t>
  </si>
  <si>
    <t>=NL("Sum","Item Ledger Entry","Quantity","Entry Type","Sale","Entry No.",I1229,"Location Code",$L$7)</t>
  </si>
  <si>
    <t>=NL("Sum","Item Ledger Entry","Quantity","Entry Type","Positive Adjmt.|Negative Adjmt.","Entry No.",I1188,"Location Code",$L$7)</t>
  </si>
  <si>
    <t>=NL("Sum","Item Ledger Entry","Quantity","Entry Type","Positive Adjmt.|Negative Adjmt.","Entry No.",I1189,"Location Code",$L$7)</t>
  </si>
  <si>
    <t>=NL("Sum","Item Ledger Entry","Quantity","Entry Type","Positive Adjmt.|Negative Adjmt.","Entry No.",I1190,"Location Code",$L$7)</t>
  </si>
  <si>
    <t>=NL("Sum","Item Ledger Entry","Quantity","Entry Type","Positive Adjmt.|Negative Adjmt.","Entry No.",I1191,"Location Code",$L$7)</t>
  </si>
  <si>
    <t>=NL("Sum","Item Ledger Entry","Quantity","Entry Type","Positive Adjmt.|Negative Adjmt.","Entry No.",I1192,"Location Code",$L$7)</t>
  </si>
  <si>
    <t>=NL("Sum","Item Ledger Entry","Quantity","Entry Type","Positive Adjmt.|Negative Adjmt.","Entry No.",I1193,"Location Code",$L$7)</t>
  </si>
  <si>
    <t>=NL("Sum","Item Ledger Entry","Quantity","Entry Type","Positive Adjmt.|Negative Adjmt.","Entry No.",I1194,"Location Code",$L$7)</t>
  </si>
  <si>
    <t>=NL("Sum","Item Ledger Entry","Quantity","Entry Type","Positive Adjmt.|Negative Adjmt.","Entry No.",I1195,"Location Code",$L$7)</t>
  </si>
  <si>
    <t>=NL("Sum","Item Ledger Entry","Quantity","Entry Type","Positive Adjmt.|Negative Adjmt.","Entry No.",I1196,"Location Code",$L$7)</t>
  </si>
  <si>
    <t>=NL("Sum","Item Ledger Entry","Quantity","Entry Type","Positive Adjmt.|Negative Adjmt.","Entry No.",I1197,"Location Code",$L$7)</t>
  </si>
  <si>
    <t>=NL("Sum","Item Ledger Entry","Quantity","Entry Type","Positive Adjmt.|Negative Adjmt.","Entry No.",I1198,"Location Code",$L$7)</t>
  </si>
  <si>
    <t>=NL("Sum","Item Ledger Entry","Quantity","Entry Type","Positive Adjmt.|Negative Adjmt.","Entry No.",I1199,"Location Code",$L$7)</t>
  </si>
  <si>
    <t>=NL("Sum","Item Ledger Entry","Quantity","Entry Type","Positive Adjmt.|Negative Adjmt.","Entry No.",I1200,"Location Code",$L$7)</t>
  </si>
  <si>
    <t>=NL("Sum","Item Ledger Entry","Quantity","Entry Type","Positive Adjmt.|Negative Adjmt.","Entry No.",I1201,"Location Code",$L$7)</t>
  </si>
  <si>
    <t>=NL("Sum","Item Ledger Entry","Quantity","Entry Type","Positive Adjmt.|Negative Adjmt.","Entry No.",I1202,"Location Code",$L$7)</t>
  </si>
  <si>
    <t>=NL("Sum","Item Ledger Entry","Quantity","Entry Type","Positive Adjmt.|Negative Adjmt.","Entry No.",I1203,"Location Code",$L$7)</t>
  </si>
  <si>
    <t>=NL("Sum","Item Ledger Entry","Quantity","Entry Type","Positive Adjmt.|Negative Adjmt.","Entry No.",I1204,"Location Code",$L$7)</t>
  </si>
  <si>
    <t>=NL("Sum","Item Ledger Entry","Quantity","Entry Type","Positive Adjmt.|Negative Adjmt.","Entry No.",I1205,"Location Code",$L$7)</t>
  </si>
  <si>
    <t>=NL("Sum","Item Ledger Entry","Quantity","Entry Type","Positive Adjmt.|Negative Adjmt.","Entry No.",I1206,"Location Code",$L$7)</t>
  </si>
  <si>
    <t>=NL("Sum","Item Ledger Entry","Quantity","Entry Type","Positive Adjmt.|Negative Adjmt.","Entry No.",I1207,"Location Code",$L$7)</t>
  </si>
  <si>
    <t>=NL("Sum","Item Ledger Entry","Quantity","Entry Type","Positive Adjmt.|Negative Adjmt.","Entry No.",I1208,"Location Code",$L$7)</t>
  </si>
  <si>
    <t>=NL("Sum","Item Ledger Entry","Quantity","Entry Type","Positive Adjmt.|Negative Adjmt.","Entry No.",I1209,"Location Code",$L$7)</t>
  </si>
  <si>
    <t>=NL("Sum","Item Ledger Entry","Quantity","Entry Type","Positive Adjmt.|Negative Adjmt.","Entry No.",I1210,"Location Code",$L$7)</t>
  </si>
  <si>
    <t>=NL("Sum","Item Ledger Entry","Quantity","Entry Type","Positive Adjmt.|Negative Adjmt.","Entry No.",I1211,"Location Code",$L$7)</t>
  </si>
  <si>
    <t>=NL("Sum","Item Ledger Entry","Quantity","Entry Type","Positive Adjmt.|Negative Adjmt.","Entry No.",I1212,"Location Code",$L$7)</t>
  </si>
  <si>
    <t>=NL("Sum","Item Ledger Entry","Quantity","Entry Type","Positive Adjmt.|Negative Adjmt.","Entry No.",I1213,"Location Code",$L$7)</t>
  </si>
  <si>
    <t>=NL("Sum","Item Ledger Entry","Quantity","Entry Type","Positive Adjmt.|Negative Adjmt.","Entry No.",I1214,"Location Code",$L$7)</t>
  </si>
  <si>
    <t>=NL("Sum","Item Ledger Entry","Quantity","Entry Type","Positive Adjmt.|Negative Adjmt.","Entry No.",I1215,"Location Code",$L$7)</t>
  </si>
  <si>
    <t>=NL("Sum","Item Ledger Entry","Quantity","Entry Type","Positive Adjmt.|Negative Adjmt.","Entry No.",I1216,"Location Code",$L$7)</t>
  </si>
  <si>
    <t>=NL("Sum","Item Ledger Entry","Quantity","Entry Type","Positive Adjmt.|Negative Adjmt.","Entry No.",I1217,"Location Code",$L$7)</t>
  </si>
  <si>
    <t>=NL("Sum","Item Ledger Entry","Quantity","Entry Type","Positive Adjmt.|Negative Adjmt.","Entry No.",I1218,"Location Code",$L$7)</t>
  </si>
  <si>
    <t>=NL("Sum","Item Ledger Entry","Quantity","Entry Type","Positive Adjmt.|Negative Adjmt.","Entry No.",I1219,"Location Code",$L$7)</t>
  </si>
  <si>
    <t>=NL("Sum","Item Ledger Entry","Quantity","Entry Type","Positive Adjmt.|Negative Adjmt.","Entry No.",I1220,"Location Code",$L$7)</t>
  </si>
  <si>
    <t>=NL("Sum","Item Ledger Entry","Quantity","Entry Type","Positive Adjmt.|Negative Adjmt.","Entry No.",I1221,"Location Code",$L$7)</t>
  </si>
  <si>
    <t>=NL("Sum","Item Ledger Entry","Quantity","Entry Type","Positive Adjmt.|Negative Adjmt.","Entry No.",I1222,"Location Code",$L$7)</t>
  </si>
  <si>
    <t>=NL("Sum","Item Ledger Entry","Quantity","Entry Type","Positive Adjmt.|Negative Adjmt.","Entry No.",I1223,"Location Code",$L$7)</t>
  </si>
  <si>
    <t>=NL("Sum","Item Ledger Entry","Quantity","Entry Type","Positive Adjmt.|Negative Adjmt.","Entry No.",I1224,"Location Code",$L$7)</t>
  </si>
  <si>
    <t>=NL("Sum","Item Ledger Entry","Quantity","Entry Type","Positive Adjmt.|Negative Adjmt.","Entry No.",I1225,"Location Code",$L$7)</t>
  </si>
  <si>
    <t>=NL("Sum","Item Ledger Entry","Quantity","Entry Type","Positive Adjmt.|Negative Adjmt.","Entry No.",I1226,"Location Code",$L$7)</t>
  </si>
  <si>
    <t>=NL("Sum","Item Ledger Entry","Quantity","Entry Type","Positive Adjmt.|Negative Adjmt.","Entry No.",I1227,"Location Code",$L$7)</t>
  </si>
  <si>
    <t>=NL("Sum","Item Ledger Entry","Quantity","Entry Type","Positive Adjmt.|Negative Adjmt.","Entry No.",I1228,"Location Code",$L$7)</t>
  </si>
  <si>
    <t>=NL("Sum","Item Ledger Entry","Quantity","Entry Type","Positive Adjmt.|Negative Adjmt.","Entry No.",I1229,"Location Code",$L$7)</t>
  </si>
  <si>
    <t>=NL("Sum","Item Ledger Entry","Quantity","Entry Type","Transfer","Entry No.",I1188,"Location Code",$L$7)</t>
  </si>
  <si>
    <t>=NL("Sum","Item Ledger Entry","Quantity","Entry Type","Transfer","Entry No.",I1189,"Location Code",$L$7)</t>
  </si>
  <si>
    <t>=NL("Sum","Item Ledger Entry","Quantity","Entry Type","Transfer","Entry No.",I1190,"Location Code",$L$7)</t>
  </si>
  <si>
    <t>=NL("Sum","Item Ledger Entry","Quantity","Entry Type","Transfer","Entry No.",I1191,"Location Code",$L$7)</t>
  </si>
  <si>
    <t>=NL("Sum","Item Ledger Entry","Quantity","Entry Type","Transfer","Entry No.",I1192,"Location Code",$L$7)</t>
  </si>
  <si>
    <t>=NL("Sum","Item Ledger Entry","Quantity","Entry Type","Transfer","Entry No.",I1193,"Location Code",$L$7)</t>
  </si>
  <si>
    <t>=NL("Sum","Item Ledger Entry","Quantity","Entry Type","Transfer","Entry No.",I1194,"Location Code",$L$7)</t>
  </si>
  <si>
    <t>=NL("Sum","Item Ledger Entry","Quantity","Entry Type","Transfer","Entry No.",I1195,"Location Code",$L$7)</t>
  </si>
  <si>
    <t>=NL("Sum","Item Ledger Entry","Quantity","Entry Type","Transfer","Entry No.",I1196,"Location Code",$L$7)</t>
  </si>
  <si>
    <t>=NL("Sum","Item Ledger Entry","Quantity","Entry Type","Transfer","Entry No.",I1197,"Location Code",$L$7)</t>
  </si>
  <si>
    <t>=NL("Sum","Item Ledger Entry","Quantity","Entry Type","Transfer","Entry No.",I1198,"Location Code",$L$7)</t>
  </si>
  <si>
    <t>=NL("Sum","Item Ledger Entry","Quantity","Entry Type","Transfer","Entry No.",I1199,"Location Code",$L$7)</t>
  </si>
  <si>
    <t>=NL("Sum","Item Ledger Entry","Quantity","Entry Type","Transfer","Entry No.",I1200,"Location Code",$L$7)</t>
  </si>
  <si>
    <t>=NL("Sum","Item Ledger Entry","Quantity","Entry Type","Transfer","Entry No.",I1201,"Location Code",$L$7)</t>
  </si>
  <si>
    <t>=NL("Sum","Item Ledger Entry","Quantity","Entry Type","Transfer","Entry No.",I1202,"Location Code",$L$7)</t>
  </si>
  <si>
    <t>=NL("Sum","Item Ledger Entry","Quantity","Entry Type","Transfer","Entry No.",I1203,"Location Code",$L$7)</t>
  </si>
  <si>
    <t>=NL("Sum","Item Ledger Entry","Quantity","Entry Type","Transfer","Entry No.",I1204,"Location Code",$L$7)</t>
  </si>
  <si>
    <t>=NL("Sum","Item Ledger Entry","Quantity","Entry Type","Transfer","Entry No.",I1205,"Location Code",$L$7)</t>
  </si>
  <si>
    <t>=NL("Sum","Item Ledger Entry","Quantity","Entry Type","Transfer","Entry No.",I1206,"Location Code",$L$7)</t>
  </si>
  <si>
    <t>=NL("Sum","Item Ledger Entry","Quantity","Entry Type","Transfer","Entry No.",I1207,"Location Code",$L$7)</t>
  </si>
  <si>
    <t>=NL("Sum","Item Ledger Entry","Quantity","Entry Type","Transfer","Entry No.",I1208,"Location Code",$L$7)</t>
  </si>
  <si>
    <t>=NL("Sum","Item Ledger Entry","Quantity","Entry Type","Transfer","Entry No.",I1209,"Location Code",$L$7)</t>
  </si>
  <si>
    <t>=NL("Sum","Item Ledger Entry","Quantity","Entry Type","Transfer","Entry No.",I1210,"Location Code",$L$7)</t>
  </si>
  <si>
    <t>=NL("Sum","Item Ledger Entry","Quantity","Entry Type","Transfer","Entry No.",I1211,"Location Code",$L$7)</t>
  </si>
  <si>
    <t>=NL("Sum","Item Ledger Entry","Quantity","Entry Type","Transfer","Entry No.",I1212,"Location Code",$L$7)</t>
  </si>
  <si>
    <t>=NL("Sum","Item Ledger Entry","Quantity","Entry Type","Transfer","Entry No.",I1213,"Location Code",$L$7)</t>
  </si>
  <si>
    <t>=NL("Sum","Item Ledger Entry","Quantity","Entry Type","Transfer","Entry No.",I1214,"Location Code",$L$7)</t>
  </si>
  <si>
    <t>=NL("Sum","Item Ledger Entry","Quantity","Entry Type","Transfer","Entry No.",I1215,"Location Code",$L$7)</t>
  </si>
  <si>
    <t>=NL("Sum","Item Ledger Entry","Quantity","Entry Type","Transfer","Entry No.",I1216,"Location Code",$L$7)</t>
  </si>
  <si>
    <t>=NL("Sum","Item Ledger Entry","Quantity","Entry Type","Transfer","Entry No.",I1217,"Location Code",$L$7)</t>
  </si>
  <si>
    <t>=NL("Sum","Item Ledger Entry","Quantity","Entry Type","Transfer","Entry No.",I1218,"Location Code",$L$7)</t>
  </si>
  <si>
    <t>=NL("Sum","Item Ledger Entry","Quantity","Entry Type","Transfer","Entry No.",I1219,"Location Code",$L$7)</t>
  </si>
  <si>
    <t>=NL("Sum","Item Ledger Entry","Quantity","Entry Type","Transfer","Entry No.",I1220,"Location Code",$L$7)</t>
  </si>
  <si>
    <t>=NL("Sum","Item Ledger Entry","Quantity","Entry Type","Transfer","Entry No.",I1221,"Location Code",$L$7)</t>
  </si>
  <si>
    <t>=NL("Sum","Item Ledger Entry","Quantity","Entry Type","Transfer","Entry No.",I1222,"Location Code",$L$7)</t>
  </si>
  <si>
    <t>=NL("Sum","Item Ledger Entry","Quantity","Entry Type","Transfer","Entry No.",I1223,"Location Code",$L$7)</t>
  </si>
  <si>
    <t>=NL("Sum","Item Ledger Entry","Quantity","Entry Type","Transfer","Entry No.",I1224,"Location Code",$L$7)</t>
  </si>
  <si>
    <t>=NL("Sum","Item Ledger Entry","Quantity","Entry Type","Transfer","Entry No.",I1225,"Location Code",$L$7)</t>
  </si>
  <si>
    <t>=NL("Sum","Item Ledger Entry","Quantity","Entry Type","Transfer","Entry No.",I1226,"Location Code",$L$7)</t>
  </si>
  <si>
    <t>=NL("Sum","Item Ledger Entry","Quantity","Entry Type","Transfer","Entry No.",I1227,"Location Code",$L$7)</t>
  </si>
  <si>
    <t>=NL("Sum","Item Ledger Entry","Quantity","Entry Type","Transfer","Entry No.",I1228,"Location Code",$L$7)</t>
  </si>
  <si>
    <t>=NL("Sum","Item Ledger Entry","Quantity","Entry Type","Transfer","Entry No.",I1229,"Location Code",$L$7)</t>
  </si>
  <si>
    <t>=NL("Sum","Item Ledger Entry","Quantity","Entry Type","Consumption","Entry No.",I1188,"Location Code",$L$7)</t>
  </si>
  <si>
    <t>=NL("Sum","Item Ledger Entry","Quantity","Entry Type","Consumption","Entry No.",I1189,"Location Code",$L$7)</t>
  </si>
  <si>
    <t>=NL("Sum","Item Ledger Entry","Quantity","Entry Type","Consumption","Entry No.",I1190,"Location Code",$L$7)</t>
  </si>
  <si>
    <t>=NL("Sum","Item Ledger Entry","Quantity","Entry Type","Consumption","Entry No.",I1191,"Location Code",$L$7)</t>
  </si>
  <si>
    <t>=NL("Sum","Item Ledger Entry","Quantity","Entry Type","Consumption","Entry No.",I1192,"Location Code",$L$7)</t>
  </si>
  <si>
    <t>=NL("Sum","Item Ledger Entry","Quantity","Entry Type","Consumption","Entry No.",I1193,"Location Code",$L$7)</t>
  </si>
  <si>
    <t>=NL("Sum","Item Ledger Entry","Quantity","Entry Type","Consumption","Entry No.",I1194,"Location Code",$L$7)</t>
  </si>
  <si>
    <t>=NL("Sum","Item Ledger Entry","Quantity","Entry Type","Consumption","Entry No.",I1195,"Location Code",$L$7)</t>
  </si>
  <si>
    <t>=NL("Sum","Item Ledger Entry","Quantity","Entry Type","Consumption","Entry No.",I1196,"Location Code",$L$7)</t>
  </si>
  <si>
    <t>=NL("Sum","Item Ledger Entry","Quantity","Entry Type","Consumption","Entry No.",I1197,"Location Code",$L$7)</t>
  </si>
  <si>
    <t>=NL("Sum","Item Ledger Entry","Quantity","Entry Type","Consumption","Entry No.",I1198,"Location Code",$L$7)</t>
  </si>
  <si>
    <t>=NL("Sum","Item Ledger Entry","Quantity","Entry Type","Consumption","Entry No.",I1199,"Location Code",$L$7)</t>
  </si>
  <si>
    <t>=NL("Sum","Item Ledger Entry","Quantity","Entry Type","Consumption","Entry No.",I1200,"Location Code",$L$7)</t>
  </si>
  <si>
    <t>=NL("Sum","Item Ledger Entry","Quantity","Entry Type","Consumption","Entry No.",I1201,"Location Code",$L$7)</t>
  </si>
  <si>
    <t>=NL("Sum","Item Ledger Entry","Quantity","Entry Type","Consumption","Entry No.",I1202,"Location Code",$L$7)</t>
  </si>
  <si>
    <t>=NL("Sum","Item Ledger Entry","Quantity","Entry Type","Consumption","Entry No.",I1203,"Location Code",$L$7)</t>
  </si>
  <si>
    <t>=NL("Sum","Item Ledger Entry","Quantity","Entry Type","Consumption","Entry No.",I1204,"Location Code",$L$7)</t>
  </si>
  <si>
    <t>=NL("Sum","Item Ledger Entry","Quantity","Entry Type","Consumption","Entry No.",I1205,"Location Code",$L$7)</t>
  </si>
  <si>
    <t>=NL("Sum","Item Ledger Entry","Quantity","Entry Type","Consumption","Entry No.",I1206,"Location Code",$L$7)</t>
  </si>
  <si>
    <t>=NL("Sum","Item Ledger Entry","Quantity","Entry Type","Consumption","Entry No.",I1207,"Location Code",$L$7)</t>
  </si>
  <si>
    <t>=NL("Sum","Item Ledger Entry","Quantity","Entry Type","Consumption","Entry No.",I1208,"Location Code",$L$7)</t>
  </si>
  <si>
    <t>=NL("Sum","Item Ledger Entry","Quantity","Entry Type","Consumption","Entry No.",I1209,"Location Code",$L$7)</t>
  </si>
  <si>
    <t>=NL("Sum","Item Ledger Entry","Quantity","Entry Type","Consumption","Entry No.",I1210,"Location Code",$L$7)</t>
  </si>
  <si>
    <t>=NL("Sum","Item Ledger Entry","Quantity","Entry Type","Consumption","Entry No.",I1211,"Location Code",$L$7)</t>
  </si>
  <si>
    <t>=NL("Sum","Item Ledger Entry","Quantity","Entry Type","Consumption","Entry No.",I1212,"Location Code",$L$7)</t>
  </si>
  <si>
    <t>=NL("Sum","Item Ledger Entry","Quantity","Entry Type","Consumption","Entry No.",I1213,"Location Code",$L$7)</t>
  </si>
  <si>
    <t>=NL("Sum","Item Ledger Entry","Quantity","Entry Type","Consumption","Entry No.",I1214,"Location Code",$L$7)</t>
  </si>
  <si>
    <t>=NL("Sum","Item Ledger Entry","Quantity","Entry Type","Consumption","Entry No.",I1215,"Location Code",$L$7)</t>
  </si>
  <si>
    <t>=NL("Sum","Item Ledger Entry","Quantity","Entry Type","Consumption","Entry No.",I1216,"Location Code",$L$7)</t>
  </si>
  <si>
    <t>=NL("Sum","Item Ledger Entry","Quantity","Entry Type","Consumption","Entry No.",I1217,"Location Code",$L$7)</t>
  </si>
  <si>
    <t>=NL("Sum","Item Ledger Entry","Quantity","Entry Type","Consumption","Entry No.",I1218,"Location Code",$L$7)</t>
  </si>
  <si>
    <t>=NL("Sum","Item Ledger Entry","Quantity","Entry Type","Consumption","Entry No.",I1219,"Location Code",$L$7)</t>
  </si>
  <si>
    <t>=NL("Sum","Item Ledger Entry","Quantity","Entry Type","Consumption","Entry No.",I1220,"Location Code",$L$7)</t>
  </si>
  <si>
    <t>=NL("Sum","Item Ledger Entry","Quantity","Entry Type","Consumption","Entry No.",I1221,"Location Code",$L$7)</t>
  </si>
  <si>
    <t>=NL("Sum","Item Ledger Entry","Quantity","Entry Type","Consumption","Entry No.",I1222,"Location Code",$L$7)</t>
  </si>
  <si>
    <t>=NL("Sum","Item Ledger Entry","Quantity","Entry Type","Consumption","Entry No.",I1223,"Location Code",$L$7)</t>
  </si>
  <si>
    <t>=NL("Sum","Item Ledger Entry","Quantity","Entry Type","Consumption","Entry No.",I1224,"Location Code",$L$7)</t>
  </si>
  <si>
    <t>=NL("Sum","Item Ledger Entry","Quantity","Entry Type","Consumption","Entry No.",I1225,"Location Code",$L$7)</t>
  </si>
  <si>
    <t>=NL("Sum","Item Ledger Entry","Quantity","Entry Type","Consumption","Entry No.",I1226,"Location Code",$L$7)</t>
  </si>
  <si>
    <t>=NL("Sum","Item Ledger Entry","Quantity","Entry Type","Consumption","Entry No.",I1227,"Location Code",$L$7)</t>
  </si>
  <si>
    <t>=NL("Sum","Item Ledger Entry","Quantity","Entry Type","Consumption","Entry No.",I1228,"Location Code",$L$7)</t>
  </si>
  <si>
    <t>=NL("Sum","Item Ledger Entry","Quantity","Entry Type","Consumption","Entry No.",I1229,"Location Code",$L$7)</t>
  </si>
  <si>
    <t>=NL("Sum","Item Ledger Entry","Quantity","Entry Type","Output","Entry No.",I1188,"Location Code",$L$7)</t>
  </si>
  <si>
    <t>=NL("Sum","Item Ledger Entry","Quantity","Entry Type","Output","Entry No.",I1189,"Location Code",$L$7)</t>
  </si>
  <si>
    <t>=NL("Sum","Item Ledger Entry","Quantity","Entry Type","Output","Entry No.",I1190,"Location Code",$L$7)</t>
  </si>
  <si>
    <t>=NL("Sum","Item Ledger Entry","Quantity","Entry Type","Output","Entry No.",I1191,"Location Code",$L$7)</t>
  </si>
  <si>
    <t>=NL("Sum","Item Ledger Entry","Quantity","Entry Type","Output","Entry No.",I1192,"Location Code",$L$7)</t>
  </si>
  <si>
    <t>=NL("Sum","Item Ledger Entry","Quantity","Entry Type","Output","Entry No.",I1193,"Location Code",$L$7)</t>
  </si>
  <si>
    <t>=NL("Sum","Item Ledger Entry","Quantity","Entry Type","Output","Entry No.",I1194,"Location Code",$L$7)</t>
  </si>
  <si>
    <t>=NL("Sum","Item Ledger Entry","Quantity","Entry Type","Output","Entry No.",I1195,"Location Code",$L$7)</t>
  </si>
  <si>
    <t>=NL("Sum","Item Ledger Entry","Quantity","Entry Type","Output","Entry No.",I1196,"Location Code",$L$7)</t>
  </si>
  <si>
    <t>=NL("Sum","Item Ledger Entry","Quantity","Entry Type","Output","Entry No.",I1197,"Location Code",$L$7)</t>
  </si>
  <si>
    <t>=NL("Sum","Item Ledger Entry","Quantity","Entry Type","Output","Entry No.",I1198,"Location Code",$L$7)</t>
  </si>
  <si>
    <t>=NL("Sum","Item Ledger Entry","Quantity","Entry Type","Output","Entry No.",I1199,"Location Code",$L$7)</t>
  </si>
  <si>
    <t>=NL("Sum","Item Ledger Entry","Quantity","Entry Type","Output","Entry No.",I1200,"Location Code",$L$7)</t>
  </si>
  <si>
    <t>=NL("Sum","Item Ledger Entry","Quantity","Entry Type","Output","Entry No.",I1201,"Location Code",$L$7)</t>
  </si>
  <si>
    <t>=NL("Sum","Item Ledger Entry","Quantity","Entry Type","Output","Entry No.",I1202,"Location Code",$L$7)</t>
  </si>
  <si>
    <t>=NL("Sum","Item Ledger Entry","Quantity","Entry Type","Output","Entry No.",I1203,"Location Code",$L$7)</t>
  </si>
  <si>
    <t>=NL("Sum","Item Ledger Entry","Quantity","Entry Type","Output","Entry No.",I1204,"Location Code",$L$7)</t>
  </si>
  <si>
    <t>=NL("Sum","Item Ledger Entry","Quantity","Entry Type","Output","Entry No.",I1205,"Location Code",$L$7)</t>
  </si>
  <si>
    <t>=NL("Sum","Item Ledger Entry","Quantity","Entry Type","Output","Entry No.",I1206,"Location Code",$L$7)</t>
  </si>
  <si>
    <t>=NL("Sum","Item Ledger Entry","Quantity","Entry Type","Output","Entry No.",I1207,"Location Code",$L$7)</t>
  </si>
  <si>
    <t>=NL("Sum","Item Ledger Entry","Quantity","Entry Type","Output","Entry No.",I1208,"Location Code",$L$7)</t>
  </si>
  <si>
    <t>=NL("Sum","Item Ledger Entry","Quantity","Entry Type","Output","Entry No.",I1209,"Location Code",$L$7)</t>
  </si>
  <si>
    <t>=NL("Sum","Item Ledger Entry","Quantity","Entry Type","Output","Entry No.",I1210,"Location Code",$L$7)</t>
  </si>
  <si>
    <t>=NL("Sum","Item Ledger Entry","Quantity","Entry Type","Output","Entry No.",I1211,"Location Code",$L$7)</t>
  </si>
  <si>
    <t>=NL("Sum","Item Ledger Entry","Quantity","Entry Type","Output","Entry No.",I1212,"Location Code",$L$7)</t>
  </si>
  <si>
    <t>=NL("Sum","Item Ledger Entry","Quantity","Entry Type","Output","Entry No.",I1213,"Location Code",$L$7)</t>
  </si>
  <si>
    <t>=NL("Sum","Item Ledger Entry","Quantity","Entry Type","Output","Entry No.",I1214,"Location Code",$L$7)</t>
  </si>
  <si>
    <t>=NL("Sum","Item Ledger Entry","Quantity","Entry Type","Output","Entry No.",I1215,"Location Code",$L$7)</t>
  </si>
  <si>
    <t>=NL("Sum","Item Ledger Entry","Quantity","Entry Type","Output","Entry No.",I1216,"Location Code",$L$7)</t>
  </si>
  <si>
    <t>=NL("Sum","Item Ledger Entry","Quantity","Entry Type","Output","Entry No.",I1217,"Location Code",$L$7)</t>
  </si>
  <si>
    <t>=NL("Sum","Item Ledger Entry","Quantity","Entry Type","Output","Entry No.",I1218,"Location Code",$L$7)</t>
  </si>
  <si>
    <t>=NL("Sum","Item Ledger Entry","Quantity","Entry Type","Output","Entry No.",I1219,"Location Code",$L$7)</t>
  </si>
  <si>
    <t>=NL("Sum","Item Ledger Entry","Quantity","Entry Type","Output","Entry No.",I1220,"Location Code",$L$7)</t>
  </si>
  <si>
    <t>=NL("Sum","Item Ledger Entry","Quantity","Entry Type","Output","Entry No.",I1221,"Location Code",$L$7)</t>
  </si>
  <si>
    <t>=NL("Sum","Item Ledger Entry","Quantity","Entry Type","Output","Entry No.",I1222,"Location Code",$L$7)</t>
  </si>
  <si>
    <t>=NL("Sum","Item Ledger Entry","Quantity","Entry Type","Output","Entry No.",I1223,"Location Code",$L$7)</t>
  </si>
  <si>
    <t>=NL("Sum","Item Ledger Entry","Quantity","Entry Type","Output","Entry No.",I1224,"Location Code",$L$7)</t>
  </si>
  <si>
    <t>=NL("Sum","Item Ledger Entry","Quantity","Entry Type","Output","Entry No.",I1225,"Location Code",$L$7)</t>
  </si>
  <si>
    <t>=NL("Sum","Item Ledger Entry","Quantity","Entry Type","Output","Entry No.",I1226,"Location Code",$L$7)</t>
  </si>
  <si>
    <t>=NL("Sum","Item Ledger Entry","Quantity","Entry Type","Output","Entry No.",I1227,"Location Code",$L$7)</t>
  </si>
  <si>
    <t>=NL("Sum","Item Ledger Entry","Quantity","Entry Type","Output","Entry No.",I1228,"Location Code",$L$7)</t>
  </si>
  <si>
    <t>=NL("Sum","Item Ledger Entry","Quantity","Entry Type","Output","Entry No.",I1229,"Location Code",$L$7)</t>
  </si>
  <si>
    <t>=NF(G1188,"Source Type")</t>
  </si>
  <si>
    <t>=NF(G1189,"Source Type")</t>
  </si>
  <si>
    <t>=NF(G1190,"Source Type")</t>
  </si>
  <si>
    <t>=NF(G1191,"Source Type")</t>
  </si>
  <si>
    <t>=NF(G1192,"Source Type")</t>
  </si>
  <si>
    <t>=NF(G1193,"Source Type")</t>
  </si>
  <si>
    <t>=NF(G1194,"Source Type")</t>
  </si>
  <si>
    <t>=NF(G1195,"Source Type")</t>
  </si>
  <si>
    <t>=NF(G1196,"Source Type")</t>
  </si>
  <si>
    <t>=NF(G1197,"Source Type")</t>
  </si>
  <si>
    <t>=NF(G1198,"Source Type")</t>
  </si>
  <si>
    <t>=NF(G1199,"Source Type")</t>
  </si>
  <si>
    <t>=NF(G1200,"Source Type")</t>
  </si>
  <si>
    <t>=NF(G1201,"Source Type")</t>
  </si>
  <si>
    <t>=NF(G1202,"Source Type")</t>
  </si>
  <si>
    <t>=NF(G1203,"Source Type")</t>
  </si>
  <si>
    <t>=NF(G1204,"Source Type")</t>
  </si>
  <si>
    <t>=NF(G1205,"Source Type")</t>
  </si>
  <si>
    <t>=NF(G1206,"Source Type")</t>
  </si>
  <si>
    <t>=NF(G1207,"Source Type")</t>
  </si>
  <si>
    <t>=NF(G1208,"Source Type")</t>
  </si>
  <si>
    <t>=NF(G1209,"Source Type")</t>
  </si>
  <si>
    <t>=NF(G1210,"Source Type")</t>
  </si>
  <si>
    <t>=NF(G1211,"Source Type")</t>
  </si>
  <si>
    <t>=NF(G1212,"Source Type")</t>
  </si>
  <si>
    <t>=NF(G1213,"Source Type")</t>
  </si>
  <si>
    <t>=NF(G1214,"Source Type")</t>
  </si>
  <si>
    <t>=NF(G1215,"Source Type")</t>
  </si>
  <si>
    <t>=NF(G1216,"Source Type")</t>
  </si>
  <si>
    <t>=NF(G1217,"Source Type")</t>
  </si>
  <si>
    <t>=NF(G1218,"Source Type")</t>
  </si>
  <si>
    <t>=NF(G1219,"Source Type")</t>
  </si>
  <si>
    <t>=NF(G1220,"Source Type")</t>
  </si>
  <si>
    <t>=NF(G1221,"Source Type")</t>
  </si>
  <si>
    <t>=NF(G1222,"Source Type")</t>
  </si>
  <si>
    <t>=NF(G1223,"Source Type")</t>
  </si>
  <si>
    <t>=NF(G1224,"Source Type")</t>
  </si>
  <si>
    <t>=NF(G1225,"Source Type")</t>
  </si>
  <si>
    <t>=NF(G1226,"Source Type")</t>
  </si>
  <si>
    <t>=NF(G1227,"Source Type")</t>
  </si>
  <si>
    <t>=NF(G1228,"Source Type")</t>
  </si>
  <si>
    <t>=NF(G1229,"Source Type")</t>
  </si>
  <si>
    <t>=NF($G1188,"Source No.")</t>
  </si>
  <si>
    <t>=NF($G1189,"Source No.")</t>
  </si>
  <si>
    <t>=NF($G1190,"Source No.")</t>
  </si>
  <si>
    <t>=NF($G1191,"Source No.")</t>
  </si>
  <si>
    <t>=NF($G1192,"Source No.")</t>
  </si>
  <si>
    <t>=NF($G1193,"Source No.")</t>
  </si>
  <si>
    <t>=NF($G1194,"Source No.")</t>
  </si>
  <si>
    <t>=NF($G1195,"Source No.")</t>
  </si>
  <si>
    <t>=NF($G1196,"Source No.")</t>
  </si>
  <si>
    <t>=NF($G1197,"Source No.")</t>
  </si>
  <si>
    <t>=NF($G1198,"Source No.")</t>
  </si>
  <si>
    <t>=NF($G1199,"Source No.")</t>
  </si>
  <si>
    <t>=NF($G1200,"Source No.")</t>
  </si>
  <si>
    <t>=NF($G1201,"Source No.")</t>
  </si>
  <si>
    <t>=NF($G1202,"Source No.")</t>
  </si>
  <si>
    <t>=NF($G1203,"Source No.")</t>
  </si>
  <si>
    <t>=NF($G1204,"Source No.")</t>
  </si>
  <si>
    <t>=NF($G1205,"Source No.")</t>
  </si>
  <si>
    <t>=NF($G1206,"Source No.")</t>
  </si>
  <si>
    <t>=NF($G1207,"Source No.")</t>
  </si>
  <si>
    <t>=NF($G1208,"Source No.")</t>
  </si>
  <si>
    <t>=NF($G1209,"Source No.")</t>
  </si>
  <si>
    <t>=NF($G1210,"Source No.")</t>
  </si>
  <si>
    <t>=NF($G1211,"Source No.")</t>
  </si>
  <si>
    <t>=NF($G1212,"Source No.")</t>
  </si>
  <si>
    <t>=NF($G1213,"Source No.")</t>
  </si>
  <si>
    <t>=NF($G1214,"Source No.")</t>
  </si>
  <si>
    <t>=NF($G1215,"Source No.")</t>
  </si>
  <si>
    <t>=NF($G1216,"Source No.")</t>
  </si>
  <si>
    <t>=NF($G1217,"Source No.")</t>
  </si>
  <si>
    <t>=NF($G1218,"Source No.")</t>
  </si>
  <si>
    <t>=NF($G1219,"Source No.")</t>
  </si>
  <si>
    <t>=NF($G1220,"Source No.")</t>
  </si>
  <si>
    <t>=NF($G1221,"Source No.")</t>
  </si>
  <si>
    <t>=NF($G1222,"Source No.")</t>
  </si>
  <si>
    <t>=NF($G1223,"Source No.")</t>
  </si>
  <si>
    <t>=NF($G1224,"Source No.")</t>
  </si>
  <si>
    <t>=NF($G1225,"Source No.")</t>
  </si>
  <si>
    <t>=NF($G1226,"Source No.")</t>
  </si>
  <si>
    <t>=NF($G1227,"Source No.")</t>
  </si>
  <si>
    <t>=NF($G1228,"Source No.")</t>
  </si>
  <si>
    <t>=NF($G1229,"Source No.")</t>
  </si>
  <si>
    <t>=NF($G1164,"Posting Date")</t>
  </si>
  <si>
    <t>=NF($G1165,"Posting Date")</t>
  </si>
  <si>
    <t>=NF($G1166,"Posting Date")</t>
  </si>
  <si>
    <t>=NF($G1167,"Posting Date")</t>
  </si>
  <si>
    <t>=NF($G1168,"Posting Date")</t>
  </si>
  <si>
    <t>=NF($G1169,"Posting Date")</t>
  </si>
  <si>
    <t>=NF($G1170,"Posting Date")</t>
  </si>
  <si>
    <t>=NF($G1171,"Posting Date")</t>
  </si>
  <si>
    <t>=NF($G1172,"Posting Date")</t>
  </si>
  <si>
    <t>=NF($G1173,"Posting Date")</t>
  </si>
  <si>
    <t>=NF($G1174,"Posting Date")</t>
  </si>
  <si>
    <t>=NF($G1175,"Posting Date")</t>
  </si>
  <si>
    <t>=NF($G1176,"Posting Date")</t>
  </si>
  <si>
    <t>=NF($G1177,"Posting Date")</t>
  </si>
  <si>
    <t>=NF($G1178,"Posting Date")</t>
  </si>
  <si>
    <t>=NF($G1179,"Posting Date")</t>
  </si>
  <si>
    <t>=NF($G1180,"Posting Date")</t>
  </si>
  <si>
    <t>=NF($G1181,"Posting Date")</t>
  </si>
  <si>
    <t>=NF($G1182,"Posting Date")</t>
  </si>
  <si>
    <t>=NF($G1183,"Posting Date")</t>
  </si>
  <si>
    <t>=NF($G1184,"Posting Date")</t>
  </si>
  <si>
    <t>=NF($G1164,"Entry No.")</t>
  </si>
  <si>
    <t>=NF($G1165,"Entry No.")</t>
  </si>
  <si>
    <t>=NF($G1166,"Entry No.")</t>
  </si>
  <si>
    <t>=NF($G1167,"Entry No.")</t>
  </si>
  <si>
    <t>=NF($G1168,"Entry No.")</t>
  </si>
  <si>
    <t>=NF($G1169,"Entry No.")</t>
  </si>
  <si>
    <t>=NF($G1170,"Entry No.")</t>
  </si>
  <si>
    <t>=NF($G1171,"Entry No.")</t>
  </si>
  <si>
    <t>=NF($G1172,"Entry No.")</t>
  </si>
  <si>
    <t>=NF($G1173,"Entry No.")</t>
  </si>
  <si>
    <t>=NF($G1174,"Entry No.")</t>
  </si>
  <si>
    <t>=NF($G1175,"Entry No.")</t>
  </si>
  <si>
    <t>=NF($G1176,"Entry No.")</t>
  </si>
  <si>
    <t>=NF($G1177,"Entry No.")</t>
  </si>
  <si>
    <t>=NF($G1178,"Entry No.")</t>
  </si>
  <si>
    <t>=NF($G1179,"Entry No.")</t>
  </si>
  <si>
    <t>=NF($G1180,"Entry No.")</t>
  </si>
  <si>
    <t>=NF($G1181,"Entry No.")</t>
  </si>
  <si>
    <t>=NF($G1182,"Entry No.")</t>
  </si>
  <si>
    <t>=NF($G1183,"Entry No.")</t>
  </si>
  <si>
    <t>=NF($G1184,"Entry No.")</t>
  </si>
  <si>
    <t>=NL("Sum","Item Ledger Entry","Quantity","Entry Type","Purchase","Entry No.",I1164,"Location Code",$L$7)</t>
  </si>
  <si>
    <t>=NL("Sum","Item Ledger Entry","Quantity","Entry Type","Purchase","Entry No.",I1165,"Location Code",$L$7)</t>
  </si>
  <si>
    <t>=NL("Sum","Item Ledger Entry","Quantity","Entry Type","Purchase","Entry No.",I1166,"Location Code",$L$7)</t>
  </si>
  <si>
    <t>=NL("Sum","Item Ledger Entry","Quantity","Entry Type","Purchase","Entry No.",I1167,"Location Code",$L$7)</t>
  </si>
  <si>
    <t>=NL("Sum","Item Ledger Entry","Quantity","Entry Type","Purchase","Entry No.",I1168,"Location Code",$L$7)</t>
  </si>
  <si>
    <t>=NL("Sum","Item Ledger Entry","Quantity","Entry Type","Purchase","Entry No.",I1169,"Location Code",$L$7)</t>
  </si>
  <si>
    <t>=NL("Sum","Item Ledger Entry","Quantity","Entry Type","Purchase","Entry No.",I1170,"Location Code",$L$7)</t>
  </si>
  <si>
    <t>=NL("Sum","Item Ledger Entry","Quantity","Entry Type","Purchase","Entry No.",I1171,"Location Code",$L$7)</t>
  </si>
  <si>
    <t>=NL("Sum","Item Ledger Entry","Quantity","Entry Type","Purchase","Entry No.",I1172,"Location Code",$L$7)</t>
  </si>
  <si>
    <t>=NL("Sum","Item Ledger Entry","Quantity","Entry Type","Purchase","Entry No.",I1173,"Location Code",$L$7)</t>
  </si>
  <si>
    <t>=NL("Sum","Item Ledger Entry","Quantity","Entry Type","Purchase","Entry No.",I1174,"Location Code",$L$7)</t>
  </si>
  <si>
    <t>=NL("Sum","Item Ledger Entry","Quantity","Entry Type","Purchase","Entry No.",I1175,"Location Code",$L$7)</t>
  </si>
  <si>
    <t>=NL("Sum","Item Ledger Entry","Quantity","Entry Type","Purchase","Entry No.",I1176,"Location Code",$L$7)</t>
  </si>
  <si>
    <t>=NL("Sum","Item Ledger Entry","Quantity","Entry Type","Purchase","Entry No.",I1177,"Location Code",$L$7)</t>
  </si>
  <si>
    <t>=NL("Sum","Item Ledger Entry","Quantity","Entry Type","Purchase","Entry No.",I1178,"Location Code",$L$7)</t>
  </si>
  <si>
    <t>=NL("Sum","Item Ledger Entry","Quantity","Entry Type","Purchase","Entry No.",I1179,"Location Code",$L$7)</t>
  </si>
  <si>
    <t>=NL("Sum","Item Ledger Entry","Quantity","Entry Type","Purchase","Entry No.",I1180,"Location Code",$L$7)</t>
  </si>
  <si>
    <t>=NL("Sum","Item Ledger Entry","Quantity","Entry Type","Purchase","Entry No.",I1181,"Location Code",$L$7)</t>
  </si>
  <si>
    <t>=NL("Sum","Item Ledger Entry","Quantity","Entry Type","Purchase","Entry No.",I1182,"Location Code",$L$7)</t>
  </si>
  <si>
    <t>=NL("Sum","Item Ledger Entry","Quantity","Entry Type","Purchase","Entry No.",I1183,"Location Code",$L$7)</t>
  </si>
  <si>
    <t>=NL("Sum","Item Ledger Entry","Quantity","Entry Type","Purchase","Entry No.",I1184,"Location Code",$L$7)</t>
  </si>
  <si>
    <t>=NL("Sum","Item Ledger Entry","Quantity","Entry Type","Sale","Entry No.",I1164,"Location Code",$L$7)</t>
  </si>
  <si>
    <t>=NL("Sum","Item Ledger Entry","Quantity","Entry Type","Sale","Entry No.",I1165,"Location Code",$L$7)</t>
  </si>
  <si>
    <t>=NL("Sum","Item Ledger Entry","Quantity","Entry Type","Sale","Entry No.",I1166,"Location Code",$L$7)</t>
  </si>
  <si>
    <t>=NL("Sum","Item Ledger Entry","Quantity","Entry Type","Sale","Entry No.",I1167,"Location Code",$L$7)</t>
  </si>
  <si>
    <t>=NL("Sum","Item Ledger Entry","Quantity","Entry Type","Sale","Entry No.",I1168,"Location Code",$L$7)</t>
  </si>
  <si>
    <t>=NL("Sum","Item Ledger Entry","Quantity","Entry Type","Sale","Entry No.",I1169,"Location Code",$L$7)</t>
  </si>
  <si>
    <t>=NL("Sum","Item Ledger Entry","Quantity","Entry Type","Sale","Entry No.",I1170,"Location Code",$L$7)</t>
  </si>
  <si>
    <t>=NL("Sum","Item Ledger Entry","Quantity","Entry Type","Sale","Entry No.",I1171,"Location Code",$L$7)</t>
  </si>
  <si>
    <t>=NL("Sum","Item Ledger Entry","Quantity","Entry Type","Sale","Entry No.",I1172,"Location Code",$L$7)</t>
  </si>
  <si>
    <t>=NL("Sum","Item Ledger Entry","Quantity","Entry Type","Sale","Entry No.",I1173,"Location Code",$L$7)</t>
  </si>
  <si>
    <t>=NL("Sum","Item Ledger Entry","Quantity","Entry Type","Sale","Entry No.",I1174,"Location Code",$L$7)</t>
  </si>
  <si>
    <t>=NL("Sum","Item Ledger Entry","Quantity","Entry Type","Sale","Entry No.",I1175,"Location Code",$L$7)</t>
  </si>
  <si>
    <t>=NL("Sum","Item Ledger Entry","Quantity","Entry Type","Sale","Entry No.",I1176,"Location Code",$L$7)</t>
  </si>
  <si>
    <t>=NL("Sum","Item Ledger Entry","Quantity","Entry Type","Sale","Entry No.",I1177,"Location Code",$L$7)</t>
  </si>
  <si>
    <t>=NL("Sum","Item Ledger Entry","Quantity","Entry Type","Sale","Entry No.",I1178,"Location Code",$L$7)</t>
  </si>
  <si>
    <t>=NL("Sum","Item Ledger Entry","Quantity","Entry Type","Sale","Entry No.",I1179,"Location Code",$L$7)</t>
  </si>
  <si>
    <t>=NL("Sum","Item Ledger Entry","Quantity","Entry Type","Sale","Entry No.",I1180,"Location Code",$L$7)</t>
  </si>
  <si>
    <t>=NL("Sum","Item Ledger Entry","Quantity","Entry Type","Sale","Entry No.",I1181,"Location Code",$L$7)</t>
  </si>
  <si>
    <t>=NL("Sum","Item Ledger Entry","Quantity","Entry Type","Sale","Entry No.",I1182,"Location Code",$L$7)</t>
  </si>
  <si>
    <t>=NL("Sum","Item Ledger Entry","Quantity","Entry Type","Sale","Entry No.",I1183,"Location Code",$L$7)</t>
  </si>
  <si>
    <t>=NL("Sum","Item Ledger Entry","Quantity","Entry Type","Sale","Entry No.",I1184,"Location Code",$L$7)</t>
  </si>
  <si>
    <t>=NL("Sum","Item Ledger Entry","Quantity","Entry Type","Positive Adjmt.|Negative Adjmt.","Entry No.",I1164,"Location Code",$L$7)</t>
  </si>
  <si>
    <t>=NL("Sum","Item Ledger Entry","Quantity","Entry Type","Positive Adjmt.|Negative Adjmt.","Entry No.",I1165,"Location Code",$L$7)</t>
  </si>
  <si>
    <t>=NL("Sum","Item Ledger Entry","Quantity","Entry Type","Positive Adjmt.|Negative Adjmt.","Entry No.",I1166,"Location Code",$L$7)</t>
  </si>
  <si>
    <t>=NL("Sum","Item Ledger Entry","Quantity","Entry Type","Positive Adjmt.|Negative Adjmt.","Entry No.",I1167,"Location Code",$L$7)</t>
  </si>
  <si>
    <t>=NL("Sum","Item Ledger Entry","Quantity","Entry Type","Positive Adjmt.|Negative Adjmt.","Entry No.",I1168,"Location Code",$L$7)</t>
  </si>
  <si>
    <t>=NL("Sum","Item Ledger Entry","Quantity","Entry Type","Positive Adjmt.|Negative Adjmt.","Entry No.",I1169,"Location Code",$L$7)</t>
  </si>
  <si>
    <t>=NL("Sum","Item Ledger Entry","Quantity","Entry Type","Positive Adjmt.|Negative Adjmt.","Entry No.",I1170,"Location Code",$L$7)</t>
  </si>
  <si>
    <t>=NL("Sum","Item Ledger Entry","Quantity","Entry Type","Positive Adjmt.|Negative Adjmt.","Entry No.",I1171,"Location Code",$L$7)</t>
  </si>
  <si>
    <t>=NL("Sum","Item Ledger Entry","Quantity","Entry Type","Positive Adjmt.|Negative Adjmt.","Entry No.",I1172,"Location Code",$L$7)</t>
  </si>
  <si>
    <t>=NL("Sum","Item Ledger Entry","Quantity","Entry Type","Positive Adjmt.|Negative Adjmt.","Entry No.",I1173,"Location Code",$L$7)</t>
  </si>
  <si>
    <t>=NL("Sum","Item Ledger Entry","Quantity","Entry Type","Positive Adjmt.|Negative Adjmt.","Entry No.",I1174,"Location Code",$L$7)</t>
  </si>
  <si>
    <t>=NL("Sum","Item Ledger Entry","Quantity","Entry Type","Positive Adjmt.|Negative Adjmt.","Entry No.",I1175,"Location Code",$L$7)</t>
  </si>
  <si>
    <t>=NL("Sum","Item Ledger Entry","Quantity","Entry Type","Positive Adjmt.|Negative Adjmt.","Entry No.",I1176,"Location Code",$L$7)</t>
  </si>
  <si>
    <t>=NL("Sum","Item Ledger Entry","Quantity","Entry Type","Positive Adjmt.|Negative Adjmt.","Entry No.",I1177,"Location Code",$L$7)</t>
  </si>
  <si>
    <t>=NL("Sum","Item Ledger Entry","Quantity","Entry Type","Positive Adjmt.|Negative Adjmt.","Entry No.",I1178,"Location Code",$L$7)</t>
  </si>
  <si>
    <t>=NL("Sum","Item Ledger Entry","Quantity","Entry Type","Positive Adjmt.|Negative Adjmt.","Entry No.",I1179,"Location Code",$L$7)</t>
  </si>
  <si>
    <t>=NL("Sum","Item Ledger Entry","Quantity","Entry Type","Positive Adjmt.|Negative Adjmt.","Entry No.",I1180,"Location Code",$L$7)</t>
  </si>
  <si>
    <t>=NL("Sum","Item Ledger Entry","Quantity","Entry Type","Positive Adjmt.|Negative Adjmt.","Entry No.",I1181,"Location Code",$L$7)</t>
  </si>
  <si>
    <t>=NL("Sum","Item Ledger Entry","Quantity","Entry Type","Positive Adjmt.|Negative Adjmt.","Entry No.",I1182,"Location Code",$L$7)</t>
  </si>
  <si>
    <t>=NL("Sum","Item Ledger Entry","Quantity","Entry Type","Positive Adjmt.|Negative Adjmt.","Entry No.",I1183,"Location Code",$L$7)</t>
  </si>
  <si>
    <t>=NL("Sum","Item Ledger Entry","Quantity","Entry Type","Positive Adjmt.|Negative Adjmt.","Entry No.",I1184,"Location Code",$L$7)</t>
  </si>
  <si>
    <t>=NL("Sum","Item Ledger Entry","Quantity","Entry Type","Transfer","Entry No.",I1164,"Location Code",$L$7)</t>
  </si>
  <si>
    <t>=NL("Sum","Item Ledger Entry","Quantity","Entry Type","Transfer","Entry No.",I1165,"Location Code",$L$7)</t>
  </si>
  <si>
    <t>=NL("Sum","Item Ledger Entry","Quantity","Entry Type","Transfer","Entry No.",I1166,"Location Code",$L$7)</t>
  </si>
  <si>
    <t>=NL("Sum","Item Ledger Entry","Quantity","Entry Type","Transfer","Entry No.",I1167,"Location Code",$L$7)</t>
  </si>
  <si>
    <t>=NL("Sum","Item Ledger Entry","Quantity","Entry Type","Transfer","Entry No.",I1168,"Location Code",$L$7)</t>
  </si>
  <si>
    <t>=NL("Sum","Item Ledger Entry","Quantity","Entry Type","Transfer","Entry No.",I1169,"Location Code",$L$7)</t>
  </si>
  <si>
    <t>=NL("Sum","Item Ledger Entry","Quantity","Entry Type","Transfer","Entry No.",I1170,"Location Code",$L$7)</t>
  </si>
  <si>
    <t>=NL("Sum","Item Ledger Entry","Quantity","Entry Type","Transfer","Entry No.",I1171,"Location Code",$L$7)</t>
  </si>
  <si>
    <t>=NL("Sum","Item Ledger Entry","Quantity","Entry Type","Transfer","Entry No.",I1172,"Location Code",$L$7)</t>
  </si>
  <si>
    <t>=NL("Sum","Item Ledger Entry","Quantity","Entry Type","Transfer","Entry No.",I1173,"Location Code",$L$7)</t>
  </si>
  <si>
    <t>=NL("Sum","Item Ledger Entry","Quantity","Entry Type","Transfer","Entry No.",I1174,"Location Code",$L$7)</t>
  </si>
  <si>
    <t>=NL("Sum","Item Ledger Entry","Quantity","Entry Type","Transfer","Entry No.",I1175,"Location Code",$L$7)</t>
  </si>
  <si>
    <t>=NL("Sum","Item Ledger Entry","Quantity","Entry Type","Transfer","Entry No.",I1176,"Location Code",$L$7)</t>
  </si>
  <si>
    <t>=NL("Sum","Item Ledger Entry","Quantity","Entry Type","Transfer","Entry No.",I1177,"Location Code",$L$7)</t>
  </si>
  <si>
    <t>=NL("Sum","Item Ledger Entry","Quantity","Entry Type","Transfer","Entry No.",I1178,"Location Code",$L$7)</t>
  </si>
  <si>
    <t>=NL("Sum","Item Ledger Entry","Quantity","Entry Type","Transfer","Entry No.",I1179,"Location Code",$L$7)</t>
  </si>
  <si>
    <t>=NL("Sum","Item Ledger Entry","Quantity","Entry Type","Transfer","Entry No.",I1180,"Location Code",$L$7)</t>
  </si>
  <si>
    <t>=NL("Sum","Item Ledger Entry","Quantity","Entry Type","Transfer","Entry No.",I1181,"Location Code",$L$7)</t>
  </si>
  <si>
    <t>=NL("Sum","Item Ledger Entry","Quantity","Entry Type","Transfer","Entry No.",I1182,"Location Code",$L$7)</t>
  </si>
  <si>
    <t>=NL("Sum","Item Ledger Entry","Quantity","Entry Type","Transfer","Entry No.",I1183,"Location Code",$L$7)</t>
  </si>
  <si>
    <t>=NL("Sum","Item Ledger Entry","Quantity","Entry Type","Transfer","Entry No.",I1184,"Location Code",$L$7)</t>
  </si>
  <si>
    <t>=NL("Sum","Item Ledger Entry","Quantity","Entry Type","Consumption","Entry No.",I1164,"Location Code",$L$7)</t>
  </si>
  <si>
    <t>=NL("Sum","Item Ledger Entry","Quantity","Entry Type","Consumption","Entry No.",I1165,"Location Code",$L$7)</t>
  </si>
  <si>
    <t>=NL("Sum","Item Ledger Entry","Quantity","Entry Type","Consumption","Entry No.",I1166,"Location Code",$L$7)</t>
  </si>
  <si>
    <t>=NL("Sum","Item Ledger Entry","Quantity","Entry Type","Consumption","Entry No.",I1167,"Location Code",$L$7)</t>
  </si>
  <si>
    <t>=NL("Sum","Item Ledger Entry","Quantity","Entry Type","Consumption","Entry No.",I1168,"Location Code",$L$7)</t>
  </si>
  <si>
    <t>=NL("Sum","Item Ledger Entry","Quantity","Entry Type","Consumption","Entry No.",I1169,"Location Code",$L$7)</t>
  </si>
  <si>
    <t>=NL("Sum","Item Ledger Entry","Quantity","Entry Type","Consumption","Entry No.",I1170,"Location Code",$L$7)</t>
  </si>
  <si>
    <t>=NL("Sum","Item Ledger Entry","Quantity","Entry Type","Consumption","Entry No.",I1171,"Location Code",$L$7)</t>
  </si>
  <si>
    <t>=NL("Sum","Item Ledger Entry","Quantity","Entry Type","Consumption","Entry No.",I1172,"Location Code",$L$7)</t>
  </si>
  <si>
    <t>=NL("Sum","Item Ledger Entry","Quantity","Entry Type","Consumption","Entry No.",I1173,"Location Code",$L$7)</t>
  </si>
  <si>
    <t>=NL("Sum","Item Ledger Entry","Quantity","Entry Type","Consumption","Entry No.",I1174,"Location Code",$L$7)</t>
  </si>
  <si>
    <t>=NL("Sum","Item Ledger Entry","Quantity","Entry Type","Consumption","Entry No.",I1175,"Location Code",$L$7)</t>
  </si>
  <si>
    <t>=NL("Sum","Item Ledger Entry","Quantity","Entry Type","Consumption","Entry No.",I1176,"Location Code",$L$7)</t>
  </si>
  <si>
    <t>=NL("Sum","Item Ledger Entry","Quantity","Entry Type","Consumption","Entry No.",I1177,"Location Code",$L$7)</t>
  </si>
  <si>
    <t>=NL("Sum","Item Ledger Entry","Quantity","Entry Type","Consumption","Entry No.",I1178,"Location Code",$L$7)</t>
  </si>
  <si>
    <t>=NL("Sum","Item Ledger Entry","Quantity","Entry Type","Consumption","Entry No.",I1179,"Location Code",$L$7)</t>
  </si>
  <si>
    <t>=NL("Sum","Item Ledger Entry","Quantity","Entry Type","Consumption","Entry No.",I1180,"Location Code",$L$7)</t>
  </si>
  <si>
    <t>=NL("Sum","Item Ledger Entry","Quantity","Entry Type","Consumption","Entry No.",I1181,"Location Code",$L$7)</t>
  </si>
  <si>
    <t>=NL("Sum","Item Ledger Entry","Quantity","Entry Type","Consumption","Entry No.",I1182,"Location Code",$L$7)</t>
  </si>
  <si>
    <t>=NL("Sum","Item Ledger Entry","Quantity","Entry Type","Consumption","Entry No.",I1183,"Location Code",$L$7)</t>
  </si>
  <si>
    <t>=NL("Sum","Item Ledger Entry","Quantity","Entry Type","Consumption","Entry No.",I1184,"Location Code",$L$7)</t>
  </si>
  <si>
    <t>=NL("Sum","Item Ledger Entry","Quantity","Entry Type","Output","Entry No.",I1164,"Location Code",$L$7)</t>
  </si>
  <si>
    <t>=NL("Sum","Item Ledger Entry","Quantity","Entry Type","Output","Entry No.",I1165,"Location Code",$L$7)</t>
  </si>
  <si>
    <t>=NL("Sum","Item Ledger Entry","Quantity","Entry Type","Output","Entry No.",I1166,"Location Code",$L$7)</t>
  </si>
  <si>
    <t>=NL("Sum","Item Ledger Entry","Quantity","Entry Type","Output","Entry No.",I1167,"Location Code",$L$7)</t>
  </si>
  <si>
    <t>=NL("Sum","Item Ledger Entry","Quantity","Entry Type","Output","Entry No.",I1168,"Location Code",$L$7)</t>
  </si>
  <si>
    <t>=NL("Sum","Item Ledger Entry","Quantity","Entry Type","Output","Entry No.",I1169,"Location Code",$L$7)</t>
  </si>
  <si>
    <t>=NL("Sum","Item Ledger Entry","Quantity","Entry Type","Output","Entry No.",I1170,"Location Code",$L$7)</t>
  </si>
  <si>
    <t>=NL("Sum","Item Ledger Entry","Quantity","Entry Type","Output","Entry No.",I1171,"Location Code",$L$7)</t>
  </si>
  <si>
    <t>=NL("Sum","Item Ledger Entry","Quantity","Entry Type","Output","Entry No.",I1172,"Location Code",$L$7)</t>
  </si>
  <si>
    <t>=NL("Sum","Item Ledger Entry","Quantity","Entry Type","Output","Entry No.",I1173,"Location Code",$L$7)</t>
  </si>
  <si>
    <t>=NL("Sum","Item Ledger Entry","Quantity","Entry Type","Output","Entry No.",I1174,"Location Code",$L$7)</t>
  </si>
  <si>
    <t>=NL("Sum","Item Ledger Entry","Quantity","Entry Type","Output","Entry No.",I1175,"Location Code",$L$7)</t>
  </si>
  <si>
    <t>=NL("Sum","Item Ledger Entry","Quantity","Entry Type","Output","Entry No.",I1176,"Location Code",$L$7)</t>
  </si>
  <si>
    <t>=NL("Sum","Item Ledger Entry","Quantity","Entry Type","Output","Entry No.",I1177,"Location Code",$L$7)</t>
  </si>
  <si>
    <t>=NL("Sum","Item Ledger Entry","Quantity","Entry Type","Output","Entry No.",I1178,"Location Code",$L$7)</t>
  </si>
  <si>
    <t>=NL("Sum","Item Ledger Entry","Quantity","Entry Type","Output","Entry No.",I1179,"Location Code",$L$7)</t>
  </si>
  <si>
    <t>=NL("Sum","Item Ledger Entry","Quantity","Entry Type","Output","Entry No.",I1180,"Location Code",$L$7)</t>
  </si>
  <si>
    <t>=NL("Sum","Item Ledger Entry","Quantity","Entry Type","Output","Entry No.",I1181,"Location Code",$L$7)</t>
  </si>
  <si>
    <t>=NL("Sum","Item Ledger Entry","Quantity","Entry Type","Output","Entry No.",I1182,"Location Code",$L$7)</t>
  </si>
  <si>
    <t>=NL("Sum","Item Ledger Entry","Quantity","Entry Type","Output","Entry No.",I1183,"Location Code",$L$7)</t>
  </si>
  <si>
    <t>=NL("Sum","Item Ledger Entry","Quantity","Entry Type","Output","Entry No.",I1184,"Location Code",$L$7)</t>
  </si>
  <si>
    <t>=NF(G1164,"Source Type")</t>
  </si>
  <si>
    <t>=NF(G1165,"Source Type")</t>
  </si>
  <si>
    <t>=NF(G1166,"Source Type")</t>
  </si>
  <si>
    <t>=NF(G1167,"Source Type")</t>
  </si>
  <si>
    <t>=NF(G1168,"Source Type")</t>
  </si>
  <si>
    <t>=NF(G1169,"Source Type")</t>
  </si>
  <si>
    <t>=NF(G1170,"Source Type")</t>
  </si>
  <si>
    <t>=NF(G1171,"Source Type")</t>
  </si>
  <si>
    <t>=NF(G1172,"Source Type")</t>
  </si>
  <si>
    <t>=NF(G1173,"Source Type")</t>
  </si>
  <si>
    <t>=NF(G1174,"Source Type")</t>
  </si>
  <si>
    <t>=NF(G1175,"Source Type")</t>
  </si>
  <si>
    <t>=NF(G1176,"Source Type")</t>
  </si>
  <si>
    <t>=NF(G1177,"Source Type")</t>
  </si>
  <si>
    <t>=NF(G1178,"Source Type")</t>
  </si>
  <si>
    <t>=NF(G1179,"Source Type")</t>
  </si>
  <si>
    <t>=NF(G1180,"Source Type")</t>
  </si>
  <si>
    <t>=NF(G1181,"Source Type")</t>
  </si>
  <si>
    <t>=NF(G1182,"Source Type")</t>
  </si>
  <si>
    <t>=NF(G1183,"Source Type")</t>
  </si>
  <si>
    <t>=NF(G1184,"Source Type")</t>
  </si>
  <si>
    <t>=NF($G1164,"Source No.")</t>
  </si>
  <si>
    <t>=NF($G1165,"Source No.")</t>
  </si>
  <si>
    <t>=NF($G1166,"Source No.")</t>
  </si>
  <si>
    <t>=NF($G1167,"Source No.")</t>
  </si>
  <si>
    <t>=NF($G1168,"Source No.")</t>
  </si>
  <si>
    <t>=NF($G1169,"Source No.")</t>
  </si>
  <si>
    <t>=NF($G1170,"Source No.")</t>
  </si>
  <si>
    <t>=NF($G1171,"Source No.")</t>
  </si>
  <si>
    <t>=NF($G1172,"Source No.")</t>
  </si>
  <si>
    <t>=NF($G1173,"Source No.")</t>
  </si>
  <si>
    <t>=NF($G1174,"Source No.")</t>
  </si>
  <si>
    <t>=NF($G1175,"Source No.")</t>
  </si>
  <si>
    <t>=NF($G1176,"Source No.")</t>
  </si>
  <si>
    <t>=NF($G1177,"Source No.")</t>
  </si>
  <si>
    <t>=NF($G1178,"Source No.")</t>
  </si>
  <si>
    <t>=NF($G1179,"Source No.")</t>
  </si>
  <si>
    <t>=NF($G1180,"Source No.")</t>
  </si>
  <si>
    <t>=NF($G1181,"Source No.")</t>
  </si>
  <si>
    <t>=NF($G1182,"Source No.")</t>
  </si>
  <si>
    <t>=NF($G1183,"Source No.")</t>
  </si>
  <si>
    <t>=NF($G1184,"Source No.")</t>
  </si>
  <si>
    <t>=NF($G1138,"Posting Date")</t>
  </si>
  <si>
    <t>=NF($G1139,"Posting Date")</t>
  </si>
  <si>
    <t>=NF($G1140,"Posting Date")</t>
  </si>
  <si>
    <t>=NF($G1141,"Posting Date")</t>
  </si>
  <si>
    <t>=NF($G1142,"Posting Date")</t>
  </si>
  <si>
    <t>=NF($G1143,"Posting Date")</t>
  </si>
  <si>
    <t>=NF($G1144,"Posting Date")</t>
  </si>
  <si>
    <t>=NF($G1145,"Posting Date")</t>
  </si>
  <si>
    <t>=NF($G1146,"Posting Date")</t>
  </si>
  <si>
    <t>=NF($G1147,"Posting Date")</t>
  </si>
  <si>
    <t>=NF($G1148,"Posting Date")</t>
  </si>
  <si>
    <t>=NF($G1149,"Posting Date")</t>
  </si>
  <si>
    <t>=NF($G1150,"Posting Date")</t>
  </si>
  <si>
    <t>=NF($G1151,"Posting Date")</t>
  </si>
  <si>
    <t>=NF($G1152,"Posting Date")</t>
  </si>
  <si>
    <t>=NF($G1153,"Posting Date")</t>
  </si>
  <si>
    <t>=NF($G1154,"Posting Date")</t>
  </si>
  <si>
    <t>=NF($G1155,"Posting Date")</t>
  </si>
  <si>
    <t>=NF($G1156,"Posting Date")</t>
  </si>
  <si>
    <t>=NF($G1157,"Posting Date")</t>
  </si>
  <si>
    <t>=NF($G1158,"Posting Date")</t>
  </si>
  <si>
    <t>=NF($G1159,"Posting Date")</t>
  </si>
  <si>
    <t>=NF($G1160,"Posting Date")</t>
  </si>
  <si>
    <t>=NF($G1138,"Entry No.")</t>
  </si>
  <si>
    <t>=NF($G1139,"Entry No.")</t>
  </si>
  <si>
    <t>=NF($G1140,"Entry No.")</t>
  </si>
  <si>
    <t>=NF($G1141,"Entry No.")</t>
  </si>
  <si>
    <t>=NF($G1142,"Entry No.")</t>
  </si>
  <si>
    <t>=NF($G1143,"Entry No.")</t>
  </si>
  <si>
    <t>=NF($G1144,"Entry No.")</t>
  </si>
  <si>
    <t>=NF($G1145,"Entry No.")</t>
  </si>
  <si>
    <t>=NF($G1146,"Entry No.")</t>
  </si>
  <si>
    <t>=NF($G1147,"Entry No.")</t>
  </si>
  <si>
    <t>=NF($G1148,"Entry No.")</t>
  </si>
  <si>
    <t>=NF($G1149,"Entry No.")</t>
  </si>
  <si>
    <t>=NF($G1150,"Entry No.")</t>
  </si>
  <si>
    <t>=NF($G1151,"Entry No.")</t>
  </si>
  <si>
    <t>=NF($G1152,"Entry No.")</t>
  </si>
  <si>
    <t>=NF($G1153,"Entry No.")</t>
  </si>
  <si>
    <t>=NF($G1154,"Entry No.")</t>
  </si>
  <si>
    <t>=NF($G1155,"Entry No.")</t>
  </si>
  <si>
    <t>=NF($G1156,"Entry No.")</t>
  </si>
  <si>
    <t>=NF($G1157,"Entry No.")</t>
  </si>
  <si>
    <t>=NF($G1158,"Entry No.")</t>
  </si>
  <si>
    <t>=NF($G1159,"Entry No.")</t>
  </si>
  <si>
    <t>=NF($G1160,"Entry No.")</t>
  </si>
  <si>
    <t>=NL("Sum","Item Ledger Entry","Quantity","Entry Type","Purchase","Entry No.",I1138,"Location Code",$L$7)</t>
  </si>
  <si>
    <t>=NL("Sum","Item Ledger Entry","Quantity","Entry Type","Purchase","Entry No.",I1139,"Location Code",$L$7)</t>
  </si>
  <si>
    <t>=NL("Sum","Item Ledger Entry","Quantity","Entry Type","Purchase","Entry No.",I1140,"Location Code",$L$7)</t>
  </si>
  <si>
    <t>=NL("Sum","Item Ledger Entry","Quantity","Entry Type","Purchase","Entry No.",I1141,"Location Code",$L$7)</t>
  </si>
  <si>
    <t>=NL("Sum","Item Ledger Entry","Quantity","Entry Type","Purchase","Entry No.",I1142,"Location Code",$L$7)</t>
  </si>
  <si>
    <t>=NL("Sum","Item Ledger Entry","Quantity","Entry Type","Purchase","Entry No.",I1143,"Location Code",$L$7)</t>
  </si>
  <si>
    <t>=NL("Sum","Item Ledger Entry","Quantity","Entry Type","Purchase","Entry No.",I1144,"Location Code",$L$7)</t>
  </si>
  <si>
    <t>=NL("Sum","Item Ledger Entry","Quantity","Entry Type","Purchase","Entry No.",I1145,"Location Code",$L$7)</t>
  </si>
  <si>
    <t>=NL("Sum","Item Ledger Entry","Quantity","Entry Type","Purchase","Entry No.",I1146,"Location Code",$L$7)</t>
  </si>
  <si>
    <t>=NL("Sum","Item Ledger Entry","Quantity","Entry Type","Purchase","Entry No.",I1147,"Location Code",$L$7)</t>
  </si>
  <si>
    <t>=NL("Sum","Item Ledger Entry","Quantity","Entry Type","Purchase","Entry No.",I1148,"Location Code",$L$7)</t>
  </si>
  <si>
    <t>=NL("Sum","Item Ledger Entry","Quantity","Entry Type","Purchase","Entry No.",I1149,"Location Code",$L$7)</t>
  </si>
  <si>
    <t>=NL("Sum","Item Ledger Entry","Quantity","Entry Type","Purchase","Entry No.",I1150,"Location Code",$L$7)</t>
  </si>
  <si>
    <t>=NL("Sum","Item Ledger Entry","Quantity","Entry Type","Purchase","Entry No.",I1151,"Location Code",$L$7)</t>
  </si>
  <si>
    <t>=NL("Sum","Item Ledger Entry","Quantity","Entry Type","Purchase","Entry No.",I1152,"Location Code",$L$7)</t>
  </si>
  <si>
    <t>=NL("Sum","Item Ledger Entry","Quantity","Entry Type","Purchase","Entry No.",I1153,"Location Code",$L$7)</t>
  </si>
  <si>
    <t>=NL("Sum","Item Ledger Entry","Quantity","Entry Type","Purchase","Entry No.",I1154,"Location Code",$L$7)</t>
  </si>
  <si>
    <t>=NL("Sum","Item Ledger Entry","Quantity","Entry Type","Purchase","Entry No.",I1155,"Location Code",$L$7)</t>
  </si>
  <si>
    <t>=NL("Sum","Item Ledger Entry","Quantity","Entry Type","Purchase","Entry No.",I1156,"Location Code",$L$7)</t>
  </si>
  <si>
    <t>=NL("Sum","Item Ledger Entry","Quantity","Entry Type","Purchase","Entry No.",I1157,"Location Code",$L$7)</t>
  </si>
  <si>
    <t>=NL("Sum","Item Ledger Entry","Quantity","Entry Type","Purchase","Entry No.",I1158,"Location Code",$L$7)</t>
  </si>
  <si>
    <t>=NL("Sum","Item Ledger Entry","Quantity","Entry Type","Purchase","Entry No.",I1159,"Location Code",$L$7)</t>
  </si>
  <si>
    <t>=NL("Sum","Item Ledger Entry","Quantity","Entry Type","Purchase","Entry No.",I1160,"Location Code",$L$7)</t>
  </si>
  <si>
    <t>=NL("Sum","Item Ledger Entry","Quantity","Entry Type","Sale","Entry No.",I1138,"Location Code",$L$7)</t>
  </si>
  <si>
    <t>=NL("Sum","Item Ledger Entry","Quantity","Entry Type","Sale","Entry No.",I1139,"Location Code",$L$7)</t>
  </si>
  <si>
    <t>=NL("Sum","Item Ledger Entry","Quantity","Entry Type","Sale","Entry No.",I1140,"Location Code",$L$7)</t>
  </si>
  <si>
    <t>=NL("Sum","Item Ledger Entry","Quantity","Entry Type","Sale","Entry No.",I1141,"Location Code",$L$7)</t>
  </si>
  <si>
    <t>=NL("Sum","Item Ledger Entry","Quantity","Entry Type","Sale","Entry No.",I1142,"Location Code",$L$7)</t>
  </si>
  <si>
    <t>=NL("Sum","Item Ledger Entry","Quantity","Entry Type","Sale","Entry No.",I1143,"Location Code",$L$7)</t>
  </si>
  <si>
    <t>=NL("Sum","Item Ledger Entry","Quantity","Entry Type","Sale","Entry No.",I1144,"Location Code",$L$7)</t>
  </si>
  <si>
    <t>=NL("Sum","Item Ledger Entry","Quantity","Entry Type","Sale","Entry No.",I1145,"Location Code",$L$7)</t>
  </si>
  <si>
    <t>=NL("Sum","Item Ledger Entry","Quantity","Entry Type","Sale","Entry No.",I1146,"Location Code",$L$7)</t>
  </si>
  <si>
    <t>=NL("Sum","Item Ledger Entry","Quantity","Entry Type","Sale","Entry No.",I1147,"Location Code",$L$7)</t>
  </si>
  <si>
    <t>=NL("Sum","Item Ledger Entry","Quantity","Entry Type","Sale","Entry No.",I1148,"Location Code",$L$7)</t>
  </si>
  <si>
    <t>=NL("Sum","Item Ledger Entry","Quantity","Entry Type","Sale","Entry No.",I1149,"Location Code",$L$7)</t>
  </si>
  <si>
    <t>=NL("Sum","Item Ledger Entry","Quantity","Entry Type","Sale","Entry No.",I1150,"Location Code",$L$7)</t>
  </si>
  <si>
    <t>=NL("Sum","Item Ledger Entry","Quantity","Entry Type","Sale","Entry No.",I1151,"Location Code",$L$7)</t>
  </si>
  <si>
    <t>=NL("Sum","Item Ledger Entry","Quantity","Entry Type","Sale","Entry No.",I1152,"Location Code",$L$7)</t>
  </si>
  <si>
    <t>=NL("Sum","Item Ledger Entry","Quantity","Entry Type","Sale","Entry No.",I1153,"Location Code",$L$7)</t>
  </si>
  <si>
    <t>=NL("Sum","Item Ledger Entry","Quantity","Entry Type","Sale","Entry No.",I1154,"Location Code",$L$7)</t>
  </si>
  <si>
    <t>=NL("Sum","Item Ledger Entry","Quantity","Entry Type","Sale","Entry No.",I1155,"Location Code",$L$7)</t>
  </si>
  <si>
    <t>=NL("Sum","Item Ledger Entry","Quantity","Entry Type","Sale","Entry No.",I1156,"Location Code",$L$7)</t>
  </si>
  <si>
    <t>=NL("Sum","Item Ledger Entry","Quantity","Entry Type","Sale","Entry No.",I1157,"Location Code",$L$7)</t>
  </si>
  <si>
    <t>=NL("Sum","Item Ledger Entry","Quantity","Entry Type","Sale","Entry No.",I1158,"Location Code",$L$7)</t>
  </si>
  <si>
    <t>=NL("Sum","Item Ledger Entry","Quantity","Entry Type","Sale","Entry No.",I1159,"Location Code",$L$7)</t>
  </si>
  <si>
    <t>=NL("Sum","Item Ledger Entry","Quantity","Entry Type","Sale","Entry No.",I1160,"Location Code",$L$7)</t>
  </si>
  <si>
    <t>=NL("Sum","Item Ledger Entry","Quantity","Entry Type","Positive Adjmt.|Negative Adjmt.","Entry No.",I1138,"Location Code",$L$7)</t>
  </si>
  <si>
    <t>=NL("Sum","Item Ledger Entry","Quantity","Entry Type","Positive Adjmt.|Negative Adjmt.","Entry No.",I1139,"Location Code",$L$7)</t>
  </si>
  <si>
    <t>=NL("Sum","Item Ledger Entry","Quantity","Entry Type","Positive Adjmt.|Negative Adjmt.","Entry No.",I1140,"Location Code",$L$7)</t>
  </si>
  <si>
    <t>=NL("Sum","Item Ledger Entry","Quantity","Entry Type","Positive Adjmt.|Negative Adjmt.","Entry No.",I1141,"Location Code",$L$7)</t>
  </si>
  <si>
    <t>=NL("Sum","Item Ledger Entry","Quantity","Entry Type","Positive Adjmt.|Negative Adjmt.","Entry No.",I1142,"Location Code",$L$7)</t>
  </si>
  <si>
    <t>=NL("Sum","Item Ledger Entry","Quantity","Entry Type","Positive Adjmt.|Negative Adjmt.","Entry No.",I1143,"Location Code",$L$7)</t>
  </si>
  <si>
    <t>=NL("Sum","Item Ledger Entry","Quantity","Entry Type","Positive Adjmt.|Negative Adjmt.","Entry No.",I1144,"Location Code",$L$7)</t>
  </si>
  <si>
    <t>=NL("Sum","Item Ledger Entry","Quantity","Entry Type","Positive Adjmt.|Negative Adjmt.","Entry No.",I1145,"Location Code",$L$7)</t>
  </si>
  <si>
    <t>=NL("Sum","Item Ledger Entry","Quantity","Entry Type","Positive Adjmt.|Negative Adjmt.","Entry No.",I1146,"Location Code",$L$7)</t>
  </si>
  <si>
    <t>=NL("Sum","Item Ledger Entry","Quantity","Entry Type","Positive Adjmt.|Negative Adjmt.","Entry No.",I1147,"Location Code",$L$7)</t>
  </si>
  <si>
    <t>=NL("Sum","Item Ledger Entry","Quantity","Entry Type","Positive Adjmt.|Negative Adjmt.","Entry No.",I1148,"Location Code",$L$7)</t>
  </si>
  <si>
    <t>=NL("Sum","Item Ledger Entry","Quantity","Entry Type","Positive Adjmt.|Negative Adjmt.","Entry No.",I1149,"Location Code",$L$7)</t>
  </si>
  <si>
    <t>=NL("Sum","Item Ledger Entry","Quantity","Entry Type","Positive Adjmt.|Negative Adjmt.","Entry No.",I1150,"Location Code",$L$7)</t>
  </si>
  <si>
    <t>=NL("Sum","Item Ledger Entry","Quantity","Entry Type","Positive Adjmt.|Negative Adjmt.","Entry No.",I1151,"Location Code",$L$7)</t>
  </si>
  <si>
    <t>=NL("Sum","Item Ledger Entry","Quantity","Entry Type","Positive Adjmt.|Negative Adjmt.","Entry No.",I1152,"Location Code",$L$7)</t>
  </si>
  <si>
    <t>=NL("Sum","Item Ledger Entry","Quantity","Entry Type","Positive Adjmt.|Negative Adjmt.","Entry No.",I1153,"Location Code",$L$7)</t>
  </si>
  <si>
    <t>=NL("Sum","Item Ledger Entry","Quantity","Entry Type","Positive Adjmt.|Negative Adjmt.","Entry No.",I1154,"Location Code",$L$7)</t>
  </si>
  <si>
    <t>=NL("Sum","Item Ledger Entry","Quantity","Entry Type","Positive Adjmt.|Negative Adjmt.","Entry No.",I1155,"Location Code",$L$7)</t>
  </si>
  <si>
    <t>=NL("Sum","Item Ledger Entry","Quantity","Entry Type","Positive Adjmt.|Negative Adjmt.","Entry No.",I1156,"Location Code",$L$7)</t>
  </si>
  <si>
    <t>=NL("Sum","Item Ledger Entry","Quantity","Entry Type","Positive Adjmt.|Negative Adjmt.","Entry No.",I1157,"Location Code",$L$7)</t>
  </si>
  <si>
    <t>=NL("Sum","Item Ledger Entry","Quantity","Entry Type","Positive Adjmt.|Negative Adjmt.","Entry No.",I1158,"Location Code",$L$7)</t>
  </si>
  <si>
    <t>=NL("Sum","Item Ledger Entry","Quantity","Entry Type","Positive Adjmt.|Negative Adjmt.","Entry No.",I1159,"Location Code",$L$7)</t>
  </si>
  <si>
    <t>=NL("Sum","Item Ledger Entry","Quantity","Entry Type","Positive Adjmt.|Negative Adjmt.","Entry No.",I1160,"Location Code",$L$7)</t>
  </si>
  <si>
    <t>=NL("Sum","Item Ledger Entry","Quantity","Entry Type","Transfer","Entry No.",I1138,"Location Code",$L$7)</t>
  </si>
  <si>
    <t>=NL("Sum","Item Ledger Entry","Quantity","Entry Type","Transfer","Entry No.",I1139,"Location Code",$L$7)</t>
  </si>
  <si>
    <t>=NL("Sum","Item Ledger Entry","Quantity","Entry Type","Transfer","Entry No.",I1140,"Location Code",$L$7)</t>
  </si>
  <si>
    <t>=NL("Sum","Item Ledger Entry","Quantity","Entry Type","Transfer","Entry No.",I1141,"Location Code",$L$7)</t>
  </si>
  <si>
    <t>=NL("Sum","Item Ledger Entry","Quantity","Entry Type","Transfer","Entry No.",I1142,"Location Code",$L$7)</t>
  </si>
  <si>
    <t>=NL("Sum","Item Ledger Entry","Quantity","Entry Type","Transfer","Entry No.",I1143,"Location Code",$L$7)</t>
  </si>
  <si>
    <t>=NL("Sum","Item Ledger Entry","Quantity","Entry Type","Transfer","Entry No.",I1144,"Location Code",$L$7)</t>
  </si>
  <si>
    <t>=NL("Sum","Item Ledger Entry","Quantity","Entry Type","Transfer","Entry No.",I1145,"Location Code",$L$7)</t>
  </si>
  <si>
    <t>=NL("Sum","Item Ledger Entry","Quantity","Entry Type","Transfer","Entry No.",I1146,"Location Code",$L$7)</t>
  </si>
  <si>
    <t>=NL("Sum","Item Ledger Entry","Quantity","Entry Type","Transfer","Entry No.",I1147,"Location Code",$L$7)</t>
  </si>
  <si>
    <t>=NL("Sum","Item Ledger Entry","Quantity","Entry Type","Transfer","Entry No.",I1148,"Location Code",$L$7)</t>
  </si>
  <si>
    <t>=NL("Sum","Item Ledger Entry","Quantity","Entry Type","Transfer","Entry No.",I1149,"Location Code",$L$7)</t>
  </si>
  <si>
    <t>=NL("Sum","Item Ledger Entry","Quantity","Entry Type","Transfer","Entry No.",I1150,"Location Code",$L$7)</t>
  </si>
  <si>
    <t>=NL("Sum","Item Ledger Entry","Quantity","Entry Type","Transfer","Entry No.",I1151,"Location Code",$L$7)</t>
  </si>
  <si>
    <t>=NL("Sum","Item Ledger Entry","Quantity","Entry Type","Transfer","Entry No.",I1152,"Location Code",$L$7)</t>
  </si>
  <si>
    <t>=NL("Sum","Item Ledger Entry","Quantity","Entry Type","Transfer","Entry No.",I1153,"Location Code",$L$7)</t>
  </si>
  <si>
    <t>=NL("Sum","Item Ledger Entry","Quantity","Entry Type","Transfer","Entry No.",I1154,"Location Code",$L$7)</t>
  </si>
  <si>
    <t>=NL("Sum","Item Ledger Entry","Quantity","Entry Type","Transfer","Entry No.",I1155,"Location Code",$L$7)</t>
  </si>
  <si>
    <t>=NL("Sum","Item Ledger Entry","Quantity","Entry Type","Transfer","Entry No.",I1156,"Location Code",$L$7)</t>
  </si>
  <si>
    <t>=NL("Sum","Item Ledger Entry","Quantity","Entry Type","Transfer","Entry No.",I1157,"Location Code",$L$7)</t>
  </si>
  <si>
    <t>=NL("Sum","Item Ledger Entry","Quantity","Entry Type","Transfer","Entry No.",I1158,"Location Code",$L$7)</t>
  </si>
  <si>
    <t>=NL("Sum","Item Ledger Entry","Quantity","Entry Type","Transfer","Entry No.",I1159,"Location Code",$L$7)</t>
  </si>
  <si>
    <t>=NL("Sum","Item Ledger Entry","Quantity","Entry Type","Transfer","Entry No.",I1160,"Location Code",$L$7)</t>
  </si>
  <si>
    <t>=NL("Sum","Item Ledger Entry","Quantity","Entry Type","Consumption","Entry No.",I1138,"Location Code",$L$7)</t>
  </si>
  <si>
    <t>=NL("Sum","Item Ledger Entry","Quantity","Entry Type","Consumption","Entry No.",I1139,"Location Code",$L$7)</t>
  </si>
  <si>
    <t>=NL("Sum","Item Ledger Entry","Quantity","Entry Type","Consumption","Entry No.",I1140,"Location Code",$L$7)</t>
  </si>
  <si>
    <t>=NL("Sum","Item Ledger Entry","Quantity","Entry Type","Consumption","Entry No.",I1141,"Location Code",$L$7)</t>
  </si>
  <si>
    <t>=NL("Sum","Item Ledger Entry","Quantity","Entry Type","Consumption","Entry No.",I1142,"Location Code",$L$7)</t>
  </si>
  <si>
    <t>=NL("Sum","Item Ledger Entry","Quantity","Entry Type","Consumption","Entry No.",I1143,"Location Code",$L$7)</t>
  </si>
  <si>
    <t>=NL("Sum","Item Ledger Entry","Quantity","Entry Type","Consumption","Entry No.",I1144,"Location Code",$L$7)</t>
  </si>
  <si>
    <t>=NL("Sum","Item Ledger Entry","Quantity","Entry Type","Consumption","Entry No.",I1145,"Location Code",$L$7)</t>
  </si>
  <si>
    <t>=NL("Sum","Item Ledger Entry","Quantity","Entry Type","Consumption","Entry No.",I1146,"Location Code",$L$7)</t>
  </si>
  <si>
    <t>=NL("Sum","Item Ledger Entry","Quantity","Entry Type","Consumption","Entry No.",I1147,"Location Code",$L$7)</t>
  </si>
  <si>
    <t>=NL("Sum","Item Ledger Entry","Quantity","Entry Type","Consumption","Entry No.",I1148,"Location Code",$L$7)</t>
  </si>
  <si>
    <t>=NL("Sum","Item Ledger Entry","Quantity","Entry Type","Consumption","Entry No.",I1149,"Location Code",$L$7)</t>
  </si>
  <si>
    <t>=NL("Sum","Item Ledger Entry","Quantity","Entry Type","Consumption","Entry No.",I1150,"Location Code",$L$7)</t>
  </si>
  <si>
    <t>=NL("Sum","Item Ledger Entry","Quantity","Entry Type","Consumption","Entry No.",I1151,"Location Code",$L$7)</t>
  </si>
  <si>
    <t>=NL("Sum","Item Ledger Entry","Quantity","Entry Type","Consumption","Entry No.",I1152,"Location Code",$L$7)</t>
  </si>
  <si>
    <t>=NL("Sum","Item Ledger Entry","Quantity","Entry Type","Consumption","Entry No.",I1153,"Location Code",$L$7)</t>
  </si>
  <si>
    <t>=NL("Sum","Item Ledger Entry","Quantity","Entry Type","Consumption","Entry No.",I1154,"Location Code",$L$7)</t>
  </si>
  <si>
    <t>=NL("Sum","Item Ledger Entry","Quantity","Entry Type","Consumption","Entry No.",I1155,"Location Code",$L$7)</t>
  </si>
  <si>
    <t>=NL("Sum","Item Ledger Entry","Quantity","Entry Type","Consumption","Entry No.",I1156,"Location Code",$L$7)</t>
  </si>
  <si>
    <t>=NL("Sum","Item Ledger Entry","Quantity","Entry Type","Consumption","Entry No.",I1157,"Location Code",$L$7)</t>
  </si>
  <si>
    <t>=NL("Sum","Item Ledger Entry","Quantity","Entry Type","Consumption","Entry No.",I1158,"Location Code",$L$7)</t>
  </si>
  <si>
    <t>=NL("Sum","Item Ledger Entry","Quantity","Entry Type","Consumption","Entry No.",I1159,"Location Code",$L$7)</t>
  </si>
  <si>
    <t>=NL("Sum","Item Ledger Entry","Quantity","Entry Type","Consumption","Entry No.",I1160,"Location Code",$L$7)</t>
  </si>
  <si>
    <t>=NL("Sum","Item Ledger Entry","Quantity","Entry Type","Output","Entry No.",I1138,"Location Code",$L$7)</t>
  </si>
  <si>
    <t>=NL("Sum","Item Ledger Entry","Quantity","Entry Type","Output","Entry No.",I1139,"Location Code",$L$7)</t>
  </si>
  <si>
    <t>=NL("Sum","Item Ledger Entry","Quantity","Entry Type","Output","Entry No.",I1140,"Location Code",$L$7)</t>
  </si>
  <si>
    <t>=NL("Sum","Item Ledger Entry","Quantity","Entry Type","Output","Entry No.",I1141,"Location Code",$L$7)</t>
  </si>
  <si>
    <t>=NL("Sum","Item Ledger Entry","Quantity","Entry Type","Output","Entry No.",I1142,"Location Code",$L$7)</t>
  </si>
  <si>
    <t>=NL("Sum","Item Ledger Entry","Quantity","Entry Type","Output","Entry No.",I1143,"Location Code",$L$7)</t>
  </si>
  <si>
    <t>=NL("Sum","Item Ledger Entry","Quantity","Entry Type","Output","Entry No.",I1144,"Location Code",$L$7)</t>
  </si>
  <si>
    <t>=NL("Sum","Item Ledger Entry","Quantity","Entry Type","Output","Entry No.",I1145,"Location Code",$L$7)</t>
  </si>
  <si>
    <t>=NL("Sum","Item Ledger Entry","Quantity","Entry Type","Output","Entry No.",I1146,"Location Code",$L$7)</t>
  </si>
  <si>
    <t>=NL("Sum","Item Ledger Entry","Quantity","Entry Type","Output","Entry No.",I1147,"Location Code",$L$7)</t>
  </si>
  <si>
    <t>=NL("Sum","Item Ledger Entry","Quantity","Entry Type","Output","Entry No.",I1148,"Location Code",$L$7)</t>
  </si>
  <si>
    <t>=NL("Sum","Item Ledger Entry","Quantity","Entry Type","Output","Entry No.",I1149,"Location Code",$L$7)</t>
  </si>
  <si>
    <t>=NL("Sum","Item Ledger Entry","Quantity","Entry Type","Output","Entry No.",I1150,"Location Code",$L$7)</t>
  </si>
  <si>
    <t>=NL("Sum","Item Ledger Entry","Quantity","Entry Type","Output","Entry No.",I1151,"Location Code",$L$7)</t>
  </si>
  <si>
    <t>=NL("Sum","Item Ledger Entry","Quantity","Entry Type","Output","Entry No.",I1152,"Location Code",$L$7)</t>
  </si>
  <si>
    <t>=NL("Sum","Item Ledger Entry","Quantity","Entry Type","Output","Entry No.",I1153,"Location Code",$L$7)</t>
  </si>
  <si>
    <t>=NL("Sum","Item Ledger Entry","Quantity","Entry Type","Output","Entry No.",I1154,"Location Code",$L$7)</t>
  </si>
  <si>
    <t>=NL("Sum","Item Ledger Entry","Quantity","Entry Type","Output","Entry No.",I1155,"Location Code",$L$7)</t>
  </si>
  <si>
    <t>=NL("Sum","Item Ledger Entry","Quantity","Entry Type","Output","Entry No.",I1156,"Location Code",$L$7)</t>
  </si>
  <si>
    <t>=NL("Sum","Item Ledger Entry","Quantity","Entry Type","Output","Entry No.",I1157,"Location Code",$L$7)</t>
  </si>
  <si>
    <t>=NL("Sum","Item Ledger Entry","Quantity","Entry Type","Output","Entry No.",I1158,"Location Code",$L$7)</t>
  </si>
  <si>
    <t>=NL("Sum","Item Ledger Entry","Quantity","Entry Type","Output","Entry No.",I1159,"Location Code",$L$7)</t>
  </si>
  <si>
    <t>=NL("Sum","Item Ledger Entry","Quantity","Entry Type","Output","Entry No.",I1160,"Location Code",$L$7)</t>
  </si>
  <si>
    <t>=NF(G1138,"Source Type")</t>
  </si>
  <si>
    <t>=NF(G1139,"Source Type")</t>
  </si>
  <si>
    <t>=NF(G1140,"Source Type")</t>
  </si>
  <si>
    <t>=NF(G1141,"Source Type")</t>
  </si>
  <si>
    <t>=NF(G1142,"Source Type")</t>
  </si>
  <si>
    <t>=NF(G1143,"Source Type")</t>
  </si>
  <si>
    <t>=NF(G1144,"Source Type")</t>
  </si>
  <si>
    <t>=NF(G1145,"Source Type")</t>
  </si>
  <si>
    <t>=NF(G1146,"Source Type")</t>
  </si>
  <si>
    <t>=NF(G1147,"Source Type")</t>
  </si>
  <si>
    <t>=NF(G1148,"Source Type")</t>
  </si>
  <si>
    <t>=NF(G1149,"Source Type")</t>
  </si>
  <si>
    <t>=NF(G1150,"Source Type")</t>
  </si>
  <si>
    <t>=NF(G1151,"Source Type")</t>
  </si>
  <si>
    <t>=NF(G1152,"Source Type")</t>
  </si>
  <si>
    <t>=NF(G1153,"Source Type")</t>
  </si>
  <si>
    <t>=NF(G1154,"Source Type")</t>
  </si>
  <si>
    <t>=NF(G1155,"Source Type")</t>
  </si>
  <si>
    <t>=NF(G1156,"Source Type")</t>
  </si>
  <si>
    <t>=NF(G1157,"Source Type")</t>
  </si>
  <si>
    <t>=NF(G1158,"Source Type")</t>
  </si>
  <si>
    <t>=NF(G1159,"Source Type")</t>
  </si>
  <si>
    <t>=NF(G1160,"Source Type")</t>
  </si>
  <si>
    <t>=NF($G1138,"Source No.")</t>
  </si>
  <si>
    <t>=NF($G1139,"Source No.")</t>
  </si>
  <si>
    <t>=NF($G1140,"Source No.")</t>
  </si>
  <si>
    <t>=NF($G1141,"Source No.")</t>
  </si>
  <si>
    <t>=NF($G1142,"Source No.")</t>
  </si>
  <si>
    <t>=NF($G1143,"Source No.")</t>
  </si>
  <si>
    <t>=NF($G1144,"Source No.")</t>
  </si>
  <si>
    <t>=NF($G1145,"Source No.")</t>
  </si>
  <si>
    <t>=NF($G1146,"Source No.")</t>
  </si>
  <si>
    <t>=NF($G1147,"Source No.")</t>
  </si>
  <si>
    <t>=NF($G1148,"Source No.")</t>
  </si>
  <si>
    <t>=NF($G1149,"Source No.")</t>
  </si>
  <si>
    <t>=NF($G1150,"Source No.")</t>
  </si>
  <si>
    <t>=NF($G1151,"Source No.")</t>
  </si>
  <si>
    <t>=NF($G1152,"Source No.")</t>
  </si>
  <si>
    <t>=NF($G1153,"Source No.")</t>
  </si>
  <si>
    <t>=NF($G1154,"Source No.")</t>
  </si>
  <si>
    <t>=NF($G1155,"Source No.")</t>
  </si>
  <si>
    <t>=NF($G1156,"Source No.")</t>
  </si>
  <si>
    <t>=NF($G1157,"Source No.")</t>
  </si>
  <si>
    <t>=NF($G1158,"Source No.")</t>
  </si>
  <si>
    <t>=NF($G1159,"Source No.")</t>
  </si>
  <si>
    <t>=NF($G1160,"Source No.")</t>
  </si>
  <si>
    <t>=NF($G1116,"Posting Date")</t>
  </si>
  <si>
    <t>=NF($G1117,"Posting Date")</t>
  </si>
  <si>
    <t>=NF($G1118,"Posting Date")</t>
  </si>
  <si>
    <t>=NF($G1119,"Posting Date")</t>
  </si>
  <si>
    <t>=NF($G1120,"Posting Date")</t>
  </si>
  <si>
    <t>=NF($G1121,"Posting Date")</t>
  </si>
  <si>
    <t>=NF($G1122,"Posting Date")</t>
  </si>
  <si>
    <t>=NF($G1123,"Posting Date")</t>
  </si>
  <si>
    <t>=NF($G1124,"Posting Date")</t>
  </si>
  <si>
    <t>=NF($G1125,"Posting Date")</t>
  </si>
  <si>
    <t>=NF($G1126,"Posting Date")</t>
  </si>
  <si>
    <t>=NF($G1127,"Posting Date")</t>
  </si>
  <si>
    <t>=NF($G1128,"Posting Date")</t>
  </si>
  <si>
    <t>=NF($G1129,"Posting Date")</t>
  </si>
  <si>
    <t>=NF($G1130,"Posting Date")</t>
  </si>
  <si>
    <t>=NF($G1131,"Posting Date")</t>
  </si>
  <si>
    <t>=NF($G1132,"Posting Date")</t>
  </si>
  <si>
    <t>=NF($G1133,"Posting Date")</t>
  </si>
  <si>
    <t>=NF($G1134,"Posting Date")</t>
  </si>
  <si>
    <t>=NF($G1116,"Entry No.")</t>
  </si>
  <si>
    <t>=NF($G1117,"Entry No.")</t>
  </si>
  <si>
    <t>=NF($G1118,"Entry No.")</t>
  </si>
  <si>
    <t>=NF($G1119,"Entry No.")</t>
  </si>
  <si>
    <t>=NF($G1120,"Entry No.")</t>
  </si>
  <si>
    <t>=NF($G1121,"Entry No.")</t>
  </si>
  <si>
    <t>=NF($G1122,"Entry No.")</t>
  </si>
  <si>
    <t>=NF($G1123,"Entry No.")</t>
  </si>
  <si>
    <t>=NF($G1124,"Entry No.")</t>
  </si>
  <si>
    <t>=NF($G1125,"Entry No.")</t>
  </si>
  <si>
    <t>=NF($G1126,"Entry No.")</t>
  </si>
  <si>
    <t>=NF($G1127,"Entry No.")</t>
  </si>
  <si>
    <t>=NF($G1128,"Entry No.")</t>
  </si>
  <si>
    <t>=NF($G1129,"Entry No.")</t>
  </si>
  <si>
    <t>=NF($G1130,"Entry No.")</t>
  </si>
  <si>
    <t>=NF($G1131,"Entry No.")</t>
  </si>
  <si>
    <t>=NF($G1132,"Entry No.")</t>
  </si>
  <si>
    <t>=NF($G1133,"Entry No.")</t>
  </si>
  <si>
    <t>=NF($G1134,"Entry No.")</t>
  </si>
  <si>
    <t>=NL("Sum","Item Ledger Entry","Quantity","Entry Type","Purchase","Entry No.",I1116,"Location Code",$L$7)</t>
  </si>
  <si>
    <t>=NL("Sum","Item Ledger Entry","Quantity","Entry Type","Purchase","Entry No.",I1117,"Location Code",$L$7)</t>
  </si>
  <si>
    <t>=NL("Sum","Item Ledger Entry","Quantity","Entry Type","Purchase","Entry No.",I1118,"Location Code",$L$7)</t>
  </si>
  <si>
    <t>=NL("Sum","Item Ledger Entry","Quantity","Entry Type","Purchase","Entry No.",I1119,"Location Code",$L$7)</t>
  </si>
  <si>
    <t>=NL("Sum","Item Ledger Entry","Quantity","Entry Type","Purchase","Entry No.",I1120,"Location Code",$L$7)</t>
  </si>
  <si>
    <t>=NL("Sum","Item Ledger Entry","Quantity","Entry Type","Purchase","Entry No.",I1121,"Location Code",$L$7)</t>
  </si>
  <si>
    <t>=NL("Sum","Item Ledger Entry","Quantity","Entry Type","Purchase","Entry No.",I1122,"Location Code",$L$7)</t>
  </si>
  <si>
    <t>=NL("Sum","Item Ledger Entry","Quantity","Entry Type","Purchase","Entry No.",I1123,"Location Code",$L$7)</t>
  </si>
  <si>
    <t>=NL("Sum","Item Ledger Entry","Quantity","Entry Type","Purchase","Entry No.",I1124,"Location Code",$L$7)</t>
  </si>
  <si>
    <t>=NL("Sum","Item Ledger Entry","Quantity","Entry Type","Purchase","Entry No.",I1125,"Location Code",$L$7)</t>
  </si>
  <si>
    <t>=NL("Sum","Item Ledger Entry","Quantity","Entry Type","Purchase","Entry No.",I1126,"Location Code",$L$7)</t>
  </si>
  <si>
    <t>=NL("Sum","Item Ledger Entry","Quantity","Entry Type","Purchase","Entry No.",I1127,"Location Code",$L$7)</t>
  </si>
  <si>
    <t>=NL("Sum","Item Ledger Entry","Quantity","Entry Type","Purchase","Entry No.",I1128,"Location Code",$L$7)</t>
  </si>
  <si>
    <t>=NL("Sum","Item Ledger Entry","Quantity","Entry Type","Purchase","Entry No.",I1129,"Location Code",$L$7)</t>
  </si>
  <si>
    <t>=NL("Sum","Item Ledger Entry","Quantity","Entry Type","Purchase","Entry No.",I1130,"Location Code",$L$7)</t>
  </si>
  <si>
    <t>=NL("Sum","Item Ledger Entry","Quantity","Entry Type","Purchase","Entry No.",I1131,"Location Code",$L$7)</t>
  </si>
  <si>
    <t>=NL("Sum","Item Ledger Entry","Quantity","Entry Type","Purchase","Entry No.",I1132,"Location Code",$L$7)</t>
  </si>
  <si>
    <t>=NL("Sum","Item Ledger Entry","Quantity","Entry Type","Purchase","Entry No.",I1133,"Location Code",$L$7)</t>
  </si>
  <si>
    <t>=NL("Sum","Item Ledger Entry","Quantity","Entry Type","Purchase","Entry No.",I1134,"Location Code",$L$7)</t>
  </si>
  <si>
    <t>=NL("Sum","Item Ledger Entry","Quantity","Entry Type","Sale","Entry No.",I1116,"Location Code",$L$7)</t>
  </si>
  <si>
    <t>=NL("Sum","Item Ledger Entry","Quantity","Entry Type","Sale","Entry No.",I1117,"Location Code",$L$7)</t>
  </si>
  <si>
    <t>=NL("Sum","Item Ledger Entry","Quantity","Entry Type","Sale","Entry No.",I1118,"Location Code",$L$7)</t>
  </si>
  <si>
    <t>=NL("Sum","Item Ledger Entry","Quantity","Entry Type","Sale","Entry No.",I1119,"Location Code",$L$7)</t>
  </si>
  <si>
    <t>=NL("Sum","Item Ledger Entry","Quantity","Entry Type","Sale","Entry No.",I1120,"Location Code",$L$7)</t>
  </si>
  <si>
    <t>=NL("Sum","Item Ledger Entry","Quantity","Entry Type","Sale","Entry No.",I1121,"Location Code",$L$7)</t>
  </si>
  <si>
    <t>=NL("Sum","Item Ledger Entry","Quantity","Entry Type","Sale","Entry No.",I1122,"Location Code",$L$7)</t>
  </si>
  <si>
    <t>=NL("Sum","Item Ledger Entry","Quantity","Entry Type","Sale","Entry No.",I1123,"Location Code",$L$7)</t>
  </si>
  <si>
    <t>=NL("Sum","Item Ledger Entry","Quantity","Entry Type","Sale","Entry No.",I1124,"Location Code",$L$7)</t>
  </si>
  <si>
    <t>=NL("Sum","Item Ledger Entry","Quantity","Entry Type","Sale","Entry No.",I1125,"Location Code",$L$7)</t>
  </si>
  <si>
    <t>=NL("Sum","Item Ledger Entry","Quantity","Entry Type","Sale","Entry No.",I1126,"Location Code",$L$7)</t>
  </si>
  <si>
    <t>=NL("Sum","Item Ledger Entry","Quantity","Entry Type","Sale","Entry No.",I1127,"Location Code",$L$7)</t>
  </si>
  <si>
    <t>=NL("Sum","Item Ledger Entry","Quantity","Entry Type","Sale","Entry No.",I1128,"Location Code",$L$7)</t>
  </si>
  <si>
    <t>=NL("Sum","Item Ledger Entry","Quantity","Entry Type","Sale","Entry No.",I1129,"Location Code",$L$7)</t>
  </si>
  <si>
    <t>=NL("Sum","Item Ledger Entry","Quantity","Entry Type","Sale","Entry No.",I1130,"Location Code",$L$7)</t>
  </si>
  <si>
    <t>=NL("Sum","Item Ledger Entry","Quantity","Entry Type","Sale","Entry No.",I1131,"Location Code",$L$7)</t>
  </si>
  <si>
    <t>=NL("Sum","Item Ledger Entry","Quantity","Entry Type","Sale","Entry No.",I1132,"Location Code",$L$7)</t>
  </si>
  <si>
    <t>=NL("Sum","Item Ledger Entry","Quantity","Entry Type","Sale","Entry No.",I1133,"Location Code",$L$7)</t>
  </si>
  <si>
    <t>=NL("Sum","Item Ledger Entry","Quantity","Entry Type","Sale","Entry No.",I1134,"Location Code",$L$7)</t>
  </si>
  <si>
    <t>=NL("Sum","Item Ledger Entry","Quantity","Entry Type","Positive Adjmt.|Negative Adjmt.","Entry No.",I1116,"Location Code",$L$7)</t>
  </si>
  <si>
    <t>=NL("Sum","Item Ledger Entry","Quantity","Entry Type","Positive Adjmt.|Negative Adjmt.","Entry No.",I1117,"Location Code",$L$7)</t>
  </si>
  <si>
    <t>=NL("Sum","Item Ledger Entry","Quantity","Entry Type","Positive Adjmt.|Negative Adjmt.","Entry No.",I1118,"Location Code",$L$7)</t>
  </si>
  <si>
    <t>=NL("Sum","Item Ledger Entry","Quantity","Entry Type","Positive Adjmt.|Negative Adjmt.","Entry No.",I1119,"Location Code",$L$7)</t>
  </si>
  <si>
    <t>=NL("Sum","Item Ledger Entry","Quantity","Entry Type","Positive Adjmt.|Negative Adjmt.","Entry No.",I1120,"Location Code",$L$7)</t>
  </si>
  <si>
    <t>=NL("Sum","Item Ledger Entry","Quantity","Entry Type","Positive Adjmt.|Negative Adjmt.","Entry No.",I1121,"Location Code",$L$7)</t>
  </si>
  <si>
    <t>=NL("Sum","Item Ledger Entry","Quantity","Entry Type","Positive Adjmt.|Negative Adjmt.","Entry No.",I1122,"Location Code",$L$7)</t>
  </si>
  <si>
    <t>=NL("Sum","Item Ledger Entry","Quantity","Entry Type","Positive Adjmt.|Negative Adjmt.","Entry No.",I1123,"Location Code",$L$7)</t>
  </si>
  <si>
    <t>=NL("Sum","Item Ledger Entry","Quantity","Entry Type","Positive Adjmt.|Negative Adjmt.","Entry No.",I1124,"Location Code",$L$7)</t>
  </si>
  <si>
    <t>=NL("Sum","Item Ledger Entry","Quantity","Entry Type","Positive Adjmt.|Negative Adjmt.","Entry No.",I1125,"Location Code",$L$7)</t>
  </si>
  <si>
    <t>=NL("Sum","Item Ledger Entry","Quantity","Entry Type","Positive Adjmt.|Negative Adjmt.","Entry No.",I1126,"Location Code",$L$7)</t>
  </si>
  <si>
    <t>=NL("Sum","Item Ledger Entry","Quantity","Entry Type","Positive Adjmt.|Negative Adjmt.","Entry No.",I1127,"Location Code",$L$7)</t>
  </si>
  <si>
    <t>=NL("Sum","Item Ledger Entry","Quantity","Entry Type","Positive Adjmt.|Negative Adjmt.","Entry No.",I1128,"Location Code",$L$7)</t>
  </si>
  <si>
    <t>=NL("Sum","Item Ledger Entry","Quantity","Entry Type","Positive Adjmt.|Negative Adjmt.","Entry No.",I1129,"Location Code",$L$7)</t>
  </si>
  <si>
    <t>=NL("Sum","Item Ledger Entry","Quantity","Entry Type","Positive Adjmt.|Negative Adjmt.","Entry No.",I1130,"Location Code",$L$7)</t>
  </si>
  <si>
    <t>=NL("Sum","Item Ledger Entry","Quantity","Entry Type","Positive Adjmt.|Negative Adjmt.","Entry No.",I1131,"Location Code",$L$7)</t>
  </si>
  <si>
    <t>=NL("Sum","Item Ledger Entry","Quantity","Entry Type","Positive Adjmt.|Negative Adjmt.","Entry No.",I1132,"Location Code",$L$7)</t>
  </si>
  <si>
    <t>=NL("Sum","Item Ledger Entry","Quantity","Entry Type","Positive Adjmt.|Negative Adjmt.","Entry No.",I1133,"Location Code",$L$7)</t>
  </si>
  <si>
    <t>=NL("Sum","Item Ledger Entry","Quantity","Entry Type","Positive Adjmt.|Negative Adjmt.","Entry No.",I1134,"Location Code",$L$7)</t>
  </si>
  <si>
    <t>=NL("Sum","Item Ledger Entry","Quantity","Entry Type","Transfer","Entry No.",I1116,"Location Code",$L$7)</t>
  </si>
  <si>
    <t>=NL("Sum","Item Ledger Entry","Quantity","Entry Type","Transfer","Entry No.",I1117,"Location Code",$L$7)</t>
  </si>
  <si>
    <t>=NL("Sum","Item Ledger Entry","Quantity","Entry Type","Transfer","Entry No.",I1118,"Location Code",$L$7)</t>
  </si>
  <si>
    <t>=NL("Sum","Item Ledger Entry","Quantity","Entry Type","Transfer","Entry No.",I1119,"Location Code",$L$7)</t>
  </si>
  <si>
    <t>=NL("Sum","Item Ledger Entry","Quantity","Entry Type","Transfer","Entry No.",I1120,"Location Code",$L$7)</t>
  </si>
  <si>
    <t>=NL("Sum","Item Ledger Entry","Quantity","Entry Type","Transfer","Entry No.",I1121,"Location Code",$L$7)</t>
  </si>
  <si>
    <t>=NL("Sum","Item Ledger Entry","Quantity","Entry Type","Transfer","Entry No.",I1122,"Location Code",$L$7)</t>
  </si>
  <si>
    <t>=NL("Sum","Item Ledger Entry","Quantity","Entry Type","Transfer","Entry No.",I1123,"Location Code",$L$7)</t>
  </si>
  <si>
    <t>=NL("Sum","Item Ledger Entry","Quantity","Entry Type","Transfer","Entry No.",I1124,"Location Code",$L$7)</t>
  </si>
  <si>
    <t>=NL("Sum","Item Ledger Entry","Quantity","Entry Type","Transfer","Entry No.",I1125,"Location Code",$L$7)</t>
  </si>
  <si>
    <t>=NL("Sum","Item Ledger Entry","Quantity","Entry Type","Transfer","Entry No.",I1126,"Location Code",$L$7)</t>
  </si>
  <si>
    <t>=NL("Sum","Item Ledger Entry","Quantity","Entry Type","Transfer","Entry No.",I1127,"Location Code",$L$7)</t>
  </si>
  <si>
    <t>=NL("Sum","Item Ledger Entry","Quantity","Entry Type","Transfer","Entry No.",I1128,"Location Code",$L$7)</t>
  </si>
  <si>
    <t>=NL("Sum","Item Ledger Entry","Quantity","Entry Type","Transfer","Entry No.",I1129,"Location Code",$L$7)</t>
  </si>
  <si>
    <t>=NL("Sum","Item Ledger Entry","Quantity","Entry Type","Transfer","Entry No.",I1130,"Location Code",$L$7)</t>
  </si>
  <si>
    <t>=NL("Sum","Item Ledger Entry","Quantity","Entry Type","Transfer","Entry No.",I1131,"Location Code",$L$7)</t>
  </si>
  <si>
    <t>=NL("Sum","Item Ledger Entry","Quantity","Entry Type","Transfer","Entry No.",I1132,"Location Code",$L$7)</t>
  </si>
  <si>
    <t>=NL("Sum","Item Ledger Entry","Quantity","Entry Type","Transfer","Entry No.",I1133,"Location Code",$L$7)</t>
  </si>
  <si>
    <t>=NL("Sum","Item Ledger Entry","Quantity","Entry Type","Transfer","Entry No.",I1134,"Location Code",$L$7)</t>
  </si>
  <si>
    <t>=NL("Sum","Item Ledger Entry","Quantity","Entry Type","Consumption","Entry No.",I1116,"Location Code",$L$7)</t>
  </si>
  <si>
    <t>=NL("Sum","Item Ledger Entry","Quantity","Entry Type","Consumption","Entry No.",I1117,"Location Code",$L$7)</t>
  </si>
  <si>
    <t>=NL("Sum","Item Ledger Entry","Quantity","Entry Type","Consumption","Entry No.",I1118,"Location Code",$L$7)</t>
  </si>
  <si>
    <t>=NL("Sum","Item Ledger Entry","Quantity","Entry Type","Consumption","Entry No.",I1119,"Location Code",$L$7)</t>
  </si>
  <si>
    <t>=NL("Sum","Item Ledger Entry","Quantity","Entry Type","Consumption","Entry No.",I1120,"Location Code",$L$7)</t>
  </si>
  <si>
    <t>=NL("Sum","Item Ledger Entry","Quantity","Entry Type","Consumption","Entry No.",I1121,"Location Code",$L$7)</t>
  </si>
  <si>
    <t>=NL("Sum","Item Ledger Entry","Quantity","Entry Type","Consumption","Entry No.",I1122,"Location Code",$L$7)</t>
  </si>
  <si>
    <t>=NL("Sum","Item Ledger Entry","Quantity","Entry Type","Consumption","Entry No.",I1123,"Location Code",$L$7)</t>
  </si>
  <si>
    <t>=NL("Sum","Item Ledger Entry","Quantity","Entry Type","Consumption","Entry No.",I1124,"Location Code",$L$7)</t>
  </si>
  <si>
    <t>=NL("Sum","Item Ledger Entry","Quantity","Entry Type","Consumption","Entry No.",I1125,"Location Code",$L$7)</t>
  </si>
  <si>
    <t>=NL("Sum","Item Ledger Entry","Quantity","Entry Type","Consumption","Entry No.",I1126,"Location Code",$L$7)</t>
  </si>
  <si>
    <t>=NL("Sum","Item Ledger Entry","Quantity","Entry Type","Consumption","Entry No.",I1127,"Location Code",$L$7)</t>
  </si>
  <si>
    <t>=NL("Sum","Item Ledger Entry","Quantity","Entry Type","Consumption","Entry No.",I1128,"Location Code",$L$7)</t>
  </si>
  <si>
    <t>=NL("Sum","Item Ledger Entry","Quantity","Entry Type","Consumption","Entry No.",I1129,"Location Code",$L$7)</t>
  </si>
  <si>
    <t>=NL("Sum","Item Ledger Entry","Quantity","Entry Type","Consumption","Entry No.",I1130,"Location Code",$L$7)</t>
  </si>
  <si>
    <t>=NL("Sum","Item Ledger Entry","Quantity","Entry Type","Consumption","Entry No.",I1131,"Location Code",$L$7)</t>
  </si>
  <si>
    <t>=NL("Sum","Item Ledger Entry","Quantity","Entry Type","Consumption","Entry No.",I1132,"Location Code",$L$7)</t>
  </si>
  <si>
    <t>=NL("Sum","Item Ledger Entry","Quantity","Entry Type","Consumption","Entry No.",I1133,"Location Code",$L$7)</t>
  </si>
  <si>
    <t>=NL("Sum","Item Ledger Entry","Quantity","Entry Type","Consumption","Entry No.",I1134,"Location Code",$L$7)</t>
  </si>
  <si>
    <t>=NL("Sum","Item Ledger Entry","Quantity","Entry Type","Output","Entry No.",I1116,"Location Code",$L$7)</t>
  </si>
  <si>
    <t>=NL("Sum","Item Ledger Entry","Quantity","Entry Type","Output","Entry No.",I1117,"Location Code",$L$7)</t>
  </si>
  <si>
    <t>=NL("Sum","Item Ledger Entry","Quantity","Entry Type","Output","Entry No.",I1118,"Location Code",$L$7)</t>
  </si>
  <si>
    <t>=NL("Sum","Item Ledger Entry","Quantity","Entry Type","Output","Entry No.",I1119,"Location Code",$L$7)</t>
  </si>
  <si>
    <t>=NL("Sum","Item Ledger Entry","Quantity","Entry Type","Output","Entry No.",I1120,"Location Code",$L$7)</t>
  </si>
  <si>
    <t>=NL("Sum","Item Ledger Entry","Quantity","Entry Type","Output","Entry No.",I1121,"Location Code",$L$7)</t>
  </si>
  <si>
    <t>=NL("Sum","Item Ledger Entry","Quantity","Entry Type","Output","Entry No.",I1122,"Location Code",$L$7)</t>
  </si>
  <si>
    <t>=NL("Sum","Item Ledger Entry","Quantity","Entry Type","Output","Entry No.",I1123,"Location Code",$L$7)</t>
  </si>
  <si>
    <t>=NL("Sum","Item Ledger Entry","Quantity","Entry Type","Output","Entry No.",I1124,"Location Code",$L$7)</t>
  </si>
  <si>
    <t>=NL("Sum","Item Ledger Entry","Quantity","Entry Type","Output","Entry No.",I1125,"Location Code",$L$7)</t>
  </si>
  <si>
    <t>=NL("Sum","Item Ledger Entry","Quantity","Entry Type","Output","Entry No.",I1126,"Location Code",$L$7)</t>
  </si>
  <si>
    <t>=NL("Sum","Item Ledger Entry","Quantity","Entry Type","Output","Entry No.",I1127,"Location Code",$L$7)</t>
  </si>
  <si>
    <t>=NL("Sum","Item Ledger Entry","Quantity","Entry Type","Output","Entry No.",I1128,"Location Code",$L$7)</t>
  </si>
  <si>
    <t>=NL("Sum","Item Ledger Entry","Quantity","Entry Type","Output","Entry No.",I1129,"Location Code",$L$7)</t>
  </si>
  <si>
    <t>=NL("Sum","Item Ledger Entry","Quantity","Entry Type","Output","Entry No.",I1130,"Location Code",$L$7)</t>
  </si>
  <si>
    <t>=NL("Sum","Item Ledger Entry","Quantity","Entry Type","Output","Entry No.",I1131,"Location Code",$L$7)</t>
  </si>
  <si>
    <t>=NL("Sum","Item Ledger Entry","Quantity","Entry Type","Output","Entry No.",I1132,"Location Code",$L$7)</t>
  </si>
  <si>
    <t>=NL("Sum","Item Ledger Entry","Quantity","Entry Type","Output","Entry No.",I1133,"Location Code",$L$7)</t>
  </si>
  <si>
    <t>=NL("Sum","Item Ledger Entry","Quantity","Entry Type","Output","Entry No.",I1134,"Location Code",$L$7)</t>
  </si>
  <si>
    <t>=NF(G1116,"Source Type")</t>
  </si>
  <si>
    <t>=NF(G1117,"Source Type")</t>
  </si>
  <si>
    <t>=NF(G1118,"Source Type")</t>
  </si>
  <si>
    <t>=NF(G1119,"Source Type")</t>
  </si>
  <si>
    <t>=NF(G1120,"Source Type")</t>
  </si>
  <si>
    <t>=NF(G1121,"Source Type")</t>
  </si>
  <si>
    <t>=NF(G1122,"Source Type")</t>
  </si>
  <si>
    <t>=NF(G1123,"Source Type")</t>
  </si>
  <si>
    <t>=NF(G1124,"Source Type")</t>
  </si>
  <si>
    <t>=NF(G1125,"Source Type")</t>
  </si>
  <si>
    <t>=NF(G1126,"Source Type")</t>
  </si>
  <si>
    <t>=NF(G1127,"Source Type")</t>
  </si>
  <si>
    <t>=NF(G1128,"Source Type")</t>
  </si>
  <si>
    <t>=NF(G1129,"Source Type")</t>
  </si>
  <si>
    <t>=NF(G1130,"Source Type")</t>
  </si>
  <si>
    <t>=NF(G1131,"Source Type")</t>
  </si>
  <si>
    <t>=NF(G1132,"Source Type")</t>
  </si>
  <si>
    <t>=NF(G1133,"Source Type")</t>
  </si>
  <si>
    <t>=NF(G1134,"Source Type")</t>
  </si>
  <si>
    <t>=NF($G1116,"Source No.")</t>
  </si>
  <si>
    <t>=NF($G1117,"Source No.")</t>
  </si>
  <si>
    <t>=NF($G1118,"Source No.")</t>
  </si>
  <si>
    <t>=NF($G1119,"Source No.")</t>
  </si>
  <si>
    <t>=NF($G1120,"Source No.")</t>
  </si>
  <si>
    <t>=NF($G1121,"Source No.")</t>
  </si>
  <si>
    <t>=NF($G1122,"Source No.")</t>
  </si>
  <si>
    <t>=NF($G1123,"Source No.")</t>
  </si>
  <si>
    <t>=NF($G1124,"Source No.")</t>
  </si>
  <si>
    <t>=NF($G1125,"Source No.")</t>
  </si>
  <si>
    <t>=NF($G1126,"Source No.")</t>
  </si>
  <si>
    <t>=NF($G1127,"Source No.")</t>
  </si>
  <si>
    <t>=NF($G1128,"Source No.")</t>
  </si>
  <si>
    <t>=NF($G1129,"Source No.")</t>
  </si>
  <si>
    <t>=NF($G1130,"Source No.")</t>
  </si>
  <si>
    <t>=NF($G1131,"Source No.")</t>
  </si>
  <si>
    <t>=NF($G1132,"Source No.")</t>
  </si>
  <si>
    <t>=NF($G1133,"Source No.")</t>
  </si>
  <si>
    <t>=NF($G1134,"Source No.")</t>
  </si>
  <si>
    <t>=NF($G1091,"Posting Date")</t>
  </si>
  <si>
    <t>=NF($G1092,"Posting Date")</t>
  </si>
  <si>
    <t>=NF($G1093,"Posting Date")</t>
  </si>
  <si>
    <t>=NF($G1094,"Posting Date")</t>
  </si>
  <si>
    <t>=NF($G1095,"Posting Date")</t>
  </si>
  <si>
    <t>=NF($G1096,"Posting Date")</t>
  </si>
  <si>
    <t>=NF($G1097,"Posting Date")</t>
  </si>
  <si>
    <t>=NF($G1098,"Posting Date")</t>
  </si>
  <si>
    <t>=NF($G1099,"Posting Date")</t>
  </si>
  <si>
    <t>=NF($G1100,"Posting Date")</t>
  </si>
  <si>
    <t>=NF($G1101,"Posting Date")</t>
  </si>
  <si>
    <t>=NF($G1102,"Posting Date")</t>
  </si>
  <si>
    <t>=NF($G1103,"Posting Date")</t>
  </si>
  <si>
    <t>=NF($G1104,"Posting Date")</t>
  </si>
  <si>
    <t>=NF($G1105,"Posting Date")</t>
  </si>
  <si>
    <t>=NF($G1106,"Posting Date")</t>
  </si>
  <si>
    <t>=NF($G1107,"Posting Date")</t>
  </si>
  <si>
    <t>=NF($G1108,"Posting Date")</t>
  </si>
  <si>
    <t>=NF($G1109,"Posting Date")</t>
  </si>
  <si>
    <t>=NF($G1110,"Posting Date")</t>
  </si>
  <si>
    <t>=NF($G1111,"Posting Date")</t>
  </si>
  <si>
    <t>=NF($G1112,"Posting Date")</t>
  </si>
  <si>
    <t>=NF($G1091,"Entry No.")</t>
  </si>
  <si>
    <t>=NF($G1092,"Entry No.")</t>
  </si>
  <si>
    <t>=NF($G1093,"Entry No.")</t>
  </si>
  <si>
    <t>=NF($G1094,"Entry No.")</t>
  </si>
  <si>
    <t>=NF($G1095,"Entry No.")</t>
  </si>
  <si>
    <t>=NF($G1096,"Entry No.")</t>
  </si>
  <si>
    <t>=NF($G1097,"Entry No.")</t>
  </si>
  <si>
    <t>=NF($G1098,"Entry No.")</t>
  </si>
  <si>
    <t>=NF($G1099,"Entry No.")</t>
  </si>
  <si>
    <t>=NF($G1100,"Entry No.")</t>
  </si>
  <si>
    <t>=NF($G1101,"Entry No.")</t>
  </si>
  <si>
    <t>=NF($G1102,"Entry No.")</t>
  </si>
  <si>
    <t>=NF($G1103,"Entry No.")</t>
  </si>
  <si>
    <t>=NF($G1104,"Entry No.")</t>
  </si>
  <si>
    <t>=NF($G1105,"Entry No.")</t>
  </si>
  <si>
    <t>=NF($G1106,"Entry No.")</t>
  </si>
  <si>
    <t>=NF($G1107,"Entry No.")</t>
  </si>
  <si>
    <t>=NF($G1108,"Entry No.")</t>
  </si>
  <si>
    <t>=NF($G1109,"Entry No.")</t>
  </si>
  <si>
    <t>=NF($G1110,"Entry No.")</t>
  </si>
  <si>
    <t>=NF($G1111,"Entry No.")</t>
  </si>
  <si>
    <t>=NF($G1112,"Entry No.")</t>
  </si>
  <si>
    <t>=NL("Sum","Item Ledger Entry","Quantity","Entry Type","Purchase","Entry No.",I1091,"Location Code",$L$7)</t>
  </si>
  <si>
    <t>=NL("Sum","Item Ledger Entry","Quantity","Entry Type","Purchase","Entry No.",I1092,"Location Code",$L$7)</t>
  </si>
  <si>
    <t>=NL("Sum","Item Ledger Entry","Quantity","Entry Type","Purchase","Entry No.",I1093,"Location Code",$L$7)</t>
  </si>
  <si>
    <t>=NL("Sum","Item Ledger Entry","Quantity","Entry Type","Purchase","Entry No.",I1094,"Location Code",$L$7)</t>
  </si>
  <si>
    <t>=NL("Sum","Item Ledger Entry","Quantity","Entry Type","Purchase","Entry No.",I1095,"Location Code",$L$7)</t>
  </si>
  <si>
    <t>=NL("Sum","Item Ledger Entry","Quantity","Entry Type","Purchase","Entry No.",I1096,"Location Code",$L$7)</t>
  </si>
  <si>
    <t>=NL("Sum","Item Ledger Entry","Quantity","Entry Type","Purchase","Entry No.",I1097,"Location Code",$L$7)</t>
  </si>
  <si>
    <t>=NL("Sum","Item Ledger Entry","Quantity","Entry Type","Purchase","Entry No.",I1098,"Location Code",$L$7)</t>
  </si>
  <si>
    <t>=NL("Sum","Item Ledger Entry","Quantity","Entry Type","Purchase","Entry No.",I1099,"Location Code",$L$7)</t>
  </si>
  <si>
    <t>=NL("Sum","Item Ledger Entry","Quantity","Entry Type","Purchase","Entry No.",I1100,"Location Code",$L$7)</t>
  </si>
  <si>
    <t>=NL("Sum","Item Ledger Entry","Quantity","Entry Type","Purchase","Entry No.",I1101,"Location Code",$L$7)</t>
  </si>
  <si>
    <t>=NL("Sum","Item Ledger Entry","Quantity","Entry Type","Purchase","Entry No.",I1102,"Location Code",$L$7)</t>
  </si>
  <si>
    <t>=NL("Sum","Item Ledger Entry","Quantity","Entry Type","Purchase","Entry No.",I1103,"Location Code",$L$7)</t>
  </si>
  <si>
    <t>=NL("Sum","Item Ledger Entry","Quantity","Entry Type","Purchase","Entry No.",I1104,"Location Code",$L$7)</t>
  </si>
  <si>
    <t>=NL("Sum","Item Ledger Entry","Quantity","Entry Type","Purchase","Entry No.",I1105,"Location Code",$L$7)</t>
  </si>
  <si>
    <t>=NL("Sum","Item Ledger Entry","Quantity","Entry Type","Purchase","Entry No.",I1106,"Location Code",$L$7)</t>
  </si>
  <si>
    <t>=NL("Sum","Item Ledger Entry","Quantity","Entry Type","Purchase","Entry No.",I1107,"Location Code",$L$7)</t>
  </si>
  <si>
    <t>=NL("Sum","Item Ledger Entry","Quantity","Entry Type","Purchase","Entry No.",I1108,"Location Code",$L$7)</t>
  </si>
  <si>
    <t>=NL("Sum","Item Ledger Entry","Quantity","Entry Type","Purchase","Entry No.",I1109,"Location Code",$L$7)</t>
  </si>
  <si>
    <t>=NL("Sum","Item Ledger Entry","Quantity","Entry Type","Purchase","Entry No.",I1110,"Location Code",$L$7)</t>
  </si>
  <si>
    <t>=NL("Sum","Item Ledger Entry","Quantity","Entry Type","Purchase","Entry No.",I1111,"Location Code",$L$7)</t>
  </si>
  <si>
    <t>=NL("Sum","Item Ledger Entry","Quantity","Entry Type","Purchase","Entry No.",I1112,"Location Code",$L$7)</t>
  </si>
  <si>
    <t>=NL("Sum","Item Ledger Entry","Quantity","Entry Type","Sale","Entry No.",I1091,"Location Code",$L$7)</t>
  </si>
  <si>
    <t>=NL("Sum","Item Ledger Entry","Quantity","Entry Type","Sale","Entry No.",I1092,"Location Code",$L$7)</t>
  </si>
  <si>
    <t>=NL("Sum","Item Ledger Entry","Quantity","Entry Type","Sale","Entry No.",I1093,"Location Code",$L$7)</t>
  </si>
  <si>
    <t>=NL("Sum","Item Ledger Entry","Quantity","Entry Type","Sale","Entry No.",I1094,"Location Code",$L$7)</t>
  </si>
  <si>
    <t>=NL("Sum","Item Ledger Entry","Quantity","Entry Type","Sale","Entry No.",I1095,"Location Code",$L$7)</t>
  </si>
  <si>
    <t>=NL("Sum","Item Ledger Entry","Quantity","Entry Type","Sale","Entry No.",I1096,"Location Code",$L$7)</t>
  </si>
  <si>
    <t>=NL("Sum","Item Ledger Entry","Quantity","Entry Type","Sale","Entry No.",I1097,"Location Code",$L$7)</t>
  </si>
  <si>
    <t>=NL("Sum","Item Ledger Entry","Quantity","Entry Type","Sale","Entry No.",I1098,"Location Code",$L$7)</t>
  </si>
  <si>
    <t>=NL("Sum","Item Ledger Entry","Quantity","Entry Type","Sale","Entry No.",I1099,"Location Code",$L$7)</t>
  </si>
  <si>
    <t>=NL("Sum","Item Ledger Entry","Quantity","Entry Type","Sale","Entry No.",I1100,"Location Code",$L$7)</t>
  </si>
  <si>
    <t>=NL("Sum","Item Ledger Entry","Quantity","Entry Type","Sale","Entry No.",I1101,"Location Code",$L$7)</t>
  </si>
  <si>
    <t>=NL("Sum","Item Ledger Entry","Quantity","Entry Type","Sale","Entry No.",I1102,"Location Code",$L$7)</t>
  </si>
  <si>
    <t>=NL("Sum","Item Ledger Entry","Quantity","Entry Type","Sale","Entry No.",I1103,"Location Code",$L$7)</t>
  </si>
  <si>
    <t>=NL("Sum","Item Ledger Entry","Quantity","Entry Type","Sale","Entry No.",I1104,"Location Code",$L$7)</t>
  </si>
  <si>
    <t>=NL("Sum","Item Ledger Entry","Quantity","Entry Type","Sale","Entry No.",I1105,"Location Code",$L$7)</t>
  </si>
  <si>
    <t>=NL("Sum","Item Ledger Entry","Quantity","Entry Type","Sale","Entry No.",I1106,"Location Code",$L$7)</t>
  </si>
  <si>
    <t>=NL("Sum","Item Ledger Entry","Quantity","Entry Type","Sale","Entry No.",I1107,"Location Code",$L$7)</t>
  </si>
  <si>
    <t>=NL("Sum","Item Ledger Entry","Quantity","Entry Type","Sale","Entry No.",I1108,"Location Code",$L$7)</t>
  </si>
  <si>
    <t>=NL("Sum","Item Ledger Entry","Quantity","Entry Type","Sale","Entry No.",I1109,"Location Code",$L$7)</t>
  </si>
  <si>
    <t>=NL("Sum","Item Ledger Entry","Quantity","Entry Type","Sale","Entry No.",I1110,"Location Code",$L$7)</t>
  </si>
  <si>
    <t>=NL("Sum","Item Ledger Entry","Quantity","Entry Type","Sale","Entry No.",I1111,"Location Code",$L$7)</t>
  </si>
  <si>
    <t>=NL("Sum","Item Ledger Entry","Quantity","Entry Type","Sale","Entry No.",I1112,"Location Code",$L$7)</t>
  </si>
  <si>
    <t>=NL("Sum","Item Ledger Entry","Quantity","Entry Type","Positive Adjmt.|Negative Adjmt.","Entry No.",I1091,"Location Code",$L$7)</t>
  </si>
  <si>
    <t>=NL("Sum","Item Ledger Entry","Quantity","Entry Type","Positive Adjmt.|Negative Adjmt.","Entry No.",I1092,"Location Code",$L$7)</t>
  </si>
  <si>
    <t>=NL("Sum","Item Ledger Entry","Quantity","Entry Type","Positive Adjmt.|Negative Adjmt.","Entry No.",I1093,"Location Code",$L$7)</t>
  </si>
  <si>
    <t>=NL("Sum","Item Ledger Entry","Quantity","Entry Type","Positive Adjmt.|Negative Adjmt.","Entry No.",I1094,"Location Code",$L$7)</t>
  </si>
  <si>
    <t>=NL("Sum","Item Ledger Entry","Quantity","Entry Type","Positive Adjmt.|Negative Adjmt.","Entry No.",I1095,"Location Code",$L$7)</t>
  </si>
  <si>
    <t>=NL("Sum","Item Ledger Entry","Quantity","Entry Type","Positive Adjmt.|Negative Adjmt.","Entry No.",I1096,"Location Code",$L$7)</t>
  </si>
  <si>
    <t>=NL("Sum","Item Ledger Entry","Quantity","Entry Type","Positive Adjmt.|Negative Adjmt.","Entry No.",I1097,"Location Code",$L$7)</t>
  </si>
  <si>
    <t>=NL("Sum","Item Ledger Entry","Quantity","Entry Type","Positive Adjmt.|Negative Adjmt.","Entry No.",I1098,"Location Code",$L$7)</t>
  </si>
  <si>
    <t>=NL("Sum","Item Ledger Entry","Quantity","Entry Type","Positive Adjmt.|Negative Adjmt.","Entry No.",I1099,"Location Code",$L$7)</t>
  </si>
  <si>
    <t>=NL("Sum","Item Ledger Entry","Quantity","Entry Type","Positive Adjmt.|Negative Adjmt.","Entry No.",I1100,"Location Code",$L$7)</t>
  </si>
  <si>
    <t>=NL("Sum","Item Ledger Entry","Quantity","Entry Type","Positive Adjmt.|Negative Adjmt.","Entry No.",I1101,"Location Code",$L$7)</t>
  </si>
  <si>
    <t>=NL("Sum","Item Ledger Entry","Quantity","Entry Type","Positive Adjmt.|Negative Adjmt.","Entry No.",I1102,"Location Code",$L$7)</t>
  </si>
  <si>
    <t>=NL("Sum","Item Ledger Entry","Quantity","Entry Type","Positive Adjmt.|Negative Adjmt.","Entry No.",I1103,"Location Code",$L$7)</t>
  </si>
  <si>
    <t>=NL("Sum","Item Ledger Entry","Quantity","Entry Type","Positive Adjmt.|Negative Adjmt.","Entry No.",I1104,"Location Code",$L$7)</t>
  </si>
  <si>
    <t>=NL("Sum","Item Ledger Entry","Quantity","Entry Type","Positive Adjmt.|Negative Adjmt.","Entry No.",I1105,"Location Code",$L$7)</t>
  </si>
  <si>
    <t>=NL("Sum","Item Ledger Entry","Quantity","Entry Type","Positive Adjmt.|Negative Adjmt.","Entry No.",I1106,"Location Code",$L$7)</t>
  </si>
  <si>
    <t>=NL("Sum","Item Ledger Entry","Quantity","Entry Type","Positive Adjmt.|Negative Adjmt.","Entry No.",I1107,"Location Code",$L$7)</t>
  </si>
  <si>
    <t>=NL("Sum","Item Ledger Entry","Quantity","Entry Type","Positive Adjmt.|Negative Adjmt.","Entry No.",I1108,"Location Code",$L$7)</t>
  </si>
  <si>
    <t>=NL("Sum","Item Ledger Entry","Quantity","Entry Type","Positive Adjmt.|Negative Adjmt.","Entry No.",I1109,"Location Code",$L$7)</t>
  </si>
  <si>
    <t>=NL("Sum","Item Ledger Entry","Quantity","Entry Type","Positive Adjmt.|Negative Adjmt.","Entry No.",I1110,"Location Code",$L$7)</t>
  </si>
  <si>
    <t>=NL("Sum","Item Ledger Entry","Quantity","Entry Type","Positive Adjmt.|Negative Adjmt.","Entry No.",I1111,"Location Code",$L$7)</t>
  </si>
  <si>
    <t>=NL("Sum","Item Ledger Entry","Quantity","Entry Type","Positive Adjmt.|Negative Adjmt.","Entry No.",I1112,"Location Code",$L$7)</t>
  </si>
  <si>
    <t>=NL("Sum","Item Ledger Entry","Quantity","Entry Type","Transfer","Entry No.",I1091,"Location Code",$L$7)</t>
  </si>
  <si>
    <t>=NL("Sum","Item Ledger Entry","Quantity","Entry Type","Transfer","Entry No.",I1092,"Location Code",$L$7)</t>
  </si>
  <si>
    <t>=NL("Sum","Item Ledger Entry","Quantity","Entry Type","Transfer","Entry No.",I1093,"Location Code",$L$7)</t>
  </si>
  <si>
    <t>=NL("Sum","Item Ledger Entry","Quantity","Entry Type","Transfer","Entry No.",I1094,"Location Code",$L$7)</t>
  </si>
  <si>
    <t>=NL("Sum","Item Ledger Entry","Quantity","Entry Type","Transfer","Entry No.",I1095,"Location Code",$L$7)</t>
  </si>
  <si>
    <t>=NL("Sum","Item Ledger Entry","Quantity","Entry Type","Transfer","Entry No.",I1096,"Location Code",$L$7)</t>
  </si>
  <si>
    <t>=NL("Sum","Item Ledger Entry","Quantity","Entry Type","Transfer","Entry No.",I1097,"Location Code",$L$7)</t>
  </si>
  <si>
    <t>=NL("Sum","Item Ledger Entry","Quantity","Entry Type","Transfer","Entry No.",I1098,"Location Code",$L$7)</t>
  </si>
  <si>
    <t>=NL("Sum","Item Ledger Entry","Quantity","Entry Type","Transfer","Entry No.",I1099,"Location Code",$L$7)</t>
  </si>
  <si>
    <t>=NL("Sum","Item Ledger Entry","Quantity","Entry Type","Transfer","Entry No.",I1100,"Location Code",$L$7)</t>
  </si>
  <si>
    <t>=NL("Sum","Item Ledger Entry","Quantity","Entry Type","Transfer","Entry No.",I1101,"Location Code",$L$7)</t>
  </si>
  <si>
    <t>=NL("Sum","Item Ledger Entry","Quantity","Entry Type","Transfer","Entry No.",I1102,"Location Code",$L$7)</t>
  </si>
  <si>
    <t>=NL("Sum","Item Ledger Entry","Quantity","Entry Type","Transfer","Entry No.",I1103,"Location Code",$L$7)</t>
  </si>
  <si>
    <t>=NL("Sum","Item Ledger Entry","Quantity","Entry Type","Transfer","Entry No.",I1104,"Location Code",$L$7)</t>
  </si>
  <si>
    <t>=NL("Sum","Item Ledger Entry","Quantity","Entry Type","Transfer","Entry No.",I1105,"Location Code",$L$7)</t>
  </si>
  <si>
    <t>=NL("Sum","Item Ledger Entry","Quantity","Entry Type","Transfer","Entry No.",I1106,"Location Code",$L$7)</t>
  </si>
  <si>
    <t>=NL("Sum","Item Ledger Entry","Quantity","Entry Type","Transfer","Entry No.",I1107,"Location Code",$L$7)</t>
  </si>
  <si>
    <t>=NL("Sum","Item Ledger Entry","Quantity","Entry Type","Transfer","Entry No.",I1108,"Location Code",$L$7)</t>
  </si>
  <si>
    <t>=NL("Sum","Item Ledger Entry","Quantity","Entry Type","Transfer","Entry No.",I1109,"Location Code",$L$7)</t>
  </si>
  <si>
    <t>=NL("Sum","Item Ledger Entry","Quantity","Entry Type","Transfer","Entry No.",I1110,"Location Code",$L$7)</t>
  </si>
  <si>
    <t>=NL("Sum","Item Ledger Entry","Quantity","Entry Type","Transfer","Entry No.",I1111,"Location Code",$L$7)</t>
  </si>
  <si>
    <t>=NL("Sum","Item Ledger Entry","Quantity","Entry Type","Transfer","Entry No.",I1112,"Location Code",$L$7)</t>
  </si>
  <si>
    <t>=NL("Sum","Item Ledger Entry","Quantity","Entry Type","Consumption","Entry No.",I1091,"Location Code",$L$7)</t>
  </si>
  <si>
    <t>=NL("Sum","Item Ledger Entry","Quantity","Entry Type","Consumption","Entry No.",I1092,"Location Code",$L$7)</t>
  </si>
  <si>
    <t>=NL("Sum","Item Ledger Entry","Quantity","Entry Type","Consumption","Entry No.",I1093,"Location Code",$L$7)</t>
  </si>
  <si>
    <t>=NL("Sum","Item Ledger Entry","Quantity","Entry Type","Consumption","Entry No.",I1094,"Location Code",$L$7)</t>
  </si>
  <si>
    <t>=NL("Sum","Item Ledger Entry","Quantity","Entry Type","Consumption","Entry No.",I1095,"Location Code",$L$7)</t>
  </si>
  <si>
    <t>=NL("Sum","Item Ledger Entry","Quantity","Entry Type","Consumption","Entry No.",I1096,"Location Code",$L$7)</t>
  </si>
  <si>
    <t>=NL("Sum","Item Ledger Entry","Quantity","Entry Type","Consumption","Entry No.",I1097,"Location Code",$L$7)</t>
  </si>
  <si>
    <t>=NL("Sum","Item Ledger Entry","Quantity","Entry Type","Consumption","Entry No.",I1098,"Location Code",$L$7)</t>
  </si>
  <si>
    <t>=NL("Sum","Item Ledger Entry","Quantity","Entry Type","Consumption","Entry No.",I1099,"Location Code",$L$7)</t>
  </si>
  <si>
    <t>=NL("Sum","Item Ledger Entry","Quantity","Entry Type","Consumption","Entry No.",I1100,"Location Code",$L$7)</t>
  </si>
  <si>
    <t>=NL("Sum","Item Ledger Entry","Quantity","Entry Type","Consumption","Entry No.",I1101,"Location Code",$L$7)</t>
  </si>
  <si>
    <t>=NL("Sum","Item Ledger Entry","Quantity","Entry Type","Consumption","Entry No.",I1102,"Location Code",$L$7)</t>
  </si>
  <si>
    <t>=NL("Sum","Item Ledger Entry","Quantity","Entry Type","Consumption","Entry No.",I1103,"Location Code",$L$7)</t>
  </si>
  <si>
    <t>=NL("Sum","Item Ledger Entry","Quantity","Entry Type","Consumption","Entry No.",I1104,"Location Code",$L$7)</t>
  </si>
  <si>
    <t>=NL("Sum","Item Ledger Entry","Quantity","Entry Type","Consumption","Entry No.",I1105,"Location Code",$L$7)</t>
  </si>
  <si>
    <t>=NL("Sum","Item Ledger Entry","Quantity","Entry Type","Consumption","Entry No.",I1106,"Location Code",$L$7)</t>
  </si>
  <si>
    <t>=NL("Sum","Item Ledger Entry","Quantity","Entry Type","Consumption","Entry No.",I1107,"Location Code",$L$7)</t>
  </si>
  <si>
    <t>=NL("Sum","Item Ledger Entry","Quantity","Entry Type","Consumption","Entry No.",I1108,"Location Code",$L$7)</t>
  </si>
  <si>
    <t>=NL("Sum","Item Ledger Entry","Quantity","Entry Type","Consumption","Entry No.",I1109,"Location Code",$L$7)</t>
  </si>
  <si>
    <t>=NL("Sum","Item Ledger Entry","Quantity","Entry Type","Consumption","Entry No.",I1110,"Location Code",$L$7)</t>
  </si>
  <si>
    <t>=NL("Sum","Item Ledger Entry","Quantity","Entry Type","Consumption","Entry No.",I1111,"Location Code",$L$7)</t>
  </si>
  <si>
    <t>=NL("Sum","Item Ledger Entry","Quantity","Entry Type","Consumption","Entry No.",I1112,"Location Code",$L$7)</t>
  </si>
  <si>
    <t>=NL("Sum","Item Ledger Entry","Quantity","Entry Type","Output","Entry No.",I1091,"Location Code",$L$7)</t>
  </si>
  <si>
    <t>=NL("Sum","Item Ledger Entry","Quantity","Entry Type","Output","Entry No.",I1092,"Location Code",$L$7)</t>
  </si>
  <si>
    <t>=NL("Sum","Item Ledger Entry","Quantity","Entry Type","Output","Entry No.",I1093,"Location Code",$L$7)</t>
  </si>
  <si>
    <t>=NL("Sum","Item Ledger Entry","Quantity","Entry Type","Output","Entry No.",I1094,"Location Code",$L$7)</t>
  </si>
  <si>
    <t>=NL("Sum","Item Ledger Entry","Quantity","Entry Type","Output","Entry No.",I1095,"Location Code",$L$7)</t>
  </si>
  <si>
    <t>=NL("Sum","Item Ledger Entry","Quantity","Entry Type","Output","Entry No.",I1096,"Location Code",$L$7)</t>
  </si>
  <si>
    <t>=NL("Sum","Item Ledger Entry","Quantity","Entry Type","Output","Entry No.",I1097,"Location Code",$L$7)</t>
  </si>
  <si>
    <t>=NL("Sum","Item Ledger Entry","Quantity","Entry Type","Output","Entry No.",I1098,"Location Code",$L$7)</t>
  </si>
  <si>
    <t>=NL("Sum","Item Ledger Entry","Quantity","Entry Type","Output","Entry No.",I1099,"Location Code",$L$7)</t>
  </si>
  <si>
    <t>=NL("Sum","Item Ledger Entry","Quantity","Entry Type","Output","Entry No.",I1100,"Location Code",$L$7)</t>
  </si>
  <si>
    <t>=NL("Sum","Item Ledger Entry","Quantity","Entry Type","Output","Entry No.",I1101,"Location Code",$L$7)</t>
  </si>
  <si>
    <t>=NL("Sum","Item Ledger Entry","Quantity","Entry Type","Output","Entry No.",I1102,"Location Code",$L$7)</t>
  </si>
  <si>
    <t>=NL("Sum","Item Ledger Entry","Quantity","Entry Type","Output","Entry No.",I1103,"Location Code",$L$7)</t>
  </si>
  <si>
    <t>=NL("Sum","Item Ledger Entry","Quantity","Entry Type","Output","Entry No.",I1104,"Location Code",$L$7)</t>
  </si>
  <si>
    <t>=NL("Sum","Item Ledger Entry","Quantity","Entry Type","Output","Entry No.",I1105,"Location Code",$L$7)</t>
  </si>
  <si>
    <t>=NL("Sum","Item Ledger Entry","Quantity","Entry Type","Output","Entry No.",I1106,"Location Code",$L$7)</t>
  </si>
  <si>
    <t>=NL("Sum","Item Ledger Entry","Quantity","Entry Type","Output","Entry No.",I1107,"Location Code",$L$7)</t>
  </si>
  <si>
    <t>=NL("Sum","Item Ledger Entry","Quantity","Entry Type","Output","Entry No.",I1108,"Location Code",$L$7)</t>
  </si>
  <si>
    <t>=NL("Sum","Item Ledger Entry","Quantity","Entry Type","Output","Entry No.",I1109,"Location Code",$L$7)</t>
  </si>
  <si>
    <t>=NL("Sum","Item Ledger Entry","Quantity","Entry Type","Output","Entry No.",I1110,"Location Code",$L$7)</t>
  </si>
  <si>
    <t>=NL("Sum","Item Ledger Entry","Quantity","Entry Type","Output","Entry No.",I1111,"Location Code",$L$7)</t>
  </si>
  <si>
    <t>=NL("Sum","Item Ledger Entry","Quantity","Entry Type","Output","Entry No.",I1112,"Location Code",$L$7)</t>
  </si>
  <si>
    <t>=NF(G1091,"Source Type")</t>
  </si>
  <si>
    <t>=NF(G1092,"Source Type")</t>
  </si>
  <si>
    <t>=NF(G1093,"Source Type")</t>
  </si>
  <si>
    <t>=NF(G1094,"Source Type")</t>
  </si>
  <si>
    <t>=NF(G1095,"Source Type")</t>
  </si>
  <si>
    <t>=NF(G1096,"Source Type")</t>
  </si>
  <si>
    <t>=NF(G1097,"Source Type")</t>
  </si>
  <si>
    <t>=NF(G1098,"Source Type")</t>
  </si>
  <si>
    <t>=NF(G1099,"Source Type")</t>
  </si>
  <si>
    <t>=NF(G1100,"Source Type")</t>
  </si>
  <si>
    <t>=NF(G1101,"Source Type")</t>
  </si>
  <si>
    <t>=NF(G1102,"Source Type")</t>
  </si>
  <si>
    <t>=NF(G1103,"Source Type")</t>
  </si>
  <si>
    <t>=NF(G1104,"Source Type")</t>
  </si>
  <si>
    <t>=NF(G1105,"Source Type")</t>
  </si>
  <si>
    <t>=NF(G1106,"Source Type")</t>
  </si>
  <si>
    <t>=NF(G1107,"Source Type")</t>
  </si>
  <si>
    <t>=NF(G1108,"Source Type")</t>
  </si>
  <si>
    <t>=NF(G1109,"Source Type")</t>
  </si>
  <si>
    <t>=NF(G1110,"Source Type")</t>
  </si>
  <si>
    <t>=NF(G1111,"Source Type")</t>
  </si>
  <si>
    <t>=NF(G1112,"Source Type")</t>
  </si>
  <si>
    <t>=NF($G1091,"Source No.")</t>
  </si>
  <si>
    <t>=NF($G1092,"Source No.")</t>
  </si>
  <si>
    <t>=NF($G1093,"Source No.")</t>
  </si>
  <si>
    <t>=NF($G1094,"Source No.")</t>
  </si>
  <si>
    <t>=NF($G1095,"Source No.")</t>
  </si>
  <si>
    <t>=NF($G1096,"Source No.")</t>
  </si>
  <si>
    <t>=NF($G1097,"Source No.")</t>
  </si>
  <si>
    <t>=NF($G1098,"Source No.")</t>
  </si>
  <si>
    <t>=NF($G1099,"Source No.")</t>
  </si>
  <si>
    <t>=NF($G1100,"Source No.")</t>
  </si>
  <si>
    <t>=NF($G1101,"Source No.")</t>
  </si>
  <si>
    <t>=NF($G1102,"Source No.")</t>
  </si>
  <si>
    <t>=NF($G1103,"Source No.")</t>
  </si>
  <si>
    <t>=NF($G1104,"Source No.")</t>
  </si>
  <si>
    <t>=NF($G1105,"Source No.")</t>
  </si>
  <si>
    <t>=NF($G1106,"Source No.")</t>
  </si>
  <si>
    <t>=NF($G1107,"Source No.")</t>
  </si>
  <si>
    <t>=NF($G1108,"Source No.")</t>
  </si>
  <si>
    <t>=NF($G1109,"Source No.")</t>
  </si>
  <si>
    <t>=NF($G1110,"Source No.")</t>
  </si>
  <si>
    <t>=NF($G1111,"Source No.")</t>
  </si>
  <si>
    <t>=NF($G1112,"Source No.")</t>
  </si>
  <si>
    <t>=NF($G1075,"Posting Date")</t>
  </si>
  <si>
    <t>=NF($G1076,"Posting Date")</t>
  </si>
  <si>
    <t>=NF($G1077,"Posting Date")</t>
  </si>
  <si>
    <t>=NF($G1081,"Posting Date")</t>
  </si>
  <si>
    <t>=NF($G1082,"Posting Date")</t>
  </si>
  <si>
    <t>=NF($G1083,"Posting Date")</t>
  </si>
  <si>
    <t>=NF($G1075,"Entry No.")</t>
  </si>
  <si>
    <t>=NF($G1076,"Entry No.")</t>
  </si>
  <si>
    <t>=NF($G1077,"Entry No.")</t>
  </si>
  <si>
    <t>=NF($G1081,"Entry No.")</t>
  </si>
  <si>
    <t>=NF($G1082,"Entry No.")</t>
  </si>
  <si>
    <t>=NF($G1083,"Entry No.")</t>
  </si>
  <si>
    <t>=NL("Sum","Item Ledger Entry","Quantity","Entry Type","Purchase","Entry No.",I1075,"Location Code",$L$7)</t>
  </si>
  <si>
    <t>=NL("Sum","Item Ledger Entry","Quantity","Entry Type","Purchase","Entry No.",I1076,"Location Code",$L$7)</t>
  </si>
  <si>
    <t>=NL("Sum","Item Ledger Entry","Quantity","Entry Type","Purchase","Entry No.",I1077,"Location Code",$L$7)</t>
  </si>
  <si>
    <t>=NL("Sum","Item Ledger Entry","Quantity","Entry Type","Purchase","Entry No.",I1081,"Location Code",$L$7)</t>
  </si>
  <si>
    <t>=NL("Sum","Item Ledger Entry","Quantity","Entry Type","Purchase","Entry No.",I1082,"Location Code",$L$7)</t>
  </si>
  <si>
    <t>=NL("Sum","Item Ledger Entry","Quantity","Entry Type","Purchase","Entry No.",I1083,"Location Code",$L$7)</t>
  </si>
  <si>
    <t>=NL("Sum","Item Ledger Entry","Quantity","Entry Type","Sale","Entry No.",I1075,"Location Code",$L$7)</t>
  </si>
  <si>
    <t>=NL("Sum","Item Ledger Entry","Quantity","Entry Type","Sale","Entry No.",I1076,"Location Code",$L$7)</t>
  </si>
  <si>
    <t>=NL("Sum","Item Ledger Entry","Quantity","Entry Type","Sale","Entry No.",I1077,"Location Code",$L$7)</t>
  </si>
  <si>
    <t>=NL("Sum","Item Ledger Entry","Quantity","Entry Type","Sale","Entry No.",I1081,"Location Code",$L$7)</t>
  </si>
  <si>
    <t>=NL("Sum","Item Ledger Entry","Quantity","Entry Type","Sale","Entry No.",I1082,"Location Code",$L$7)</t>
  </si>
  <si>
    <t>=NL("Sum","Item Ledger Entry","Quantity","Entry Type","Sale","Entry No.",I1083,"Location Code",$L$7)</t>
  </si>
  <si>
    <t>=NL("Sum","Item Ledger Entry","Quantity","Entry Type","Positive Adjmt.|Negative Adjmt.","Entry No.",I1075,"Location Code",$L$7)</t>
  </si>
  <si>
    <t>=NL("Sum","Item Ledger Entry","Quantity","Entry Type","Positive Adjmt.|Negative Adjmt.","Entry No.",I1076,"Location Code",$L$7)</t>
  </si>
  <si>
    <t>=NL("Sum","Item Ledger Entry","Quantity","Entry Type","Positive Adjmt.|Negative Adjmt.","Entry No.",I1077,"Location Code",$L$7)</t>
  </si>
  <si>
    <t>=NL("Sum","Item Ledger Entry","Quantity","Entry Type","Positive Adjmt.|Negative Adjmt.","Entry No.",I1081,"Location Code",$L$7)</t>
  </si>
  <si>
    <t>=NL("Sum","Item Ledger Entry","Quantity","Entry Type","Positive Adjmt.|Negative Adjmt.","Entry No.",I1082,"Location Code",$L$7)</t>
  </si>
  <si>
    <t>=NL("Sum","Item Ledger Entry","Quantity","Entry Type","Positive Adjmt.|Negative Adjmt.","Entry No.",I1083,"Location Code",$L$7)</t>
  </si>
  <si>
    <t>=NL("Sum","Item Ledger Entry","Quantity","Entry Type","Transfer","Entry No.",I1075,"Location Code",$L$7)</t>
  </si>
  <si>
    <t>=NL("Sum","Item Ledger Entry","Quantity","Entry Type","Transfer","Entry No.",I1076,"Location Code",$L$7)</t>
  </si>
  <si>
    <t>=NL("Sum","Item Ledger Entry","Quantity","Entry Type","Transfer","Entry No.",I1077,"Location Code",$L$7)</t>
  </si>
  <si>
    <t>=NL("Sum","Item Ledger Entry","Quantity","Entry Type","Transfer","Entry No.",I1081,"Location Code",$L$7)</t>
  </si>
  <si>
    <t>=NL("Sum","Item Ledger Entry","Quantity","Entry Type","Transfer","Entry No.",I1082,"Location Code",$L$7)</t>
  </si>
  <si>
    <t>=NL("Sum","Item Ledger Entry","Quantity","Entry Type","Transfer","Entry No.",I1083,"Location Code",$L$7)</t>
  </si>
  <si>
    <t>=NL("Sum","Item Ledger Entry","Quantity","Entry Type","Consumption","Entry No.",I1075,"Location Code",$L$7)</t>
  </si>
  <si>
    <t>=NL("Sum","Item Ledger Entry","Quantity","Entry Type","Consumption","Entry No.",I1076,"Location Code",$L$7)</t>
  </si>
  <si>
    <t>=NL("Sum","Item Ledger Entry","Quantity","Entry Type","Consumption","Entry No.",I1077,"Location Code",$L$7)</t>
  </si>
  <si>
    <t>=NL("Sum","Item Ledger Entry","Quantity","Entry Type","Consumption","Entry No.",I1081,"Location Code",$L$7)</t>
  </si>
  <si>
    <t>=NL("Sum","Item Ledger Entry","Quantity","Entry Type","Consumption","Entry No.",I1082,"Location Code",$L$7)</t>
  </si>
  <si>
    <t>=NL("Sum","Item Ledger Entry","Quantity","Entry Type","Consumption","Entry No.",I1083,"Location Code",$L$7)</t>
  </si>
  <si>
    <t>=NL("Sum","Item Ledger Entry","Quantity","Entry Type","Output","Entry No.",I1075,"Location Code",$L$7)</t>
  </si>
  <si>
    <t>=NL("Sum","Item Ledger Entry","Quantity","Entry Type","Output","Entry No.",I1076,"Location Code",$L$7)</t>
  </si>
  <si>
    <t>=NL("Sum","Item Ledger Entry","Quantity","Entry Type","Output","Entry No.",I1077,"Location Code",$L$7)</t>
  </si>
  <si>
    <t>=NL("Sum","Item Ledger Entry","Quantity","Entry Type","Output","Entry No.",I1081,"Location Code",$L$7)</t>
  </si>
  <si>
    <t>=NL("Sum","Item Ledger Entry","Quantity","Entry Type","Output","Entry No.",I1082,"Location Code",$L$7)</t>
  </si>
  <si>
    <t>=NL("Sum","Item Ledger Entry","Quantity","Entry Type","Output","Entry No.",I1083,"Location Code",$L$7)</t>
  </si>
  <si>
    <t>=NF(G1075,"Source Type")</t>
  </si>
  <si>
    <t>=NF(G1076,"Source Type")</t>
  </si>
  <si>
    <t>=NF(G1077,"Source Type")</t>
  </si>
  <si>
    <t>=NF(G1081,"Source Type")</t>
  </si>
  <si>
    <t>=NF(G1082,"Source Type")</t>
  </si>
  <si>
    <t>=NF(G1083,"Source Type")</t>
  </si>
  <si>
    <t>=NF($G1075,"Source No.")</t>
  </si>
  <si>
    <t>=NF($G1076,"Source No.")</t>
  </si>
  <si>
    <t>=NF($G1077,"Source No.")</t>
  </si>
  <si>
    <t>=NF($G1081,"Source No.")</t>
  </si>
  <si>
    <t>=NF($G1082,"Source No.")</t>
  </si>
  <si>
    <t>=NF($G1083,"Source No.")</t>
  </si>
  <si>
    <t>=NF($G1062,"Posting Date")</t>
  </si>
  <si>
    <t>=NF($G1063,"Posting Date")</t>
  </si>
  <si>
    <t>=NF($G1064,"Posting Date")</t>
  </si>
  <si>
    <t>=NF($G1068,"Posting Date")</t>
  </si>
  <si>
    <t>=NF($G1069,"Posting Date")</t>
  </si>
  <si>
    <t>=NF($G1070,"Posting Date")</t>
  </si>
  <si>
    <t>=NF($G1062,"Entry No.")</t>
  </si>
  <si>
    <t>=NF($G1063,"Entry No.")</t>
  </si>
  <si>
    <t>=NF($G1064,"Entry No.")</t>
  </si>
  <si>
    <t>=NF($G1068,"Entry No.")</t>
  </si>
  <si>
    <t>=NF($G1069,"Entry No.")</t>
  </si>
  <si>
    <t>=NF($G1070,"Entry No.")</t>
  </si>
  <si>
    <t>=NL("Sum","Item Ledger Entry","Quantity","Entry Type","Purchase","Entry No.",I1062,"Location Code",$L$7)</t>
  </si>
  <si>
    <t>=NL("Sum","Item Ledger Entry","Quantity","Entry Type","Purchase","Entry No.",I1063,"Location Code",$L$7)</t>
  </si>
  <si>
    <t>=NL("Sum","Item Ledger Entry","Quantity","Entry Type","Purchase","Entry No.",I1064,"Location Code",$L$7)</t>
  </si>
  <si>
    <t>=NL("Sum","Item Ledger Entry","Quantity","Entry Type","Purchase","Entry No.",I1068,"Location Code",$L$7)</t>
  </si>
  <si>
    <t>=NL("Sum","Item Ledger Entry","Quantity","Entry Type","Purchase","Entry No.",I1069,"Location Code",$L$7)</t>
  </si>
  <si>
    <t>=NL("Sum","Item Ledger Entry","Quantity","Entry Type","Purchase","Entry No.",I1070,"Location Code",$L$7)</t>
  </si>
  <si>
    <t>=NL("Sum","Item Ledger Entry","Quantity","Entry Type","Sale","Entry No.",I1062,"Location Code",$L$7)</t>
  </si>
  <si>
    <t>=NL("Sum","Item Ledger Entry","Quantity","Entry Type","Sale","Entry No.",I1063,"Location Code",$L$7)</t>
  </si>
  <si>
    <t>=NL("Sum","Item Ledger Entry","Quantity","Entry Type","Sale","Entry No.",I1064,"Location Code",$L$7)</t>
  </si>
  <si>
    <t>=NL("Sum","Item Ledger Entry","Quantity","Entry Type","Sale","Entry No.",I1068,"Location Code",$L$7)</t>
  </si>
  <si>
    <t>=NL("Sum","Item Ledger Entry","Quantity","Entry Type","Sale","Entry No.",I1069,"Location Code",$L$7)</t>
  </si>
  <si>
    <t>=NL("Sum","Item Ledger Entry","Quantity","Entry Type","Sale","Entry No.",I1070,"Location Code",$L$7)</t>
  </si>
  <si>
    <t>=NL("Sum","Item Ledger Entry","Quantity","Entry Type","Positive Adjmt.|Negative Adjmt.","Entry No.",I1062,"Location Code",$L$7)</t>
  </si>
  <si>
    <t>=NL("Sum","Item Ledger Entry","Quantity","Entry Type","Positive Adjmt.|Negative Adjmt.","Entry No.",I1063,"Location Code",$L$7)</t>
  </si>
  <si>
    <t>=NL("Sum","Item Ledger Entry","Quantity","Entry Type","Positive Adjmt.|Negative Adjmt.","Entry No.",I1064,"Location Code",$L$7)</t>
  </si>
  <si>
    <t>=NL("Sum","Item Ledger Entry","Quantity","Entry Type","Positive Adjmt.|Negative Adjmt.","Entry No.",I1068,"Location Code",$L$7)</t>
  </si>
  <si>
    <t>=NL("Sum","Item Ledger Entry","Quantity","Entry Type","Positive Adjmt.|Negative Adjmt.","Entry No.",I1069,"Location Code",$L$7)</t>
  </si>
  <si>
    <t>=NL("Sum","Item Ledger Entry","Quantity","Entry Type","Positive Adjmt.|Negative Adjmt.","Entry No.",I1070,"Location Code",$L$7)</t>
  </si>
  <si>
    <t>=NL("Sum","Item Ledger Entry","Quantity","Entry Type","Transfer","Entry No.",I1062,"Location Code",$L$7)</t>
  </si>
  <si>
    <t>=NL("Sum","Item Ledger Entry","Quantity","Entry Type","Transfer","Entry No.",I1063,"Location Code",$L$7)</t>
  </si>
  <si>
    <t>=NL("Sum","Item Ledger Entry","Quantity","Entry Type","Transfer","Entry No.",I1064,"Location Code",$L$7)</t>
  </si>
  <si>
    <t>=NL("Sum","Item Ledger Entry","Quantity","Entry Type","Transfer","Entry No.",I1068,"Location Code",$L$7)</t>
  </si>
  <si>
    <t>=NL("Sum","Item Ledger Entry","Quantity","Entry Type","Transfer","Entry No.",I1069,"Location Code",$L$7)</t>
  </si>
  <si>
    <t>=NL("Sum","Item Ledger Entry","Quantity","Entry Type","Transfer","Entry No.",I1070,"Location Code",$L$7)</t>
  </si>
  <si>
    <t>=NL("Sum","Item Ledger Entry","Quantity","Entry Type","Consumption","Entry No.",I1062,"Location Code",$L$7)</t>
  </si>
  <si>
    <t>=NL("Sum","Item Ledger Entry","Quantity","Entry Type","Consumption","Entry No.",I1063,"Location Code",$L$7)</t>
  </si>
  <si>
    <t>=NL("Sum","Item Ledger Entry","Quantity","Entry Type","Consumption","Entry No.",I1064,"Location Code",$L$7)</t>
  </si>
  <si>
    <t>=NL("Sum","Item Ledger Entry","Quantity","Entry Type","Consumption","Entry No.",I1068,"Location Code",$L$7)</t>
  </si>
  <si>
    <t>=NL("Sum","Item Ledger Entry","Quantity","Entry Type","Consumption","Entry No.",I1069,"Location Code",$L$7)</t>
  </si>
  <si>
    <t>=NL("Sum","Item Ledger Entry","Quantity","Entry Type","Consumption","Entry No.",I1070,"Location Code",$L$7)</t>
  </si>
  <si>
    <t>=NL("Sum","Item Ledger Entry","Quantity","Entry Type","Output","Entry No.",I1062,"Location Code",$L$7)</t>
  </si>
  <si>
    <t>=NL("Sum","Item Ledger Entry","Quantity","Entry Type","Output","Entry No.",I1063,"Location Code",$L$7)</t>
  </si>
  <si>
    <t>=NL("Sum","Item Ledger Entry","Quantity","Entry Type","Output","Entry No.",I1064,"Location Code",$L$7)</t>
  </si>
  <si>
    <t>=NL("Sum","Item Ledger Entry","Quantity","Entry Type","Output","Entry No.",I1068,"Location Code",$L$7)</t>
  </si>
  <si>
    <t>=NL("Sum","Item Ledger Entry","Quantity","Entry Type","Output","Entry No.",I1069,"Location Code",$L$7)</t>
  </si>
  <si>
    <t>=NL("Sum","Item Ledger Entry","Quantity","Entry Type","Output","Entry No.",I1070,"Location Code",$L$7)</t>
  </si>
  <si>
    <t>=NF(G1062,"Source Type")</t>
  </si>
  <si>
    <t>=NF(G1063,"Source Type")</t>
  </si>
  <si>
    <t>=NF(G1064,"Source Type")</t>
  </si>
  <si>
    <t>=NF(G1068,"Source Type")</t>
  </si>
  <si>
    <t>=NF(G1069,"Source Type")</t>
  </si>
  <si>
    <t>=NF(G1070,"Source Type")</t>
  </si>
  <si>
    <t>=NF($G1062,"Source No.")</t>
  </si>
  <si>
    <t>=NF($G1063,"Source No.")</t>
  </si>
  <si>
    <t>=NF($G1064,"Source No.")</t>
  </si>
  <si>
    <t>=NF($G1068,"Source No.")</t>
  </si>
  <si>
    <t>=NF($G1069,"Source No.")</t>
  </si>
  <si>
    <t>=NF($G1070,"Source No.")</t>
  </si>
  <si>
    <t>=NF($G1023,"Posting Date")</t>
  </si>
  <si>
    <t>=NF($G1024,"Posting Date")</t>
  </si>
  <si>
    <t>=NF($G1025,"Posting Date")</t>
  </si>
  <si>
    <t>=NF($G1034,"Posting Date")</t>
  </si>
  <si>
    <t>=NF($G1035,"Posting Date")</t>
  </si>
  <si>
    <t>=NF($G1036,"Posting Date")</t>
  </si>
  <si>
    <t>=NF($G1045,"Posting Date")</t>
  </si>
  <si>
    <t>=NF($G1046,"Posting Date")</t>
  </si>
  <si>
    <t>=NF($G1023,"Entry No.")</t>
  </si>
  <si>
    <t>=NF($G1024,"Entry No.")</t>
  </si>
  <si>
    <t>=NF($G1025,"Entry No.")</t>
  </si>
  <si>
    <t>=NF($G1034,"Entry No.")</t>
  </si>
  <si>
    <t>=NF($G1035,"Entry No.")</t>
  </si>
  <si>
    <t>=NF($G1036,"Entry No.")</t>
  </si>
  <si>
    <t>=NF($G1045,"Entry No.")</t>
  </si>
  <si>
    <t>=NF($G1046,"Entry No.")</t>
  </si>
  <si>
    <t>=NL("Sum","Item Ledger Entry","Quantity","Entry Type","Purchase","Entry No.",I1023,"Location Code",$L$7)</t>
  </si>
  <si>
    <t>=NL("Sum","Item Ledger Entry","Quantity","Entry Type","Purchase","Entry No.",I1024,"Location Code",$L$7)</t>
  </si>
  <si>
    <t>=NL("Sum","Item Ledger Entry","Quantity","Entry Type","Purchase","Entry No.",I1025,"Location Code",$L$7)</t>
  </si>
  <si>
    <t>=NL("Sum","Item Ledger Entry","Quantity","Entry Type","Purchase","Entry No.",I1034,"Location Code",$L$7)</t>
  </si>
  <si>
    <t>=NL("Sum","Item Ledger Entry","Quantity","Entry Type","Purchase","Entry No.",I1035,"Location Code",$L$7)</t>
  </si>
  <si>
    <t>=NL("Sum","Item Ledger Entry","Quantity","Entry Type","Purchase","Entry No.",I1036,"Location Code",$L$7)</t>
  </si>
  <si>
    <t>=NL("Sum","Item Ledger Entry","Quantity","Entry Type","Purchase","Entry No.",I1045,"Location Code",$L$7)</t>
  </si>
  <si>
    <t>=NL("Sum","Item Ledger Entry","Quantity","Entry Type","Purchase","Entry No.",I1046,"Location Code",$L$7)</t>
  </si>
  <si>
    <t>=NL("Sum","Item Ledger Entry","Quantity","Entry Type","Sale","Entry No.",I1023,"Location Code",$L$7)</t>
  </si>
  <si>
    <t>=NL("Sum","Item Ledger Entry","Quantity","Entry Type","Sale","Entry No.",I1024,"Location Code",$L$7)</t>
  </si>
  <si>
    <t>=NL("Sum","Item Ledger Entry","Quantity","Entry Type","Sale","Entry No.",I1025,"Location Code",$L$7)</t>
  </si>
  <si>
    <t>=NL("Sum","Item Ledger Entry","Quantity","Entry Type","Sale","Entry No.",I1034,"Location Code",$L$7)</t>
  </si>
  <si>
    <t>=NL("Sum","Item Ledger Entry","Quantity","Entry Type","Sale","Entry No.",I1035,"Location Code",$L$7)</t>
  </si>
  <si>
    <t>=NL("Sum","Item Ledger Entry","Quantity","Entry Type","Sale","Entry No.",I1036,"Location Code",$L$7)</t>
  </si>
  <si>
    <t>=NL("Sum","Item Ledger Entry","Quantity","Entry Type","Sale","Entry No.",I1045,"Location Code",$L$7)</t>
  </si>
  <si>
    <t>=NL("Sum","Item Ledger Entry","Quantity","Entry Type","Sale","Entry No.",I1046,"Location Code",$L$7)</t>
  </si>
  <si>
    <t>=NL("Sum","Item Ledger Entry","Quantity","Entry Type","Positive Adjmt.|Negative Adjmt.","Entry No.",I1023,"Location Code",$L$7)</t>
  </si>
  <si>
    <t>=NL("Sum","Item Ledger Entry","Quantity","Entry Type","Positive Adjmt.|Negative Adjmt.","Entry No.",I1024,"Location Code",$L$7)</t>
  </si>
  <si>
    <t>=NL("Sum","Item Ledger Entry","Quantity","Entry Type","Positive Adjmt.|Negative Adjmt.","Entry No.",I1025,"Location Code",$L$7)</t>
  </si>
  <si>
    <t>=NL("Sum","Item Ledger Entry","Quantity","Entry Type","Positive Adjmt.|Negative Adjmt.","Entry No.",I1034,"Location Code",$L$7)</t>
  </si>
  <si>
    <t>=NL("Sum","Item Ledger Entry","Quantity","Entry Type","Positive Adjmt.|Negative Adjmt.","Entry No.",I1035,"Location Code",$L$7)</t>
  </si>
  <si>
    <t>=NL("Sum","Item Ledger Entry","Quantity","Entry Type","Positive Adjmt.|Negative Adjmt.","Entry No.",I1036,"Location Code",$L$7)</t>
  </si>
  <si>
    <t>=NL("Sum","Item Ledger Entry","Quantity","Entry Type","Positive Adjmt.|Negative Adjmt.","Entry No.",I1045,"Location Code",$L$7)</t>
  </si>
  <si>
    <t>=NL("Sum","Item Ledger Entry","Quantity","Entry Type","Positive Adjmt.|Negative Adjmt.","Entry No.",I1046,"Location Code",$L$7)</t>
  </si>
  <si>
    <t>=NL("Sum","Item Ledger Entry","Quantity","Entry Type","Transfer","Entry No.",I1023,"Location Code",$L$7)</t>
  </si>
  <si>
    <t>=NL("Sum","Item Ledger Entry","Quantity","Entry Type","Transfer","Entry No.",I1024,"Location Code",$L$7)</t>
  </si>
  <si>
    <t>=NL("Sum","Item Ledger Entry","Quantity","Entry Type","Transfer","Entry No.",I1025,"Location Code",$L$7)</t>
  </si>
  <si>
    <t>=NL("Sum","Item Ledger Entry","Quantity","Entry Type","Transfer","Entry No.",I1034,"Location Code",$L$7)</t>
  </si>
  <si>
    <t>=NL("Sum","Item Ledger Entry","Quantity","Entry Type","Transfer","Entry No.",I1035,"Location Code",$L$7)</t>
  </si>
  <si>
    <t>=NL("Sum","Item Ledger Entry","Quantity","Entry Type","Transfer","Entry No.",I1036,"Location Code",$L$7)</t>
  </si>
  <si>
    <t>=NL("Sum","Item Ledger Entry","Quantity","Entry Type","Transfer","Entry No.",I1045,"Location Code",$L$7)</t>
  </si>
  <si>
    <t>=NL("Sum","Item Ledger Entry","Quantity","Entry Type","Transfer","Entry No.",I1046,"Location Code",$L$7)</t>
  </si>
  <si>
    <t>=NL("Sum","Item Ledger Entry","Quantity","Entry Type","Consumption","Entry No.",I1023,"Location Code",$L$7)</t>
  </si>
  <si>
    <t>=NL("Sum","Item Ledger Entry","Quantity","Entry Type","Consumption","Entry No.",I1024,"Location Code",$L$7)</t>
  </si>
  <si>
    <t>=NL("Sum","Item Ledger Entry","Quantity","Entry Type","Consumption","Entry No.",I1025,"Location Code",$L$7)</t>
  </si>
  <si>
    <t>=NL("Sum","Item Ledger Entry","Quantity","Entry Type","Consumption","Entry No.",I1034,"Location Code",$L$7)</t>
  </si>
  <si>
    <t>=NL("Sum","Item Ledger Entry","Quantity","Entry Type","Consumption","Entry No.",I1035,"Location Code",$L$7)</t>
  </si>
  <si>
    <t>=NL("Sum","Item Ledger Entry","Quantity","Entry Type","Consumption","Entry No.",I1036,"Location Code",$L$7)</t>
  </si>
  <si>
    <t>=NL("Sum","Item Ledger Entry","Quantity","Entry Type","Consumption","Entry No.",I1045,"Location Code",$L$7)</t>
  </si>
  <si>
    <t>=NL("Sum","Item Ledger Entry","Quantity","Entry Type","Consumption","Entry No.",I1046,"Location Code",$L$7)</t>
  </si>
  <si>
    <t>=NL("Sum","Item Ledger Entry","Quantity","Entry Type","Output","Entry No.",I1023,"Location Code",$L$7)</t>
  </si>
  <si>
    <t>=NL("Sum","Item Ledger Entry","Quantity","Entry Type","Output","Entry No.",I1024,"Location Code",$L$7)</t>
  </si>
  <si>
    <t>=NL("Sum","Item Ledger Entry","Quantity","Entry Type","Output","Entry No.",I1025,"Location Code",$L$7)</t>
  </si>
  <si>
    <t>=NL("Sum","Item Ledger Entry","Quantity","Entry Type","Output","Entry No.",I1034,"Location Code",$L$7)</t>
  </si>
  <si>
    <t>=NL("Sum","Item Ledger Entry","Quantity","Entry Type","Output","Entry No.",I1035,"Location Code",$L$7)</t>
  </si>
  <si>
    <t>=NL("Sum","Item Ledger Entry","Quantity","Entry Type","Output","Entry No.",I1036,"Location Code",$L$7)</t>
  </si>
  <si>
    <t>=NL("Sum","Item Ledger Entry","Quantity","Entry Type","Output","Entry No.",I1045,"Location Code",$L$7)</t>
  </si>
  <si>
    <t>=NL("Sum","Item Ledger Entry","Quantity","Entry Type","Output","Entry No.",I1046,"Location Code",$L$7)</t>
  </si>
  <si>
    <t>=NF(G1023,"Source Type")</t>
  </si>
  <si>
    <t>=NF(G1024,"Source Type")</t>
  </si>
  <si>
    <t>=NF(G1025,"Source Type")</t>
  </si>
  <si>
    <t>=NF(G1034,"Source Type")</t>
  </si>
  <si>
    <t>=NF(G1035,"Source Type")</t>
  </si>
  <si>
    <t>=NF(G1036,"Source Type")</t>
  </si>
  <si>
    <t>=NF(G1045,"Source Type")</t>
  </si>
  <si>
    <t>=NF(G1046,"Source Type")</t>
  </si>
  <si>
    <t>=NF($G1023,"Source No.")</t>
  </si>
  <si>
    <t>=NF($G1024,"Source No.")</t>
  </si>
  <si>
    <t>=NF($G1025,"Source No.")</t>
  </si>
  <si>
    <t>=NF($G1034,"Source No.")</t>
  </si>
  <si>
    <t>=NF($G1035,"Source No.")</t>
  </si>
  <si>
    <t>=NF($G1036,"Source No.")</t>
  </si>
  <si>
    <t>=NF($G1045,"Source No.")</t>
  </si>
  <si>
    <t>=NF($G1046,"Source No.")</t>
  </si>
  <si>
    <t>=NF($G1007,"Posting Date")</t>
  </si>
  <si>
    <t>=NF($G1008,"Posting Date")</t>
  </si>
  <si>
    <t>=NF($G1009,"Posting Date")</t>
  </si>
  <si>
    <t>=NF($G1014,"Posting Date")</t>
  </si>
  <si>
    <t>=NF($G1015,"Posting Date")</t>
  </si>
  <si>
    <t>=NF($G1016,"Posting Date")</t>
  </si>
  <si>
    <t>=NF($G1007,"Entry No.")</t>
  </si>
  <si>
    <t>=NF($G1008,"Entry No.")</t>
  </si>
  <si>
    <t>=NF($G1009,"Entry No.")</t>
  </si>
  <si>
    <t>=NF($G1014,"Entry No.")</t>
  </si>
  <si>
    <t>=NF($G1015,"Entry No.")</t>
  </si>
  <si>
    <t>=NF($G1016,"Entry No.")</t>
  </si>
  <si>
    <t>=NL("Sum","Item Ledger Entry","Quantity","Entry Type","Purchase","Entry No.",I1007,"Location Code",$L$7)</t>
  </si>
  <si>
    <t>=NL("Sum","Item Ledger Entry","Quantity","Entry Type","Purchase","Entry No.",I1008,"Location Code",$L$7)</t>
  </si>
  <si>
    <t>=NL("Sum","Item Ledger Entry","Quantity","Entry Type","Purchase","Entry No.",I1009,"Location Code",$L$7)</t>
  </si>
  <si>
    <t>=NL("Sum","Item Ledger Entry","Quantity","Entry Type","Purchase","Entry No.",I1014,"Location Code",$L$7)</t>
  </si>
  <si>
    <t>=NL("Sum","Item Ledger Entry","Quantity","Entry Type","Purchase","Entry No.",I1015,"Location Code",$L$7)</t>
  </si>
  <si>
    <t>=NL("Sum","Item Ledger Entry","Quantity","Entry Type","Purchase","Entry No.",I1016,"Location Code",$L$7)</t>
  </si>
  <si>
    <t>=NL("Sum","Item Ledger Entry","Quantity","Entry Type","Sale","Entry No.",I1007,"Location Code",$L$7)</t>
  </si>
  <si>
    <t>=NL("Sum","Item Ledger Entry","Quantity","Entry Type","Sale","Entry No.",I1008,"Location Code",$L$7)</t>
  </si>
  <si>
    <t>=NL("Sum","Item Ledger Entry","Quantity","Entry Type","Sale","Entry No.",I1009,"Location Code",$L$7)</t>
  </si>
  <si>
    <t>=NL("Sum","Item Ledger Entry","Quantity","Entry Type","Sale","Entry No.",I1014,"Location Code",$L$7)</t>
  </si>
  <si>
    <t>=NL("Sum","Item Ledger Entry","Quantity","Entry Type","Sale","Entry No.",I1015,"Location Code",$L$7)</t>
  </si>
  <si>
    <t>=NL("Sum","Item Ledger Entry","Quantity","Entry Type","Sale","Entry No.",I1016,"Location Code",$L$7)</t>
  </si>
  <si>
    <t>=NL("Sum","Item Ledger Entry","Quantity","Entry Type","Positive Adjmt.|Negative Adjmt.","Entry No.",I1007,"Location Code",$L$7)</t>
  </si>
  <si>
    <t>=NL("Sum","Item Ledger Entry","Quantity","Entry Type","Positive Adjmt.|Negative Adjmt.","Entry No.",I1008,"Location Code",$L$7)</t>
  </si>
  <si>
    <t>=NL("Sum","Item Ledger Entry","Quantity","Entry Type","Positive Adjmt.|Negative Adjmt.","Entry No.",I1009,"Location Code",$L$7)</t>
  </si>
  <si>
    <t>=NL("Sum","Item Ledger Entry","Quantity","Entry Type","Positive Adjmt.|Negative Adjmt.","Entry No.",I1014,"Location Code",$L$7)</t>
  </si>
  <si>
    <t>=NL("Sum","Item Ledger Entry","Quantity","Entry Type","Positive Adjmt.|Negative Adjmt.","Entry No.",I1015,"Location Code",$L$7)</t>
  </si>
  <si>
    <t>=NL("Sum","Item Ledger Entry","Quantity","Entry Type","Positive Adjmt.|Negative Adjmt.","Entry No.",I1016,"Location Code",$L$7)</t>
  </si>
  <si>
    <t>=NL("Sum","Item Ledger Entry","Quantity","Entry Type","Transfer","Entry No.",I1007,"Location Code",$L$7)</t>
  </si>
  <si>
    <t>=NL("Sum","Item Ledger Entry","Quantity","Entry Type","Transfer","Entry No.",I1008,"Location Code",$L$7)</t>
  </si>
  <si>
    <t>=NL("Sum","Item Ledger Entry","Quantity","Entry Type","Transfer","Entry No.",I1009,"Location Code",$L$7)</t>
  </si>
  <si>
    <t>=NL("Sum","Item Ledger Entry","Quantity","Entry Type","Transfer","Entry No.",I1014,"Location Code",$L$7)</t>
  </si>
  <si>
    <t>=NL("Sum","Item Ledger Entry","Quantity","Entry Type","Transfer","Entry No.",I1015,"Location Code",$L$7)</t>
  </si>
  <si>
    <t>=NL("Sum","Item Ledger Entry","Quantity","Entry Type","Transfer","Entry No.",I1016,"Location Code",$L$7)</t>
  </si>
  <si>
    <t>=NL("Sum","Item Ledger Entry","Quantity","Entry Type","Consumption","Entry No.",I1007,"Location Code",$L$7)</t>
  </si>
  <si>
    <t>=NL("Sum","Item Ledger Entry","Quantity","Entry Type","Consumption","Entry No.",I1008,"Location Code",$L$7)</t>
  </si>
  <si>
    <t>=NL("Sum","Item Ledger Entry","Quantity","Entry Type","Consumption","Entry No.",I1009,"Location Code",$L$7)</t>
  </si>
  <si>
    <t>=NL("Sum","Item Ledger Entry","Quantity","Entry Type","Consumption","Entry No.",I1014,"Location Code",$L$7)</t>
  </si>
  <si>
    <t>=NL("Sum","Item Ledger Entry","Quantity","Entry Type","Consumption","Entry No.",I1015,"Location Code",$L$7)</t>
  </si>
  <si>
    <t>=NL("Sum","Item Ledger Entry","Quantity","Entry Type","Consumption","Entry No.",I1016,"Location Code",$L$7)</t>
  </si>
  <si>
    <t>=NL("Sum","Item Ledger Entry","Quantity","Entry Type","Output","Entry No.",I1007,"Location Code",$L$7)</t>
  </si>
  <si>
    <t>=NL("Sum","Item Ledger Entry","Quantity","Entry Type","Output","Entry No.",I1008,"Location Code",$L$7)</t>
  </si>
  <si>
    <t>=NL("Sum","Item Ledger Entry","Quantity","Entry Type","Output","Entry No.",I1009,"Location Code",$L$7)</t>
  </si>
  <si>
    <t>=NL("Sum","Item Ledger Entry","Quantity","Entry Type","Output","Entry No.",I1014,"Location Code",$L$7)</t>
  </si>
  <si>
    <t>=NL("Sum","Item Ledger Entry","Quantity","Entry Type","Output","Entry No.",I1015,"Location Code",$L$7)</t>
  </si>
  <si>
    <t>=NL("Sum","Item Ledger Entry","Quantity","Entry Type","Output","Entry No.",I1016,"Location Code",$L$7)</t>
  </si>
  <si>
    <t>=NF(G1007,"Source Type")</t>
  </si>
  <si>
    <t>=NF(G1008,"Source Type")</t>
  </si>
  <si>
    <t>=NF(G1009,"Source Type")</t>
  </si>
  <si>
    <t>=NF(G1014,"Source Type")</t>
  </si>
  <si>
    <t>=NF(G1015,"Source Type")</t>
  </si>
  <si>
    <t>=NF(G1016,"Source Type")</t>
  </si>
  <si>
    <t>=NF($G1007,"Source No.")</t>
  </si>
  <si>
    <t>=NF($G1008,"Source No.")</t>
  </si>
  <si>
    <t>=NF($G1009,"Source No.")</t>
  </si>
  <si>
    <t>=NF($G1014,"Source No.")</t>
  </si>
  <si>
    <t>=NF($G1015,"Source No.")</t>
  </si>
  <si>
    <t>=NF($G1016,"Source No.")</t>
  </si>
  <si>
    <t>=NF($G987,"Posting Date")</t>
  </si>
  <si>
    <t>=NF($G988,"Posting Date")</t>
  </si>
  <si>
    <t>=NF($G989,"Posting Date")</t>
  </si>
  <si>
    <t>=NF($G995,"Posting Date")</t>
  </si>
  <si>
    <t>=NF($G996,"Posting Date")</t>
  </si>
  <si>
    <t>=NF($G997,"Posting Date")</t>
  </si>
  <si>
    <t>=NF($G987,"Entry No.")</t>
  </si>
  <si>
    <t>=NF($G988,"Entry No.")</t>
  </si>
  <si>
    <t>=NF($G989,"Entry No.")</t>
  </si>
  <si>
    <t>=NF($G995,"Entry No.")</t>
  </si>
  <si>
    <t>=NF($G996,"Entry No.")</t>
  </si>
  <si>
    <t>=NF($G997,"Entry No.")</t>
  </si>
  <si>
    <t>=NL("Sum","Item Ledger Entry","Quantity","Entry Type","Purchase","Entry No.",I987,"Location Code",$L$7)</t>
  </si>
  <si>
    <t>=NL("Sum","Item Ledger Entry","Quantity","Entry Type","Purchase","Entry No.",I988,"Location Code",$L$7)</t>
  </si>
  <si>
    <t>=NL("Sum","Item Ledger Entry","Quantity","Entry Type","Purchase","Entry No.",I989,"Location Code",$L$7)</t>
  </si>
  <si>
    <t>=NL("Sum","Item Ledger Entry","Quantity","Entry Type","Purchase","Entry No.",I995,"Location Code",$L$7)</t>
  </si>
  <si>
    <t>=NL("Sum","Item Ledger Entry","Quantity","Entry Type","Purchase","Entry No.",I996,"Location Code",$L$7)</t>
  </si>
  <si>
    <t>=NL("Sum","Item Ledger Entry","Quantity","Entry Type","Purchase","Entry No.",I997,"Location Code",$L$7)</t>
  </si>
  <si>
    <t>=NL("Sum","Item Ledger Entry","Quantity","Entry Type","Sale","Entry No.",I987,"Location Code",$L$7)</t>
  </si>
  <si>
    <t>=NL("Sum","Item Ledger Entry","Quantity","Entry Type","Sale","Entry No.",I988,"Location Code",$L$7)</t>
  </si>
  <si>
    <t>=NL("Sum","Item Ledger Entry","Quantity","Entry Type","Sale","Entry No.",I989,"Location Code",$L$7)</t>
  </si>
  <si>
    <t>=NL("Sum","Item Ledger Entry","Quantity","Entry Type","Sale","Entry No.",I995,"Location Code",$L$7)</t>
  </si>
  <si>
    <t>=NL("Sum","Item Ledger Entry","Quantity","Entry Type","Sale","Entry No.",I996,"Location Code",$L$7)</t>
  </si>
  <si>
    <t>=NL("Sum","Item Ledger Entry","Quantity","Entry Type","Sale","Entry No.",I997,"Location Code",$L$7)</t>
  </si>
  <si>
    <t>=NL("Sum","Item Ledger Entry","Quantity","Entry Type","Positive Adjmt.|Negative Adjmt.","Entry No.",I987,"Location Code",$L$7)</t>
  </si>
  <si>
    <t>=NL("Sum","Item Ledger Entry","Quantity","Entry Type","Positive Adjmt.|Negative Adjmt.","Entry No.",I988,"Location Code",$L$7)</t>
  </si>
  <si>
    <t>=NL("Sum","Item Ledger Entry","Quantity","Entry Type","Positive Adjmt.|Negative Adjmt.","Entry No.",I989,"Location Code",$L$7)</t>
  </si>
  <si>
    <t>=NL("Sum","Item Ledger Entry","Quantity","Entry Type","Positive Adjmt.|Negative Adjmt.","Entry No.",I995,"Location Code",$L$7)</t>
  </si>
  <si>
    <t>=NL("Sum","Item Ledger Entry","Quantity","Entry Type","Positive Adjmt.|Negative Adjmt.","Entry No.",I996,"Location Code",$L$7)</t>
  </si>
  <si>
    <t>=NL("Sum","Item Ledger Entry","Quantity","Entry Type","Positive Adjmt.|Negative Adjmt.","Entry No.",I997,"Location Code",$L$7)</t>
  </si>
  <si>
    <t>=NL("Sum","Item Ledger Entry","Quantity","Entry Type","Transfer","Entry No.",I987,"Location Code",$L$7)</t>
  </si>
  <si>
    <t>=NL("Sum","Item Ledger Entry","Quantity","Entry Type","Transfer","Entry No.",I988,"Location Code",$L$7)</t>
  </si>
  <si>
    <t>=NL("Sum","Item Ledger Entry","Quantity","Entry Type","Transfer","Entry No.",I989,"Location Code",$L$7)</t>
  </si>
  <si>
    <t>=NL("Sum","Item Ledger Entry","Quantity","Entry Type","Transfer","Entry No.",I995,"Location Code",$L$7)</t>
  </si>
  <si>
    <t>=NL("Sum","Item Ledger Entry","Quantity","Entry Type","Transfer","Entry No.",I996,"Location Code",$L$7)</t>
  </si>
  <si>
    <t>=NL("Sum","Item Ledger Entry","Quantity","Entry Type","Transfer","Entry No.",I997,"Location Code",$L$7)</t>
  </si>
  <si>
    <t>=NL("Sum","Item Ledger Entry","Quantity","Entry Type","Consumption","Entry No.",I987,"Location Code",$L$7)</t>
  </si>
  <si>
    <t>=NL("Sum","Item Ledger Entry","Quantity","Entry Type","Consumption","Entry No.",I988,"Location Code",$L$7)</t>
  </si>
  <si>
    <t>=NL("Sum","Item Ledger Entry","Quantity","Entry Type","Consumption","Entry No.",I989,"Location Code",$L$7)</t>
  </si>
  <si>
    <t>=NL("Sum","Item Ledger Entry","Quantity","Entry Type","Consumption","Entry No.",I995,"Location Code",$L$7)</t>
  </si>
  <si>
    <t>=NL("Sum","Item Ledger Entry","Quantity","Entry Type","Consumption","Entry No.",I996,"Location Code",$L$7)</t>
  </si>
  <si>
    <t>=NL("Sum","Item Ledger Entry","Quantity","Entry Type","Consumption","Entry No.",I997,"Location Code",$L$7)</t>
  </si>
  <si>
    <t>=NL("Sum","Item Ledger Entry","Quantity","Entry Type","Output","Entry No.",I987,"Location Code",$L$7)</t>
  </si>
  <si>
    <t>=NL("Sum","Item Ledger Entry","Quantity","Entry Type","Output","Entry No.",I988,"Location Code",$L$7)</t>
  </si>
  <si>
    <t>=NL("Sum","Item Ledger Entry","Quantity","Entry Type","Output","Entry No.",I989,"Location Code",$L$7)</t>
  </si>
  <si>
    <t>=NL("Sum","Item Ledger Entry","Quantity","Entry Type","Output","Entry No.",I995,"Location Code",$L$7)</t>
  </si>
  <si>
    <t>=NL("Sum","Item Ledger Entry","Quantity","Entry Type","Output","Entry No.",I996,"Location Code",$L$7)</t>
  </si>
  <si>
    <t>=NL("Sum","Item Ledger Entry","Quantity","Entry Type","Output","Entry No.",I997,"Location Code",$L$7)</t>
  </si>
  <si>
    <t>=NF(G987,"Source Type")</t>
  </si>
  <si>
    <t>=NF(G988,"Source Type")</t>
  </si>
  <si>
    <t>=NF(G989,"Source Type")</t>
  </si>
  <si>
    <t>=NF(G995,"Source Type")</t>
  </si>
  <si>
    <t>=NF(G996,"Source Type")</t>
  </si>
  <si>
    <t>=NF(G997,"Source Type")</t>
  </si>
  <si>
    <t>=NF($G987,"Source No.")</t>
  </si>
  <si>
    <t>=NF($G988,"Source No.")</t>
  </si>
  <si>
    <t>=NF($G989,"Source No.")</t>
  </si>
  <si>
    <t>=NF($G995,"Source No.")</t>
  </si>
  <si>
    <t>=NF($G996,"Source No.")</t>
  </si>
  <si>
    <t>=NF($G997,"Source No.")</t>
  </si>
  <si>
    <t>=NF($G970,"Posting Date")</t>
  </si>
  <si>
    <t>=NF($G971,"Posting Date")</t>
  </si>
  <si>
    <t>=NF($G972,"Posting Date")</t>
  </si>
  <si>
    <t>=NF($G979,"Posting Date")</t>
  </si>
  <si>
    <t>=NF($G980,"Posting Date")</t>
  </si>
  <si>
    <t>=NF($G970,"Entry No.")</t>
  </si>
  <si>
    <t>=NF($G971,"Entry No.")</t>
  </si>
  <si>
    <t>=NF($G972,"Entry No.")</t>
  </si>
  <si>
    <t>=NF($G979,"Entry No.")</t>
  </si>
  <si>
    <t>=NF($G980,"Entry No.")</t>
  </si>
  <si>
    <t>=NL("Sum","Item Ledger Entry","Quantity","Entry Type","Purchase","Entry No.",I970,"Location Code",$L$7)</t>
  </si>
  <si>
    <t>=NL("Sum","Item Ledger Entry","Quantity","Entry Type","Purchase","Entry No.",I971,"Location Code",$L$7)</t>
  </si>
  <si>
    <t>=NL("Sum","Item Ledger Entry","Quantity","Entry Type","Purchase","Entry No.",I972,"Location Code",$L$7)</t>
  </si>
  <si>
    <t>=NL("Sum","Item Ledger Entry","Quantity","Entry Type","Purchase","Entry No.",I979,"Location Code",$L$7)</t>
  </si>
  <si>
    <t>=NL("Sum","Item Ledger Entry","Quantity","Entry Type","Purchase","Entry No.",I980,"Location Code",$L$7)</t>
  </si>
  <si>
    <t>=NL("Sum","Item Ledger Entry","Quantity","Entry Type","Sale","Entry No.",I970,"Location Code",$L$7)</t>
  </si>
  <si>
    <t>=NL("Sum","Item Ledger Entry","Quantity","Entry Type","Sale","Entry No.",I971,"Location Code",$L$7)</t>
  </si>
  <si>
    <t>=NL("Sum","Item Ledger Entry","Quantity","Entry Type","Sale","Entry No.",I972,"Location Code",$L$7)</t>
  </si>
  <si>
    <t>=NL("Sum","Item Ledger Entry","Quantity","Entry Type","Sale","Entry No.",I979,"Location Code",$L$7)</t>
  </si>
  <si>
    <t>=NL("Sum","Item Ledger Entry","Quantity","Entry Type","Sale","Entry No.",I980,"Location Code",$L$7)</t>
  </si>
  <si>
    <t>=NL("Sum","Item Ledger Entry","Quantity","Entry Type","Positive Adjmt.|Negative Adjmt.","Entry No.",I970,"Location Code",$L$7)</t>
  </si>
  <si>
    <t>=NL("Sum","Item Ledger Entry","Quantity","Entry Type","Positive Adjmt.|Negative Adjmt.","Entry No.",I971,"Location Code",$L$7)</t>
  </si>
  <si>
    <t>=NL("Sum","Item Ledger Entry","Quantity","Entry Type","Positive Adjmt.|Negative Adjmt.","Entry No.",I972,"Location Code",$L$7)</t>
  </si>
  <si>
    <t>=NL("Sum","Item Ledger Entry","Quantity","Entry Type","Positive Adjmt.|Negative Adjmt.","Entry No.",I979,"Location Code",$L$7)</t>
  </si>
  <si>
    <t>=NL("Sum","Item Ledger Entry","Quantity","Entry Type","Positive Adjmt.|Negative Adjmt.","Entry No.",I980,"Location Code",$L$7)</t>
  </si>
  <si>
    <t>=NL("Sum","Item Ledger Entry","Quantity","Entry Type","Transfer","Entry No.",I970,"Location Code",$L$7)</t>
  </si>
  <si>
    <t>=NL("Sum","Item Ledger Entry","Quantity","Entry Type","Transfer","Entry No.",I971,"Location Code",$L$7)</t>
  </si>
  <si>
    <t>=NL("Sum","Item Ledger Entry","Quantity","Entry Type","Transfer","Entry No.",I972,"Location Code",$L$7)</t>
  </si>
  <si>
    <t>=NL("Sum","Item Ledger Entry","Quantity","Entry Type","Transfer","Entry No.",I979,"Location Code",$L$7)</t>
  </si>
  <si>
    <t>=NL("Sum","Item Ledger Entry","Quantity","Entry Type","Transfer","Entry No.",I980,"Location Code",$L$7)</t>
  </si>
  <si>
    <t>=NL("Sum","Item Ledger Entry","Quantity","Entry Type","Consumption","Entry No.",I970,"Location Code",$L$7)</t>
  </si>
  <si>
    <t>=NL("Sum","Item Ledger Entry","Quantity","Entry Type","Consumption","Entry No.",I971,"Location Code",$L$7)</t>
  </si>
  <si>
    <t>=NL("Sum","Item Ledger Entry","Quantity","Entry Type","Consumption","Entry No.",I972,"Location Code",$L$7)</t>
  </si>
  <si>
    <t>=NL("Sum","Item Ledger Entry","Quantity","Entry Type","Consumption","Entry No.",I979,"Location Code",$L$7)</t>
  </si>
  <si>
    <t>=NL("Sum","Item Ledger Entry","Quantity","Entry Type","Consumption","Entry No.",I980,"Location Code",$L$7)</t>
  </si>
  <si>
    <t>=NL("Sum","Item Ledger Entry","Quantity","Entry Type","Output","Entry No.",I970,"Location Code",$L$7)</t>
  </si>
  <si>
    <t>=NL("Sum","Item Ledger Entry","Quantity","Entry Type","Output","Entry No.",I971,"Location Code",$L$7)</t>
  </si>
  <si>
    <t>=NL("Sum","Item Ledger Entry","Quantity","Entry Type","Output","Entry No.",I972,"Location Code",$L$7)</t>
  </si>
  <si>
    <t>=NL("Sum","Item Ledger Entry","Quantity","Entry Type","Output","Entry No.",I979,"Location Code",$L$7)</t>
  </si>
  <si>
    <t>=NL("Sum","Item Ledger Entry","Quantity","Entry Type","Output","Entry No.",I980,"Location Code",$L$7)</t>
  </si>
  <si>
    <t>=NF(G970,"Source Type")</t>
  </si>
  <si>
    <t>=NF(G971,"Source Type")</t>
  </si>
  <si>
    <t>=NF(G972,"Source Type")</t>
  </si>
  <si>
    <t>=NF(G979,"Source Type")</t>
  </si>
  <si>
    <t>=NF(G980,"Source Type")</t>
  </si>
  <si>
    <t>=NF($G970,"Source No.")</t>
  </si>
  <si>
    <t>=NF($G971,"Source No.")</t>
  </si>
  <si>
    <t>=NF($G972,"Source No.")</t>
  </si>
  <si>
    <t>=NF($G979,"Source No.")</t>
  </si>
  <si>
    <t>=NF($G980,"Source No.")</t>
  </si>
  <si>
    <t>=NF($G953,"Posting Date")</t>
  </si>
  <si>
    <t>=NF($G962,"Posting Date")</t>
  </si>
  <si>
    <t>=NF($G963,"Posting Date")</t>
  </si>
  <si>
    <t>=NF($G964,"Posting Date")</t>
  </si>
  <si>
    <t>=NF($G953,"Entry No.")</t>
  </si>
  <si>
    <t>=NF($G962,"Entry No.")</t>
  </si>
  <si>
    <t>=NF($G963,"Entry No.")</t>
  </si>
  <si>
    <t>=NF($G964,"Entry No.")</t>
  </si>
  <si>
    <t>=NL("Sum","Item Ledger Entry","Quantity","Entry Type","Purchase","Entry No.",I953,"Location Code",$L$7)</t>
  </si>
  <si>
    <t>=NL("Sum","Item Ledger Entry","Quantity","Entry Type","Purchase","Entry No.",I962,"Location Code",$L$7)</t>
  </si>
  <si>
    <t>=NL("Sum","Item Ledger Entry","Quantity","Entry Type","Purchase","Entry No.",I963,"Location Code",$L$7)</t>
  </si>
  <si>
    <t>=NL("Sum","Item Ledger Entry","Quantity","Entry Type","Purchase","Entry No.",I964,"Location Code",$L$7)</t>
  </si>
  <si>
    <t>=NL("Sum","Item Ledger Entry","Quantity","Entry Type","Sale","Entry No.",I953,"Location Code",$L$7)</t>
  </si>
  <si>
    <t>=NL("Sum","Item Ledger Entry","Quantity","Entry Type","Sale","Entry No.",I962,"Location Code",$L$7)</t>
  </si>
  <si>
    <t>=NL("Sum","Item Ledger Entry","Quantity","Entry Type","Sale","Entry No.",I963,"Location Code",$L$7)</t>
  </si>
  <si>
    <t>=NL("Sum","Item Ledger Entry","Quantity","Entry Type","Sale","Entry No.",I964,"Location Code",$L$7)</t>
  </si>
  <si>
    <t>=NL("Sum","Item Ledger Entry","Quantity","Entry Type","Positive Adjmt.|Negative Adjmt.","Entry No.",I953,"Location Code",$L$7)</t>
  </si>
  <si>
    <t>=NL("Sum","Item Ledger Entry","Quantity","Entry Type","Positive Adjmt.|Negative Adjmt.","Entry No.",I962,"Location Code",$L$7)</t>
  </si>
  <si>
    <t>=NL("Sum","Item Ledger Entry","Quantity","Entry Type","Positive Adjmt.|Negative Adjmt.","Entry No.",I963,"Location Code",$L$7)</t>
  </si>
  <si>
    <t>=NL("Sum","Item Ledger Entry","Quantity","Entry Type","Positive Adjmt.|Negative Adjmt.","Entry No.",I964,"Location Code",$L$7)</t>
  </si>
  <si>
    <t>=NL("Sum","Item Ledger Entry","Quantity","Entry Type","Transfer","Entry No.",I953,"Location Code",$L$7)</t>
  </si>
  <si>
    <t>=NL("Sum","Item Ledger Entry","Quantity","Entry Type","Transfer","Entry No.",I962,"Location Code",$L$7)</t>
  </si>
  <si>
    <t>=NL("Sum","Item Ledger Entry","Quantity","Entry Type","Transfer","Entry No.",I963,"Location Code",$L$7)</t>
  </si>
  <si>
    <t>=NL("Sum","Item Ledger Entry","Quantity","Entry Type","Transfer","Entry No.",I964,"Location Code",$L$7)</t>
  </si>
  <si>
    <t>=NL("Sum","Item Ledger Entry","Quantity","Entry Type","Consumption","Entry No.",I953,"Location Code",$L$7)</t>
  </si>
  <si>
    <t>=NL("Sum","Item Ledger Entry","Quantity","Entry Type","Consumption","Entry No.",I962,"Location Code",$L$7)</t>
  </si>
  <si>
    <t>=NL("Sum","Item Ledger Entry","Quantity","Entry Type","Consumption","Entry No.",I963,"Location Code",$L$7)</t>
  </si>
  <si>
    <t>=NL("Sum","Item Ledger Entry","Quantity","Entry Type","Consumption","Entry No.",I964,"Location Code",$L$7)</t>
  </si>
  <si>
    <t>=NL("Sum","Item Ledger Entry","Quantity","Entry Type","Output","Entry No.",I953,"Location Code",$L$7)</t>
  </si>
  <si>
    <t>=NL("Sum","Item Ledger Entry","Quantity","Entry Type","Output","Entry No.",I962,"Location Code",$L$7)</t>
  </si>
  <si>
    <t>=NL("Sum","Item Ledger Entry","Quantity","Entry Type","Output","Entry No.",I963,"Location Code",$L$7)</t>
  </si>
  <si>
    <t>=NL("Sum","Item Ledger Entry","Quantity","Entry Type","Output","Entry No.",I964,"Location Code",$L$7)</t>
  </si>
  <si>
    <t>=NF(G953,"Source Type")</t>
  </si>
  <si>
    <t>=NF(G962,"Source Type")</t>
  </si>
  <si>
    <t>=NF(G963,"Source Type")</t>
  </si>
  <si>
    <t>=NF(G964,"Source Type")</t>
  </si>
  <si>
    <t>=NF($G953,"Source No.")</t>
  </si>
  <si>
    <t>=NF($G962,"Source No.")</t>
  </si>
  <si>
    <t>=NF($G963,"Source No.")</t>
  </si>
  <si>
    <t>=NF($G964,"Source No.")</t>
  </si>
  <si>
    <t>=NF($G944,"Posting Date")</t>
  </si>
  <si>
    <t>=NF($G945,"Posting Date")</t>
  </si>
  <si>
    <t>=NF($G946,"Posting Date")</t>
  </si>
  <si>
    <t>=NF($G944,"Entry No.")</t>
  </si>
  <si>
    <t>=NF($G945,"Entry No.")</t>
  </si>
  <si>
    <t>=NF($G946,"Entry No.")</t>
  </si>
  <si>
    <t>=NL("Sum","Item Ledger Entry","Quantity","Entry Type","Purchase","Entry No.",I944,"Location Code",$L$7)</t>
  </si>
  <si>
    <t>=NL("Sum","Item Ledger Entry","Quantity","Entry Type","Purchase","Entry No.",I945,"Location Code",$L$7)</t>
  </si>
  <si>
    <t>=NL("Sum","Item Ledger Entry","Quantity","Entry Type","Purchase","Entry No.",I946,"Location Code",$L$7)</t>
  </si>
  <si>
    <t>=NL("Sum","Item Ledger Entry","Quantity","Entry Type","Sale","Entry No.",I944,"Location Code",$L$7)</t>
  </si>
  <si>
    <t>=NL("Sum","Item Ledger Entry","Quantity","Entry Type","Sale","Entry No.",I945,"Location Code",$L$7)</t>
  </si>
  <si>
    <t>=NL("Sum","Item Ledger Entry","Quantity","Entry Type","Sale","Entry No.",I946,"Location Code",$L$7)</t>
  </si>
  <si>
    <t>=NL("Sum","Item Ledger Entry","Quantity","Entry Type","Positive Adjmt.|Negative Adjmt.","Entry No.",I944,"Location Code",$L$7)</t>
  </si>
  <si>
    <t>=NL("Sum","Item Ledger Entry","Quantity","Entry Type","Positive Adjmt.|Negative Adjmt.","Entry No.",I945,"Location Code",$L$7)</t>
  </si>
  <si>
    <t>=NL("Sum","Item Ledger Entry","Quantity","Entry Type","Positive Adjmt.|Negative Adjmt.","Entry No.",I946,"Location Code",$L$7)</t>
  </si>
  <si>
    <t>=NL("Sum","Item Ledger Entry","Quantity","Entry Type","Transfer","Entry No.",I944,"Location Code",$L$7)</t>
  </si>
  <si>
    <t>=NL("Sum","Item Ledger Entry","Quantity","Entry Type","Transfer","Entry No.",I945,"Location Code",$L$7)</t>
  </si>
  <si>
    <t>=NL("Sum","Item Ledger Entry","Quantity","Entry Type","Transfer","Entry No.",I946,"Location Code",$L$7)</t>
  </si>
  <si>
    <t>=NL("Sum","Item Ledger Entry","Quantity","Entry Type","Consumption","Entry No.",I944,"Location Code",$L$7)</t>
  </si>
  <si>
    <t>=NL("Sum","Item Ledger Entry","Quantity","Entry Type","Consumption","Entry No.",I945,"Location Code",$L$7)</t>
  </si>
  <si>
    <t>=NL("Sum","Item Ledger Entry","Quantity","Entry Type","Consumption","Entry No.",I946,"Location Code",$L$7)</t>
  </si>
  <si>
    <t>=NL("Sum","Item Ledger Entry","Quantity","Entry Type","Output","Entry No.",I944,"Location Code",$L$7)</t>
  </si>
  <si>
    <t>=NL("Sum","Item Ledger Entry","Quantity","Entry Type","Output","Entry No.",I945,"Location Code",$L$7)</t>
  </si>
  <si>
    <t>=NL("Sum","Item Ledger Entry","Quantity","Entry Type","Output","Entry No.",I946,"Location Code",$L$7)</t>
  </si>
  <si>
    <t>=NF(G944,"Source Type")</t>
  </si>
  <si>
    <t>=NF(G945,"Source Type")</t>
  </si>
  <si>
    <t>=NF(G946,"Source Type")</t>
  </si>
  <si>
    <t>=NF($G944,"Source No.")</t>
  </si>
  <si>
    <t>=NF($G945,"Source No.")</t>
  </si>
  <si>
    <t>=NF($G946,"Source No.")</t>
  </si>
  <si>
    <t>=NF($G931,"Posting Date")</t>
  </si>
  <si>
    <t>=NF($G931,"Entry No.")</t>
  </si>
  <si>
    <t>=NL("Sum","Item Ledger Entry","Quantity","Entry Type","Purchase","Entry No.",I931,"Location Code",$L$7)</t>
  </si>
  <si>
    <t>=NL("Sum","Item Ledger Entry","Quantity","Entry Type","Sale","Entry No.",I931,"Location Code",$L$7)</t>
  </si>
  <si>
    <t>=NL("Sum","Item Ledger Entry","Quantity","Entry Type","Positive Adjmt.|Negative Adjmt.","Entry No.",I931,"Location Code",$L$7)</t>
  </si>
  <si>
    <t>=NL("Sum","Item Ledger Entry","Quantity","Entry Type","Transfer","Entry No.",I931,"Location Code",$L$7)</t>
  </si>
  <si>
    <t>=NL("Sum","Item Ledger Entry","Quantity","Entry Type","Consumption","Entry No.",I931,"Location Code",$L$7)</t>
  </si>
  <si>
    <t>=NL("Sum","Item Ledger Entry","Quantity","Entry Type","Output","Entry No.",I931,"Location Code",$L$7)</t>
  </si>
  <si>
    <t>=NF(G931,"Source Type")</t>
  </si>
  <si>
    <t>=NF($G931,"Source No.")</t>
  </si>
  <si>
    <t>=NF($G912,"Posting Date")</t>
  </si>
  <si>
    <t>=NF($G913,"Posting Date")</t>
  </si>
  <si>
    <t>=NF($G914,"Posting Date")</t>
  </si>
  <si>
    <t>=NF($G920,"Posting Date")</t>
  </si>
  <si>
    <t>=NF($G912,"Entry No.")</t>
  </si>
  <si>
    <t>=NF($G913,"Entry No.")</t>
  </si>
  <si>
    <t>=NF($G914,"Entry No.")</t>
  </si>
  <si>
    <t>=NF($G920,"Entry No.")</t>
  </si>
  <si>
    <t>=NL("Sum","Item Ledger Entry","Quantity","Entry Type","Purchase","Entry No.",I912,"Location Code",$L$7)</t>
  </si>
  <si>
    <t>=NL("Sum","Item Ledger Entry","Quantity","Entry Type","Purchase","Entry No.",I913,"Location Code",$L$7)</t>
  </si>
  <si>
    <t>=NL("Sum","Item Ledger Entry","Quantity","Entry Type","Purchase","Entry No.",I914,"Location Code",$L$7)</t>
  </si>
  <si>
    <t>=NL("Sum","Item Ledger Entry","Quantity","Entry Type","Purchase","Entry No.",I920,"Location Code",$L$7)</t>
  </si>
  <si>
    <t>=NL("Sum","Item Ledger Entry","Quantity","Entry Type","Sale","Entry No.",I912,"Location Code",$L$7)</t>
  </si>
  <si>
    <t>=NL("Sum","Item Ledger Entry","Quantity","Entry Type","Sale","Entry No.",I913,"Location Code",$L$7)</t>
  </si>
  <si>
    <t>=NL("Sum","Item Ledger Entry","Quantity","Entry Type","Sale","Entry No.",I914,"Location Code",$L$7)</t>
  </si>
  <si>
    <t>=NL("Sum","Item Ledger Entry","Quantity","Entry Type","Sale","Entry No.",I920,"Location Code",$L$7)</t>
  </si>
  <si>
    <t>=NL("Sum","Item Ledger Entry","Quantity","Entry Type","Positive Adjmt.|Negative Adjmt.","Entry No.",I912,"Location Code",$L$7)</t>
  </si>
  <si>
    <t>=NL("Sum","Item Ledger Entry","Quantity","Entry Type","Positive Adjmt.|Negative Adjmt.","Entry No.",I913,"Location Code",$L$7)</t>
  </si>
  <si>
    <t>=NL("Sum","Item Ledger Entry","Quantity","Entry Type","Positive Adjmt.|Negative Adjmt.","Entry No.",I914,"Location Code",$L$7)</t>
  </si>
  <si>
    <t>=NL("Sum","Item Ledger Entry","Quantity","Entry Type","Positive Adjmt.|Negative Adjmt.","Entry No.",I920,"Location Code",$L$7)</t>
  </si>
  <si>
    <t>=NL("Sum","Item Ledger Entry","Quantity","Entry Type","Transfer","Entry No.",I912,"Location Code",$L$7)</t>
  </si>
  <si>
    <t>=NL("Sum","Item Ledger Entry","Quantity","Entry Type","Transfer","Entry No.",I913,"Location Code",$L$7)</t>
  </si>
  <si>
    <t>=NL("Sum","Item Ledger Entry","Quantity","Entry Type","Transfer","Entry No.",I914,"Location Code",$L$7)</t>
  </si>
  <si>
    <t>=NL("Sum","Item Ledger Entry","Quantity","Entry Type","Transfer","Entry No.",I920,"Location Code",$L$7)</t>
  </si>
  <si>
    <t>=NL("Sum","Item Ledger Entry","Quantity","Entry Type","Consumption","Entry No.",I912,"Location Code",$L$7)</t>
  </si>
  <si>
    <t>=NL("Sum","Item Ledger Entry","Quantity","Entry Type","Consumption","Entry No.",I913,"Location Code",$L$7)</t>
  </si>
  <si>
    <t>=NL("Sum","Item Ledger Entry","Quantity","Entry Type","Consumption","Entry No.",I914,"Location Code",$L$7)</t>
  </si>
  <si>
    <t>=NL("Sum","Item Ledger Entry","Quantity","Entry Type","Consumption","Entry No.",I920,"Location Code",$L$7)</t>
  </si>
  <si>
    <t>=NL("Sum","Item Ledger Entry","Quantity","Entry Type","Output","Entry No.",I912,"Location Code",$L$7)</t>
  </si>
  <si>
    <t>=NL("Sum","Item Ledger Entry","Quantity","Entry Type","Output","Entry No.",I913,"Location Code",$L$7)</t>
  </si>
  <si>
    <t>=NL("Sum","Item Ledger Entry","Quantity","Entry Type","Output","Entry No.",I914,"Location Code",$L$7)</t>
  </si>
  <si>
    <t>=NL("Sum","Item Ledger Entry","Quantity","Entry Type","Output","Entry No.",I920,"Location Code",$L$7)</t>
  </si>
  <si>
    <t>=NF(G912,"Source Type")</t>
  </si>
  <si>
    <t>=NF(G913,"Source Type")</t>
  </si>
  <si>
    <t>=NF(G914,"Source Type")</t>
  </si>
  <si>
    <t>=NF(G920,"Source Type")</t>
  </si>
  <si>
    <t>=NF($G912,"Source No.")</t>
  </si>
  <si>
    <t>=NF($G913,"Source No.")</t>
  </si>
  <si>
    <t>=NF($G914,"Source No.")</t>
  </si>
  <si>
    <t>=NF($G920,"Source No.")</t>
  </si>
  <si>
    <t>=NF($G900,"Posting Date")</t>
  </si>
  <si>
    <t>=NF($G901,"Posting Date")</t>
  </si>
  <si>
    <t>=NF($G902,"Posting Date")</t>
  </si>
  <si>
    <t>=NF($G900,"Entry No.")</t>
  </si>
  <si>
    <t>=NF($G901,"Entry No.")</t>
  </si>
  <si>
    <t>=NF($G902,"Entry No.")</t>
  </si>
  <si>
    <t>=NL("Sum","Item Ledger Entry","Quantity","Entry Type","Purchase","Entry No.",I900,"Location Code",$L$7)</t>
  </si>
  <si>
    <t>=NL("Sum","Item Ledger Entry","Quantity","Entry Type","Purchase","Entry No.",I901,"Location Code",$L$7)</t>
  </si>
  <si>
    <t>=NL("Sum","Item Ledger Entry","Quantity","Entry Type","Purchase","Entry No.",I902,"Location Code",$L$7)</t>
  </si>
  <si>
    <t>=NL("Sum","Item Ledger Entry","Quantity","Entry Type","Sale","Entry No.",I900,"Location Code",$L$7)</t>
  </si>
  <si>
    <t>=NL("Sum","Item Ledger Entry","Quantity","Entry Type","Sale","Entry No.",I901,"Location Code",$L$7)</t>
  </si>
  <si>
    <t>=NL("Sum","Item Ledger Entry","Quantity","Entry Type","Sale","Entry No.",I902,"Location Code",$L$7)</t>
  </si>
  <si>
    <t>=NL("Sum","Item Ledger Entry","Quantity","Entry Type","Positive Adjmt.|Negative Adjmt.","Entry No.",I900,"Location Code",$L$7)</t>
  </si>
  <si>
    <t>=NL("Sum","Item Ledger Entry","Quantity","Entry Type","Positive Adjmt.|Negative Adjmt.","Entry No.",I901,"Location Code",$L$7)</t>
  </si>
  <si>
    <t>=NL("Sum","Item Ledger Entry","Quantity","Entry Type","Positive Adjmt.|Negative Adjmt.","Entry No.",I902,"Location Code",$L$7)</t>
  </si>
  <si>
    <t>=NL("Sum","Item Ledger Entry","Quantity","Entry Type","Transfer","Entry No.",I900,"Location Code",$L$7)</t>
  </si>
  <si>
    <t>=NL("Sum","Item Ledger Entry","Quantity","Entry Type","Transfer","Entry No.",I901,"Location Code",$L$7)</t>
  </si>
  <si>
    <t>=NL("Sum","Item Ledger Entry","Quantity","Entry Type","Transfer","Entry No.",I902,"Location Code",$L$7)</t>
  </si>
  <si>
    <t>=NL("Sum","Item Ledger Entry","Quantity","Entry Type","Consumption","Entry No.",I900,"Location Code",$L$7)</t>
  </si>
  <si>
    <t>=NL("Sum","Item Ledger Entry","Quantity","Entry Type","Consumption","Entry No.",I901,"Location Code",$L$7)</t>
  </si>
  <si>
    <t>=NL("Sum","Item Ledger Entry","Quantity","Entry Type","Consumption","Entry No.",I902,"Location Code",$L$7)</t>
  </si>
  <si>
    <t>=NL("Sum","Item Ledger Entry","Quantity","Entry Type","Output","Entry No.",I900,"Location Code",$L$7)</t>
  </si>
  <si>
    <t>=NL("Sum","Item Ledger Entry","Quantity","Entry Type","Output","Entry No.",I901,"Location Code",$L$7)</t>
  </si>
  <si>
    <t>=NL("Sum","Item Ledger Entry","Quantity","Entry Type","Output","Entry No.",I902,"Location Code",$L$7)</t>
  </si>
  <si>
    <t>=NF(G900,"Source Type")</t>
  </si>
  <si>
    <t>=NF(G901,"Source Type")</t>
  </si>
  <si>
    <t>=NF(G902,"Source Type")</t>
  </si>
  <si>
    <t>=NF($G900,"Source No.")</t>
  </si>
  <si>
    <t>=NF($G901,"Source No.")</t>
  </si>
  <si>
    <t>=NF($G902,"Source No.")</t>
  </si>
  <si>
    <t>=NF($G884,"Posting Date")</t>
  </si>
  <si>
    <t>=NF($G892,"Posting Date")</t>
  </si>
  <si>
    <t>=NF($G884,"Entry No.")</t>
  </si>
  <si>
    <t>=NF($G892,"Entry No.")</t>
  </si>
  <si>
    <t>=NL("Sum","Item Ledger Entry","Quantity","Entry Type","Purchase","Entry No.",I884,"Location Code",$L$7)</t>
  </si>
  <si>
    <t>=NL("Sum","Item Ledger Entry","Quantity","Entry Type","Purchase","Entry No.",I892,"Location Code",$L$7)</t>
  </si>
  <si>
    <t>=NL("Sum","Item Ledger Entry","Quantity","Entry Type","Sale","Entry No.",I884,"Location Code",$L$7)</t>
  </si>
  <si>
    <t>=NL("Sum","Item Ledger Entry","Quantity","Entry Type","Sale","Entry No.",I892,"Location Code",$L$7)</t>
  </si>
  <si>
    <t>=NL("Sum","Item Ledger Entry","Quantity","Entry Type","Positive Adjmt.|Negative Adjmt.","Entry No.",I884,"Location Code",$L$7)</t>
  </si>
  <si>
    <t>=NL("Sum","Item Ledger Entry","Quantity","Entry Type","Positive Adjmt.|Negative Adjmt.","Entry No.",I892,"Location Code",$L$7)</t>
  </si>
  <si>
    <t>=NL("Sum","Item Ledger Entry","Quantity","Entry Type","Transfer","Entry No.",I884,"Location Code",$L$7)</t>
  </si>
  <si>
    <t>=NL("Sum","Item Ledger Entry","Quantity","Entry Type","Transfer","Entry No.",I892,"Location Code",$L$7)</t>
  </si>
  <si>
    <t>=NL("Sum","Item Ledger Entry","Quantity","Entry Type","Consumption","Entry No.",I884,"Location Code",$L$7)</t>
  </si>
  <si>
    <t>=NL("Sum","Item Ledger Entry","Quantity","Entry Type","Consumption","Entry No.",I892,"Location Code",$L$7)</t>
  </si>
  <si>
    <t>=NL("Sum","Item Ledger Entry","Quantity","Entry Type","Output","Entry No.",I884,"Location Code",$L$7)</t>
  </si>
  <si>
    <t>=NL("Sum","Item Ledger Entry","Quantity","Entry Type","Output","Entry No.",I892,"Location Code",$L$7)</t>
  </si>
  <si>
    <t>=NF(G884,"Source Type")</t>
  </si>
  <si>
    <t>=NF(G892,"Source Type")</t>
  </si>
  <si>
    <t>=NF($G884,"Source No.")</t>
  </si>
  <si>
    <t>=NF($G892,"Source No.")</t>
  </si>
  <si>
    <t>=NF($G859,"Posting Date")</t>
  </si>
  <si>
    <t>=NF($G860,"Posting Date")</t>
  </si>
  <si>
    <t>=NF($G861,"Posting Date")</t>
  </si>
  <si>
    <t>=NF($G869,"Posting Date")</t>
  </si>
  <si>
    <t>=NF($G870,"Posting Date")</t>
  </si>
  <si>
    <t>=NF($G871,"Posting Date")</t>
  </si>
  <si>
    <t>=NF($G859,"Entry No.")</t>
  </si>
  <si>
    <t>=NF($G860,"Entry No.")</t>
  </si>
  <si>
    <t>=NF($G861,"Entry No.")</t>
  </si>
  <si>
    <t>=NF($G869,"Entry No.")</t>
  </si>
  <si>
    <t>=NF($G870,"Entry No.")</t>
  </si>
  <si>
    <t>=NF($G871,"Entry No.")</t>
  </si>
  <si>
    <t>=NL("Sum","Item Ledger Entry","Quantity","Entry Type","Purchase","Entry No.",I859,"Location Code",$L$7)</t>
  </si>
  <si>
    <t>=NL("Sum","Item Ledger Entry","Quantity","Entry Type","Purchase","Entry No.",I860,"Location Code",$L$7)</t>
  </si>
  <si>
    <t>=NL("Sum","Item Ledger Entry","Quantity","Entry Type","Purchase","Entry No.",I861,"Location Code",$L$7)</t>
  </si>
  <si>
    <t>=NL("Sum","Item Ledger Entry","Quantity","Entry Type","Purchase","Entry No.",I869,"Location Code",$L$7)</t>
  </si>
  <si>
    <t>=NL("Sum","Item Ledger Entry","Quantity","Entry Type","Purchase","Entry No.",I870,"Location Code",$L$7)</t>
  </si>
  <si>
    <t>=NL("Sum","Item Ledger Entry","Quantity","Entry Type","Purchase","Entry No.",I871,"Location Code",$L$7)</t>
  </si>
  <si>
    <t>=NL("Sum","Item Ledger Entry","Quantity","Entry Type","Sale","Entry No.",I859,"Location Code",$L$7)</t>
  </si>
  <si>
    <t>=NL("Sum","Item Ledger Entry","Quantity","Entry Type","Sale","Entry No.",I860,"Location Code",$L$7)</t>
  </si>
  <si>
    <t>=NL("Sum","Item Ledger Entry","Quantity","Entry Type","Sale","Entry No.",I861,"Location Code",$L$7)</t>
  </si>
  <si>
    <t>=NL("Sum","Item Ledger Entry","Quantity","Entry Type","Sale","Entry No.",I869,"Location Code",$L$7)</t>
  </si>
  <si>
    <t>=NL("Sum","Item Ledger Entry","Quantity","Entry Type","Sale","Entry No.",I870,"Location Code",$L$7)</t>
  </si>
  <si>
    <t>=NL("Sum","Item Ledger Entry","Quantity","Entry Type","Sale","Entry No.",I871,"Location Code",$L$7)</t>
  </si>
  <si>
    <t>=NL("Sum","Item Ledger Entry","Quantity","Entry Type","Positive Adjmt.|Negative Adjmt.","Entry No.",I859,"Location Code",$L$7)</t>
  </si>
  <si>
    <t>=NL("Sum","Item Ledger Entry","Quantity","Entry Type","Positive Adjmt.|Negative Adjmt.","Entry No.",I860,"Location Code",$L$7)</t>
  </si>
  <si>
    <t>=NL("Sum","Item Ledger Entry","Quantity","Entry Type","Positive Adjmt.|Negative Adjmt.","Entry No.",I861,"Location Code",$L$7)</t>
  </si>
  <si>
    <t>=NL("Sum","Item Ledger Entry","Quantity","Entry Type","Positive Adjmt.|Negative Adjmt.","Entry No.",I869,"Location Code",$L$7)</t>
  </si>
  <si>
    <t>=NL("Sum","Item Ledger Entry","Quantity","Entry Type","Positive Adjmt.|Negative Adjmt.","Entry No.",I870,"Location Code",$L$7)</t>
  </si>
  <si>
    <t>=NL("Sum","Item Ledger Entry","Quantity","Entry Type","Positive Adjmt.|Negative Adjmt.","Entry No.",I871,"Location Code",$L$7)</t>
  </si>
  <si>
    <t>=NL("Sum","Item Ledger Entry","Quantity","Entry Type","Transfer","Entry No.",I859,"Location Code",$L$7)</t>
  </si>
  <si>
    <t>=NL("Sum","Item Ledger Entry","Quantity","Entry Type","Transfer","Entry No.",I860,"Location Code",$L$7)</t>
  </si>
  <si>
    <t>=NL("Sum","Item Ledger Entry","Quantity","Entry Type","Transfer","Entry No.",I861,"Location Code",$L$7)</t>
  </si>
  <si>
    <t>=NL("Sum","Item Ledger Entry","Quantity","Entry Type","Transfer","Entry No.",I869,"Location Code",$L$7)</t>
  </si>
  <si>
    <t>=NL("Sum","Item Ledger Entry","Quantity","Entry Type","Transfer","Entry No.",I870,"Location Code",$L$7)</t>
  </si>
  <si>
    <t>=NL("Sum","Item Ledger Entry","Quantity","Entry Type","Transfer","Entry No.",I871,"Location Code",$L$7)</t>
  </si>
  <si>
    <t>=NL("Sum","Item Ledger Entry","Quantity","Entry Type","Consumption","Entry No.",I859,"Location Code",$L$7)</t>
  </si>
  <si>
    <t>=NL("Sum","Item Ledger Entry","Quantity","Entry Type","Consumption","Entry No.",I860,"Location Code",$L$7)</t>
  </si>
  <si>
    <t>=NL("Sum","Item Ledger Entry","Quantity","Entry Type","Consumption","Entry No.",I861,"Location Code",$L$7)</t>
  </si>
  <si>
    <t>=NL("Sum","Item Ledger Entry","Quantity","Entry Type","Consumption","Entry No.",I869,"Location Code",$L$7)</t>
  </si>
  <si>
    <t>=NL("Sum","Item Ledger Entry","Quantity","Entry Type","Consumption","Entry No.",I870,"Location Code",$L$7)</t>
  </si>
  <si>
    <t>=NL("Sum","Item Ledger Entry","Quantity","Entry Type","Consumption","Entry No.",I871,"Location Code",$L$7)</t>
  </si>
  <si>
    <t>=NL("Sum","Item Ledger Entry","Quantity","Entry Type","Output","Entry No.",I859,"Location Code",$L$7)</t>
  </si>
  <si>
    <t>=NL("Sum","Item Ledger Entry","Quantity","Entry Type","Output","Entry No.",I860,"Location Code",$L$7)</t>
  </si>
  <si>
    <t>=NL("Sum","Item Ledger Entry","Quantity","Entry Type","Output","Entry No.",I861,"Location Code",$L$7)</t>
  </si>
  <si>
    <t>=NL("Sum","Item Ledger Entry","Quantity","Entry Type","Output","Entry No.",I869,"Location Code",$L$7)</t>
  </si>
  <si>
    <t>=NL("Sum","Item Ledger Entry","Quantity","Entry Type","Output","Entry No.",I870,"Location Code",$L$7)</t>
  </si>
  <si>
    <t>=NL("Sum","Item Ledger Entry","Quantity","Entry Type","Output","Entry No.",I871,"Location Code",$L$7)</t>
  </si>
  <si>
    <t>=NF(G859,"Source Type")</t>
  </si>
  <si>
    <t>=NF(G860,"Source Type")</t>
  </si>
  <si>
    <t>=NF(G861,"Source Type")</t>
  </si>
  <si>
    <t>=NF(G869,"Source Type")</t>
  </si>
  <si>
    <t>=NF(G870,"Source Type")</t>
  </si>
  <si>
    <t>=NF(G871,"Source Type")</t>
  </si>
  <si>
    <t>=NF($G859,"Source No.")</t>
  </si>
  <si>
    <t>=NF($G860,"Source No.")</t>
  </si>
  <si>
    <t>=NF($G861,"Source No.")</t>
  </si>
  <si>
    <t>=NF($G869,"Source No.")</t>
  </si>
  <si>
    <t>=NF($G870,"Source No.")</t>
  </si>
  <si>
    <t>=NF($G871,"Source No.")</t>
  </si>
  <si>
    <t>=NF($G839,"Posting Date")</t>
  </si>
  <si>
    <t>=NF($G845,"Posting Date")</t>
  </si>
  <si>
    <t>=NF($G846,"Posting Date")</t>
  </si>
  <si>
    <t>=NF($G847,"Posting Date")</t>
  </si>
  <si>
    <t>=NF($G839,"Entry No.")</t>
  </si>
  <si>
    <t>=NF($G845,"Entry No.")</t>
  </si>
  <si>
    <t>=NF($G846,"Entry No.")</t>
  </si>
  <si>
    <t>=NF($G847,"Entry No.")</t>
  </si>
  <si>
    <t>=NL("Sum","Item Ledger Entry","Quantity","Entry Type","Purchase","Entry No.",I839,"Location Code",$L$7)</t>
  </si>
  <si>
    <t>=NL("Sum","Item Ledger Entry","Quantity","Entry Type","Purchase","Entry No.",I845,"Location Code",$L$7)</t>
  </si>
  <si>
    <t>=NL("Sum","Item Ledger Entry","Quantity","Entry Type","Purchase","Entry No.",I846,"Location Code",$L$7)</t>
  </si>
  <si>
    <t>=NL("Sum","Item Ledger Entry","Quantity","Entry Type","Purchase","Entry No.",I847,"Location Code",$L$7)</t>
  </si>
  <si>
    <t>=NL("Sum","Item Ledger Entry","Quantity","Entry Type","Sale","Entry No.",I839,"Location Code",$L$7)</t>
  </si>
  <si>
    <t>=NL("Sum","Item Ledger Entry","Quantity","Entry Type","Sale","Entry No.",I845,"Location Code",$L$7)</t>
  </si>
  <si>
    <t>=NL("Sum","Item Ledger Entry","Quantity","Entry Type","Sale","Entry No.",I846,"Location Code",$L$7)</t>
  </si>
  <si>
    <t>=NL("Sum","Item Ledger Entry","Quantity","Entry Type","Sale","Entry No.",I847,"Location Code",$L$7)</t>
  </si>
  <si>
    <t>=NL("Sum","Item Ledger Entry","Quantity","Entry Type","Positive Adjmt.|Negative Adjmt.","Entry No.",I839,"Location Code",$L$7)</t>
  </si>
  <si>
    <t>=NL("Sum","Item Ledger Entry","Quantity","Entry Type","Positive Adjmt.|Negative Adjmt.","Entry No.",I845,"Location Code",$L$7)</t>
  </si>
  <si>
    <t>=NL("Sum","Item Ledger Entry","Quantity","Entry Type","Positive Adjmt.|Negative Adjmt.","Entry No.",I846,"Location Code",$L$7)</t>
  </si>
  <si>
    <t>=NL("Sum","Item Ledger Entry","Quantity","Entry Type","Positive Adjmt.|Negative Adjmt.","Entry No.",I847,"Location Code",$L$7)</t>
  </si>
  <si>
    <t>=NL("Sum","Item Ledger Entry","Quantity","Entry Type","Transfer","Entry No.",I839,"Location Code",$L$7)</t>
  </si>
  <si>
    <t>=NL("Sum","Item Ledger Entry","Quantity","Entry Type","Transfer","Entry No.",I845,"Location Code",$L$7)</t>
  </si>
  <si>
    <t>=NL("Sum","Item Ledger Entry","Quantity","Entry Type","Transfer","Entry No.",I846,"Location Code",$L$7)</t>
  </si>
  <si>
    <t>=NL("Sum","Item Ledger Entry","Quantity","Entry Type","Transfer","Entry No.",I847,"Location Code",$L$7)</t>
  </si>
  <si>
    <t>=NL("Sum","Item Ledger Entry","Quantity","Entry Type","Consumption","Entry No.",I839,"Location Code",$L$7)</t>
  </si>
  <si>
    <t>=NL("Sum","Item Ledger Entry","Quantity","Entry Type","Consumption","Entry No.",I845,"Location Code",$L$7)</t>
  </si>
  <si>
    <t>=NL("Sum","Item Ledger Entry","Quantity","Entry Type","Consumption","Entry No.",I846,"Location Code",$L$7)</t>
  </si>
  <si>
    <t>=NL("Sum","Item Ledger Entry","Quantity","Entry Type","Consumption","Entry No.",I847,"Location Code",$L$7)</t>
  </si>
  <si>
    <t>=NL("Sum","Item Ledger Entry","Quantity","Entry Type","Output","Entry No.",I839,"Location Code",$L$7)</t>
  </si>
  <si>
    <t>=NL("Sum","Item Ledger Entry","Quantity","Entry Type","Output","Entry No.",I845,"Location Code",$L$7)</t>
  </si>
  <si>
    <t>=NL("Sum","Item Ledger Entry","Quantity","Entry Type","Output","Entry No.",I846,"Location Code",$L$7)</t>
  </si>
  <si>
    <t>=NL("Sum","Item Ledger Entry","Quantity","Entry Type","Output","Entry No.",I847,"Location Code",$L$7)</t>
  </si>
  <si>
    <t>=NF(G839,"Source Type")</t>
  </si>
  <si>
    <t>=NF(G845,"Source Type")</t>
  </si>
  <si>
    <t>=NF(G846,"Source Type")</t>
  </si>
  <si>
    <t>=NF(G847,"Source Type")</t>
  </si>
  <si>
    <t>=NF($G839,"Source No.")</t>
  </si>
  <si>
    <t>=NF($G845,"Source No.")</t>
  </si>
  <si>
    <t>=NF($G846,"Source No.")</t>
  </si>
  <si>
    <t>=NF($G847,"Source No.")</t>
  </si>
  <si>
    <t>=NF($G832,"Posting Date")</t>
  </si>
  <si>
    <t>=NF($G833,"Posting Date")</t>
  </si>
  <si>
    <t>=NF($G834,"Posting Date")</t>
  </si>
  <si>
    <t>=NF($G832,"Entry No.")</t>
  </si>
  <si>
    <t>=NF($G833,"Entry No.")</t>
  </si>
  <si>
    <t>=NF($G834,"Entry No.")</t>
  </si>
  <si>
    <t>=NL("Sum","Item Ledger Entry","Quantity","Entry Type","Purchase","Entry No.",I832,"Location Code",$L$7)</t>
  </si>
  <si>
    <t>=NL("Sum","Item Ledger Entry","Quantity","Entry Type","Purchase","Entry No.",I833,"Location Code",$L$7)</t>
  </si>
  <si>
    <t>=NL("Sum","Item Ledger Entry","Quantity","Entry Type","Purchase","Entry No.",I834,"Location Code",$L$7)</t>
  </si>
  <si>
    <t>=NL("Sum","Item Ledger Entry","Quantity","Entry Type","Sale","Entry No.",I832,"Location Code",$L$7)</t>
  </si>
  <si>
    <t>=NL("Sum","Item Ledger Entry","Quantity","Entry Type","Sale","Entry No.",I833,"Location Code",$L$7)</t>
  </si>
  <si>
    <t>=NL("Sum","Item Ledger Entry","Quantity","Entry Type","Sale","Entry No.",I834,"Location Code",$L$7)</t>
  </si>
  <si>
    <t>=NL("Sum","Item Ledger Entry","Quantity","Entry Type","Positive Adjmt.|Negative Adjmt.","Entry No.",I832,"Location Code",$L$7)</t>
  </si>
  <si>
    <t>=NL("Sum","Item Ledger Entry","Quantity","Entry Type","Positive Adjmt.|Negative Adjmt.","Entry No.",I833,"Location Code",$L$7)</t>
  </si>
  <si>
    <t>=NL("Sum","Item Ledger Entry","Quantity","Entry Type","Positive Adjmt.|Negative Adjmt.","Entry No.",I834,"Location Code",$L$7)</t>
  </si>
  <si>
    <t>=NL("Sum","Item Ledger Entry","Quantity","Entry Type","Transfer","Entry No.",I832,"Location Code",$L$7)</t>
  </si>
  <si>
    <t>=NL("Sum","Item Ledger Entry","Quantity","Entry Type","Transfer","Entry No.",I833,"Location Code",$L$7)</t>
  </si>
  <si>
    <t>=NL("Sum","Item Ledger Entry","Quantity","Entry Type","Transfer","Entry No.",I834,"Location Code",$L$7)</t>
  </si>
  <si>
    <t>=NL("Sum","Item Ledger Entry","Quantity","Entry Type","Consumption","Entry No.",I832,"Location Code",$L$7)</t>
  </si>
  <si>
    <t>=NL("Sum","Item Ledger Entry","Quantity","Entry Type","Consumption","Entry No.",I833,"Location Code",$L$7)</t>
  </si>
  <si>
    <t>=NL("Sum","Item Ledger Entry","Quantity","Entry Type","Consumption","Entry No.",I834,"Location Code",$L$7)</t>
  </si>
  <si>
    <t>=NL("Sum","Item Ledger Entry","Quantity","Entry Type","Output","Entry No.",I832,"Location Code",$L$7)</t>
  </si>
  <si>
    <t>=NL("Sum","Item Ledger Entry","Quantity","Entry Type","Output","Entry No.",I833,"Location Code",$L$7)</t>
  </si>
  <si>
    <t>=NL("Sum","Item Ledger Entry","Quantity","Entry Type","Output","Entry No.",I834,"Location Code",$L$7)</t>
  </si>
  <si>
    <t>=NF(G832,"Source Type")</t>
  </si>
  <si>
    <t>=NF(G833,"Source Type")</t>
  </si>
  <si>
    <t>=NF(G834,"Source Type")</t>
  </si>
  <si>
    <t>=NF($G832,"Source No.")</t>
  </si>
  <si>
    <t>=NF($G833,"Source No.")</t>
  </si>
  <si>
    <t>=NF($G834,"Source No.")</t>
  </si>
  <si>
    <t>=NF($G822,"Posting Date")</t>
  </si>
  <si>
    <t>=NF($G823,"Posting Date")</t>
  </si>
  <si>
    <t>=NF($G824,"Posting Date")</t>
  </si>
  <si>
    <t>=NF($G822,"Entry No.")</t>
  </si>
  <si>
    <t>=NF($G823,"Entry No.")</t>
  </si>
  <si>
    <t>=NF($G824,"Entry No.")</t>
  </si>
  <si>
    <t>=NL("Sum","Item Ledger Entry","Quantity","Entry Type","Purchase","Entry No.",I822,"Location Code",$L$7)</t>
  </si>
  <si>
    <t>=NL("Sum","Item Ledger Entry","Quantity","Entry Type","Purchase","Entry No.",I823,"Location Code",$L$7)</t>
  </si>
  <si>
    <t>=NL("Sum","Item Ledger Entry","Quantity","Entry Type","Purchase","Entry No.",I824,"Location Code",$L$7)</t>
  </si>
  <si>
    <t>=NL("Sum","Item Ledger Entry","Quantity","Entry Type","Sale","Entry No.",I822,"Location Code",$L$7)</t>
  </si>
  <si>
    <t>=NL("Sum","Item Ledger Entry","Quantity","Entry Type","Sale","Entry No.",I823,"Location Code",$L$7)</t>
  </si>
  <si>
    <t>=NL("Sum","Item Ledger Entry","Quantity","Entry Type","Sale","Entry No.",I824,"Location Code",$L$7)</t>
  </si>
  <si>
    <t>=NL("Sum","Item Ledger Entry","Quantity","Entry Type","Positive Adjmt.|Negative Adjmt.","Entry No.",I822,"Location Code",$L$7)</t>
  </si>
  <si>
    <t>=NL("Sum","Item Ledger Entry","Quantity","Entry Type","Positive Adjmt.|Negative Adjmt.","Entry No.",I823,"Location Code",$L$7)</t>
  </si>
  <si>
    <t>=NL("Sum","Item Ledger Entry","Quantity","Entry Type","Positive Adjmt.|Negative Adjmt.","Entry No.",I824,"Location Code",$L$7)</t>
  </si>
  <si>
    <t>=NL("Sum","Item Ledger Entry","Quantity","Entry Type","Transfer","Entry No.",I822,"Location Code",$L$7)</t>
  </si>
  <si>
    <t>=NL("Sum","Item Ledger Entry","Quantity","Entry Type","Transfer","Entry No.",I823,"Location Code",$L$7)</t>
  </si>
  <si>
    <t>=NL("Sum","Item Ledger Entry","Quantity","Entry Type","Transfer","Entry No.",I824,"Location Code",$L$7)</t>
  </si>
  <si>
    <t>=NL("Sum","Item Ledger Entry","Quantity","Entry Type","Consumption","Entry No.",I822,"Location Code",$L$7)</t>
  </si>
  <si>
    <t>=NL("Sum","Item Ledger Entry","Quantity","Entry Type","Consumption","Entry No.",I823,"Location Code",$L$7)</t>
  </si>
  <si>
    <t>=NL("Sum","Item Ledger Entry","Quantity","Entry Type","Consumption","Entry No.",I824,"Location Code",$L$7)</t>
  </si>
  <si>
    <t>=NL("Sum","Item Ledger Entry","Quantity","Entry Type","Output","Entry No.",I822,"Location Code",$L$7)</t>
  </si>
  <si>
    <t>=NL("Sum","Item Ledger Entry","Quantity","Entry Type","Output","Entry No.",I823,"Location Code",$L$7)</t>
  </si>
  <si>
    <t>=NL("Sum","Item Ledger Entry","Quantity","Entry Type","Output","Entry No.",I824,"Location Code",$L$7)</t>
  </si>
  <si>
    <t>=NF(G822,"Source Type")</t>
  </si>
  <si>
    <t>=NF(G823,"Source Type")</t>
  </si>
  <si>
    <t>=NF(G824,"Source Type")</t>
  </si>
  <si>
    <t>=NF($G822,"Source No.")</t>
  </si>
  <si>
    <t>=NF($G823,"Source No.")</t>
  </si>
  <si>
    <t>=NF($G824,"Source No.")</t>
  </si>
  <si>
    <t>=NF($G811,"Posting Date")</t>
  </si>
  <si>
    <t>=NF($G812,"Posting Date")</t>
  </si>
  <si>
    <t>=NF($G813,"Posting Date")</t>
  </si>
  <si>
    <t>=NF($G811,"Entry No.")</t>
  </si>
  <si>
    <t>=NF($G812,"Entry No.")</t>
  </si>
  <si>
    <t>=NF($G813,"Entry No.")</t>
  </si>
  <si>
    <t>=NL("Sum","Item Ledger Entry","Quantity","Entry Type","Purchase","Entry No.",I811,"Location Code",$L$7)</t>
  </si>
  <si>
    <t>=NL("Sum","Item Ledger Entry","Quantity","Entry Type","Purchase","Entry No.",I812,"Location Code",$L$7)</t>
  </si>
  <si>
    <t>=NL("Sum","Item Ledger Entry","Quantity","Entry Type","Purchase","Entry No.",I813,"Location Code",$L$7)</t>
  </si>
  <si>
    <t>=NL("Sum","Item Ledger Entry","Quantity","Entry Type","Sale","Entry No.",I811,"Location Code",$L$7)</t>
  </si>
  <si>
    <t>=NL("Sum","Item Ledger Entry","Quantity","Entry Type","Sale","Entry No.",I812,"Location Code",$L$7)</t>
  </si>
  <si>
    <t>=NL("Sum","Item Ledger Entry","Quantity","Entry Type","Sale","Entry No.",I813,"Location Code",$L$7)</t>
  </si>
  <si>
    <t>=NL("Sum","Item Ledger Entry","Quantity","Entry Type","Positive Adjmt.|Negative Adjmt.","Entry No.",I811,"Location Code",$L$7)</t>
  </si>
  <si>
    <t>=NL("Sum","Item Ledger Entry","Quantity","Entry Type","Positive Adjmt.|Negative Adjmt.","Entry No.",I812,"Location Code",$L$7)</t>
  </si>
  <si>
    <t>=NL("Sum","Item Ledger Entry","Quantity","Entry Type","Positive Adjmt.|Negative Adjmt.","Entry No.",I813,"Location Code",$L$7)</t>
  </si>
  <si>
    <t>=NL("Sum","Item Ledger Entry","Quantity","Entry Type","Transfer","Entry No.",I811,"Location Code",$L$7)</t>
  </si>
  <si>
    <t>=NL("Sum","Item Ledger Entry","Quantity","Entry Type","Transfer","Entry No.",I812,"Location Code",$L$7)</t>
  </si>
  <si>
    <t>=NL("Sum","Item Ledger Entry","Quantity","Entry Type","Transfer","Entry No.",I813,"Location Code",$L$7)</t>
  </si>
  <si>
    <t>=NL("Sum","Item Ledger Entry","Quantity","Entry Type","Consumption","Entry No.",I811,"Location Code",$L$7)</t>
  </si>
  <si>
    <t>=NL("Sum","Item Ledger Entry","Quantity","Entry Type","Consumption","Entry No.",I812,"Location Code",$L$7)</t>
  </si>
  <si>
    <t>=NL("Sum","Item Ledger Entry","Quantity","Entry Type","Consumption","Entry No.",I813,"Location Code",$L$7)</t>
  </si>
  <si>
    <t>=NL("Sum","Item Ledger Entry","Quantity","Entry Type","Output","Entry No.",I811,"Location Code",$L$7)</t>
  </si>
  <si>
    <t>=NL("Sum","Item Ledger Entry","Quantity","Entry Type","Output","Entry No.",I812,"Location Code",$L$7)</t>
  </si>
  <si>
    <t>=NL("Sum","Item Ledger Entry","Quantity","Entry Type","Output","Entry No.",I813,"Location Code",$L$7)</t>
  </si>
  <si>
    <t>=NF(G811,"Source Type")</t>
  </si>
  <si>
    <t>=NF(G812,"Source Type")</t>
  </si>
  <si>
    <t>=NF(G813,"Source Type")</t>
  </si>
  <si>
    <t>=NF($G811,"Source No.")</t>
  </si>
  <si>
    <t>=NF($G812,"Source No.")</t>
  </si>
  <si>
    <t>=NF($G813,"Source No.")</t>
  </si>
  <si>
    <t>=NF($G797,"Posting Date")</t>
  </si>
  <si>
    <t>=NF($G798,"Posting Date")</t>
  </si>
  <si>
    <t>=NF($G801,"Posting Date")</t>
  </si>
  <si>
    <t>=NF($G802,"Posting Date")</t>
  </si>
  <si>
    <t>=NF($G803,"Posting Date")</t>
  </si>
  <si>
    <t>=NF($G797,"Entry No.")</t>
  </si>
  <si>
    <t>=NF($G798,"Entry No.")</t>
  </si>
  <si>
    <t>=NF($G801,"Entry No.")</t>
  </si>
  <si>
    <t>=NF($G802,"Entry No.")</t>
  </si>
  <si>
    <t>=NF($G803,"Entry No.")</t>
  </si>
  <si>
    <t>=NL("Sum","Item Ledger Entry","Quantity","Entry Type","Purchase","Entry No.",I797,"Location Code",$L$7)</t>
  </si>
  <si>
    <t>=NL("Sum","Item Ledger Entry","Quantity","Entry Type","Purchase","Entry No.",I798,"Location Code",$L$7)</t>
  </si>
  <si>
    <t>=NL("Sum","Item Ledger Entry","Quantity","Entry Type","Purchase","Entry No.",I801,"Location Code",$L$7)</t>
  </si>
  <si>
    <t>=NL("Sum","Item Ledger Entry","Quantity","Entry Type","Purchase","Entry No.",I802,"Location Code",$L$7)</t>
  </si>
  <si>
    <t>=NL("Sum","Item Ledger Entry","Quantity","Entry Type","Purchase","Entry No.",I803,"Location Code",$L$7)</t>
  </si>
  <si>
    <t>=NL("Sum","Item Ledger Entry","Quantity","Entry Type","Sale","Entry No.",I797,"Location Code",$L$7)</t>
  </si>
  <si>
    <t>=NL("Sum","Item Ledger Entry","Quantity","Entry Type","Sale","Entry No.",I798,"Location Code",$L$7)</t>
  </si>
  <si>
    <t>=NL("Sum","Item Ledger Entry","Quantity","Entry Type","Sale","Entry No.",I801,"Location Code",$L$7)</t>
  </si>
  <si>
    <t>=NL("Sum","Item Ledger Entry","Quantity","Entry Type","Sale","Entry No.",I802,"Location Code",$L$7)</t>
  </si>
  <si>
    <t>=NL("Sum","Item Ledger Entry","Quantity","Entry Type","Sale","Entry No.",I803,"Location Code",$L$7)</t>
  </si>
  <si>
    <t>=NL("Sum","Item Ledger Entry","Quantity","Entry Type","Positive Adjmt.|Negative Adjmt.","Entry No.",I797,"Location Code",$L$7)</t>
  </si>
  <si>
    <t>=NL("Sum","Item Ledger Entry","Quantity","Entry Type","Positive Adjmt.|Negative Adjmt.","Entry No.",I798,"Location Code",$L$7)</t>
  </si>
  <si>
    <t>=NL("Sum","Item Ledger Entry","Quantity","Entry Type","Positive Adjmt.|Negative Adjmt.","Entry No.",I801,"Location Code",$L$7)</t>
  </si>
  <si>
    <t>=NL("Sum","Item Ledger Entry","Quantity","Entry Type","Positive Adjmt.|Negative Adjmt.","Entry No.",I802,"Location Code",$L$7)</t>
  </si>
  <si>
    <t>=NL("Sum","Item Ledger Entry","Quantity","Entry Type","Positive Adjmt.|Negative Adjmt.","Entry No.",I803,"Location Code",$L$7)</t>
  </si>
  <si>
    <t>=NL("Sum","Item Ledger Entry","Quantity","Entry Type","Transfer","Entry No.",I797,"Location Code",$L$7)</t>
  </si>
  <si>
    <t>=NL("Sum","Item Ledger Entry","Quantity","Entry Type","Transfer","Entry No.",I798,"Location Code",$L$7)</t>
  </si>
  <si>
    <t>=NL("Sum","Item Ledger Entry","Quantity","Entry Type","Transfer","Entry No.",I801,"Location Code",$L$7)</t>
  </si>
  <si>
    <t>=NL("Sum","Item Ledger Entry","Quantity","Entry Type","Transfer","Entry No.",I802,"Location Code",$L$7)</t>
  </si>
  <si>
    <t>=NL("Sum","Item Ledger Entry","Quantity","Entry Type","Transfer","Entry No.",I803,"Location Code",$L$7)</t>
  </si>
  <si>
    <t>=NL("Sum","Item Ledger Entry","Quantity","Entry Type","Consumption","Entry No.",I797,"Location Code",$L$7)</t>
  </si>
  <si>
    <t>=NL("Sum","Item Ledger Entry","Quantity","Entry Type","Consumption","Entry No.",I798,"Location Code",$L$7)</t>
  </si>
  <si>
    <t>=NL("Sum","Item Ledger Entry","Quantity","Entry Type","Consumption","Entry No.",I801,"Location Code",$L$7)</t>
  </si>
  <si>
    <t>=NL("Sum","Item Ledger Entry","Quantity","Entry Type","Consumption","Entry No.",I802,"Location Code",$L$7)</t>
  </si>
  <si>
    <t>=NL("Sum","Item Ledger Entry","Quantity","Entry Type","Consumption","Entry No.",I803,"Location Code",$L$7)</t>
  </si>
  <si>
    <t>=NL("Sum","Item Ledger Entry","Quantity","Entry Type","Output","Entry No.",I797,"Location Code",$L$7)</t>
  </si>
  <si>
    <t>=NL("Sum","Item Ledger Entry","Quantity","Entry Type","Output","Entry No.",I798,"Location Code",$L$7)</t>
  </si>
  <si>
    <t>=NL("Sum","Item Ledger Entry","Quantity","Entry Type","Output","Entry No.",I801,"Location Code",$L$7)</t>
  </si>
  <si>
    <t>=NL("Sum","Item Ledger Entry","Quantity","Entry Type","Output","Entry No.",I802,"Location Code",$L$7)</t>
  </si>
  <si>
    <t>=NL("Sum","Item Ledger Entry","Quantity","Entry Type","Output","Entry No.",I803,"Location Code",$L$7)</t>
  </si>
  <si>
    <t>=NF(G797,"Source Type")</t>
  </si>
  <si>
    <t>=NF(G798,"Source Type")</t>
  </si>
  <si>
    <t>=NF(G801,"Source Type")</t>
  </si>
  <si>
    <t>=NF(G802,"Source Type")</t>
  </si>
  <si>
    <t>=NF(G803,"Source Type")</t>
  </si>
  <si>
    <t>=NF($G797,"Source No.")</t>
  </si>
  <si>
    <t>=NF($G798,"Source No.")</t>
  </si>
  <si>
    <t>=NF($G801,"Source No.")</t>
  </si>
  <si>
    <t>=NF($G802,"Source No.")</t>
  </si>
  <si>
    <t>=NF($G803,"Source No.")</t>
  </si>
  <si>
    <t>=NF($G782,"Posting Date")</t>
  </si>
  <si>
    <t>=NF($G783,"Posting Date")</t>
  </si>
  <si>
    <t>=NF($G784,"Posting Date")</t>
  </si>
  <si>
    <t>=NF($G789,"Posting Date")</t>
  </si>
  <si>
    <t>=NF($G790,"Posting Date")</t>
  </si>
  <si>
    <t>=NF($G791,"Posting Date")</t>
  </si>
  <si>
    <t>=NF($G782,"Entry No.")</t>
  </si>
  <si>
    <t>=NF($G783,"Entry No.")</t>
  </si>
  <si>
    <t>=NF($G784,"Entry No.")</t>
  </si>
  <si>
    <t>=NF($G789,"Entry No.")</t>
  </si>
  <si>
    <t>=NF($G790,"Entry No.")</t>
  </si>
  <si>
    <t>=NF($G791,"Entry No.")</t>
  </si>
  <si>
    <t>=NL("Sum","Item Ledger Entry","Quantity","Entry Type","Purchase","Entry No.",I782,"Location Code",$L$7)</t>
  </si>
  <si>
    <t>=NL("Sum","Item Ledger Entry","Quantity","Entry Type","Purchase","Entry No.",I783,"Location Code",$L$7)</t>
  </si>
  <si>
    <t>=NL("Sum","Item Ledger Entry","Quantity","Entry Type","Purchase","Entry No.",I784,"Location Code",$L$7)</t>
  </si>
  <si>
    <t>=NL("Sum","Item Ledger Entry","Quantity","Entry Type","Purchase","Entry No.",I789,"Location Code",$L$7)</t>
  </si>
  <si>
    <t>=NL("Sum","Item Ledger Entry","Quantity","Entry Type","Purchase","Entry No.",I790,"Location Code",$L$7)</t>
  </si>
  <si>
    <t>=NL("Sum","Item Ledger Entry","Quantity","Entry Type","Purchase","Entry No.",I791,"Location Code",$L$7)</t>
  </si>
  <si>
    <t>=NL("Sum","Item Ledger Entry","Quantity","Entry Type","Sale","Entry No.",I782,"Location Code",$L$7)</t>
  </si>
  <si>
    <t>=NL("Sum","Item Ledger Entry","Quantity","Entry Type","Sale","Entry No.",I783,"Location Code",$L$7)</t>
  </si>
  <si>
    <t>=NL("Sum","Item Ledger Entry","Quantity","Entry Type","Sale","Entry No.",I784,"Location Code",$L$7)</t>
  </si>
  <si>
    <t>=NL("Sum","Item Ledger Entry","Quantity","Entry Type","Sale","Entry No.",I789,"Location Code",$L$7)</t>
  </si>
  <si>
    <t>=NL("Sum","Item Ledger Entry","Quantity","Entry Type","Sale","Entry No.",I790,"Location Code",$L$7)</t>
  </si>
  <si>
    <t>=NL("Sum","Item Ledger Entry","Quantity","Entry Type","Sale","Entry No.",I791,"Location Code",$L$7)</t>
  </si>
  <si>
    <t>=NL("Sum","Item Ledger Entry","Quantity","Entry Type","Positive Adjmt.|Negative Adjmt.","Entry No.",I782,"Location Code",$L$7)</t>
  </si>
  <si>
    <t>=NL("Sum","Item Ledger Entry","Quantity","Entry Type","Positive Adjmt.|Negative Adjmt.","Entry No.",I783,"Location Code",$L$7)</t>
  </si>
  <si>
    <t>=NL("Sum","Item Ledger Entry","Quantity","Entry Type","Positive Adjmt.|Negative Adjmt.","Entry No.",I784,"Location Code",$L$7)</t>
  </si>
  <si>
    <t>=NL("Sum","Item Ledger Entry","Quantity","Entry Type","Positive Adjmt.|Negative Adjmt.","Entry No.",I789,"Location Code",$L$7)</t>
  </si>
  <si>
    <t>=NL("Sum","Item Ledger Entry","Quantity","Entry Type","Positive Adjmt.|Negative Adjmt.","Entry No.",I790,"Location Code",$L$7)</t>
  </si>
  <si>
    <t>=NL("Sum","Item Ledger Entry","Quantity","Entry Type","Positive Adjmt.|Negative Adjmt.","Entry No.",I791,"Location Code",$L$7)</t>
  </si>
  <si>
    <t>=NL("Sum","Item Ledger Entry","Quantity","Entry Type","Transfer","Entry No.",I782,"Location Code",$L$7)</t>
  </si>
  <si>
    <t>=NL("Sum","Item Ledger Entry","Quantity","Entry Type","Transfer","Entry No.",I783,"Location Code",$L$7)</t>
  </si>
  <si>
    <t>=NL("Sum","Item Ledger Entry","Quantity","Entry Type","Transfer","Entry No.",I784,"Location Code",$L$7)</t>
  </si>
  <si>
    <t>=NL("Sum","Item Ledger Entry","Quantity","Entry Type","Transfer","Entry No.",I789,"Location Code",$L$7)</t>
  </si>
  <si>
    <t>=NL("Sum","Item Ledger Entry","Quantity","Entry Type","Transfer","Entry No.",I790,"Location Code",$L$7)</t>
  </si>
  <si>
    <t>=NL("Sum","Item Ledger Entry","Quantity","Entry Type","Transfer","Entry No.",I791,"Location Code",$L$7)</t>
  </si>
  <si>
    <t>=NL("Sum","Item Ledger Entry","Quantity","Entry Type","Consumption","Entry No.",I782,"Location Code",$L$7)</t>
  </si>
  <si>
    <t>=NL("Sum","Item Ledger Entry","Quantity","Entry Type","Consumption","Entry No.",I783,"Location Code",$L$7)</t>
  </si>
  <si>
    <t>=NL("Sum","Item Ledger Entry","Quantity","Entry Type","Consumption","Entry No.",I784,"Location Code",$L$7)</t>
  </si>
  <si>
    <t>=NL("Sum","Item Ledger Entry","Quantity","Entry Type","Consumption","Entry No.",I789,"Location Code",$L$7)</t>
  </si>
  <si>
    <t>=NL("Sum","Item Ledger Entry","Quantity","Entry Type","Consumption","Entry No.",I790,"Location Code",$L$7)</t>
  </si>
  <si>
    <t>=NL("Sum","Item Ledger Entry","Quantity","Entry Type","Consumption","Entry No.",I791,"Location Code",$L$7)</t>
  </si>
  <si>
    <t>=NL("Sum","Item Ledger Entry","Quantity","Entry Type","Output","Entry No.",I782,"Location Code",$L$7)</t>
  </si>
  <si>
    <t>=NL("Sum","Item Ledger Entry","Quantity","Entry Type","Output","Entry No.",I783,"Location Code",$L$7)</t>
  </si>
  <si>
    <t>=NL("Sum","Item Ledger Entry","Quantity","Entry Type","Output","Entry No.",I784,"Location Code",$L$7)</t>
  </si>
  <si>
    <t>=NL("Sum","Item Ledger Entry","Quantity","Entry Type","Output","Entry No.",I789,"Location Code",$L$7)</t>
  </si>
  <si>
    <t>=NL("Sum","Item Ledger Entry","Quantity","Entry Type","Output","Entry No.",I790,"Location Code",$L$7)</t>
  </si>
  <si>
    <t>=NL("Sum","Item Ledger Entry","Quantity","Entry Type","Output","Entry No.",I791,"Location Code",$L$7)</t>
  </si>
  <si>
    <t>=NF(G782,"Source Type")</t>
  </si>
  <si>
    <t>=NF(G783,"Source Type")</t>
  </si>
  <si>
    <t>=NF(G784,"Source Type")</t>
  </si>
  <si>
    <t>=NF(G789,"Source Type")</t>
  </si>
  <si>
    <t>=NF(G790,"Source Type")</t>
  </si>
  <si>
    <t>=NF(G791,"Source Type")</t>
  </si>
  <si>
    <t>=NF($G782,"Source No.")</t>
  </si>
  <si>
    <t>=NF($G783,"Source No.")</t>
  </si>
  <si>
    <t>=NF($G784,"Source No.")</t>
  </si>
  <si>
    <t>=NF($G789,"Source No.")</t>
  </si>
  <si>
    <t>=NF($G790,"Source No.")</t>
  </si>
  <si>
    <t>=NF($G791,"Source No.")</t>
  </si>
  <si>
    <t>=NF($G765,"Posting Date")</t>
  </si>
  <si>
    <t>=NF($G766,"Posting Date")</t>
  </si>
  <si>
    <t>=NF($G767,"Posting Date")</t>
  </si>
  <si>
    <t>=NF($G774,"Posting Date")</t>
  </si>
  <si>
    <t>=NF($G775,"Posting Date")</t>
  </si>
  <si>
    <t>=NF($G776,"Posting Date")</t>
  </si>
  <si>
    <t>=NF($G765,"Entry No.")</t>
  </si>
  <si>
    <t>=NF($G766,"Entry No.")</t>
  </si>
  <si>
    <t>=NF($G767,"Entry No.")</t>
  </si>
  <si>
    <t>=NF($G774,"Entry No.")</t>
  </si>
  <si>
    <t>=NF($G775,"Entry No.")</t>
  </si>
  <si>
    <t>=NF($G776,"Entry No.")</t>
  </si>
  <si>
    <t>=NL("Sum","Item Ledger Entry","Quantity","Entry Type","Purchase","Entry No.",I765,"Location Code",$L$7)</t>
  </si>
  <si>
    <t>=NL("Sum","Item Ledger Entry","Quantity","Entry Type","Purchase","Entry No.",I766,"Location Code",$L$7)</t>
  </si>
  <si>
    <t>=NL("Sum","Item Ledger Entry","Quantity","Entry Type","Purchase","Entry No.",I767,"Location Code",$L$7)</t>
  </si>
  <si>
    <t>=NL("Sum","Item Ledger Entry","Quantity","Entry Type","Purchase","Entry No.",I774,"Location Code",$L$7)</t>
  </si>
  <si>
    <t>=NL("Sum","Item Ledger Entry","Quantity","Entry Type","Purchase","Entry No.",I775,"Location Code",$L$7)</t>
  </si>
  <si>
    <t>=NL("Sum","Item Ledger Entry","Quantity","Entry Type","Purchase","Entry No.",I776,"Location Code",$L$7)</t>
  </si>
  <si>
    <t>=NL("Sum","Item Ledger Entry","Quantity","Entry Type","Sale","Entry No.",I765,"Location Code",$L$7)</t>
  </si>
  <si>
    <t>=NL("Sum","Item Ledger Entry","Quantity","Entry Type","Sale","Entry No.",I766,"Location Code",$L$7)</t>
  </si>
  <si>
    <t>=NL("Sum","Item Ledger Entry","Quantity","Entry Type","Sale","Entry No.",I767,"Location Code",$L$7)</t>
  </si>
  <si>
    <t>=NL("Sum","Item Ledger Entry","Quantity","Entry Type","Sale","Entry No.",I774,"Location Code",$L$7)</t>
  </si>
  <si>
    <t>=NL("Sum","Item Ledger Entry","Quantity","Entry Type","Sale","Entry No.",I775,"Location Code",$L$7)</t>
  </si>
  <si>
    <t>=NL("Sum","Item Ledger Entry","Quantity","Entry Type","Sale","Entry No.",I776,"Location Code",$L$7)</t>
  </si>
  <si>
    <t>=NL("Sum","Item Ledger Entry","Quantity","Entry Type","Positive Adjmt.|Negative Adjmt.","Entry No.",I765,"Location Code",$L$7)</t>
  </si>
  <si>
    <t>=NL("Sum","Item Ledger Entry","Quantity","Entry Type","Positive Adjmt.|Negative Adjmt.","Entry No.",I766,"Location Code",$L$7)</t>
  </si>
  <si>
    <t>=NL("Sum","Item Ledger Entry","Quantity","Entry Type","Positive Adjmt.|Negative Adjmt.","Entry No.",I767,"Location Code",$L$7)</t>
  </si>
  <si>
    <t>=NL("Sum","Item Ledger Entry","Quantity","Entry Type","Positive Adjmt.|Negative Adjmt.","Entry No.",I774,"Location Code",$L$7)</t>
  </si>
  <si>
    <t>=NL("Sum","Item Ledger Entry","Quantity","Entry Type","Positive Adjmt.|Negative Adjmt.","Entry No.",I775,"Location Code",$L$7)</t>
  </si>
  <si>
    <t>=NL("Sum","Item Ledger Entry","Quantity","Entry Type","Positive Adjmt.|Negative Adjmt.","Entry No.",I776,"Location Code",$L$7)</t>
  </si>
  <si>
    <t>=NL("Sum","Item Ledger Entry","Quantity","Entry Type","Transfer","Entry No.",I765,"Location Code",$L$7)</t>
  </si>
  <si>
    <t>=NL("Sum","Item Ledger Entry","Quantity","Entry Type","Transfer","Entry No.",I766,"Location Code",$L$7)</t>
  </si>
  <si>
    <t>=NL("Sum","Item Ledger Entry","Quantity","Entry Type","Transfer","Entry No.",I767,"Location Code",$L$7)</t>
  </si>
  <si>
    <t>=NL("Sum","Item Ledger Entry","Quantity","Entry Type","Transfer","Entry No.",I774,"Location Code",$L$7)</t>
  </si>
  <si>
    <t>=NL("Sum","Item Ledger Entry","Quantity","Entry Type","Transfer","Entry No.",I775,"Location Code",$L$7)</t>
  </si>
  <si>
    <t>=NL("Sum","Item Ledger Entry","Quantity","Entry Type","Transfer","Entry No.",I776,"Location Code",$L$7)</t>
  </si>
  <si>
    <t>=NL("Sum","Item Ledger Entry","Quantity","Entry Type","Consumption","Entry No.",I765,"Location Code",$L$7)</t>
  </si>
  <si>
    <t>=NL("Sum","Item Ledger Entry","Quantity","Entry Type","Consumption","Entry No.",I766,"Location Code",$L$7)</t>
  </si>
  <si>
    <t>=NL("Sum","Item Ledger Entry","Quantity","Entry Type","Consumption","Entry No.",I767,"Location Code",$L$7)</t>
  </si>
  <si>
    <t>=NL("Sum","Item Ledger Entry","Quantity","Entry Type","Consumption","Entry No.",I774,"Location Code",$L$7)</t>
  </si>
  <si>
    <t>=NL("Sum","Item Ledger Entry","Quantity","Entry Type","Consumption","Entry No.",I775,"Location Code",$L$7)</t>
  </si>
  <si>
    <t>=NL("Sum","Item Ledger Entry","Quantity","Entry Type","Consumption","Entry No.",I776,"Location Code",$L$7)</t>
  </si>
  <si>
    <t>=NL("Sum","Item Ledger Entry","Quantity","Entry Type","Output","Entry No.",I765,"Location Code",$L$7)</t>
  </si>
  <si>
    <t>=NL("Sum","Item Ledger Entry","Quantity","Entry Type","Output","Entry No.",I766,"Location Code",$L$7)</t>
  </si>
  <si>
    <t>=NL("Sum","Item Ledger Entry","Quantity","Entry Type","Output","Entry No.",I767,"Location Code",$L$7)</t>
  </si>
  <si>
    <t>=NL("Sum","Item Ledger Entry","Quantity","Entry Type","Output","Entry No.",I774,"Location Code",$L$7)</t>
  </si>
  <si>
    <t>=NL("Sum","Item Ledger Entry","Quantity","Entry Type","Output","Entry No.",I775,"Location Code",$L$7)</t>
  </si>
  <si>
    <t>=NL("Sum","Item Ledger Entry","Quantity","Entry Type","Output","Entry No.",I776,"Location Code",$L$7)</t>
  </si>
  <si>
    <t>=NF(G765,"Source Type")</t>
  </si>
  <si>
    <t>=NF(G766,"Source Type")</t>
  </si>
  <si>
    <t>=NF(G767,"Source Type")</t>
  </si>
  <si>
    <t>=NF(G774,"Source Type")</t>
  </si>
  <si>
    <t>=NF(G775,"Source Type")</t>
  </si>
  <si>
    <t>=NF(G776,"Source Type")</t>
  </si>
  <si>
    <t>=NF($G765,"Source No.")</t>
  </si>
  <si>
    <t>=NF($G766,"Source No.")</t>
  </si>
  <si>
    <t>=NF($G767,"Source No.")</t>
  </si>
  <si>
    <t>=NF($G774,"Source No.")</t>
  </si>
  <si>
    <t>=NF($G775,"Source No.")</t>
  </si>
  <si>
    <t>=NF($G776,"Source No.")</t>
  </si>
  <si>
    <t>=NF($G753,"Posting Date")</t>
  </si>
  <si>
    <t>=NF($G754,"Posting Date")</t>
  </si>
  <si>
    <t>=NF($G755,"Posting Date")</t>
  </si>
  <si>
    <t>=NF($G759,"Posting Date")</t>
  </si>
  <si>
    <t>=NF($G760,"Posting Date")</t>
  </si>
  <si>
    <t>=NF($G761,"Posting Date")</t>
  </si>
  <si>
    <t>=NF($G753,"Entry No.")</t>
  </si>
  <si>
    <t>=NF($G754,"Entry No.")</t>
  </si>
  <si>
    <t>=NF($G755,"Entry No.")</t>
  </si>
  <si>
    <t>=NF($G759,"Entry No.")</t>
  </si>
  <si>
    <t>=NF($G760,"Entry No.")</t>
  </si>
  <si>
    <t>=NF($G761,"Entry No.")</t>
  </si>
  <si>
    <t>=NL("Sum","Item Ledger Entry","Quantity","Entry Type","Purchase","Entry No.",I753,"Location Code",$L$7)</t>
  </si>
  <si>
    <t>=NL("Sum","Item Ledger Entry","Quantity","Entry Type","Purchase","Entry No.",I754,"Location Code",$L$7)</t>
  </si>
  <si>
    <t>=NL("Sum","Item Ledger Entry","Quantity","Entry Type","Purchase","Entry No.",I755,"Location Code",$L$7)</t>
  </si>
  <si>
    <t>=NL("Sum","Item Ledger Entry","Quantity","Entry Type","Purchase","Entry No.",I759,"Location Code",$L$7)</t>
  </si>
  <si>
    <t>=NL("Sum","Item Ledger Entry","Quantity","Entry Type","Purchase","Entry No.",I760,"Location Code",$L$7)</t>
  </si>
  <si>
    <t>=NL("Sum","Item Ledger Entry","Quantity","Entry Type","Purchase","Entry No.",I761,"Location Code",$L$7)</t>
  </si>
  <si>
    <t>=NL("Sum","Item Ledger Entry","Quantity","Entry Type","Sale","Entry No.",I753,"Location Code",$L$7)</t>
  </si>
  <si>
    <t>=NL("Sum","Item Ledger Entry","Quantity","Entry Type","Sale","Entry No.",I754,"Location Code",$L$7)</t>
  </si>
  <si>
    <t>=NL("Sum","Item Ledger Entry","Quantity","Entry Type","Sale","Entry No.",I755,"Location Code",$L$7)</t>
  </si>
  <si>
    <t>=NL("Sum","Item Ledger Entry","Quantity","Entry Type","Sale","Entry No.",I759,"Location Code",$L$7)</t>
  </si>
  <si>
    <t>=NL("Sum","Item Ledger Entry","Quantity","Entry Type","Sale","Entry No.",I760,"Location Code",$L$7)</t>
  </si>
  <si>
    <t>=NL("Sum","Item Ledger Entry","Quantity","Entry Type","Sale","Entry No.",I761,"Location Code",$L$7)</t>
  </si>
  <si>
    <t>=NL("Sum","Item Ledger Entry","Quantity","Entry Type","Positive Adjmt.|Negative Adjmt.","Entry No.",I753,"Location Code",$L$7)</t>
  </si>
  <si>
    <t>=NL("Sum","Item Ledger Entry","Quantity","Entry Type","Positive Adjmt.|Negative Adjmt.","Entry No.",I754,"Location Code",$L$7)</t>
  </si>
  <si>
    <t>=NL("Sum","Item Ledger Entry","Quantity","Entry Type","Positive Adjmt.|Negative Adjmt.","Entry No.",I755,"Location Code",$L$7)</t>
  </si>
  <si>
    <t>=NL("Sum","Item Ledger Entry","Quantity","Entry Type","Positive Adjmt.|Negative Adjmt.","Entry No.",I759,"Location Code",$L$7)</t>
  </si>
  <si>
    <t>=NL("Sum","Item Ledger Entry","Quantity","Entry Type","Positive Adjmt.|Negative Adjmt.","Entry No.",I760,"Location Code",$L$7)</t>
  </si>
  <si>
    <t>=NL("Sum","Item Ledger Entry","Quantity","Entry Type","Positive Adjmt.|Negative Adjmt.","Entry No.",I761,"Location Code",$L$7)</t>
  </si>
  <si>
    <t>=NL("Sum","Item Ledger Entry","Quantity","Entry Type","Transfer","Entry No.",I753,"Location Code",$L$7)</t>
  </si>
  <si>
    <t>=NL("Sum","Item Ledger Entry","Quantity","Entry Type","Transfer","Entry No.",I754,"Location Code",$L$7)</t>
  </si>
  <si>
    <t>=NL("Sum","Item Ledger Entry","Quantity","Entry Type","Transfer","Entry No.",I755,"Location Code",$L$7)</t>
  </si>
  <si>
    <t>=NL("Sum","Item Ledger Entry","Quantity","Entry Type","Transfer","Entry No.",I759,"Location Code",$L$7)</t>
  </si>
  <si>
    <t>=NL("Sum","Item Ledger Entry","Quantity","Entry Type","Transfer","Entry No.",I760,"Location Code",$L$7)</t>
  </si>
  <si>
    <t>=NL("Sum","Item Ledger Entry","Quantity","Entry Type","Transfer","Entry No.",I761,"Location Code",$L$7)</t>
  </si>
  <si>
    <t>=NL("Sum","Item Ledger Entry","Quantity","Entry Type","Consumption","Entry No.",I753,"Location Code",$L$7)</t>
  </si>
  <si>
    <t>=NL("Sum","Item Ledger Entry","Quantity","Entry Type","Consumption","Entry No.",I754,"Location Code",$L$7)</t>
  </si>
  <si>
    <t>=NL("Sum","Item Ledger Entry","Quantity","Entry Type","Consumption","Entry No.",I755,"Location Code",$L$7)</t>
  </si>
  <si>
    <t>=NL("Sum","Item Ledger Entry","Quantity","Entry Type","Consumption","Entry No.",I759,"Location Code",$L$7)</t>
  </si>
  <si>
    <t>=NL("Sum","Item Ledger Entry","Quantity","Entry Type","Consumption","Entry No.",I760,"Location Code",$L$7)</t>
  </si>
  <si>
    <t>=NL("Sum","Item Ledger Entry","Quantity","Entry Type","Consumption","Entry No.",I761,"Location Code",$L$7)</t>
  </si>
  <si>
    <t>=NL("Sum","Item Ledger Entry","Quantity","Entry Type","Output","Entry No.",I753,"Location Code",$L$7)</t>
  </si>
  <si>
    <t>=NL("Sum","Item Ledger Entry","Quantity","Entry Type","Output","Entry No.",I754,"Location Code",$L$7)</t>
  </si>
  <si>
    <t>=NL("Sum","Item Ledger Entry","Quantity","Entry Type","Output","Entry No.",I755,"Location Code",$L$7)</t>
  </si>
  <si>
    <t>=NL("Sum","Item Ledger Entry","Quantity","Entry Type","Output","Entry No.",I759,"Location Code",$L$7)</t>
  </si>
  <si>
    <t>=NL("Sum","Item Ledger Entry","Quantity","Entry Type","Output","Entry No.",I760,"Location Code",$L$7)</t>
  </si>
  <si>
    <t>=NL("Sum","Item Ledger Entry","Quantity","Entry Type","Output","Entry No.",I761,"Location Code",$L$7)</t>
  </si>
  <si>
    <t>=NF(G753,"Source Type")</t>
  </si>
  <si>
    <t>=NF(G754,"Source Type")</t>
  </si>
  <si>
    <t>=NF(G755,"Source Type")</t>
  </si>
  <si>
    <t>=NF(G759,"Source Type")</t>
  </si>
  <si>
    <t>=NF(G760,"Source Type")</t>
  </si>
  <si>
    <t>=NF(G761,"Source Type")</t>
  </si>
  <si>
    <t>=NF($G753,"Source No.")</t>
  </si>
  <si>
    <t>=NF($G754,"Source No.")</t>
  </si>
  <si>
    <t>=NF($G755,"Source No.")</t>
  </si>
  <si>
    <t>=NF($G759,"Source No.")</t>
  </si>
  <si>
    <t>=NF($G760,"Source No.")</t>
  </si>
  <si>
    <t>=NF($G761,"Source No.")</t>
  </si>
  <si>
    <t>=NF($G745,"Posting Date")</t>
  </si>
  <si>
    <t>=NF($G746,"Posting Date")</t>
  </si>
  <si>
    <t>=NF($G747,"Posting Date")</t>
  </si>
  <si>
    <t>=NF($G745,"Entry No.")</t>
  </si>
  <si>
    <t>=NF($G746,"Entry No.")</t>
  </si>
  <si>
    <t>=NF($G747,"Entry No.")</t>
  </si>
  <si>
    <t>=NL("Sum","Item Ledger Entry","Quantity","Entry Type","Purchase","Entry No.",I745,"Location Code",$L$7)</t>
  </si>
  <si>
    <t>=NL("Sum","Item Ledger Entry","Quantity","Entry Type","Purchase","Entry No.",I746,"Location Code",$L$7)</t>
  </si>
  <si>
    <t>=NL("Sum","Item Ledger Entry","Quantity","Entry Type","Purchase","Entry No.",I747,"Location Code",$L$7)</t>
  </si>
  <si>
    <t>=NL("Sum","Item Ledger Entry","Quantity","Entry Type","Sale","Entry No.",I745,"Location Code",$L$7)</t>
  </si>
  <si>
    <t>=NL("Sum","Item Ledger Entry","Quantity","Entry Type","Sale","Entry No.",I746,"Location Code",$L$7)</t>
  </si>
  <si>
    <t>=NL("Sum","Item Ledger Entry","Quantity","Entry Type","Sale","Entry No.",I747,"Location Code",$L$7)</t>
  </si>
  <si>
    <t>=NL("Sum","Item Ledger Entry","Quantity","Entry Type","Positive Adjmt.|Negative Adjmt.","Entry No.",I745,"Location Code",$L$7)</t>
  </si>
  <si>
    <t>=NL("Sum","Item Ledger Entry","Quantity","Entry Type","Positive Adjmt.|Negative Adjmt.","Entry No.",I746,"Location Code",$L$7)</t>
  </si>
  <si>
    <t>=NL("Sum","Item Ledger Entry","Quantity","Entry Type","Positive Adjmt.|Negative Adjmt.","Entry No.",I747,"Location Code",$L$7)</t>
  </si>
  <si>
    <t>=NL("Sum","Item Ledger Entry","Quantity","Entry Type","Transfer","Entry No.",I745,"Location Code",$L$7)</t>
  </si>
  <si>
    <t>=NL("Sum","Item Ledger Entry","Quantity","Entry Type","Transfer","Entry No.",I746,"Location Code",$L$7)</t>
  </si>
  <si>
    <t>=NL("Sum","Item Ledger Entry","Quantity","Entry Type","Transfer","Entry No.",I747,"Location Code",$L$7)</t>
  </si>
  <si>
    <t>=NL("Sum","Item Ledger Entry","Quantity","Entry Type","Consumption","Entry No.",I745,"Location Code",$L$7)</t>
  </si>
  <si>
    <t>=NL("Sum","Item Ledger Entry","Quantity","Entry Type","Consumption","Entry No.",I746,"Location Code",$L$7)</t>
  </si>
  <si>
    <t>=NL("Sum","Item Ledger Entry","Quantity","Entry Type","Consumption","Entry No.",I747,"Location Code",$L$7)</t>
  </si>
  <si>
    <t>=NL("Sum","Item Ledger Entry","Quantity","Entry Type","Output","Entry No.",I745,"Location Code",$L$7)</t>
  </si>
  <si>
    <t>=NL("Sum","Item Ledger Entry","Quantity","Entry Type","Output","Entry No.",I746,"Location Code",$L$7)</t>
  </si>
  <si>
    <t>=NL("Sum","Item Ledger Entry","Quantity","Entry Type","Output","Entry No.",I747,"Location Code",$L$7)</t>
  </si>
  <si>
    <t>=NF(G745,"Source Type")</t>
  </si>
  <si>
    <t>=NF(G746,"Source Type")</t>
  </si>
  <si>
    <t>=NF(G747,"Source Type")</t>
  </si>
  <si>
    <t>=NF($G745,"Source No.")</t>
  </si>
  <si>
    <t>=NF($G746,"Source No.")</t>
  </si>
  <si>
    <t>=NF($G747,"Source No.")</t>
  </si>
  <si>
    <t>=NF($G731,"Posting Date")</t>
  </si>
  <si>
    <t>=NF($G732,"Posting Date")</t>
  </si>
  <si>
    <t>=NF($G731,"Entry No.")</t>
  </si>
  <si>
    <t>=NF($G732,"Entry No.")</t>
  </si>
  <si>
    <t>=NL("Sum","Item Ledger Entry","Quantity","Entry Type","Purchase","Entry No.",I731,"Location Code",$L$7)</t>
  </si>
  <si>
    <t>=NL("Sum","Item Ledger Entry","Quantity","Entry Type","Purchase","Entry No.",I732,"Location Code",$L$7)</t>
  </si>
  <si>
    <t>=NL("Sum","Item Ledger Entry","Quantity","Entry Type","Sale","Entry No.",I731,"Location Code",$L$7)</t>
  </si>
  <si>
    <t>=NL("Sum","Item Ledger Entry","Quantity","Entry Type","Sale","Entry No.",I732,"Location Code",$L$7)</t>
  </si>
  <si>
    <t>=NL("Sum","Item Ledger Entry","Quantity","Entry Type","Positive Adjmt.|Negative Adjmt.","Entry No.",I731,"Location Code",$L$7)</t>
  </si>
  <si>
    <t>=NL("Sum","Item Ledger Entry","Quantity","Entry Type","Positive Adjmt.|Negative Adjmt.","Entry No.",I732,"Location Code",$L$7)</t>
  </si>
  <si>
    <t>=NL("Sum","Item Ledger Entry","Quantity","Entry Type","Transfer","Entry No.",I731,"Location Code",$L$7)</t>
  </si>
  <si>
    <t>=NL("Sum","Item Ledger Entry","Quantity","Entry Type","Transfer","Entry No.",I732,"Location Code",$L$7)</t>
  </si>
  <si>
    <t>=NL("Sum","Item Ledger Entry","Quantity","Entry Type","Consumption","Entry No.",I731,"Location Code",$L$7)</t>
  </si>
  <si>
    <t>=NL("Sum","Item Ledger Entry","Quantity","Entry Type","Consumption","Entry No.",I732,"Location Code",$L$7)</t>
  </si>
  <si>
    <t>=NL("Sum","Item Ledger Entry","Quantity","Entry Type","Output","Entry No.",I731,"Location Code",$L$7)</t>
  </si>
  <si>
    <t>=NL("Sum","Item Ledger Entry","Quantity","Entry Type","Output","Entry No.",I732,"Location Code",$L$7)</t>
  </si>
  <si>
    <t>=NF(G731,"Source Type")</t>
  </si>
  <si>
    <t>=NF(G732,"Source Type")</t>
  </si>
  <si>
    <t>=NF($G731,"Source No.")</t>
  </si>
  <si>
    <t>=NF($G732,"Source No.")</t>
  </si>
  <si>
    <t>=NF($G719,"Posting Date")</t>
  </si>
  <si>
    <t>=NF($G719,"Entry No.")</t>
  </si>
  <si>
    <t>=NL("Sum","Item Ledger Entry","Quantity","Entry Type","Purchase","Entry No.",I719,"Location Code",$L$7)</t>
  </si>
  <si>
    <t>=NL("Sum","Item Ledger Entry","Quantity","Entry Type","Sale","Entry No.",I719,"Location Code",$L$7)</t>
  </si>
  <si>
    <t>=NL("Sum","Item Ledger Entry","Quantity","Entry Type","Positive Adjmt.|Negative Adjmt.","Entry No.",I719,"Location Code",$L$7)</t>
  </si>
  <si>
    <t>=NL("Sum","Item Ledger Entry","Quantity","Entry Type","Transfer","Entry No.",I719,"Location Code",$L$7)</t>
  </si>
  <si>
    <t>=NL("Sum","Item Ledger Entry","Quantity","Entry Type","Consumption","Entry No.",I719,"Location Code",$L$7)</t>
  </si>
  <si>
    <t>=NL("Sum","Item Ledger Entry","Quantity","Entry Type","Output","Entry No.",I719,"Location Code",$L$7)</t>
  </si>
  <si>
    <t>=NF(G719,"Source Type")</t>
  </si>
  <si>
    <t>=NF($G719,"Source No.")</t>
  </si>
  <si>
    <t>=NF($G707,"Posting Date")</t>
  </si>
  <si>
    <t>=NF($G708,"Posting Date")</t>
  </si>
  <si>
    <t>=NF($G709,"Posting Date")</t>
  </si>
  <si>
    <t>=NF($G707,"Entry No.")</t>
  </si>
  <si>
    <t>=NF($G708,"Entry No.")</t>
  </si>
  <si>
    <t>=NF($G709,"Entry No.")</t>
  </si>
  <si>
    <t>=NL("Sum","Item Ledger Entry","Quantity","Entry Type","Purchase","Entry No.",I707,"Location Code",$L$7)</t>
  </si>
  <si>
    <t>=NL("Sum","Item Ledger Entry","Quantity","Entry Type","Purchase","Entry No.",I708,"Location Code",$L$7)</t>
  </si>
  <si>
    <t>=NL("Sum","Item Ledger Entry","Quantity","Entry Type","Purchase","Entry No.",I709,"Location Code",$L$7)</t>
  </si>
  <si>
    <t>=NL("Sum","Item Ledger Entry","Quantity","Entry Type","Sale","Entry No.",I707,"Location Code",$L$7)</t>
  </si>
  <si>
    <t>=NL("Sum","Item Ledger Entry","Quantity","Entry Type","Sale","Entry No.",I708,"Location Code",$L$7)</t>
  </si>
  <si>
    <t>=NL("Sum","Item Ledger Entry","Quantity","Entry Type","Sale","Entry No.",I709,"Location Code",$L$7)</t>
  </si>
  <si>
    <t>=NL("Sum","Item Ledger Entry","Quantity","Entry Type","Positive Adjmt.|Negative Adjmt.","Entry No.",I707,"Location Code",$L$7)</t>
  </si>
  <si>
    <t>=NL("Sum","Item Ledger Entry","Quantity","Entry Type","Positive Adjmt.|Negative Adjmt.","Entry No.",I708,"Location Code",$L$7)</t>
  </si>
  <si>
    <t>=NL("Sum","Item Ledger Entry","Quantity","Entry Type","Positive Adjmt.|Negative Adjmt.","Entry No.",I709,"Location Code",$L$7)</t>
  </si>
  <si>
    <t>=NL("Sum","Item Ledger Entry","Quantity","Entry Type","Transfer","Entry No.",I707,"Location Code",$L$7)</t>
  </si>
  <si>
    <t>=NL("Sum","Item Ledger Entry","Quantity","Entry Type","Transfer","Entry No.",I708,"Location Code",$L$7)</t>
  </si>
  <si>
    <t>=NL("Sum","Item Ledger Entry","Quantity","Entry Type","Transfer","Entry No.",I709,"Location Code",$L$7)</t>
  </si>
  <si>
    <t>=NL("Sum","Item Ledger Entry","Quantity","Entry Type","Consumption","Entry No.",I707,"Location Code",$L$7)</t>
  </si>
  <si>
    <t>=NL("Sum","Item Ledger Entry","Quantity","Entry Type","Consumption","Entry No.",I708,"Location Code",$L$7)</t>
  </si>
  <si>
    <t>=NL("Sum","Item Ledger Entry","Quantity","Entry Type","Consumption","Entry No.",I709,"Location Code",$L$7)</t>
  </si>
  <si>
    <t>=NL("Sum","Item Ledger Entry","Quantity","Entry Type","Output","Entry No.",I707,"Location Code",$L$7)</t>
  </si>
  <si>
    <t>=NL("Sum","Item Ledger Entry","Quantity","Entry Type","Output","Entry No.",I708,"Location Code",$L$7)</t>
  </si>
  <si>
    <t>=NL("Sum","Item Ledger Entry","Quantity","Entry Type","Output","Entry No.",I709,"Location Code",$L$7)</t>
  </si>
  <si>
    <t>=NF(G707,"Source Type")</t>
  </si>
  <si>
    <t>=NF(G708,"Source Type")</t>
  </si>
  <si>
    <t>=NF(G709,"Source Type")</t>
  </si>
  <si>
    <t>=NF($G707,"Source No.")</t>
  </si>
  <si>
    <t>=NF($G708,"Source No.")</t>
  </si>
  <si>
    <t>=NF($G709,"Source No.")</t>
  </si>
  <si>
    <t>=NF($G695,"Posting Date")</t>
  </si>
  <si>
    <t>=NF($G696,"Posting Date")</t>
  </si>
  <si>
    <t>=NF($G697,"Posting Date")</t>
  </si>
  <si>
    <t>=NF($G695,"Entry No.")</t>
  </si>
  <si>
    <t>=NF($G696,"Entry No.")</t>
  </si>
  <si>
    <t>=NF($G697,"Entry No.")</t>
  </si>
  <si>
    <t>=NL("Sum","Item Ledger Entry","Quantity","Entry Type","Purchase","Entry No.",I695,"Location Code",$L$7)</t>
  </si>
  <si>
    <t>=NL("Sum","Item Ledger Entry","Quantity","Entry Type","Purchase","Entry No.",I696,"Location Code",$L$7)</t>
  </si>
  <si>
    <t>=NL("Sum","Item Ledger Entry","Quantity","Entry Type","Purchase","Entry No.",I697,"Location Code",$L$7)</t>
  </si>
  <si>
    <t>=NL("Sum","Item Ledger Entry","Quantity","Entry Type","Sale","Entry No.",I695,"Location Code",$L$7)</t>
  </si>
  <si>
    <t>=NL("Sum","Item Ledger Entry","Quantity","Entry Type","Sale","Entry No.",I696,"Location Code",$L$7)</t>
  </si>
  <si>
    <t>=NL("Sum","Item Ledger Entry","Quantity","Entry Type","Sale","Entry No.",I697,"Location Code",$L$7)</t>
  </si>
  <si>
    <t>=NL("Sum","Item Ledger Entry","Quantity","Entry Type","Positive Adjmt.|Negative Adjmt.","Entry No.",I695,"Location Code",$L$7)</t>
  </si>
  <si>
    <t>=NL("Sum","Item Ledger Entry","Quantity","Entry Type","Positive Adjmt.|Negative Adjmt.","Entry No.",I696,"Location Code",$L$7)</t>
  </si>
  <si>
    <t>=NL("Sum","Item Ledger Entry","Quantity","Entry Type","Positive Adjmt.|Negative Adjmt.","Entry No.",I697,"Location Code",$L$7)</t>
  </si>
  <si>
    <t>=NL("Sum","Item Ledger Entry","Quantity","Entry Type","Transfer","Entry No.",I695,"Location Code",$L$7)</t>
  </si>
  <si>
    <t>=NL("Sum","Item Ledger Entry","Quantity","Entry Type","Transfer","Entry No.",I696,"Location Code",$L$7)</t>
  </si>
  <si>
    <t>=NL("Sum","Item Ledger Entry","Quantity","Entry Type","Transfer","Entry No.",I697,"Location Code",$L$7)</t>
  </si>
  <si>
    <t>=NL("Sum","Item Ledger Entry","Quantity","Entry Type","Consumption","Entry No.",I695,"Location Code",$L$7)</t>
  </si>
  <si>
    <t>=NL("Sum","Item Ledger Entry","Quantity","Entry Type","Consumption","Entry No.",I696,"Location Code",$L$7)</t>
  </si>
  <si>
    <t>=NL("Sum","Item Ledger Entry","Quantity","Entry Type","Consumption","Entry No.",I697,"Location Code",$L$7)</t>
  </si>
  <si>
    <t>=NL("Sum","Item Ledger Entry","Quantity","Entry Type","Output","Entry No.",I695,"Location Code",$L$7)</t>
  </si>
  <si>
    <t>=NL("Sum","Item Ledger Entry","Quantity","Entry Type","Output","Entry No.",I696,"Location Code",$L$7)</t>
  </si>
  <si>
    <t>=NL("Sum","Item Ledger Entry","Quantity","Entry Type","Output","Entry No.",I697,"Location Code",$L$7)</t>
  </si>
  <si>
    <t>=NF(G695,"Source Type")</t>
  </si>
  <si>
    <t>=NF(G696,"Source Type")</t>
  </si>
  <si>
    <t>=NF(G697,"Source Type")</t>
  </si>
  <si>
    <t>=NF($G695,"Source No.")</t>
  </si>
  <si>
    <t>=NF($G696,"Source No.")</t>
  </si>
  <si>
    <t>=NF($G697,"Source No.")</t>
  </si>
  <si>
    <t>=NF($G683,"Posting Date")</t>
  </si>
  <si>
    <t>=NF($G683,"Entry No.")</t>
  </si>
  <si>
    <t>=NL("Sum","Item Ledger Entry","Quantity","Entry Type","Purchase","Entry No.",I683,"Location Code",$L$7)</t>
  </si>
  <si>
    <t>=NL("Sum","Item Ledger Entry","Quantity","Entry Type","Sale","Entry No.",I683,"Location Code",$L$7)</t>
  </si>
  <si>
    <t>=NL("Sum","Item Ledger Entry","Quantity","Entry Type","Positive Adjmt.|Negative Adjmt.","Entry No.",I683,"Location Code",$L$7)</t>
  </si>
  <si>
    <t>=NL("Sum","Item Ledger Entry","Quantity","Entry Type","Transfer","Entry No.",I683,"Location Code",$L$7)</t>
  </si>
  <si>
    <t>=NL("Sum","Item Ledger Entry","Quantity","Entry Type","Consumption","Entry No.",I683,"Location Code",$L$7)</t>
  </si>
  <si>
    <t>=NL("Sum","Item Ledger Entry","Quantity","Entry Type","Output","Entry No.",I683,"Location Code",$L$7)</t>
  </si>
  <si>
    <t>=NF(G683,"Source Type")</t>
  </si>
  <si>
    <t>=NF($G683,"Source No.")</t>
  </si>
  <si>
    <t>=NF($G674,"Posting Date")</t>
  </si>
  <si>
    <t>=NF($G675,"Posting Date")</t>
  </si>
  <si>
    <t>=NF($G676,"Posting Date")</t>
  </si>
  <si>
    <t>=NF($G674,"Entry No.")</t>
  </si>
  <si>
    <t>=NF($G675,"Entry No.")</t>
  </si>
  <si>
    <t>=NF($G676,"Entry No.")</t>
  </si>
  <si>
    <t>=NL("Sum","Item Ledger Entry","Quantity","Entry Type","Purchase","Entry No.",I674,"Location Code",$L$7)</t>
  </si>
  <si>
    <t>=NL("Sum","Item Ledger Entry","Quantity","Entry Type","Purchase","Entry No.",I675,"Location Code",$L$7)</t>
  </si>
  <si>
    <t>=NL("Sum","Item Ledger Entry","Quantity","Entry Type","Purchase","Entry No.",I676,"Location Code",$L$7)</t>
  </si>
  <si>
    <t>=NL("Sum","Item Ledger Entry","Quantity","Entry Type","Sale","Entry No.",I674,"Location Code",$L$7)</t>
  </si>
  <si>
    <t>=NL("Sum","Item Ledger Entry","Quantity","Entry Type","Sale","Entry No.",I675,"Location Code",$L$7)</t>
  </si>
  <si>
    <t>=NL("Sum","Item Ledger Entry","Quantity","Entry Type","Sale","Entry No.",I676,"Location Code",$L$7)</t>
  </si>
  <si>
    <t>=NL("Sum","Item Ledger Entry","Quantity","Entry Type","Positive Adjmt.|Negative Adjmt.","Entry No.",I674,"Location Code",$L$7)</t>
  </si>
  <si>
    <t>=NL("Sum","Item Ledger Entry","Quantity","Entry Type","Positive Adjmt.|Negative Adjmt.","Entry No.",I675,"Location Code",$L$7)</t>
  </si>
  <si>
    <t>=NL("Sum","Item Ledger Entry","Quantity","Entry Type","Positive Adjmt.|Negative Adjmt.","Entry No.",I676,"Location Code",$L$7)</t>
  </si>
  <si>
    <t>=NL("Sum","Item Ledger Entry","Quantity","Entry Type","Transfer","Entry No.",I674,"Location Code",$L$7)</t>
  </si>
  <si>
    <t>=NL("Sum","Item Ledger Entry","Quantity","Entry Type","Transfer","Entry No.",I675,"Location Code",$L$7)</t>
  </si>
  <si>
    <t>=NL("Sum","Item Ledger Entry","Quantity","Entry Type","Transfer","Entry No.",I676,"Location Code",$L$7)</t>
  </si>
  <si>
    <t>=NL("Sum","Item Ledger Entry","Quantity","Entry Type","Consumption","Entry No.",I674,"Location Code",$L$7)</t>
  </si>
  <si>
    <t>=NL("Sum","Item Ledger Entry","Quantity","Entry Type","Consumption","Entry No.",I675,"Location Code",$L$7)</t>
  </si>
  <si>
    <t>=NL("Sum","Item Ledger Entry","Quantity","Entry Type","Consumption","Entry No.",I676,"Location Code",$L$7)</t>
  </si>
  <si>
    <t>=NL("Sum","Item Ledger Entry","Quantity","Entry Type","Output","Entry No.",I674,"Location Code",$L$7)</t>
  </si>
  <si>
    <t>=NL("Sum","Item Ledger Entry","Quantity","Entry Type","Output","Entry No.",I675,"Location Code",$L$7)</t>
  </si>
  <si>
    <t>=NL("Sum","Item Ledger Entry","Quantity","Entry Type","Output","Entry No.",I676,"Location Code",$L$7)</t>
  </si>
  <si>
    <t>=NF(G674,"Source Type")</t>
  </si>
  <si>
    <t>=NF(G675,"Source Type")</t>
  </si>
  <si>
    <t>=NF(G676,"Source Type")</t>
  </si>
  <si>
    <t>=NF($G674,"Source No.")</t>
  </si>
  <si>
    <t>=NF($G675,"Source No.")</t>
  </si>
  <si>
    <t>=NF($G676,"Source No.")</t>
  </si>
  <si>
    <t>=NF($G661,"Posting Date")</t>
  </si>
  <si>
    <t>=NF($G662,"Posting Date")</t>
  </si>
  <si>
    <t>=NF($G663,"Posting Date")</t>
  </si>
  <si>
    <t>=NF($G661,"Entry No.")</t>
  </si>
  <si>
    <t>=NF($G662,"Entry No.")</t>
  </si>
  <si>
    <t>=NF($G663,"Entry No.")</t>
  </si>
  <si>
    <t>=NL("Sum","Item Ledger Entry","Quantity","Entry Type","Purchase","Entry No.",I661,"Location Code",$L$7)</t>
  </si>
  <si>
    <t>=NL("Sum","Item Ledger Entry","Quantity","Entry Type","Purchase","Entry No.",I662,"Location Code",$L$7)</t>
  </si>
  <si>
    <t>=NL("Sum","Item Ledger Entry","Quantity","Entry Type","Purchase","Entry No.",I663,"Location Code",$L$7)</t>
  </si>
  <si>
    <t>=NL("Sum","Item Ledger Entry","Quantity","Entry Type","Sale","Entry No.",I661,"Location Code",$L$7)</t>
  </si>
  <si>
    <t>=NL("Sum","Item Ledger Entry","Quantity","Entry Type","Sale","Entry No.",I662,"Location Code",$L$7)</t>
  </si>
  <si>
    <t>=NL("Sum","Item Ledger Entry","Quantity","Entry Type","Sale","Entry No.",I663,"Location Code",$L$7)</t>
  </si>
  <si>
    <t>=NL("Sum","Item Ledger Entry","Quantity","Entry Type","Positive Adjmt.|Negative Adjmt.","Entry No.",I661,"Location Code",$L$7)</t>
  </si>
  <si>
    <t>=NL("Sum","Item Ledger Entry","Quantity","Entry Type","Positive Adjmt.|Negative Adjmt.","Entry No.",I662,"Location Code",$L$7)</t>
  </si>
  <si>
    <t>=NL("Sum","Item Ledger Entry","Quantity","Entry Type","Positive Adjmt.|Negative Adjmt.","Entry No.",I663,"Location Code",$L$7)</t>
  </si>
  <si>
    <t>=NL("Sum","Item Ledger Entry","Quantity","Entry Type","Transfer","Entry No.",I661,"Location Code",$L$7)</t>
  </si>
  <si>
    <t>=NL("Sum","Item Ledger Entry","Quantity","Entry Type","Transfer","Entry No.",I662,"Location Code",$L$7)</t>
  </si>
  <si>
    <t>=NL("Sum","Item Ledger Entry","Quantity","Entry Type","Transfer","Entry No.",I663,"Location Code",$L$7)</t>
  </si>
  <si>
    <t>=NL("Sum","Item Ledger Entry","Quantity","Entry Type","Consumption","Entry No.",I661,"Location Code",$L$7)</t>
  </si>
  <si>
    <t>=NL("Sum","Item Ledger Entry","Quantity","Entry Type","Consumption","Entry No.",I662,"Location Code",$L$7)</t>
  </si>
  <si>
    <t>=NL("Sum","Item Ledger Entry","Quantity","Entry Type","Consumption","Entry No.",I663,"Location Code",$L$7)</t>
  </si>
  <si>
    <t>=NL("Sum","Item Ledger Entry","Quantity","Entry Type","Output","Entry No.",I661,"Location Code",$L$7)</t>
  </si>
  <si>
    <t>=NL("Sum","Item Ledger Entry","Quantity","Entry Type","Output","Entry No.",I662,"Location Code",$L$7)</t>
  </si>
  <si>
    <t>=NL("Sum","Item Ledger Entry","Quantity","Entry Type","Output","Entry No.",I663,"Location Code",$L$7)</t>
  </si>
  <si>
    <t>=NF(G661,"Source Type")</t>
  </si>
  <si>
    <t>=NF(G662,"Source Type")</t>
  </si>
  <si>
    <t>=NF(G663,"Source Type")</t>
  </si>
  <si>
    <t>=NF($G661,"Source No.")</t>
  </si>
  <si>
    <t>=NF($G662,"Source No.")</t>
  </si>
  <si>
    <t>=NF($G663,"Source No.")</t>
  </si>
  <si>
    <t>=NF($G643,"Posting Date")</t>
  </si>
  <si>
    <t>=NF($G644,"Posting Date")</t>
  </si>
  <si>
    <t>=NF($G645,"Posting Date")</t>
  </si>
  <si>
    <t>=NF($G643,"Entry No.")</t>
  </si>
  <si>
    <t>=NF($G644,"Entry No.")</t>
  </si>
  <si>
    <t>=NF($G645,"Entry No.")</t>
  </si>
  <si>
    <t>=NL("Sum","Item Ledger Entry","Quantity","Entry Type","Purchase","Entry No.",I643,"Location Code",$L$7)</t>
  </si>
  <si>
    <t>=NL("Sum","Item Ledger Entry","Quantity","Entry Type","Purchase","Entry No.",I644,"Location Code",$L$7)</t>
  </si>
  <si>
    <t>=NL("Sum","Item Ledger Entry","Quantity","Entry Type","Purchase","Entry No.",I645,"Location Code",$L$7)</t>
  </si>
  <si>
    <t>=NL("Sum","Item Ledger Entry","Quantity","Entry Type","Sale","Entry No.",I643,"Location Code",$L$7)</t>
  </si>
  <si>
    <t>=NL("Sum","Item Ledger Entry","Quantity","Entry Type","Sale","Entry No.",I644,"Location Code",$L$7)</t>
  </si>
  <si>
    <t>=NL("Sum","Item Ledger Entry","Quantity","Entry Type","Sale","Entry No.",I645,"Location Code",$L$7)</t>
  </si>
  <si>
    <t>=NL("Sum","Item Ledger Entry","Quantity","Entry Type","Positive Adjmt.|Negative Adjmt.","Entry No.",I643,"Location Code",$L$7)</t>
  </si>
  <si>
    <t>=NL("Sum","Item Ledger Entry","Quantity","Entry Type","Positive Adjmt.|Negative Adjmt.","Entry No.",I644,"Location Code",$L$7)</t>
  </si>
  <si>
    <t>=NL("Sum","Item Ledger Entry","Quantity","Entry Type","Positive Adjmt.|Negative Adjmt.","Entry No.",I645,"Location Code",$L$7)</t>
  </si>
  <si>
    <t>=NL("Sum","Item Ledger Entry","Quantity","Entry Type","Transfer","Entry No.",I643,"Location Code",$L$7)</t>
  </si>
  <si>
    <t>=NL("Sum","Item Ledger Entry","Quantity","Entry Type","Transfer","Entry No.",I644,"Location Code",$L$7)</t>
  </si>
  <si>
    <t>=NL("Sum","Item Ledger Entry","Quantity","Entry Type","Transfer","Entry No.",I645,"Location Code",$L$7)</t>
  </si>
  <si>
    <t>=NL("Sum","Item Ledger Entry","Quantity","Entry Type","Consumption","Entry No.",I643,"Location Code",$L$7)</t>
  </si>
  <si>
    <t>=NL("Sum","Item Ledger Entry","Quantity","Entry Type","Consumption","Entry No.",I644,"Location Code",$L$7)</t>
  </si>
  <si>
    <t>=NL("Sum","Item Ledger Entry","Quantity","Entry Type","Consumption","Entry No.",I645,"Location Code",$L$7)</t>
  </si>
  <si>
    <t>=NL("Sum","Item Ledger Entry","Quantity","Entry Type","Output","Entry No.",I643,"Location Code",$L$7)</t>
  </si>
  <si>
    <t>=NL("Sum","Item Ledger Entry","Quantity","Entry Type","Output","Entry No.",I644,"Location Code",$L$7)</t>
  </si>
  <si>
    <t>=NL("Sum","Item Ledger Entry","Quantity","Entry Type","Output","Entry No.",I645,"Location Code",$L$7)</t>
  </si>
  <si>
    <t>=NF(G643,"Source Type")</t>
  </si>
  <si>
    <t>=NF(G644,"Source Type")</t>
  </si>
  <si>
    <t>=NF(G645,"Source Type")</t>
  </si>
  <si>
    <t>=NF($G643,"Source No.")</t>
  </si>
  <si>
    <t>=NF($G644,"Source No.")</t>
  </si>
  <si>
    <t>=NF($G645,"Source No.")</t>
  </si>
  <si>
    <t>=NF($G617,"Posting Date")</t>
  </si>
  <si>
    <t>=NF($G627,"Posting Date")</t>
  </si>
  <si>
    <t>=NF($G617,"Entry No.")</t>
  </si>
  <si>
    <t>=NF($G627,"Entry No.")</t>
  </si>
  <si>
    <t>=NL("Sum","Item Ledger Entry","Quantity","Entry Type","Purchase","Entry No.",I617,"Location Code",$L$7)</t>
  </si>
  <si>
    <t>=NL("Sum","Item Ledger Entry","Quantity","Entry Type","Purchase","Entry No.",I627,"Location Code",$L$7)</t>
  </si>
  <si>
    <t>=NL("Sum","Item Ledger Entry","Quantity","Entry Type","Sale","Entry No.",I617,"Location Code",$L$7)</t>
  </si>
  <si>
    <t>=NL("Sum","Item Ledger Entry","Quantity","Entry Type","Sale","Entry No.",I627,"Location Code",$L$7)</t>
  </si>
  <si>
    <t>=NL("Sum","Item Ledger Entry","Quantity","Entry Type","Positive Adjmt.|Negative Adjmt.","Entry No.",I617,"Location Code",$L$7)</t>
  </si>
  <si>
    <t>=NL("Sum","Item Ledger Entry","Quantity","Entry Type","Positive Adjmt.|Negative Adjmt.","Entry No.",I627,"Location Code",$L$7)</t>
  </si>
  <si>
    <t>=NL("Sum","Item Ledger Entry","Quantity","Entry Type","Transfer","Entry No.",I617,"Location Code",$L$7)</t>
  </si>
  <si>
    <t>=NL("Sum","Item Ledger Entry","Quantity","Entry Type","Transfer","Entry No.",I627,"Location Code",$L$7)</t>
  </si>
  <si>
    <t>=NL("Sum","Item Ledger Entry","Quantity","Entry Type","Consumption","Entry No.",I617,"Location Code",$L$7)</t>
  </si>
  <si>
    <t>=NL("Sum","Item Ledger Entry","Quantity","Entry Type","Consumption","Entry No.",I627,"Location Code",$L$7)</t>
  </si>
  <si>
    <t>=NL("Sum","Item Ledger Entry","Quantity","Entry Type","Output","Entry No.",I617,"Location Code",$L$7)</t>
  </si>
  <si>
    <t>=NL("Sum","Item Ledger Entry","Quantity","Entry Type","Output","Entry No.",I627,"Location Code",$L$7)</t>
  </si>
  <si>
    <t>=NF(G617,"Source Type")</t>
  </si>
  <si>
    <t>=NF(G627,"Source Type")</t>
  </si>
  <si>
    <t>=NF($G617,"Source No.")</t>
  </si>
  <si>
    <t>=NF($G627,"Source No.")</t>
  </si>
  <si>
    <t>=NF($G600,"Posting Date")</t>
  </si>
  <si>
    <t>=NF($G601,"Posting Date")</t>
  </si>
  <si>
    <t>=NF($G600,"Entry No.")</t>
  </si>
  <si>
    <t>=NF($G601,"Entry No.")</t>
  </si>
  <si>
    <t>=NL("Sum","Item Ledger Entry","Quantity","Entry Type","Purchase","Entry No.",I600,"Location Code",$L$7)</t>
  </si>
  <si>
    <t>=NL("Sum","Item Ledger Entry","Quantity","Entry Type","Purchase","Entry No.",I601,"Location Code",$L$7)</t>
  </si>
  <si>
    <t>=NL("Sum","Item Ledger Entry","Quantity","Entry Type","Sale","Entry No.",I600,"Location Code",$L$7)</t>
  </si>
  <si>
    <t>=NL("Sum","Item Ledger Entry","Quantity","Entry Type","Sale","Entry No.",I601,"Location Code",$L$7)</t>
  </si>
  <si>
    <t>=NL("Sum","Item Ledger Entry","Quantity","Entry Type","Positive Adjmt.|Negative Adjmt.","Entry No.",I600,"Location Code",$L$7)</t>
  </si>
  <si>
    <t>=NL("Sum","Item Ledger Entry","Quantity","Entry Type","Positive Adjmt.|Negative Adjmt.","Entry No.",I601,"Location Code",$L$7)</t>
  </si>
  <si>
    <t>=NL("Sum","Item Ledger Entry","Quantity","Entry Type","Transfer","Entry No.",I600,"Location Code",$L$7)</t>
  </si>
  <si>
    <t>=NL("Sum","Item Ledger Entry","Quantity","Entry Type","Transfer","Entry No.",I601,"Location Code",$L$7)</t>
  </si>
  <si>
    <t>=NL("Sum","Item Ledger Entry","Quantity","Entry Type","Consumption","Entry No.",I600,"Location Code",$L$7)</t>
  </si>
  <si>
    <t>=NL("Sum","Item Ledger Entry","Quantity","Entry Type","Consumption","Entry No.",I601,"Location Code",$L$7)</t>
  </si>
  <si>
    <t>=NL("Sum","Item Ledger Entry","Quantity","Entry Type","Output","Entry No.",I600,"Location Code",$L$7)</t>
  </si>
  <si>
    <t>=NL("Sum","Item Ledger Entry","Quantity","Entry Type","Output","Entry No.",I601,"Location Code",$L$7)</t>
  </si>
  <si>
    <t>=NF(G600,"Source Type")</t>
  </si>
  <si>
    <t>=NF(G601,"Source Type")</t>
  </si>
  <si>
    <t>=NF($G600,"Source No.")</t>
  </si>
  <si>
    <t>=NF($G601,"Source No.")</t>
  </si>
  <si>
    <t>=NF($G579,"Posting Date")</t>
  </si>
  <si>
    <t>=NF($G587,"Posting Date")</t>
  </si>
  <si>
    <t>=NF($G588,"Posting Date")</t>
  </si>
  <si>
    <t>=NF($G589,"Posting Date")</t>
  </si>
  <si>
    <t>=NF($G579,"Entry No.")</t>
  </si>
  <si>
    <t>=NF($G587,"Entry No.")</t>
  </si>
  <si>
    <t>=NF($G588,"Entry No.")</t>
  </si>
  <si>
    <t>=NF($G589,"Entry No.")</t>
  </si>
  <si>
    <t>=NL("Sum","Item Ledger Entry","Quantity","Entry Type","Purchase","Entry No.",I579,"Location Code",$L$7)</t>
  </si>
  <si>
    <t>=NL("Sum","Item Ledger Entry","Quantity","Entry Type","Purchase","Entry No.",I587,"Location Code",$L$7)</t>
  </si>
  <si>
    <t>=NL("Sum","Item Ledger Entry","Quantity","Entry Type","Purchase","Entry No.",I588,"Location Code",$L$7)</t>
  </si>
  <si>
    <t>=NL("Sum","Item Ledger Entry","Quantity","Entry Type","Purchase","Entry No.",I589,"Location Code",$L$7)</t>
  </si>
  <si>
    <t>=NL("Sum","Item Ledger Entry","Quantity","Entry Type","Sale","Entry No.",I579,"Location Code",$L$7)</t>
  </si>
  <si>
    <t>=NL("Sum","Item Ledger Entry","Quantity","Entry Type","Sale","Entry No.",I587,"Location Code",$L$7)</t>
  </si>
  <si>
    <t>=NL("Sum","Item Ledger Entry","Quantity","Entry Type","Sale","Entry No.",I588,"Location Code",$L$7)</t>
  </si>
  <si>
    <t>=NL("Sum","Item Ledger Entry","Quantity","Entry Type","Sale","Entry No.",I589,"Location Code",$L$7)</t>
  </si>
  <si>
    <t>=NL("Sum","Item Ledger Entry","Quantity","Entry Type","Positive Adjmt.|Negative Adjmt.","Entry No.",I579,"Location Code",$L$7)</t>
  </si>
  <si>
    <t>=NL("Sum","Item Ledger Entry","Quantity","Entry Type","Positive Adjmt.|Negative Adjmt.","Entry No.",I587,"Location Code",$L$7)</t>
  </si>
  <si>
    <t>=NL("Sum","Item Ledger Entry","Quantity","Entry Type","Positive Adjmt.|Negative Adjmt.","Entry No.",I588,"Location Code",$L$7)</t>
  </si>
  <si>
    <t>=NL("Sum","Item Ledger Entry","Quantity","Entry Type","Positive Adjmt.|Negative Adjmt.","Entry No.",I589,"Location Code",$L$7)</t>
  </si>
  <si>
    <t>=NL("Sum","Item Ledger Entry","Quantity","Entry Type","Transfer","Entry No.",I579,"Location Code",$L$7)</t>
  </si>
  <si>
    <t>=NL("Sum","Item Ledger Entry","Quantity","Entry Type","Transfer","Entry No.",I587,"Location Code",$L$7)</t>
  </si>
  <si>
    <t>=NL("Sum","Item Ledger Entry","Quantity","Entry Type","Transfer","Entry No.",I588,"Location Code",$L$7)</t>
  </si>
  <si>
    <t>=NL("Sum","Item Ledger Entry","Quantity","Entry Type","Transfer","Entry No.",I589,"Location Code",$L$7)</t>
  </si>
  <si>
    <t>=NL("Sum","Item Ledger Entry","Quantity","Entry Type","Consumption","Entry No.",I579,"Location Code",$L$7)</t>
  </si>
  <si>
    <t>=NL("Sum","Item Ledger Entry","Quantity","Entry Type","Consumption","Entry No.",I587,"Location Code",$L$7)</t>
  </si>
  <si>
    <t>=NL("Sum","Item Ledger Entry","Quantity","Entry Type","Consumption","Entry No.",I588,"Location Code",$L$7)</t>
  </si>
  <si>
    <t>=NL("Sum","Item Ledger Entry","Quantity","Entry Type","Consumption","Entry No.",I589,"Location Code",$L$7)</t>
  </si>
  <si>
    <t>=NL("Sum","Item Ledger Entry","Quantity","Entry Type","Output","Entry No.",I579,"Location Code",$L$7)</t>
  </si>
  <si>
    <t>=NL("Sum","Item Ledger Entry","Quantity","Entry Type","Output","Entry No.",I587,"Location Code",$L$7)</t>
  </si>
  <si>
    <t>=NL("Sum","Item Ledger Entry","Quantity","Entry Type","Output","Entry No.",I588,"Location Code",$L$7)</t>
  </si>
  <si>
    <t>=NL("Sum","Item Ledger Entry","Quantity","Entry Type","Output","Entry No.",I589,"Location Code",$L$7)</t>
  </si>
  <si>
    <t>=NF(G579,"Source Type")</t>
  </si>
  <si>
    <t>=NF(G587,"Source Type")</t>
  </si>
  <si>
    <t>=NF(G588,"Source Type")</t>
  </si>
  <si>
    <t>=NF(G589,"Source Type")</t>
  </si>
  <si>
    <t>=NF($G579,"Source No.")</t>
  </si>
  <si>
    <t>=NF($G587,"Source No.")</t>
  </si>
  <si>
    <t>=NF($G588,"Source No.")</t>
  </si>
  <si>
    <t>=NF($G589,"Source No.")</t>
  </si>
  <si>
    <t>=NF($G565,"Posting Date")</t>
  </si>
  <si>
    <t>=NF($G566,"Posting Date")</t>
  </si>
  <si>
    <t>=NF($G565,"Entry No.")</t>
  </si>
  <si>
    <t>=NF($G566,"Entry No.")</t>
  </si>
  <si>
    <t>=NL("Sum","Item Ledger Entry","Quantity","Entry Type","Purchase","Entry No.",I565,"Location Code",$L$7)</t>
  </si>
  <si>
    <t>=NL("Sum","Item Ledger Entry","Quantity","Entry Type","Purchase","Entry No.",I566,"Location Code",$L$7)</t>
  </si>
  <si>
    <t>=NL("Sum","Item Ledger Entry","Quantity","Entry Type","Sale","Entry No.",I565,"Location Code",$L$7)</t>
  </si>
  <si>
    <t>=NL("Sum","Item Ledger Entry","Quantity","Entry Type","Sale","Entry No.",I566,"Location Code",$L$7)</t>
  </si>
  <si>
    <t>=NL("Sum","Item Ledger Entry","Quantity","Entry Type","Positive Adjmt.|Negative Adjmt.","Entry No.",I565,"Location Code",$L$7)</t>
  </si>
  <si>
    <t>=NL("Sum","Item Ledger Entry","Quantity","Entry Type","Positive Adjmt.|Negative Adjmt.","Entry No.",I566,"Location Code",$L$7)</t>
  </si>
  <si>
    <t>=NL("Sum","Item Ledger Entry","Quantity","Entry Type","Transfer","Entry No.",I565,"Location Code",$L$7)</t>
  </si>
  <si>
    <t>=NL("Sum","Item Ledger Entry","Quantity","Entry Type","Transfer","Entry No.",I566,"Location Code",$L$7)</t>
  </si>
  <si>
    <t>=NL("Sum","Item Ledger Entry","Quantity","Entry Type","Consumption","Entry No.",I565,"Location Code",$L$7)</t>
  </si>
  <si>
    <t>=NL("Sum","Item Ledger Entry","Quantity","Entry Type","Consumption","Entry No.",I566,"Location Code",$L$7)</t>
  </si>
  <si>
    <t>=NL("Sum","Item Ledger Entry","Quantity","Entry Type","Output","Entry No.",I565,"Location Code",$L$7)</t>
  </si>
  <si>
    <t>=NL("Sum","Item Ledger Entry","Quantity","Entry Type","Output","Entry No.",I566,"Location Code",$L$7)</t>
  </si>
  <si>
    <t>=NF(G565,"Source Type")</t>
  </si>
  <si>
    <t>=NF(G566,"Source Type")</t>
  </si>
  <si>
    <t>=NF($G565,"Source No.")</t>
  </si>
  <si>
    <t>=NF($G566,"Source No.")</t>
  </si>
  <si>
    <t>=NF($G528,"Posting Date")</t>
  </si>
  <si>
    <t>=NF($G529,"Posting Date")</t>
  </si>
  <si>
    <t>=NF($G530,"Posting Date")</t>
  </si>
  <si>
    <t>=NF($G540,"Posting Date")</t>
  </si>
  <si>
    <t>=NF($G541,"Posting Date")</t>
  </si>
  <si>
    <t>=NF($G542,"Posting Date")</t>
  </si>
  <si>
    <t>=NF($G528,"Entry No.")</t>
  </si>
  <si>
    <t>=NF($G529,"Entry No.")</t>
  </si>
  <si>
    <t>=NF($G530,"Entry No.")</t>
  </si>
  <si>
    <t>=NF($G540,"Entry No.")</t>
  </si>
  <si>
    <t>=NF($G541,"Entry No.")</t>
  </si>
  <si>
    <t>=NF($G542,"Entry No.")</t>
  </si>
  <si>
    <t>=NL("Sum","Item Ledger Entry","Quantity","Entry Type","Purchase","Entry No.",I528,"Location Code",$L$7)</t>
  </si>
  <si>
    <t>=NL("Sum","Item Ledger Entry","Quantity","Entry Type","Purchase","Entry No.",I529,"Location Code",$L$7)</t>
  </si>
  <si>
    <t>=NL("Sum","Item Ledger Entry","Quantity","Entry Type","Purchase","Entry No.",I530,"Location Code",$L$7)</t>
  </si>
  <si>
    <t>=NL("Sum","Item Ledger Entry","Quantity","Entry Type","Purchase","Entry No.",I540,"Location Code",$L$7)</t>
  </si>
  <si>
    <t>=NL("Sum","Item Ledger Entry","Quantity","Entry Type","Purchase","Entry No.",I541,"Location Code",$L$7)</t>
  </si>
  <si>
    <t>=NL("Sum","Item Ledger Entry","Quantity","Entry Type","Purchase","Entry No.",I542,"Location Code",$L$7)</t>
  </si>
  <si>
    <t>=NL("Sum","Item Ledger Entry","Quantity","Entry Type","Sale","Entry No.",I528,"Location Code",$L$7)</t>
  </si>
  <si>
    <t>=NL("Sum","Item Ledger Entry","Quantity","Entry Type","Sale","Entry No.",I529,"Location Code",$L$7)</t>
  </si>
  <si>
    <t>=NL("Sum","Item Ledger Entry","Quantity","Entry Type","Sale","Entry No.",I530,"Location Code",$L$7)</t>
  </si>
  <si>
    <t>=NL("Sum","Item Ledger Entry","Quantity","Entry Type","Sale","Entry No.",I540,"Location Code",$L$7)</t>
  </si>
  <si>
    <t>=NL("Sum","Item Ledger Entry","Quantity","Entry Type","Sale","Entry No.",I541,"Location Code",$L$7)</t>
  </si>
  <si>
    <t>=NL("Sum","Item Ledger Entry","Quantity","Entry Type","Sale","Entry No.",I542,"Location Code",$L$7)</t>
  </si>
  <si>
    <t>=NL("Sum","Item Ledger Entry","Quantity","Entry Type","Positive Adjmt.|Negative Adjmt.","Entry No.",I528,"Location Code",$L$7)</t>
  </si>
  <si>
    <t>=NL("Sum","Item Ledger Entry","Quantity","Entry Type","Positive Adjmt.|Negative Adjmt.","Entry No.",I529,"Location Code",$L$7)</t>
  </si>
  <si>
    <t>=NL("Sum","Item Ledger Entry","Quantity","Entry Type","Positive Adjmt.|Negative Adjmt.","Entry No.",I530,"Location Code",$L$7)</t>
  </si>
  <si>
    <t>=NL("Sum","Item Ledger Entry","Quantity","Entry Type","Positive Adjmt.|Negative Adjmt.","Entry No.",I540,"Location Code",$L$7)</t>
  </si>
  <si>
    <t>=NL("Sum","Item Ledger Entry","Quantity","Entry Type","Positive Adjmt.|Negative Adjmt.","Entry No.",I541,"Location Code",$L$7)</t>
  </si>
  <si>
    <t>=NL("Sum","Item Ledger Entry","Quantity","Entry Type","Positive Adjmt.|Negative Adjmt.","Entry No.",I542,"Location Code",$L$7)</t>
  </si>
  <si>
    <t>=NL("Sum","Item Ledger Entry","Quantity","Entry Type","Transfer","Entry No.",I528,"Location Code",$L$7)</t>
  </si>
  <si>
    <t>=NL("Sum","Item Ledger Entry","Quantity","Entry Type","Transfer","Entry No.",I529,"Location Code",$L$7)</t>
  </si>
  <si>
    <t>=NL("Sum","Item Ledger Entry","Quantity","Entry Type","Transfer","Entry No.",I530,"Location Code",$L$7)</t>
  </si>
  <si>
    <t>=NL("Sum","Item Ledger Entry","Quantity","Entry Type","Transfer","Entry No.",I540,"Location Code",$L$7)</t>
  </si>
  <si>
    <t>=NL("Sum","Item Ledger Entry","Quantity","Entry Type","Transfer","Entry No.",I541,"Location Code",$L$7)</t>
  </si>
  <si>
    <t>=NL("Sum","Item Ledger Entry","Quantity","Entry Type","Transfer","Entry No.",I542,"Location Code",$L$7)</t>
  </si>
  <si>
    <t>=NL("Sum","Item Ledger Entry","Quantity","Entry Type","Consumption","Entry No.",I528,"Location Code",$L$7)</t>
  </si>
  <si>
    <t>=NL("Sum","Item Ledger Entry","Quantity","Entry Type","Consumption","Entry No.",I529,"Location Code",$L$7)</t>
  </si>
  <si>
    <t>=NL("Sum","Item Ledger Entry","Quantity","Entry Type","Consumption","Entry No.",I530,"Location Code",$L$7)</t>
  </si>
  <si>
    <t>=NL("Sum","Item Ledger Entry","Quantity","Entry Type","Consumption","Entry No.",I540,"Location Code",$L$7)</t>
  </si>
  <si>
    <t>=NL("Sum","Item Ledger Entry","Quantity","Entry Type","Consumption","Entry No.",I541,"Location Code",$L$7)</t>
  </si>
  <si>
    <t>=NL("Sum","Item Ledger Entry","Quantity","Entry Type","Consumption","Entry No.",I542,"Location Code",$L$7)</t>
  </si>
  <si>
    <t>=NL("Sum","Item Ledger Entry","Quantity","Entry Type","Output","Entry No.",I528,"Location Code",$L$7)</t>
  </si>
  <si>
    <t>=NL("Sum","Item Ledger Entry","Quantity","Entry Type","Output","Entry No.",I529,"Location Code",$L$7)</t>
  </si>
  <si>
    <t>=NL("Sum","Item Ledger Entry","Quantity","Entry Type","Output","Entry No.",I530,"Location Code",$L$7)</t>
  </si>
  <si>
    <t>=NL("Sum","Item Ledger Entry","Quantity","Entry Type","Output","Entry No.",I540,"Location Code",$L$7)</t>
  </si>
  <si>
    <t>=NL("Sum","Item Ledger Entry","Quantity","Entry Type","Output","Entry No.",I541,"Location Code",$L$7)</t>
  </si>
  <si>
    <t>=NL("Sum","Item Ledger Entry","Quantity","Entry Type","Output","Entry No.",I542,"Location Code",$L$7)</t>
  </si>
  <si>
    <t>=NF(G528,"Source Type")</t>
  </si>
  <si>
    <t>=NF(G529,"Source Type")</t>
  </si>
  <si>
    <t>=NF(G530,"Source Type")</t>
  </si>
  <si>
    <t>=NF(G540,"Source Type")</t>
  </si>
  <si>
    <t>=NF(G541,"Source Type")</t>
  </si>
  <si>
    <t>=NF(G542,"Source Type")</t>
  </si>
  <si>
    <t>=NF($G528,"Source No.")</t>
  </si>
  <si>
    <t>=NF($G529,"Source No.")</t>
  </si>
  <si>
    <t>=NF($G530,"Source No.")</t>
  </si>
  <si>
    <t>=NF($G540,"Source No.")</t>
  </si>
  <si>
    <t>=NF($G541,"Source No.")</t>
  </si>
  <si>
    <t>=NF($G542,"Source No.")</t>
  </si>
  <si>
    <t>=NF($G517,"Posting Date")</t>
  </si>
  <si>
    <t>=NF($G517,"Entry No.")</t>
  </si>
  <si>
    <t>=NL("Sum","Item Ledger Entry","Quantity","Entry Type","Purchase","Entry No.",I517,"Location Code",$L$7)</t>
  </si>
  <si>
    <t>=NL("Sum","Item Ledger Entry","Quantity","Entry Type","Sale","Entry No.",I517,"Location Code",$L$7)</t>
  </si>
  <si>
    <t>=NL("Sum","Item Ledger Entry","Quantity","Entry Type","Positive Adjmt.|Negative Adjmt.","Entry No.",I517,"Location Code",$L$7)</t>
  </si>
  <si>
    <t>=NL("Sum","Item Ledger Entry","Quantity","Entry Type","Transfer","Entry No.",I517,"Location Code",$L$7)</t>
  </si>
  <si>
    <t>=NL("Sum","Item Ledger Entry","Quantity","Entry Type","Consumption","Entry No.",I517,"Location Code",$L$7)</t>
  </si>
  <si>
    <t>=NL("Sum","Item Ledger Entry","Quantity","Entry Type","Output","Entry No.",I517,"Location Code",$L$7)</t>
  </si>
  <si>
    <t>=NF(G517,"Source Type")</t>
  </si>
  <si>
    <t>=NF($G517,"Source No.")</t>
  </si>
  <si>
    <t>=NF($G495,"Posting Date")</t>
  </si>
  <si>
    <t>=NF($G496,"Posting Date")</t>
  </si>
  <si>
    <t>=NF($G501,"Posting Date")</t>
  </si>
  <si>
    <t>=NF($G502,"Posting Date")</t>
  </si>
  <si>
    <t>=NF($G503,"Posting Date")</t>
  </si>
  <si>
    <t>=NF($G507,"Posting Date")</t>
  </si>
  <si>
    <t>=NF($G508,"Posting Date")</t>
  </si>
  <si>
    <t>=NF($G509,"Posting Date")</t>
  </si>
  <si>
    <t>=NF($G495,"Entry No.")</t>
  </si>
  <si>
    <t>=NF($G496,"Entry No.")</t>
  </si>
  <si>
    <t>=NF($G501,"Entry No.")</t>
  </si>
  <si>
    <t>=NF($G502,"Entry No.")</t>
  </si>
  <si>
    <t>=NF($G503,"Entry No.")</t>
  </si>
  <si>
    <t>=NF($G507,"Entry No.")</t>
  </si>
  <si>
    <t>=NF($G508,"Entry No.")</t>
  </si>
  <si>
    <t>=NF($G509,"Entry No.")</t>
  </si>
  <si>
    <t>=NL("Sum","Item Ledger Entry","Quantity","Entry Type","Purchase","Entry No.",I495,"Location Code",$L$7)</t>
  </si>
  <si>
    <t>=NL("Sum","Item Ledger Entry","Quantity","Entry Type","Purchase","Entry No.",I496,"Location Code",$L$7)</t>
  </si>
  <si>
    <t>=NL("Sum","Item Ledger Entry","Quantity","Entry Type","Purchase","Entry No.",I501,"Location Code",$L$7)</t>
  </si>
  <si>
    <t>=NL("Sum","Item Ledger Entry","Quantity","Entry Type","Purchase","Entry No.",I502,"Location Code",$L$7)</t>
  </si>
  <si>
    <t>=NL("Sum","Item Ledger Entry","Quantity","Entry Type","Purchase","Entry No.",I503,"Location Code",$L$7)</t>
  </si>
  <si>
    <t>=NL("Sum","Item Ledger Entry","Quantity","Entry Type","Purchase","Entry No.",I507,"Location Code",$L$7)</t>
  </si>
  <si>
    <t>=NL("Sum","Item Ledger Entry","Quantity","Entry Type","Purchase","Entry No.",I508,"Location Code",$L$7)</t>
  </si>
  <si>
    <t>=NL("Sum","Item Ledger Entry","Quantity","Entry Type","Purchase","Entry No.",I509,"Location Code",$L$7)</t>
  </si>
  <si>
    <t>=NL("Sum","Item Ledger Entry","Quantity","Entry Type","Sale","Entry No.",I495,"Location Code",$L$7)</t>
  </si>
  <si>
    <t>=NL("Sum","Item Ledger Entry","Quantity","Entry Type","Sale","Entry No.",I496,"Location Code",$L$7)</t>
  </si>
  <si>
    <t>=NL("Sum","Item Ledger Entry","Quantity","Entry Type","Sale","Entry No.",I501,"Location Code",$L$7)</t>
  </si>
  <si>
    <t>=NL("Sum","Item Ledger Entry","Quantity","Entry Type","Sale","Entry No.",I502,"Location Code",$L$7)</t>
  </si>
  <si>
    <t>=NL("Sum","Item Ledger Entry","Quantity","Entry Type","Sale","Entry No.",I503,"Location Code",$L$7)</t>
  </si>
  <si>
    <t>=NL("Sum","Item Ledger Entry","Quantity","Entry Type","Sale","Entry No.",I507,"Location Code",$L$7)</t>
  </si>
  <si>
    <t>=NL("Sum","Item Ledger Entry","Quantity","Entry Type","Sale","Entry No.",I508,"Location Code",$L$7)</t>
  </si>
  <si>
    <t>=NL("Sum","Item Ledger Entry","Quantity","Entry Type","Sale","Entry No.",I509,"Location Code",$L$7)</t>
  </si>
  <si>
    <t>=NL("Sum","Item Ledger Entry","Quantity","Entry Type","Positive Adjmt.|Negative Adjmt.","Entry No.",I495,"Location Code",$L$7)</t>
  </si>
  <si>
    <t>=NL("Sum","Item Ledger Entry","Quantity","Entry Type","Positive Adjmt.|Negative Adjmt.","Entry No.",I496,"Location Code",$L$7)</t>
  </si>
  <si>
    <t>=NL("Sum","Item Ledger Entry","Quantity","Entry Type","Positive Adjmt.|Negative Adjmt.","Entry No.",I501,"Location Code",$L$7)</t>
  </si>
  <si>
    <t>=NL("Sum","Item Ledger Entry","Quantity","Entry Type","Positive Adjmt.|Negative Adjmt.","Entry No.",I502,"Location Code",$L$7)</t>
  </si>
  <si>
    <t>=NL("Sum","Item Ledger Entry","Quantity","Entry Type","Positive Adjmt.|Negative Adjmt.","Entry No.",I503,"Location Code",$L$7)</t>
  </si>
  <si>
    <t>=NL("Sum","Item Ledger Entry","Quantity","Entry Type","Positive Adjmt.|Negative Adjmt.","Entry No.",I507,"Location Code",$L$7)</t>
  </si>
  <si>
    <t>=NL("Sum","Item Ledger Entry","Quantity","Entry Type","Positive Adjmt.|Negative Adjmt.","Entry No.",I508,"Location Code",$L$7)</t>
  </si>
  <si>
    <t>=NL("Sum","Item Ledger Entry","Quantity","Entry Type","Positive Adjmt.|Negative Adjmt.","Entry No.",I509,"Location Code",$L$7)</t>
  </si>
  <si>
    <t>=NL("Sum","Item Ledger Entry","Quantity","Entry Type","Transfer","Entry No.",I495,"Location Code",$L$7)</t>
  </si>
  <si>
    <t>=NL("Sum","Item Ledger Entry","Quantity","Entry Type","Transfer","Entry No.",I496,"Location Code",$L$7)</t>
  </si>
  <si>
    <t>=NL("Sum","Item Ledger Entry","Quantity","Entry Type","Transfer","Entry No.",I501,"Location Code",$L$7)</t>
  </si>
  <si>
    <t>=NL("Sum","Item Ledger Entry","Quantity","Entry Type","Transfer","Entry No.",I502,"Location Code",$L$7)</t>
  </si>
  <si>
    <t>=NL("Sum","Item Ledger Entry","Quantity","Entry Type","Transfer","Entry No.",I503,"Location Code",$L$7)</t>
  </si>
  <si>
    <t>=NL("Sum","Item Ledger Entry","Quantity","Entry Type","Transfer","Entry No.",I507,"Location Code",$L$7)</t>
  </si>
  <si>
    <t>=NL("Sum","Item Ledger Entry","Quantity","Entry Type","Transfer","Entry No.",I508,"Location Code",$L$7)</t>
  </si>
  <si>
    <t>=NL("Sum","Item Ledger Entry","Quantity","Entry Type","Transfer","Entry No.",I509,"Location Code",$L$7)</t>
  </si>
  <si>
    <t>=NL("Sum","Item Ledger Entry","Quantity","Entry Type","Consumption","Entry No.",I495,"Location Code",$L$7)</t>
  </si>
  <si>
    <t>=NL("Sum","Item Ledger Entry","Quantity","Entry Type","Consumption","Entry No.",I496,"Location Code",$L$7)</t>
  </si>
  <si>
    <t>=NL("Sum","Item Ledger Entry","Quantity","Entry Type","Consumption","Entry No.",I501,"Location Code",$L$7)</t>
  </si>
  <si>
    <t>=NL("Sum","Item Ledger Entry","Quantity","Entry Type","Consumption","Entry No.",I502,"Location Code",$L$7)</t>
  </si>
  <si>
    <t>=NL("Sum","Item Ledger Entry","Quantity","Entry Type","Consumption","Entry No.",I503,"Location Code",$L$7)</t>
  </si>
  <si>
    <t>=NL("Sum","Item Ledger Entry","Quantity","Entry Type","Consumption","Entry No.",I507,"Location Code",$L$7)</t>
  </si>
  <si>
    <t>=NL("Sum","Item Ledger Entry","Quantity","Entry Type","Consumption","Entry No.",I508,"Location Code",$L$7)</t>
  </si>
  <si>
    <t>=NL("Sum","Item Ledger Entry","Quantity","Entry Type","Consumption","Entry No.",I509,"Location Code",$L$7)</t>
  </si>
  <si>
    <t>=NL("Sum","Item Ledger Entry","Quantity","Entry Type","Output","Entry No.",I495,"Location Code",$L$7)</t>
  </si>
  <si>
    <t>=NL("Sum","Item Ledger Entry","Quantity","Entry Type","Output","Entry No.",I496,"Location Code",$L$7)</t>
  </si>
  <si>
    <t>=NL("Sum","Item Ledger Entry","Quantity","Entry Type","Output","Entry No.",I501,"Location Code",$L$7)</t>
  </si>
  <si>
    <t>=NL("Sum","Item Ledger Entry","Quantity","Entry Type","Output","Entry No.",I502,"Location Code",$L$7)</t>
  </si>
  <si>
    <t>=NL("Sum","Item Ledger Entry","Quantity","Entry Type","Output","Entry No.",I503,"Location Code",$L$7)</t>
  </si>
  <si>
    <t>=NL("Sum","Item Ledger Entry","Quantity","Entry Type","Output","Entry No.",I507,"Location Code",$L$7)</t>
  </si>
  <si>
    <t>=NL("Sum","Item Ledger Entry","Quantity","Entry Type","Output","Entry No.",I508,"Location Code",$L$7)</t>
  </si>
  <si>
    <t>=NL("Sum","Item Ledger Entry","Quantity","Entry Type","Output","Entry No.",I509,"Location Code",$L$7)</t>
  </si>
  <si>
    <t>=NF(G495,"Source Type")</t>
  </si>
  <si>
    <t>=NF(G496,"Source Type")</t>
  </si>
  <si>
    <t>=NF(G501,"Source Type")</t>
  </si>
  <si>
    <t>=NF(G502,"Source Type")</t>
  </si>
  <si>
    <t>=NF(G503,"Source Type")</t>
  </si>
  <si>
    <t>=NF(G507,"Source Type")</t>
  </si>
  <si>
    <t>=NF(G508,"Source Type")</t>
  </si>
  <si>
    <t>=NF(G509,"Source Type")</t>
  </si>
  <si>
    <t>=NF($G495,"Source No.")</t>
  </si>
  <si>
    <t>=NF($G496,"Source No.")</t>
  </si>
  <si>
    <t>=NF($G501,"Source No.")</t>
  </si>
  <si>
    <t>=NF($G502,"Source No.")</t>
  </si>
  <si>
    <t>=NF($G503,"Source No.")</t>
  </si>
  <si>
    <t>=NF($G507,"Source No.")</t>
  </si>
  <si>
    <t>=NF($G508,"Source No.")</t>
  </si>
  <si>
    <t>=NF($G509,"Source No.")</t>
  </si>
  <si>
    <t>=NF($G470,"Posting Date")</t>
  </si>
  <si>
    <t>=NF($G471,"Posting Date")</t>
  </si>
  <si>
    <t>=NF($G472,"Posting Date")</t>
  </si>
  <si>
    <t>=NF($G478,"Posting Date")</t>
  </si>
  <si>
    <t>=NF($G479,"Posting Date")</t>
  </si>
  <si>
    <t>=NF($G480,"Posting Date")</t>
  </si>
  <si>
    <t>=NF($G487,"Posting Date")</t>
  </si>
  <si>
    <t>=NF($G488,"Posting Date")</t>
  </si>
  <si>
    <t>=NF($G489,"Posting Date")</t>
  </si>
  <si>
    <t>=NF($G470,"Entry No.")</t>
  </si>
  <si>
    <t>=NF($G471,"Entry No.")</t>
  </si>
  <si>
    <t>=NF($G472,"Entry No.")</t>
  </si>
  <si>
    <t>=NF($G478,"Entry No.")</t>
  </si>
  <si>
    <t>=NF($G479,"Entry No.")</t>
  </si>
  <si>
    <t>=NF($G480,"Entry No.")</t>
  </si>
  <si>
    <t>=NF($G487,"Entry No.")</t>
  </si>
  <si>
    <t>=NF($G488,"Entry No.")</t>
  </si>
  <si>
    <t>=NF($G489,"Entry No.")</t>
  </si>
  <si>
    <t>=NL("Sum","Item Ledger Entry","Quantity","Entry Type","Purchase","Entry No.",I470,"Location Code",$L$7)</t>
  </si>
  <si>
    <t>=NL("Sum","Item Ledger Entry","Quantity","Entry Type","Purchase","Entry No.",I471,"Location Code",$L$7)</t>
  </si>
  <si>
    <t>=NL("Sum","Item Ledger Entry","Quantity","Entry Type","Purchase","Entry No.",I472,"Location Code",$L$7)</t>
  </si>
  <si>
    <t>=NL("Sum","Item Ledger Entry","Quantity","Entry Type","Purchase","Entry No.",I478,"Location Code",$L$7)</t>
  </si>
  <si>
    <t>=NL("Sum","Item Ledger Entry","Quantity","Entry Type","Purchase","Entry No.",I479,"Location Code",$L$7)</t>
  </si>
  <si>
    <t>=NL("Sum","Item Ledger Entry","Quantity","Entry Type","Purchase","Entry No.",I480,"Location Code",$L$7)</t>
  </si>
  <si>
    <t>=NL("Sum","Item Ledger Entry","Quantity","Entry Type","Purchase","Entry No.",I487,"Location Code",$L$7)</t>
  </si>
  <si>
    <t>=NL("Sum","Item Ledger Entry","Quantity","Entry Type","Purchase","Entry No.",I488,"Location Code",$L$7)</t>
  </si>
  <si>
    <t>=NL("Sum","Item Ledger Entry","Quantity","Entry Type","Purchase","Entry No.",I489,"Location Code",$L$7)</t>
  </si>
  <si>
    <t>=NL("Sum","Item Ledger Entry","Quantity","Entry Type","Sale","Entry No.",I470,"Location Code",$L$7)</t>
  </si>
  <si>
    <t>=NL("Sum","Item Ledger Entry","Quantity","Entry Type","Sale","Entry No.",I471,"Location Code",$L$7)</t>
  </si>
  <si>
    <t>=NL("Sum","Item Ledger Entry","Quantity","Entry Type","Sale","Entry No.",I472,"Location Code",$L$7)</t>
  </si>
  <si>
    <t>=NL("Sum","Item Ledger Entry","Quantity","Entry Type","Sale","Entry No.",I478,"Location Code",$L$7)</t>
  </si>
  <si>
    <t>=NL("Sum","Item Ledger Entry","Quantity","Entry Type","Sale","Entry No.",I479,"Location Code",$L$7)</t>
  </si>
  <si>
    <t>=NL("Sum","Item Ledger Entry","Quantity","Entry Type","Sale","Entry No.",I480,"Location Code",$L$7)</t>
  </si>
  <si>
    <t>=NL("Sum","Item Ledger Entry","Quantity","Entry Type","Sale","Entry No.",I487,"Location Code",$L$7)</t>
  </si>
  <si>
    <t>=NL("Sum","Item Ledger Entry","Quantity","Entry Type","Sale","Entry No.",I488,"Location Code",$L$7)</t>
  </si>
  <si>
    <t>=NL("Sum","Item Ledger Entry","Quantity","Entry Type","Sale","Entry No.",I489,"Location Code",$L$7)</t>
  </si>
  <si>
    <t>=NL("Sum","Item Ledger Entry","Quantity","Entry Type","Positive Adjmt.|Negative Adjmt.","Entry No.",I470,"Location Code",$L$7)</t>
  </si>
  <si>
    <t>=NL("Sum","Item Ledger Entry","Quantity","Entry Type","Positive Adjmt.|Negative Adjmt.","Entry No.",I471,"Location Code",$L$7)</t>
  </si>
  <si>
    <t>=NL("Sum","Item Ledger Entry","Quantity","Entry Type","Positive Adjmt.|Negative Adjmt.","Entry No.",I472,"Location Code",$L$7)</t>
  </si>
  <si>
    <t>=NL("Sum","Item Ledger Entry","Quantity","Entry Type","Positive Adjmt.|Negative Adjmt.","Entry No.",I478,"Location Code",$L$7)</t>
  </si>
  <si>
    <t>=NL("Sum","Item Ledger Entry","Quantity","Entry Type","Positive Adjmt.|Negative Adjmt.","Entry No.",I479,"Location Code",$L$7)</t>
  </si>
  <si>
    <t>=NL("Sum","Item Ledger Entry","Quantity","Entry Type","Positive Adjmt.|Negative Adjmt.","Entry No.",I480,"Location Code",$L$7)</t>
  </si>
  <si>
    <t>=NL("Sum","Item Ledger Entry","Quantity","Entry Type","Positive Adjmt.|Negative Adjmt.","Entry No.",I487,"Location Code",$L$7)</t>
  </si>
  <si>
    <t>=NL("Sum","Item Ledger Entry","Quantity","Entry Type","Positive Adjmt.|Negative Adjmt.","Entry No.",I488,"Location Code",$L$7)</t>
  </si>
  <si>
    <t>=NL("Sum","Item Ledger Entry","Quantity","Entry Type","Positive Adjmt.|Negative Adjmt.","Entry No.",I489,"Location Code",$L$7)</t>
  </si>
  <si>
    <t>=NL("Sum","Item Ledger Entry","Quantity","Entry Type","Transfer","Entry No.",I470,"Location Code",$L$7)</t>
  </si>
  <si>
    <t>=NL("Sum","Item Ledger Entry","Quantity","Entry Type","Transfer","Entry No.",I471,"Location Code",$L$7)</t>
  </si>
  <si>
    <t>=NL("Sum","Item Ledger Entry","Quantity","Entry Type","Transfer","Entry No.",I472,"Location Code",$L$7)</t>
  </si>
  <si>
    <t>=NL("Sum","Item Ledger Entry","Quantity","Entry Type","Transfer","Entry No.",I478,"Location Code",$L$7)</t>
  </si>
  <si>
    <t>=NL("Sum","Item Ledger Entry","Quantity","Entry Type","Transfer","Entry No.",I479,"Location Code",$L$7)</t>
  </si>
  <si>
    <t>=NL("Sum","Item Ledger Entry","Quantity","Entry Type","Transfer","Entry No.",I480,"Location Code",$L$7)</t>
  </si>
  <si>
    <t>=NL("Sum","Item Ledger Entry","Quantity","Entry Type","Transfer","Entry No.",I487,"Location Code",$L$7)</t>
  </si>
  <si>
    <t>=NL("Sum","Item Ledger Entry","Quantity","Entry Type","Transfer","Entry No.",I488,"Location Code",$L$7)</t>
  </si>
  <si>
    <t>=NL("Sum","Item Ledger Entry","Quantity","Entry Type","Transfer","Entry No.",I489,"Location Code",$L$7)</t>
  </si>
  <si>
    <t>=NL("Sum","Item Ledger Entry","Quantity","Entry Type","Consumption","Entry No.",I470,"Location Code",$L$7)</t>
  </si>
  <si>
    <t>=NL("Sum","Item Ledger Entry","Quantity","Entry Type","Consumption","Entry No.",I471,"Location Code",$L$7)</t>
  </si>
  <si>
    <t>=NL("Sum","Item Ledger Entry","Quantity","Entry Type","Consumption","Entry No.",I472,"Location Code",$L$7)</t>
  </si>
  <si>
    <t>=NL("Sum","Item Ledger Entry","Quantity","Entry Type","Consumption","Entry No.",I478,"Location Code",$L$7)</t>
  </si>
  <si>
    <t>=NL("Sum","Item Ledger Entry","Quantity","Entry Type","Consumption","Entry No.",I479,"Location Code",$L$7)</t>
  </si>
  <si>
    <t>=NL("Sum","Item Ledger Entry","Quantity","Entry Type","Consumption","Entry No.",I480,"Location Code",$L$7)</t>
  </si>
  <si>
    <t>=NL("Sum","Item Ledger Entry","Quantity","Entry Type","Consumption","Entry No.",I487,"Location Code",$L$7)</t>
  </si>
  <si>
    <t>=NL("Sum","Item Ledger Entry","Quantity","Entry Type","Consumption","Entry No.",I488,"Location Code",$L$7)</t>
  </si>
  <si>
    <t>=NL("Sum","Item Ledger Entry","Quantity","Entry Type","Consumption","Entry No.",I489,"Location Code",$L$7)</t>
  </si>
  <si>
    <t>=NL("Sum","Item Ledger Entry","Quantity","Entry Type","Output","Entry No.",I470,"Location Code",$L$7)</t>
  </si>
  <si>
    <t>=NL("Sum","Item Ledger Entry","Quantity","Entry Type","Output","Entry No.",I471,"Location Code",$L$7)</t>
  </si>
  <si>
    <t>=NL("Sum","Item Ledger Entry","Quantity","Entry Type","Output","Entry No.",I472,"Location Code",$L$7)</t>
  </si>
  <si>
    <t>=NL("Sum","Item Ledger Entry","Quantity","Entry Type","Output","Entry No.",I478,"Location Code",$L$7)</t>
  </si>
  <si>
    <t>=NL("Sum","Item Ledger Entry","Quantity","Entry Type","Output","Entry No.",I479,"Location Code",$L$7)</t>
  </si>
  <si>
    <t>=NL("Sum","Item Ledger Entry","Quantity","Entry Type","Output","Entry No.",I480,"Location Code",$L$7)</t>
  </si>
  <si>
    <t>=NL("Sum","Item Ledger Entry","Quantity","Entry Type","Output","Entry No.",I487,"Location Code",$L$7)</t>
  </si>
  <si>
    <t>=NL("Sum","Item Ledger Entry","Quantity","Entry Type","Output","Entry No.",I488,"Location Code",$L$7)</t>
  </si>
  <si>
    <t>=NL("Sum","Item Ledger Entry","Quantity","Entry Type","Output","Entry No.",I489,"Location Code",$L$7)</t>
  </si>
  <si>
    <t>=NF(G470,"Source Type")</t>
  </si>
  <si>
    <t>=NF(G471,"Source Type")</t>
  </si>
  <si>
    <t>=NF(G472,"Source Type")</t>
  </si>
  <si>
    <t>=NF(G478,"Source Type")</t>
  </si>
  <si>
    <t>=NF(G479,"Source Type")</t>
  </si>
  <si>
    <t>=NF(G480,"Source Type")</t>
  </si>
  <si>
    <t>=NF(G487,"Source Type")</t>
  </si>
  <si>
    <t>=NF(G488,"Source Type")</t>
  </si>
  <si>
    <t>=NF(G489,"Source Type")</t>
  </si>
  <si>
    <t>=NF($G470,"Source No.")</t>
  </si>
  <si>
    <t>=NF($G471,"Source No.")</t>
  </si>
  <si>
    <t>=NF($G472,"Source No.")</t>
  </si>
  <si>
    <t>=NF($G478,"Source No.")</t>
  </si>
  <si>
    <t>=NF($G479,"Source No.")</t>
  </si>
  <si>
    <t>=NF($G480,"Source No.")</t>
  </si>
  <si>
    <t>=NF($G487,"Source No.")</t>
  </si>
  <si>
    <t>=NF($G488,"Source No.")</t>
  </si>
  <si>
    <t>=NF($G489,"Source No.")</t>
  </si>
  <si>
    <t>=NF($G451,"Posting Date")</t>
  </si>
  <si>
    <t>=NF($G455,"Posting Date")</t>
  </si>
  <si>
    <t>=NF($G456,"Posting Date")</t>
  </si>
  <si>
    <t>=NF($G451,"Entry No.")</t>
  </si>
  <si>
    <t>=NF($G455,"Entry No.")</t>
  </si>
  <si>
    <t>=NF($G456,"Entry No.")</t>
  </si>
  <si>
    <t>=NL("Sum","Item Ledger Entry","Quantity","Entry Type","Purchase","Entry No.",I451,"Location Code",$L$7)</t>
  </si>
  <si>
    <t>=NL("Sum","Item Ledger Entry","Quantity","Entry Type","Purchase","Entry No.",I455,"Location Code",$L$7)</t>
  </si>
  <si>
    <t>=NL("Sum","Item Ledger Entry","Quantity","Entry Type","Purchase","Entry No.",I456,"Location Code",$L$7)</t>
  </si>
  <si>
    <t>=NL("Sum","Item Ledger Entry","Quantity","Entry Type","Purchase","Entry No.",I457,"Location Code",$L$7)</t>
  </si>
  <si>
    <t>=NL("Sum","Item Ledger Entry","Quantity","Entry Type","Sale","Entry No.",I451,"Location Code",$L$7)</t>
  </si>
  <si>
    <t>=NL("Sum","Item Ledger Entry","Quantity","Entry Type","Sale","Entry No.",I455,"Location Code",$L$7)</t>
  </si>
  <si>
    <t>=NL("Sum","Item Ledger Entry","Quantity","Entry Type","Sale","Entry No.",I456,"Location Code",$L$7)</t>
  </si>
  <si>
    <t>=NL("Sum","Item Ledger Entry","Quantity","Entry Type","Sale","Entry No.",I457,"Location Code",$L$7)</t>
  </si>
  <si>
    <t>=NL("Sum","Item Ledger Entry","Quantity","Entry Type","Positive Adjmt.|Negative Adjmt.","Entry No.",I451,"Location Code",$L$7)</t>
  </si>
  <si>
    <t>=NL("Sum","Item Ledger Entry","Quantity","Entry Type","Positive Adjmt.|Negative Adjmt.","Entry No.",I455,"Location Code",$L$7)</t>
  </si>
  <si>
    <t>=NL("Sum","Item Ledger Entry","Quantity","Entry Type","Positive Adjmt.|Negative Adjmt.","Entry No.",I456,"Location Code",$L$7)</t>
  </si>
  <si>
    <t>=NL("Sum","Item Ledger Entry","Quantity","Entry Type","Positive Adjmt.|Negative Adjmt.","Entry No.",I457,"Location Code",$L$7)</t>
  </si>
  <si>
    <t>=NL("Sum","Item Ledger Entry","Quantity","Entry Type","Transfer","Entry No.",I451,"Location Code",$L$7)</t>
  </si>
  <si>
    <t>=NL("Sum","Item Ledger Entry","Quantity","Entry Type","Transfer","Entry No.",I455,"Location Code",$L$7)</t>
  </si>
  <si>
    <t>=NL("Sum","Item Ledger Entry","Quantity","Entry Type","Transfer","Entry No.",I456,"Location Code",$L$7)</t>
  </si>
  <si>
    <t>=NL("Sum","Item Ledger Entry","Quantity","Entry Type","Transfer","Entry No.",I457,"Location Code",$L$7)</t>
  </si>
  <si>
    <t>=NL("Sum","Item Ledger Entry","Quantity","Entry Type","Consumption","Entry No.",I451,"Location Code",$L$7)</t>
  </si>
  <si>
    <t>=NL("Sum","Item Ledger Entry","Quantity","Entry Type","Consumption","Entry No.",I455,"Location Code",$L$7)</t>
  </si>
  <si>
    <t>=NL("Sum","Item Ledger Entry","Quantity","Entry Type","Consumption","Entry No.",I456,"Location Code",$L$7)</t>
  </si>
  <si>
    <t>=NL("Sum","Item Ledger Entry","Quantity","Entry Type","Consumption","Entry No.",I457,"Location Code",$L$7)</t>
  </si>
  <si>
    <t>=NL("Sum","Item Ledger Entry","Quantity","Entry Type","Output","Entry No.",I451,"Location Code",$L$7)</t>
  </si>
  <si>
    <t>=NL("Sum","Item Ledger Entry","Quantity","Entry Type","Output","Entry No.",I455,"Location Code",$L$7)</t>
  </si>
  <si>
    <t>=NL("Sum","Item Ledger Entry","Quantity","Entry Type","Output","Entry No.",I456,"Location Code",$L$7)</t>
  </si>
  <si>
    <t>=NL("Sum","Item Ledger Entry","Quantity","Entry Type","Output","Entry No.",I457,"Location Code",$L$7)</t>
  </si>
  <si>
    <t>=NF(G451,"Source Type")</t>
  </si>
  <si>
    <t>=NF(G455,"Source Type")</t>
  </si>
  <si>
    <t>=NF(G456,"Source Type")</t>
  </si>
  <si>
    <t>=NF($G451,"Source No.")</t>
  </si>
  <si>
    <t>=NF($G455,"Source No.")</t>
  </si>
  <si>
    <t>=NF($G456,"Source No.")</t>
  </si>
  <si>
    <t>=NF($G433,"Posting Date")</t>
  </si>
  <si>
    <t>=NF($G437,"Posting Date")</t>
  </si>
  <si>
    <t>=NF($G438,"Posting Date")</t>
  </si>
  <si>
    <t>=NF($G442,"Posting Date")</t>
  </si>
  <si>
    <t>=NF($G443,"Posting Date")</t>
  </si>
  <si>
    <t>=NF($G433,"Entry No.")</t>
  </si>
  <si>
    <t>=NF($G437,"Entry No.")</t>
  </si>
  <si>
    <t>=NF($G438,"Entry No.")</t>
  </si>
  <si>
    <t>=NF($G442,"Entry No.")</t>
  </si>
  <si>
    <t>=NF($G443,"Entry No.")</t>
  </si>
  <si>
    <t>=NL("Sum","Item Ledger Entry","Quantity","Entry Type","Purchase","Entry No.",I432,"Location Code",$L$7)</t>
  </si>
  <si>
    <t>=NL("Sum","Item Ledger Entry","Quantity","Entry Type","Purchase","Entry No.",I433,"Location Code",$L$7)</t>
  </si>
  <si>
    <t>=NL("Sum","Item Ledger Entry","Quantity","Entry Type","Purchase","Entry No.",I436,"Location Code",$L$7)</t>
  </si>
  <si>
    <t>=NL("Sum","Item Ledger Entry","Quantity","Entry Type","Purchase","Entry No.",I437,"Location Code",$L$7)</t>
  </si>
  <si>
    <t>=NL("Sum","Item Ledger Entry","Quantity","Entry Type","Purchase","Entry No.",I438,"Location Code",$L$7)</t>
  </si>
  <si>
    <t>=NL("Sum","Item Ledger Entry","Quantity","Entry Type","Purchase","Entry No.",I442,"Location Code",$L$7)</t>
  </si>
  <si>
    <t>=NL("Sum","Item Ledger Entry","Quantity","Entry Type","Purchase","Entry No.",I443,"Location Code",$L$7)</t>
  </si>
  <si>
    <t>=NL("Sum","Item Ledger Entry","Quantity","Entry Type","Purchase","Entry No.",I444,"Location Code",$L$7)</t>
  </si>
  <si>
    <t>=NL("Sum","Item Ledger Entry","Quantity","Entry Type","Sale","Entry No.",I432,"Location Code",$L$7)</t>
  </si>
  <si>
    <t>=NL("Sum","Item Ledger Entry","Quantity","Entry Type","Sale","Entry No.",I433,"Location Code",$L$7)</t>
  </si>
  <si>
    <t>=NL("Sum","Item Ledger Entry","Quantity","Entry Type","Sale","Entry No.",I436,"Location Code",$L$7)</t>
  </si>
  <si>
    <t>=NL("Sum","Item Ledger Entry","Quantity","Entry Type","Sale","Entry No.",I437,"Location Code",$L$7)</t>
  </si>
  <si>
    <t>=NL("Sum","Item Ledger Entry","Quantity","Entry Type","Sale","Entry No.",I438,"Location Code",$L$7)</t>
  </si>
  <si>
    <t>=NL("Sum","Item Ledger Entry","Quantity","Entry Type","Sale","Entry No.",I442,"Location Code",$L$7)</t>
  </si>
  <si>
    <t>=NL("Sum","Item Ledger Entry","Quantity","Entry Type","Sale","Entry No.",I443,"Location Code",$L$7)</t>
  </si>
  <si>
    <t>=NL("Sum","Item Ledger Entry","Quantity","Entry Type","Sale","Entry No.",I444,"Location Code",$L$7)</t>
  </si>
  <si>
    <t>=NL("Sum","Item Ledger Entry","Quantity","Entry Type","Positive Adjmt.|Negative Adjmt.","Entry No.",I432,"Location Code",$L$7)</t>
  </si>
  <si>
    <t>=NL("Sum","Item Ledger Entry","Quantity","Entry Type","Positive Adjmt.|Negative Adjmt.","Entry No.",I433,"Location Code",$L$7)</t>
  </si>
  <si>
    <t>=NL("Sum","Item Ledger Entry","Quantity","Entry Type","Positive Adjmt.|Negative Adjmt.","Entry No.",I436,"Location Code",$L$7)</t>
  </si>
  <si>
    <t>=NL("Sum","Item Ledger Entry","Quantity","Entry Type","Positive Adjmt.|Negative Adjmt.","Entry No.",I437,"Location Code",$L$7)</t>
  </si>
  <si>
    <t>=NL("Sum","Item Ledger Entry","Quantity","Entry Type","Positive Adjmt.|Negative Adjmt.","Entry No.",I438,"Location Code",$L$7)</t>
  </si>
  <si>
    <t>=NL("Sum","Item Ledger Entry","Quantity","Entry Type","Positive Adjmt.|Negative Adjmt.","Entry No.",I442,"Location Code",$L$7)</t>
  </si>
  <si>
    <t>=NL("Sum","Item Ledger Entry","Quantity","Entry Type","Positive Adjmt.|Negative Adjmt.","Entry No.",I443,"Location Code",$L$7)</t>
  </si>
  <si>
    <t>=NL("Sum","Item Ledger Entry","Quantity","Entry Type","Positive Adjmt.|Negative Adjmt.","Entry No.",I444,"Location Code",$L$7)</t>
  </si>
  <si>
    <t>=NL("Sum","Item Ledger Entry","Quantity","Entry Type","Transfer","Entry No.",I432,"Location Code",$L$7)</t>
  </si>
  <si>
    <t>=NL("Sum","Item Ledger Entry","Quantity","Entry Type","Transfer","Entry No.",I433,"Location Code",$L$7)</t>
  </si>
  <si>
    <t>=NL("Sum","Item Ledger Entry","Quantity","Entry Type","Transfer","Entry No.",I436,"Location Code",$L$7)</t>
  </si>
  <si>
    <t>=NL("Sum","Item Ledger Entry","Quantity","Entry Type","Transfer","Entry No.",I437,"Location Code",$L$7)</t>
  </si>
  <si>
    <t>=NL("Sum","Item Ledger Entry","Quantity","Entry Type","Transfer","Entry No.",I438,"Location Code",$L$7)</t>
  </si>
  <si>
    <t>=NL("Sum","Item Ledger Entry","Quantity","Entry Type","Transfer","Entry No.",I442,"Location Code",$L$7)</t>
  </si>
  <si>
    <t>=NL("Sum","Item Ledger Entry","Quantity","Entry Type","Transfer","Entry No.",I443,"Location Code",$L$7)</t>
  </si>
  <si>
    <t>=NL("Sum","Item Ledger Entry","Quantity","Entry Type","Transfer","Entry No.",I444,"Location Code",$L$7)</t>
  </si>
  <si>
    <t>=NL("Sum","Item Ledger Entry","Quantity","Entry Type","Consumption","Entry No.",I432,"Location Code",$L$7)</t>
  </si>
  <si>
    <t>=NL("Sum","Item Ledger Entry","Quantity","Entry Type","Consumption","Entry No.",I433,"Location Code",$L$7)</t>
  </si>
  <si>
    <t>=NL("Sum","Item Ledger Entry","Quantity","Entry Type","Consumption","Entry No.",I436,"Location Code",$L$7)</t>
  </si>
  <si>
    <t>=NL("Sum","Item Ledger Entry","Quantity","Entry Type","Consumption","Entry No.",I437,"Location Code",$L$7)</t>
  </si>
  <si>
    <t>=NL("Sum","Item Ledger Entry","Quantity","Entry Type","Consumption","Entry No.",I438,"Location Code",$L$7)</t>
  </si>
  <si>
    <t>=NL("Sum","Item Ledger Entry","Quantity","Entry Type","Consumption","Entry No.",I442,"Location Code",$L$7)</t>
  </si>
  <si>
    <t>=NL("Sum","Item Ledger Entry","Quantity","Entry Type","Consumption","Entry No.",I443,"Location Code",$L$7)</t>
  </si>
  <si>
    <t>=NL("Sum","Item Ledger Entry","Quantity","Entry Type","Consumption","Entry No.",I444,"Location Code",$L$7)</t>
  </si>
  <si>
    <t>=NL("Sum","Item Ledger Entry","Quantity","Entry Type","Output","Entry No.",I432,"Location Code",$L$7)</t>
  </si>
  <si>
    <t>=NL("Sum","Item Ledger Entry","Quantity","Entry Type","Output","Entry No.",I433,"Location Code",$L$7)</t>
  </si>
  <si>
    <t>=NL("Sum","Item Ledger Entry","Quantity","Entry Type","Output","Entry No.",I436,"Location Code",$L$7)</t>
  </si>
  <si>
    <t>=NL("Sum","Item Ledger Entry","Quantity","Entry Type","Output","Entry No.",I437,"Location Code",$L$7)</t>
  </si>
  <si>
    <t>=NL("Sum","Item Ledger Entry","Quantity","Entry Type","Output","Entry No.",I438,"Location Code",$L$7)</t>
  </si>
  <si>
    <t>=NL("Sum","Item Ledger Entry","Quantity","Entry Type","Output","Entry No.",I442,"Location Code",$L$7)</t>
  </si>
  <si>
    <t>=NL("Sum","Item Ledger Entry","Quantity","Entry Type","Output","Entry No.",I443,"Location Code",$L$7)</t>
  </si>
  <si>
    <t>=NL("Sum","Item Ledger Entry","Quantity","Entry Type","Output","Entry No.",I444,"Location Code",$L$7)</t>
  </si>
  <si>
    <t>=NF(G433,"Source Type")</t>
  </si>
  <si>
    <t>=NF(G437,"Source Type")</t>
  </si>
  <si>
    <t>=NF(G438,"Source Type")</t>
  </si>
  <si>
    <t>=NF(G442,"Source Type")</t>
  </si>
  <si>
    <t>=NF(G443,"Source Type")</t>
  </si>
  <si>
    <t>=NF($G433,"Source No.")</t>
  </si>
  <si>
    <t>=NF($G437,"Source No.")</t>
  </si>
  <si>
    <t>=NF($G438,"Source No.")</t>
  </si>
  <si>
    <t>=NF($G442,"Source No.")</t>
  </si>
  <si>
    <t>=NF($G443,"Source No.")</t>
  </si>
  <si>
    <t>=NF($G416,"Posting Date")</t>
  </si>
  <si>
    <t>=NF($G418,"Posting Date")</t>
  </si>
  <si>
    <t>=NF($G420,"Posting Date")</t>
  </si>
  <si>
    <t>=NF($G422,"Posting Date")</t>
  </si>
  <si>
    <t>=NF($G424,"Posting Date")</t>
  </si>
  <si>
    <t>=NF($G416,"Entry No.")</t>
  </si>
  <si>
    <t>=NF($G418,"Entry No.")</t>
  </si>
  <si>
    <t>=NF($G420,"Entry No.")</t>
  </si>
  <si>
    <t>=NF($G422,"Entry No.")</t>
  </si>
  <si>
    <t>=NF($G424,"Entry No.")</t>
  </si>
  <si>
    <t>=NL("Sum","Item Ledger Entry","Quantity","Entry Type","Purchase","Entry No.",I414,"Location Code",$L$7)</t>
  </si>
  <si>
    <t>=NL("Sum","Item Ledger Entry","Quantity","Entry Type","Purchase","Entry No.",I415,"Location Code",$L$7)</t>
  </si>
  <si>
    <t>=NL("Sum","Item Ledger Entry","Quantity","Entry Type","Purchase","Entry No.",I416,"Location Code",$L$7)</t>
  </si>
  <si>
    <t>=NL("Sum","Item Ledger Entry","Quantity","Entry Type","Purchase","Entry No.",I418,"Location Code",$L$7)</t>
  </si>
  <si>
    <t>=NL("Sum","Item Ledger Entry","Quantity","Entry Type","Purchase","Entry No.",I419,"Location Code",$L$7)</t>
  </si>
  <si>
    <t>=NL("Sum","Item Ledger Entry","Quantity","Entry Type","Purchase","Entry No.",I420,"Location Code",$L$7)</t>
  </si>
  <si>
    <t>=NL("Sum","Item Ledger Entry","Quantity","Entry Type","Purchase","Entry No.",I422,"Location Code",$L$7)</t>
  </si>
  <si>
    <t>=NL("Sum","Item Ledger Entry","Quantity","Entry Type","Purchase","Entry No.",I423,"Location Code",$L$7)</t>
  </si>
  <si>
    <t>=NL("Sum","Item Ledger Entry","Quantity","Entry Type","Purchase","Entry No.",I424,"Location Code",$L$7)</t>
  </si>
  <si>
    <t>=NL("Sum","Item Ledger Entry","Quantity","Entry Type","Sale","Entry No.",I414,"Location Code",$L$7)</t>
  </si>
  <si>
    <t>=NL("Sum","Item Ledger Entry","Quantity","Entry Type","Sale","Entry No.",I415,"Location Code",$L$7)</t>
  </si>
  <si>
    <t>=NL("Sum","Item Ledger Entry","Quantity","Entry Type","Sale","Entry No.",I416,"Location Code",$L$7)</t>
  </si>
  <si>
    <t>=NL("Sum","Item Ledger Entry","Quantity","Entry Type","Sale","Entry No.",I418,"Location Code",$L$7)</t>
  </si>
  <si>
    <t>=NL("Sum","Item Ledger Entry","Quantity","Entry Type","Sale","Entry No.",I419,"Location Code",$L$7)</t>
  </si>
  <si>
    <t>=NL("Sum","Item Ledger Entry","Quantity","Entry Type","Sale","Entry No.",I420,"Location Code",$L$7)</t>
  </si>
  <si>
    <t>=NL("Sum","Item Ledger Entry","Quantity","Entry Type","Sale","Entry No.",I422,"Location Code",$L$7)</t>
  </si>
  <si>
    <t>=NL("Sum","Item Ledger Entry","Quantity","Entry Type","Sale","Entry No.",I423,"Location Code",$L$7)</t>
  </si>
  <si>
    <t>=NL("Sum","Item Ledger Entry","Quantity","Entry Type","Sale","Entry No.",I424,"Location Code",$L$7)</t>
  </si>
  <si>
    <t>=NL("Sum","Item Ledger Entry","Quantity","Entry Type","Positive Adjmt.|Negative Adjmt.","Entry No.",I414,"Location Code",$L$7)</t>
  </si>
  <si>
    <t>=NL("Sum","Item Ledger Entry","Quantity","Entry Type","Positive Adjmt.|Negative Adjmt.","Entry No.",I415,"Location Code",$L$7)</t>
  </si>
  <si>
    <t>=NL("Sum","Item Ledger Entry","Quantity","Entry Type","Positive Adjmt.|Negative Adjmt.","Entry No.",I416,"Location Code",$L$7)</t>
  </si>
  <si>
    <t>=NL("Sum","Item Ledger Entry","Quantity","Entry Type","Positive Adjmt.|Negative Adjmt.","Entry No.",I418,"Location Code",$L$7)</t>
  </si>
  <si>
    <t>=NL("Sum","Item Ledger Entry","Quantity","Entry Type","Positive Adjmt.|Negative Adjmt.","Entry No.",I419,"Location Code",$L$7)</t>
  </si>
  <si>
    <t>=NL("Sum","Item Ledger Entry","Quantity","Entry Type","Positive Adjmt.|Negative Adjmt.","Entry No.",I420,"Location Code",$L$7)</t>
  </si>
  <si>
    <t>=NL("Sum","Item Ledger Entry","Quantity","Entry Type","Positive Adjmt.|Negative Adjmt.","Entry No.",I422,"Location Code",$L$7)</t>
  </si>
  <si>
    <t>=NL("Sum","Item Ledger Entry","Quantity","Entry Type","Positive Adjmt.|Negative Adjmt.","Entry No.",I423,"Location Code",$L$7)</t>
  </si>
  <si>
    <t>=NL("Sum","Item Ledger Entry","Quantity","Entry Type","Positive Adjmt.|Negative Adjmt.","Entry No.",I424,"Location Code",$L$7)</t>
  </si>
  <si>
    <t>=NL("Sum","Item Ledger Entry","Quantity","Entry Type","Transfer","Entry No.",I414,"Location Code",$L$7)</t>
  </si>
  <si>
    <t>=NL("Sum","Item Ledger Entry","Quantity","Entry Type","Transfer","Entry No.",I415,"Location Code",$L$7)</t>
  </si>
  <si>
    <t>=NL("Sum","Item Ledger Entry","Quantity","Entry Type","Transfer","Entry No.",I416,"Location Code",$L$7)</t>
  </si>
  <si>
    <t>=NL("Sum","Item Ledger Entry","Quantity","Entry Type","Transfer","Entry No.",I418,"Location Code",$L$7)</t>
  </si>
  <si>
    <t>=NL("Sum","Item Ledger Entry","Quantity","Entry Type","Transfer","Entry No.",I419,"Location Code",$L$7)</t>
  </si>
  <si>
    <t>=NL("Sum","Item Ledger Entry","Quantity","Entry Type","Transfer","Entry No.",I420,"Location Code",$L$7)</t>
  </si>
  <si>
    <t>=NL("Sum","Item Ledger Entry","Quantity","Entry Type","Transfer","Entry No.",I422,"Location Code",$L$7)</t>
  </si>
  <si>
    <t>=NL("Sum","Item Ledger Entry","Quantity","Entry Type","Transfer","Entry No.",I423,"Location Code",$L$7)</t>
  </si>
  <si>
    <t>=NL("Sum","Item Ledger Entry","Quantity","Entry Type","Transfer","Entry No.",I424,"Location Code",$L$7)</t>
  </si>
  <si>
    <t>=NL("Sum","Item Ledger Entry","Quantity","Entry Type","Consumption","Entry No.",I414,"Location Code",$L$7)</t>
  </si>
  <si>
    <t>=NL("Sum","Item Ledger Entry","Quantity","Entry Type","Consumption","Entry No.",I415,"Location Code",$L$7)</t>
  </si>
  <si>
    <t>=NL("Sum","Item Ledger Entry","Quantity","Entry Type","Consumption","Entry No.",I416,"Location Code",$L$7)</t>
  </si>
  <si>
    <t>=NL("Sum","Item Ledger Entry","Quantity","Entry Type","Consumption","Entry No.",I418,"Location Code",$L$7)</t>
  </si>
  <si>
    <t>=NL("Sum","Item Ledger Entry","Quantity","Entry Type","Consumption","Entry No.",I419,"Location Code",$L$7)</t>
  </si>
  <si>
    <t>=NL("Sum","Item Ledger Entry","Quantity","Entry Type","Consumption","Entry No.",I420,"Location Code",$L$7)</t>
  </si>
  <si>
    <t>=NL("Sum","Item Ledger Entry","Quantity","Entry Type","Consumption","Entry No.",I422,"Location Code",$L$7)</t>
  </si>
  <si>
    <t>=NL("Sum","Item Ledger Entry","Quantity","Entry Type","Consumption","Entry No.",I423,"Location Code",$L$7)</t>
  </si>
  <si>
    <t>=NL("Sum","Item Ledger Entry","Quantity","Entry Type","Consumption","Entry No.",I424,"Location Code",$L$7)</t>
  </si>
  <si>
    <t>=NL("Sum","Item Ledger Entry","Quantity","Entry Type","Output","Entry No.",I414,"Location Code",$L$7)</t>
  </si>
  <si>
    <t>=NL("Sum","Item Ledger Entry","Quantity","Entry Type","Output","Entry No.",I415,"Location Code",$L$7)</t>
  </si>
  <si>
    <t>=NL("Sum","Item Ledger Entry","Quantity","Entry Type","Output","Entry No.",I416,"Location Code",$L$7)</t>
  </si>
  <si>
    <t>=NL("Sum","Item Ledger Entry","Quantity","Entry Type","Output","Entry No.",I418,"Location Code",$L$7)</t>
  </si>
  <si>
    <t>=NL("Sum","Item Ledger Entry","Quantity","Entry Type","Output","Entry No.",I419,"Location Code",$L$7)</t>
  </si>
  <si>
    <t>=NL("Sum","Item Ledger Entry","Quantity","Entry Type","Output","Entry No.",I420,"Location Code",$L$7)</t>
  </si>
  <si>
    <t>=NL("Sum","Item Ledger Entry","Quantity","Entry Type","Output","Entry No.",I422,"Location Code",$L$7)</t>
  </si>
  <si>
    <t>=NL("Sum","Item Ledger Entry","Quantity","Entry Type","Output","Entry No.",I423,"Location Code",$L$7)</t>
  </si>
  <si>
    <t>=NL("Sum","Item Ledger Entry","Quantity","Entry Type","Output","Entry No.",I424,"Location Code",$L$7)</t>
  </si>
  <si>
    <t>=NF(G416,"Source Type")</t>
  </si>
  <si>
    <t>=NF(G418,"Source Type")</t>
  </si>
  <si>
    <t>=NF(G420,"Source Type")</t>
  </si>
  <si>
    <t>=NF(G422,"Source Type")</t>
  </si>
  <si>
    <t>=NF(G424,"Source Type")</t>
  </si>
  <si>
    <t>=NF($G416,"Source No.")</t>
  </si>
  <si>
    <t>=NF($G418,"Source No.")</t>
  </si>
  <si>
    <t>=NF($G420,"Source No.")</t>
  </si>
  <si>
    <t>=NF($G422,"Source No.")</t>
  </si>
  <si>
    <t>=NF($G424,"Source No.")</t>
  </si>
  <si>
    <t>=NF($G387,"Posting Date")</t>
  </si>
  <si>
    <t>=NF($G388,"Posting Date")</t>
  </si>
  <si>
    <t>=NF($G392,"Posting Date")</t>
  </si>
  <si>
    <t>=NF($G399,"Posting Date")</t>
  </si>
  <si>
    <t>=NF($G400,"Posting Date")</t>
  </si>
  <si>
    <t>=NF($G401,"Posting Date")</t>
  </si>
  <si>
    <t>=NF($G404,"Posting Date")</t>
  </si>
  <si>
    <t>=NF($G405,"Posting Date")</t>
  </si>
  <si>
    <t>=NF($G387,"Entry No.")</t>
  </si>
  <si>
    <t>=NF($G388,"Entry No.")</t>
  </si>
  <si>
    <t>=NF($G392,"Entry No.")</t>
  </si>
  <si>
    <t>=NF($G399,"Entry No.")</t>
  </si>
  <si>
    <t>=NF($G400,"Entry No.")</t>
  </si>
  <si>
    <t>=NF($G401,"Entry No.")</t>
  </si>
  <si>
    <t>=NF($G404,"Entry No.")</t>
  </si>
  <si>
    <t>=NF($G405,"Entry No.")</t>
  </si>
  <si>
    <t>=NL("Sum","Item Ledger Entry","Quantity","Entry Type","Purchase","Entry No.",I387,"Location Code",$L$7)</t>
  </si>
  <si>
    <t>=NL("Sum","Item Ledger Entry","Quantity","Entry Type","Purchase","Entry No.",I388,"Location Code",$L$7)</t>
  </si>
  <si>
    <t>=NL("Sum","Item Ledger Entry","Quantity","Entry Type","Purchase","Entry No.",I389,"Location Code",$L$7)</t>
  </si>
  <si>
    <t>=NL("Sum","Item Ledger Entry","Quantity","Entry Type","Purchase","Entry No.",I392,"Location Code",$L$7)</t>
  </si>
  <si>
    <t>=NL("Sum","Item Ledger Entry","Quantity","Entry Type","Purchase","Entry No.",I393,"Location Code",$L$7)</t>
  </si>
  <si>
    <t>=NL("Sum","Item Ledger Entry","Quantity","Entry Type","Purchase","Entry No.",I394,"Location Code",$L$7)</t>
  </si>
  <si>
    <t>=NL("Sum","Item Ledger Entry","Quantity","Entry Type","Purchase","Entry No.",I399,"Location Code",$L$7)</t>
  </si>
  <si>
    <t>=NL("Sum","Item Ledger Entry","Quantity","Entry Type","Purchase","Entry No.",I400,"Location Code",$L$7)</t>
  </si>
  <si>
    <t>=NL("Sum","Item Ledger Entry","Quantity","Entry Type","Purchase","Entry No.",I401,"Location Code",$L$7)</t>
  </si>
  <si>
    <t>=NL("Sum","Item Ledger Entry","Quantity","Entry Type","Purchase","Entry No.",I404,"Location Code",$L$7)</t>
  </si>
  <si>
    <t>=NL("Sum","Item Ledger Entry","Quantity","Entry Type","Purchase","Entry No.",I405,"Location Code",$L$7)</t>
  </si>
  <si>
    <t>=NL("Sum","Item Ledger Entry","Quantity","Entry Type","Sale","Entry No.",I387,"Location Code",$L$7)</t>
  </si>
  <si>
    <t>=NL("Sum","Item Ledger Entry","Quantity","Entry Type","Sale","Entry No.",I388,"Location Code",$L$7)</t>
  </si>
  <si>
    <t>=NL("Sum","Item Ledger Entry","Quantity","Entry Type","Sale","Entry No.",I389,"Location Code",$L$7)</t>
  </si>
  <si>
    <t>=NL("Sum","Item Ledger Entry","Quantity","Entry Type","Sale","Entry No.",I392,"Location Code",$L$7)</t>
  </si>
  <si>
    <t>=NL("Sum","Item Ledger Entry","Quantity","Entry Type","Sale","Entry No.",I393,"Location Code",$L$7)</t>
  </si>
  <si>
    <t>=NL("Sum","Item Ledger Entry","Quantity","Entry Type","Sale","Entry No.",I394,"Location Code",$L$7)</t>
  </si>
  <si>
    <t>=NL("Sum","Item Ledger Entry","Quantity","Entry Type","Sale","Entry No.",I399,"Location Code",$L$7)</t>
  </si>
  <si>
    <t>=NL("Sum","Item Ledger Entry","Quantity","Entry Type","Sale","Entry No.",I400,"Location Code",$L$7)</t>
  </si>
  <si>
    <t>=NL("Sum","Item Ledger Entry","Quantity","Entry Type","Sale","Entry No.",I401,"Location Code",$L$7)</t>
  </si>
  <si>
    <t>=NL("Sum","Item Ledger Entry","Quantity","Entry Type","Sale","Entry No.",I404,"Location Code",$L$7)</t>
  </si>
  <si>
    <t>=NL("Sum","Item Ledger Entry","Quantity","Entry Type","Sale","Entry No.",I405,"Location Code",$L$7)</t>
  </si>
  <si>
    <t>=NL("Sum","Item Ledger Entry","Quantity","Entry Type","Positive Adjmt.|Negative Adjmt.","Entry No.",I387,"Location Code",$L$7)</t>
  </si>
  <si>
    <t>=NL("Sum","Item Ledger Entry","Quantity","Entry Type","Positive Adjmt.|Negative Adjmt.","Entry No.",I388,"Location Code",$L$7)</t>
  </si>
  <si>
    <t>=NL("Sum","Item Ledger Entry","Quantity","Entry Type","Positive Adjmt.|Negative Adjmt.","Entry No.",I389,"Location Code",$L$7)</t>
  </si>
  <si>
    <t>=NL("Sum","Item Ledger Entry","Quantity","Entry Type","Positive Adjmt.|Negative Adjmt.","Entry No.",I392,"Location Code",$L$7)</t>
  </si>
  <si>
    <t>=NL("Sum","Item Ledger Entry","Quantity","Entry Type","Positive Adjmt.|Negative Adjmt.","Entry No.",I393,"Location Code",$L$7)</t>
  </si>
  <si>
    <t>=NL("Sum","Item Ledger Entry","Quantity","Entry Type","Positive Adjmt.|Negative Adjmt.","Entry No.",I394,"Location Code",$L$7)</t>
  </si>
  <si>
    <t>=NL("Sum","Item Ledger Entry","Quantity","Entry Type","Positive Adjmt.|Negative Adjmt.","Entry No.",I399,"Location Code",$L$7)</t>
  </si>
  <si>
    <t>=NL("Sum","Item Ledger Entry","Quantity","Entry Type","Positive Adjmt.|Negative Adjmt.","Entry No.",I400,"Location Code",$L$7)</t>
  </si>
  <si>
    <t>=NL("Sum","Item Ledger Entry","Quantity","Entry Type","Positive Adjmt.|Negative Adjmt.","Entry No.",I401,"Location Code",$L$7)</t>
  </si>
  <si>
    <t>=NL("Sum","Item Ledger Entry","Quantity","Entry Type","Positive Adjmt.|Negative Adjmt.","Entry No.",I404,"Location Code",$L$7)</t>
  </si>
  <si>
    <t>=NL("Sum","Item Ledger Entry","Quantity","Entry Type","Positive Adjmt.|Negative Adjmt.","Entry No.",I405,"Location Code",$L$7)</t>
  </si>
  <si>
    <t>=NL("Sum","Item Ledger Entry","Quantity","Entry Type","Transfer","Entry No.",I387,"Location Code",$L$7)</t>
  </si>
  <si>
    <t>=NL("Sum","Item Ledger Entry","Quantity","Entry Type","Transfer","Entry No.",I388,"Location Code",$L$7)</t>
  </si>
  <si>
    <t>=NL("Sum","Item Ledger Entry","Quantity","Entry Type","Transfer","Entry No.",I389,"Location Code",$L$7)</t>
  </si>
  <si>
    <t>=NL("Sum","Item Ledger Entry","Quantity","Entry Type","Transfer","Entry No.",I392,"Location Code",$L$7)</t>
  </si>
  <si>
    <t>=NL("Sum","Item Ledger Entry","Quantity","Entry Type","Transfer","Entry No.",I393,"Location Code",$L$7)</t>
  </si>
  <si>
    <t>=NL("Sum","Item Ledger Entry","Quantity","Entry Type","Transfer","Entry No.",I394,"Location Code",$L$7)</t>
  </si>
  <si>
    <t>=NL("Sum","Item Ledger Entry","Quantity","Entry Type","Transfer","Entry No.",I399,"Location Code",$L$7)</t>
  </si>
  <si>
    <t>=NL("Sum","Item Ledger Entry","Quantity","Entry Type","Transfer","Entry No.",I400,"Location Code",$L$7)</t>
  </si>
  <si>
    <t>=NL("Sum","Item Ledger Entry","Quantity","Entry Type","Transfer","Entry No.",I401,"Location Code",$L$7)</t>
  </si>
  <si>
    <t>=NL("Sum","Item Ledger Entry","Quantity","Entry Type","Transfer","Entry No.",I404,"Location Code",$L$7)</t>
  </si>
  <si>
    <t>=NL("Sum","Item Ledger Entry","Quantity","Entry Type","Transfer","Entry No.",I405,"Location Code",$L$7)</t>
  </si>
  <si>
    <t>=NL("Sum","Item Ledger Entry","Quantity","Entry Type","Consumption","Entry No.",I387,"Location Code",$L$7)</t>
  </si>
  <si>
    <t>=NL("Sum","Item Ledger Entry","Quantity","Entry Type","Consumption","Entry No.",I388,"Location Code",$L$7)</t>
  </si>
  <si>
    <t>=NL("Sum","Item Ledger Entry","Quantity","Entry Type","Consumption","Entry No.",I389,"Location Code",$L$7)</t>
  </si>
  <si>
    <t>=NL("Sum","Item Ledger Entry","Quantity","Entry Type","Consumption","Entry No.",I392,"Location Code",$L$7)</t>
  </si>
  <si>
    <t>=NL("Sum","Item Ledger Entry","Quantity","Entry Type","Consumption","Entry No.",I393,"Location Code",$L$7)</t>
  </si>
  <si>
    <t>=NL("Sum","Item Ledger Entry","Quantity","Entry Type","Consumption","Entry No.",I394,"Location Code",$L$7)</t>
  </si>
  <si>
    <t>=NL("Sum","Item Ledger Entry","Quantity","Entry Type","Consumption","Entry No.",I399,"Location Code",$L$7)</t>
  </si>
  <si>
    <t>=NL("Sum","Item Ledger Entry","Quantity","Entry Type","Consumption","Entry No.",I400,"Location Code",$L$7)</t>
  </si>
  <si>
    <t>=NL("Sum","Item Ledger Entry","Quantity","Entry Type","Consumption","Entry No.",I401,"Location Code",$L$7)</t>
  </si>
  <si>
    <t>=NL("Sum","Item Ledger Entry","Quantity","Entry Type","Consumption","Entry No.",I404,"Location Code",$L$7)</t>
  </si>
  <si>
    <t>=NL("Sum","Item Ledger Entry","Quantity","Entry Type","Consumption","Entry No.",I405,"Location Code",$L$7)</t>
  </si>
  <si>
    <t>=NL("Sum","Item Ledger Entry","Quantity","Entry Type","Output","Entry No.",I387,"Location Code",$L$7)</t>
  </si>
  <si>
    <t>=NL("Sum","Item Ledger Entry","Quantity","Entry Type","Output","Entry No.",I388,"Location Code",$L$7)</t>
  </si>
  <si>
    <t>=NL("Sum","Item Ledger Entry","Quantity","Entry Type","Output","Entry No.",I389,"Location Code",$L$7)</t>
  </si>
  <si>
    <t>=NL("Sum","Item Ledger Entry","Quantity","Entry Type","Output","Entry No.",I392,"Location Code",$L$7)</t>
  </si>
  <si>
    <t>=NL("Sum","Item Ledger Entry","Quantity","Entry Type","Output","Entry No.",I393,"Location Code",$L$7)</t>
  </si>
  <si>
    <t>=NL("Sum","Item Ledger Entry","Quantity","Entry Type","Output","Entry No.",I394,"Location Code",$L$7)</t>
  </si>
  <si>
    <t>=NL("Sum","Item Ledger Entry","Quantity","Entry Type","Output","Entry No.",I399,"Location Code",$L$7)</t>
  </si>
  <si>
    <t>=NL("Sum","Item Ledger Entry","Quantity","Entry Type","Output","Entry No.",I400,"Location Code",$L$7)</t>
  </si>
  <si>
    <t>=NL("Sum","Item Ledger Entry","Quantity","Entry Type","Output","Entry No.",I401,"Location Code",$L$7)</t>
  </si>
  <si>
    <t>=NL("Sum","Item Ledger Entry","Quantity","Entry Type","Output","Entry No.",I404,"Location Code",$L$7)</t>
  </si>
  <si>
    <t>=NL("Sum","Item Ledger Entry","Quantity","Entry Type","Output","Entry No.",I405,"Location Code",$L$7)</t>
  </si>
  <si>
    <t>=NF(G387,"Source Type")</t>
  </si>
  <si>
    <t>=NF(G388,"Source Type")</t>
  </si>
  <si>
    <t>=NF(G392,"Source Type")</t>
  </si>
  <si>
    <t>=NF(G399,"Source Type")</t>
  </si>
  <si>
    <t>=NF(G400,"Source Type")</t>
  </si>
  <si>
    <t>=NF(G401,"Source Type")</t>
  </si>
  <si>
    <t>=NF(G404,"Source Type")</t>
  </si>
  <si>
    <t>=NF(G405,"Source Type")</t>
  </si>
  <si>
    <t>=NF($G387,"Source No.")</t>
  </si>
  <si>
    <t>=NF($G388,"Source No.")</t>
  </si>
  <si>
    <t>=NF($G392,"Source No.")</t>
  </si>
  <si>
    <t>=NF($G399,"Source No.")</t>
  </si>
  <si>
    <t>=NF($G400,"Source No.")</t>
  </si>
  <si>
    <t>=NF($G401,"Source No.")</t>
  </si>
  <si>
    <t>=NF($G404,"Source No.")</t>
  </si>
  <si>
    <t>=NF($G405,"Source No.")</t>
  </si>
  <si>
    <t>=NF($G372,"Posting Date")</t>
  </si>
  <si>
    <t>=NF($G373,"Posting Date")</t>
  </si>
  <si>
    <t>=NF($G374,"Posting Date")</t>
  </si>
  <si>
    <t>=NF($G372,"Entry No.")</t>
  </si>
  <si>
    <t>=NF($G373,"Entry No.")</t>
  </si>
  <si>
    <t>=NF($G374,"Entry No.")</t>
  </si>
  <si>
    <t>=NL("Sum","Item Ledger Entry","Quantity","Entry Type","Purchase","Entry No.",I372,"Location Code",$L$7)</t>
  </si>
  <si>
    <t>=NL("Sum","Item Ledger Entry","Quantity","Entry Type","Purchase","Entry No.",I373,"Location Code",$L$7)</t>
  </si>
  <si>
    <t>=NL("Sum","Item Ledger Entry","Quantity","Entry Type","Purchase","Entry No.",I374,"Location Code",$L$7)</t>
  </si>
  <si>
    <t>=NL("Sum","Item Ledger Entry","Quantity","Entry Type","Purchase","Entry No.",I378,"Location Code",$L$7)</t>
  </si>
  <si>
    <t>=NL("Sum","Item Ledger Entry","Quantity","Entry Type","Purchase","Entry No.",I379,"Location Code",$L$7)</t>
  </si>
  <si>
    <t>=NL("Sum","Item Ledger Entry","Quantity","Entry Type","Purchase","Entry No.",I380,"Location Code",$L$7)</t>
  </si>
  <si>
    <t>=NL("Sum","Item Ledger Entry","Quantity","Entry Type","Sale","Entry No.",I372,"Location Code",$L$7)</t>
  </si>
  <si>
    <t>=NL("Sum","Item Ledger Entry","Quantity","Entry Type","Sale","Entry No.",I373,"Location Code",$L$7)</t>
  </si>
  <si>
    <t>=NL("Sum","Item Ledger Entry","Quantity","Entry Type","Sale","Entry No.",I374,"Location Code",$L$7)</t>
  </si>
  <si>
    <t>=NL("Sum","Item Ledger Entry","Quantity","Entry Type","Sale","Entry No.",I378,"Location Code",$L$7)</t>
  </si>
  <si>
    <t>=NL("Sum","Item Ledger Entry","Quantity","Entry Type","Sale","Entry No.",I379,"Location Code",$L$7)</t>
  </si>
  <si>
    <t>=NL("Sum","Item Ledger Entry","Quantity","Entry Type","Sale","Entry No.",I380,"Location Code",$L$7)</t>
  </si>
  <si>
    <t>=NL("Sum","Item Ledger Entry","Quantity","Entry Type","Positive Adjmt.|Negative Adjmt.","Entry No.",I372,"Location Code",$L$7)</t>
  </si>
  <si>
    <t>=NL("Sum","Item Ledger Entry","Quantity","Entry Type","Positive Adjmt.|Negative Adjmt.","Entry No.",I373,"Location Code",$L$7)</t>
  </si>
  <si>
    <t>=NL("Sum","Item Ledger Entry","Quantity","Entry Type","Positive Adjmt.|Negative Adjmt.","Entry No.",I374,"Location Code",$L$7)</t>
  </si>
  <si>
    <t>=NL("Sum","Item Ledger Entry","Quantity","Entry Type","Positive Adjmt.|Negative Adjmt.","Entry No.",I378,"Location Code",$L$7)</t>
  </si>
  <si>
    <t>=NL("Sum","Item Ledger Entry","Quantity","Entry Type","Positive Adjmt.|Negative Adjmt.","Entry No.",I379,"Location Code",$L$7)</t>
  </si>
  <si>
    <t>=NL("Sum","Item Ledger Entry","Quantity","Entry Type","Positive Adjmt.|Negative Adjmt.","Entry No.",I380,"Location Code",$L$7)</t>
  </si>
  <si>
    <t>=NL("Sum","Item Ledger Entry","Quantity","Entry Type","Transfer","Entry No.",I372,"Location Code",$L$7)</t>
  </si>
  <si>
    <t>=NL("Sum","Item Ledger Entry","Quantity","Entry Type","Transfer","Entry No.",I373,"Location Code",$L$7)</t>
  </si>
  <si>
    <t>=NL("Sum","Item Ledger Entry","Quantity","Entry Type","Transfer","Entry No.",I374,"Location Code",$L$7)</t>
  </si>
  <si>
    <t>=NL("Sum","Item Ledger Entry","Quantity","Entry Type","Transfer","Entry No.",I378,"Location Code",$L$7)</t>
  </si>
  <si>
    <t>=NL("Sum","Item Ledger Entry","Quantity","Entry Type","Transfer","Entry No.",I379,"Location Code",$L$7)</t>
  </si>
  <si>
    <t>=NL("Sum","Item Ledger Entry","Quantity","Entry Type","Transfer","Entry No.",I380,"Location Code",$L$7)</t>
  </si>
  <si>
    <t>=NL("Sum","Item Ledger Entry","Quantity","Entry Type","Consumption","Entry No.",I372,"Location Code",$L$7)</t>
  </si>
  <si>
    <t>=NL("Sum","Item Ledger Entry","Quantity","Entry Type","Consumption","Entry No.",I373,"Location Code",$L$7)</t>
  </si>
  <si>
    <t>=NL("Sum","Item Ledger Entry","Quantity","Entry Type","Consumption","Entry No.",I374,"Location Code",$L$7)</t>
  </si>
  <si>
    <t>=NL("Sum","Item Ledger Entry","Quantity","Entry Type","Consumption","Entry No.",I378,"Location Code",$L$7)</t>
  </si>
  <si>
    <t>=NL("Sum","Item Ledger Entry","Quantity","Entry Type","Consumption","Entry No.",I379,"Location Code",$L$7)</t>
  </si>
  <si>
    <t>=NL("Sum","Item Ledger Entry","Quantity","Entry Type","Consumption","Entry No.",I380,"Location Code",$L$7)</t>
  </si>
  <si>
    <t>=NL("Sum","Item Ledger Entry","Quantity","Entry Type","Output","Entry No.",I372,"Location Code",$L$7)</t>
  </si>
  <si>
    <t>=NL("Sum","Item Ledger Entry","Quantity","Entry Type","Output","Entry No.",I373,"Location Code",$L$7)</t>
  </si>
  <si>
    <t>=NL("Sum","Item Ledger Entry","Quantity","Entry Type","Output","Entry No.",I374,"Location Code",$L$7)</t>
  </si>
  <si>
    <t>=NL("Sum","Item Ledger Entry","Quantity","Entry Type","Output","Entry No.",I378,"Location Code",$L$7)</t>
  </si>
  <si>
    <t>=NL("Sum","Item Ledger Entry","Quantity","Entry Type","Output","Entry No.",I379,"Location Code",$L$7)</t>
  </si>
  <si>
    <t>=NL("Sum","Item Ledger Entry","Quantity","Entry Type","Output","Entry No.",I380,"Location Code",$L$7)</t>
  </si>
  <si>
    <t>=NF(G372,"Source Type")</t>
  </si>
  <si>
    <t>=NF(G373,"Source Type")</t>
  </si>
  <si>
    <t>=NF(G374,"Source Type")</t>
  </si>
  <si>
    <t>=NF($G372,"Source No.")</t>
  </si>
  <si>
    <t>=NF($G373,"Source No.")</t>
  </si>
  <si>
    <t>=NF($G374,"Source No.")</t>
  </si>
  <si>
    <t>=NF($G352,"Posting Date")</t>
  </si>
  <si>
    <t>=NF($G352,"Entry No.")</t>
  </si>
  <si>
    <t>=NL("Sum","Item Ledger Entry","Quantity","Entry Type","Purchase","Entry No.",I341,"Location Code",$L$7)</t>
  </si>
  <si>
    <t>=NL("Sum","Item Ledger Entry","Quantity","Entry Type","Purchase","Entry No.",I342,"Location Code",$L$7)</t>
  </si>
  <si>
    <t>=NL("Sum","Item Ledger Entry","Quantity","Entry Type","Purchase","Entry No.",I351,"Location Code",$L$7)</t>
  </si>
  <si>
    <t>=NL("Sum","Item Ledger Entry","Quantity","Entry Type","Purchase","Entry No.",I352,"Location Code",$L$7)</t>
  </si>
  <si>
    <t>=NL("Sum","Item Ledger Entry","Quantity","Entry Type","Purchase","Entry No.",I353,"Location Code",$L$7)</t>
  </si>
  <si>
    <t>=NL("Sum","Item Ledger Entry","Quantity","Entry Type","Purchase","Entry No.",I358,"Location Code",$L$7)</t>
  </si>
  <si>
    <t>=NL("Sum","Item Ledger Entry","Quantity","Entry Type","Purchase","Entry No.",I359,"Location Code",$L$7)</t>
  </si>
  <si>
    <t>=NL("Sum","Item Ledger Entry","Quantity","Entry Type","Purchase","Entry No.",I360,"Location Code",$L$7)</t>
  </si>
  <si>
    <t>=NL("Sum","Item Ledger Entry","Quantity","Entry Type","Purchase","Entry No.",I366,"Location Code",$L$7)</t>
  </si>
  <si>
    <t>=NL("Sum","Item Ledger Entry","Quantity","Entry Type","Sale","Entry No.",I341,"Location Code",$L$7)</t>
  </si>
  <si>
    <t>=NL("Sum","Item Ledger Entry","Quantity","Entry Type","Sale","Entry No.",I342,"Location Code",$L$7)</t>
  </si>
  <si>
    <t>=NL("Sum","Item Ledger Entry","Quantity","Entry Type","Sale","Entry No.",I351,"Location Code",$L$7)</t>
  </si>
  <si>
    <t>=NL("Sum","Item Ledger Entry","Quantity","Entry Type","Sale","Entry No.",I352,"Location Code",$L$7)</t>
  </si>
  <si>
    <t>=NL("Sum","Item Ledger Entry","Quantity","Entry Type","Sale","Entry No.",I353,"Location Code",$L$7)</t>
  </si>
  <si>
    <t>=NL("Sum","Item Ledger Entry","Quantity","Entry Type","Sale","Entry No.",I358,"Location Code",$L$7)</t>
  </si>
  <si>
    <t>=NL("Sum","Item Ledger Entry","Quantity","Entry Type","Sale","Entry No.",I359,"Location Code",$L$7)</t>
  </si>
  <si>
    <t>=NL("Sum","Item Ledger Entry","Quantity","Entry Type","Sale","Entry No.",I360,"Location Code",$L$7)</t>
  </si>
  <si>
    <t>=NL("Sum","Item Ledger Entry","Quantity","Entry Type","Sale","Entry No.",I366,"Location Code",$L$7)</t>
  </si>
  <si>
    <t>=NL("Sum","Item Ledger Entry","Quantity","Entry Type","Positive Adjmt.|Negative Adjmt.","Entry No.",I341,"Location Code",$L$7)</t>
  </si>
  <si>
    <t>=NL("Sum","Item Ledger Entry","Quantity","Entry Type","Positive Adjmt.|Negative Adjmt.","Entry No.",I342,"Location Code",$L$7)</t>
  </si>
  <si>
    <t>=NL("Sum","Item Ledger Entry","Quantity","Entry Type","Positive Adjmt.|Negative Adjmt.","Entry No.",I351,"Location Code",$L$7)</t>
  </si>
  <si>
    <t>=NL("Sum","Item Ledger Entry","Quantity","Entry Type","Positive Adjmt.|Negative Adjmt.","Entry No.",I352,"Location Code",$L$7)</t>
  </si>
  <si>
    <t>=NL("Sum","Item Ledger Entry","Quantity","Entry Type","Positive Adjmt.|Negative Adjmt.","Entry No.",I353,"Location Code",$L$7)</t>
  </si>
  <si>
    <t>=NL("Sum","Item Ledger Entry","Quantity","Entry Type","Positive Adjmt.|Negative Adjmt.","Entry No.",I358,"Location Code",$L$7)</t>
  </si>
  <si>
    <t>=NL("Sum","Item Ledger Entry","Quantity","Entry Type","Positive Adjmt.|Negative Adjmt.","Entry No.",I359,"Location Code",$L$7)</t>
  </si>
  <si>
    <t>=NL("Sum","Item Ledger Entry","Quantity","Entry Type","Positive Adjmt.|Negative Adjmt.","Entry No.",I360,"Location Code",$L$7)</t>
  </si>
  <si>
    <t>=NL("Sum","Item Ledger Entry","Quantity","Entry Type","Positive Adjmt.|Negative Adjmt.","Entry No.",I366,"Location Code",$L$7)</t>
  </si>
  <si>
    <t>=NL("Sum","Item Ledger Entry","Quantity","Entry Type","Transfer","Entry No.",I341,"Location Code",$L$7)</t>
  </si>
  <si>
    <t>=NL("Sum","Item Ledger Entry","Quantity","Entry Type","Transfer","Entry No.",I342,"Location Code",$L$7)</t>
  </si>
  <si>
    <t>=NL("Sum","Item Ledger Entry","Quantity","Entry Type","Transfer","Entry No.",I351,"Location Code",$L$7)</t>
  </si>
  <si>
    <t>=NL("Sum","Item Ledger Entry","Quantity","Entry Type","Transfer","Entry No.",I352,"Location Code",$L$7)</t>
  </si>
  <si>
    <t>=NL("Sum","Item Ledger Entry","Quantity","Entry Type","Transfer","Entry No.",I353,"Location Code",$L$7)</t>
  </si>
  <si>
    <t>=NL("Sum","Item Ledger Entry","Quantity","Entry Type","Transfer","Entry No.",I358,"Location Code",$L$7)</t>
  </si>
  <si>
    <t>=NL("Sum","Item Ledger Entry","Quantity","Entry Type","Transfer","Entry No.",I359,"Location Code",$L$7)</t>
  </si>
  <si>
    <t>=NL("Sum","Item Ledger Entry","Quantity","Entry Type","Transfer","Entry No.",I360,"Location Code",$L$7)</t>
  </si>
  <si>
    <t>=NL("Sum","Item Ledger Entry","Quantity","Entry Type","Transfer","Entry No.",I366,"Location Code",$L$7)</t>
  </si>
  <si>
    <t>=NL("Sum","Item Ledger Entry","Quantity","Entry Type","Consumption","Entry No.",I341,"Location Code",$L$7)</t>
  </si>
  <si>
    <t>=NL("Sum","Item Ledger Entry","Quantity","Entry Type","Consumption","Entry No.",I342,"Location Code",$L$7)</t>
  </si>
  <si>
    <t>=NL("Sum","Item Ledger Entry","Quantity","Entry Type","Consumption","Entry No.",I351,"Location Code",$L$7)</t>
  </si>
  <si>
    <t>=NL("Sum","Item Ledger Entry","Quantity","Entry Type","Consumption","Entry No.",I352,"Location Code",$L$7)</t>
  </si>
  <si>
    <t>=NL("Sum","Item Ledger Entry","Quantity","Entry Type","Consumption","Entry No.",I353,"Location Code",$L$7)</t>
  </si>
  <si>
    <t>=NL("Sum","Item Ledger Entry","Quantity","Entry Type","Consumption","Entry No.",I358,"Location Code",$L$7)</t>
  </si>
  <si>
    <t>=NL("Sum","Item Ledger Entry","Quantity","Entry Type","Consumption","Entry No.",I359,"Location Code",$L$7)</t>
  </si>
  <si>
    <t>=NL("Sum","Item Ledger Entry","Quantity","Entry Type","Consumption","Entry No.",I360,"Location Code",$L$7)</t>
  </si>
  <si>
    <t>=NL("Sum","Item Ledger Entry","Quantity","Entry Type","Consumption","Entry No.",I366,"Location Code",$L$7)</t>
  </si>
  <si>
    <t>=NL("Sum","Item Ledger Entry","Quantity","Entry Type","Output","Entry No.",I341,"Location Code",$L$7)</t>
  </si>
  <si>
    <t>=NL("Sum","Item Ledger Entry","Quantity","Entry Type","Output","Entry No.",I342,"Location Code",$L$7)</t>
  </si>
  <si>
    <t>=NL("Sum","Item Ledger Entry","Quantity","Entry Type","Output","Entry No.",I351,"Location Code",$L$7)</t>
  </si>
  <si>
    <t>=NL("Sum","Item Ledger Entry","Quantity","Entry Type","Output","Entry No.",I352,"Location Code",$L$7)</t>
  </si>
  <si>
    <t>=NL("Sum","Item Ledger Entry","Quantity","Entry Type","Output","Entry No.",I353,"Location Code",$L$7)</t>
  </si>
  <si>
    <t>=NL("Sum","Item Ledger Entry","Quantity","Entry Type","Output","Entry No.",I358,"Location Code",$L$7)</t>
  </si>
  <si>
    <t>=NL("Sum","Item Ledger Entry","Quantity","Entry Type","Output","Entry No.",I359,"Location Code",$L$7)</t>
  </si>
  <si>
    <t>=NL("Sum","Item Ledger Entry","Quantity","Entry Type","Output","Entry No.",I360,"Location Code",$L$7)</t>
  </si>
  <si>
    <t>=NL("Sum","Item Ledger Entry","Quantity","Entry Type","Output","Entry No.",I366,"Location Code",$L$7)</t>
  </si>
  <si>
    <t>=NF(G352,"Source Type")</t>
  </si>
  <si>
    <t>=NF($G352,"Source No.")</t>
  </si>
  <si>
    <t>=NF($G318,"Posting Date")</t>
  </si>
  <si>
    <t>=NF($G327,"Posting Date")</t>
  </si>
  <si>
    <t>=NF($G318,"Entry No.")</t>
  </si>
  <si>
    <t>=NF($G327,"Entry No.")</t>
  </si>
  <si>
    <t>=NL("Sum","Item Ledger Entry","Quantity","Entry Type","Purchase","Entry No.",I317,"Location Code",$L$7)</t>
  </si>
  <si>
    <t>=NL("Sum","Item Ledger Entry","Quantity","Entry Type","Purchase","Entry No.",I318,"Location Code",$L$7)</t>
  </si>
  <si>
    <t>=NL("Sum","Item Ledger Entry","Quantity","Entry Type","Purchase","Entry No.",I319,"Location Code",$L$7)</t>
  </si>
  <si>
    <t>=NL("Sum","Item Ledger Entry","Quantity","Entry Type","Purchase","Entry No.",I326,"Location Code",$L$7)</t>
  </si>
  <si>
    <t>=NL("Sum","Item Ledger Entry","Quantity","Entry Type","Purchase","Entry No.",I327,"Location Code",$L$7)</t>
  </si>
  <si>
    <t>=NL("Sum","Item Ledger Entry","Quantity","Entry Type","Purchase","Entry No.",I328,"Location Code",$L$7)</t>
  </si>
  <si>
    <t>=NL("Sum","Item Ledger Entry","Quantity","Entry Type","Purchase","Entry No.",I333,"Location Code",$L$7)</t>
  </si>
  <si>
    <t>=NL("Sum","Item Ledger Entry","Quantity","Entry Type","Purchase","Entry No.",I334,"Location Code",$L$7)</t>
  </si>
  <si>
    <t>=NL("Sum","Item Ledger Entry","Quantity","Entry Type","Purchase","Entry No.",I335,"Location Code",$L$7)</t>
  </si>
  <si>
    <t>=NL("Sum","Item Ledger Entry","Quantity","Entry Type","Sale","Entry No.",I317,"Location Code",$L$7)</t>
  </si>
  <si>
    <t>=NL("Sum","Item Ledger Entry","Quantity","Entry Type","Sale","Entry No.",I318,"Location Code",$L$7)</t>
  </si>
  <si>
    <t>=NL("Sum","Item Ledger Entry","Quantity","Entry Type","Sale","Entry No.",I319,"Location Code",$L$7)</t>
  </si>
  <si>
    <t>=NL("Sum","Item Ledger Entry","Quantity","Entry Type","Sale","Entry No.",I326,"Location Code",$L$7)</t>
  </si>
  <si>
    <t>=NL("Sum","Item Ledger Entry","Quantity","Entry Type","Sale","Entry No.",I327,"Location Code",$L$7)</t>
  </si>
  <si>
    <t>=NL("Sum","Item Ledger Entry","Quantity","Entry Type","Sale","Entry No.",I328,"Location Code",$L$7)</t>
  </si>
  <si>
    <t>=NL("Sum","Item Ledger Entry","Quantity","Entry Type","Sale","Entry No.",I333,"Location Code",$L$7)</t>
  </si>
  <si>
    <t>=NL("Sum","Item Ledger Entry","Quantity","Entry Type","Sale","Entry No.",I334,"Location Code",$L$7)</t>
  </si>
  <si>
    <t>=NL("Sum","Item Ledger Entry","Quantity","Entry Type","Sale","Entry No.",I335,"Location Code",$L$7)</t>
  </si>
  <si>
    <t>=NL("Sum","Item Ledger Entry","Quantity","Entry Type","Positive Adjmt.|Negative Adjmt.","Entry No.",I317,"Location Code",$L$7)</t>
  </si>
  <si>
    <t>=NL("Sum","Item Ledger Entry","Quantity","Entry Type","Positive Adjmt.|Negative Adjmt.","Entry No.",I318,"Location Code",$L$7)</t>
  </si>
  <si>
    <t>=NL("Sum","Item Ledger Entry","Quantity","Entry Type","Positive Adjmt.|Negative Adjmt.","Entry No.",I319,"Location Code",$L$7)</t>
  </si>
  <si>
    <t>=NL("Sum","Item Ledger Entry","Quantity","Entry Type","Positive Adjmt.|Negative Adjmt.","Entry No.",I326,"Location Code",$L$7)</t>
  </si>
  <si>
    <t>=NL("Sum","Item Ledger Entry","Quantity","Entry Type","Positive Adjmt.|Negative Adjmt.","Entry No.",I327,"Location Code",$L$7)</t>
  </si>
  <si>
    <t>=NL("Sum","Item Ledger Entry","Quantity","Entry Type","Positive Adjmt.|Negative Adjmt.","Entry No.",I328,"Location Code",$L$7)</t>
  </si>
  <si>
    <t>=NL("Sum","Item Ledger Entry","Quantity","Entry Type","Positive Adjmt.|Negative Adjmt.","Entry No.",I333,"Location Code",$L$7)</t>
  </si>
  <si>
    <t>=NL("Sum","Item Ledger Entry","Quantity","Entry Type","Positive Adjmt.|Negative Adjmt.","Entry No.",I334,"Location Code",$L$7)</t>
  </si>
  <si>
    <t>=NL("Sum","Item Ledger Entry","Quantity","Entry Type","Positive Adjmt.|Negative Adjmt.","Entry No.",I335,"Location Code",$L$7)</t>
  </si>
  <si>
    <t>=NL("Sum","Item Ledger Entry","Quantity","Entry Type","Transfer","Entry No.",I317,"Location Code",$L$7)</t>
  </si>
  <si>
    <t>=NL("Sum","Item Ledger Entry","Quantity","Entry Type","Transfer","Entry No.",I318,"Location Code",$L$7)</t>
  </si>
  <si>
    <t>=NL("Sum","Item Ledger Entry","Quantity","Entry Type","Transfer","Entry No.",I319,"Location Code",$L$7)</t>
  </si>
  <si>
    <t>=NL("Sum","Item Ledger Entry","Quantity","Entry Type","Transfer","Entry No.",I326,"Location Code",$L$7)</t>
  </si>
  <si>
    <t>=NL("Sum","Item Ledger Entry","Quantity","Entry Type","Transfer","Entry No.",I327,"Location Code",$L$7)</t>
  </si>
  <si>
    <t>=NL("Sum","Item Ledger Entry","Quantity","Entry Type","Transfer","Entry No.",I328,"Location Code",$L$7)</t>
  </si>
  <si>
    <t>=NL("Sum","Item Ledger Entry","Quantity","Entry Type","Transfer","Entry No.",I333,"Location Code",$L$7)</t>
  </si>
  <si>
    <t>=NL("Sum","Item Ledger Entry","Quantity","Entry Type","Transfer","Entry No.",I334,"Location Code",$L$7)</t>
  </si>
  <si>
    <t>=NL("Sum","Item Ledger Entry","Quantity","Entry Type","Transfer","Entry No.",I335,"Location Code",$L$7)</t>
  </si>
  <si>
    <t>=NL("Sum","Item Ledger Entry","Quantity","Entry Type","Consumption","Entry No.",I317,"Location Code",$L$7)</t>
  </si>
  <si>
    <t>=NL("Sum","Item Ledger Entry","Quantity","Entry Type","Consumption","Entry No.",I318,"Location Code",$L$7)</t>
  </si>
  <si>
    <t>=NL("Sum","Item Ledger Entry","Quantity","Entry Type","Consumption","Entry No.",I319,"Location Code",$L$7)</t>
  </si>
  <si>
    <t>=NL("Sum","Item Ledger Entry","Quantity","Entry Type","Consumption","Entry No.",I326,"Location Code",$L$7)</t>
  </si>
  <si>
    <t>=NL("Sum","Item Ledger Entry","Quantity","Entry Type","Consumption","Entry No.",I327,"Location Code",$L$7)</t>
  </si>
  <si>
    <t>=NL("Sum","Item Ledger Entry","Quantity","Entry Type","Consumption","Entry No.",I328,"Location Code",$L$7)</t>
  </si>
  <si>
    <t>=NL("Sum","Item Ledger Entry","Quantity","Entry Type","Consumption","Entry No.",I333,"Location Code",$L$7)</t>
  </si>
  <si>
    <t>=NL("Sum","Item Ledger Entry","Quantity","Entry Type","Consumption","Entry No.",I334,"Location Code",$L$7)</t>
  </si>
  <si>
    <t>=NL("Sum","Item Ledger Entry","Quantity","Entry Type","Consumption","Entry No.",I335,"Location Code",$L$7)</t>
  </si>
  <si>
    <t>=NL("Sum","Item Ledger Entry","Quantity","Entry Type","Output","Entry No.",I317,"Location Code",$L$7)</t>
  </si>
  <si>
    <t>=NL("Sum","Item Ledger Entry","Quantity","Entry Type","Output","Entry No.",I318,"Location Code",$L$7)</t>
  </si>
  <si>
    <t>=NL("Sum","Item Ledger Entry","Quantity","Entry Type","Output","Entry No.",I319,"Location Code",$L$7)</t>
  </si>
  <si>
    <t>=NL("Sum","Item Ledger Entry","Quantity","Entry Type","Output","Entry No.",I326,"Location Code",$L$7)</t>
  </si>
  <si>
    <t>=NL("Sum","Item Ledger Entry","Quantity","Entry Type","Output","Entry No.",I327,"Location Code",$L$7)</t>
  </si>
  <si>
    <t>=NL("Sum","Item Ledger Entry","Quantity","Entry Type","Output","Entry No.",I328,"Location Code",$L$7)</t>
  </si>
  <si>
    <t>=NL("Sum","Item Ledger Entry","Quantity","Entry Type","Output","Entry No.",I333,"Location Code",$L$7)</t>
  </si>
  <si>
    <t>=NL("Sum","Item Ledger Entry","Quantity","Entry Type","Output","Entry No.",I334,"Location Code",$L$7)</t>
  </si>
  <si>
    <t>=NL("Sum","Item Ledger Entry","Quantity","Entry Type","Output","Entry No.",I335,"Location Code",$L$7)</t>
  </si>
  <si>
    <t>=NF(G318,"Source Type")</t>
  </si>
  <si>
    <t>=NF(G327,"Source Type")</t>
  </si>
  <si>
    <t>=NF($G318,"Source No.")</t>
  </si>
  <si>
    <t>=NF($G327,"Source No.")</t>
  </si>
  <si>
    <t>=NL("Sum","Item Ledger Entry","Quantity","Entry Type","Purchase","Entry No.",I309,"Location Code",$L$7)</t>
  </si>
  <si>
    <t>=NL("Sum","Item Ledger Entry","Quantity","Entry Type","Purchase","Entry No.",I310,"Location Code",$L$7)</t>
  </si>
  <si>
    <t>=NL("Sum","Item Ledger Entry","Quantity","Entry Type","Purchase","Entry No.",I311,"Location Code",$L$7)</t>
  </si>
  <si>
    <t>=NL("Sum","Item Ledger Entry","Quantity","Entry Type","Sale","Entry No.",I309,"Location Code",$L$7)</t>
  </si>
  <si>
    <t>=NL("Sum","Item Ledger Entry","Quantity","Entry Type","Sale","Entry No.",I310,"Location Code",$L$7)</t>
  </si>
  <si>
    <t>=NL("Sum","Item Ledger Entry","Quantity","Entry Type","Sale","Entry No.",I311,"Location Code",$L$7)</t>
  </si>
  <si>
    <t>=NL("Sum","Item Ledger Entry","Quantity","Entry Type","Positive Adjmt.|Negative Adjmt.","Entry No.",I309,"Location Code",$L$7)</t>
  </si>
  <si>
    <t>=NL("Sum","Item Ledger Entry","Quantity","Entry Type","Positive Adjmt.|Negative Adjmt.","Entry No.",I310,"Location Code",$L$7)</t>
  </si>
  <si>
    <t>=NL("Sum","Item Ledger Entry","Quantity","Entry Type","Positive Adjmt.|Negative Adjmt.","Entry No.",I311,"Location Code",$L$7)</t>
  </si>
  <si>
    <t>=NL("Sum","Item Ledger Entry","Quantity","Entry Type","Transfer","Entry No.",I309,"Location Code",$L$7)</t>
  </si>
  <si>
    <t>=NL("Sum","Item Ledger Entry","Quantity","Entry Type","Transfer","Entry No.",I310,"Location Code",$L$7)</t>
  </si>
  <si>
    <t>=NL("Sum","Item Ledger Entry","Quantity","Entry Type","Transfer","Entry No.",I311,"Location Code",$L$7)</t>
  </si>
  <si>
    <t>=NL("Sum","Item Ledger Entry","Quantity","Entry Type","Consumption","Entry No.",I309,"Location Code",$L$7)</t>
  </si>
  <si>
    <t>=NL("Sum","Item Ledger Entry","Quantity","Entry Type","Consumption","Entry No.",I310,"Location Code",$L$7)</t>
  </si>
  <si>
    <t>=NL("Sum","Item Ledger Entry","Quantity","Entry Type","Consumption","Entry No.",I311,"Location Code",$L$7)</t>
  </si>
  <si>
    <t>=NL("Sum","Item Ledger Entry","Quantity","Entry Type","Output","Entry No.",I309,"Location Code",$L$7)</t>
  </si>
  <si>
    <t>=NL("Sum","Item Ledger Entry","Quantity","Entry Type","Output","Entry No.",I310,"Location Code",$L$7)</t>
  </si>
  <si>
    <t>=NL("Sum","Item Ledger Entry","Quantity","Entry Type","Output","Entry No.",I311,"Location Code",$L$7)</t>
  </si>
  <si>
    <t>=NL("Sum","Item Ledger Entry","Quantity","Entry Type","Purchase","Entry No.",I286,"Location Code",$L$7)</t>
  </si>
  <si>
    <t>=NL("Sum","Item Ledger Entry","Quantity","Entry Type","Purchase","Entry No.",I287,"Location Code",$L$7)</t>
  </si>
  <si>
    <t>=NL("Sum","Item Ledger Entry","Quantity","Entry Type","Purchase","Entry No.",I288,"Location Code",$L$7)</t>
  </si>
  <si>
    <t>=NL("Sum","Item Ledger Entry","Quantity","Entry Type","Purchase","Entry No.",I292,"Location Code",$L$7)</t>
  </si>
  <si>
    <t>=NL("Sum","Item Ledger Entry","Quantity","Entry Type","Purchase","Entry No.",I293,"Location Code",$L$7)</t>
  </si>
  <si>
    <t>=NL("Sum","Item Ledger Entry","Quantity","Entry Type","Purchase","Entry No.",I294,"Location Code",$L$7)</t>
  </si>
  <si>
    <t>=NL("Sum","Item Ledger Entry","Quantity","Entry Type","Sale","Entry No.",I286,"Location Code",$L$7)</t>
  </si>
  <si>
    <t>=NL("Sum","Item Ledger Entry","Quantity","Entry Type","Sale","Entry No.",I287,"Location Code",$L$7)</t>
  </si>
  <si>
    <t>=NL("Sum","Item Ledger Entry","Quantity","Entry Type","Sale","Entry No.",I288,"Location Code",$L$7)</t>
  </si>
  <si>
    <t>=NL("Sum","Item Ledger Entry","Quantity","Entry Type","Sale","Entry No.",I292,"Location Code",$L$7)</t>
  </si>
  <si>
    <t>=NL("Sum","Item Ledger Entry","Quantity","Entry Type","Sale","Entry No.",I293,"Location Code",$L$7)</t>
  </si>
  <si>
    <t>=NL("Sum","Item Ledger Entry","Quantity","Entry Type","Sale","Entry No.",I294,"Location Code",$L$7)</t>
  </si>
  <si>
    <t>=NL("Sum","Item Ledger Entry","Quantity","Entry Type","Positive Adjmt.|Negative Adjmt.","Entry No.",I286,"Location Code",$L$7)</t>
  </si>
  <si>
    <t>=NL("Sum","Item Ledger Entry","Quantity","Entry Type","Positive Adjmt.|Negative Adjmt.","Entry No.",I287,"Location Code",$L$7)</t>
  </si>
  <si>
    <t>=NL("Sum","Item Ledger Entry","Quantity","Entry Type","Positive Adjmt.|Negative Adjmt.","Entry No.",I288,"Location Code",$L$7)</t>
  </si>
  <si>
    <t>=NL("Sum","Item Ledger Entry","Quantity","Entry Type","Positive Adjmt.|Negative Adjmt.","Entry No.",I292,"Location Code",$L$7)</t>
  </si>
  <si>
    <t>=NL("Sum","Item Ledger Entry","Quantity","Entry Type","Positive Adjmt.|Negative Adjmt.","Entry No.",I293,"Location Code",$L$7)</t>
  </si>
  <si>
    <t>=NL("Sum","Item Ledger Entry","Quantity","Entry Type","Positive Adjmt.|Negative Adjmt.","Entry No.",I294,"Location Code",$L$7)</t>
  </si>
  <si>
    <t>=NL("Sum","Item Ledger Entry","Quantity","Entry Type","Transfer","Entry No.",I286,"Location Code",$L$7)</t>
  </si>
  <si>
    <t>=NL("Sum","Item Ledger Entry","Quantity","Entry Type","Transfer","Entry No.",I287,"Location Code",$L$7)</t>
  </si>
  <si>
    <t>=NL("Sum","Item Ledger Entry","Quantity","Entry Type","Transfer","Entry No.",I288,"Location Code",$L$7)</t>
  </si>
  <si>
    <t>=NL("Sum","Item Ledger Entry","Quantity","Entry Type","Transfer","Entry No.",I292,"Location Code",$L$7)</t>
  </si>
  <si>
    <t>=NL("Sum","Item Ledger Entry","Quantity","Entry Type","Transfer","Entry No.",I293,"Location Code",$L$7)</t>
  </si>
  <si>
    <t>=NL("Sum","Item Ledger Entry","Quantity","Entry Type","Transfer","Entry No.",I294,"Location Code",$L$7)</t>
  </si>
  <si>
    <t>=NL("Sum","Item Ledger Entry","Quantity","Entry Type","Consumption","Entry No.",I286,"Location Code",$L$7)</t>
  </si>
  <si>
    <t>=NL("Sum","Item Ledger Entry","Quantity","Entry Type","Consumption","Entry No.",I287,"Location Code",$L$7)</t>
  </si>
  <si>
    <t>=NL("Sum","Item Ledger Entry","Quantity","Entry Type","Consumption","Entry No.",I288,"Location Code",$L$7)</t>
  </si>
  <si>
    <t>=NL("Sum","Item Ledger Entry","Quantity","Entry Type","Consumption","Entry No.",I292,"Location Code",$L$7)</t>
  </si>
  <si>
    <t>=NL("Sum","Item Ledger Entry","Quantity","Entry Type","Consumption","Entry No.",I293,"Location Code",$L$7)</t>
  </si>
  <si>
    <t>=NL("Sum","Item Ledger Entry","Quantity","Entry Type","Consumption","Entry No.",I294,"Location Code",$L$7)</t>
  </si>
  <si>
    <t>=NL("Sum","Item Ledger Entry","Quantity","Entry Type","Output","Entry No.",I286,"Location Code",$L$7)</t>
  </si>
  <si>
    <t>=NL("Sum","Item Ledger Entry","Quantity","Entry Type","Output","Entry No.",I287,"Location Code",$L$7)</t>
  </si>
  <si>
    <t>=NL("Sum","Item Ledger Entry","Quantity","Entry Type","Output","Entry No.",I288,"Location Code",$L$7)</t>
  </si>
  <si>
    <t>=NL("Sum","Item Ledger Entry","Quantity","Entry Type","Output","Entry No.",I292,"Location Code",$L$7)</t>
  </si>
  <si>
    <t>=NL("Sum","Item Ledger Entry","Quantity","Entry Type","Output","Entry No.",I293,"Location Code",$L$7)</t>
  </si>
  <si>
    <t>=NL("Sum","Item Ledger Entry","Quantity","Entry Type","Output","Entry No.",I294,"Location Code",$L$7)</t>
  </si>
  <si>
    <t>=NF($G267,"Posting Date")</t>
  </si>
  <si>
    <t>=NF($G267,"Entry No.")</t>
  </si>
  <si>
    <t>=NL("Sum","Item Ledger Entry","Quantity","Entry Type","Purchase","Entry No.",I266,"Location Code",$L$7)</t>
  </si>
  <si>
    <t>=NL("Sum","Item Ledger Entry","Quantity","Entry Type","Purchase","Entry No.",I267,"Location Code",$L$7)</t>
  </si>
  <si>
    <t>=NL("Sum","Item Ledger Entry","Quantity","Entry Type","Purchase","Entry No.",I268,"Location Code",$L$7)</t>
  </si>
  <si>
    <t>=NL("Sum","Item Ledger Entry","Quantity","Entry Type","Purchase","Entry No.",I277,"Location Code",$L$7)</t>
  </si>
  <si>
    <t>=NL("Sum","Item Ledger Entry","Quantity","Entry Type","Purchase","Entry No.",I278,"Location Code",$L$7)</t>
  </si>
  <si>
    <t>=NL("Sum","Item Ledger Entry","Quantity","Entry Type","Purchase","Entry No.",I279,"Location Code",$L$7)</t>
  </si>
  <si>
    <t>=NL("Sum","Item Ledger Entry","Quantity","Entry Type","Sale","Entry No.",I266,"Location Code",$L$7)</t>
  </si>
  <si>
    <t>=NL("Sum","Item Ledger Entry","Quantity","Entry Type","Sale","Entry No.",I267,"Location Code",$L$7)</t>
  </si>
  <si>
    <t>=NL("Sum","Item Ledger Entry","Quantity","Entry Type","Sale","Entry No.",I268,"Location Code",$L$7)</t>
  </si>
  <si>
    <t>=NL("Sum","Item Ledger Entry","Quantity","Entry Type","Sale","Entry No.",I277,"Location Code",$L$7)</t>
  </si>
  <si>
    <t>=NL("Sum","Item Ledger Entry","Quantity","Entry Type","Sale","Entry No.",I278,"Location Code",$L$7)</t>
  </si>
  <si>
    <t>=NL("Sum","Item Ledger Entry","Quantity","Entry Type","Sale","Entry No.",I279,"Location Code",$L$7)</t>
  </si>
  <si>
    <t>=NL("Sum","Item Ledger Entry","Quantity","Entry Type","Positive Adjmt.|Negative Adjmt.","Entry No.",I266,"Location Code",$L$7)</t>
  </si>
  <si>
    <t>=NL("Sum","Item Ledger Entry","Quantity","Entry Type","Positive Adjmt.|Negative Adjmt.","Entry No.",I267,"Location Code",$L$7)</t>
  </si>
  <si>
    <t>=NL("Sum","Item Ledger Entry","Quantity","Entry Type","Positive Adjmt.|Negative Adjmt.","Entry No.",I268,"Location Code",$L$7)</t>
  </si>
  <si>
    <t>=NL("Sum","Item Ledger Entry","Quantity","Entry Type","Positive Adjmt.|Negative Adjmt.","Entry No.",I277,"Location Code",$L$7)</t>
  </si>
  <si>
    <t>=NL("Sum","Item Ledger Entry","Quantity","Entry Type","Positive Adjmt.|Negative Adjmt.","Entry No.",I278,"Location Code",$L$7)</t>
  </si>
  <si>
    <t>=NL("Sum","Item Ledger Entry","Quantity","Entry Type","Positive Adjmt.|Negative Adjmt.","Entry No.",I279,"Location Code",$L$7)</t>
  </si>
  <si>
    <t>=NL("Sum","Item Ledger Entry","Quantity","Entry Type","Transfer","Entry No.",I266,"Location Code",$L$7)</t>
  </si>
  <si>
    <t>=NL("Sum","Item Ledger Entry","Quantity","Entry Type","Transfer","Entry No.",I267,"Location Code",$L$7)</t>
  </si>
  <si>
    <t>=NL("Sum","Item Ledger Entry","Quantity","Entry Type","Transfer","Entry No.",I268,"Location Code",$L$7)</t>
  </si>
  <si>
    <t>=NL("Sum","Item Ledger Entry","Quantity","Entry Type","Transfer","Entry No.",I277,"Location Code",$L$7)</t>
  </si>
  <si>
    <t>=NL("Sum","Item Ledger Entry","Quantity","Entry Type","Transfer","Entry No.",I278,"Location Code",$L$7)</t>
  </si>
  <si>
    <t>=NL("Sum","Item Ledger Entry","Quantity","Entry Type","Transfer","Entry No.",I279,"Location Code",$L$7)</t>
  </si>
  <si>
    <t>=NL("Sum","Item Ledger Entry","Quantity","Entry Type","Consumption","Entry No.",I266,"Location Code",$L$7)</t>
  </si>
  <si>
    <t>=NL("Sum","Item Ledger Entry","Quantity","Entry Type","Consumption","Entry No.",I267,"Location Code",$L$7)</t>
  </si>
  <si>
    <t>=NL("Sum","Item Ledger Entry","Quantity","Entry Type","Consumption","Entry No.",I268,"Location Code",$L$7)</t>
  </si>
  <si>
    <t>=NL("Sum","Item Ledger Entry","Quantity","Entry Type","Consumption","Entry No.",I277,"Location Code",$L$7)</t>
  </si>
  <si>
    <t>=NL("Sum","Item Ledger Entry","Quantity","Entry Type","Consumption","Entry No.",I278,"Location Code",$L$7)</t>
  </si>
  <si>
    <t>=NL("Sum","Item Ledger Entry","Quantity","Entry Type","Consumption","Entry No.",I279,"Location Code",$L$7)</t>
  </si>
  <si>
    <t>=NL("Sum","Item Ledger Entry","Quantity","Entry Type","Output","Entry No.",I266,"Location Code",$L$7)</t>
  </si>
  <si>
    <t>=NL("Sum","Item Ledger Entry","Quantity","Entry Type","Output","Entry No.",I267,"Location Code",$L$7)</t>
  </si>
  <si>
    <t>=NL("Sum","Item Ledger Entry","Quantity","Entry Type","Output","Entry No.",I268,"Location Code",$L$7)</t>
  </si>
  <si>
    <t>=NL("Sum","Item Ledger Entry","Quantity","Entry Type","Output","Entry No.",I277,"Location Code",$L$7)</t>
  </si>
  <si>
    <t>=NL("Sum","Item Ledger Entry","Quantity","Entry Type","Output","Entry No.",I278,"Location Code",$L$7)</t>
  </si>
  <si>
    <t>=NL("Sum","Item Ledger Entry","Quantity","Entry Type","Output","Entry No.",I279,"Location Code",$L$7)</t>
  </si>
  <si>
    <t>=NF(G267,"Source Type")</t>
  </si>
  <si>
    <t>=NF($G267,"Source No.")</t>
  </si>
  <si>
    <t>=NL("Sum","Item Ledger Entry","Quantity","Entry Type","Purchase","Entry No.",I246,"Location Code",$L$7)</t>
  </si>
  <si>
    <t>=NL("Sum","Item Ledger Entry","Quantity","Entry Type","Purchase","Entry No.",I247,"Location Code",$L$7)</t>
  </si>
  <si>
    <t>=NL("Sum","Item Ledger Entry","Quantity","Entry Type","Purchase","Entry No.",I248,"Location Code",$L$7)</t>
  </si>
  <si>
    <t>=NL("Sum","Item Ledger Entry","Quantity","Entry Type","Sale","Entry No.",I246,"Location Code",$L$7)</t>
  </si>
  <si>
    <t>=NL("Sum","Item Ledger Entry","Quantity","Entry Type","Sale","Entry No.",I247,"Location Code",$L$7)</t>
  </si>
  <si>
    <t>=NL("Sum","Item Ledger Entry","Quantity","Entry Type","Sale","Entry No.",I248,"Location Code",$L$7)</t>
  </si>
  <si>
    <t>=NL("Sum","Item Ledger Entry","Quantity","Entry Type","Positive Adjmt.|Negative Adjmt.","Entry No.",I246,"Location Code",$L$7)</t>
  </si>
  <si>
    <t>=NL("Sum","Item Ledger Entry","Quantity","Entry Type","Positive Adjmt.|Negative Adjmt.","Entry No.",I247,"Location Code",$L$7)</t>
  </si>
  <si>
    <t>=NL("Sum","Item Ledger Entry","Quantity","Entry Type","Positive Adjmt.|Negative Adjmt.","Entry No.",I248,"Location Code",$L$7)</t>
  </si>
  <si>
    <t>=NL("Sum","Item Ledger Entry","Quantity","Entry Type","Transfer","Entry No.",I246,"Location Code",$L$7)</t>
  </si>
  <si>
    <t>=NL("Sum","Item Ledger Entry","Quantity","Entry Type","Transfer","Entry No.",I247,"Location Code",$L$7)</t>
  </si>
  <si>
    <t>=NL("Sum","Item Ledger Entry","Quantity","Entry Type","Transfer","Entry No.",I248,"Location Code",$L$7)</t>
  </si>
  <si>
    <t>=NL("Sum","Item Ledger Entry","Quantity","Entry Type","Consumption","Entry No.",I246,"Location Code",$L$7)</t>
  </si>
  <si>
    <t>=NL("Sum","Item Ledger Entry","Quantity","Entry Type","Consumption","Entry No.",I247,"Location Code",$L$7)</t>
  </si>
  <si>
    <t>=NL("Sum","Item Ledger Entry","Quantity","Entry Type","Consumption","Entry No.",I248,"Location Code",$L$7)</t>
  </si>
  <si>
    <t>=NL("Sum","Item Ledger Entry","Quantity","Entry Type","Output","Entry No.",I246,"Location Code",$L$7)</t>
  </si>
  <si>
    <t>=NL("Sum","Item Ledger Entry","Quantity","Entry Type","Output","Entry No.",I247,"Location Code",$L$7)</t>
  </si>
  <si>
    <t>=NL("Sum","Item Ledger Entry","Quantity","Entry Type","Output","Entry No.",I248,"Location Code",$L$7)</t>
  </si>
  <si>
    <t>=NL("Sum","Item Ledger Entry","Quantity","Entry Type","Purchase","Entry No.",I235,"Location Code",$L$7)</t>
  </si>
  <si>
    <t>=NL("Sum","Item Ledger Entry","Quantity","Entry Type","Purchase","Entry No.",I236,"Location Code",$L$7)</t>
  </si>
  <si>
    <t>=NL("Sum","Item Ledger Entry","Quantity","Entry Type","Purchase","Entry No.",I237,"Location Code",$L$7)</t>
  </si>
  <si>
    <t>=NL("Sum","Item Ledger Entry","Quantity","Entry Type","Sale","Entry No.",I235,"Location Code",$L$7)</t>
  </si>
  <si>
    <t>=NL("Sum","Item Ledger Entry","Quantity","Entry Type","Sale","Entry No.",I236,"Location Code",$L$7)</t>
  </si>
  <si>
    <t>=NL("Sum","Item Ledger Entry","Quantity","Entry Type","Sale","Entry No.",I237,"Location Code",$L$7)</t>
  </si>
  <si>
    <t>=NL("Sum","Item Ledger Entry","Quantity","Entry Type","Positive Adjmt.|Negative Adjmt.","Entry No.",I235,"Location Code",$L$7)</t>
  </si>
  <si>
    <t>=NL("Sum","Item Ledger Entry","Quantity","Entry Type","Positive Adjmt.|Negative Adjmt.","Entry No.",I236,"Location Code",$L$7)</t>
  </si>
  <si>
    <t>=NL("Sum","Item Ledger Entry","Quantity","Entry Type","Positive Adjmt.|Negative Adjmt.","Entry No.",I237,"Location Code",$L$7)</t>
  </si>
  <si>
    <t>=NL("Sum","Item Ledger Entry","Quantity","Entry Type","Transfer","Entry No.",I235,"Location Code",$L$7)</t>
  </si>
  <si>
    <t>=NL("Sum","Item Ledger Entry","Quantity","Entry Type","Transfer","Entry No.",I236,"Location Code",$L$7)</t>
  </si>
  <si>
    <t>=NL("Sum","Item Ledger Entry","Quantity","Entry Type","Transfer","Entry No.",I237,"Location Code",$L$7)</t>
  </si>
  <si>
    <t>=NL("Sum","Item Ledger Entry","Quantity","Entry Type","Consumption","Entry No.",I235,"Location Code",$L$7)</t>
  </si>
  <si>
    <t>=NL("Sum","Item Ledger Entry","Quantity","Entry Type","Consumption","Entry No.",I236,"Location Code",$L$7)</t>
  </si>
  <si>
    <t>=NL("Sum","Item Ledger Entry","Quantity","Entry Type","Consumption","Entry No.",I237,"Location Code",$L$7)</t>
  </si>
  <si>
    <t>=NL("Sum","Item Ledger Entry","Quantity","Entry Type","Output","Entry No.",I235,"Location Code",$L$7)</t>
  </si>
  <si>
    <t>=NL("Sum","Item Ledger Entry","Quantity","Entry Type","Output","Entry No.",I236,"Location Code",$L$7)</t>
  </si>
  <si>
    <t>=NL("Sum","Item Ledger Entry","Quantity","Entry Type","Output","Entry No.",I237,"Location Code",$L$7)</t>
  </si>
  <si>
    <t>=NF($G224,"Posting Date")</t>
  </si>
  <si>
    <t>=NF($G224,"Entry No.")</t>
  </si>
  <si>
    <t>=NL("Sum","Item Ledger Entry","Quantity","Entry Type","Purchase","Entry No.",I223,"Location Code",$L$7)</t>
  </si>
  <si>
    <t>=NL("Sum","Item Ledger Entry","Quantity","Entry Type","Purchase","Entry No.",I224,"Location Code",$L$7)</t>
  </si>
  <si>
    <t>=NL("Sum","Item Ledger Entry","Quantity","Entry Type","Purchase","Entry No.",I225,"Location Code",$L$7)</t>
  </si>
  <si>
    <t>=NL("Sum","Item Ledger Entry","Quantity","Entry Type","Sale","Entry No.",I223,"Location Code",$L$7)</t>
  </si>
  <si>
    <t>=NL("Sum","Item Ledger Entry","Quantity","Entry Type","Sale","Entry No.",I224,"Location Code",$L$7)</t>
  </si>
  <si>
    <t>=NL("Sum","Item Ledger Entry","Quantity","Entry Type","Sale","Entry No.",I225,"Location Code",$L$7)</t>
  </si>
  <si>
    <t>=NL("Sum","Item Ledger Entry","Quantity","Entry Type","Positive Adjmt.|Negative Adjmt.","Entry No.",I223,"Location Code",$L$7)</t>
  </si>
  <si>
    <t>=NL("Sum","Item Ledger Entry","Quantity","Entry Type","Positive Adjmt.|Negative Adjmt.","Entry No.",I224,"Location Code",$L$7)</t>
  </si>
  <si>
    <t>=NL("Sum","Item Ledger Entry","Quantity","Entry Type","Positive Adjmt.|Negative Adjmt.","Entry No.",I225,"Location Code",$L$7)</t>
  </si>
  <si>
    <t>=NL("Sum","Item Ledger Entry","Quantity","Entry Type","Transfer","Entry No.",I223,"Location Code",$L$7)</t>
  </si>
  <si>
    <t>=NL("Sum","Item Ledger Entry","Quantity","Entry Type","Transfer","Entry No.",I224,"Location Code",$L$7)</t>
  </si>
  <si>
    <t>=NL("Sum","Item Ledger Entry","Quantity","Entry Type","Transfer","Entry No.",I225,"Location Code",$L$7)</t>
  </si>
  <si>
    <t>=NL("Sum","Item Ledger Entry","Quantity","Entry Type","Consumption","Entry No.",I223,"Location Code",$L$7)</t>
  </si>
  <si>
    <t>=NL("Sum","Item Ledger Entry","Quantity","Entry Type","Consumption","Entry No.",I224,"Location Code",$L$7)</t>
  </si>
  <si>
    <t>=NL("Sum","Item Ledger Entry","Quantity","Entry Type","Consumption","Entry No.",I225,"Location Code",$L$7)</t>
  </si>
  <si>
    <t>=NL("Sum","Item Ledger Entry","Quantity","Entry Type","Output","Entry No.",I223,"Location Code",$L$7)</t>
  </si>
  <si>
    <t>=NL("Sum","Item Ledger Entry","Quantity","Entry Type","Output","Entry No.",I224,"Location Code",$L$7)</t>
  </si>
  <si>
    <t>=NL("Sum","Item Ledger Entry","Quantity","Entry Type","Output","Entry No.",I225,"Location Code",$L$7)</t>
  </si>
  <si>
    <t>=NF(G224,"Source Type")</t>
  </si>
  <si>
    <t>=NF($G224,"Source No.")</t>
  </si>
  <si>
    <t>=NL("Sum","Item Ledger Entry","Quantity","Entry Type","Purchase","Entry No.",I210,"Location Code",$L$7)</t>
  </si>
  <si>
    <t>=NL("Sum","Item Ledger Entry","Quantity","Entry Type","Purchase","Entry No.",I211,"Location Code",$L$7)</t>
  </si>
  <si>
    <t>=NL("Sum","Item Ledger Entry","Quantity","Entry Type","Sale","Entry No.",I210,"Location Code",$L$7)</t>
  </si>
  <si>
    <t>=NL("Sum","Item Ledger Entry","Quantity","Entry Type","Sale","Entry No.",I211,"Location Code",$L$7)</t>
  </si>
  <si>
    <t>=NL("Sum","Item Ledger Entry","Quantity","Entry Type","Positive Adjmt.|Negative Adjmt.","Entry No.",I210,"Location Code",$L$7)</t>
  </si>
  <si>
    <t>=NL("Sum","Item Ledger Entry","Quantity","Entry Type","Positive Adjmt.|Negative Adjmt.","Entry No.",I211,"Location Code",$L$7)</t>
  </si>
  <si>
    <t>=NL("Sum","Item Ledger Entry","Quantity","Entry Type","Transfer","Entry No.",I210,"Location Code",$L$7)</t>
  </si>
  <si>
    <t>=NL("Sum","Item Ledger Entry","Quantity","Entry Type","Transfer","Entry No.",I211,"Location Code",$L$7)</t>
  </si>
  <si>
    <t>=NL("Sum","Item Ledger Entry","Quantity","Entry Type","Consumption","Entry No.",I210,"Location Code",$L$7)</t>
  </si>
  <si>
    <t>=NL("Sum","Item Ledger Entry","Quantity","Entry Type","Consumption","Entry No.",I211,"Location Code",$L$7)</t>
  </si>
  <si>
    <t>=NL("Sum","Item Ledger Entry","Quantity","Entry Type","Output","Entry No.",I210,"Location Code",$L$7)</t>
  </si>
  <si>
    <t>=NL("Sum","Item Ledger Entry","Quantity","Entry Type","Output","Entry No.",I211,"Location Code",$L$7)</t>
  </si>
  <si>
    <t>=NL("Sum","Item Ledger Entry","Quantity","Entry Type","Purchase","Entry No.",I188,"Location Code",$L$7)</t>
  </si>
  <si>
    <t>=NL("Sum","Item Ledger Entry","Quantity","Entry Type","Purchase","Entry No.",I189,"Location Code",$L$7)</t>
  </si>
  <si>
    <t>=NL("Sum","Item Ledger Entry","Quantity","Entry Type","Purchase","Entry No.",I198,"Location Code",$L$7)</t>
  </si>
  <si>
    <t>=NL("Sum","Item Ledger Entry","Quantity","Entry Type","Purchase","Entry No.",I199,"Location Code",$L$7)</t>
  </si>
  <si>
    <t>=NL("Sum","Item Ledger Entry","Quantity","Entry Type","Sale","Entry No.",I188,"Location Code",$L$7)</t>
  </si>
  <si>
    <t>=NL("Sum","Item Ledger Entry","Quantity","Entry Type","Sale","Entry No.",I189,"Location Code",$L$7)</t>
  </si>
  <si>
    <t>=NL("Sum","Item Ledger Entry","Quantity","Entry Type","Sale","Entry No.",I198,"Location Code",$L$7)</t>
  </si>
  <si>
    <t>=NL("Sum","Item Ledger Entry","Quantity","Entry Type","Sale","Entry No.",I199,"Location Code",$L$7)</t>
  </si>
  <si>
    <t>=NL("Sum","Item Ledger Entry","Quantity","Entry Type","Positive Adjmt.|Negative Adjmt.","Entry No.",I188,"Location Code",$L$7)</t>
  </si>
  <si>
    <t>=NL("Sum","Item Ledger Entry","Quantity","Entry Type","Positive Adjmt.|Negative Adjmt.","Entry No.",I189,"Location Code",$L$7)</t>
  </si>
  <si>
    <t>=NL("Sum","Item Ledger Entry","Quantity","Entry Type","Positive Adjmt.|Negative Adjmt.","Entry No.",I198,"Location Code",$L$7)</t>
  </si>
  <si>
    <t>=NL("Sum","Item Ledger Entry","Quantity","Entry Type","Positive Adjmt.|Negative Adjmt.","Entry No.",I199,"Location Code",$L$7)</t>
  </si>
  <si>
    <t>=NL("Sum","Item Ledger Entry","Quantity","Entry Type","Transfer","Entry No.",I188,"Location Code",$L$7)</t>
  </si>
  <si>
    <t>=NL("Sum","Item Ledger Entry","Quantity","Entry Type","Transfer","Entry No.",I189,"Location Code",$L$7)</t>
  </si>
  <si>
    <t>=NL("Sum","Item Ledger Entry","Quantity","Entry Type","Transfer","Entry No.",I198,"Location Code",$L$7)</t>
  </si>
  <si>
    <t>=NL("Sum","Item Ledger Entry","Quantity","Entry Type","Transfer","Entry No.",I199,"Location Code",$L$7)</t>
  </si>
  <si>
    <t>=NL("Sum","Item Ledger Entry","Quantity","Entry Type","Consumption","Entry No.",I188,"Location Code",$L$7)</t>
  </si>
  <si>
    <t>=NL("Sum","Item Ledger Entry","Quantity","Entry Type","Consumption","Entry No.",I189,"Location Code",$L$7)</t>
  </si>
  <si>
    <t>=NL("Sum","Item Ledger Entry","Quantity","Entry Type","Consumption","Entry No.",I198,"Location Code",$L$7)</t>
  </si>
  <si>
    <t>=NL("Sum","Item Ledger Entry","Quantity","Entry Type","Consumption","Entry No.",I199,"Location Code",$L$7)</t>
  </si>
  <si>
    <t>=NL("Sum","Item Ledger Entry","Quantity","Entry Type","Output","Entry No.",I188,"Location Code",$L$7)</t>
  </si>
  <si>
    <t>=NL("Sum","Item Ledger Entry","Quantity","Entry Type","Output","Entry No.",I189,"Location Code",$L$7)</t>
  </si>
  <si>
    <t>=NL("Sum","Item Ledger Entry","Quantity","Entry Type","Output","Entry No.",I198,"Location Code",$L$7)</t>
  </si>
  <si>
    <t>=NL("Sum","Item Ledger Entry","Quantity","Entry Type","Output","Entry No.",I199,"Location Code",$L$7)</t>
  </si>
  <si>
    <t>=NL("Sum","Item Ledger Entry","Quantity","Entry Type","Purchase","Entry No.",I182,"Location Code",$L$7)</t>
  </si>
  <si>
    <t>=NL("Sum","Item Ledger Entry","Quantity","Entry Type","Purchase","Entry No.",I183,"Location Code",$L$7)</t>
  </si>
  <si>
    <t>=NL("Sum","Item Ledger Entry","Quantity","Entry Type","Purchase","Entry No.",I184,"Location Code",$L$7)</t>
  </si>
  <si>
    <t>=NL("Sum","Item Ledger Entry","Quantity","Entry Type","Sale","Entry No.",I182,"Location Code",$L$7)</t>
  </si>
  <si>
    <t>=NL("Sum","Item Ledger Entry","Quantity","Entry Type","Sale","Entry No.",I183,"Location Code",$L$7)</t>
  </si>
  <si>
    <t>=NL("Sum","Item Ledger Entry","Quantity","Entry Type","Sale","Entry No.",I184,"Location Code",$L$7)</t>
  </si>
  <si>
    <t>=NL("Sum","Item Ledger Entry","Quantity","Entry Type","Positive Adjmt.|Negative Adjmt.","Entry No.",I182,"Location Code",$L$7)</t>
  </si>
  <si>
    <t>=NL("Sum","Item Ledger Entry","Quantity","Entry Type","Positive Adjmt.|Negative Adjmt.","Entry No.",I183,"Location Code",$L$7)</t>
  </si>
  <si>
    <t>=NL("Sum","Item Ledger Entry","Quantity","Entry Type","Positive Adjmt.|Negative Adjmt.","Entry No.",I184,"Location Code",$L$7)</t>
  </si>
  <si>
    <t>=NL("Sum","Item Ledger Entry","Quantity","Entry Type","Transfer","Entry No.",I182,"Location Code",$L$7)</t>
  </si>
  <si>
    <t>=NL("Sum","Item Ledger Entry","Quantity","Entry Type","Transfer","Entry No.",I183,"Location Code",$L$7)</t>
  </si>
  <si>
    <t>=NL("Sum","Item Ledger Entry","Quantity","Entry Type","Transfer","Entry No.",I184,"Location Code",$L$7)</t>
  </si>
  <si>
    <t>=NL("Sum","Item Ledger Entry","Quantity","Entry Type","Consumption","Entry No.",I182,"Location Code",$L$7)</t>
  </si>
  <si>
    <t>=NL("Sum","Item Ledger Entry","Quantity","Entry Type","Consumption","Entry No.",I183,"Location Code",$L$7)</t>
  </si>
  <si>
    <t>=NL("Sum","Item Ledger Entry","Quantity","Entry Type","Consumption","Entry No.",I184,"Location Code",$L$7)</t>
  </si>
  <si>
    <t>=NL("Sum","Item Ledger Entry","Quantity","Entry Type","Output","Entry No.",I182,"Location Code",$L$7)</t>
  </si>
  <si>
    <t>=NL("Sum","Item Ledger Entry","Quantity","Entry Type","Output","Entry No.",I183,"Location Code",$L$7)</t>
  </si>
  <si>
    <t>=NL("Sum","Item Ledger Entry","Quantity","Entry Type","Output","Entry No.",I184,"Location Code",$L$7)</t>
  </si>
  <si>
    <t>=NF($G168,"Posting Date")</t>
  </si>
  <si>
    <t>=NF($G168,"Entry No.")</t>
  </si>
  <si>
    <t>=NL("Sum","Item Ledger Entry","Quantity","Entry Type","Purchase","Entry No.",I168,"Location Code",$L$7)</t>
  </si>
  <si>
    <t>=NL("Sum","Item Ledger Entry","Quantity","Entry Type","Purchase","Entry No.",I169,"Location Code",$L$7)</t>
  </si>
  <si>
    <t>=NL("Sum","Item Ledger Entry","Quantity","Entry Type","Purchase","Entry No.",I170,"Location Code",$L$7)</t>
  </si>
  <si>
    <t>=NL("Sum","Item Ledger Entry","Quantity","Entry Type","Sale","Entry No.",I168,"Location Code",$L$7)</t>
  </si>
  <si>
    <t>=NL("Sum","Item Ledger Entry","Quantity","Entry Type","Sale","Entry No.",I169,"Location Code",$L$7)</t>
  </si>
  <si>
    <t>=NL("Sum","Item Ledger Entry","Quantity","Entry Type","Sale","Entry No.",I170,"Location Code",$L$7)</t>
  </si>
  <si>
    <t>=NL("Sum","Item Ledger Entry","Quantity","Entry Type","Positive Adjmt.|Negative Adjmt.","Entry No.",I168,"Location Code",$L$7)</t>
  </si>
  <si>
    <t>=NL("Sum","Item Ledger Entry","Quantity","Entry Type","Positive Adjmt.|Negative Adjmt.","Entry No.",I169,"Location Code",$L$7)</t>
  </si>
  <si>
    <t>=NL("Sum","Item Ledger Entry","Quantity","Entry Type","Positive Adjmt.|Negative Adjmt.","Entry No.",I170,"Location Code",$L$7)</t>
  </si>
  <si>
    <t>=NL("Sum","Item Ledger Entry","Quantity","Entry Type","Transfer","Entry No.",I168,"Location Code",$L$7)</t>
  </si>
  <si>
    <t>=NL("Sum","Item Ledger Entry","Quantity","Entry Type","Transfer","Entry No.",I169,"Location Code",$L$7)</t>
  </si>
  <si>
    <t>=NL("Sum","Item Ledger Entry","Quantity","Entry Type","Transfer","Entry No.",I170,"Location Code",$L$7)</t>
  </si>
  <si>
    <t>=NL("Sum","Item Ledger Entry","Quantity","Entry Type","Consumption","Entry No.",I168,"Location Code",$L$7)</t>
  </si>
  <si>
    <t>=NL("Sum","Item Ledger Entry","Quantity","Entry Type","Consumption","Entry No.",I169,"Location Code",$L$7)</t>
  </si>
  <si>
    <t>=NL("Sum","Item Ledger Entry","Quantity","Entry Type","Consumption","Entry No.",I170,"Location Code",$L$7)</t>
  </si>
  <si>
    <t>=NL("Sum","Item Ledger Entry","Quantity","Entry Type","Output","Entry No.",I168,"Location Code",$L$7)</t>
  </si>
  <si>
    <t>=NL("Sum","Item Ledger Entry","Quantity","Entry Type","Output","Entry No.",I169,"Location Code",$L$7)</t>
  </si>
  <si>
    <t>=NL("Sum","Item Ledger Entry","Quantity","Entry Type","Output","Entry No.",I170,"Location Code",$L$7)</t>
  </si>
  <si>
    <t>=NF(G168,"Source Type")</t>
  </si>
  <si>
    <t>=NF($G168,"Source No.")</t>
  </si>
  <si>
    <t>=NF($G156,"Posting Date")</t>
  </si>
  <si>
    <t>=NF($G156,"Entry No.")</t>
  </si>
  <si>
    <t>=NL("Sum","Item Ledger Entry","Quantity","Entry Type","Purchase","Entry No.",I156,"Location Code",$L$7)</t>
  </si>
  <si>
    <t>=NL("Sum","Item Ledger Entry","Quantity","Entry Type","Purchase","Entry No.",I157,"Location Code",$L$7)</t>
  </si>
  <si>
    <t>=NL("Sum","Item Ledger Entry","Quantity","Entry Type","Purchase","Entry No.",I158,"Location Code",$L$7)</t>
  </si>
  <si>
    <t>=NL("Sum","Item Ledger Entry","Quantity","Entry Type","Sale","Entry No.",I156,"Location Code",$L$7)</t>
  </si>
  <si>
    <t>=NL("Sum","Item Ledger Entry","Quantity","Entry Type","Sale","Entry No.",I157,"Location Code",$L$7)</t>
  </si>
  <si>
    <t>=NL("Sum","Item Ledger Entry","Quantity","Entry Type","Sale","Entry No.",I158,"Location Code",$L$7)</t>
  </si>
  <si>
    <t>=NL("Sum","Item Ledger Entry","Quantity","Entry Type","Positive Adjmt.|Negative Adjmt.","Entry No.",I156,"Location Code",$L$7)</t>
  </si>
  <si>
    <t>=NL("Sum","Item Ledger Entry","Quantity","Entry Type","Positive Adjmt.|Negative Adjmt.","Entry No.",I157,"Location Code",$L$7)</t>
  </si>
  <si>
    <t>=NL("Sum","Item Ledger Entry","Quantity","Entry Type","Positive Adjmt.|Negative Adjmt.","Entry No.",I158,"Location Code",$L$7)</t>
  </si>
  <si>
    <t>=NL("Sum","Item Ledger Entry","Quantity","Entry Type","Transfer","Entry No.",I156,"Location Code",$L$7)</t>
  </si>
  <si>
    <t>=NL("Sum","Item Ledger Entry","Quantity","Entry Type","Transfer","Entry No.",I157,"Location Code",$L$7)</t>
  </si>
  <si>
    <t>=NL("Sum","Item Ledger Entry","Quantity","Entry Type","Transfer","Entry No.",I158,"Location Code",$L$7)</t>
  </si>
  <si>
    <t>=NL("Sum","Item Ledger Entry","Quantity","Entry Type","Consumption","Entry No.",I156,"Location Code",$L$7)</t>
  </si>
  <si>
    <t>=NL("Sum","Item Ledger Entry","Quantity","Entry Type","Consumption","Entry No.",I157,"Location Code",$L$7)</t>
  </si>
  <si>
    <t>=NL("Sum","Item Ledger Entry","Quantity","Entry Type","Consumption","Entry No.",I158,"Location Code",$L$7)</t>
  </si>
  <si>
    <t>=NL("Sum","Item Ledger Entry","Quantity","Entry Type","Output","Entry No.",I156,"Location Code",$L$7)</t>
  </si>
  <si>
    <t>=NL("Sum","Item Ledger Entry","Quantity","Entry Type","Output","Entry No.",I157,"Location Code",$L$7)</t>
  </si>
  <si>
    <t>=NL("Sum","Item Ledger Entry","Quantity","Entry Type","Output","Entry No.",I158,"Location Code",$L$7)</t>
  </si>
  <si>
    <t>=NF(G156,"Source Type")</t>
  </si>
  <si>
    <t>=NF($G156,"Source No.")</t>
  </si>
  <si>
    <t>=NF($G147,"Posting Date")</t>
  </si>
  <si>
    <t>=NF($G147,"Entry No.")</t>
  </si>
  <si>
    <t>=NL("Sum","Item Ledger Entry","Quantity","Entry Type","Purchase","Entry No.",I147,"Location Code",$L$7)</t>
  </si>
  <si>
    <t>=NL("Sum","Item Ledger Entry","Quantity","Entry Type","Purchase","Entry No.",I148,"Location Code",$L$7)</t>
  </si>
  <si>
    <t>=NL("Sum","Item Ledger Entry","Quantity","Entry Type","Purchase","Entry No.",I149,"Location Code",$L$7)</t>
  </si>
  <si>
    <t>=NL("Sum","Item Ledger Entry","Quantity","Entry Type","Sale","Entry No.",I147,"Location Code",$L$7)</t>
  </si>
  <si>
    <t>=NL("Sum","Item Ledger Entry","Quantity","Entry Type","Sale","Entry No.",I148,"Location Code",$L$7)</t>
  </si>
  <si>
    <t>=NL("Sum","Item Ledger Entry","Quantity","Entry Type","Sale","Entry No.",I149,"Location Code",$L$7)</t>
  </si>
  <si>
    <t>=NL("Sum","Item Ledger Entry","Quantity","Entry Type","Positive Adjmt.|Negative Adjmt.","Entry No.",I147,"Location Code",$L$7)</t>
  </si>
  <si>
    <t>=NL("Sum","Item Ledger Entry","Quantity","Entry Type","Positive Adjmt.|Negative Adjmt.","Entry No.",I148,"Location Code",$L$7)</t>
  </si>
  <si>
    <t>=NL("Sum","Item Ledger Entry","Quantity","Entry Type","Positive Adjmt.|Negative Adjmt.","Entry No.",I149,"Location Code",$L$7)</t>
  </si>
  <si>
    <t>=NL("Sum","Item Ledger Entry","Quantity","Entry Type","Transfer","Entry No.",I147,"Location Code",$L$7)</t>
  </si>
  <si>
    <t>=NL("Sum","Item Ledger Entry","Quantity","Entry Type","Transfer","Entry No.",I148,"Location Code",$L$7)</t>
  </si>
  <si>
    <t>=NL("Sum","Item Ledger Entry","Quantity","Entry Type","Transfer","Entry No.",I149,"Location Code",$L$7)</t>
  </si>
  <si>
    <t>=NL("Sum","Item Ledger Entry","Quantity","Entry Type","Consumption","Entry No.",I147,"Location Code",$L$7)</t>
  </si>
  <si>
    <t>=NL("Sum","Item Ledger Entry","Quantity","Entry Type","Consumption","Entry No.",I148,"Location Code",$L$7)</t>
  </si>
  <si>
    <t>=NL("Sum","Item Ledger Entry","Quantity","Entry Type","Consumption","Entry No.",I149,"Location Code",$L$7)</t>
  </si>
  <si>
    <t>=NL("Sum","Item Ledger Entry","Quantity","Entry Type","Output","Entry No.",I147,"Location Code",$L$7)</t>
  </si>
  <si>
    <t>=NL("Sum","Item Ledger Entry","Quantity","Entry Type","Output","Entry No.",I148,"Location Code",$L$7)</t>
  </si>
  <si>
    <t>=NL("Sum","Item Ledger Entry","Quantity","Entry Type","Output","Entry No.",I149,"Location Code",$L$7)</t>
  </si>
  <si>
    <t>=NF(G147,"Source Type")</t>
  </si>
  <si>
    <t>=NF($G147,"Source No.")</t>
  </si>
  <si>
    <t>=NL("Sum","Item Ledger Entry","Quantity","Entry Type","Purchase","Entry No.",I128,"Location Code",$L$7)</t>
  </si>
  <si>
    <t>=NL("Sum","Item Ledger Entry","Quantity","Entry Type","Purchase","Entry No.",I129,"Location Code",$L$7)</t>
  </si>
  <si>
    <t>=NL("Sum","Item Ledger Entry","Quantity","Entry Type","Purchase","Entry No.",I137,"Location Code",$L$7)</t>
  </si>
  <si>
    <t>=NL("Sum","Item Ledger Entry","Quantity","Entry Type","Sale","Entry No.",I128,"Location Code",$L$7)</t>
  </si>
  <si>
    <t>=NL("Sum","Item Ledger Entry","Quantity","Entry Type","Sale","Entry No.",I129,"Location Code",$L$7)</t>
  </si>
  <si>
    <t>=NL("Sum","Item Ledger Entry","Quantity","Entry Type","Sale","Entry No.",I137,"Location Code",$L$7)</t>
  </si>
  <si>
    <t>=NL("Sum","Item Ledger Entry","Quantity","Entry Type","Positive Adjmt.|Negative Adjmt.","Entry No.",I128,"Location Code",$L$7)</t>
  </si>
  <si>
    <t>=NL("Sum","Item Ledger Entry","Quantity","Entry Type","Positive Adjmt.|Negative Adjmt.","Entry No.",I129,"Location Code",$L$7)</t>
  </si>
  <si>
    <t>=NL("Sum","Item Ledger Entry","Quantity","Entry Type","Positive Adjmt.|Negative Adjmt.","Entry No.",I137,"Location Code",$L$7)</t>
  </si>
  <si>
    <t>=NL("Sum","Item Ledger Entry","Quantity","Entry Type","Transfer","Entry No.",I128,"Location Code",$L$7)</t>
  </si>
  <si>
    <t>=NL("Sum","Item Ledger Entry","Quantity","Entry Type","Transfer","Entry No.",I129,"Location Code",$L$7)</t>
  </si>
  <si>
    <t>=NL("Sum","Item Ledger Entry","Quantity","Entry Type","Transfer","Entry No.",I137,"Location Code",$L$7)</t>
  </si>
  <si>
    <t>=NL("Sum","Item Ledger Entry","Quantity","Entry Type","Consumption","Entry No.",I128,"Location Code",$L$7)</t>
  </si>
  <si>
    <t>=NL("Sum","Item Ledger Entry","Quantity","Entry Type","Consumption","Entry No.",I129,"Location Code",$L$7)</t>
  </si>
  <si>
    <t>=NL("Sum","Item Ledger Entry","Quantity","Entry Type","Consumption","Entry No.",I137,"Location Code",$L$7)</t>
  </si>
  <si>
    <t>=NL("Sum","Item Ledger Entry","Quantity","Entry Type","Output","Entry No.",I128,"Location Code",$L$7)</t>
  </si>
  <si>
    <t>=NL("Sum","Item Ledger Entry","Quantity","Entry Type","Output","Entry No.",I129,"Location Code",$L$7)</t>
  </si>
  <si>
    <t>=NL("Sum","Item Ledger Entry","Quantity","Entry Type","Output","Entry No.",I137,"Location Code",$L$7)</t>
  </si>
  <si>
    <t>=NL("Sum","Item Ledger Entry","Quantity","Entry Type","Purchase","Entry No.",I111,"Location Code",$L$7)</t>
  </si>
  <si>
    <t>=NL("Sum","Item Ledger Entry","Quantity","Entry Type","Purchase","Entry No.",I112,"Location Code",$L$7)</t>
  </si>
  <si>
    <t>=NL("Sum","Item Ledger Entry","Quantity","Entry Type","Purchase","Entry No.",I113,"Location Code",$L$7)</t>
  </si>
  <si>
    <t>=NL("Sum","Item Ledger Entry","Quantity","Entry Type","Purchase","Entry No.",I119,"Location Code",$L$7)</t>
  </si>
  <si>
    <t>=NL("Sum","Item Ledger Entry","Quantity","Entry Type","Purchase","Entry No.",I120,"Location Code",$L$7)</t>
  </si>
  <si>
    <t>=NL("Sum","Item Ledger Entry","Quantity","Entry Type","Purchase","Entry No.",I121,"Location Code",$L$7)</t>
  </si>
  <si>
    <t>=NL("Sum","Item Ledger Entry","Quantity","Entry Type","Sale","Entry No.",I111,"Location Code",$L$7)</t>
  </si>
  <si>
    <t>=NL("Sum","Item Ledger Entry","Quantity","Entry Type","Sale","Entry No.",I112,"Location Code",$L$7)</t>
  </si>
  <si>
    <t>=NL("Sum","Item Ledger Entry","Quantity","Entry Type","Sale","Entry No.",I113,"Location Code",$L$7)</t>
  </si>
  <si>
    <t>=NL("Sum","Item Ledger Entry","Quantity","Entry Type","Sale","Entry No.",I119,"Location Code",$L$7)</t>
  </si>
  <si>
    <t>=NL("Sum","Item Ledger Entry","Quantity","Entry Type","Sale","Entry No.",I120,"Location Code",$L$7)</t>
  </si>
  <si>
    <t>=NL("Sum","Item Ledger Entry","Quantity","Entry Type","Sale","Entry No.",I121,"Location Code",$L$7)</t>
  </si>
  <si>
    <t>=NL("Sum","Item Ledger Entry","Quantity","Entry Type","Positive Adjmt.|Negative Adjmt.","Entry No.",I111,"Location Code",$L$7)</t>
  </si>
  <si>
    <t>=NL("Sum","Item Ledger Entry","Quantity","Entry Type","Positive Adjmt.|Negative Adjmt.","Entry No.",I112,"Location Code",$L$7)</t>
  </si>
  <si>
    <t>=NL("Sum","Item Ledger Entry","Quantity","Entry Type","Positive Adjmt.|Negative Adjmt.","Entry No.",I113,"Location Code",$L$7)</t>
  </si>
  <si>
    <t>=NL("Sum","Item Ledger Entry","Quantity","Entry Type","Positive Adjmt.|Negative Adjmt.","Entry No.",I119,"Location Code",$L$7)</t>
  </si>
  <si>
    <t>=NL("Sum","Item Ledger Entry","Quantity","Entry Type","Positive Adjmt.|Negative Adjmt.","Entry No.",I120,"Location Code",$L$7)</t>
  </si>
  <si>
    <t>=NL("Sum","Item Ledger Entry","Quantity","Entry Type","Positive Adjmt.|Negative Adjmt.","Entry No.",I121,"Location Code",$L$7)</t>
  </si>
  <si>
    <t>=NL("Sum","Item Ledger Entry","Quantity","Entry Type","Transfer","Entry No.",I111,"Location Code",$L$7)</t>
  </si>
  <si>
    <t>=NL("Sum","Item Ledger Entry","Quantity","Entry Type","Transfer","Entry No.",I112,"Location Code",$L$7)</t>
  </si>
  <si>
    <t>=NL("Sum","Item Ledger Entry","Quantity","Entry Type","Transfer","Entry No.",I113,"Location Code",$L$7)</t>
  </si>
  <si>
    <t>=NL("Sum","Item Ledger Entry","Quantity","Entry Type","Transfer","Entry No.",I119,"Location Code",$L$7)</t>
  </si>
  <si>
    <t>=NL("Sum","Item Ledger Entry","Quantity","Entry Type","Transfer","Entry No.",I120,"Location Code",$L$7)</t>
  </si>
  <si>
    <t>=NL("Sum","Item Ledger Entry","Quantity","Entry Type","Transfer","Entry No.",I121,"Location Code",$L$7)</t>
  </si>
  <si>
    <t>=NL("Sum","Item Ledger Entry","Quantity","Entry Type","Consumption","Entry No.",I111,"Location Code",$L$7)</t>
  </si>
  <si>
    <t>=NL("Sum","Item Ledger Entry","Quantity","Entry Type","Consumption","Entry No.",I112,"Location Code",$L$7)</t>
  </si>
  <si>
    <t>=NL("Sum","Item Ledger Entry","Quantity","Entry Type","Consumption","Entry No.",I113,"Location Code",$L$7)</t>
  </si>
  <si>
    <t>=NL("Sum","Item Ledger Entry","Quantity","Entry Type","Consumption","Entry No.",I119,"Location Code",$L$7)</t>
  </si>
  <si>
    <t>=NL("Sum","Item Ledger Entry","Quantity","Entry Type","Consumption","Entry No.",I120,"Location Code",$L$7)</t>
  </si>
  <si>
    <t>=NL("Sum","Item Ledger Entry","Quantity","Entry Type","Consumption","Entry No.",I121,"Location Code",$L$7)</t>
  </si>
  <si>
    <t>=NL("Sum","Item Ledger Entry","Quantity","Entry Type","Output","Entry No.",I111,"Location Code",$L$7)</t>
  </si>
  <si>
    <t>=NL("Sum","Item Ledger Entry","Quantity","Entry Type","Output","Entry No.",I112,"Location Code",$L$7)</t>
  </si>
  <si>
    <t>=NL("Sum","Item Ledger Entry","Quantity","Entry Type","Output","Entry No.",I113,"Location Code",$L$7)</t>
  </si>
  <si>
    <t>=NL("Sum","Item Ledger Entry","Quantity","Entry Type","Output","Entry No.",I119,"Location Code",$L$7)</t>
  </si>
  <si>
    <t>=NL("Sum","Item Ledger Entry","Quantity","Entry Type","Output","Entry No.",I120,"Location Code",$L$7)</t>
  </si>
  <si>
    <t>=NL("Sum","Item Ledger Entry","Quantity","Entry Type","Output","Entry No.",I121,"Location Code",$L$7)</t>
  </si>
  <si>
    <t>=NF($G89,"Posting Date")</t>
  </si>
  <si>
    <t>=NF($G89,"Entry No.")</t>
  </si>
  <si>
    <t>=NL("Sum","Item Ledger Entry","Quantity","Entry Type","Purchase","Entry No.",I88,"Location Code",$L$7)</t>
  </si>
  <si>
    <t>=NL("Sum","Item Ledger Entry","Quantity","Entry Type","Purchase","Entry No.",I89,"Location Code",$L$7)</t>
  </si>
  <si>
    <t>=NL("Sum","Item Ledger Entry","Quantity","Entry Type","Purchase","Entry No.",I96,"Location Code",$L$7)</t>
  </si>
  <si>
    <t>=NL("Sum","Item Ledger Entry","Quantity","Entry Type","Purchase","Entry No.",I97,"Location Code",$L$7)</t>
  </si>
  <si>
    <t>=NL("Sum","Item Ledger Entry","Quantity","Entry Type","Purchase","Entry No.",I98,"Location Code",$L$7)</t>
  </si>
  <si>
    <t>=NL("Sum","Item Ledger Entry","Quantity","Entry Type","Purchase","Entry No.",I103,"Location Code",$L$7)</t>
  </si>
  <si>
    <t>=NL("Sum","Item Ledger Entry","Quantity","Entry Type","Purchase","Entry No.",I104,"Location Code",$L$7)</t>
  </si>
  <si>
    <t>=NL("Sum","Item Ledger Entry","Quantity","Entry Type","Purchase","Entry No.",I105,"Location Code",$L$7)</t>
  </si>
  <si>
    <t>=NL("Sum","Item Ledger Entry","Quantity","Entry Type","Sale","Entry No.",I88,"Location Code",$L$7)</t>
  </si>
  <si>
    <t>=NL("Sum","Item Ledger Entry","Quantity","Entry Type","Sale","Entry No.",I89,"Location Code",$L$7)</t>
  </si>
  <si>
    <t>=NL("Sum","Item Ledger Entry","Quantity","Entry Type","Sale","Entry No.",I96,"Location Code",$L$7)</t>
  </si>
  <si>
    <t>=NL("Sum","Item Ledger Entry","Quantity","Entry Type","Sale","Entry No.",I97,"Location Code",$L$7)</t>
  </si>
  <si>
    <t>=NL("Sum","Item Ledger Entry","Quantity","Entry Type","Sale","Entry No.",I98,"Location Code",$L$7)</t>
  </si>
  <si>
    <t>=NL("Sum","Item Ledger Entry","Quantity","Entry Type","Sale","Entry No.",I103,"Location Code",$L$7)</t>
  </si>
  <si>
    <t>=NL("Sum","Item Ledger Entry","Quantity","Entry Type","Sale","Entry No.",I104,"Location Code",$L$7)</t>
  </si>
  <si>
    <t>=NL("Sum","Item Ledger Entry","Quantity","Entry Type","Sale","Entry No.",I105,"Location Code",$L$7)</t>
  </si>
  <si>
    <t>=NL("Sum","Item Ledger Entry","Quantity","Entry Type","Positive Adjmt.|Negative Adjmt.","Entry No.",I88,"Location Code",$L$7)</t>
  </si>
  <si>
    <t>=NL("Sum","Item Ledger Entry","Quantity","Entry Type","Positive Adjmt.|Negative Adjmt.","Entry No.",I89,"Location Code",$L$7)</t>
  </si>
  <si>
    <t>=NL("Sum","Item Ledger Entry","Quantity","Entry Type","Positive Adjmt.|Negative Adjmt.","Entry No.",I96,"Location Code",$L$7)</t>
  </si>
  <si>
    <t>=NL("Sum","Item Ledger Entry","Quantity","Entry Type","Positive Adjmt.|Negative Adjmt.","Entry No.",I97,"Location Code",$L$7)</t>
  </si>
  <si>
    <t>=NL("Sum","Item Ledger Entry","Quantity","Entry Type","Positive Adjmt.|Negative Adjmt.","Entry No.",I98,"Location Code",$L$7)</t>
  </si>
  <si>
    <t>=NL("Sum","Item Ledger Entry","Quantity","Entry Type","Positive Adjmt.|Negative Adjmt.","Entry No.",I103,"Location Code",$L$7)</t>
  </si>
  <si>
    <t>=NL("Sum","Item Ledger Entry","Quantity","Entry Type","Positive Adjmt.|Negative Adjmt.","Entry No.",I104,"Location Code",$L$7)</t>
  </si>
  <si>
    <t>=NL("Sum","Item Ledger Entry","Quantity","Entry Type","Positive Adjmt.|Negative Adjmt.","Entry No.",I105,"Location Code",$L$7)</t>
  </si>
  <si>
    <t>=NL("Sum","Item Ledger Entry","Quantity","Entry Type","Transfer","Entry No.",I88,"Location Code",$L$7)</t>
  </si>
  <si>
    <t>=NL("Sum","Item Ledger Entry","Quantity","Entry Type","Transfer","Entry No.",I89,"Location Code",$L$7)</t>
  </si>
  <si>
    <t>=NL("Sum","Item Ledger Entry","Quantity","Entry Type","Transfer","Entry No.",I96,"Location Code",$L$7)</t>
  </si>
  <si>
    <t>=NL("Sum","Item Ledger Entry","Quantity","Entry Type","Transfer","Entry No.",I97,"Location Code",$L$7)</t>
  </si>
  <si>
    <t>=NL("Sum","Item Ledger Entry","Quantity","Entry Type","Transfer","Entry No.",I98,"Location Code",$L$7)</t>
  </si>
  <si>
    <t>=NL("Sum","Item Ledger Entry","Quantity","Entry Type","Transfer","Entry No.",I103,"Location Code",$L$7)</t>
  </si>
  <si>
    <t>=NL("Sum","Item Ledger Entry","Quantity","Entry Type","Transfer","Entry No.",I104,"Location Code",$L$7)</t>
  </si>
  <si>
    <t>=NL("Sum","Item Ledger Entry","Quantity","Entry Type","Transfer","Entry No.",I105,"Location Code",$L$7)</t>
  </si>
  <si>
    <t>=NL("Sum","Item Ledger Entry","Quantity","Entry Type","Consumption","Entry No.",I88,"Location Code",$L$7)</t>
  </si>
  <si>
    <t>=NL("Sum","Item Ledger Entry","Quantity","Entry Type","Consumption","Entry No.",I89,"Location Code",$L$7)</t>
  </si>
  <si>
    <t>=NL("Sum","Item Ledger Entry","Quantity","Entry Type","Consumption","Entry No.",I96,"Location Code",$L$7)</t>
  </si>
  <si>
    <t>=NL("Sum","Item Ledger Entry","Quantity","Entry Type","Consumption","Entry No.",I97,"Location Code",$L$7)</t>
  </si>
  <si>
    <t>=NL("Sum","Item Ledger Entry","Quantity","Entry Type","Consumption","Entry No.",I98,"Location Code",$L$7)</t>
  </si>
  <si>
    <t>=NL("Sum","Item Ledger Entry","Quantity","Entry Type","Consumption","Entry No.",I103,"Location Code",$L$7)</t>
  </si>
  <si>
    <t>=NL("Sum","Item Ledger Entry","Quantity","Entry Type","Consumption","Entry No.",I104,"Location Code",$L$7)</t>
  </si>
  <si>
    <t>=NL("Sum","Item Ledger Entry","Quantity","Entry Type","Consumption","Entry No.",I105,"Location Code",$L$7)</t>
  </si>
  <si>
    <t>=NL("Sum","Item Ledger Entry","Quantity","Entry Type","Output","Entry No.",I88,"Location Code",$L$7)</t>
  </si>
  <si>
    <t>=NL("Sum","Item Ledger Entry","Quantity","Entry Type","Output","Entry No.",I89,"Location Code",$L$7)</t>
  </si>
  <si>
    <t>=NL("Sum","Item Ledger Entry","Quantity","Entry Type","Output","Entry No.",I96,"Location Code",$L$7)</t>
  </si>
  <si>
    <t>=NL("Sum","Item Ledger Entry","Quantity","Entry Type","Output","Entry No.",I97,"Location Code",$L$7)</t>
  </si>
  <si>
    <t>=NL("Sum","Item Ledger Entry","Quantity","Entry Type","Output","Entry No.",I98,"Location Code",$L$7)</t>
  </si>
  <si>
    <t>=NL("Sum","Item Ledger Entry","Quantity","Entry Type","Output","Entry No.",I103,"Location Code",$L$7)</t>
  </si>
  <si>
    <t>=NL("Sum","Item Ledger Entry","Quantity","Entry Type","Output","Entry No.",I104,"Location Code",$L$7)</t>
  </si>
  <si>
    <t>=NL("Sum","Item Ledger Entry","Quantity","Entry Type","Output","Entry No.",I105,"Location Code",$L$7)</t>
  </si>
  <si>
    <t>=NF(G89,"Source Type")</t>
  </si>
  <si>
    <t>=NF($G89,"Source No.")</t>
  </si>
  <si>
    <t>=NL("Sum","Item Ledger Entry","Quantity","Entry Type","Purchase","Entry No.",I62,"Location Code",$L$7)</t>
  </si>
  <si>
    <t>=NL("Sum","Item Ledger Entry","Quantity","Entry Type","Purchase","Entry No.",I63,"Location Code",$L$7)</t>
  </si>
  <si>
    <t>=NL("Sum","Item Ledger Entry","Quantity","Entry Type","Purchase","Entry No.",I69,"Location Code",$L$7)</t>
  </si>
  <si>
    <t>=NL("Sum","Item Ledger Entry","Quantity","Entry Type","Purchase","Entry No.",I70,"Location Code",$L$7)</t>
  </si>
  <si>
    <t>=NL("Sum","Item Ledger Entry","Quantity","Entry Type","Purchase","Entry No.",I71,"Location Code",$L$7)</t>
  </si>
  <si>
    <t>=NL("Sum","Item Ledger Entry","Quantity","Entry Type","Purchase","Entry No.",I76,"Location Code",$L$7)</t>
  </si>
  <si>
    <t>=NL("Sum","Item Ledger Entry","Quantity","Entry Type","Purchase","Entry No.",I77,"Location Code",$L$7)</t>
  </si>
  <si>
    <t>=NL("Sum","Item Ledger Entry","Quantity","Entry Type","Purchase","Entry No.",I78,"Location Code",$L$7)</t>
  </si>
  <si>
    <t>=NL("Sum","Item Ledger Entry","Quantity","Entry Type","Purchase","Entry No.",I81,"Location Code",$L$7)</t>
  </si>
  <si>
    <t>=NL("Sum","Item Ledger Entry","Quantity","Entry Type","Purchase","Entry No.",I82,"Location Code",$L$7)</t>
  </si>
  <si>
    <t>=NL("Sum","Item Ledger Entry","Quantity","Entry Type","Purchase","Entry No.",I83,"Location Code",$L$7)</t>
  </si>
  <si>
    <t>=NL("Sum","Item Ledger Entry","Quantity","Entry Type","Sale","Entry No.",I62,"Location Code",$L$7)</t>
  </si>
  <si>
    <t>=NL("Sum","Item Ledger Entry","Quantity","Entry Type","Sale","Entry No.",I63,"Location Code",$L$7)</t>
  </si>
  <si>
    <t>=NL("Sum","Item Ledger Entry","Quantity","Entry Type","Sale","Entry No.",I69,"Location Code",$L$7)</t>
  </si>
  <si>
    <t>=NL("Sum","Item Ledger Entry","Quantity","Entry Type","Sale","Entry No.",I70,"Location Code",$L$7)</t>
  </si>
  <si>
    <t>=NL("Sum","Item Ledger Entry","Quantity","Entry Type","Sale","Entry No.",I71,"Location Code",$L$7)</t>
  </si>
  <si>
    <t>=NL("Sum","Item Ledger Entry","Quantity","Entry Type","Sale","Entry No.",I76,"Location Code",$L$7)</t>
  </si>
  <si>
    <t>=NL("Sum","Item Ledger Entry","Quantity","Entry Type","Sale","Entry No.",I77,"Location Code",$L$7)</t>
  </si>
  <si>
    <t>=NL("Sum","Item Ledger Entry","Quantity","Entry Type","Sale","Entry No.",I78,"Location Code",$L$7)</t>
  </si>
  <si>
    <t>=NL("Sum","Item Ledger Entry","Quantity","Entry Type","Sale","Entry No.",I81,"Location Code",$L$7)</t>
  </si>
  <si>
    <t>=NL("Sum","Item Ledger Entry","Quantity","Entry Type","Sale","Entry No.",I82,"Location Code",$L$7)</t>
  </si>
  <si>
    <t>=NL("Sum","Item Ledger Entry","Quantity","Entry Type","Sale","Entry No.",I83,"Location Code",$L$7)</t>
  </si>
  <si>
    <t>=NL("Sum","Item Ledger Entry","Quantity","Entry Type","Positive Adjmt.|Negative Adjmt.","Entry No.",I62,"Location Code",$L$7)</t>
  </si>
  <si>
    <t>=NL("Sum","Item Ledger Entry","Quantity","Entry Type","Positive Adjmt.|Negative Adjmt.","Entry No.",I63,"Location Code",$L$7)</t>
  </si>
  <si>
    <t>=NL("Sum","Item Ledger Entry","Quantity","Entry Type","Positive Adjmt.|Negative Adjmt.","Entry No.",I69,"Location Code",$L$7)</t>
  </si>
  <si>
    <t>=NL("Sum","Item Ledger Entry","Quantity","Entry Type","Positive Adjmt.|Negative Adjmt.","Entry No.",I70,"Location Code",$L$7)</t>
  </si>
  <si>
    <t>=NL("Sum","Item Ledger Entry","Quantity","Entry Type","Positive Adjmt.|Negative Adjmt.","Entry No.",I71,"Location Code",$L$7)</t>
  </si>
  <si>
    <t>=NL("Sum","Item Ledger Entry","Quantity","Entry Type","Positive Adjmt.|Negative Adjmt.","Entry No.",I76,"Location Code",$L$7)</t>
  </si>
  <si>
    <t>=NL("Sum","Item Ledger Entry","Quantity","Entry Type","Positive Adjmt.|Negative Adjmt.","Entry No.",I77,"Location Code",$L$7)</t>
  </si>
  <si>
    <t>=NL("Sum","Item Ledger Entry","Quantity","Entry Type","Positive Adjmt.|Negative Adjmt.","Entry No.",I78,"Location Code",$L$7)</t>
  </si>
  <si>
    <t>=NL("Sum","Item Ledger Entry","Quantity","Entry Type","Positive Adjmt.|Negative Adjmt.","Entry No.",I81,"Location Code",$L$7)</t>
  </si>
  <si>
    <t>=NL("Sum","Item Ledger Entry","Quantity","Entry Type","Positive Adjmt.|Negative Adjmt.","Entry No.",I82,"Location Code",$L$7)</t>
  </si>
  <si>
    <t>=NL("Sum","Item Ledger Entry","Quantity","Entry Type","Positive Adjmt.|Negative Adjmt.","Entry No.",I83,"Location Code",$L$7)</t>
  </si>
  <si>
    <t>=NL("Sum","Item Ledger Entry","Quantity","Entry Type","Transfer","Entry No.",I62,"Location Code",$L$7)</t>
  </si>
  <si>
    <t>=NL("Sum","Item Ledger Entry","Quantity","Entry Type","Transfer","Entry No.",I63,"Location Code",$L$7)</t>
  </si>
  <si>
    <t>=NL("Sum","Item Ledger Entry","Quantity","Entry Type","Transfer","Entry No.",I69,"Location Code",$L$7)</t>
  </si>
  <si>
    <t>=NL("Sum","Item Ledger Entry","Quantity","Entry Type","Transfer","Entry No.",I70,"Location Code",$L$7)</t>
  </si>
  <si>
    <t>=NL("Sum","Item Ledger Entry","Quantity","Entry Type","Transfer","Entry No.",I71,"Location Code",$L$7)</t>
  </si>
  <si>
    <t>=NL("Sum","Item Ledger Entry","Quantity","Entry Type","Transfer","Entry No.",I76,"Location Code",$L$7)</t>
  </si>
  <si>
    <t>=NL("Sum","Item Ledger Entry","Quantity","Entry Type","Transfer","Entry No.",I77,"Location Code",$L$7)</t>
  </si>
  <si>
    <t>=NL("Sum","Item Ledger Entry","Quantity","Entry Type","Transfer","Entry No.",I78,"Location Code",$L$7)</t>
  </si>
  <si>
    <t>=NL("Sum","Item Ledger Entry","Quantity","Entry Type","Transfer","Entry No.",I81,"Location Code",$L$7)</t>
  </si>
  <si>
    <t>=NL("Sum","Item Ledger Entry","Quantity","Entry Type","Transfer","Entry No.",I82,"Location Code",$L$7)</t>
  </si>
  <si>
    <t>=NL("Sum","Item Ledger Entry","Quantity","Entry Type","Transfer","Entry No.",I83,"Location Code",$L$7)</t>
  </si>
  <si>
    <t>=NL("Sum","Item Ledger Entry","Quantity","Entry Type","Consumption","Entry No.",I62,"Location Code",$L$7)</t>
  </si>
  <si>
    <t>=NL("Sum","Item Ledger Entry","Quantity","Entry Type","Consumption","Entry No.",I63,"Location Code",$L$7)</t>
  </si>
  <si>
    <t>=NL("Sum","Item Ledger Entry","Quantity","Entry Type","Consumption","Entry No.",I69,"Location Code",$L$7)</t>
  </si>
  <si>
    <t>=NL("Sum","Item Ledger Entry","Quantity","Entry Type","Consumption","Entry No.",I70,"Location Code",$L$7)</t>
  </si>
  <si>
    <t>=NL("Sum","Item Ledger Entry","Quantity","Entry Type","Consumption","Entry No.",I71,"Location Code",$L$7)</t>
  </si>
  <si>
    <t>=NL("Sum","Item Ledger Entry","Quantity","Entry Type","Consumption","Entry No.",I76,"Location Code",$L$7)</t>
  </si>
  <si>
    <t>=NL("Sum","Item Ledger Entry","Quantity","Entry Type","Consumption","Entry No.",I77,"Location Code",$L$7)</t>
  </si>
  <si>
    <t>=NL("Sum","Item Ledger Entry","Quantity","Entry Type","Consumption","Entry No.",I78,"Location Code",$L$7)</t>
  </si>
  <si>
    <t>=NL("Sum","Item Ledger Entry","Quantity","Entry Type","Consumption","Entry No.",I81,"Location Code",$L$7)</t>
  </si>
  <si>
    <t>=NL("Sum","Item Ledger Entry","Quantity","Entry Type","Consumption","Entry No.",I82,"Location Code",$L$7)</t>
  </si>
  <si>
    <t>=NL("Sum","Item Ledger Entry","Quantity","Entry Type","Consumption","Entry No.",I83,"Location Code",$L$7)</t>
  </si>
  <si>
    <t>=NL("Sum","Item Ledger Entry","Quantity","Entry Type","Output","Entry No.",I62,"Location Code",$L$7)</t>
  </si>
  <si>
    <t>=NL("Sum","Item Ledger Entry","Quantity","Entry Type","Output","Entry No.",I63,"Location Code",$L$7)</t>
  </si>
  <si>
    <t>=NL("Sum","Item Ledger Entry","Quantity","Entry Type","Output","Entry No.",I69,"Location Code",$L$7)</t>
  </si>
  <si>
    <t>=NL("Sum","Item Ledger Entry","Quantity","Entry Type","Output","Entry No.",I70,"Location Code",$L$7)</t>
  </si>
  <si>
    <t>=NL("Sum","Item Ledger Entry","Quantity","Entry Type","Output","Entry No.",I71,"Location Code",$L$7)</t>
  </si>
  <si>
    <t>=NL("Sum","Item Ledger Entry","Quantity","Entry Type","Output","Entry No.",I76,"Location Code",$L$7)</t>
  </si>
  <si>
    <t>=NL("Sum","Item Ledger Entry","Quantity","Entry Type","Output","Entry No.",I77,"Location Code",$L$7)</t>
  </si>
  <si>
    <t>=NL("Sum","Item Ledger Entry","Quantity","Entry Type","Output","Entry No.",I78,"Location Code",$L$7)</t>
  </si>
  <si>
    <t>=NL("Sum","Item Ledger Entry","Quantity","Entry Type","Output","Entry No.",I81,"Location Code",$L$7)</t>
  </si>
  <si>
    <t>=NL("Sum","Item Ledger Entry","Quantity","Entry Type","Output","Entry No.",I82,"Location Code",$L$7)</t>
  </si>
  <si>
    <t>=NL("Sum","Item Ledger Entry","Quantity","Entry Type","Output","Entry No.",I83,"Location Code",$L$7)</t>
  </si>
  <si>
    <t>=NL("Sum","Item Ledger Entry","Quantity","Entry Type","Purchase","Entry No.",I43,"Location Code",$L$7)</t>
  </si>
  <si>
    <t>=NL("Sum","Item Ledger Entry","Quantity","Entry Type","Purchase","Entry No.",I44,"Location Code",$L$7)</t>
  </si>
  <si>
    <t>=NL("Sum","Item Ledger Entry","Quantity","Entry Type","Purchase","Entry No.",I45,"Location Code",$L$7)</t>
  </si>
  <si>
    <t>=NL("Sum","Item Ledger Entry","Quantity","Entry Type","Purchase","Entry No.",I50,"Location Code",$L$7)</t>
  </si>
  <si>
    <t>=NL("Sum","Item Ledger Entry","Quantity","Entry Type","Purchase","Entry No.",I51,"Location Code",$L$7)</t>
  </si>
  <si>
    <t>=NL("Sum","Item Ledger Entry","Quantity","Entry Type","Purchase","Entry No.",I52,"Location Code",$L$7)</t>
  </si>
  <si>
    <t>=NL("Sum","Item Ledger Entry","Quantity","Entry Type","Sale","Entry No.",I43,"Location Code",$L$7)</t>
  </si>
  <si>
    <t>=NL("Sum","Item Ledger Entry","Quantity","Entry Type","Sale","Entry No.",I44,"Location Code",$L$7)</t>
  </si>
  <si>
    <t>=NL("Sum","Item Ledger Entry","Quantity","Entry Type","Sale","Entry No.",I45,"Location Code",$L$7)</t>
  </si>
  <si>
    <t>=NL("Sum","Item Ledger Entry","Quantity","Entry Type","Sale","Entry No.",I50,"Location Code",$L$7)</t>
  </si>
  <si>
    <t>=NL("Sum","Item Ledger Entry","Quantity","Entry Type","Sale","Entry No.",I51,"Location Code",$L$7)</t>
  </si>
  <si>
    <t>=NL("Sum","Item Ledger Entry","Quantity","Entry Type","Sale","Entry No.",I52,"Location Code",$L$7)</t>
  </si>
  <si>
    <t>=NL("Sum","Item Ledger Entry","Quantity","Entry Type","Positive Adjmt.|Negative Adjmt.","Entry No.",I43,"Location Code",$L$7)</t>
  </si>
  <si>
    <t>=NL("Sum","Item Ledger Entry","Quantity","Entry Type","Positive Adjmt.|Negative Adjmt.","Entry No.",I44,"Location Code",$L$7)</t>
  </si>
  <si>
    <t>=NL("Sum","Item Ledger Entry","Quantity","Entry Type","Positive Adjmt.|Negative Adjmt.","Entry No.",I45,"Location Code",$L$7)</t>
  </si>
  <si>
    <t>=NL("Sum","Item Ledger Entry","Quantity","Entry Type","Positive Adjmt.|Negative Adjmt.","Entry No.",I50,"Location Code",$L$7)</t>
  </si>
  <si>
    <t>=NL("Sum","Item Ledger Entry","Quantity","Entry Type","Positive Adjmt.|Negative Adjmt.","Entry No.",I51,"Location Code",$L$7)</t>
  </si>
  <si>
    <t>=NL("Sum","Item Ledger Entry","Quantity","Entry Type","Positive Adjmt.|Negative Adjmt.","Entry No.",I52,"Location Code",$L$7)</t>
  </si>
  <si>
    <t>=NL("Sum","Item Ledger Entry","Quantity","Entry Type","Transfer","Entry No.",I43,"Location Code",$L$7)</t>
  </si>
  <si>
    <t>=NL("Sum","Item Ledger Entry","Quantity","Entry Type","Transfer","Entry No.",I44,"Location Code",$L$7)</t>
  </si>
  <si>
    <t>=NL("Sum","Item Ledger Entry","Quantity","Entry Type","Transfer","Entry No.",I45,"Location Code",$L$7)</t>
  </si>
  <si>
    <t>=NL("Sum","Item Ledger Entry","Quantity","Entry Type","Transfer","Entry No.",I50,"Location Code",$L$7)</t>
  </si>
  <si>
    <t>=NL("Sum","Item Ledger Entry","Quantity","Entry Type","Transfer","Entry No.",I51,"Location Code",$L$7)</t>
  </si>
  <si>
    <t>=NL("Sum","Item Ledger Entry","Quantity","Entry Type","Transfer","Entry No.",I52,"Location Code",$L$7)</t>
  </si>
  <si>
    <t>=NL("Sum","Item Ledger Entry","Quantity","Entry Type","Consumption","Entry No.",I43,"Location Code",$L$7)</t>
  </si>
  <si>
    <t>=NL("Sum","Item Ledger Entry","Quantity","Entry Type","Consumption","Entry No.",I44,"Location Code",$L$7)</t>
  </si>
  <si>
    <t>=NL("Sum","Item Ledger Entry","Quantity","Entry Type","Consumption","Entry No.",I45,"Location Code",$L$7)</t>
  </si>
  <si>
    <t>=NL("Sum","Item Ledger Entry","Quantity","Entry Type","Consumption","Entry No.",I50,"Location Code",$L$7)</t>
  </si>
  <si>
    <t>=NL("Sum","Item Ledger Entry","Quantity","Entry Type","Consumption","Entry No.",I51,"Location Code",$L$7)</t>
  </si>
  <si>
    <t>=NL("Sum","Item Ledger Entry","Quantity","Entry Type","Consumption","Entry No.",I52,"Location Code",$L$7)</t>
  </si>
  <si>
    <t>=NL("Sum","Item Ledger Entry","Quantity","Entry Type","Output","Entry No.",I43,"Location Code",$L$7)</t>
  </si>
  <si>
    <t>=NL("Sum","Item Ledger Entry","Quantity","Entry Type","Output","Entry No.",I44,"Location Code",$L$7)</t>
  </si>
  <si>
    <t>=NL("Sum","Item Ledger Entry","Quantity","Entry Type","Output","Entry No.",I45,"Location Code",$L$7)</t>
  </si>
  <si>
    <t>=NL("Sum","Item Ledger Entry","Quantity","Entry Type","Output","Entry No.",I50,"Location Code",$L$7)</t>
  </si>
  <si>
    <t>=NL("Sum","Item Ledger Entry","Quantity","Entry Type","Output","Entry No.",I51,"Location Code",$L$7)</t>
  </si>
  <si>
    <t>=NL("Sum","Item Ledger Entry","Quantity","Entry Type","Output","Entry No.",I52,"Location Code",$L$7)</t>
  </si>
  <si>
    <t>=NL("Sum","Item Ledger Entry","Quantity","Entry Type","Purchase","Entry No.",I25,"Location Code",$L$7)</t>
  </si>
  <si>
    <t>=NL("Sum","Item Ledger Entry","Quantity","Entry Type","Purchase","Entry No.",I26,"Location Code",$L$7)</t>
  </si>
  <si>
    <t>=NL("Sum","Item Ledger Entry","Quantity","Entry Type","Purchase","Entry No.",I27,"Location Code",$L$7)</t>
  </si>
  <si>
    <t>=NL("Sum","Item Ledger Entry","Quantity","Entry Type","Purchase","Entry No.",I35,"Location Code",$L$7)</t>
  </si>
  <si>
    <t>=NL("Sum","Item Ledger Entry","Quantity","Entry Type","Purchase","Entry No.",I36,"Location Code",$L$7)</t>
  </si>
  <si>
    <t>=NL("Sum","Item Ledger Entry","Quantity","Entry Type","Purchase","Entry No.",I37,"Location Code",$L$7)</t>
  </si>
  <si>
    <t>=NL("Sum","Item Ledger Entry","Quantity","Entry Type","Sale","Entry No.",I25,"Location Code",$L$7)</t>
  </si>
  <si>
    <t>=NL("Sum","Item Ledger Entry","Quantity","Entry Type","Sale","Entry No.",I26,"Location Code",$L$7)</t>
  </si>
  <si>
    <t>=NL("Sum","Item Ledger Entry","Quantity","Entry Type","Sale","Entry No.",I27,"Location Code",$L$7)</t>
  </si>
  <si>
    <t>=NL("Sum","Item Ledger Entry","Quantity","Entry Type","Sale","Entry No.",I35,"Location Code",$L$7)</t>
  </si>
  <si>
    <t>=NL("Sum","Item Ledger Entry","Quantity","Entry Type","Sale","Entry No.",I36,"Location Code",$L$7)</t>
  </si>
  <si>
    <t>=NL("Sum","Item Ledger Entry","Quantity","Entry Type","Sale","Entry No.",I37,"Location Code",$L$7)</t>
  </si>
  <si>
    <t>=NL("Sum","Item Ledger Entry","Quantity","Entry Type","Positive Adjmt.|Negative Adjmt.","Entry No.",I25,"Location Code",$L$7)</t>
  </si>
  <si>
    <t>=NL("Sum","Item Ledger Entry","Quantity","Entry Type","Positive Adjmt.|Negative Adjmt.","Entry No.",I26,"Location Code",$L$7)</t>
  </si>
  <si>
    <t>=NL("Sum","Item Ledger Entry","Quantity","Entry Type","Positive Adjmt.|Negative Adjmt.","Entry No.",I27,"Location Code",$L$7)</t>
  </si>
  <si>
    <t>=NL("Sum","Item Ledger Entry","Quantity","Entry Type","Positive Adjmt.|Negative Adjmt.","Entry No.",I35,"Location Code",$L$7)</t>
  </si>
  <si>
    <t>=NL("Sum","Item Ledger Entry","Quantity","Entry Type","Positive Adjmt.|Negative Adjmt.","Entry No.",I36,"Location Code",$L$7)</t>
  </si>
  <si>
    <t>=NL("Sum","Item Ledger Entry","Quantity","Entry Type","Positive Adjmt.|Negative Adjmt.","Entry No.",I37,"Location Code",$L$7)</t>
  </si>
  <si>
    <t>=NL("Sum","Item Ledger Entry","Quantity","Entry Type","Transfer","Entry No.",I25,"Location Code",$L$7)</t>
  </si>
  <si>
    <t>=NL("Sum","Item Ledger Entry","Quantity","Entry Type","Transfer","Entry No.",I26,"Location Code",$L$7)</t>
  </si>
  <si>
    <t>=NL("Sum","Item Ledger Entry","Quantity","Entry Type","Transfer","Entry No.",I27,"Location Code",$L$7)</t>
  </si>
  <si>
    <t>=NL("Sum","Item Ledger Entry","Quantity","Entry Type","Transfer","Entry No.",I35,"Location Code",$L$7)</t>
  </si>
  <si>
    <t>=NL("Sum","Item Ledger Entry","Quantity","Entry Type","Transfer","Entry No.",I36,"Location Code",$L$7)</t>
  </si>
  <si>
    <t>=NL("Sum","Item Ledger Entry","Quantity","Entry Type","Transfer","Entry No.",I37,"Location Code",$L$7)</t>
  </si>
  <si>
    <t>=NL("Sum","Item Ledger Entry","Quantity","Entry Type","Consumption","Entry No.",I25,"Location Code",$L$7)</t>
  </si>
  <si>
    <t>=NL("Sum","Item Ledger Entry","Quantity","Entry Type","Consumption","Entry No.",I26,"Location Code",$L$7)</t>
  </si>
  <si>
    <t>=NL("Sum","Item Ledger Entry","Quantity","Entry Type","Consumption","Entry No.",I27,"Location Code",$L$7)</t>
  </si>
  <si>
    <t>=NL("Sum","Item Ledger Entry","Quantity","Entry Type","Consumption","Entry No.",I35,"Location Code",$L$7)</t>
  </si>
  <si>
    <t>=NL("Sum","Item Ledger Entry","Quantity","Entry Type","Consumption","Entry No.",I36,"Location Code",$L$7)</t>
  </si>
  <si>
    <t>=NL("Sum","Item Ledger Entry","Quantity","Entry Type","Consumption","Entry No.",I37,"Location Code",$L$7)</t>
  </si>
  <si>
    <t>=NL("Sum","Item Ledger Entry","Quantity","Entry Type","Output","Entry No.",I25,"Location Code",$L$7)</t>
  </si>
  <si>
    <t>=NL("Sum","Item Ledger Entry","Quantity","Entry Type","Output","Entry No.",I26,"Location Code",$L$7)</t>
  </si>
  <si>
    <t>=NL("Sum","Item Ledger Entry","Quantity","Entry Type","Output","Entry No.",I27,"Location Code",$L$7)</t>
  </si>
  <si>
    <t>=NL("Sum","Item Ledger Entry","Quantity","Entry Type","Output","Entry No.",I35,"Location Code",$L$7)</t>
  </si>
  <si>
    <t>=NL("Sum","Item Ledger Entry","Quantity","Entry Type","Output","Entry No.",I36,"Location Code",$L$7)</t>
  </si>
  <si>
    <t>=NL("Sum","Item Ledger Entry","Quantity","Entry Type","Output","Entry No.",I37,"Location Code",$L$7)</t>
  </si>
  <si>
    <t>Auto+Hide+Values+Formulas=Sheet16,Sheet4,Sheet5+FormulasOnly</t>
  </si>
  <si>
    <t>Auto+Hide+Values+Formulas=Sheet17,Sheet6,Sheet7</t>
  </si>
  <si>
    <t>=(SUBTOTAL(9,O22:O26))</t>
  </si>
  <si>
    <t>=(SUBTOTAL(9,P22:P26))</t>
  </si>
  <si>
    <t>=(SUBTOTAL(9,Q22:Q26))</t>
  </si>
  <si>
    <t>=(SUBTOTAL(9,R22:R26))</t>
  </si>
  <si>
    <t>=(SUBTOTAL(9,S22:S26))</t>
  </si>
  <si>
    <t>=(SUBTOTAL(9,T22:T26))</t>
  </si>
  <si>
    <t>=SUBTOTAL(9,O22:T26)</t>
  </si>
  <si>
    <t>=(SUBTOTAL(9,O29:O33))</t>
  </si>
  <si>
    <t>=(SUBTOTAL(9,P29:P33))</t>
  </si>
  <si>
    <t>=(SUBTOTAL(9,Q29:Q33))</t>
  </si>
  <si>
    <t>=(SUBTOTAL(9,R29:R33))</t>
  </si>
  <si>
    <t>=(SUBTOTAL(9,S29:S33))</t>
  </si>
  <si>
    <t>=(SUBTOTAL(9,T29:T33))</t>
  </si>
  <si>
    <t>=SUBTOTAL(9,O29:T33)</t>
  </si>
  <si>
    <t>=(SUBTOTAL(9,O36:O37))</t>
  </si>
  <si>
    <t>=(SUBTOTAL(9,P36:P37))</t>
  </si>
  <si>
    <t>=(SUBTOTAL(9,Q36:Q37))</t>
  </si>
  <si>
    <t>=(SUBTOTAL(9,R36:R37))</t>
  </si>
  <si>
    <t>=(SUBTOTAL(9,S36:S37))</t>
  </si>
  <si>
    <t>=(SUBTOTAL(9,T36:T37))</t>
  </si>
  <si>
    <t>=SUBTOTAL(9,O36:T37)</t>
  </si>
  <si>
    <t>=E39</t>
  </si>
  <si>
    <t>=NL("First","Item","Description","No.",$E39)</t>
  </si>
  <si>
    <t>=NL("First","Item","Base Unit of Measure","No.",$E39)</t>
  </si>
  <si>
    <t>=(SUBTOTAL(9,O40:O41))</t>
  </si>
  <si>
    <t>=(SUBTOTAL(9,P40:P41))</t>
  </si>
  <si>
    <t>=(SUBTOTAL(9,Q40:Q41))</t>
  </si>
  <si>
    <t>=(SUBTOTAL(9,R40:R41))</t>
  </si>
  <si>
    <t>=(SUBTOTAL(9,S40:S41))</t>
  </si>
  <si>
    <t>=(SUBTOTAL(9,T40:T41))</t>
  </si>
  <si>
    <t>=SUBTOTAL(9,O40:T41)</t>
  </si>
  <si>
    <t>=NL("Rows","Item Ledger Entry",,"+Posting Date",$L$5,"Item No.","@@"&amp;$D40,"Location Code","@@"&amp;$E$6)</t>
  </si>
  <si>
    <t>=NL("Sum","Item Ledger Entry","Quantity","Entry Type","Purchase","Entry No.",I40,"Location Code","@@"&amp;$E$6)</t>
  </si>
  <si>
    <t>=NL("Sum","Item Ledger Entry","Quantity","Entry Type","Sale","Entry No.",I40,"Location Code","@@"&amp;$E$6)</t>
  </si>
  <si>
    <t>=NL("Sum","Item Ledger Entry","Quantity","Entry Type","Positive Adjmt.|Negative Adjmt.","Entry No.",I40,"Location Code","@@"&amp;$E$6)</t>
  </si>
  <si>
    <t>=NL("Sum","Item Ledger Entry","Quantity","Entry Type","Transfer","Entry No.",I40,"Location Code","@@"&amp;$E$6)</t>
  </si>
  <si>
    <t>=NL("Sum","Item Ledger Entry","Quantity","Entry Type","Consumption","Entry No.",I40,"Location Code","@@"&amp;$E$6)</t>
  </si>
  <si>
    <t>=NL("Sum","Item Ledger Entry","Quantity","Entry Type","Output","Entry No.",I40,"Location Code","@@"&amp;$E$6)</t>
  </si>
  <si>
    <t>=E43</t>
  </si>
  <si>
    <t>=NL("First","Item","Description","No.",$E43)</t>
  </si>
  <si>
    <t>=NL("First","Item","Base Unit of Measure","No.",$E43)</t>
  </si>
  <si>
    <t>=(SUBTOTAL(9,O44:O45))</t>
  </si>
  <si>
    <t>=(SUBTOTAL(9,P44:P45))</t>
  </si>
  <si>
    <t>=(SUBTOTAL(9,Q44:Q45))</t>
  </si>
  <si>
    <t>=(SUBTOTAL(9,R44:R45))</t>
  </si>
  <si>
    <t>=(SUBTOTAL(9,S44:S45))</t>
  </si>
  <si>
    <t>=(SUBTOTAL(9,T44:T45))</t>
  </si>
  <si>
    <t>=SUBTOTAL(9,O44:T45)</t>
  </si>
  <si>
    <t>=NL("Rows","Item Ledger Entry",,"+Posting Date",$L$5,"Item No.","@@"&amp;$D44,"Location Code","@@"&amp;$E$6)</t>
  </si>
  <si>
    <t>=E47</t>
  </si>
  <si>
    <t>=NL("First","Item","Description","No.",$E47)</t>
  </si>
  <si>
    <t>=NL("First","Item","Base Unit of Measure","No.",$E47)</t>
  </si>
  <si>
    <t>=(SUBTOTAL(9,O48:O49))</t>
  </si>
  <si>
    <t>=(SUBTOTAL(9,P48:P49))</t>
  </si>
  <si>
    <t>=(SUBTOTAL(9,Q48:Q49))</t>
  </si>
  <si>
    <t>=(SUBTOTAL(9,R48:R49))</t>
  </si>
  <si>
    <t>=(SUBTOTAL(9,S48:S49))</t>
  </si>
  <si>
    <t>=(SUBTOTAL(9,T48:T49))</t>
  </si>
  <si>
    <t>=SUBTOTAL(9,O48:T49)</t>
  </si>
  <si>
    <t>=NL("Rows","Item Ledger Entry",,"+Posting Date",$L$5,"Item No.","@@"&amp;$D48,"Location Code","@@"&amp;$E$6)</t>
  </si>
  <si>
    <t>=(SUBTOTAL(9,O57:O60))</t>
  </si>
  <si>
    <t>=(SUBTOTAL(9,P57:P60))</t>
  </si>
  <si>
    <t>=(SUBTOTAL(9,Q57:Q60))</t>
  </si>
  <si>
    <t>=(SUBTOTAL(9,R57:R60))</t>
  </si>
  <si>
    <t>=(SUBTOTAL(9,S57:S60))</t>
  </si>
  <si>
    <t>=(SUBTOTAL(9,T57:T60))</t>
  </si>
  <si>
    <t>=SUBTOTAL(9,O57:T60)</t>
  </si>
  <si>
    <t>=(SUBTOTAL(9,O63:O66))</t>
  </si>
  <si>
    <t>=(SUBTOTAL(9,P63:P66))</t>
  </si>
  <si>
    <t>=(SUBTOTAL(9,Q63:Q66))</t>
  </si>
  <si>
    <t>=(SUBTOTAL(9,R63:R66))</t>
  </si>
  <si>
    <t>=(SUBTOTAL(9,S63:S66))</t>
  </si>
  <si>
    <t>=(SUBTOTAL(9,T63:T66))</t>
  </si>
  <si>
    <t>=SUBTOTAL(9,O63:T66)</t>
  </si>
  <si>
    <t>=(SUBTOTAL(9,O69:O70))</t>
  </si>
  <si>
    <t>=(SUBTOTAL(9,P69:P70))</t>
  </si>
  <si>
    <t>=(SUBTOTAL(9,Q69:Q70))</t>
  </si>
  <si>
    <t>=(SUBTOTAL(9,R69:R70))</t>
  </si>
  <si>
    <t>=(SUBTOTAL(9,S69:S70))</t>
  </si>
  <si>
    <t>=(SUBTOTAL(9,T69:T70))</t>
  </si>
  <si>
    <t>=SUBTOTAL(9,O69:T70)</t>
  </si>
  <si>
    <t>=(SUBTOTAL(9,O73:O76))</t>
  </si>
  <si>
    <t>=(SUBTOTAL(9,P73:P76))</t>
  </si>
  <si>
    <t>=(SUBTOTAL(9,Q73:Q76))</t>
  </si>
  <si>
    <t>=(SUBTOTAL(9,R73:R76))</t>
  </si>
  <si>
    <t>=(SUBTOTAL(9,S73:S76))</t>
  </si>
  <si>
    <t>=(SUBTOTAL(9,T73:T76))</t>
  </si>
  <si>
    <t>=SUBTOTAL(9,O73:T76)</t>
  </si>
  <si>
    <t>=(SUBTOTAL(9,O88:O92))</t>
  </si>
  <si>
    <t>=(SUBTOTAL(9,P88:P92))</t>
  </si>
  <si>
    <t>=(SUBTOTAL(9,Q88:Q92))</t>
  </si>
  <si>
    <t>=(SUBTOTAL(9,R88:R92))</t>
  </si>
  <si>
    <t>=(SUBTOTAL(9,S88:S92))</t>
  </si>
  <si>
    <t>=(SUBTOTAL(9,T88:T92))</t>
  </si>
  <si>
    <t>=SUBTOTAL(9,O88:T92)</t>
  </si>
  <si>
    <t>=(SUBTOTAL(9,O108:O112))</t>
  </si>
  <si>
    <t>=(SUBTOTAL(9,P108:P112))</t>
  </si>
  <si>
    <t>=(SUBTOTAL(9,Q108:Q112))</t>
  </si>
  <si>
    <t>=(SUBTOTAL(9,R108:R112))</t>
  </si>
  <si>
    <t>=(SUBTOTAL(9,S108:S112))</t>
  </si>
  <si>
    <t>=(SUBTOTAL(9,T108:T112))</t>
  </si>
  <si>
    <t>=SUBTOTAL(9,O108:T112)</t>
  </si>
  <si>
    <t>=E114</t>
  </si>
  <si>
    <t>=NL("First","Item","Description","No.",$E114)</t>
  </si>
  <si>
    <t>=NL("First","Item","Base Unit of Measure","No.",$E114)</t>
  </si>
  <si>
    <t>=(SUBTOTAL(9,O115:O118))</t>
  </si>
  <si>
    <t>=(SUBTOTAL(9,P115:P118))</t>
  </si>
  <si>
    <t>=(SUBTOTAL(9,Q115:Q118))</t>
  </si>
  <si>
    <t>=(SUBTOTAL(9,R115:R118))</t>
  </si>
  <si>
    <t>=(SUBTOTAL(9,S115:S118))</t>
  </si>
  <si>
    <t>=(SUBTOTAL(9,T115:T118))</t>
  </si>
  <si>
    <t>=SUBTOTAL(9,O115:T118)</t>
  </si>
  <si>
    <t>=NL("Rows","Item Ledger Entry",,"+Posting Date",$L$5,"Item No.","@@"&amp;$D115,"Location Code","@@"&amp;$E$6)</t>
  </si>
  <si>
    <t>=(SUBTOTAL(9,O121:O122))</t>
  </si>
  <si>
    <t>=(SUBTOTAL(9,P121:P122))</t>
  </si>
  <si>
    <t>=(SUBTOTAL(9,Q121:Q122))</t>
  </si>
  <si>
    <t>=(SUBTOTAL(9,R121:R122))</t>
  </si>
  <si>
    <t>=(SUBTOTAL(9,S121:S122))</t>
  </si>
  <si>
    <t>=(SUBTOTAL(9,T121:T122))</t>
  </si>
  <si>
    <t>=SUBTOTAL(9,O121:T122)</t>
  </si>
  <si>
    <t>=E124</t>
  </si>
  <si>
    <t>=NL("First","Item","Description","No.",$E124)</t>
  </si>
  <si>
    <t>=NL("First","Item","Base Unit of Measure","No.",$E124)</t>
  </si>
  <si>
    <t>=(SUBTOTAL(9,O125:O126))</t>
  </si>
  <si>
    <t>=(SUBTOTAL(9,P125:P126))</t>
  </si>
  <si>
    <t>=(SUBTOTAL(9,Q125:Q126))</t>
  </si>
  <si>
    <t>=(SUBTOTAL(9,R125:R126))</t>
  </si>
  <si>
    <t>=(SUBTOTAL(9,S125:S126))</t>
  </si>
  <si>
    <t>=(SUBTOTAL(9,T125:T126))</t>
  </si>
  <si>
    <t>=SUBTOTAL(9,O125:T126)</t>
  </si>
  <si>
    <t>=NL("Rows","Item Ledger Entry",,"+Posting Date",$L$5,"Item No.","@@"&amp;$D125,"Location Code","@@"&amp;$E$6)</t>
  </si>
  <si>
    <t>=(SUBTOTAL(9,O142:O144))</t>
  </si>
  <si>
    <t>=(SUBTOTAL(9,P142:P144))</t>
  </si>
  <si>
    <t>=(SUBTOTAL(9,Q142:Q144))</t>
  </si>
  <si>
    <t>=(SUBTOTAL(9,R142:R144))</t>
  </si>
  <si>
    <t>=(SUBTOTAL(9,S142:S144))</t>
  </si>
  <si>
    <t>=(SUBTOTAL(9,T142:T144))</t>
  </si>
  <si>
    <t>=SUBTOTAL(9,O142:T144)</t>
  </si>
  <si>
    <t>=E146</t>
  </si>
  <si>
    <t>=NL("First","Item","Description","No.",$E146)</t>
  </si>
  <si>
    <t>=NL("First","Item","Base Unit of Measure","No.",$E146)</t>
  </si>
  <si>
    <t>=(SUBTOTAL(9,O147:O149))</t>
  </si>
  <si>
    <t>=(SUBTOTAL(9,P147:P149))</t>
  </si>
  <si>
    <t>=(SUBTOTAL(9,Q147:Q149))</t>
  </si>
  <si>
    <t>=(SUBTOTAL(9,R147:R149))</t>
  </si>
  <si>
    <t>=(SUBTOTAL(9,S147:S149))</t>
  </si>
  <si>
    <t>=(SUBTOTAL(9,T147:T149))</t>
  </si>
  <si>
    <t>=SUBTOTAL(9,O147:T149)</t>
  </si>
  <si>
    <t>=NL("Rows","Item Ledger Entry",,"+Posting Date",$L$5,"Item No.","@@"&amp;$D147,"Location Code","@@"&amp;$E$6)</t>
  </si>
  <si>
    <t>=NL("Sum","Item Ledger Entry","Quantity","Entry Type","Purchase","Entry No.",I147,"Location Code","@@"&amp;$E$6)</t>
  </si>
  <si>
    <t>=NL("Sum","Item Ledger Entry","Quantity","Entry Type","Sale","Entry No.",I147,"Location Code","@@"&amp;$E$6)</t>
  </si>
  <si>
    <t>=NL("Sum","Item Ledger Entry","Quantity","Entry Type","Positive Adjmt.|Negative Adjmt.","Entry No.",I147,"Location Code","@@"&amp;$E$6)</t>
  </si>
  <si>
    <t>=NL("Sum","Item Ledger Entry","Quantity","Entry Type","Transfer","Entry No.",I147,"Location Code","@@"&amp;$E$6)</t>
  </si>
  <si>
    <t>=NL("Sum","Item Ledger Entry","Quantity","Entry Type","Consumption","Entry No.",I147,"Location Code","@@"&amp;$E$6)</t>
  </si>
  <si>
    <t>=NL("Sum","Item Ledger Entry","Quantity","Entry Type","Output","Entry No.",I147,"Location Code","@@"&amp;$E$6)</t>
  </si>
  <si>
    <t>=E151</t>
  </si>
  <si>
    <t>=NL("First","Item","Description","No.",$E151)</t>
  </si>
  <si>
    <t>=NL("First","Item","Base Unit of Measure","No.",$E151)</t>
  </si>
  <si>
    <t>=(SUBTOTAL(9,O152:O153))</t>
  </si>
  <si>
    <t>=(SUBTOTAL(9,P152:P153))</t>
  </si>
  <si>
    <t>=(SUBTOTAL(9,Q152:Q153))</t>
  </si>
  <si>
    <t>=(SUBTOTAL(9,R152:R153))</t>
  </si>
  <si>
    <t>=(SUBTOTAL(9,S152:S153))</t>
  </si>
  <si>
    <t>=(SUBTOTAL(9,T152:T153))</t>
  </si>
  <si>
    <t>=SUBTOTAL(9,O152:T153)</t>
  </si>
  <si>
    <t>=NL("Rows","Item Ledger Entry",,"+Posting Date",$L$5,"Item No.","@@"&amp;$D152,"Location Code","@@"&amp;$E$6)</t>
  </si>
  <si>
    <t>=NL("Sum","Item Ledger Entry","Quantity","Entry Type","Purchase","Entry No.",I152,"Location Code","@@"&amp;$E$6)</t>
  </si>
  <si>
    <t>=NL("Sum","Item Ledger Entry","Quantity","Entry Type","Sale","Entry No.",I152,"Location Code","@@"&amp;$E$6)</t>
  </si>
  <si>
    <t>=NL("Sum","Item Ledger Entry","Quantity","Entry Type","Positive Adjmt.|Negative Adjmt.","Entry No.",I152,"Location Code","@@"&amp;$E$6)</t>
  </si>
  <si>
    <t>=NL("Sum","Item Ledger Entry","Quantity","Entry Type","Transfer","Entry No.",I152,"Location Code","@@"&amp;$E$6)</t>
  </si>
  <si>
    <t>=NL("Sum","Item Ledger Entry","Quantity","Entry Type","Consumption","Entry No.",I152,"Location Code","@@"&amp;$E$6)</t>
  </si>
  <si>
    <t>=NL("Sum","Item Ledger Entry","Quantity","Entry Type","Output","Entry No.",I152,"Location Code","@@"&amp;$E$6)</t>
  </si>
  <si>
    <t>=E155</t>
  </si>
  <si>
    <t>=NL("First","Item","Description","No.",$E155)</t>
  </si>
  <si>
    <t>=NL("First","Item","Base Unit of Measure","No.",$E155)</t>
  </si>
  <si>
    <t>=(SUBTOTAL(9,O156:O157))</t>
  </si>
  <si>
    <t>=(SUBTOTAL(9,P156:P157))</t>
  </si>
  <si>
    <t>=(SUBTOTAL(9,Q156:Q157))</t>
  </si>
  <si>
    <t>=(SUBTOTAL(9,R156:R157))</t>
  </si>
  <si>
    <t>=(SUBTOTAL(9,S156:S157))</t>
  </si>
  <si>
    <t>=(SUBTOTAL(9,T156:T157))</t>
  </si>
  <si>
    <t>=SUBTOTAL(9,O156:T157)</t>
  </si>
  <si>
    <t>=NL("Rows","Item Ledger Entry",,"+Posting Date",$L$5,"Item No.","@@"&amp;$D156,"Location Code","@@"&amp;$E$6)</t>
  </si>
  <si>
    <t>=NL("Sum","Item Ledger Entry","Quantity","Entry Type","Purchase","Entry No.",I156,"Location Code","@@"&amp;$E$6)</t>
  </si>
  <si>
    <t>=NL("Sum","Item Ledger Entry","Quantity","Entry Type","Sale","Entry No.",I156,"Location Code","@@"&amp;$E$6)</t>
  </si>
  <si>
    <t>=NL("Sum","Item Ledger Entry","Quantity","Entry Type","Positive Adjmt.|Negative Adjmt.","Entry No.",I156,"Location Code","@@"&amp;$E$6)</t>
  </si>
  <si>
    <t>=NL("Sum","Item Ledger Entry","Quantity","Entry Type","Transfer","Entry No.",I156,"Location Code","@@"&amp;$E$6)</t>
  </si>
  <si>
    <t>=NL("Sum","Item Ledger Entry","Quantity","Entry Type","Consumption","Entry No.",I156,"Location Code","@@"&amp;$E$6)</t>
  </si>
  <si>
    <t>=NL("Sum","Item Ledger Entry","Quantity","Entry Type","Output","Entry No.",I156,"Location Code","@@"&amp;$E$6)</t>
  </si>
  <si>
    <t>=E159</t>
  </si>
  <si>
    <t>=NL("First","Item","Description","No.",$E159)</t>
  </si>
  <si>
    <t>=NL("First","Item","Base Unit of Measure","No.",$E159)</t>
  </si>
  <si>
    <t>=(SUBTOTAL(9,O160:O162))</t>
  </si>
  <si>
    <t>=(SUBTOTAL(9,P160:P162))</t>
  </si>
  <si>
    <t>=(SUBTOTAL(9,Q160:Q162))</t>
  </si>
  <si>
    <t>=(SUBTOTAL(9,R160:R162))</t>
  </si>
  <si>
    <t>=(SUBTOTAL(9,S160:S162))</t>
  </si>
  <si>
    <t>=(SUBTOTAL(9,T160:T162))</t>
  </si>
  <si>
    <t>=SUBTOTAL(9,O160:T162)</t>
  </si>
  <si>
    <t>=NL("Rows","Item Ledger Entry",,"+Posting Date",$L$5,"Item No.","@@"&amp;$D160,"Location Code","@@"&amp;$E$6)</t>
  </si>
  <si>
    <t>=(SUBTOTAL(9,O173:O174))</t>
  </si>
  <si>
    <t>=(SUBTOTAL(9,P173:P174))</t>
  </si>
  <si>
    <t>=(SUBTOTAL(9,Q173:Q174))</t>
  </si>
  <si>
    <t>=(SUBTOTAL(9,R173:R174))</t>
  </si>
  <si>
    <t>=(SUBTOTAL(9,S173:S174))</t>
  </si>
  <si>
    <t>=(SUBTOTAL(9,T173:T174))</t>
  </si>
  <si>
    <t>=SUBTOTAL(9,O173:T174)</t>
  </si>
  <si>
    <t>=(SUBTOTAL(9,O177:O179))</t>
  </si>
  <si>
    <t>=(SUBTOTAL(9,P177:P179))</t>
  </si>
  <si>
    <t>=(SUBTOTAL(9,Q177:Q179))</t>
  </si>
  <si>
    <t>=(SUBTOTAL(9,R177:R179))</t>
  </si>
  <si>
    <t>=(SUBTOTAL(9,S177:S179))</t>
  </si>
  <si>
    <t>=(SUBTOTAL(9,T177:T179))</t>
  </si>
  <si>
    <t>=SUBTOTAL(9,O177:T179)</t>
  </si>
  <si>
    <t>=NL("Rows","Item Ledger Entry",,"+Posting Date",$L$5,"Item No.","@@"&amp;$D177,"Location Code","@@"&amp;$E$6)</t>
  </si>
  <si>
    <t>=NL("Sum","Item Ledger Entry","Quantity","Entry Type","Purchase","Entry No.",I177,"Location Code","@@"&amp;$E$6)</t>
  </si>
  <si>
    <t>=NL("Sum","Item Ledger Entry","Quantity","Entry Type","Sale","Entry No.",I177,"Location Code","@@"&amp;$E$6)</t>
  </si>
  <si>
    <t>=NL("Sum","Item Ledger Entry","Quantity","Entry Type","Positive Adjmt.|Negative Adjmt.","Entry No.",I177,"Location Code","@@"&amp;$E$6)</t>
  </si>
  <si>
    <t>=NL("Sum","Item Ledger Entry","Quantity","Entry Type","Transfer","Entry No.",I177,"Location Code","@@"&amp;$E$6)</t>
  </si>
  <si>
    <t>=NL("Sum","Item Ledger Entry","Quantity","Entry Type","Consumption","Entry No.",I177,"Location Code","@@"&amp;$E$6)</t>
  </si>
  <si>
    <t>=NL("Sum","Item Ledger Entry","Quantity","Entry Type","Output","Entry No.",I177,"Location Code","@@"&amp;$E$6)</t>
  </si>
  <si>
    <t>=(SUBTOTAL(9,O186:O187))</t>
  </si>
  <si>
    <t>=(SUBTOTAL(9,P186:P187))</t>
  </si>
  <si>
    <t>=(SUBTOTAL(9,Q186:Q187))</t>
  </si>
  <si>
    <t>=(SUBTOTAL(9,R186:R187))</t>
  </si>
  <si>
    <t>=(SUBTOTAL(9,S186:S187))</t>
  </si>
  <si>
    <t>=(SUBTOTAL(9,T186:T187))</t>
  </si>
  <si>
    <t>=SUBTOTAL(9,O186:T187)</t>
  </si>
  <si>
    <t>=(SUBTOTAL(9,O190:O191))</t>
  </si>
  <si>
    <t>=(SUBTOTAL(9,P190:P191))</t>
  </si>
  <si>
    <t>=(SUBTOTAL(9,Q190:Q191))</t>
  </si>
  <si>
    <t>=(SUBTOTAL(9,R190:R191))</t>
  </si>
  <si>
    <t>=(SUBTOTAL(9,S190:S191))</t>
  </si>
  <si>
    <t>=(SUBTOTAL(9,T190:T191))</t>
  </si>
  <si>
    <t>=SUBTOTAL(9,O190:T191)</t>
  </si>
  <si>
    <t>=NL("Rows","Item Ledger Entry",,"+Posting Date",$L$5,"Item No.","@@"&amp;$D190,"Location Code","@@"&amp;$E$6)</t>
  </si>
  <si>
    <t>=(SUBTOTAL(9,O194:O195))</t>
  </si>
  <si>
    <t>=(SUBTOTAL(9,P194:P195))</t>
  </si>
  <si>
    <t>=(SUBTOTAL(9,Q194:Q195))</t>
  </si>
  <si>
    <t>=(SUBTOTAL(9,R194:R195))</t>
  </si>
  <si>
    <t>=(SUBTOTAL(9,S194:S195))</t>
  </si>
  <si>
    <t>=(SUBTOTAL(9,T194:T195))</t>
  </si>
  <si>
    <t>=SUBTOTAL(9,O194:T195)</t>
  </si>
  <si>
    <t>=E197</t>
  </si>
  <si>
    <t>=NL("First","Item","Description","No.",$E197)</t>
  </si>
  <si>
    <t>=NL("First","Item","Base Unit of Measure","No.",$E197)</t>
  </si>
  <si>
    <t>=(SUBTOTAL(9,O198:O199))</t>
  </si>
  <si>
    <t>=(SUBTOTAL(9,P198:P199))</t>
  </si>
  <si>
    <t>=(SUBTOTAL(9,Q198:Q199))</t>
  </si>
  <si>
    <t>=(SUBTOTAL(9,R198:R199))</t>
  </si>
  <si>
    <t>=(SUBTOTAL(9,S198:S199))</t>
  </si>
  <si>
    <t>=(SUBTOTAL(9,T198:T199))</t>
  </si>
  <si>
    <t>=SUBTOTAL(9,O198:T199)</t>
  </si>
  <si>
    <t>=NL("Rows","Item Ledger Entry",,"+Posting Date",$L$5,"Item No.","@@"&amp;$D198,"Location Code","@@"&amp;$E$6)</t>
  </si>
  <si>
    <t>=(SUBTOTAL(9,O202:O204))</t>
  </si>
  <si>
    <t>=(SUBTOTAL(9,P202:P204))</t>
  </si>
  <si>
    <t>=(SUBTOTAL(9,Q202:Q204))</t>
  </si>
  <si>
    <t>=(SUBTOTAL(9,R202:R204))</t>
  </si>
  <si>
    <t>=(SUBTOTAL(9,S202:S204))</t>
  </si>
  <si>
    <t>=(SUBTOTAL(9,T202:T204))</t>
  </si>
  <si>
    <t>=SUBTOTAL(9,O202:T204)</t>
  </si>
  <si>
    <t>=E206</t>
  </si>
  <si>
    <t>=NL("First","Item","Description","No.",$E206)</t>
  </si>
  <si>
    <t>=NL("First","Item","Base Unit of Measure","No.",$E206)</t>
  </si>
  <si>
    <t>=(SUBTOTAL(9,O207:O208))</t>
  </si>
  <si>
    <t>=(SUBTOTAL(9,P207:P208))</t>
  </si>
  <si>
    <t>=(SUBTOTAL(9,Q207:Q208))</t>
  </si>
  <si>
    <t>=(SUBTOTAL(9,R207:R208))</t>
  </si>
  <si>
    <t>=(SUBTOTAL(9,S207:S208))</t>
  </si>
  <si>
    <t>=(SUBTOTAL(9,T207:T208))</t>
  </si>
  <si>
    <t>=SUBTOTAL(9,O207:T208)</t>
  </si>
  <si>
    <t>=NL("Rows","Item Ledger Entry",,"+Posting Date",$L$5,"Item No.","@@"&amp;$D207,"Location Code","@@"&amp;$E$6)</t>
  </si>
  <si>
    <t>=NL("Sum","Item Ledger Entry","Quantity","Entry Type","Purchase","Entry No.",I207,"Location Code","@@"&amp;$E$6)</t>
  </si>
  <si>
    <t>=NL("Sum","Item Ledger Entry","Quantity","Entry Type","Sale","Entry No.",I207,"Location Code","@@"&amp;$E$6)</t>
  </si>
  <si>
    <t>=NL("Sum","Item Ledger Entry","Quantity","Entry Type","Positive Adjmt.|Negative Adjmt.","Entry No.",I207,"Location Code","@@"&amp;$E$6)</t>
  </si>
  <si>
    <t>=NL("Sum","Item Ledger Entry","Quantity","Entry Type","Transfer","Entry No.",I207,"Location Code","@@"&amp;$E$6)</t>
  </si>
  <si>
    <t>=NL("Sum","Item Ledger Entry","Quantity","Entry Type","Consumption","Entry No.",I207,"Location Code","@@"&amp;$E$6)</t>
  </si>
  <si>
    <t>=NL("Sum","Item Ledger Entry","Quantity","Entry Type","Output","Entry No.",I207,"Location Code","@@"&amp;$E$6)</t>
  </si>
  <si>
    <t>=E210</t>
  </si>
  <si>
    <t>=NL("First","Item","Description","No.",$E210)</t>
  </si>
  <si>
    <t>=NL("First","Item","Base Unit of Measure","No.",$E210)</t>
  </si>
  <si>
    <t>=(SUBTOTAL(9,O211:O212))</t>
  </si>
  <si>
    <t>=(SUBTOTAL(9,P211:P212))</t>
  </si>
  <si>
    <t>=(SUBTOTAL(9,Q211:Q212))</t>
  </si>
  <si>
    <t>=(SUBTOTAL(9,R211:R212))</t>
  </si>
  <si>
    <t>=(SUBTOTAL(9,S211:S212))</t>
  </si>
  <si>
    <t>=(SUBTOTAL(9,T211:T212))</t>
  </si>
  <si>
    <t>=SUBTOTAL(9,O211:T212)</t>
  </si>
  <si>
    <t>=NL("Rows","Item Ledger Entry",,"+Posting Date",$L$5,"Item No.","@@"&amp;$D211,"Location Code","@@"&amp;$E$6)</t>
  </si>
  <si>
    <t>=(SUBTOTAL(9,O215:O216))</t>
  </si>
  <si>
    <t>=(SUBTOTAL(9,P215:P216))</t>
  </si>
  <si>
    <t>=(SUBTOTAL(9,Q215:Q216))</t>
  </si>
  <si>
    <t>=(SUBTOTAL(9,R215:R216))</t>
  </si>
  <si>
    <t>=(SUBTOTAL(9,S215:S216))</t>
  </si>
  <si>
    <t>=(SUBTOTAL(9,T215:T216))</t>
  </si>
  <si>
    <t>=SUBTOTAL(9,O215:T216)</t>
  </si>
  <si>
    <t>=E218</t>
  </si>
  <si>
    <t>=NL("First","Item","Description","No.",$E218)</t>
  </si>
  <si>
    <t>=NL("First","Item","Base Unit of Measure","No.",$E218)</t>
  </si>
  <si>
    <t>=(SUBTOTAL(9,O219:O221))</t>
  </si>
  <si>
    <t>=(SUBTOTAL(9,P219:P221))</t>
  </si>
  <si>
    <t>=(SUBTOTAL(9,Q219:Q221))</t>
  </si>
  <si>
    <t>=(SUBTOTAL(9,R219:R221))</t>
  </si>
  <si>
    <t>=(SUBTOTAL(9,S219:S221))</t>
  </si>
  <si>
    <t>=(SUBTOTAL(9,T219:T221))</t>
  </si>
  <si>
    <t>=SUBTOTAL(9,O219:T221)</t>
  </si>
  <si>
    <t>=NL("Rows","Item Ledger Entry",,"+Posting Date",$L$5,"Item No.","@@"&amp;$D219,"Location Code","@@"&amp;$E$6)</t>
  </si>
  <si>
    <t>=NL("Sum","Item Ledger Entry","Quantity","Entry Type","Purchase","Entry No.",I219,"Location Code","@@"&amp;$E$6)</t>
  </si>
  <si>
    <t>=NL("Sum","Item Ledger Entry","Quantity","Entry Type","Sale","Entry No.",I219,"Location Code","@@"&amp;$E$6)</t>
  </si>
  <si>
    <t>=NL("Sum","Item Ledger Entry","Quantity","Entry Type","Positive Adjmt.|Negative Adjmt.","Entry No.",I219,"Location Code","@@"&amp;$E$6)</t>
  </si>
  <si>
    <t>=NL("Sum","Item Ledger Entry","Quantity","Entry Type","Transfer","Entry No.",I219,"Location Code","@@"&amp;$E$6)</t>
  </si>
  <si>
    <t>=NL("Sum","Item Ledger Entry","Quantity","Entry Type","Consumption","Entry No.",I219,"Location Code","@@"&amp;$E$6)</t>
  </si>
  <si>
    <t>=NL("Sum","Item Ledger Entry","Quantity","Entry Type","Output","Entry No.",I219,"Location Code","@@"&amp;$E$6)</t>
  </si>
  <si>
    <t>=E223</t>
  </si>
  <si>
    <t>=NL("First","Item","Description","No.",$E223)</t>
  </si>
  <si>
    <t>=NL("First","Item","Base Unit of Measure","No.",$E223)</t>
  </si>
  <si>
    <t>=(SUBTOTAL(9,O224:O225))</t>
  </si>
  <si>
    <t>=(SUBTOTAL(9,P224:P225))</t>
  </si>
  <si>
    <t>=(SUBTOTAL(9,Q224:Q225))</t>
  </si>
  <si>
    <t>=(SUBTOTAL(9,R224:R225))</t>
  </si>
  <si>
    <t>=(SUBTOTAL(9,S224:S225))</t>
  </si>
  <si>
    <t>=(SUBTOTAL(9,T224:T225))</t>
  </si>
  <si>
    <t>=SUBTOTAL(9,O224:T225)</t>
  </si>
  <si>
    <t>=NL("Rows","Item Ledger Entry",,"+Posting Date",$L$5,"Item No.","@@"&amp;$D224,"Location Code","@@"&amp;$E$6)</t>
  </si>
  <si>
    <t>=NL("Sum","Item Ledger Entry","Quantity","Entry Type","Purchase","Entry No.",I224,"Location Code","@@"&amp;$E$6)</t>
  </si>
  <si>
    <t>=NL("Sum","Item Ledger Entry","Quantity","Entry Type","Sale","Entry No.",I224,"Location Code","@@"&amp;$E$6)</t>
  </si>
  <si>
    <t>=NL("Sum","Item Ledger Entry","Quantity","Entry Type","Positive Adjmt.|Negative Adjmt.","Entry No.",I224,"Location Code","@@"&amp;$E$6)</t>
  </si>
  <si>
    <t>=NL("Sum","Item Ledger Entry","Quantity","Entry Type","Transfer","Entry No.",I224,"Location Code","@@"&amp;$E$6)</t>
  </si>
  <si>
    <t>=NL("Sum","Item Ledger Entry","Quantity","Entry Type","Consumption","Entry No.",I224,"Location Code","@@"&amp;$E$6)</t>
  </si>
  <si>
    <t>=NL("Sum","Item Ledger Entry","Quantity","Entry Type","Output","Entry No.",I224,"Location Code","@@"&amp;$E$6)</t>
  </si>
  <si>
    <t>=E227</t>
  </si>
  <si>
    <t>=NL("First","Item","Description","No.",$E227)</t>
  </si>
  <si>
    <t>=NL("First","Item","Base Unit of Measure","No.",$E227)</t>
  </si>
  <si>
    <t>=(SUBTOTAL(9,O228:O230))</t>
  </si>
  <si>
    <t>=(SUBTOTAL(9,P228:P230))</t>
  </si>
  <si>
    <t>=(SUBTOTAL(9,Q228:Q230))</t>
  </si>
  <si>
    <t>=(SUBTOTAL(9,R228:R230))</t>
  </si>
  <si>
    <t>=(SUBTOTAL(9,S228:S230))</t>
  </si>
  <si>
    <t>=(SUBTOTAL(9,T228:T230))</t>
  </si>
  <si>
    <t>=SUBTOTAL(9,O228:T230)</t>
  </si>
  <si>
    <t>=NL("Rows","Item Ledger Entry",,"+Posting Date",$L$5,"Item No.","@@"&amp;$D228,"Location Code","@@"&amp;$E$6)</t>
  </si>
  <si>
    <t>=NL("Sum","Item Ledger Entry","Quantity","Entry Type","Purchase","Entry No.",I228,"Location Code","@@"&amp;$E$6)</t>
  </si>
  <si>
    <t>=NL("Sum","Item Ledger Entry","Quantity","Entry Type","Sale","Entry No.",I228,"Location Code","@@"&amp;$E$6)</t>
  </si>
  <si>
    <t>=NL("Sum","Item Ledger Entry","Quantity","Entry Type","Positive Adjmt.|Negative Adjmt.","Entry No.",I228,"Location Code","@@"&amp;$E$6)</t>
  </si>
  <si>
    <t>=NL("Sum","Item Ledger Entry","Quantity","Entry Type","Transfer","Entry No.",I228,"Location Code","@@"&amp;$E$6)</t>
  </si>
  <si>
    <t>=NL("Sum","Item Ledger Entry","Quantity","Entry Type","Consumption","Entry No.",I228,"Location Code","@@"&amp;$E$6)</t>
  </si>
  <si>
    <t>=NL("Sum","Item Ledger Entry","Quantity","Entry Type","Output","Entry No.",I228,"Location Code","@@"&amp;$E$6)</t>
  </si>
  <si>
    <t>=NL("Sum","Item Ledger Entry","Quantity","Entry Type","Purchase","Entry No.",I229,"Location Code","@@"&amp;$E$6)</t>
  </si>
  <si>
    <t>=NL("Sum","Item Ledger Entry","Quantity","Entry Type","Sale","Entry No.",I229,"Location Code","@@"&amp;$E$6)</t>
  </si>
  <si>
    <t>=NL("Sum","Item Ledger Entry","Quantity","Entry Type","Positive Adjmt.|Negative Adjmt.","Entry No.",I229,"Location Code","@@"&amp;$E$6)</t>
  </si>
  <si>
    <t>=NL("Sum","Item Ledger Entry","Quantity","Entry Type","Transfer","Entry No.",I229,"Location Code","@@"&amp;$E$6)</t>
  </si>
  <si>
    <t>=NL("Sum","Item Ledger Entry","Quantity","Entry Type","Consumption","Entry No.",I229,"Location Code","@@"&amp;$E$6)</t>
  </si>
  <si>
    <t>=NL("Sum","Item Ledger Entry","Quantity","Entry Type","Output","Entry No.",I229,"Location Code","@@"&amp;$E$6)</t>
  </si>
  <si>
    <t>=E232</t>
  </si>
  <si>
    <t>=NL("First","Item","Description","No.",$E232)</t>
  </si>
  <si>
    <t>=NL("First","Item","Base Unit of Measure","No.",$E232)</t>
  </si>
  <si>
    <t>=(SUBTOTAL(9,O233:O236))</t>
  </si>
  <si>
    <t>=(SUBTOTAL(9,P233:P236))</t>
  </si>
  <si>
    <t>=(SUBTOTAL(9,Q233:Q236))</t>
  </si>
  <si>
    <t>=(SUBTOTAL(9,R233:R236))</t>
  </si>
  <si>
    <t>=(SUBTOTAL(9,S233:S236))</t>
  </si>
  <si>
    <t>=(SUBTOTAL(9,T233:T236))</t>
  </si>
  <si>
    <t>=SUBTOTAL(9,O233:T236)</t>
  </si>
  <si>
    <t>=NL("Rows","Item Ledger Entry",,"+Posting Date",$L$5,"Item No.","@@"&amp;$D233,"Location Code","@@"&amp;$E$6)</t>
  </si>
  <si>
    <t>=(SUBTOTAL(9,O244:O249))</t>
  </si>
  <si>
    <t>=(SUBTOTAL(9,P244:P249))</t>
  </si>
  <si>
    <t>=(SUBTOTAL(9,Q244:Q249))</t>
  </si>
  <si>
    <t>=(SUBTOTAL(9,R244:R249))</t>
  </si>
  <si>
    <t>=(SUBTOTAL(9,S244:S249))</t>
  </si>
  <si>
    <t>=(SUBTOTAL(9,T244:T249))</t>
  </si>
  <si>
    <t>=SUBTOTAL(9,O244:T249)</t>
  </si>
  <si>
    <t>=(SUBTOTAL(9,O252:O257))</t>
  </si>
  <si>
    <t>=(SUBTOTAL(9,P252:P257))</t>
  </si>
  <si>
    <t>=(SUBTOTAL(9,Q252:Q257))</t>
  </si>
  <si>
    <t>=(SUBTOTAL(9,R252:R257))</t>
  </si>
  <si>
    <t>=(SUBTOTAL(9,S252:S257))</t>
  </si>
  <si>
    <t>=(SUBTOTAL(9,T252:T257))</t>
  </si>
  <si>
    <t>=SUBTOTAL(9,O252:T257)</t>
  </si>
  <si>
    <t>=(SUBTOTAL(9,O265:O268))</t>
  </si>
  <si>
    <t>=(SUBTOTAL(9,P265:P268))</t>
  </si>
  <si>
    <t>=(SUBTOTAL(9,Q265:Q268))</t>
  </si>
  <si>
    <t>=(SUBTOTAL(9,R265:R268))</t>
  </si>
  <si>
    <t>=(SUBTOTAL(9,S265:S268))</t>
  </si>
  <si>
    <t>=(SUBTOTAL(9,T265:T268))</t>
  </si>
  <si>
    <t>=SUBTOTAL(9,O265:T268)</t>
  </si>
  <si>
    <t>=E270</t>
  </si>
  <si>
    <t>=NL("First","Item","Description","No.",$E270)</t>
  </si>
  <si>
    <t>=NL("First","Item","Base Unit of Measure","No.",$E270)</t>
  </si>
  <si>
    <t>=(SUBTOTAL(9,O271:O275))</t>
  </si>
  <si>
    <t>=(SUBTOTAL(9,P271:P275))</t>
  </si>
  <si>
    <t>=(SUBTOTAL(9,Q271:Q275))</t>
  </si>
  <si>
    <t>=(SUBTOTAL(9,R271:R275))</t>
  </si>
  <si>
    <t>=(SUBTOTAL(9,S271:S275))</t>
  </si>
  <si>
    <t>=(SUBTOTAL(9,T271:T275))</t>
  </si>
  <si>
    <t>=SUBTOTAL(9,O271:T275)</t>
  </si>
  <si>
    <t>=NL("Rows","Item Ledger Entry",,"+Posting Date",$L$5,"Item No.","@@"&amp;$D271,"Location Code","@@"&amp;$E$6)</t>
  </si>
  <si>
    <t>=(SUBTOTAL(9,O278:O280))</t>
  </si>
  <si>
    <t>=(SUBTOTAL(9,P278:P280))</t>
  </si>
  <si>
    <t>=(SUBTOTAL(9,Q278:Q280))</t>
  </si>
  <si>
    <t>=(SUBTOTAL(9,R278:R280))</t>
  </si>
  <si>
    <t>=(SUBTOTAL(9,S278:S280))</t>
  </si>
  <si>
    <t>=(SUBTOTAL(9,T278:T280))</t>
  </si>
  <si>
    <t>=SUBTOTAL(9,O278:T280)</t>
  </si>
  <si>
    <t>=(SUBTOTAL(9,O283:O284))</t>
  </si>
  <si>
    <t>=(SUBTOTAL(9,P283:P284))</t>
  </si>
  <si>
    <t>=(SUBTOTAL(9,Q283:Q284))</t>
  </si>
  <si>
    <t>=(SUBTOTAL(9,R283:R284))</t>
  </si>
  <si>
    <t>=(SUBTOTAL(9,S283:S284))</t>
  </si>
  <si>
    <t>=(SUBTOTAL(9,T283:T284))</t>
  </si>
  <si>
    <t>=SUBTOTAL(9,O283:T284)</t>
  </si>
  <si>
    <t>=E286</t>
  </si>
  <si>
    <t>=NL("First","Item","Description","No.",$E286)</t>
  </si>
  <si>
    <t>=NL("First","Item","Base Unit of Measure","No.",$E286)</t>
  </si>
  <si>
    <t>=(SUBTOTAL(9,O287:O289))</t>
  </si>
  <si>
    <t>=(SUBTOTAL(9,P287:P289))</t>
  </si>
  <si>
    <t>=(SUBTOTAL(9,Q287:Q289))</t>
  </si>
  <si>
    <t>=(SUBTOTAL(9,R287:R289))</t>
  </si>
  <si>
    <t>=(SUBTOTAL(9,S287:S289))</t>
  </si>
  <si>
    <t>=(SUBTOTAL(9,T287:T289))</t>
  </si>
  <si>
    <t>=SUBTOTAL(9,O287:T289)</t>
  </si>
  <si>
    <t>=NL("Rows","Item Ledger Entry",,"+Posting Date",$L$5,"Item No.","@@"&amp;$D287,"Location Code","@@"&amp;$E$6)</t>
  </si>
  <si>
    <t>=(SUBTOTAL(9,O301:O304))</t>
  </si>
  <si>
    <t>=(SUBTOTAL(9,P301:P304))</t>
  </si>
  <si>
    <t>=(SUBTOTAL(9,Q301:Q304))</t>
  </si>
  <si>
    <t>=(SUBTOTAL(9,R301:R304))</t>
  </si>
  <si>
    <t>=(SUBTOTAL(9,S301:S304))</t>
  </si>
  <si>
    <t>=(SUBTOTAL(9,T301:T304))</t>
  </si>
  <si>
    <t>=SUBTOTAL(9,O301:T304)</t>
  </si>
  <si>
    <t>=E306</t>
  </si>
  <si>
    <t>=NL("First","Item","Description","No.",$E306)</t>
  </si>
  <si>
    <t>=NL("First","Item","Base Unit of Measure","No.",$E306)</t>
  </si>
  <si>
    <t>=(SUBTOTAL(9,O307:O309))</t>
  </si>
  <si>
    <t>=(SUBTOTAL(9,P307:P309))</t>
  </si>
  <si>
    <t>=(SUBTOTAL(9,Q307:Q309))</t>
  </si>
  <si>
    <t>=(SUBTOTAL(9,R307:R309))</t>
  </si>
  <si>
    <t>=(SUBTOTAL(9,S307:S309))</t>
  </si>
  <si>
    <t>=(SUBTOTAL(9,T307:T309))</t>
  </si>
  <si>
    <t>=SUBTOTAL(9,O307:T309)</t>
  </si>
  <si>
    <t>=NL("Rows","Item Ledger Entry",,"+Posting Date",$L$5,"Item No.","@@"&amp;$D307,"Location Code","@@"&amp;$E$6)</t>
  </si>
  <si>
    <t>=NL("Sum","Item Ledger Entry","Quantity","Entry Type","Purchase","Entry No.",I307,"Location Code","@@"&amp;$E$6)</t>
  </si>
  <si>
    <t>=NL("Sum","Item Ledger Entry","Quantity","Entry Type","Sale","Entry No.",I307,"Location Code","@@"&amp;$E$6)</t>
  </si>
  <si>
    <t>=NL("Sum","Item Ledger Entry","Quantity","Entry Type","Positive Adjmt.|Negative Adjmt.","Entry No.",I307,"Location Code","@@"&amp;$E$6)</t>
  </si>
  <si>
    <t>=NL("Sum","Item Ledger Entry","Quantity","Entry Type","Transfer","Entry No.",I307,"Location Code","@@"&amp;$E$6)</t>
  </si>
  <si>
    <t>=NL("Sum","Item Ledger Entry","Quantity","Entry Type","Consumption","Entry No.",I307,"Location Code","@@"&amp;$E$6)</t>
  </si>
  <si>
    <t>=NL("Sum","Item Ledger Entry","Quantity","Entry Type","Output","Entry No.",I307,"Location Code","@@"&amp;$E$6)</t>
  </si>
  <si>
    <t>=NL("Sum","Item Ledger Entry","Quantity","Entry Type","Purchase","Entry No.",I308,"Location Code","@@"&amp;$E$6)</t>
  </si>
  <si>
    <t>=NL("Sum","Item Ledger Entry","Quantity","Entry Type","Sale","Entry No.",I308,"Location Code","@@"&amp;$E$6)</t>
  </si>
  <si>
    <t>=NL("Sum","Item Ledger Entry","Quantity","Entry Type","Positive Adjmt.|Negative Adjmt.","Entry No.",I308,"Location Code","@@"&amp;$E$6)</t>
  </si>
  <si>
    <t>=NL("Sum","Item Ledger Entry","Quantity","Entry Type","Transfer","Entry No.",I308,"Location Code","@@"&amp;$E$6)</t>
  </si>
  <si>
    <t>=NL("Sum","Item Ledger Entry","Quantity","Entry Type","Consumption","Entry No.",I308,"Location Code","@@"&amp;$E$6)</t>
  </si>
  <si>
    <t>=NL("Sum","Item Ledger Entry","Quantity","Entry Type","Output","Entry No.",I308,"Location Code","@@"&amp;$E$6)</t>
  </si>
  <si>
    <t>=(SUBTOTAL(9,O312:O313))</t>
  </si>
  <si>
    <t>=(SUBTOTAL(9,P312:P313))</t>
  </si>
  <si>
    <t>=(SUBTOTAL(9,Q312:Q313))</t>
  </si>
  <si>
    <t>=(SUBTOTAL(9,R312:R313))</t>
  </si>
  <si>
    <t>=(SUBTOTAL(9,S312:S313))</t>
  </si>
  <si>
    <t>=(SUBTOTAL(9,T312:T313))</t>
  </si>
  <si>
    <t>=SUBTOTAL(9,O312:T313)</t>
  </si>
  <si>
    <t>=NL("Rows","Item Ledger Entry",,"+Posting Date",$L$5,"Item No.","@@"&amp;$D312,"Location Code","@@"&amp;$E$6)</t>
  </si>
  <si>
    <t>=NL("Sum","Item Ledger Entry","Quantity","Entry Type","Purchase","Entry No.",I312,"Location Code","@@"&amp;$E$6)</t>
  </si>
  <si>
    <t>=NL("Sum","Item Ledger Entry","Quantity","Entry Type","Sale","Entry No.",I312,"Location Code","@@"&amp;$E$6)</t>
  </si>
  <si>
    <t>=NL("Sum","Item Ledger Entry","Quantity","Entry Type","Positive Adjmt.|Negative Adjmt.","Entry No.",I312,"Location Code","@@"&amp;$E$6)</t>
  </si>
  <si>
    <t>=NL("Sum","Item Ledger Entry","Quantity","Entry Type","Transfer","Entry No.",I312,"Location Code","@@"&amp;$E$6)</t>
  </si>
  <si>
    <t>=NL("Sum","Item Ledger Entry","Quantity","Entry Type","Consumption","Entry No.",I312,"Location Code","@@"&amp;$E$6)</t>
  </si>
  <si>
    <t>=NL("Sum","Item Ledger Entry","Quantity","Entry Type","Output","Entry No.",I312,"Location Code","@@"&amp;$E$6)</t>
  </si>
  <si>
    <t>=(SUBTOTAL(9,O316:O317))</t>
  </si>
  <si>
    <t>=(SUBTOTAL(9,P316:P317))</t>
  </si>
  <si>
    <t>=(SUBTOTAL(9,Q316:Q317))</t>
  </si>
  <si>
    <t>=(SUBTOTAL(9,R316:R317))</t>
  </si>
  <si>
    <t>=(SUBTOTAL(9,S316:S317))</t>
  </si>
  <si>
    <t>=(SUBTOTAL(9,T316:T317))</t>
  </si>
  <si>
    <t>=SUBTOTAL(9,O316:T317)</t>
  </si>
  <si>
    <t>=NL("Rows","Item Ledger Entry",,"+Posting Date",$L$5,"Item No.","@@"&amp;$D316,"Location Code","@@"&amp;$E$6)</t>
  </si>
  <si>
    <t>=(SUBTOTAL(9,O320:O321))</t>
  </si>
  <si>
    <t>=(SUBTOTAL(9,P320:P321))</t>
  </si>
  <si>
    <t>=(SUBTOTAL(9,Q320:Q321))</t>
  </si>
  <si>
    <t>=(SUBTOTAL(9,R320:R321))</t>
  </si>
  <si>
    <t>=(SUBTOTAL(9,S320:S321))</t>
  </si>
  <si>
    <t>=(SUBTOTAL(9,T320:T321))</t>
  </si>
  <si>
    <t>=SUBTOTAL(9,O320:T321)</t>
  </si>
  <si>
    <t>=(SUBTOTAL(9,O328:O329))</t>
  </si>
  <si>
    <t>=(SUBTOTAL(9,P328:P329))</t>
  </si>
  <si>
    <t>=(SUBTOTAL(9,Q328:Q329))</t>
  </si>
  <si>
    <t>=(SUBTOTAL(9,R328:R329))</t>
  </si>
  <si>
    <t>=(SUBTOTAL(9,S328:S329))</t>
  </si>
  <si>
    <t>=(SUBTOTAL(9,T328:T329))</t>
  </si>
  <si>
    <t>=SUBTOTAL(9,O328:T329)</t>
  </si>
  <si>
    <t>=E331</t>
  </si>
  <si>
    <t>=NL("First","Item","Description","No.",$E331)</t>
  </si>
  <si>
    <t>=NL("First","Item","Base Unit of Measure","No.",$E331)</t>
  </si>
  <si>
    <t>=(SUBTOTAL(9,O332:O333))</t>
  </si>
  <si>
    <t>=(SUBTOTAL(9,P332:P333))</t>
  </si>
  <si>
    <t>=(SUBTOTAL(9,Q332:Q333))</t>
  </si>
  <si>
    <t>=(SUBTOTAL(9,R332:R333))</t>
  </si>
  <si>
    <t>=(SUBTOTAL(9,S332:S333))</t>
  </si>
  <si>
    <t>=(SUBTOTAL(9,T332:T333))</t>
  </si>
  <si>
    <t>=SUBTOTAL(9,O332:T333)</t>
  </si>
  <si>
    <t>=NL("Rows","Item Ledger Entry",,"+Posting Date",$L$5,"Item No.","@@"&amp;$D332,"Location Code","@@"&amp;$E$6)</t>
  </si>
  <si>
    <t>=NL("Sum","Item Ledger Entry","Quantity","Entry Type","Purchase","Entry No.",I332,"Location Code","@@"&amp;$E$6)</t>
  </si>
  <si>
    <t>=NL("Sum","Item Ledger Entry","Quantity","Entry Type","Sale","Entry No.",I332,"Location Code","@@"&amp;$E$6)</t>
  </si>
  <si>
    <t>=NL("Sum","Item Ledger Entry","Quantity","Entry Type","Positive Adjmt.|Negative Adjmt.","Entry No.",I332,"Location Code","@@"&amp;$E$6)</t>
  </si>
  <si>
    <t>=NL("Sum","Item Ledger Entry","Quantity","Entry Type","Transfer","Entry No.",I332,"Location Code","@@"&amp;$E$6)</t>
  </si>
  <si>
    <t>=NL("Sum","Item Ledger Entry","Quantity","Entry Type","Consumption","Entry No.",I332,"Location Code","@@"&amp;$E$6)</t>
  </si>
  <si>
    <t>=NL("Sum","Item Ledger Entry","Quantity","Entry Type","Output","Entry No.",I332,"Location Code","@@"&amp;$E$6)</t>
  </si>
  <si>
    <t>=(SUBTOTAL(9,O336:O337))</t>
  </si>
  <si>
    <t>=(SUBTOTAL(9,P336:P337))</t>
  </si>
  <si>
    <t>=(SUBTOTAL(9,Q336:Q337))</t>
  </si>
  <si>
    <t>=(SUBTOTAL(9,R336:R337))</t>
  </si>
  <si>
    <t>=(SUBTOTAL(9,S336:S337))</t>
  </si>
  <si>
    <t>=(SUBTOTAL(9,T336:T337))</t>
  </si>
  <si>
    <t>=SUBTOTAL(9,O336:T337)</t>
  </si>
  <si>
    <t>=NL("Rows","Item Ledger Entry",,"+Posting Date",$L$5,"Item No.","@@"&amp;$D336,"Location Code","@@"&amp;$E$6)</t>
  </si>
  <si>
    <t>=(SUBTOTAL(9,O340:O341))</t>
  </si>
  <si>
    <t>=(SUBTOTAL(9,P340:P341))</t>
  </si>
  <si>
    <t>=(SUBTOTAL(9,Q340:Q341))</t>
  </si>
  <si>
    <t>=(SUBTOTAL(9,R340:R341))</t>
  </si>
  <si>
    <t>=(SUBTOTAL(9,S340:S341))</t>
  </si>
  <si>
    <t>=(SUBTOTAL(9,T340:T341))</t>
  </si>
  <si>
    <t>=SUBTOTAL(9,O340:T341)</t>
  </si>
  <si>
    <t>=(SUBTOTAL(9,O353:O354))</t>
  </si>
  <si>
    <t>=(SUBTOTAL(9,P353:P354))</t>
  </si>
  <si>
    <t>=(SUBTOTAL(9,Q353:Q354))</t>
  </si>
  <si>
    <t>=(SUBTOTAL(9,R353:R354))</t>
  </si>
  <si>
    <t>=(SUBTOTAL(9,S353:S354))</t>
  </si>
  <si>
    <t>=(SUBTOTAL(9,T353:T354))</t>
  </si>
  <si>
    <t>=SUBTOTAL(9,O353:T354)</t>
  </si>
  <si>
    <t>=E356</t>
  </si>
  <si>
    <t>=NL("First","Item","Description","No.",$E356)</t>
  </si>
  <si>
    <t>=NL("First","Item","Base Unit of Measure","No.",$E356)</t>
  </si>
  <si>
    <t>=(SUBTOTAL(9,O357:O358))</t>
  </si>
  <si>
    <t>=(SUBTOTAL(9,P357:P358))</t>
  </si>
  <si>
    <t>=(SUBTOTAL(9,Q357:Q358))</t>
  </si>
  <si>
    <t>=(SUBTOTAL(9,R357:R358))</t>
  </si>
  <si>
    <t>=(SUBTOTAL(9,S357:S358))</t>
  </si>
  <si>
    <t>=(SUBTOTAL(9,T357:T358))</t>
  </si>
  <si>
    <t>=SUBTOTAL(9,O357:T358)</t>
  </si>
  <si>
    <t>=NL("Rows","Item Ledger Entry",,"+Posting Date",$L$5,"Item No.","@@"&amp;$D357,"Location Code","@@"&amp;$E$6)</t>
  </si>
  <si>
    <t>=NL("Sum","Item Ledger Entry","Quantity","Entry Type","Purchase","Entry No.",I357,"Location Code","@@"&amp;$E$6)</t>
  </si>
  <si>
    <t>=NL("Sum","Item Ledger Entry","Quantity","Entry Type","Sale","Entry No.",I357,"Location Code","@@"&amp;$E$6)</t>
  </si>
  <si>
    <t>=NL("Sum","Item Ledger Entry","Quantity","Entry Type","Positive Adjmt.|Negative Adjmt.","Entry No.",I357,"Location Code","@@"&amp;$E$6)</t>
  </si>
  <si>
    <t>=NL("Sum","Item Ledger Entry","Quantity","Entry Type","Transfer","Entry No.",I357,"Location Code","@@"&amp;$E$6)</t>
  </si>
  <si>
    <t>=NL("Sum","Item Ledger Entry","Quantity","Entry Type","Consumption","Entry No.",I357,"Location Code","@@"&amp;$E$6)</t>
  </si>
  <si>
    <t>=NL("Sum","Item Ledger Entry","Quantity","Entry Type","Output","Entry No.",I357,"Location Code","@@"&amp;$E$6)</t>
  </si>
  <si>
    <t>=(SUBTOTAL(9,O361:O365))</t>
  </si>
  <si>
    <t>=(SUBTOTAL(9,P361:P365))</t>
  </si>
  <si>
    <t>=(SUBTOTAL(9,Q361:Q365))</t>
  </si>
  <si>
    <t>=(SUBTOTAL(9,R361:R365))</t>
  </si>
  <si>
    <t>=(SUBTOTAL(9,S361:S365))</t>
  </si>
  <si>
    <t>=(SUBTOTAL(9,T361:T365))</t>
  </si>
  <si>
    <t>=SUBTOTAL(9,O361:T365)</t>
  </si>
  <si>
    <t>=NL("Rows","Item Ledger Entry",,"+Posting Date",$L$5,"Item No.","@@"&amp;$D361,"Location Code","@@"&amp;$E$6)</t>
  </si>
  <si>
    <t>=E367</t>
  </si>
  <si>
    <t>=NL("First","Item","Description","No.",$E367)</t>
  </si>
  <si>
    <t>=NL("First","Item","Base Unit of Measure","No.",$E367)</t>
  </si>
  <si>
    <t>=(SUBTOTAL(9,O368:O369))</t>
  </si>
  <si>
    <t>=(SUBTOTAL(9,P368:P369))</t>
  </si>
  <si>
    <t>=(SUBTOTAL(9,Q368:Q369))</t>
  </si>
  <si>
    <t>=(SUBTOTAL(9,R368:R369))</t>
  </si>
  <si>
    <t>=(SUBTOTAL(9,S368:S369))</t>
  </si>
  <si>
    <t>=(SUBTOTAL(9,T368:T369))</t>
  </si>
  <si>
    <t>=SUBTOTAL(9,O368:T369)</t>
  </si>
  <si>
    <t>=D367</t>
  </si>
  <si>
    <t>=NL("Rows","Item Ledger Entry",,"+Posting Date",$L$5,"Item No.","@@"&amp;$D368,"Location Code","@@"&amp;$E$6)</t>
  </si>
  <si>
    <t>=NF($G368,"Posting Date")</t>
  </si>
  <si>
    <t>=NF($G368,"Entry No.")</t>
  </si>
  <si>
    <t>=NF(G368,"Source Type")</t>
  </si>
  <si>
    <t>=NF($G368,"Source No.")</t>
  </si>
  <si>
    <t>=IF($J368="Customer",NL("first",$J368,"Name","No.","@@"&amp;$K368),"")</t>
  </si>
  <si>
    <t>=IF(J368="vendor",NL("first",J368,"Name","No.","@@"&amp;K368),"")</t>
  </si>
  <si>
    <t>=IF($J368="Item",NL("first",$J368,"Description","No.","@@"&amp;$K368),"")</t>
  </si>
  <si>
    <t>=NL("Sum","Item Ledger Entry","Quantity","Entry Type","Purchase","Entry No.",I368,"Location Code","@@"&amp;$E$6)</t>
  </si>
  <si>
    <t>=NL("Sum","Item Ledger Entry","Quantity","Entry Type","Sale","Entry No.",I368,"Location Code","@@"&amp;$E$6)</t>
  </si>
  <si>
    <t>=NL("Sum","Item Ledger Entry","Quantity","Entry Type","Positive Adjmt.|Negative Adjmt.","Entry No.",I368,"Location Code","@@"&amp;$E$6)</t>
  </si>
  <si>
    <t>=NL("Sum","Item Ledger Entry","Quantity","Entry Type","Transfer","Entry No.",I368,"Location Code","@@"&amp;$E$6)</t>
  </si>
  <si>
    <t>=NL("Sum","Item Ledger Entry","Quantity","Entry Type","Consumption","Entry No.",I368,"Location Code","@@"&amp;$E$6)</t>
  </si>
  <si>
    <t>=NL("Sum","Item Ledger Entry","Quantity","Entry Type","Output","Entry No.",I368,"Location Code","@@"&amp;$E$6)</t>
  </si>
  <si>
    <t>=E371</t>
  </si>
  <si>
    <t>=NL("First","Item","Description","No.",$E371)</t>
  </si>
  <si>
    <t>=NL("First","Item","Base Unit of Measure","No.",$E371)</t>
  </si>
  <si>
    <t>=(SUBTOTAL(9,O372:O373))</t>
  </si>
  <si>
    <t>=(SUBTOTAL(9,P372:P373))</t>
  </si>
  <si>
    <t>=(SUBTOTAL(9,Q372:Q373))</t>
  </si>
  <si>
    <t>=(SUBTOTAL(9,R372:R373))</t>
  </si>
  <si>
    <t>=(SUBTOTAL(9,S372:S373))</t>
  </si>
  <si>
    <t>=(SUBTOTAL(9,T372:T373))</t>
  </si>
  <si>
    <t>=SUBTOTAL(9,O372:T373)</t>
  </si>
  <si>
    <t>=NL("Rows","Item Ledger Entry",,"+Posting Date",$L$5,"Item No.","@@"&amp;$D372,"Location Code","@@"&amp;$E$6)</t>
  </si>
  <si>
    <t>=NL("Sum","Item Ledger Entry","Quantity","Entry Type","Purchase","Entry No.",I372,"Location Code","@@"&amp;$E$6)</t>
  </si>
  <si>
    <t>=NL("Sum","Item Ledger Entry","Quantity","Entry Type","Sale","Entry No.",I372,"Location Code","@@"&amp;$E$6)</t>
  </si>
  <si>
    <t>=NL("Sum","Item Ledger Entry","Quantity","Entry Type","Positive Adjmt.|Negative Adjmt.","Entry No.",I372,"Location Code","@@"&amp;$E$6)</t>
  </si>
  <si>
    <t>=NL("Sum","Item Ledger Entry","Quantity","Entry Type","Transfer","Entry No.",I372,"Location Code","@@"&amp;$E$6)</t>
  </si>
  <si>
    <t>=NL("Sum","Item Ledger Entry","Quantity","Entry Type","Consumption","Entry No.",I372,"Location Code","@@"&amp;$E$6)</t>
  </si>
  <si>
    <t>=NL("Sum","Item Ledger Entry","Quantity","Entry Type","Output","Entry No.",I372,"Location Code","@@"&amp;$E$6)</t>
  </si>
  <si>
    <t>=E375</t>
  </si>
  <si>
    <t>=NL("First","Item","Description","No.",$E375)</t>
  </si>
  <si>
    <t>=NL("First","Item","Base Unit of Measure","No.",$E375)</t>
  </si>
  <si>
    <t>=(SUBTOTAL(9,O376:O377))</t>
  </si>
  <si>
    <t>=(SUBTOTAL(9,P376:P377))</t>
  </si>
  <si>
    <t>=(SUBTOTAL(9,Q376:Q377))</t>
  </si>
  <si>
    <t>=(SUBTOTAL(9,R376:R377))</t>
  </si>
  <si>
    <t>=(SUBTOTAL(9,S376:S377))</t>
  </si>
  <si>
    <t>=(SUBTOTAL(9,T376:T377))</t>
  </si>
  <si>
    <t>=SUBTOTAL(9,O376:T377)</t>
  </si>
  <si>
    <t>=NL("Rows","Item Ledger Entry",,"+Posting Date",$L$5,"Item No.","@@"&amp;$D376,"Location Code","@@"&amp;$E$6)</t>
  </si>
  <si>
    <t>=E379</t>
  </si>
  <si>
    <t>=NL("First","Item","Description","No.",$E379)</t>
  </si>
  <si>
    <t>=NL("First","Item","Base Unit of Measure","No.",$E379)</t>
  </si>
  <si>
    <t>=(SUBTOTAL(9,O380:O381))</t>
  </si>
  <si>
    <t>=(SUBTOTAL(9,P380:P381))</t>
  </si>
  <si>
    <t>=(SUBTOTAL(9,Q380:Q381))</t>
  </si>
  <si>
    <t>=(SUBTOTAL(9,R380:R381))</t>
  </si>
  <si>
    <t>=(SUBTOTAL(9,S380:S381))</t>
  </si>
  <si>
    <t>=(SUBTOTAL(9,T380:T381))</t>
  </si>
  <si>
    <t>=SUBTOTAL(9,O380:T381)</t>
  </si>
  <si>
    <t>=NL("Rows","Item Ledger Entry",,"+Posting Date",$L$5,"Item No.","@@"&amp;$D380,"Location Code","@@"&amp;$E$6)</t>
  </si>
  <si>
    <t>=(SUBTOTAL(9,O384:O385))</t>
  </si>
  <si>
    <t>=(SUBTOTAL(9,P384:P385))</t>
  </si>
  <si>
    <t>=(SUBTOTAL(9,Q384:Q385))</t>
  </si>
  <si>
    <t>=(SUBTOTAL(9,R384:R385))</t>
  </si>
  <si>
    <t>=(SUBTOTAL(9,S384:S385))</t>
  </si>
  <si>
    <t>=(SUBTOTAL(9,T384:T385))</t>
  </si>
  <si>
    <t>=SUBTOTAL(9,O384:T385)</t>
  </si>
  <si>
    <t>=E387</t>
  </si>
  <si>
    <t>=NL("First","Item","Description","No.",$E387)</t>
  </si>
  <si>
    <t>=NL("First","Item","Base Unit of Measure","No.",$E387)</t>
  </si>
  <si>
    <t>=(SUBTOTAL(9,O388:O391))</t>
  </si>
  <si>
    <t>=(SUBTOTAL(9,P388:P391))</t>
  </si>
  <si>
    <t>=(SUBTOTAL(9,Q388:Q391))</t>
  </si>
  <si>
    <t>=(SUBTOTAL(9,R388:R391))</t>
  </si>
  <si>
    <t>=(SUBTOTAL(9,S388:S391))</t>
  </si>
  <si>
    <t>=(SUBTOTAL(9,T388:T391))</t>
  </si>
  <si>
    <t>=SUBTOTAL(9,O388:T391)</t>
  </si>
  <si>
    <t>=NL("Rows","Item Ledger Entry",,"+Posting Date",$L$5,"Item No.","@@"&amp;$D388,"Location Code","@@"&amp;$E$6)</t>
  </si>
  <si>
    <t>=(SUBTOTAL(9,O398:O400))</t>
  </si>
  <si>
    <t>=(SUBTOTAL(9,P398:P400))</t>
  </si>
  <si>
    <t>=(SUBTOTAL(9,Q398:Q400))</t>
  </si>
  <si>
    <t>=(SUBTOTAL(9,R398:R400))</t>
  </si>
  <si>
    <t>=(SUBTOTAL(9,S398:S400))</t>
  </si>
  <si>
    <t>=(SUBTOTAL(9,T398:T400))</t>
  </si>
  <si>
    <t>=SUBTOTAL(9,O398:T400)</t>
  </si>
  <si>
    <t>=NL("Sum","Item Ledger Entry","Quantity","Entry Type","Purchase","Entry No.",I399,"Location Code","@@"&amp;$E$6)</t>
  </si>
  <si>
    <t>=NL("Sum","Item Ledger Entry","Quantity","Entry Type","Sale","Entry No.",I399,"Location Code","@@"&amp;$E$6)</t>
  </si>
  <si>
    <t>=NL("Sum","Item Ledger Entry","Quantity","Entry Type","Positive Adjmt.|Negative Adjmt.","Entry No.",I399,"Location Code","@@"&amp;$E$6)</t>
  </si>
  <si>
    <t>=NL("Sum","Item Ledger Entry","Quantity","Entry Type","Transfer","Entry No.",I399,"Location Code","@@"&amp;$E$6)</t>
  </si>
  <si>
    <t>=NL("Sum","Item Ledger Entry","Quantity","Entry Type","Consumption","Entry No.",I399,"Location Code","@@"&amp;$E$6)</t>
  </si>
  <si>
    <t>=NL("Sum","Item Ledger Entry","Quantity","Entry Type","Output","Entry No.",I399,"Location Code","@@"&amp;$E$6)</t>
  </si>
  <si>
    <t>=E402</t>
  </si>
  <si>
    <t>=NL("First","Item","Description","No.",$E402)</t>
  </si>
  <si>
    <t>=NL("First","Item","Base Unit of Measure","No.",$E402)</t>
  </si>
  <si>
    <t>=(SUBTOTAL(9,O403:O405))</t>
  </si>
  <si>
    <t>=(SUBTOTAL(9,P403:P405))</t>
  </si>
  <si>
    <t>=(SUBTOTAL(9,Q403:Q405))</t>
  </si>
  <si>
    <t>=(SUBTOTAL(9,R403:R405))</t>
  </si>
  <si>
    <t>=(SUBTOTAL(9,S403:S405))</t>
  </si>
  <si>
    <t>=(SUBTOTAL(9,T403:T405))</t>
  </si>
  <si>
    <t>=SUBTOTAL(9,O403:T405)</t>
  </si>
  <si>
    <t>=NL("Rows","Item Ledger Entry",,"+Posting Date",$L$5,"Item No.","@@"&amp;$D403,"Location Code","@@"&amp;$E$6)</t>
  </si>
  <si>
    <t>=NL("Sum","Item Ledger Entry","Quantity","Entry Type","Purchase","Entry No.",I403,"Location Code","@@"&amp;$E$6)</t>
  </si>
  <si>
    <t>=NL("Sum","Item Ledger Entry","Quantity","Entry Type","Sale","Entry No.",I403,"Location Code","@@"&amp;$E$6)</t>
  </si>
  <si>
    <t>=NL("Sum","Item Ledger Entry","Quantity","Entry Type","Positive Adjmt.|Negative Adjmt.","Entry No.",I403,"Location Code","@@"&amp;$E$6)</t>
  </si>
  <si>
    <t>=NL("Sum","Item Ledger Entry","Quantity","Entry Type","Transfer","Entry No.",I403,"Location Code","@@"&amp;$E$6)</t>
  </si>
  <si>
    <t>=NL("Sum","Item Ledger Entry","Quantity","Entry Type","Consumption","Entry No.",I403,"Location Code","@@"&amp;$E$6)</t>
  </si>
  <si>
    <t>=NL("Sum","Item Ledger Entry","Quantity","Entry Type","Output","Entry No.",I403,"Location Code","@@"&amp;$E$6)</t>
  </si>
  <si>
    <t>=NL("Sum","Item Ledger Entry","Quantity","Entry Type","Purchase","Entry No.",I404,"Location Code","@@"&amp;$E$6)</t>
  </si>
  <si>
    <t>=NL("Sum","Item Ledger Entry","Quantity","Entry Type","Sale","Entry No.",I404,"Location Code","@@"&amp;$E$6)</t>
  </si>
  <si>
    <t>=NL("Sum","Item Ledger Entry","Quantity","Entry Type","Positive Adjmt.|Negative Adjmt.","Entry No.",I404,"Location Code","@@"&amp;$E$6)</t>
  </si>
  <si>
    <t>=NL("Sum","Item Ledger Entry","Quantity","Entry Type","Transfer","Entry No.",I404,"Location Code","@@"&amp;$E$6)</t>
  </si>
  <si>
    <t>=NL("Sum","Item Ledger Entry","Quantity","Entry Type","Consumption","Entry No.",I404,"Location Code","@@"&amp;$E$6)</t>
  </si>
  <si>
    <t>=NL("Sum","Item Ledger Entry","Quantity","Entry Type","Output","Entry No.",I404,"Location Code","@@"&amp;$E$6)</t>
  </si>
  <si>
    <t>=E407</t>
  </si>
  <si>
    <t>=NL("First","Item","Description","No.",$E407)</t>
  </si>
  <si>
    <t>=NL("First","Item","Base Unit of Measure","No.",$E407)</t>
  </si>
  <si>
    <t>=(SUBTOTAL(9,O408:O411))</t>
  </si>
  <si>
    <t>=(SUBTOTAL(9,P408:P411))</t>
  </si>
  <si>
    <t>=(SUBTOTAL(9,Q408:Q411))</t>
  </si>
  <si>
    <t>=(SUBTOTAL(9,R408:R411))</t>
  </si>
  <si>
    <t>=(SUBTOTAL(9,S408:S411))</t>
  </si>
  <si>
    <t>=(SUBTOTAL(9,T408:T411))</t>
  </si>
  <si>
    <t>=SUBTOTAL(9,O408:T411)</t>
  </si>
  <si>
    <t>=NL("Rows","Item Ledger Entry",,"+Posting Date",$L$5,"Item No.","@@"&amp;$D408,"Location Code","@@"&amp;$E$6)</t>
  </si>
  <si>
    <t>=(SUBTOTAL(9,O414:O415))</t>
  </si>
  <si>
    <t>=(SUBTOTAL(9,P414:P415))</t>
  </si>
  <si>
    <t>=(SUBTOTAL(9,Q414:Q415))</t>
  </si>
  <si>
    <t>=(SUBTOTAL(9,R414:R415))</t>
  </si>
  <si>
    <t>=(SUBTOTAL(9,S414:S415))</t>
  </si>
  <si>
    <t>=(SUBTOTAL(9,T414:T415))</t>
  </si>
  <si>
    <t>=SUBTOTAL(9,O414:T415)</t>
  </si>
  <si>
    <t>=E417</t>
  </si>
  <si>
    <t>=NL("First","Item","Description","No.",$E417)</t>
  </si>
  <si>
    <t>=NL("First","Item","Base Unit of Measure","No.",$E417)</t>
  </si>
  <si>
    <t>=(SUBTOTAL(9,O418:O420))</t>
  </si>
  <si>
    <t>=(SUBTOTAL(9,P418:P420))</t>
  </si>
  <si>
    <t>=(SUBTOTAL(9,Q418:Q420))</t>
  </si>
  <si>
    <t>=(SUBTOTAL(9,R418:R420))</t>
  </si>
  <si>
    <t>=(SUBTOTAL(9,S418:S420))</t>
  </si>
  <si>
    <t>=(SUBTOTAL(9,T418:T420))</t>
  </si>
  <si>
    <t>=SUBTOTAL(9,O418:T420)</t>
  </si>
  <si>
    <t>=NL("Rows","Item Ledger Entry",,"+Posting Date",$L$5,"Item No.","@@"&amp;$D418,"Location Code","@@"&amp;$E$6)</t>
  </si>
  <si>
    <t>=NL("Sum","Item Ledger Entry","Quantity","Entry Type","Purchase","Entry No.",I418,"Location Code","@@"&amp;$E$6)</t>
  </si>
  <si>
    <t>=NL("Sum","Item Ledger Entry","Quantity","Entry Type","Sale","Entry No.",I418,"Location Code","@@"&amp;$E$6)</t>
  </si>
  <si>
    <t>=NL("Sum","Item Ledger Entry","Quantity","Entry Type","Positive Adjmt.|Negative Adjmt.","Entry No.",I418,"Location Code","@@"&amp;$E$6)</t>
  </si>
  <si>
    <t>=NL("Sum","Item Ledger Entry","Quantity","Entry Type","Transfer","Entry No.",I418,"Location Code","@@"&amp;$E$6)</t>
  </si>
  <si>
    <t>=NL("Sum","Item Ledger Entry","Quantity","Entry Type","Consumption","Entry No.",I418,"Location Code","@@"&amp;$E$6)</t>
  </si>
  <si>
    <t>=NL("Sum","Item Ledger Entry","Quantity","Entry Type","Output","Entry No.",I418,"Location Code","@@"&amp;$E$6)</t>
  </si>
  <si>
    <t>=(SUBTOTAL(9,O423:O426))</t>
  </si>
  <si>
    <t>=(SUBTOTAL(9,P423:P426))</t>
  </si>
  <si>
    <t>=(SUBTOTAL(9,Q423:Q426))</t>
  </si>
  <si>
    <t>=(SUBTOTAL(9,R423:R426))</t>
  </si>
  <si>
    <t>=(SUBTOTAL(9,S423:S426))</t>
  </si>
  <si>
    <t>=(SUBTOTAL(9,T423:T426))</t>
  </si>
  <si>
    <t>=SUBTOTAL(9,O423:T426)</t>
  </si>
  <si>
    <t>=E428</t>
  </si>
  <si>
    <t>=NL("First","Item","Description","No.",$E428)</t>
  </si>
  <si>
    <t>=NL("First","Item","Base Unit of Measure","No.",$E428)</t>
  </si>
  <si>
    <t>=(SUBTOTAL(9,O429:O430))</t>
  </si>
  <si>
    <t>=(SUBTOTAL(9,P429:P430))</t>
  </si>
  <si>
    <t>=(SUBTOTAL(9,Q429:Q430))</t>
  </si>
  <si>
    <t>=(SUBTOTAL(9,R429:R430))</t>
  </si>
  <si>
    <t>=(SUBTOTAL(9,S429:S430))</t>
  </si>
  <si>
    <t>=(SUBTOTAL(9,T429:T430))</t>
  </si>
  <si>
    <t>=SUBTOTAL(9,O429:T430)</t>
  </si>
  <si>
    <t>=NL("Rows","Item Ledger Entry",,"+Posting Date",$L$5,"Item No.","@@"&amp;$D429,"Location Code","@@"&amp;$E$6)</t>
  </si>
  <si>
    <t>=NL("Sum","Item Ledger Entry","Quantity","Entry Type","Purchase","Entry No.",I429,"Location Code","@@"&amp;$E$6)</t>
  </si>
  <si>
    <t>=NL("Sum","Item Ledger Entry","Quantity","Entry Type","Sale","Entry No.",I429,"Location Code","@@"&amp;$E$6)</t>
  </si>
  <si>
    <t>=NL("Sum","Item Ledger Entry","Quantity","Entry Type","Positive Adjmt.|Negative Adjmt.","Entry No.",I429,"Location Code","@@"&amp;$E$6)</t>
  </si>
  <si>
    <t>=NL("Sum","Item Ledger Entry","Quantity","Entry Type","Transfer","Entry No.",I429,"Location Code","@@"&amp;$E$6)</t>
  </si>
  <si>
    <t>=NL("Sum","Item Ledger Entry","Quantity","Entry Type","Consumption","Entry No.",I429,"Location Code","@@"&amp;$E$6)</t>
  </si>
  <si>
    <t>=NL("Sum","Item Ledger Entry","Quantity","Entry Type","Output","Entry No.",I429,"Location Code","@@"&amp;$E$6)</t>
  </si>
  <si>
    <t>=E432</t>
  </si>
  <si>
    <t>=NL("First","Item","Description","No.",$E432)</t>
  </si>
  <si>
    <t>=NL("First","Item","Base Unit of Measure","No.",$E432)</t>
  </si>
  <si>
    <t>=(SUBTOTAL(9,O433:O435))</t>
  </si>
  <si>
    <t>=(SUBTOTAL(9,P433:P435))</t>
  </si>
  <si>
    <t>=(SUBTOTAL(9,Q433:Q435))</t>
  </si>
  <si>
    <t>=(SUBTOTAL(9,R433:R435))</t>
  </si>
  <si>
    <t>=(SUBTOTAL(9,S433:S435))</t>
  </si>
  <si>
    <t>=(SUBTOTAL(9,T433:T435))</t>
  </si>
  <si>
    <t>=SUBTOTAL(9,O433:T435)</t>
  </si>
  <si>
    <t>=NL("Rows","Item Ledger Entry",,"+Posting Date",$L$5,"Item No.","@@"&amp;$D433,"Location Code","@@"&amp;$E$6)</t>
  </si>
  <si>
    <t>=NL("Sum","Item Ledger Entry","Quantity","Entry Type","Purchase","Entry No.",I433,"Location Code","@@"&amp;$E$6)</t>
  </si>
  <si>
    <t>=NL("Sum","Item Ledger Entry","Quantity","Entry Type","Sale","Entry No.",I433,"Location Code","@@"&amp;$E$6)</t>
  </si>
  <si>
    <t>=NL("Sum","Item Ledger Entry","Quantity","Entry Type","Positive Adjmt.|Negative Adjmt.","Entry No.",I433,"Location Code","@@"&amp;$E$6)</t>
  </si>
  <si>
    <t>=NL("Sum","Item Ledger Entry","Quantity","Entry Type","Transfer","Entry No.",I433,"Location Code","@@"&amp;$E$6)</t>
  </si>
  <si>
    <t>=NL("Sum","Item Ledger Entry","Quantity","Entry Type","Consumption","Entry No.",I433,"Location Code","@@"&amp;$E$6)</t>
  </si>
  <si>
    <t>=NL("Sum","Item Ledger Entry","Quantity","Entry Type","Output","Entry No.",I433,"Location Code","@@"&amp;$E$6)</t>
  </si>
  <si>
    <t>=NL("Sum","Item Ledger Entry","Quantity","Entry Type","Purchase","Entry No.",I434,"Location Code","@@"&amp;$E$6)</t>
  </si>
  <si>
    <t>=NL("Sum","Item Ledger Entry","Quantity","Entry Type","Sale","Entry No.",I434,"Location Code","@@"&amp;$E$6)</t>
  </si>
  <si>
    <t>=NL("Sum","Item Ledger Entry","Quantity","Entry Type","Positive Adjmt.|Negative Adjmt.","Entry No.",I434,"Location Code","@@"&amp;$E$6)</t>
  </si>
  <si>
    <t>=NL("Sum","Item Ledger Entry","Quantity","Entry Type","Transfer","Entry No.",I434,"Location Code","@@"&amp;$E$6)</t>
  </si>
  <si>
    <t>=NL("Sum","Item Ledger Entry","Quantity","Entry Type","Consumption","Entry No.",I434,"Location Code","@@"&amp;$E$6)</t>
  </si>
  <si>
    <t>=NL("Sum","Item Ledger Entry","Quantity","Entry Type","Output","Entry No.",I434,"Location Code","@@"&amp;$E$6)</t>
  </si>
  <si>
    <t>=E437</t>
  </si>
  <si>
    <t>=NL("First","Item","Description","No.",$E437)</t>
  </si>
  <si>
    <t>=NL("First","Item","Base Unit of Measure","No.",$E437)</t>
  </si>
  <si>
    <t>=(SUBTOTAL(9,O438:O439))</t>
  </si>
  <si>
    <t>=(SUBTOTAL(9,P438:P439))</t>
  </si>
  <si>
    <t>=(SUBTOTAL(9,Q438:Q439))</t>
  </si>
  <si>
    <t>=(SUBTOTAL(9,R438:R439))</t>
  </si>
  <si>
    <t>=(SUBTOTAL(9,S438:S439))</t>
  </si>
  <si>
    <t>=(SUBTOTAL(9,T438:T439))</t>
  </si>
  <si>
    <t>=SUBTOTAL(9,O438:T439)</t>
  </si>
  <si>
    <t>=NL("Rows","Item Ledger Entry",,"+Posting Date",$L$5,"Item No.","@@"&amp;$D438,"Location Code","@@"&amp;$E$6)</t>
  </si>
  <si>
    <t>=NL("Sum","Item Ledger Entry","Quantity","Entry Type","Purchase","Entry No.",I438,"Location Code","@@"&amp;$E$6)</t>
  </si>
  <si>
    <t>=NL("Sum","Item Ledger Entry","Quantity","Entry Type","Sale","Entry No.",I438,"Location Code","@@"&amp;$E$6)</t>
  </si>
  <si>
    <t>=NL("Sum","Item Ledger Entry","Quantity","Entry Type","Positive Adjmt.|Negative Adjmt.","Entry No.",I438,"Location Code","@@"&amp;$E$6)</t>
  </si>
  <si>
    <t>=NL("Sum","Item Ledger Entry","Quantity","Entry Type","Transfer","Entry No.",I438,"Location Code","@@"&amp;$E$6)</t>
  </si>
  <si>
    <t>=NL("Sum","Item Ledger Entry","Quantity","Entry Type","Consumption","Entry No.",I438,"Location Code","@@"&amp;$E$6)</t>
  </si>
  <si>
    <t>=NL("Sum","Item Ledger Entry","Quantity","Entry Type","Output","Entry No.",I438,"Location Code","@@"&amp;$E$6)</t>
  </si>
  <si>
    <t>=E441</t>
  </si>
  <si>
    <t>=NL("First","Item","Description","No.",$E441)</t>
  </si>
  <si>
    <t>=NL("First","Item","Base Unit of Measure","No.",$E441)</t>
  </si>
  <si>
    <t>=(SUBTOTAL(9,O442:O443))</t>
  </si>
  <si>
    <t>=(SUBTOTAL(9,P442:P443))</t>
  </si>
  <si>
    <t>=(SUBTOTAL(9,Q442:Q443))</t>
  </si>
  <si>
    <t>=(SUBTOTAL(9,R442:R443))</t>
  </si>
  <si>
    <t>=(SUBTOTAL(9,S442:S443))</t>
  </si>
  <si>
    <t>=(SUBTOTAL(9,T442:T443))</t>
  </si>
  <si>
    <t>=SUBTOTAL(9,O442:T443)</t>
  </si>
  <si>
    <t>=NL("Rows","Item Ledger Entry",,"+Posting Date",$L$5,"Item No.","@@"&amp;$D442,"Location Code","@@"&amp;$E$6)</t>
  </si>
  <si>
    <t>=NL("Sum","Item Ledger Entry","Quantity","Entry Type","Purchase","Entry No.",I442,"Location Code","@@"&amp;$E$6)</t>
  </si>
  <si>
    <t>=NL("Sum","Item Ledger Entry","Quantity","Entry Type","Sale","Entry No.",I442,"Location Code","@@"&amp;$E$6)</t>
  </si>
  <si>
    <t>=NL("Sum","Item Ledger Entry","Quantity","Entry Type","Positive Adjmt.|Negative Adjmt.","Entry No.",I442,"Location Code","@@"&amp;$E$6)</t>
  </si>
  <si>
    <t>=NL("Sum","Item Ledger Entry","Quantity","Entry Type","Transfer","Entry No.",I442,"Location Code","@@"&amp;$E$6)</t>
  </si>
  <si>
    <t>=NL("Sum","Item Ledger Entry","Quantity","Entry Type","Consumption","Entry No.",I442,"Location Code","@@"&amp;$E$6)</t>
  </si>
  <si>
    <t>=NL("Sum","Item Ledger Entry","Quantity","Entry Type","Output","Entry No.",I442,"Location Code","@@"&amp;$E$6)</t>
  </si>
  <si>
    <t>=SUBTOTAL(9,O13:O445)</t>
  </si>
  <si>
    <t>=SUBTOTAL(9,P13:P445)</t>
  </si>
  <si>
    <t>=SUBTOTAL(9,Q13:Q445)</t>
  </si>
  <si>
    <t>=SUBTOTAL(9,R13:R445)</t>
  </si>
  <si>
    <t>=SUBTOTAL(9,S13:S445)</t>
  </si>
  <si>
    <t>=SUBTOTAL(9,T13:T445)</t>
  </si>
  <si>
    <t>=SUM(U12:U445)</t>
  </si>
  <si>
    <t>=NL("Sum","Item Ledger Entry","Quantity","Entry Type","Purchase","Entry No.",I424,"Location Code","@@"&amp;$E$6)</t>
  </si>
  <si>
    <t>=NL("Sum","Item Ledger Entry","Quantity","Entry Type","Purchase","Entry No.",I425,"Location Code","@@"&amp;$E$6)</t>
  </si>
  <si>
    <t>=NL("Sum","Item Ledger Entry","Quantity","Entry Type","Sale","Entry No.",I424,"Location Code","@@"&amp;$E$6)</t>
  </si>
  <si>
    <t>=NL("Sum","Item Ledger Entry","Quantity","Entry Type","Sale","Entry No.",I425,"Location Code","@@"&amp;$E$6)</t>
  </si>
  <si>
    <t>=NL("Sum","Item Ledger Entry","Quantity","Entry Type","Positive Adjmt.|Negative Adjmt.","Entry No.",I424,"Location Code","@@"&amp;$E$6)</t>
  </si>
  <si>
    <t>=NL("Sum","Item Ledger Entry","Quantity","Entry Type","Positive Adjmt.|Negative Adjmt.","Entry No.",I425,"Location Code","@@"&amp;$E$6)</t>
  </si>
  <si>
    <t>=NL("Sum","Item Ledger Entry","Quantity","Entry Type","Transfer","Entry No.",I424,"Location Code","@@"&amp;$E$6)</t>
  </si>
  <si>
    <t>=NL("Sum","Item Ledger Entry","Quantity","Entry Type","Transfer","Entry No.",I425,"Location Code","@@"&amp;$E$6)</t>
  </si>
  <si>
    <t>=NL("Sum","Item Ledger Entry","Quantity","Entry Type","Consumption","Entry No.",I424,"Location Code","@@"&amp;$E$6)</t>
  </si>
  <si>
    <t>=NL("Sum","Item Ledger Entry","Quantity","Entry Type","Consumption","Entry No.",I425,"Location Code","@@"&amp;$E$6)</t>
  </si>
  <si>
    <t>=NL("Sum","Item Ledger Entry","Quantity","Entry Type","Output","Entry No.",I424,"Location Code","@@"&amp;$E$6)</t>
  </si>
  <si>
    <t>=NL("Sum","Item Ledger Entry","Quantity","Entry Type","Output","Entry No.",I425,"Location Code","@@"&amp;$E$6)</t>
  </si>
  <si>
    <t>=NL("Sum","Item Ledger Entry","Quantity","Entry Type","Purchase","Entry No.",I408,"Location Code","@@"&amp;$E$6)</t>
  </si>
  <si>
    <t>=NL("Sum","Item Ledger Entry","Quantity","Entry Type","Purchase","Entry No.",I409,"Location Code","@@"&amp;$E$6)</t>
  </si>
  <si>
    <t>=NL("Sum","Item Ledger Entry","Quantity","Entry Type","Sale","Entry No.",I408,"Location Code","@@"&amp;$E$6)</t>
  </si>
  <si>
    <t>=NL("Sum","Item Ledger Entry","Quantity","Entry Type","Sale","Entry No.",I409,"Location Code","@@"&amp;$E$6)</t>
  </si>
  <si>
    <t>=NL("Sum","Item Ledger Entry","Quantity","Entry Type","Positive Adjmt.|Negative Adjmt.","Entry No.",I408,"Location Code","@@"&amp;$E$6)</t>
  </si>
  <si>
    <t>=NL("Sum","Item Ledger Entry","Quantity","Entry Type","Positive Adjmt.|Negative Adjmt.","Entry No.",I409,"Location Code","@@"&amp;$E$6)</t>
  </si>
  <si>
    <t>=NL("Sum","Item Ledger Entry","Quantity","Entry Type","Transfer","Entry No.",I408,"Location Code","@@"&amp;$E$6)</t>
  </si>
  <si>
    <t>=NL("Sum","Item Ledger Entry","Quantity","Entry Type","Transfer","Entry No.",I409,"Location Code","@@"&amp;$E$6)</t>
  </si>
  <si>
    <t>=NL("Sum","Item Ledger Entry","Quantity","Entry Type","Consumption","Entry No.",I408,"Location Code","@@"&amp;$E$6)</t>
  </si>
  <si>
    <t>=NL("Sum","Item Ledger Entry","Quantity","Entry Type","Consumption","Entry No.",I409,"Location Code","@@"&amp;$E$6)</t>
  </si>
  <si>
    <t>=NL("Sum","Item Ledger Entry","Quantity","Entry Type","Output","Entry No.",I408,"Location Code","@@"&amp;$E$6)</t>
  </si>
  <si>
    <t>=NL("Sum","Item Ledger Entry","Quantity","Entry Type","Output","Entry No.",I409,"Location Code","@@"&amp;$E$6)</t>
  </si>
  <si>
    <t>=NL("Sum","Item Ledger Entry","Quantity","Entry Type","Purchase","Entry No.",I388,"Location Code","@@"&amp;$E$6)</t>
  </si>
  <si>
    <t>=NL("Sum","Item Ledger Entry","Quantity","Entry Type","Sale","Entry No.",I388,"Location Code","@@"&amp;$E$6)</t>
  </si>
  <si>
    <t>=NL("Sum","Item Ledger Entry","Quantity","Entry Type","Positive Adjmt.|Negative Adjmt.","Entry No.",I388,"Location Code","@@"&amp;$E$6)</t>
  </si>
  <si>
    <t>=NL("Sum","Item Ledger Entry","Quantity","Entry Type","Transfer","Entry No.",I388,"Location Code","@@"&amp;$E$6)</t>
  </si>
  <si>
    <t>=NL("Sum","Item Ledger Entry","Quantity","Entry Type","Consumption","Entry No.",I388,"Location Code","@@"&amp;$E$6)</t>
  </si>
  <si>
    <t>=NL("Sum","Item Ledger Entry","Quantity","Entry Type","Output","Entry No.",I388,"Location Code","@@"&amp;$E$6)</t>
  </si>
  <si>
    <t>=NL("Sum","Item Ledger Entry","Quantity","Entry Type","Purchase","Entry No.",I364,"Location Code","@@"&amp;$E$6)</t>
  </si>
  <si>
    <t>=NL("Sum","Item Ledger Entry","Quantity","Entry Type","Sale","Entry No.",I364,"Location Code","@@"&amp;$E$6)</t>
  </si>
  <si>
    <t>=NL("Sum","Item Ledger Entry","Quantity","Entry Type","Positive Adjmt.|Negative Adjmt.","Entry No.",I364,"Location Code","@@"&amp;$E$6)</t>
  </si>
  <si>
    <t>=NL("Sum","Item Ledger Entry","Quantity","Entry Type","Transfer","Entry No.",I364,"Location Code","@@"&amp;$E$6)</t>
  </si>
  <si>
    <t>=NL("Sum","Item Ledger Entry","Quantity","Entry Type","Consumption","Entry No.",I364,"Location Code","@@"&amp;$E$6)</t>
  </si>
  <si>
    <t>=NL("Sum","Item Ledger Entry","Quantity","Entry Type","Output","Entry No.",I364,"Location Code","@@"&amp;$E$6)</t>
  </si>
  <si>
    <t>=NL("Sum","Item Ledger Entry","Quantity","Entry Type","Purchase","Entry No.",I303,"Location Code","@@"&amp;$E$6)</t>
  </si>
  <si>
    <t>=NL("Sum","Item Ledger Entry","Quantity","Entry Type","Sale","Entry No.",I303,"Location Code","@@"&amp;$E$6)</t>
  </si>
  <si>
    <t>=NL("Sum","Item Ledger Entry","Quantity","Entry Type","Positive Adjmt.|Negative Adjmt.","Entry No.",I303,"Location Code","@@"&amp;$E$6)</t>
  </si>
  <si>
    <t>=NL("Sum","Item Ledger Entry","Quantity","Entry Type","Transfer","Entry No.",I303,"Location Code","@@"&amp;$E$6)</t>
  </si>
  <si>
    <t>=NL("Sum","Item Ledger Entry","Quantity","Entry Type","Consumption","Entry No.",I303,"Location Code","@@"&amp;$E$6)</t>
  </si>
  <si>
    <t>=NL("Sum","Item Ledger Entry","Quantity","Entry Type","Output","Entry No.",I303,"Location Code","@@"&amp;$E$6)</t>
  </si>
  <si>
    <t>=NL("Sum","Item Ledger Entry","Quantity","Entry Type","Purchase","Entry No.",I273,"Location Code","@@"&amp;$E$6)</t>
  </si>
  <si>
    <t>=NL("Sum","Item Ledger Entry","Quantity","Entry Type","Sale","Entry No.",I273,"Location Code","@@"&amp;$E$6)</t>
  </si>
  <si>
    <t>=NL("Sum","Item Ledger Entry","Quantity","Entry Type","Positive Adjmt.|Negative Adjmt.","Entry No.",I273,"Location Code","@@"&amp;$E$6)</t>
  </si>
  <si>
    <t>=NL("Sum","Item Ledger Entry","Quantity","Entry Type","Transfer","Entry No.",I273,"Location Code","@@"&amp;$E$6)</t>
  </si>
  <si>
    <t>=NL("Sum","Item Ledger Entry","Quantity","Entry Type","Consumption","Entry No.",I273,"Location Code","@@"&amp;$E$6)</t>
  </si>
  <si>
    <t>=NL("Sum","Item Ledger Entry","Quantity","Entry Type","Output","Entry No.",I273,"Location Code","@@"&amp;$E$6)</t>
  </si>
  <si>
    <t>=NL("Sum","Item Ledger Entry","Quantity","Entry Type","Purchase","Entry No.",I267,"Location Code","@@"&amp;$E$6)</t>
  </si>
  <si>
    <t>=NL("Sum","Item Ledger Entry","Quantity","Entry Type","Sale","Entry No.",I267,"Location Code","@@"&amp;$E$6)</t>
  </si>
  <si>
    <t>=NL("Sum","Item Ledger Entry","Quantity","Entry Type","Positive Adjmt.|Negative Adjmt.","Entry No.",I267,"Location Code","@@"&amp;$E$6)</t>
  </si>
  <si>
    <t>=NL("Sum","Item Ledger Entry","Quantity","Entry Type","Transfer","Entry No.",I267,"Location Code","@@"&amp;$E$6)</t>
  </si>
  <si>
    <t>=NL("Sum","Item Ledger Entry","Quantity","Entry Type","Consumption","Entry No.",I267,"Location Code","@@"&amp;$E$6)</t>
  </si>
  <si>
    <t>=NL("Sum","Item Ledger Entry","Quantity","Entry Type","Output","Entry No.",I267,"Location Code","@@"&amp;$E$6)</t>
  </si>
  <si>
    <t>=NL("Sum","Item Ledger Entry","Quantity","Entry Type","Purchase","Entry No.",I253,"Location Code","@@"&amp;$E$6)</t>
  </si>
  <si>
    <t>=NL("Sum","Item Ledger Entry","Quantity","Entry Type","Sale","Entry No.",I253,"Location Code","@@"&amp;$E$6)</t>
  </si>
  <si>
    <t>=NL("Sum","Item Ledger Entry","Quantity","Entry Type","Positive Adjmt.|Negative Adjmt.","Entry No.",I253,"Location Code","@@"&amp;$E$6)</t>
  </si>
  <si>
    <t>=NL("Sum","Item Ledger Entry","Quantity","Entry Type","Transfer","Entry No.",I253,"Location Code","@@"&amp;$E$6)</t>
  </si>
  <si>
    <t>=NL("Sum","Item Ledger Entry","Quantity","Entry Type","Consumption","Entry No.",I253,"Location Code","@@"&amp;$E$6)</t>
  </si>
  <si>
    <t>=NL("Sum","Item Ledger Entry","Quantity","Entry Type","Output","Entry No.",I253,"Location Code","@@"&amp;$E$6)</t>
  </si>
  <si>
    <t>=NL("Sum","Item Ledger Entry","Quantity","Entry Type","Purchase","Entry No.",I233,"Location Code","@@"&amp;$E$6)</t>
  </si>
  <si>
    <t>=NL("Sum","Item Ledger Entry","Quantity","Entry Type","Sale","Entry No.",I233,"Location Code","@@"&amp;$E$6)</t>
  </si>
  <si>
    <t>=NL("Sum","Item Ledger Entry","Quantity","Entry Type","Positive Adjmt.|Negative Adjmt.","Entry No.",I233,"Location Code","@@"&amp;$E$6)</t>
  </si>
  <si>
    <t>=NL("Sum","Item Ledger Entry","Quantity","Entry Type","Transfer","Entry No.",I233,"Location Code","@@"&amp;$E$6)</t>
  </si>
  <si>
    <t>=NL("Sum","Item Ledger Entry","Quantity","Entry Type","Consumption","Entry No.",I233,"Location Code","@@"&amp;$E$6)</t>
  </si>
  <si>
    <t>=NL("Sum","Item Ledger Entry","Quantity","Entry Type","Output","Entry No.",I233,"Location Code","@@"&amp;$E$6)</t>
  </si>
  <si>
    <t>=NL("Sum","Item Ledger Entry","Quantity","Entry Type","Purchase","Entry No.",I89,"Location Code","@@"&amp;$E$6)</t>
  </si>
  <si>
    <t>=NL("Sum","Item Ledger Entry","Quantity","Entry Type","Sale","Entry No.",I89,"Location Code","@@"&amp;$E$6)</t>
  </si>
  <si>
    <t>=NL("Sum","Item Ledger Entry","Quantity","Entry Type","Positive Adjmt.|Negative Adjmt.","Entry No.",I89,"Location Code","@@"&amp;$E$6)</t>
  </si>
  <si>
    <t>=NL("Sum","Item Ledger Entry","Quantity","Entry Type","Transfer","Entry No.",I89,"Location Code","@@"&amp;$E$6)</t>
  </si>
  <si>
    <t>=NL("Sum","Item Ledger Entry","Quantity","Entry Type","Consumption","Entry No.",I89,"Location Code","@@"&amp;$E$6)</t>
  </si>
  <si>
    <t>=NL("Sum","Item Ledger Entry","Quantity","Entry Type","Output","Entry No.",I89,"Location Code","@@"&amp;$E$6)</t>
  </si>
  <si>
    <t>Auto+Hide+Values+Formulas=Sheet17,Sheet6,Sheet7+FormulasOnly</t>
  </si>
  <si>
    <t>Auto+Hide+Values+Formulas=Sheet18,Sheet6,Sheet7+AutoSheet</t>
  </si>
  <si>
    <t>=(SUBTOTAL(9,O18:O22))</t>
  </si>
  <si>
    <t>=(SUBTOTAL(9,P18:P22))</t>
  </si>
  <si>
    <t>=(SUBTOTAL(9,Q18:Q22))</t>
  </si>
  <si>
    <t>=(SUBTOTAL(9,R18:R22))</t>
  </si>
  <si>
    <t>=(SUBTOTAL(9,S18:S22))</t>
  </si>
  <si>
    <t>=(SUBTOTAL(9,T18:T22))</t>
  </si>
  <si>
    <t>=SUBTOTAL(9,O18:T22)</t>
  </si>
  <si>
    <t>=(SUBTOTAL(9,O25:O29))</t>
  </si>
  <si>
    <t>=(SUBTOTAL(9,P25:P29))</t>
  </si>
  <si>
    <t>=(SUBTOTAL(9,Q25:Q29))</t>
  </si>
  <si>
    <t>=(SUBTOTAL(9,R25:R29))</t>
  </si>
  <si>
    <t>=(SUBTOTAL(9,S25:S29))</t>
  </si>
  <si>
    <t>=(SUBTOTAL(9,T25:T29))</t>
  </si>
  <si>
    <t>=SUBTOTAL(9,O25:T29)</t>
  </si>
  <si>
    <t>=E31</t>
  </si>
  <si>
    <t>=NL("First","Item","Description","No.",$E31)</t>
  </si>
  <si>
    <t>=NL("First","Item","Base Unit of Measure","No.",$E31)</t>
  </si>
  <si>
    <t>=(SUBTOTAL(9,O32:O35))</t>
  </si>
  <si>
    <t>=(SUBTOTAL(9,P32:P35))</t>
  </si>
  <si>
    <t>=(SUBTOTAL(9,Q32:Q35))</t>
  </si>
  <si>
    <t>=(SUBTOTAL(9,R32:R35))</t>
  </si>
  <si>
    <t>=(SUBTOTAL(9,S32:S35))</t>
  </si>
  <si>
    <t>=(SUBTOTAL(9,T32:T35))</t>
  </si>
  <si>
    <t>=SUBTOTAL(9,O32:T35)</t>
  </si>
  <si>
    <t>=NL("Rows","Item Ledger Entry",,"+Posting Date",$L$5,"Item No.","@@"&amp;$D32,"Location Code","@@"&amp;$E$6)</t>
  </si>
  <si>
    <t>=(SUBTOTAL(9,O38:O40))</t>
  </si>
  <si>
    <t>=(SUBTOTAL(9,P38:P40))</t>
  </si>
  <si>
    <t>=(SUBTOTAL(9,Q38:Q40))</t>
  </si>
  <si>
    <t>=(SUBTOTAL(9,R38:R40))</t>
  </si>
  <si>
    <t>=(SUBTOTAL(9,S38:S40))</t>
  </si>
  <si>
    <t>=(SUBTOTAL(9,T38:T40))</t>
  </si>
  <si>
    <t>=SUBTOTAL(9,O38:T40)</t>
  </si>
  <si>
    <t>=(SUBTOTAL(9,O43:O47))</t>
  </si>
  <si>
    <t>=(SUBTOTAL(9,P43:P47))</t>
  </si>
  <si>
    <t>=(SUBTOTAL(9,Q43:Q47))</t>
  </si>
  <si>
    <t>=(SUBTOTAL(9,R43:R47))</t>
  </si>
  <si>
    <t>=(SUBTOTAL(9,S43:S47))</t>
  </si>
  <si>
    <t>=(SUBTOTAL(9,T43:T47))</t>
  </si>
  <si>
    <t>=SUBTOTAL(9,O43:T47)</t>
  </si>
  <si>
    <t>=(SUBTOTAL(9,O50:O52))</t>
  </si>
  <si>
    <t>=(SUBTOTAL(9,P50:P52))</t>
  </si>
  <si>
    <t>=(SUBTOTAL(9,Q50:Q52))</t>
  </si>
  <si>
    <t>=(SUBTOTAL(9,R50:R52))</t>
  </si>
  <si>
    <t>=(SUBTOTAL(9,S50:S52))</t>
  </si>
  <si>
    <t>=(SUBTOTAL(9,T50:T52))</t>
  </si>
  <si>
    <t>=SUBTOTAL(9,O50:T52)</t>
  </si>
  <si>
    <t>=(SUBTOTAL(9,O55:O58))</t>
  </si>
  <si>
    <t>=(SUBTOTAL(9,P55:P58))</t>
  </si>
  <si>
    <t>=(SUBTOTAL(9,Q55:Q58))</t>
  </si>
  <si>
    <t>=(SUBTOTAL(9,R55:R58))</t>
  </si>
  <si>
    <t>=(SUBTOTAL(9,S55:S58))</t>
  </si>
  <si>
    <t>=(SUBTOTAL(9,T55:T58))</t>
  </si>
  <si>
    <t>=SUBTOTAL(9,O55:T58)</t>
  </si>
  <si>
    <t>=(SUBTOTAL(9,O66:O69))</t>
  </si>
  <si>
    <t>=(SUBTOTAL(9,P66:P69))</t>
  </si>
  <si>
    <t>=(SUBTOTAL(9,Q66:Q69))</t>
  </si>
  <si>
    <t>=(SUBTOTAL(9,R66:R69))</t>
  </si>
  <si>
    <t>=(SUBTOTAL(9,S66:S69))</t>
  </si>
  <si>
    <t>=(SUBTOTAL(9,T66:T69))</t>
  </si>
  <si>
    <t>=SUBTOTAL(9,O66:T69)</t>
  </si>
  <si>
    <t>=(SUBTOTAL(9,O76:O78))</t>
  </si>
  <si>
    <t>=(SUBTOTAL(9,P76:P78))</t>
  </si>
  <si>
    <t>=(SUBTOTAL(9,Q76:Q78))</t>
  </si>
  <si>
    <t>=(SUBTOTAL(9,R76:R78))</t>
  </si>
  <si>
    <t>=(SUBTOTAL(9,S76:S78))</t>
  </si>
  <si>
    <t>=(SUBTOTAL(9,T76:T78))</t>
  </si>
  <si>
    <t>=SUBTOTAL(9,O76:T78)</t>
  </si>
  <si>
    <t>=(SUBTOTAL(9,O85:O86))</t>
  </si>
  <si>
    <t>=(SUBTOTAL(9,P85:P86))</t>
  </si>
  <si>
    <t>=(SUBTOTAL(9,Q85:Q86))</t>
  </si>
  <si>
    <t>=(SUBTOTAL(9,R85:R86))</t>
  </si>
  <si>
    <t>=(SUBTOTAL(9,S85:S86))</t>
  </si>
  <si>
    <t>=(SUBTOTAL(9,T85:T86))</t>
  </si>
  <si>
    <t>=SUBTOTAL(9,O85:T86)</t>
  </si>
  <si>
    <t>=E88</t>
  </si>
  <si>
    <t>=NL("First","Item","Description","No.",$E88)</t>
  </si>
  <si>
    <t>=NL("First","Item","Base Unit of Measure","No.",$E88)</t>
  </si>
  <si>
    <t>=(SUBTOTAL(9,O89:O92))</t>
  </si>
  <si>
    <t>=(SUBTOTAL(9,P89:P92))</t>
  </si>
  <si>
    <t>=(SUBTOTAL(9,Q89:Q92))</t>
  </si>
  <si>
    <t>=(SUBTOTAL(9,R89:R92))</t>
  </si>
  <si>
    <t>=(SUBTOTAL(9,S89:S92))</t>
  </si>
  <si>
    <t>=(SUBTOTAL(9,T89:T92))</t>
  </si>
  <si>
    <t>=SUBTOTAL(9,O89:T92)</t>
  </si>
  <si>
    <t>=NL("Rows","Item Ledger Entry",,"+Posting Date",$L$5,"Item No.","@@"&amp;$D89,"Location Code","@@"&amp;$E$6)</t>
  </si>
  <si>
    <t>=(SUBTOTAL(9,O95:O97))</t>
  </si>
  <si>
    <t>=(SUBTOTAL(9,P95:P97))</t>
  </si>
  <si>
    <t>=(SUBTOTAL(9,Q95:Q97))</t>
  </si>
  <si>
    <t>=(SUBTOTAL(9,R95:R97))</t>
  </si>
  <si>
    <t>=(SUBTOTAL(9,S95:S97))</t>
  </si>
  <si>
    <t>=(SUBTOTAL(9,T95:T97))</t>
  </si>
  <si>
    <t>=SUBTOTAL(9,O95:T97)</t>
  </si>
  <si>
    <t>=(SUBTOTAL(9,O100:O103))</t>
  </si>
  <si>
    <t>=(SUBTOTAL(9,P100:P103))</t>
  </si>
  <si>
    <t>=(SUBTOTAL(9,Q100:Q103))</t>
  </si>
  <si>
    <t>=(SUBTOTAL(9,R100:R103))</t>
  </si>
  <si>
    <t>=(SUBTOTAL(9,S100:S103))</t>
  </si>
  <si>
    <t>=(SUBTOTAL(9,T100:T103))</t>
  </si>
  <si>
    <t>=SUBTOTAL(9,O100:T103)</t>
  </si>
  <si>
    <t>=(SUBTOTAL(9,O106:O108))</t>
  </si>
  <si>
    <t>=(SUBTOTAL(9,P106:P108))</t>
  </si>
  <si>
    <t>=(SUBTOTAL(9,Q106:Q108))</t>
  </si>
  <si>
    <t>=(SUBTOTAL(9,R106:R108))</t>
  </si>
  <si>
    <t>=(SUBTOTAL(9,S106:S108))</t>
  </si>
  <si>
    <t>=(SUBTOTAL(9,T106:T108))</t>
  </si>
  <si>
    <t>=SUBTOTAL(9,O106:T108)</t>
  </si>
  <si>
    <t>=(SUBTOTAL(9,O111:O113))</t>
  </si>
  <si>
    <t>=(SUBTOTAL(9,P111:P113))</t>
  </si>
  <si>
    <t>=(SUBTOTAL(9,Q111:Q113))</t>
  </si>
  <si>
    <t>=(SUBTOTAL(9,R111:R113))</t>
  </si>
  <si>
    <t>=(SUBTOTAL(9,S111:S113))</t>
  </si>
  <si>
    <t>=(SUBTOTAL(9,T111:T113))</t>
  </si>
  <si>
    <t>=SUBTOTAL(9,O111:T113)</t>
  </si>
  <si>
    <t>=(SUBTOTAL(9,O116:O121))</t>
  </si>
  <si>
    <t>=(SUBTOTAL(9,P116:P121))</t>
  </si>
  <si>
    <t>=(SUBTOTAL(9,Q116:Q121))</t>
  </si>
  <si>
    <t>=(SUBTOTAL(9,R116:R121))</t>
  </si>
  <si>
    <t>=(SUBTOTAL(9,S116:S121))</t>
  </si>
  <si>
    <t>=(SUBTOTAL(9,T116:T121))</t>
  </si>
  <si>
    <t>=SUBTOTAL(9,O116:T121)</t>
  </si>
  <si>
    <t>=(SUBTOTAL(9,O124:O127))</t>
  </si>
  <si>
    <t>=(SUBTOTAL(9,P124:P127))</t>
  </si>
  <si>
    <t>=(SUBTOTAL(9,Q124:Q127))</t>
  </si>
  <si>
    <t>=(SUBTOTAL(9,R124:R127))</t>
  </si>
  <si>
    <t>=(SUBTOTAL(9,S124:S127))</t>
  </si>
  <si>
    <t>=(SUBTOTAL(9,T124:T127))</t>
  </si>
  <si>
    <t>=SUBTOTAL(9,O124:T127)</t>
  </si>
  <si>
    <t>=(SUBTOTAL(9,O134:O136))</t>
  </si>
  <si>
    <t>=(SUBTOTAL(9,P134:P136))</t>
  </si>
  <si>
    <t>=(SUBTOTAL(9,Q134:Q136))</t>
  </si>
  <si>
    <t>=(SUBTOTAL(9,R134:R136))</t>
  </si>
  <si>
    <t>=(SUBTOTAL(9,S134:S136))</t>
  </si>
  <si>
    <t>=(SUBTOTAL(9,T134:T136))</t>
  </si>
  <si>
    <t>=SUBTOTAL(9,O134:T136)</t>
  </si>
  <si>
    <t>=(SUBTOTAL(9,O139:O141))</t>
  </si>
  <si>
    <t>=(SUBTOTAL(9,P139:P141))</t>
  </si>
  <si>
    <t>=(SUBTOTAL(9,Q139:Q141))</t>
  </si>
  <si>
    <t>=(SUBTOTAL(9,R139:R141))</t>
  </si>
  <si>
    <t>=(SUBTOTAL(9,S139:S141))</t>
  </si>
  <si>
    <t>=(SUBTOTAL(9,T139:T141))</t>
  </si>
  <si>
    <t>=SUBTOTAL(9,O139:T141)</t>
  </si>
  <si>
    <t>=(SUBTOTAL(9,O144:O148))</t>
  </si>
  <si>
    <t>=(SUBTOTAL(9,P144:P148))</t>
  </si>
  <si>
    <t>=(SUBTOTAL(9,Q144:Q148))</t>
  </si>
  <si>
    <t>=(SUBTOTAL(9,R144:R148))</t>
  </si>
  <si>
    <t>=(SUBTOTAL(9,S144:S148))</t>
  </si>
  <si>
    <t>=(SUBTOTAL(9,T144:T148))</t>
  </si>
  <si>
    <t>=SUBTOTAL(9,O144:T148)</t>
  </si>
  <si>
    <t>=E150</t>
  </si>
  <si>
    <t>=NL("First","Item","Description","No.",$E150)</t>
  </si>
  <si>
    <t>=NL("First","Item","Base Unit of Measure","No.",$E150)</t>
  </si>
  <si>
    <t>=(SUBTOTAL(9,O151:O155))</t>
  </si>
  <si>
    <t>=(SUBTOTAL(9,P151:P155))</t>
  </si>
  <si>
    <t>=(SUBTOTAL(9,Q151:Q155))</t>
  </si>
  <si>
    <t>=(SUBTOTAL(9,R151:R155))</t>
  </si>
  <si>
    <t>=(SUBTOTAL(9,S151:S155))</t>
  </si>
  <si>
    <t>=(SUBTOTAL(9,T151:T155))</t>
  </si>
  <si>
    <t>=SUBTOTAL(9,O151:T155)</t>
  </si>
  <si>
    <t>=NL("Rows","Item Ledger Entry",,"+Posting Date",$L$5,"Item No.","@@"&amp;$D151,"Location Code","@@"&amp;$E$6)</t>
  </si>
  <si>
    <t>=(SUBTOTAL(9,O158:O162))</t>
  </si>
  <si>
    <t>=(SUBTOTAL(9,P158:P162))</t>
  </si>
  <si>
    <t>=(SUBTOTAL(9,Q158:Q162))</t>
  </si>
  <si>
    <t>=(SUBTOTAL(9,R158:R162))</t>
  </si>
  <si>
    <t>=(SUBTOTAL(9,S158:S162))</t>
  </si>
  <si>
    <t>=(SUBTOTAL(9,T158:T162))</t>
  </si>
  <si>
    <t>=SUBTOTAL(9,O158:T162)</t>
  </si>
  <si>
    <t>=(SUBTOTAL(9,O165:O170))</t>
  </si>
  <si>
    <t>=(SUBTOTAL(9,P165:P170))</t>
  </si>
  <si>
    <t>=(SUBTOTAL(9,Q165:Q170))</t>
  </si>
  <si>
    <t>=(SUBTOTAL(9,R165:R170))</t>
  </si>
  <si>
    <t>=(SUBTOTAL(9,S165:S170))</t>
  </si>
  <si>
    <t>=(SUBTOTAL(9,T165:T170))</t>
  </si>
  <si>
    <t>=SUBTOTAL(9,O165:T170)</t>
  </si>
  <si>
    <t>=(SUBTOTAL(9,O196:O198))</t>
  </si>
  <si>
    <t>=(SUBTOTAL(9,P196:P198))</t>
  </si>
  <si>
    <t>=(SUBTOTAL(9,Q196:Q198))</t>
  </si>
  <si>
    <t>=(SUBTOTAL(9,R196:R198))</t>
  </si>
  <si>
    <t>=(SUBTOTAL(9,S196:S198))</t>
  </si>
  <si>
    <t>=(SUBTOTAL(9,T196:T198))</t>
  </si>
  <si>
    <t>=SUBTOTAL(9,O196:T198)</t>
  </si>
  <si>
    <t>=(SUBTOTAL(9,O201:O203))</t>
  </si>
  <si>
    <t>=(SUBTOTAL(9,P201:P203))</t>
  </si>
  <si>
    <t>=(SUBTOTAL(9,Q201:Q203))</t>
  </si>
  <si>
    <t>=(SUBTOTAL(9,R201:R203))</t>
  </si>
  <si>
    <t>=(SUBTOTAL(9,S201:S203))</t>
  </si>
  <si>
    <t>=(SUBTOTAL(9,T201:T203))</t>
  </si>
  <si>
    <t>=SUBTOTAL(9,O201:T203)</t>
  </si>
  <si>
    <t>=NL("Rows","Item Ledger Entry",,"+Posting Date",$L$5,"Item No.","@@"&amp;$D201,"Location Code","@@"&amp;$E$6)</t>
  </si>
  <si>
    <t>=(SUBTOTAL(9,O206:O209))</t>
  </si>
  <si>
    <t>=(SUBTOTAL(9,P206:P209))</t>
  </si>
  <si>
    <t>=(SUBTOTAL(9,Q206:Q209))</t>
  </si>
  <si>
    <t>=(SUBTOTAL(9,R206:R209))</t>
  </si>
  <si>
    <t>=(SUBTOTAL(9,S206:S209))</t>
  </si>
  <si>
    <t>=(SUBTOTAL(9,T206:T209))</t>
  </si>
  <si>
    <t>=SUBTOTAL(9,O206:T209)</t>
  </si>
  <si>
    <t>=(SUBTOTAL(9,O212:O214))</t>
  </si>
  <si>
    <t>=(SUBTOTAL(9,P212:P214))</t>
  </si>
  <si>
    <t>=(SUBTOTAL(9,Q212:Q214))</t>
  </si>
  <si>
    <t>=(SUBTOTAL(9,R212:R214))</t>
  </si>
  <si>
    <t>=(SUBTOTAL(9,S212:S214))</t>
  </si>
  <si>
    <t>=(SUBTOTAL(9,T212:T214))</t>
  </si>
  <si>
    <t>=SUBTOTAL(9,O212:T214)</t>
  </si>
  <si>
    <t>=NL("Sum","Item Ledger Entry","Quantity","Entry Type","Purchase","Entry No.",I213,"Location Code","@@"&amp;$E$6)</t>
  </si>
  <si>
    <t>=NL("Sum","Item Ledger Entry","Quantity","Entry Type","Sale","Entry No.",I213,"Location Code","@@"&amp;$E$6)</t>
  </si>
  <si>
    <t>=NL("Sum","Item Ledger Entry","Quantity","Entry Type","Positive Adjmt.|Negative Adjmt.","Entry No.",I213,"Location Code","@@"&amp;$E$6)</t>
  </si>
  <si>
    <t>=NL("Sum","Item Ledger Entry","Quantity","Entry Type","Transfer","Entry No.",I213,"Location Code","@@"&amp;$E$6)</t>
  </si>
  <si>
    <t>=NL("Sum","Item Ledger Entry","Quantity","Entry Type","Consumption","Entry No.",I213,"Location Code","@@"&amp;$E$6)</t>
  </si>
  <si>
    <t>=NL("Sum","Item Ledger Entry","Quantity","Entry Type","Output","Entry No.",I213,"Location Code","@@"&amp;$E$6)</t>
  </si>
  <si>
    <t>=E216</t>
  </si>
  <si>
    <t>=NL("First","Item","Description","No.",$E216)</t>
  </si>
  <si>
    <t>=NL("First","Item","Base Unit of Measure","No.",$E216)</t>
  </si>
  <si>
    <t>=(SUBTOTAL(9,O217:O218))</t>
  </si>
  <si>
    <t>=(SUBTOTAL(9,P217:P218))</t>
  </si>
  <si>
    <t>=(SUBTOTAL(9,Q217:Q218))</t>
  </si>
  <si>
    <t>=(SUBTOTAL(9,R217:R218))</t>
  </si>
  <si>
    <t>=(SUBTOTAL(9,S217:S218))</t>
  </si>
  <si>
    <t>=(SUBTOTAL(9,T217:T218))</t>
  </si>
  <si>
    <t>=SUBTOTAL(9,O217:T218)</t>
  </si>
  <si>
    <t>=NL("Rows","Item Ledger Entry",,"+Posting Date",$L$5,"Item No.","@@"&amp;$D217,"Location Code","@@"&amp;$E$6)</t>
  </si>
  <si>
    <t>=E220</t>
  </si>
  <si>
    <t>=NL("First","Item","Description","No.",$E220)</t>
  </si>
  <si>
    <t>=NL("First","Item","Base Unit of Measure","No.",$E220)</t>
  </si>
  <si>
    <t>=(SUBTOTAL(9,O221:O225))</t>
  </si>
  <si>
    <t>=(SUBTOTAL(9,P221:P225))</t>
  </si>
  <si>
    <t>=(SUBTOTAL(9,Q221:Q225))</t>
  </si>
  <si>
    <t>=(SUBTOTAL(9,R221:R225))</t>
  </si>
  <si>
    <t>=(SUBTOTAL(9,S221:S225))</t>
  </si>
  <si>
    <t>=(SUBTOTAL(9,T221:T225))</t>
  </si>
  <si>
    <t>=SUBTOTAL(9,O221:T225)</t>
  </si>
  <si>
    <t>=NL("Rows","Item Ledger Entry",,"+Posting Date",$L$5,"Item No.","@@"&amp;$D221,"Location Code","@@"&amp;$E$6)</t>
  </si>
  <si>
    <t>=(SUBTOTAL(9,O228:O229))</t>
  </si>
  <si>
    <t>=(SUBTOTAL(9,P228:P229))</t>
  </si>
  <si>
    <t>=(SUBTOTAL(9,Q228:Q229))</t>
  </si>
  <si>
    <t>=(SUBTOTAL(9,R228:R229))</t>
  </si>
  <si>
    <t>=(SUBTOTAL(9,S228:S229))</t>
  </si>
  <si>
    <t>=(SUBTOTAL(9,T228:T229))</t>
  </si>
  <si>
    <t>=SUBTOTAL(9,O228:T229)</t>
  </si>
  <si>
    <t>=E231</t>
  </si>
  <si>
    <t>=NL("First","Item","Description","No.",$E231)</t>
  </si>
  <si>
    <t>=NL("First","Item","Base Unit of Measure","No.",$E231)</t>
  </si>
  <si>
    <t>=(SUBTOTAL(9,O232:O235))</t>
  </si>
  <si>
    <t>=(SUBTOTAL(9,P232:P235))</t>
  </si>
  <si>
    <t>=(SUBTOTAL(9,Q232:Q235))</t>
  </si>
  <si>
    <t>=(SUBTOTAL(9,R232:R235))</t>
  </si>
  <si>
    <t>=(SUBTOTAL(9,S232:S235))</t>
  </si>
  <si>
    <t>=(SUBTOTAL(9,T232:T235))</t>
  </si>
  <si>
    <t>=SUBTOTAL(9,O232:T235)</t>
  </si>
  <si>
    <t>=NL("Rows","Item Ledger Entry",,"+Posting Date",$L$5,"Item No.","@@"&amp;$D232,"Location Code","@@"&amp;$E$6)</t>
  </si>
  <si>
    <t>=(SUBTOTAL(9,O238:O240))</t>
  </si>
  <si>
    <t>=(SUBTOTAL(9,P238:P240))</t>
  </si>
  <si>
    <t>=(SUBTOTAL(9,Q238:Q240))</t>
  </si>
  <si>
    <t>=(SUBTOTAL(9,R238:R240))</t>
  </si>
  <si>
    <t>=(SUBTOTAL(9,S238:S240))</t>
  </si>
  <si>
    <t>=(SUBTOTAL(9,T238:T240))</t>
  </si>
  <si>
    <t>=SUBTOTAL(9,O238:T240)</t>
  </si>
  <si>
    <t>=E242</t>
  </si>
  <si>
    <t>=NL("First","Item","Description","No.",$E242)</t>
  </si>
  <si>
    <t>=NL("First","Item","Base Unit of Measure","No.",$E242)</t>
  </si>
  <si>
    <t>=(SUBTOTAL(9,O243:O245))</t>
  </si>
  <si>
    <t>=(SUBTOTAL(9,P243:P245))</t>
  </si>
  <si>
    <t>=(SUBTOTAL(9,Q243:Q245))</t>
  </si>
  <si>
    <t>=(SUBTOTAL(9,R243:R245))</t>
  </si>
  <si>
    <t>=(SUBTOTAL(9,S243:S245))</t>
  </si>
  <si>
    <t>=(SUBTOTAL(9,T243:T245))</t>
  </si>
  <si>
    <t>=SUBTOTAL(9,O243:T245)</t>
  </si>
  <si>
    <t>=NL("Rows","Item Ledger Entry",,"+Posting Date",$L$5,"Item No.","@@"&amp;$D243,"Location Code","@@"&amp;$E$6)</t>
  </si>
  <si>
    <t>=E247</t>
  </si>
  <si>
    <t>=NL("First","Item","Description","No.",$E247)</t>
  </si>
  <si>
    <t>=NL("First","Item","Base Unit of Measure","No.",$E247)</t>
  </si>
  <si>
    <t>=(SUBTOTAL(9,O248:O249))</t>
  </si>
  <si>
    <t>=(SUBTOTAL(9,P248:P249))</t>
  </si>
  <si>
    <t>=(SUBTOTAL(9,Q248:Q249))</t>
  </si>
  <si>
    <t>=(SUBTOTAL(9,R248:R249))</t>
  </si>
  <si>
    <t>=(SUBTOTAL(9,S248:S249))</t>
  </si>
  <si>
    <t>=(SUBTOTAL(9,T248:T249))</t>
  </si>
  <si>
    <t>=SUBTOTAL(9,O248:T249)</t>
  </si>
  <si>
    <t>=NL("Rows","Item Ledger Entry",,"+Posting Date",$L$5,"Item No.","@@"&amp;$D248,"Location Code","@@"&amp;$E$6)</t>
  </si>
  <si>
    <t>=(SUBTOTAL(9,O256:O258))</t>
  </si>
  <si>
    <t>=(SUBTOTAL(9,P256:P258))</t>
  </si>
  <si>
    <t>=(SUBTOTAL(9,Q256:Q258))</t>
  </si>
  <si>
    <t>=(SUBTOTAL(9,R256:R258))</t>
  </si>
  <si>
    <t>=(SUBTOTAL(9,S256:S258))</t>
  </si>
  <si>
    <t>=(SUBTOTAL(9,T256:T258))</t>
  </si>
  <si>
    <t>=SUBTOTAL(9,O256:T258)</t>
  </si>
  <si>
    <t>=NL("Sum","Item Ledger Entry","Quantity","Entry Type","Purchase","Entry No.",I257,"Location Code","@@"&amp;$E$6)</t>
  </si>
  <si>
    <t>=NL("Sum","Item Ledger Entry","Quantity","Entry Type","Sale","Entry No.",I257,"Location Code","@@"&amp;$E$6)</t>
  </si>
  <si>
    <t>=NL("Sum","Item Ledger Entry","Quantity","Entry Type","Positive Adjmt.|Negative Adjmt.","Entry No.",I257,"Location Code","@@"&amp;$E$6)</t>
  </si>
  <si>
    <t>=NL("Sum","Item Ledger Entry","Quantity","Entry Type","Transfer","Entry No.",I257,"Location Code","@@"&amp;$E$6)</t>
  </si>
  <si>
    <t>=NL("Sum","Item Ledger Entry","Quantity","Entry Type","Consumption","Entry No.",I257,"Location Code","@@"&amp;$E$6)</t>
  </si>
  <si>
    <t>=NL("Sum","Item Ledger Entry","Quantity","Entry Type","Output","Entry No.",I257,"Location Code","@@"&amp;$E$6)</t>
  </si>
  <si>
    <t>=(SUBTOTAL(9,O261:O262))</t>
  </si>
  <si>
    <t>=(SUBTOTAL(9,P261:P262))</t>
  </si>
  <si>
    <t>=(SUBTOTAL(9,Q261:Q262))</t>
  </si>
  <si>
    <t>=(SUBTOTAL(9,R261:R262))</t>
  </si>
  <si>
    <t>=(SUBTOTAL(9,S261:S262))</t>
  </si>
  <si>
    <t>=(SUBTOTAL(9,T261:T262))</t>
  </si>
  <si>
    <t>=SUBTOTAL(9,O261:T262)</t>
  </si>
  <si>
    <t>=NL("Rows","Item Ledger Entry",,"+Posting Date",$L$5,"Item No.","@@"&amp;$D261,"Location Code","@@"&amp;$E$6)</t>
  </si>
  <si>
    <t>=(SUBTOTAL(9,O271:O274))</t>
  </si>
  <si>
    <t>=(SUBTOTAL(9,P271:P274))</t>
  </si>
  <si>
    <t>=(SUBTOTAL(9,Q271:Q274))</t>
  </si>
  <si>
    <t>=(SUBTOTAL(9,R271:R274))</t>
  </si>
  <si>
    <t>=(SUBTOTAL(9,S271:S274))</t>
  </si>
  <si>
    <t>=(SUBTOTAL(9,T271:T274))</t>
  </si>
  <si>
    <t>=SUBTOTAL(9,O271:T274)</t>
  </si>
  <si>
    <t>=E276</t>
  </si>
  <si>
    <t>=NL("First","Item","Description","No.",$E276)</t>
  </si>
  <si>
    <t>=NL("First","Item","Base Unit of Measure","No.",$E276)</t>
  </si>
  <si>
    <t>=(SUBTOTAL(9,O277:O279))</t>
  </si>
  <si>
    <t>=(SUBTOTAL(9,P277:P279))</t>
  </si>
  <si>
    <t>=(SUBTOTAL(9,Q277:Q279))</t>
  </si>
  <si>
    <t>=(SUBTOTAL(9,R277:R279))</t>
  </si>
  <si>
    <t>=(SUBTOTAL(9,S277:S279))</t>
  </si>
  <si>
    <t>=(SUBTOTAL(9,T277:T279))</t>
  </si>
  <si>
    <t>=SUBTOTAL(9,O277:T279)</t>
  </si>
  <si>
    <t>=NL("Rows","Item Ledger Entry",,"+Posting Date",$L$5,"Item No.","@@"&amp;$D277,"Location Code","@@"&amp;$E$6)</t>
  </si>
  <si>
    <t>=(SUBTOTAL(9,O282:O284))</t>
  </si>
  <si>
    <t>=(SUBTOTAL(9,P282:P284))</t>
  </si>
  <si>
    <t>=(SUBTOTAL(9,Q282:Q284))</t>
  </si>
  <si>
    <t>=(SUBTOTAL(9,R282:R284))</t>
  </si>
  <si>
    <t>=(SUBTOTAL(9,S282:S284))</t>
  </si>
  <si>
    <t>=(SUBTOTAL(9,T282:T284))</t>
  </si>
  <si>
    <t>=SUBTOTAL(9,O282:T284)</t>
  </si>
  <si>
    <t>=(SUBTOTAL(9,O287:O290))</t>
  </si>
  <si>
    <t>=(SUBTOTAL(9,P287:P290))</t>
  </si>
  <si>
    <t>=(SUBTOTAL(9,Q287:Q290))</t>
  </si>
  <si>
    <t>=(SUBTOTAL(9,R287:R290))</t>
  </si>
  <si>
    <t>=(SUBTOTAL(9,S287:S290))</t>
  </si>
  <si>
    <t>=(SUBTOTAL(9,T287:T290))</t>
  </si>
  <si>
    <t>=SUBTOTAL(9,O287:T290)</t>
  </si>
  <si>
    <t>=(SUBTOTAL(9,O293:O295))</t>
  </si>
  <si>
    <t>=(SUBTOTAL(9,P293:P295))</t>
  </si>
  <si>
    <t>=(SUBTOTAL(9,Q293:Q295))</t>
  </si>
  <si>
    <t>=(SUBTOTAL(9,R293:R295))</t>
  </si>
  <si>
    <t>=(SUBTOTAL(9,S293:S295))</t>
  </si>
  <si>
    <t>=(SUBTOTAL(9,T293:T295))</t>
  </si>
  <si>
    <t>=SUBTOTAL(9,O293:T295)</t>
  </si>
  <si>
    <t>=E297</t>
  </si>
  <si>
    <t>=NL("First","Item","Description","No.",$E297)</t>
  </si>
  <si>
    <t>=NL("First","Item","Base Unit of Measure","No.",$E297)</t>
  </si>
  <si>
    <t>=(SUBTOTAL(9,O298:O299))</t>
  </si>
  <si>
    <t>=(SUBTOTAL(9,P298:P299))</t>
  </si>
  <si>
    <t>=(SUBTOTAL(9,Q298:Q299))</t>
  </si>
  <si>
    <t>=(SUBTOTAL(9,R298:R299))</t>
  </si>
  <si>
    <t>=(SUBTOTAL(9,S298:S299))</t>
  </si>
  <si>
    <t>=(SUBTOTAL(9,T298:T299))</t>
  </si>
  <si>
    <t>=SUBTOTAL(9,O298:T299)</t>
  </si>
  <si>
    <t>=NL("Rows","Item Ledger Entry",,"+Posting Date",$L$5,"Item No.","@@"&amp;$D298,"Location Code","@@"&amp;$E$6)</t>
  </si>
  <si>
    <t>=(SUBTOTAL(9,O302:O305))</t>
  </si>
  <si>
    <t>=(SUBTOTAL(9,P302:P305))</t>
  </si>
  <si>
    <t>=(SUBTOTAL(9,Q302:Q305))</t>
  </si>
  <si>
    <t>=(SUBTOTAL(9,R302:R305))</t>
  </si>
  <si>
    <t>=(SUBTOTAL(9,S302:S305))</t>
  </si>
  <si>
    <t>=(SUBTOTAL(9,T302:T305))</t>
  </si>
  <si>
    <t>=SUBTOTAL(9,O302:T305)</t>
  </si>
  <si>
    <t>=E307</t>
  </si>
  <si>
    <t>=NL("First","Item","Description","No.",$E307)</t>
  </si>
  <si>
    <t>=NL("First","Item","Base Unit of Measure","No.",$E307)</t>
  </si>
  <si>
    <t>=(SUBTOTAL(9,O308:O311))</t>
  </si>
  <si>
    <t>=(SUBTOTAL(9,P308:P311))</t>
  </si>
  <si>
    <t>=(SUBTOTAL(9,Q308:Q311))</t>
  </si>
  <si>
    <t>=(SUBTOTAL(9,R308:R311))</t>
  </si>
  <si>
    <t>=(SUBTOTAL(9,S308:S311))</t>
  </si>
  <si>
    <t>=(SUBTOTAL(9,T308:T311))</t>
  </si>
  <si>
    <t>=SUBTOTAL(9,O308:T311)</t>
  </si>
  <si>
    <t>=NL("Rows","Item Ledger Entry",,"+Posting Date",$L$5,"Item No.","@@"&amp;$D308,"Location Code","@@"&amp;$E$6)</t>
  </si>
  <si>
    <t>=E317</t>
  </si>
  <si>
    <t>=NL("First","Item","Description","No.",$E317)</t>
  </si>
  <si>
    <t>=NL("First","Item","Base Unit of Measure","No.",$E317)</t>
  </si>
  <si>
    <t>=(SUBTOTAL(9,O318:O321))</t>
  </si>
  <si>
    <t>=(SUBTOTAL(9,P318:P321))</t>
  </si>
  <si>
    <t>=(SUBTOTAL(9,Q318:Q321))</t>
  </si>
  <si>
    <t>=(SUBTOTAL(9,R318:R321))</t>
  </si>
  <si>
    <t>=(SUBTOTAL(9,S318:S321))</t>
  </si>
  <si>
    <t>=(SUBTOTAL(9,T318:T321))</t>
  </si>
  <si>
    <t>=SUBTOTAL(9,O318:T321)</t>
  </si>
  <si>
    <t>=NL("Rows","Item Ledger Entry",,"+Posting Date",$L$5,"Item No.","@@"&amp;$D318,"Location Code","@@"&amp;$E$6)</t>
  </si>
  <si>
    <t>=(SUBTOTAL(9,O328:O331))</t>
  </si>
  <si>
    <t>=(SUBTOTAL(9,P328:P331))</t>
  </si>
  <si>
    <t>=(SUBTOTAL(9,Q328:Q331))</t>
  </si>
  <si>
    <t>=(SUBTOTAL(9,R328:R331))</t>
  </si>
  <si>
    <t>=(SUBTOTAL(9,S328:S331))</t>
  </si>
  <si>
    <t>=(SUBTOTAL(9,T328:T331))</t>
  </si>
  <si>
    <t>=SUBTOTAL(9,O328:T331)</t>
  </si>
  <si>
    <t>=(SUBTOTAL(9,O334:O338))</t>
  </si>
  <si>
    <t>=(SUBTOTAL(9,P334:P338))</t>
  </si>
  <si>
    <t>=(SUBTOTAL(9,Q334:Q338))</t>
  </si>
  <si>
    <t>=(SUBTOTAL(9,R334:R338))</t>
  </si>
  <si>
    <t>=(SUBTOTAL(9,S334:S338))</t>
  </si>
  <si>
    <t>=(SUBTOTAL(9,T334:T338))</t>
  </si>
  <si>
    <t>=SUBTOTAL(9,O334:T338)</t>
  </si>
  <si>
    <t>=(SUBTOTAL(9,O341:O344))</t>
  </si>
  <si>
    <t>=(SUBTOTAL(9,P341:P344))</t>
  </si>
  <si>
    <t>=(SUBTOTAL(9,Q341:Q344))</t>
  </si>
  <si>
    <t>=(SUBTOTAL(9,R341:R344))</t>
  </si>
  <si>
    <t>=(SUBTOTAL(9,S341:S344))</t>
  </si>
  <si>
    <t>=(SUBTOTAL(9,T341:T344))</t>
  </si>
  <si>
    <t>=SUBTOTAL(9,O341:T344)</t>
  </si>
  <si>
    <t>=NL("Rows","Item Ledger Entry",,"+Posting Date",$L$5,"Item No.","@@"&amp;$D341,"Location Code","@@"&amp;$E$6)</t>
  </si>
  <si>
    <t>=E346</t>
  </si>
  <si>
    <t>=NL("First","Item","Description","No.",$E346)</t>
  </si>
  <si>
    <t>=NL("First","Item","Base Unit of Measure","No.",$E346)</t>
  </si>
  <si>
    <t>=(SUBTOTAL(9,O347:O350))</t>
  </si>
  <si>
    <t>=(SUBTOTAL(9,P347:P350))</t>
  </si>
  <si>
    <t>=(SUBTOTAL(9,Q347:Q350))</t>
  </si>
  <si>
    <t>=(SUBTOTAL(9,R347:R350))</t>
  </si>
  <si>
    <t>=(SUBTOTAL(9,S347:S350))</t>
  </si>
  <si>
    <t>=(SUBTOTAL(9,T347:T350))</t>
  </si>
  <si>
    <t>=SUBTOTAL(9,O347:T350)</t>
  </si>
  <si>
    <t>=NL("Rows","Item Ledger Entry",,"+Posting Date",$L$5,"Item No.","@@"&amp;$D347,"Location Code","@@"&amp;$E$6)</t>
  </si>
  <si>
    <t>=(SUBTOTAL(9,O353:O357))</t>
  </si>
  <si>
    <t>=(SUBTOTAL(9,P353:P357))</t>
  </si>
  <si>
    <t>=(SUBTOTAL(9,Q353:Q357))</t>
  </si>
  <si>
    <t>=(SUBTOTAL(9,R353:R357))</t>
  </si>
  <si>
    <t>=(SUBTOTAL(9,S353:S357))</t>
  </si>
  <si>
    <t>=(SUBTOTAL(9,T353:T357))</t>
  </si>
  <si>
    <t>=SUBTOTAL(9,O353:T357)</t>
  </si>
  <si>
    <t>=E359</t>
  </si>
  <si>
    <t>=NL("First","Item","Description","No.",$E359)</t>
  </si>
  <si>
    <t>=NL("First","Item","Base Unit of Measure","No.",$E359)</t>
  </si>
  <si>
    <t>=(SUBTOTAL(9,O360:O362))</t>
  </si>
  <si>
    <t>=(SUBTOTAL(9,P360:P362))</t>
  </si>
  <si>
    <t>=(SUBTOTAL(9,Q360:Q362))</t>
  </si>
  <si>
    <t>=(SUBTOTAL(9,R360:R362))</t>
  </si>
  <si>
    <t>=(SUBTOTAL(9,S360:S362))</t>
  </si>
  <si>
    <t>=(SUBTOTAL(9,T360:T362))</t>
  </si>
  <si>
    <t>=SUBTOTAL(9,O360:T362)</t>
  </si>
  <si>
    <t>=NL("Rows","Item Ledger Entry",,"+Posting Date",$L$5,"Item No.","@@"&amp;$D360,"Location Code","@@"&amp;$E$6)</t>
  </si>
  <si>
    <t>=(SUBTOTAL(9,O370:O373))</t>
  </si>
  <si>
    <t>=(SUBTOTAL(9,P370:P373))</t>
  </si>
  <si>
    <t>=(SUBTOTAL(9,Q370:Q373))</t>
  </si>
  <si>
    <t>=(SUBTOTAL(9,R370:R373))</t>
  </si>
  <si>
    <t>=(SUBTOTAL(9,S370:S373))</t>
  </si>
  <si>
    <t>=(SUBTOTAL(9,T370:T373))</t>
  </si>
  <si>
    <t>=SUBTOTAL(9,O370:T373)</t>
  </si>
  <si>
    <t>=(SUBTOTAL(9,O376:O380))</t>
  </si>
  <si>
    <t>=(SUBTOTAL(9,P376:P380))</t>
  </si>
  <si>
    <t>=(SUBTOTAL(9,Q376:Q380))</t>
  </si>
  <si>
    <t>=(SUBTOTAL(9,R376:R380))</t>
  </si>
  <si>
    <t>=(SUBTOTAL(9,S376:S380))</t>
  </si>
  <si>
    <t>=(SUBTOTAL(9,T376:T380))</t>
  </si>
  <si>
    <t>=SUBTOTAL(9,O376:T380)</t>
  </si>
  <si>
    <t>=E382</t>
  </si>
  <si>
    <t>=NL("First","Item","Description","No.",$E382)</t>
  </si>
  <si>
    <t>=NL("First","Item","Base Unit of Measure","No.",$E382)</t>
  </si>
  <si>
    <t>=(SUBTOTAL(9,O383:O387))</t>
  </si>
  <si>
    <t>=(SUBTOTAL(9,P383:P387))</t>
  </si>
  <si>
    <t>=(SUBTOTAL(9,Q383:Q387))</t>
  </si>
  <si>
    <t>=(SUBTOTAL(9,R383:R387))</t>
  </si>
  <si>
    <t>=(SUBTOTAL(9,S383:S387))</t>
  </si>
  <si>
    <t>=(SUBTOTAL(9,T383:T387))</t>
  </si>
  <si>
    <t>=SUBTOTAL(9,O383:T387)</t>
  </si>
  <si>
    <t>=NL("Rows","Item Ledger Entry",,"+Posting Date",$L$5,"Item No.","@@"&amp;$D383,"Location Code","@@"&amp;$E$6)</t>
  </si>
  <si>
    <t>=(SUBTOTAL(9,O390:O393))</t>
  </si>
  <si>
    <t>=(SUBTOTAL(9,P390:P393))</t>
  </si>
  <si>
    <t>=(SUBTOTAL(9,Q390:Q393))</t>
  </si>
  <si>
    <t>=(SUBTOTAL(9,R390:R393))</t>
  </si>
  <si>
    <t>=(SUBTOTAL(9,S390:S393))</t>
  </si>
  <si>
    <t>=(SUBTOTAL(9,T390:T393))</t>
  </si>
  <si>
    <t>=SUBTOTAL(9,O390:T393)</t>
  </si>
  <si>
    <t>=E395</t>
  </si>
  <si>
    <t>=NL("First","Item","Description","No.",$E395)</t>
  </si>
  <si>
    <t>=NL("First","Item","Base Unit of Measure","No.",$E395)</t>
  </si>
  <si>
    <t>=(SUBTOTAL(9,O396:O399))</t>
  </si>
  <si>
    <t>=(SUBTOTAL(9,P396:P399))</t>
  </si>
  <si>
    <t>=(SUBTOTAL(9,Q396:Q399))</t>
  </si>
  <si>
    <t>=(SUBTOTAL(9,R396:R399))</t>
  </si>
  <si>
    <t>=(SUBTOTAL(9,S396:S399))</t>
  </si>
  <si>
    <t>=(SUBTOTAL(9,T396:T399))</t>
  </si>
  <si>
    <t>=SUBTOTAL(9,O396:T399)</t>
  </si>
  <si>
    <t>=NL("Rows","Item Ledger Entry",,"+Posting Date",$L$5,"Item No.","@@"&amp;$D396,"Location Code","@@"&amp;$E$6)</t>
  </si>
  <si>
    <t>=(SUBTOTAL(9,O402:O408))</t>
  </si>
  <si>
    <t>=(SUBTOTAL(9,P402:P408))</t>
  </si>
  <si>
    <t>=(SUBTOTAL(9,Q402:Q408))</t>
  </si>
  <si>
    <t>=(SUBTOTAL(9,R402:R408))</t>
  </si>
  <si>
    <t>=(SUBTOTAL(9,S402:S408))</t>
  </si>
  <si>
    <t>=(SUBTOTAL(9,T402:T408))</t>
  </si>
  <si>
    <t>=SUBTOTAL(9,O402:T408)</t>
  </si>
  <si>
    <t>=E410</t>
  </si>
  <si>
    <t>=NL("First","Item","Description","No.",$E410)</t>
  </si>
  <si>
    <t>=NL("First","Item","Base Unit of Measure","No.",$E410)</t>
  </si>
  <si>
    <t>=(SUBTOTAL(9,O411:O415))</t>
  </si>
  <si>
    <t>=(SUBTOTAL(9,P411:P415))</t>
  </si>
  <si>
    <t>=(SUBTOTAL(9,Q411:Q415))</t>
  </si>
  <si>
    <t>=(SUBTOTAL(9,R411:R415))</t>
  </si>
  <si>
    <t>=(SUBTOTAL(9,S411:S415))</t>
  </si>
  <si>
    <t>=(SUBTOTAL(9,T411:T415))</t>
  </si>
  <si>
    <t>=SUBTOTAL(9,O411:T415)</t>
  </si>
  <si>
    <t>=NL("Rows","Item Ledger Entry",,"+Posting Date",$L$5,"Item No.","@@"&amp;$D411,"Location Code","@@"&amp;$E$6)</t>
  </si>
  <si>
    <t>=(SUBTOTAL(9,O418:O421))</t>
  </si>
  <si>
    <t>=(SUBTOTAL(9,P418:P421))</t>
  </si>
  <si>
    <t>=(SUBTOTAL(9,Q418:Q421))</t>
  </si>
  <si>
    <t>=(SUBTOTAL(9,R418:R421))</t>
  </si>
  <si>
    <t>=(SUBTOTAL(9,S418:S421))</t>
  </si>
  <si>
    <t>=(SUBTOTAL(9,T418:T421))</t>
  </si>
  <si>
    <t>=SUBTOTAL(9,O418:T421)</t>
  </si>
  <si>
    <t>=E423</t>
  </si>
  <si>
    <t>=NL("First","Item","Description","No.",$E423)</t>
  </si>
  <si>
    <t>=NL("First","Item","Base Unit of Measure","No.",$E423)</t>
  </si>
  <si>
    <t>=(SUBTOTAL(9,O424:O427))</t>
  </si>
  <si>
    <t>=(SUBTOTAL(9,P424:P427))</t>
  </si>
  <si>
    <t>=(SUBTOTAL(9,Q424:Q427))</t>
  </si>
  <si>
    <t>=(SUBTOTAL(9,R424:R427))</t>
  </si>
  <si>
    <t>=(SUBTOTAL(9,S424:S427))</t>
  </si>
  <si>
    <t>=(SUBTOTAL(9,T424:T427))</t>
  </si>
  <si>
    <t>=SUBTOTAL(9,O424:T427)</t>
  </si>
  <si>
    <t>=NL("Rows","Item Ledger Entry",,"+Posting Date",$L$5,"Item No.","@@"&amp;$D424,"Location Code","@@"&amp;$E$6)</t>
  </si>
  <si>
    <t>=E429</t>
  </si>
  <si>
    <t>=NL("First","Item","Description","No.",$E429)</t>
  </si>
  <si>
    <t>=NL("First","Item","Base Unit of Measure","No.",$E429)</t>
  </si>
  <si>
    <t>=(SUBTOTAL(9,O430:O434))</t>
  </si>
  <si>
    <t>=(SUBTOTAL(9,P430:P434))</t>
  </si>
  <si>
    <t>=(SUBTOTAL(9,Q430:Q434))</t>
  </si>
  <si>
    <t>=(SUBTOTAL(9,R430:R434))</t>
  </si>
  <si>
    <t>=(SUBTOTAL(9,S430:S434))</t>
  </si>
  <si>
    <t>=(SUBTOTAL(9,T430:T434))</t>
  </si>
  <si>
    <t>=SUBTOTAL(9,O430:T434)</t>
  </si>
  <si>
    <t>=NL("Rows","Item Ledger Entry",,"+Posting Date",$L$5,"Item No.","@@"&amp;$D430,"Location Code","@@"&amp;$E$6)</t>
  </si>
  <si>
    <t>=D430</t>
  </si>
  <si>
    <t>=IF($J431="Customer",NL("first",$J431,"Name","No.","@@"&amp;$K431),"")</t>
  </si>
  <si>
    <t>=IF(J431="vendor",NL("first",J431,"Name","No.","@@"&amp;K431),"")</t>
  </si>
  <si>
    <t>=IF($J431="Item",NL("first",$J431,"Description","No.","@@"&amp;$K431),"")</t>
  </si>
  <si>
    <t>=E436</t>
  </si>
  <si>
    <t>=NL("First","Item","Description","No.",$E436)</t>
  </si>
  <si>
    <t>=NL("First","Item","Base Unit of Measure","No.",$E436)</t>
  </si>
  <si>
    <t>=(SUBTOTAL(9,O437:O438))</t>
  </si>
  <si>
    <t>=(SUBTOTAL(9,P437:P438))</t>
  </si>
  <si>
    <t>=(SUBTOTAL(9,Q437:Q438))</t>
  </si>
  <si>
    <t>=(SUBTOTAL(9,R437:R438))</t>
  </si>
  <si>
    <t>=(SUBTOTAL(9,S437:S438))</t>
  </si>
  <si>
    <t>=(SUBTOTAL(9,T437:T438))</t>
  </si>
  <si>
    <t>=SUBTOTAL(9,O437:T438)</t>
  </si>
  <si>
    <t>=NL("Rows","Item Ledger Entry",,"+Posting Date",$L$5,"Item No.","@@"&amp;$D437,"Location Code","@@"&amp;$E$6)</t>
  </si>
  <si>
    <t>=NL("Sum","Item Ledger Entry","Quantity","Entry Type","Purchase","Entry No.",I437,"Location Code","@@"&amp;$E$6)</t>
  </si>
  <si>
    <t>=NL("Sum","Item Ledger Entry","Quantity","Entry Type","Sale","Entry No.",I437,"Location Code","@@"&amp;$E$6)</t>
  </si>
  <si>
    <t>=NL("Sum","Item Ledger Entry","Quantity","Entry Type","Positive Adjmt.|Negative Adjmt.","Entry No.",I437,"Location Code","@@"&amp;$E$6)</t>
  </si>
  <si>
    <t>=NL("Sum","Item Ledger Entry","Quantity","Entry Type","Transfer","Entry No.",I437,"Location Code","@@"&amp;$E$6)</t>
  </si>
  <si>
    <t>=NL("Sum","Item Ledger Entry","Quantity","Entry Type","Consumption","Entry No.",I437,"Location Code","@@"&amp;$E$6)</t>
  </si>
  <si>
    <t>=NL("Sum","Item Ledger Entry","Quantity","Entry Type","Output","Entry No.",I437,"Location Code","@@"&amp;$E$6)</t>
  </si>
  <si>
    <t>=E440</t>
  </si>
  <si>
    <t>=NL("First","Item","Description","No.",$E440)</t>
  </si>
  <si>
    <t>=NL("First","Item","Base Unit of Measure","No.",$E440)</t>
  </si>
  <si>
    <t>=(SUBTOTAL(9,O441:O444))</t>
  </si>
  <si>
    <t>=(SUBTOTAL(9,P441:P444))</t>
  </si>
  <si>
    <t>=(SUBTOTAL(9,Q441:Q444))</t>
  </si>
  <si>
    <t>=(SUBTOTAL(9,R441:R444))</t>
  </si>
  <si>
    <t>=(SUBTOTAL(9,S441:S444))</t>
  </si>
  <si>
    <t>=(SUBTOTAL(9,T441:T444))</t>
  </si>
  <si>
    <t>=SUBTOTAL(9,O441:T444)</t>
  </si>
  <si>
    <t>=NL("Rows","Item Ledger Entry",,"+Posting Date",$L$5,"Item No.","@@"&amp;$D441,"Location Code","@@"&amp;$E$6)</t>
  </si>
  <si>
    <t>=E446</t>
  </si>
  <si>
    <t>=NL("First","Item","Description","No.",$E446)</t>
  </si>
  <si>
    <t>=NL("First","Item","Base Unit of Measure","No.",$E446)</t>
  </si>
  <si>
    <t>=(SUBTOTAL(9,O447:O448))</t>
  </si>
  <si>
    <t>=(SUBTOTAL(9,P447:P448))</t>
  </si>
  <si>
    <t>=(SUBTOTAL(9,Q447:Q448))</t>
  </si>
  <si>
    <t>=(SUBTOTAL(9,R447:R448))</t>
  </si>
  <si>
    <t>=(SUBTOTAL(9,S447:S448))</t>
  </si>
  <si>
    <t>=(SUBTOTAL(9,T447:T448))</t>
  </si>
  <si>
    <t>=SUBTOTAL(9,O447:T448)</t>
  </si>
  <si>
    <t>=NL("Rows","Item Ledger Entry",,"+Posting Date",$L$5,"Item No.","@@"&amp;$D447,"Location Code","@@"&amp;$E$6)</t>
  </si>
  <si>
    <t>=NL("Sum","Item Ledger Entry","Quantity","Entry Type","Purchase","Entry No.",I447,"Location Code","@@"&amp;$E$6)</t>
  </si>
  <si>
    <t>=NL("Sum","Item Ledger Entry","Quantity","Entry Type","Sale","Entry No.",I447,"Location Code","@@"&amp;$E$6)</t>
  </si>
  <si>
    <t>=NL("Sum","Item Ledger Entry","Quantity","Entry Type","Positive Adjmt.|Negative Adjmt.","Entry No.",I447,"Location Code","@@"&amp;$E$6)</t>
  </si>
  <si>
    <t>=NL("Sum","Item Ledger Entry","Quantity","Entry Type","Transfer","Entry No.",I447,"Location Code","@@"&amp;$E$6)</t>
  </si>
  <si>
    <t>=NL("Sum","Item Ledger Entry","Quantity","Entry Type","Consumption","Entry No.",I447,"Location Code","@@"&amp;$E$6)</t>
  </si>
  <si>
    <t>=NL("Sum","Item Ledger Entry","Quantity","Entry Type","Output","Entry No.",I447,"Location Code","@@"&amp;$E$6)</t>
  </si>
  <si>
    <t>=(SUBTOTAL(9,O451:O453))</t>
  </si>
  <si>
    <t>=(SUBTOTAL(9,P451:P453))</t>
  </si>
  <si>
    <t>=(SUBTOTAL(9,Q451:Q453))</t>
  </si>
  <si>
    <t>=(SUBTOTAL(9,R451:R453))</t>
  </si>
  <si>
    <t>=(SUBTOTAL(9,S451:S453))</t>
  </si>
  <si>
    <t>=(SUBTOTAL(9,T451:T453))</t>
  </si>
  <si>
    <t>=SUBTOTAL(9,O451:T453)</t>
  </si>
  <si>
    <t>=NL("Rows","Item Ledger Entry",,"+Posting Date",$L$5,"Item No.","@@"&amp;$D451,"Location Code","@@"&amp;$E$6)</t>
  </si>
  <si>
    <t>=NL("Sum","Item Ledger Entry","Quantity","Entry Type","Purchase","Entry No.",I451,"Location Code","@@"&amp;$E$6)</t>
  </si>
  <si>
    <t>=NL("Sum","Item Ledger Entry","Quantity","Entry Type","Sale","Entry No.",I451,"Location Code","@@"&amp;$E$6)</t>
  </si>
  <si>
    <t>=NL("Sum","Item Ledger Entry","Quantity","Entry Type","Positive Adjmt.|Negative Adjmt.","Entry No.",I451,"Location Code","@@"&amp;$E$6)</t>
  </si>
  <si>
    <t>=NL("Sum","Item Ledger Entry","Quantity","Entry Type","Transfer","Entry No.",I451,"Location Code","@@"&amp;$E$6)</t>
  </si>
  <si>
    <t>=NL("Sum","Item Ledger Entry","Quantity","Entry Type","Consumption","Entry No.",I451,"Location Code","@@"&amp;$E$6)</t>
  </si>
  <si>
    <t>=NL("Sum","Item Ledger Entry","Quantity","Entry Type","Output","Entry No.",I451,"Location Code","@@"&amp;$E$6)</t>
  </si>
  <si>
    <t>=NL("Sum","Item Ledger Entry","Quantity","Entry Type","Purchase","Entry No.",I452,"Location Code","@@"&amp;$E$6)</t>
  </si>
  <si>
    <t>=NL("Sum","Item Ledger Entry","Quantity","Entry Type","Sale","Entry No.",I452,"Location Code","@@"&amp;$E$6)</t>
  </si>
  <si>
    <t>=NL("Sum","Item Ledger Entry","Quantity","Entry Type","Positive Adjmt.|Negative Adjmt.","Entry No.",I452,"Location Code","@@"&amp;$E$6)</t>
  </si>
  <si>
    <t>=NL("Sum","Item Ledger Entry","Quantity","Entry Type","Transfer","Entry No.",I452,"Location Code","@@"&amp;$E$6)</t>
  </si>
  <si>
    <t>=NL("Sum","Item Ledger Entry","Quantity","Entry Type","Consumption","Entry No.",I452,"Location Code","@@"&amp;$E$6)</t>
  </si>
  <si>
    <t>=NL("Sum","Item Ledger Entry","Quantity","Entry Type","Output","Entry No.",I452,"Location Code","@@"&amp;$E$6)</t>
  </si>
  <si>
    <t>=E455</t>
  </si>
  <si>
    <t>=NL("First","Item","Description","No.",$E455)</t>
  </si>
  <si>
    <t>=NL("First","Item","Base Unit of Measure","No.",$E455)</t>
  </si>
  <si>
    <t>=(SUBTOTAL(9,O456:O458))</t>
  </si>
  <si>
    <t>=(SUBTOTAL(9,P456:P458))</t>
  </si>
  <si>
    <t>=(SUBTOTAL(9,Q456:Q458))</t>
  </si>
  <si>
    <t>=(SUBTOTAL(9,R456:R458))</t>
  </si>
  <si>
    <t>=(SUBTOTAL(9,S456:S458))</t>
  </si>
  <si>
    <t>=(SUBTOTAL(9,T456:T458))</t>
  </si>
  <si>
    <t>=SUBTOTAL(9,O456:T458)</t>
  </si>
  <si>
    <t>=NL("Rows","Item Ledger Entry",,"+Posting Date",$L$5,"Item No.","@@"&amp;$D456,"Location Code","@@"&amp;$E$6)</t>
  </si>
  <si>
    <t>=NL("Sum","Item Ledger Entry","Quantity","Entry Type","Purchase","Entry No.",I456,"Location Code","@@"&amp;$E$6)</t>
  </si>
  <si>
    <t>=NL("Sum","Item Ledger Entry","Quantity","Entry Type","Sale","Entry No.",I456,"Location Code","@@"&amp;$E$6)</t>
  </si>
  <si>
    <t>=NL("Sum","Item Ledger Entry","Quantity","Entry Type","Positive Adjmt.|Negative Adjmt.","Entry No.",I456,"Location Code","@@"&amp;$E$6)</t>
  </si>
  <si>
    <t>=NL("Sum","Item Ledger Entry","Quantity","Entry Type","Transfer","Entry No.",I456,"Location Code","@@"&amp;$E$6)</t>
  </si>
  <si>
    <t>=NL("Sum","Item Ledger Entry","Quantity","Entry Type","Consumption","Entry No.",I456,"Location Code","@@"&amp;$E$6)</t>
  </si>
  <si>
    <t>=NL("Sum","Item Ledger Entry","Quantity","Entry Type","Output","Entry No.",I456,"Location Code","@@"&amp;$E$6)</t>
  </si>
  <si>
    <t>=E460</t>
  </si>
  <si>
    <t>=NL("First","Item","Description","No.",$E460)</t>
  </si>
  <si>
    <t>=NL("First","Item","Base Unit of Measure","No.",$E460)</t>
  </si>
  <si>
    <t>=(SUBTOTAL(9,O461:O462))</t>
  </si>
  <si>
    <t>=(SUBTOTAL(9,P461:P462))</t>
  </si>
  <si>
    <t>=(SUBTOTAL(9,Q461:Q462))</t>
  </si>
  <si>
    <t>=(SUBTOTAL(9,R461:R462))</t>
  </si>
  <si>
    <t>=(SUBTOTAL(9,S461:S462))</t>
  </si>
  <si>
    <t>=(SUBTOTAL(9,T461:T462))</t>
  </si>
  <si>
    <t>=SUBTOTAL(9,O461:T462)</t>
  </si>
  <si>
    <t>=NL("Rows","Item Ledger Entry",,"+Posting Date",$L$5,"Item No.","@@"&amp;$D461,"Location Code","@@"&amp;$E$6)</t>
  </si>
  <si>
    <t>=NL("Sum","Item Ledger Entry","Quantity","Entry Type","Purchase","Entry No.",I461,"Location Code","@@"&amp;$E$6)</t>
  </si>
  <si>
    <t>=NL("Sum","Item Ledger Entry","Quantity","Entry Type","Sale","Entry No.",I461,"Location Code","@@"&amp;$E$6)</t>
  </si>
  <si>
    <t>=NL("Sum","Item Ledger Entry","Quantity","Entry Type","Positive Adjmt.|Negative Adjmt.","Entry No.",I461,"Location Code","@@"&amp;$E$6)</t>
  </si>
  <si>
    <t>=NL("Sum","Item Ledger Entry","Quantity","Entry Type","Transfer","Entry No.",I461,"Location Code","@@"&amp;$E$6)</t>
  </si>
  <si>
    <t>=NL("Sum","Item Ledger Entry","Quantity","Entry Type","Consumption","Entry No.",I461,"Location Code","@@"&amp;$E$6)</t>
  </si>
  <si>
    <t>=NL("Sum","Item Ledger Entry","Quantity","Entry Type","Output","Entry No.",I461,"Location Code","@@"&amp;$E$6)</t>
  </si>
  <si>
    <t>=E464</t>
  </si>
  <si>
    <t>=NL("First","Item","Description","No.",$E464)</t>
  </si>
  <si>
    <t>=NL("First","Item","Base Unit of Measure","No.",$E464)</t>
  </si>
  <si>
    <t>=(SUBTOTAL(9,O465:O468))</t>
  </si>
  <si>
    <t>=(SUBTOTAL(9,P465:P468))</t>
  </si>
  <si>
    <t>=(SUBTOTAL(9,Q465:Q468))</t>
  </si>
  <si>
    <t>=(SUBTOTAL(9,R465:R468))</t>
  </si>
  <si>
    <t>=(SUBTOTAL(9,S465:S468))</t>
  </si>
  <si>
    <t>=(SUBTOTAL(9,T465:T468))</t>
  </si>
  <si>
    <t>=SUBTOTAL(9,O465:T468)</t>
  </si>
  <si>
    <t>=NL("Rows","Item Ledger Entry",,"+Posting Date",$L$5,"Item No.","@@"&amp;$D465,"Location Code","@@"&amp;$E$6)</t>
  </si>
  <si>
    <t>=E470</t>
  </si>
  <si>
    <t>=NL("First","Item","Description","No.",$E470)</t>
  </si>
  <si>
    <t>=NL("First","Item","Base Unit of Measure","No.",$E470)</t>
  </si>
  <si>
    <t>=(SUBTOTAL(9,O471:O472))</t>
  </si>
  <si>
    <t>=(SUBTOTAL(9,P471:P472))</t>
  </si>
  <si>
    <t>=(SUBTOTAL(9,Q471:Q472))</t>
  </si>
  <si>
    <t>=(SUBTOTAL(9,R471:R472))</t>
  </si>
  <si>
    <t>=(SUBTOTAL(9,S471:S472))</t>
  </si>
  <si>
    <t>=(SUBTOTAL(9,T471:T472))</t>
  </si>
  <si>
    <t>=SUBTOTAL(9,O471:T472)</t>
  </si>
  <si>
    <t>=NL("Rows","Item Ledger Entry",,"+Posting Date",$L$5,"Item No.","@@"&amp;$D471,"Location Code","@@"&amp;$E$6)</t>
  </si>
  <si>
    <t>=NL("Sum","Item Ledger Entry","Quantity","Entry Type","Purchase","Entry No.",I471,"Location Code","@@"&amp;$E$6)</t>
  </si>
  <si>
    <t>=NL("Sum","Item Ledger Entry","Quantity","Entry Type","Sale","Entry No.",I471,"Location Code","@@"&amp;$E$6)</t>
  </si>
  <si>
    <t>=NL("Sum","Item Ledger Entry","Quantity","Entry Type","Positive Adjmt.|Negative Adjmt.","Entry No.",I471,"Location Code","@@"&amp;$E$6)</t>
  </si>
  <si>
    <t>=NL("Sum","Item Ledger Entry","Quantity","Entry Type","Transfer","Entry No.",I471,"Location Code","@@"&amp;$E$6)</t>
  </si>
  <si>
    <t>=NL("Sum","Item Ledger Entry","Quantity","Entry Type","Consumption","Entry No.",I471,"Location Code","@@"&amp;$E$6)</t>
  </si>
  <si>
    <t>=NL("Sum","Item Ledger Entry","Quantity","Entry Type","Output","Entry No.",I471,"Location Code","@@"&amp;$E$6)</t>
  </si>
  <si>
    <t>=E474</t>
  </si>
  <si>
    <t>=NL("First","Item","Description","No.",$E474)</t>
  </si>
  <si>
    <t>=NL("First","Item","Base Unit of Measure","No.",$E474)</t>
  </si>
  <si>
    <t>=(SUBTOTAL(9,O475:O478))</t>
  </si>
  <si>
    <t>=(SUBTOTAL(9,P475:P478))</t>
  </si>
  <si>
    <t>=(SUBTOTAL(9,Q475:Q478))</t>
  </si>
  <si>
    <t>=(SUBTOTAL(9,R475:R478))</t>
  </si>
  <si>
    <t>=(SUBTOTAL(9,S475:S478))</t>
  </si>
  <si>
    <t>=(SUBTOTAL(9,T475:T478))</t>
  </si>
  <si>
    <t>=SUBTOTAL(9,O475:T478)</t>
  </si>
  <si>
    <t>=NL("Rows","Item Ledger Entry",,"+Posting Date",$L$5,"Item No.","@@"&amp;$D475,"Location Code","@@"&amp;$E$6)</t>
  </si>
  <si>
    <t>=(SUBTOTAL(9,O481:O484))</t>
  </si>
  <si>
    <t>=(SUBTOTAL(9,P481:P484))</t>
  </si>
  <si>
    <t>=(SUBTOTAL(9,Q481:Q484))</t>
  </si>
  <si>
    <t>=(SUBTOTAL(9,R481:R484))</t>
  </si>
  <si>
    <t>=(SUBTOTAL(9,S481:S484))</t>
  </si>
  <si>
    <t>=(SUBTOTAL(9,T481:T484))</t>
  </si>
  <si>
    <t>=SUBTOTAL(9,O481:T484)</t>
  </si>
  <si>
    <t>=NL("Rows","Item Ledger Entry",,"+Posting Date",$L$5,"Item No.","@@"&amp;$D481,"Location Code","@@"&amp;$E$6)</t>
  </si>
  <si>
    <t>=E486</t>
  </si>
  <si>
    <t>=NL("First","Item","Description","No.",$E486)</t>
  </si>
  <si>
    <t>=NL("First","Item","Base Unit of Measure","No.",$E486)</t>
  </si>
  <si>
    <t>=(SUBTOTAL(9,O487:O488))</t>
  </si>
  <si>
    <t>=(SUBTOTAL(9,P487:P488))</t>
  </si>
  <si>
    <t>=(SUBTOTAL(9,Q487:Q488))</t>
  </si>
  <si>
    <t>=(SUBTOTAL(9,R487:R488))</t>
  </si>
  <si>
    <t>=(SUBTOTAL(9,S487:S488))</t>
  </si>
  <si>
    <t>=(SUBTOTAL(9,T487:T488))</t>
  </si>
  <si>
    <t>=SUBTOTAL(9,O487:T488)</t>
  </si>
  <si>
    <t>=NL("Rows","Item Ledger Entry",,"+Posting Date",$L$5,"Item No.","@@"&amp;$D487,"Location Code","@@"&amp;$E$6)</t>
  </si>
  <si>
    <t>=NL("Sum","Item Ledger Entry","Quantity","Entry Type","Purchase","Entry No.",I487,"Location Code","@@"&amp;$E$6)</t>
  </si>
  <si>
    <t>=NL("Sum","Item Ledger Entry","Quantity","Entry Type","Sale","Entry No.",I487,"Location Code","@@"&amp;$E$6)</t>
  </si>
  <si>
    <t>=NL("Sum","Item Ledger Entry","Quantity","Entry Type","Positive Adjmt.|Negative Adjmt.","Entry No.",I487,"Location Code","@@"&amp;$E$6)</t>
  </si>
  <si>
    <t>=NL("Sum","Item Ledger Entry","Quantity","Entry Type","Transfer","Entry No.",I487,"Location Code","@@"&amp;$E$6)</t>
  </si>
  <si>
    <t>=NL("Sum","Item Ledger Entry","Quantity","Entry Type","Consumption","Entry No.",I487,"Location Code","@@"&amp;$E$6)</t>
  </si>
  <si>
    <t>=NL("Sum","Item Ledger Entry","Quantity","Entry Type","Output","Entry No.",I487,"Location Code","@@"&amp;$E$6)</t>
  </si>
  <si>
    <t>=E490</t>
  </si>
  <si>
    <t>=NL("First","Item","Description","No.",$E490)</t>
  </si>
  <si>
    <t>=NL("First","Item","Base Unit of Measure","No.",$E490)</t>
  </si>
  <si>
    <t>=(SUBTOTAL(9,O491:O493))</t>
  </si>
  <si>
    <t>=(SUBTOTAL(9,P491:P493))</t>
  </si>
  <si>
    <t>=(SUBTOTAL(9,Q491:Q493))</t>
  </si>
  <si>
    <t>=(SUBTOTAL(9,R491:R493))</t>
  </si>
  <si>
    <t>=(SUBTOTAL(9,S491:S493))</t>
  </si>
  <si>
    <t>=(SUBTOTAL(9,T491:T493))</t>
  </si>
  <si>
    <t>=SUBTOTAL(9,O491:T493)</t>
  </si>
  <si>
    <t>=NL("Rows","Item Ledger Entry",,"+Posting Date",$L$5,"Item No.","@@"&amp;$D491,"Location Code","@@"&amp;$E$6)</t>
  </si>
  <si>
    <t>=NL("Sum","Item Ledger Entry","Quantity","Entry Type","Purchase","Entry No.",I491,"Location Code","@@"&amp;$E$6)</t>
  </si>
  <si>
    <t>=NL("Sum","Item Ledger Entry","Quantity","Entry Type","Sale","Entry No.",I491,"Location Code","@@"&amp;$E$6)</t>
  </si>
  <si>
    <t>=NL("Sum","Item Ledger Entry","Quantity","Entry Type","Positive Adjmt.|Negative Adjmt.","Entry No.",I491,"Location Code","@@"&amp;$E$6)</t>
  </si>
  <si>
    <t>=NL("Sum","Item Ledger Entry","Quantity","Entry Type","Transfer","Entry No.",I491,"Location Code","@@"&amp;$E$6)</t>
  </si>
  <si>
    <t>=NL("Sum","Item Ledger Entry","Quantity","Entry Type","Consumption","Entry No.",I491,"Location Code","@@"&amp;$E$6)</t>
  </si>
  <si>
    <t>=NL("Sum","Item Ledger Entry","Quantity","Entry Type","Output","Entry No.",I491,"Location Code","@@"&amp;$E$6)</t>
  </si>
  <si>
    <t>=NL("Sum","Item Ledger Entry","Quantity","Entry Type","Purchase","Entry No.",I492,"Location Code","@@"&amp;$E$6)</t>
  </si>
  <si>
    <t>=NL("Sum","Item Ledger Entry","Quantity","Entry Type","Sale","Entry No.",I492,"Location Code","@@"&amp;$E$6)</t>
  </si>
  <si>
    <t>=NL("Sum","Item Ledger Entry","Quantity","Entry Type","Positive Adjmt.|Negative Adjmt.","Entry No.",I492,"Location Code","@@"&amp;$E$6)</t>
  </si>
  <si>
    <t>=NL("Sum","Item Ledger Entry","Quantity","Entry Type","Transfer","Entry No.",I492,"Location Code","@@"&amp;$E$6)</t>
  </si>
  <si>
    <t>=NL("Sum","Item Ledger Entry","Quantity","Entry Type","Consumption","Entry No.",I492,"Location Code","@@"&amp;$E$6)</t>
  </si>
  <si>
    <t>=NL("Sum","Item Ledger Entry","Quantity","Entry Type","Output","Entry No.",I492,"Location Code","@@"&amp;$E$6)</t>
  </si>
  <si>
    <t>=E495</t>
  </si>
  <si>
    <t>=NL("First","Item","Description","No.",$E495)</t>
  </si>
  <si>
    <t>=NL("First","Item","Base Unit of Measure","No.",$E495)</t>
  </si>
  <si>
    <t>=(SUBTOTAL(9,O496:O497))</t>
  </si>
  <si>
    <t>=(SUBTOTAL(9,P496:P497))</t>
  </si>
  <si>
    <t>=(SUBTOTAL(9,Q496:Q497))</t>
  </si>
  <si>
    <t>=(SUBTOTAL(9,R496:R497))</t>
  </si>
  <si>
    <t>=(SUBTOTAL(9,S496:S497))</t>
  </si>
  <si>
    <t>=(SUBTOTAL(9,T496:T497))</t>
  </si>
  <si>
    <t>=SUBTOTAL(9,O496:T497)</t>
  </si>
  <si>
    <t>=NL("Rows","Item Ledger Entry",,"+Posting Date",$L$5,"Item No.","@@"&amp;$D496,"Location Code","@@"&amp;$E$6)</t>
  </si>
  <si>
    <t>=NL("Sum","Item Ledger Entry","Quantity","Entry Type","Purchase","Entry No.",I496,"Location Code","@@"&amp;$E$6)</t>
  </si>
  <si>
    <t>=NL("Sum","Item Ledger Entry","Quantity","Entry Type","Sale","Entry No.",I496,"Location Code","@@"&amp;$E$6)</t>
  </si>
  <si>
    <t>=NL("Sum","Item Ledger Entry","Quantity","Entry Type","Positive Adjmt.|Negative Adjmt.","Entry No.",I496,"Location Code","@@"&amp;$E$6)</t>
  </si>
  <si>
    <t>=NL("Sum","Item Ledger Entry","Quantity","Entry Type","Transfer","Entry No.",I496,"Location Code","@@"&amp;$E$6)</t>
  </si>
  <si>
    <t>=NL("Sum","Item Ledger Entry","Quantity","Entry Type","Consumption","Entry No.",I496,"Location Code","@@"&amp;$E$6)</t>
  </si>
  <si>
    <t>=NL("Sum","Item Ledger Entry","Quantity","Entry Type","Output","Entry No.",I496,"Location Code","@@"&amp;$E$6)</t>
  </si>
  <si>
    <t>=E499</t>
  </si>
  <si>
    <t>=NL("First","Item","Description","No.",$E499)</t>
  </si>
  <si>
    <t>=NL("First","Item","Base Unit of Measure","No.",$E499)</t>
  </si>
  <si>
    <t>=(SUBTOTAL(9,O500:O501))</t>
  </si>
  <si>
    <t>=(SUBTOTAL(9,P500:P501))</t>
  </si>
  <si>
    <t>=(SUBTOTAL(9,Q500:Q501))</t>
  </si>
  <si>
    <t>=(SUBTOTAL(9,R500:R501))</t>
  </si>
  <si>
    <t>=(SUBTOTAL(9,S500:S501))</t>
  </si>
  <si>
    <t>=(SUBTOTAL(9,T500:T501))</t>
  </si>
  <si>
    <t>=SUBTOTAL(9,O500:T501)</t>
  </si>
  <si>
    <t>=NL("Rows","Item Ledger Entry",,"+Posting Date",$L$5,"Item No.","@@"&amp;$D500,"Location Code","@@"&amp;$E$6)</t>
  </si>
  <si>
    <t>=NL("Sum","Item Ledger Entry","Quantity","Entry Type","Purchase","Entry No.",I500,"Location Code","@@"&amp;$E$6)</t>
  </si>
  <si>
    <t>=NL("Sum","Item Ledger Entry","Quantity","Entry Type","Sale","Entry No.",I500,"Location Code","@@"&amp;$E$6)</t>
  </si>
  <si>
    <t>=NL("Sum","Item Ledger Entry","Quantity","Entry Type","Positive Adjmt.|Negative Adjmt.","Entry No.",I500,"Location Code","@@"&amp;$E$6)</t>
  </si>
  <si>
    <t>=NL("Sum","Item Ledger Entry","Quantity","Entry Type","Transfer","Entry No.",I500,"Location Code","@@"&amp;$E$6)</t>
  </si>
  <si>
    <t>=NL("Sum","Item Ledger Entry","Quantity","Entry Type","Consumption","Entry No.",I500,"Location Code","@@"&amp;$E$6)</t>
  </si>
  <si>
    <t>=NL("Sum","Item Ledger Entry","Quantity","Entry Type","Output","Entry No.",I500,"Location Code","@@"&amp;$E$6)</t>
  </si>
  <si>
    <t>=NL("Rows","Item Ledger Entry",,"+Posting Date",$L$5,"Item No.","@@"&amp;$D504,"Location Code","@@"&amp;$E$6)</t>
  </si>
  <si>
    <t>=(SUBTOTAL(9,O510:O513))</t>
  </si>
  <si>
    <t>=(SUBTOTAL(9,P510:P513))</t>
  </si>
  <si>
    <t>=(SUBTOTAL(9,Q510:Q513))</t>
  </si>
  <si>
    <t>=(SUBTOTAL(9,R510:R513))</t>
  </si>
  <si>
    <t>=(SUBTOTAL(9,S510:S513))</t>
  </si>
  <si>
    <t>=(SUBTOTAL(9,T510:T513))</t>
  </si>
  <si>
    <t>=SUBTOTAL(9,O510:T513)</t>
  </si>
  <si>
    <t>=NL("Rows","Item Ledger Entry",,"+Posting Date",$L$5,"Item No.","@@"&amp;$D510,"Location Code","@@"&amp;$E$6)</t>
  </si>
  <si>
    <t>=E515</t>
  </si>
  <si>
    <t>=NL("First","Item","Description","No.",$E515)</t>
  </si>
  <si>
    <t>=NL("First","Item","Base Unit of Measure","No.",$E515)</t>
  </si>
  <si>
    <t>=(SUBTOTAL(9,O516:O518))</t>
  </si>
  <si>
    <t>=(SUBTOTAL(9,P516:P518))</t>
  </si>
  <si>
    <t>=(SUBTOTAL(9,Q516:Q518))</t>
  </si>
  <si>
    <t>=(SUBTOTAL(9,R516:R518))</t>
  </si>
  <si>
    <t>=(SUBTOTAL(9,S516:S518))</t>
  </si>
  <si>
    <t>=(SUBTOTAL(9,T516:T518))</t>
  </si>
  <si>
    <t>=SUBTOTAL(9,O516:T518)</t>
  </si>
  <si>
    <t>=D515</t>
  </si>
  <si>
    <t>=NL("Rows","Item Ledger Entry",,"+Posting Date",$L$5,"Item No.","@@"&amp;$D516,"Location Code","@@"&amp;$E$6)</t>
  </si>
  <si>
    <t>=NF($G516,"Posting Date")</t>
  </si>
  <si>
    <t>=NF($G516,"Entry No.")</t>
  </si>
  <si>
    <t>=NF(G516,"Source Type")</t>
  </si>
  <si>
    <t>=NF($G516,"Source No.")</t>
  </si>
  <si>
    <t>=IF($J516="Customer",NL("first",$J516,"Name","No.","@@"&amp;$K516),"")</t>
  </si>
  <si>
    <t>=IF(J516="vendor",NL("first",J516,"Name","No.","@@"&amp;K516),"")</t>
  </si>
  <si>
    <t>=IF($J516="Item",NL("first",$J516,"Description","No.","@@"&amp;$K516),"")</t>
  </si>
  <si>
    <t>=NL("Sum","Item Ledger Entry","Quantity","Entry Type","Purchase","Entry No.",I516,"Location Code","@@"&amp;$E$6)</t>
  </si>
  <si>
    <t>=NL("Sum","Item Ledger Entry","Quantity","Entry Type","Sale","Entry No.",I516,"Location Code","@@"&amp;$E$6)</t>
  </si>
  <si>
    <t>=NL("Sum","Item Ledger Entry","Quantity","Entry Type","Positive Adjmt.|Negative Adjmt.","Entry No.",I516,"Location Code","@@"&amp;$E$6)</t>
  </si>
  <si>
    <t>=NL("Sum","Item Ledger Entry","Quantity","Entry Type","Transfer","Entry No.",I516,"Location Code","@@"&amp;$E$6)</t>
  </si>
  <si>
    <t>=NL("Sum","Item Ledger Entry","Quantity","Entry Type","Consumption","Entry No.",I516,"Location Code","@@"&amp;$E$6)</t>
  </si>
  <si>
    <t>=NL("Sum","Item Ledger Entry","Quantity","Entry Type","Output","Entry No.",I516,"Location Code","@@"&amp;$E$6)</t>
  </si>
  <si>
    <t>=NL("Sum","Item Ledger Entry","Quantity","Entry Type","Purchase","Entry No.",I517,"Location Code","@@"&amp;$E$6)</t>
  </si>
  <si>
    <t>=NL("Sum","Item Ledger Entry","Quantity","Entry Type","Sale","Entry No.",I517,"Location Code","@@"&amp;$E$6)</t>
  </si>
  <si>
    <t>=NL("Sum","Item Ledger Entry","Quantity","Entry Type","Positive Adjmt.|Negative Adjmt.","Entry No.",I517,"Location Code","@@"&amp;$E$6)</t>
  </si>
  <si>
    <t>=NL("Sum","Item Ledger Entry","Quantity","Entry Type","Transfer","Entry No.",I517,"Location Code","@@"&amp;$E$6)</t>
  </si>
  <si>
    <t>=NL("Sum","Item Ledger Entry","Quantity","Entry Type","Consumption","Entry No.",I517,"Location Code","@@"&amp;$E$6)</t>
  </si>
  <si>
    <t>=NL("Sum","Item Ledger Entry","Quantity","Entry Type","Output","Entry No.",I517,"Location Code","@@"&amp;$E$6)</t>
  </si>
  <si>
    <t>=E520</t>
  </si>
  <si>
    <t>=NL("First","Item","Description","No.",$E520)</t>
  </si>
  <si>
    <t>=NL("First","Item","Base Unit of Measure","No.",$E520)</t>
  </si>
  <si>
    <t>=(SUBTOTAL(9,O521:O524))</t>
  </si>
  <si>
    <t>=(SUBTOTAL(9,P521:P524))</t>
  </si>
  <si>
    <t>=(SUBTOTAL(9,Q521:Q524))</t>
  </si>
  <si>
    <t>=(SUBTOTAL(9,R521:R524))</t>
  </si>
  <si>
    <t>=(SUBTOTAL(9,S521:S524))</t>
  </si>
  <si>
    <t>=(SUBTOTAL(9,T521:T524))</t>
  </si>
  <si>
    <t>=SUBTOTAL(9,O521:T524)</t>
  </si>
  <si>
    <t>=NL("Rows","Item Ledger Entry",,"+Posting Date",$L$5,"Item No.","@@"&amp;$D521,"Location Code","@@"&amp;$E$6)</t>
  </si>
  <si>
    <t>=E526</t>
  </si>
  <si>
    <t>=NL("First","Item","Description","No.",$E526)</t>
  </si>
  <si>
    <t>=NL("First","Item","Base Unit of Measure","No.",$E526)</t>
  </si>
  <si>
    <t>=(SUBTOTAL(9,O527:O531))</t>
  </si>
  <si>
    <t>=(SUBTOTAL(9,P527:P531))</t>
  </si>
  <si>
    <t>=(SUBTOTAL(9,Q527:Q531))</t>
  </si>
  <si>
    <t>=(SUBTOTAL(9,R527:R531))</t>
  </si>
  <si>
    <t>=(SUBTOTAL(9,S527:S531))</t>
  </si>
  <si>
    <t>=(SUBTOTAL(9,T527:T531))</t>
  </si>
  <si>
    <t>=SUBTOTAL(9,O527:T531)</t>
  </si>
  <si>
    <t>=NL("Rows","Item Ledger Entry",,"+Posting Date",$L$5,"Item No.","@@"&amp;$D527,"Location Code","@@"&amp;$E$6)</t>
  </si>
  <si>
    <t>=E533</t>
  </si>
  <si>
    <t>=NL("First","Item","Description","No.",$E533)</t>
  </si>
  <si>
    <t>=NL("First","Item","Base Unit of Measure","No.",$E533)</t>
  </si>
  <si>
    <t>=(SUBTOTAL(9,O534:O537))</t>
  </si>
  <si>
    <t>=(SUBTOTAL(9,P534:P537))</t>
  </si>
  <si>
    <t>=(SUBTOTAL(9,Q534:Q537))</t>
  </si>
  <si>
    <t>=(SUBTOTAL(9,R534:R537))</t>
  </si>
  <si>
    <t>=(SUBTOTAL(9,S534:S537))</t>
  </si>
  <si>
    <t>=(SUBTOTAL(9,T534:T537))</t>
  </si>
  <si>
    <t>=SUBTOTAL(9,O534:T537)</t>
  </si>
  <si>
    <t>=NL("Rows","Item Ledger Entry",,"+Posting Date",$L$5,"Item No.","@@"&amp;$D534,"Location Code","@@"&amp;$E$6)</t>
  </si>
  <si>
    <t>=E539</t>
  </si>
  <si>
    <t>=NL("First","Item","Description","No.",$E539)</t>
  </si>
  <si>
    <t>=NL("First","Item","Base Unit of Measure","No.",$E539)</t>
  </si>
  <si>
    <t>=(SUBTOTAL(9,O540:O544))</t>
  </si>
  <si>
    <t>=(SUBTOTAL(9,P540:P544))</t>
  </si>
  <si>
    <t>=(SUBTOTAL(9,Q540:Q544))</t>
  </si>
  <si>
    <t>=(SUBTOTAL(9,R540:R544))</t>
  </si>
  <si>
    <t>=(SUBTOTAL(9,S540:S544))</t>
  </si>
  <si>
    <t>=(SUBTOTAL(9,T540:T544))</t>
  </si>
  <si>
    <t>=SUBTOTAL(9,O540:T544)</t>
  </si>
  <si>
    <t>=NL("Rows","Item Ledger Entry",,"+Posting Date",$L$5,"Item No.","@@"&amp;$D540,"Location Code","@@"&amp;$E$6)</t>
  </si>
  <si>
    <t>=E546</t>
  </si>
  <si>
    <t>=NL("First","Item","Description","No.",$E546)</t>
  </si>
  <si>
    <t>=NL("First","Item","Base Unit of Measure","No.",$E546)</t>
  </si>
  <si>
    <t>=(SUBTOTAL(9,O547:O549))</t>
  </si>
  <si>
    <t>=(SUBTOTAL(9,P547:P549))</t>
  </si>
  <si>
    <t>=(SUBTOTAL(9,Q547:Q549))</t>
  </si>
  <si>
    <t>=(SUBTOTAL(9,R547:R549))</t>
  </si>
  <si>
    <t>=(SUBTOTAL(9,S547:S549))</t>
  </si>
  <si>
    <t>=(SUBTOTAL(9,T547:T549))</t>
  </si>
  <si>
    <t>=SUBTOTAL(9,O547:T549)</t>
  </si>
  <si>
    <t>=NL("Rows","Item Ledger Entry",,"+Posting Date",$L$5,"Item No.","@@"&amp;$D547,"Location Code","@@"&amp;$E$6)</t>
  </si>
  <si>
    <t>=NL("Sum","Item Ledger Entry","Quantity","Entry Type","Purchase","Entry No.",I547,"Location Code","@@"&amp;$E$6)</t>
  </si>
  <si>
    <t>=NL("Sum","Item Ledger Entry","Quantity","Entry Type","Sale","Entry No.",I547,"Location Code","@@"&amp;$E$6)</t>
  </si>
  <si>
    <t>=NL("Sum","Item Ledger Entry","Quantity","Entry Type","Positive Adjmt.|Negative Adjmt.","Entry No.",I547,"Location Code","@@"&amp;$E$6)</t>
  </si>
  <si>
    <t>=NL("Sum","Item Ledger Entry","Quantity","Entry Type","Transfer","Entry No.",I547,"Location Code","@@"&amp;$E$6)</t>
  </si>
  <si>
    <t>=NL("Sum","Item Ledger Entry","Quantity","Entry Type","Consumption","Entry No.",I547,"Location Code","@@"&amp;$E$6)</t>
  </si>
  <si>
    <t>=NL("Sum","Item Ledger Entry","Quantity","Entry Type","Output","Entry No.",I547,"Location Code","@@"&amp;$E$6)</t>
  </si>
  <si>
    <t>=NL("Sum","Item Ledger Entry","Quantity","Entry Type","Purchase","Entry No.",I548,"Location Code","@@"&amp;$E$6)</t>
  </si>
  <si>
    <t>=NL("Sum","Item Ledger Entry","Quantity","Entry Type","Sale","Entry No.",I548,"Location Code","@@"&amp;$E$6)</t>
  </si>
  <si>
    <t>=NL("Sum","Item Ledger Entry","Quantity","Entry Type","Positive Adjmt.|Negative Adjmt.","Entry No.",I548,"Location Code","@@"&amp;$E$6)</t>
  </si>
  <si>
    <t>=NL("Sum","Item Ledger Entry","Quantity","Entry Type","Transfer","Entry No.",I548,"Location Code","@@"&amp;$E$6)</t>
  </si>
  <si>
    <t>=NL("Sum","Item Ledger Entry","Quantity","Entry Type","Consumption","Entry No.",I548,"Location Code","@@"&amp;$E$6)</t>
  </si>
  <si>
    <t>=NL("Sum","Item Ledger Entry","Quantity","Entry Type","Output","Entry No.",I548,"Location Code","@@"&amp;$E$6)</t>
  </si>
  <si>
    <t>=E551</t>
  </si>
  <si>
    <t>=NL("First","Item","Description","No.",$E551)</t>
  </si>
  <si>
    <t>=NL("First","Item","Base Unit of Measure","No.",$E551)</t>
  </si>
  <si>
    <t>=(SUBTOTAL(9,O552:O553))</t>
  </si>
  <si>
    <t>=(SUBTOTAL(9,P552:P553))</t>
  </si>
  <si>
    <t>=(SUBTOTAL(9,Q552:Q553))</t>
  </si>
  <si>
    <t>=(SUBTOTAL(9,R552:R553))</t>
  </si>
  <si>
    <t>=(SUBTOTAL(9,S552:S553))</t>
  </si>
  <si>
    <t>=(SUBTOTAL(9,T552:T553))</t>
  </si>
  <si>
    <t>=SUBTOTAL(9,O552:T553)</t>
  </si>
  <si>
    <t>=D551</t>
  </si>
  <si>
    <t>=NL("Rows","Item Ledger Entry",,"+Posting Date",$L$5,"Item No.","@@"&amp;$D552,"Location Code","@@"&amp;$E$6)</t>
  </si>
  <si>
    <t>=NF($G552,"Posting Date")</t>
  </si>
  <si>
    <t>=NF($G552,"Entry No.")</t>
  </si>
  <si>
    <t>=NF(G552,"Source Type")</t>
  </si>
  <si>
    <t>=NF($G552,"Source No.")</t>
  </si>
  <si>
    <t>=IF($J552="Customer",NL("first",$J552,"Name","No.","@@"&amp;$K552),"")</t>
  </si>
  <si>
    <t>=IF(J552="vendor",NL("first",J552,"Name","No.","@@"&amp;K552),"")</t>
  </si>
  <si>
    <t>=IF($J552="Item",NL("first",$J552,"Description","No.","@@"&amp;$K552),"")</t>
  </si>
  <si>
    <t>=NL("Sum","Item Ledger Entry","Quantity","Entry Type","Purchase","Entry No.",I552,"Location Code","@@"&amp;$E$6)</t>
  </si>
  <si>
    <t>=NL("Sum","Item Ledger Entry","Quantity","Entry Type","Sale","Entry No.",I552,"Location Code","@@"&amp;$E$6)</t>
  </si>
  <si>
    <t>=NL("Sum","Item Ledger Entry","Quantity","Entry Type","Positive Adjmt.|Negative Adjmt.","Entry No.",I552,"Location Code","@@"&amp;$E$6)</t>
  </si>
  <si>
    <t>=NL("Sum","Item Ledger Entry","Quantity","Entry Type","Transfer","Entry No.",I552,"Location Code","@@"&amp;$E$6)</t>
  </si>
  <si>
    <t>=NL("Sum","Item Ledger Entry","Quantity","Entry Type","Consumption","Entry No.",I552,"Location Code","@@"&amp;$E$6)</t>
  </si>
  <si>
    <t>=NL("Sum","Item Ledger Entry","Quantity","Entry Type","Output","Entry No.",I552,"Location Code","@@"&amp;$E$6)</t>
  </si>
  <si>
    <t>=E555</t>
  </si>
  <si>
    <t>=NL("First","Item","Description","No.",$E555)</t>
  </si>
  <si>
    <t>=NL("First","Item","Base Unit of Measure","No.",$E555)</t>
  </si>
  <si>
    <t>=(SUBTOTAL(9,O556:O560))</t>
  </si>
  <si>
    <t>=(SUBTOTAL(9,P556:P560))</t>
  </si>
  <si>
    <t>=(SUBTOTAL(9,Q556:Q560))</t>
  </si>
  <si>
    <t>=(SUBTOTAL(9,R556:R560))</t>
  </si>
  <si>
    <t>=(SUBTOTAL(9,S556:S560))</t>
  </si>
  <si>
    <t>=(SUBTOTAL(9,T556:T560))</t>
  </si>
  <si>
    <t>=SUBTOTAL(9,O556:T560)</t>
  </si>
  <si>
    <t>=NL("Rows","Item Ledger Entry",,"+Posting Date",$L$5,"Item No.","@@"&amp;$D556,"Location Code","@@"&amp;$E$6)</t>
  </si>
  <si>
    <t>=E562</t>
  </si>
  <si>
    <t>=NL("First","Item","Description","No.",$E562)</t>
  </si>
  <si>
    <t>=NL("First","Item","Base Unit of Measure","No.",$E562)</t>
  </si>
  <si>
    <t>=(SUBTOTAL(9,O563:O564))</t>
  </si>
  <si>
    <t>=(SUBTOTAL(9,P563:P564))</t>
  </si>
  <si>
    <t>=(SUBTOTAL(9,Q563:Q564))</t>
  </si>
  <si>
    <t>=(SUBTOTAL(9,R563:R564))</t>
  </si>
  <si>
    <t>=(SUBTOTAL(9,S563:S564))</t>
  </si>
  <si>
    <t>=(SUBTOTAL(9,T563:T564))</t>
  </si>
  <si>
    <t>=SUBTOTAL(9,O563:T564)</t>
  </si>
  <si>
    <t>=NL("Rows","Item Ledger Entry",,"+Posting Date",$L$5,"Item No.","@@"&amp;$D563,"Location Code","@@"&amp;$E$6)</t>
  </si>
  <si>
    <t>=NL("Sum","Item Ledger Entry","Quantity","Entry Type","Purchase","Entry No.",I563,"Location Code","@@"&amp;$E$6)</t>
  </si>
  <si>
    <t>=NL("Sum","Item Ledger Entry","Quantity","Entry Type","Sale","Entry No.",I563,"Location Code","@@"&amp;$E$6)</t>
  </si>
  <si>
    <t>=NL("Sum","Item Ledger Entry","Quantity","Entry Type","Positive Adjmt.|Negative Adjmt.","Entry No.",I563,"Location Code","@@"&amp;$E$6)</t>
  </si>
  <si>
    <t>=NL("Sum","Item Ledger Entry","Quantity","Entry Type","Transfer","Entry No.",I563,"Location Code","@@"&amp;$E$6)</t>
  </si>
  <si>
    <t>=NL("Sum","Item Ledger Entry","Quantity","Entry Type","Consumption","Entry No.",I563,"Location Code","@@"&amp;$E$6)</t>
  </si>
  <si>
    <t>=NL("Sum","Item Ledger Entry","Quantity","Entry Type","Output","Entry No.",I563,"Location Code","@@"&amp;$E$6)</t>
  </si>
  <si>
    <t>=(SUBTOTAL(9,O567:O569))</t>
  </si>
  <si>
    <t>=(SUBTOTAL(9,P567:P569))</t>
  </si>
  <si>
    <t>=(SUBTOTAL(9,Q567:Q569))</t>
  </si>
  <si>
    <t>=(SUBTOTAL(9,R567:R569))</t>
  </si>
  <si>
    <t>=(SUBTOTAL(9,S567:S569))</t>
  </si>
  <si>
    <t>=(SUBTOTAL(9,T567:T569))</t>
  </si>
  <si>
    <t>=SUBTOTAL(9,O567:T569)</t>
  </si>
  <si>
    <t>=NL("Rows","Item Ledger Entry",,"+Posting Date",$L$5,"Item No.","@@"&amp;$D567,"Location Code","@@"&amp;$E$6)</t>
  </si>
  <si>
    <t>=NL("Sum","Item Ledger Entry","Quantity","Entry Type","Purchase","Entry No.",I567,"Location Code","@@"&amp;$E$6)</t>
  </si>
  <si>
    <t>=NL("Sum","Item Ledger Entry","Quantity","Entry Type","Sale","Entry No.",I567,"Location Code","@@"&amp;$E$6)</t>
  </si>
  <si>
    <t>=NL("Sum","Item Ledger Entry","Quantity","Entry Type","Positive Adjmt.|Negative Adjmt.","Entry No.",I567,"Location Code","@@"&amp;$E$6)</t>
  </si>
  <si>
    <t>=NL("Sum","Item Ledger Entry","Quantity","Entry Type","Transfer","Entry No.",I567,"Location Code","@@"&amp;$E$6)</t>
  </si>
  <si>
    <t>=NL("Sum","Item Ledger Entry","Quantity","Entry Type","Consumption","Entry No.",I567,"Location Code","@@"&amp;$E$6)</t>
  </si>
  <si>
    <t>=NL("Sum","Item Ledger Entry","Quantity","Entry Type","Output","Entry No.",I567,"Location Code","@@"&amp;$E$6)</t>
  </si>
  <si>
    <t>=NL("Sum","Item Ledger Entry","Quantity","Entry Type","Purchase","Entry No.",I568,"Location Code","@@"&amp;$E$6)</t>
  </si>
  <si>
    <t>=NL("Sum","Item Ledger Entry","Quantity","Entry Type","Sale","Entry No.",I568,"Location Code","@@"&amp;$E$6)</t>
  </si>
  <si>
    <t>=NL("Sum","Item Ledger Entry","Quantity","Entry Type","Positive Adjmt.|Negative Adjmt.","Entry No.",I568,"Location Code","@@"&amp;$E$6)</t>
  </si>
  <si>
    <t>=NL("Sum","Item Ledger Entry","Quantity","Entry Type","Transfer","Entry No.",I568,"Location Code","@@"&amp;$E$6)</t>
  </si>
  <si>
    <t>=NL("Sum","Item Ledger Entry","Quantity","Entry Type","Consumption","Entry No.",I568,"Location Code","@@"&amp;$E$6)</t>
  </si>
  <si>
    <t>=NL("Sum","Item Ledger Entry","Quantity","Entry Type","Output","Entry No.",I568,"Location Code","@@"&amp;$E$6)</t>
  </si>
  <si>
    <t>=E571</t>
  </si>
  <si>
    <t>=NL("First","Item","Description","No.",$E571)</t>
  </si>
  <si>
    <t>=NL("First","Item","Base Unit of Measure","No.",$E571)</t>
  </si>
  <si>
    <t>=(SUBTOTAL(9,O572:O573))</t>
  </si>
  <si>
    <t>=(SUBTOTAL(9,P572:P573))</t>
  </si>
  <si>
    <t>=(SUBTOTAL(9,Q572:Q573))</t>
  </si>
  <si>
    <t>=(SUBTOTAL(9,R572:R573))</t>
  </si>
  <si>
    <t>=(SUBTOTAL(9,S572:S573))</t>
  </si>
  <si>
    <t>=(SUBTOTAL(9,T572:T573))</t>
  </si>
  <si>
    <t>=SUBTOTAL(9,O572:T573)</t>
  </si>
  <si>
    <t>=NL("Rows","Item Ledger Entry",,"+Posting Date",$L$5,"Item No.","@@"&amp;$D572,"Location Code","@@"&amp;$E$6)</t>
  </si>
  <si>
    <t>=NL("Sum","Item Ledger Entry","Quantity","Entry Type","Purchase","Entry No.",I572,"Location Code","@@"&amp;$E$6)</t>
  </si>
  <si>
    <t>=NL("Sum","Item Ledger Entry","Quantity","Entry Type","Sale","Entry No.",I572,"Location Code","@@"&amp;$E$6)</t>
  </si>
  <si>
    <t>=NL("Sum","Item Ledger Entry","Quantity","Entry Type","Positive Adjmt.|Negative Adjmt.","Entry No.",I572,"Location Code","@@"&amp;$E$6)</t>
  </si>
  <si>
    <t>=NL("Sum","Item Ledger Entry","Quantity","Entry Type","Transfer","Entry No.",I572,"Location Code","@@"&amp;$E$6)</t>
  </si>
  <si>
    <t>=NL("Sum","Item Ledger Entry","Quantity","Entry Type","Consumption","Entry No.",I572,"Location Code","@@"&amp;$E$6)</t>
  </si>
  <si>
    <t>=NL("Sum","Item Ledger Entry","Quantity","Entry Type","Output","Entry No.",I572,"Location Code","@@"&amp;$E$6)</t>
  </si>
  <si>
    <t>=E575</t>
  </si>
  <si>
    <t>=NL("First","Item","Description","No.",$E575)</t>
  </si>
  <si>
    <t>=NL("First","Item","Base Unit of Measure","No.",$E575)</t>
  </si>
  <si>
    <t>=(SUBTOTAL(9,O576:O578))</t>
  </si>
  <si>
    <t>=(SUBTOTAL(9,P576:P578))</t>
  </si>
  <si>
    <t>=(SUBTOTAL(9,Q576:Q578))</t>
  </si>
  <si>
    <t>=(SUBTOTAL(9,R576:R578))</t>
  </si>
  <si>
    <t>=(SUBTOTAL(9,S576:S578))</t>
  </si>
  <si>
    <t>=(SUBTOTAL(9,T576:T578))</t>
  </si>
  <si>
    <t>=SUBTOTAL(9,O576:T578)</t>
  </si>
  <si>
    <t>=NL("Rows","Item Ledger Entry",,"+Posting Date",$L$5,"Item No.","@@"&amp;$D576,"Location Code","@@"&amp;$E$6)</t>
  </si>
  <si>
    <t>=NL("Sum","Item Ledger Entry","Quantity","Entry Type","Purchase","Entry No.",I576,"Location Code","@@"&amp;$E$6)</t>
  </si>
  <si>
    <t>=NL("Sum","Item Ledger Entry","Quantity","Entry Type","Sale","Entry No.",I576,"Location Code","@@"&amp;$E$6)</t>
  </si>
  <si>
    <t>=NL("Sum","Item Ledger Entry","Quantity","Entry Type","Positive Adjmt.|Negative Adjmt.","Entry No.",I576,"Location Code","@@"&amp;$E$6)</t>
  </si>
  <si>
    <t>=NL("Sum","Item Ledger Entry","Quantity","Entry Type","Transfer","Entry No.",I576,"Location Code","@@"&amp;$E$6)</t>
  </si>
  <si>
    <t>=NL("Sum","Item Ledger Entry","Quantity","Entry Type","Consumption","Entry No.",I576,"Location Code","@@"&amp;$E$6)</t>
  </si>
  <si>
    <t>=NL("Sum","Item Ledger Entry","Quantity","Entry Type","Output","Entry No.",I576,"Location Code","@@"&amp;$E$6)</t>
  </si>
  <si>
    <t>=D576</t>
  </si>
  <si>
    <t>=NF($G577,"Posting Date")</t>
  </si>
  <si>
    <t>=NF($G577,"Entry No.")</t>
  </si>
  <si>
    <t>=NF(G577,"Source Type")</t>
  </si>
  <si>
    <t>=NF($G577,"Source No.")</t>
  </si>
  <si>
    <t>=IF($J577="Customer",NL("first",$J577,"Name","No.","@@"&amp;$K577),"")</t>
  </si>
  <si>
    <t>=IF(J577="vendor",NL("first",J577,"Name","No.","@@"&amp;K577),"")</t>
  </si>
  <si>
    <t>=IF($J577="Item",NL("first",$J577,"Description","No.","@@"&amp;$K577),"")</t>
  </si>
  <si>
    <t>=NL("Sum","Item Ledger Entry","Quantity","Entry Type","Purchase","Entry No.",I577,"Location Code","@@"&amp;$E$6)</t>
  </si>
  <si>
    <t>=NL("Sum","Item Ledger Entry","Quantity","Entry Type","Sale","Entry No.",I577,"Location Code","@@"&amp;$E$6)</t>
  </si>
  <si>
    <t>=NL("Sum","Item Ledger Entry","Quantity","Entry Type","Positive Adjmt.|Negative Adjmt.","Entry No.",I577,"Location Code","@@"&amp;$E$6)</t>
  </si>
  <si>
    <t>=NL("Sum","Item Ledger Entry","Quantity","Entry Type","Transfer","Entry No.",I577,"Location Code","@@"&amp;$E$6)</t>
  </si>
  <si>
    <t>=NL("Sum","Item Ledger Entry","Quantity","Entry Type","Consumption","Entry No.",I577,"Location Code","@@"&amp;$E$6)</t>
  </si>
  <si>
    <t>=NL("Sum","Item Ledger Entry","Quantity","Entry Type","Output","Entry No.",I577,"Location Code","@@"&amp;$E$6)</t>
  </si>
  <si>
    <t>=E580</t>
  </si>
  <si>
    <t>=NL("First","Item","Description","No.",$E580)</t>
  </si>
  <si>
    <t>=NL("First","Item","Base Unit of Measure","No.",$E580)</t>
  </si>
  <si>
    <t>=(SUBTOTAL(9,O581:O583))</t>
  </si>
  <si>
    <t>=(SUBTOTAL(9,P581:P583))</t>
  </si>
  <si>
    <t>=(SUBTOTAL(9,Q581:Q583))</t>
  </si>
  <si>
    <t>=(SUBTOTAL(9,R581:R583))</t>
  </si>
  <si>
    <t>=(SUBTOTAL(9,S581:S583))</t>
  </si>
  <si>
    <t>=(SUBTOTAL(9,T581:T583))</t>
  </si>
  <si>
    <t>=SUBTOTAL(9,O581:T583)</t>
  </si>
  <si>
    <t>=NL("Rows","Item Ledger Entry",,"+Posting Date",$L$5,"Item No.","@@"&amp;$D581,"Location Code","@@"&amp;$E$6)</t>
  </si>
  <si>
    <t>=NL("Sum","Item Ledger Entry","Quantity","Entry Type","Purchase","Entry No.",I581,"Location Code","@@"&amp;$E$6)</t>
  </si>
  <si>
    <t>=NL("Sum","Item Ledger Entry","Quantity","Entry Type","Sale","Entry No.",I581,"Location Code","@@"&amp;$E$6)</t>
  </si>
  <si>
    <t>=NL("Sum","Item Ledger Entry","Quantity","Entry Type","Positive Adjmt.|Negative Adjmt.","Entry No.",I581,"Location Code","@@"&amp;$E$6)</t>
  </si>
  <si>
    <t>=NL("Sum","Item Ledger Entry","Quantity","Entry Type","Transfer","Entry No.",I581,"Location Code","@@"&amp;$E$6)</t>
  </si>
  <si>
    <t>=NL("Sum","Item Ledger Entry","Quantity","Entry Type","Consumption","Entry No.",I581,"Location Code","@@"&amp;$E$6)</t>
  </si>
  <si>
    <t>=NL("Sum","Item Ledger Entry","Quantity","Entry Type","Output","Entry No.",I581,"Location Code","@@"&amp;$E$6)</t>
  </si>
  <si>
    <t>=NL("Sum","Item Ledger Entry","Quantity","Entry Type","Purchase","Entry No.",I582,"Location Code","@@"&amp;$E$6)</t>
  </si>
  <si>
    <t>=NL("Sum","Item Ledger Entry","Quantity","Entry Type","Sale","Entry No.",I582,"Location Code","@@"&amp;$E$6)</t>
  </si>
  <si>
    <t>=NL("Sum","Item Ledger Entry","Quantity","Entry Type","Positive Adjmt.|Negative Adjmt.","Entry No.",I582,"Location Code","@@"&amp;$E$6)</t>
  </si>
  <si>
    <t>=NL("Sum","Item Ledger Entry","Quantity","Entry Type","Transfer","Entry No.",I582,"Location Code","@@"&amp;$E$6)</t>
  </si>
  <si>
    <t>=NL("Sum","Item Ledger Entry","Quantity","Entry Type","Consumption","Entry No.",I582,"Location Code","@@"&amp;$E$6)</t>
  </si>
  <si>
    <t>=NL("Sum","Item Ledger Entry","Quantity","Entry Type","Output","Entry No.",I582,"Location Code","@@"&amp;$E$6)</t>
  </si>
  <si>
    <t>=E585</t>
  </si>
  <si>
    <t>=NL("First","Item","Description","No.",$E585)</t>
  </si>
  <si>
    <t>=NL("First","Item","Base Unit of Measure","No.",$E585)</t>
  </si>
  <si>
    <t>=(SUBTOTAL(9,O586:O588))</t>
  </si>
  <si>
    <t>=(SUBTOTAL(9,P586:P588))</t>
  </si>
  <si>
    <t>=(SUBTOTAL(9,Q586:Q588))</t>
  </si>
  <si>
    <t>=(SUBTOTAL(9,R586:R588))</t>
  </si>
  <si>
    <t>=(SUBTOTAL(9,S586:S588))</t>
  </si>
  <si>
    <t>=(SUBTOTAL(9,T586:T588))</t>
  </si>
  <si>
    <t>=SUBTOTAL(9,O586:T588)</t>
  </si>
  <si>
    <t>=NL("Rows","Item Ledger Entry",,"+Posting Date",$L$5,"Item No.","@@"&amp;$D586,"Location Code","@@"&amp;$E$6)</t>
  </si>
  <si>
    <t>=NL("Sum","Item Ledger Entry","Quantity","Entry Type","Purchase","Entry No.",I586,"Location Code","@@"&amp;$E$6)</t>
  </si>
  <si>
    <t>=NL("Sum","Item Ledger Entry","Quantity","Entry Type","Sale","Entry No.",I586,"Location Code","@@"&amp;$E$6)</t>
  </si>
  <si>
    <t>=NL("Sum","Item Ledger Entry","Quantity","Entry Type","Positive Adjmt.|Negative Adjmt.","Entry No.",I586,"Location Code","@@"&amp;$E$6)</t>
  </si>
  <si>
    <t>=NL("Sum","Item Ledger Entry","Quantity","Entry Type","Transfer","Entry No.",I586,"Location Code","@@"&amp;$E$6)</t>
  </si>
  <si>
    <t>=NL("Sum","Item Ledger Entry","Quantity","Entry Type","Consumption","Entry No.",I586,"Location Code","@@"&amp;$E$6)</t>
  </si>
  <si>
    <t>=NL("Sum","Item Ledger Entry","Quantity","Entry Type","Output","Entry No.",I586,"Location Code","@@"&amp;$E$6)</t>
  </si>
  <si>
    <t>=NL("Sum","Item Ledger Entry","Quantity","Entry Type","Purchase","Entry No.",I587,"Location Code","@@"&amp;$E$6)</t>
  </si>
  <si>
    <t>=NL("Sum","Item Ledger Entry","Quantity","Entry Type","Sale","Entry No.",I587,"Location Code","@@"&amp;$E$6)</t>
  </si>
  <si>
    <t>=NL("Sum","Item Ledger Entry","Quantity","Entry Type","Positive Adjmt.|Negative Adjmt.","Entry No.",I587,"Location Code","@@"&amp;$E$6)</t>
  </si>
  <si>
    <t>=NL("Sum","Item Ledger Entry","Quantity","Entry Type","Transfer","Entry No.",I587,"Location Code","@@"&amp;$E$6)</t>
  </si>
  <si>
    <t>=NL("Sum","Item Ledger Entry","Quantity","Entry Type","Consumption","Entry No.",I587,"Location Code","@@"&amp;$E$6)</t>
  </si>
  <si>
    <t>=NL("Sum","Item Ledger Entry","Quantity","Entry Type","Output","Entry No.",I587,"Location Code","@@"&amp;$E$6)</t>
  </si>
  <si>
    <t>=E590</t>
  </si>
  <si>
    <t>=NL("First","Item","Description","No.",$E590)</t>
  </si>
  <si>
    <t>=NL("First","Item","Base Unit of Measure","No.",$E590)</t>
  </si>
  <si>
    <t>=(SUBTOTAL(9,O591:O596))</t>
  </si>
  <si>
    <t>=(SUBTOTAL(9,P591:P596))</t>
  </si>
  <si>
    <t>=(SUBTOTAL(9,Q591:Q596))</t>
  </si>
  <si>
    <t>=(SUBTOTAL(9,R591:R596))</t>
  </si>
  <si>
    <t>=(SUBTOTAL(9,S591:S596))</t>
  </si>
  <si>
    <t>=(SUBTOTAL(9,T591:T596))</t>
  </si>
  <si>
    <t>=SUBTOTAL(9,O591:T596)</t>
  </si>
  <si>
    <t>=NL("Rows","Item Ledger Entry",,"+Posting Date",$L$5,"Item No.","@@"&amp;$D591,"Location Code","@@"&amp;$E$6)</t>
  </si>
  <si>
    <t>=E598</t>
  </si>
  <si>
    <t>=NL("First","Item","Description","No.",$E598)</t>
  </si>
  <si>
    <t>=NL("First","Item","Base Unit of Measure","No.",$E598)</t>
  </si>
  <si>
    <t>=(SUBTOTAL(9,O599:O600))</t>
  </si>
  <si>
    <t>=(SUBTOTAL(9,P599:P600))</t>
  </si>
  <si>
    <t>=(SUBTOTAL(9,Q599:Q600))</t>
  </si>
  <si>
    <t>=(SUBTOTAL(9,R599:R600))</t>
  </si>
  <si>
    <t>=(SUBTOTAL(9,S599:S600))</t>
  </si>
  <si>
    <t>=(SUBTOTAL(9,T599:T600))</t>
  </si>
  <si>
    <t>=SUBTOTAL(9,O599:T600)</t>
  </si>
  <si>
    <t>=NL("Rows","Item Ledger Entry",,"+Posting Date",$L$5,"Item No.","@@"&amp;$D599,"Location Code","@@"&amp;$E$6)</t>
  </si>
  <si>
    <t>=NL("Sum","Item Ledger Entry","Quantity","Entry Type","Purchase","Entry No.",I599,"Location Code","@@"&amp;$E$6)</t>
  </si>
  <si>
    <t>=NL("Sum","Item Ledger Entry","Quantity","Entry Type","Sale","Entry No.",I599,"Location Code","@@"&amp;$E$6)</t>
  </si>
  <si>
    <t>=NL("Sum","Item Ledger Entry","Quantity","Entry Type","Positive Adjmt.|Negative Adjmt.","Entry No.",I599,"Location Code","@@"&amp;$E$6)</t>
  </si>
  <si>
    <t>=NL("Sum","Item Ledger Entry","Quantity","Entry Type","Transfer","Entry No.",I599,"Location Code","@@"&amp;$E$6)</t>
  </si>
  <si>
    <t>=NL("Sum","Item Ledger Entry","Quantity","Entry Type","Consumption","Entry No.",I599,"Location Code","@@"&amp;$E$6)</t>
  </si>
  <si>
    <t>=NL("Sum","Item Ledger Entry","Quantity","Entry Type","Output","Entry No.",I599,"Location Code","@@"&amp;$E$6)</t>
  </si>
  <si>
    <t>=(SUBTOTAL(9,O603:O605))</t>
  </si>
  <si>
    <t>=(SUBTOTAL(9,P603:P605))</t>
  </si>
  <si>
    <t>=(SUBTOTAL(9,Q603:Q605))</t>
  </si>
  <si>
    <t>=(SUBTOTAL(9,R603:R605))</t>
  </si>
  <si>
    <t>=(SUBTOTAL(9,S603:S605))</t>
  </si>
  <si>
    <t>=(SUBTOTAL(9,T603:T605))</t>
  </si>
  <si>
    <t>=SUBTOTAL(9,O603:T605)</t>
  </si>
  <si>
    <t>=NL("Rows","Item Ledger Entry",,"+Posting Date",$L$5,"Item No.","@@"&amp;$D603,"Location Code","@@"&amp;$E$6)</t>
  </si>
  <si>
    <t>=NL("Sum","Item Ledger Entry","Quantity","Entry Type","Purchase","Entry No.",I603,"Location Code","@@"&amp;$E$6)</t>
  </si>
  <si>
    <t>=NL("Sum","Item Ledger Entry","Quantity","Entry Type","Sale","Entry No.",I603,"Location Code","@@"&amp;$E$6)</t>
  </si>
  <si>
    <t>=NL("Sum","Item Ledger Entry","Quantity","Entry Type","Positive Adjmt.|Negative Adjmt.","Entry No.",I603,"Location Code","@@"&amp;$E$6)</t>
  </si>
  <si>
    <t>=NL("Sum","Item Ledger Entry","Quantity","Entry Type","Transfer","Entry No.",I603,"Location Code","@@"&amp;$E$6)</t>
  </si>
  <si>
    <t>=NL("Sum","Item Ledger Entry","Quantity","Entry Type","Consumption","Entry No.",I603,"Location Code","@@"&amp;$E$6)</t>
  </si>
  <si>
    <t>=NL("Sum","Item Ledger Entry","Quantity","Entry Type","Output","Entry No.",I603,"Location Code","@@"&amp;$E$6)</t>
  </si>
  <si>
    <t>=NL("Sum","Item Ledger Entry","Quantity","Entry Type","Purchase","Entry No.",I604,"Location Code","@@"&amp;$E$6)</t>
  </si>
  <si>
    <t>=NL("Sum","Item Ledger Entry","Quantity","Entry Type","Sale","Entry No.",I604,"Location Code","@@"&amp;$E$6)</t>
  </si>
  <si>
    <t>=NL("Sum","Item Ledger Entry","Quantity","Entry Type","Positive Adjmt.|Negative Adjmt.","Entry No.",I604,"Location Code","@@"&amp;$E$6)</t>
  </si>
  <si>
    <t>=NL("Sum","Item Ledger Entry","Quantity","Entry Type","Transfer","Entry No.",I604,"Location Code","@@"&amp;$E$6)</t>
  </si>
  <si>
    <t>=NL("Sum","Item Ledger Entry","Quantity","Entry Type","Consumption","Entry No.",I604,"Location Code","@@"&amp;$E$6)</t>
  </si>
  <si>
    <t>=NL("Sum","Item Ledger Entry","Quantity","Entry Type","Output","Entry No.",I604,"Location Code","@@"&amp;$E$6)</t>
  </si>
  <si>
    <t>=E607</t>
  </si>
  <si>
    <t>=NL("First","Item","Description","No.",$E607)</t>
  </si>
  <si>
    <t>=NL("First","Item","Base Unit of Measure","No.",$E607)</t>
  </si>
  <si>
    <t>=(SUBTOTAL(9,O608:O610))</t>
  </si>
  <si>
    <t>=(SUBTOTAL(9,P608:P610))</t>
  </si>
  <si>
    <t>=(SUBTOTAL(9,Q608:Q610))</t>
  </si>
  <si>
    <t>=(SUBTOTAL(9,R608:R610))</t>
  </si>
  <si>
    <t>=(SUBTOTAL(9,S608:S610))</t>
  </si>
  <si>
    <t>=(SUBTOTAL(9,T608:T610))</t>
  </si>
  <si>
    <t>=SUBTOTAL(9,O608:T610)</t>
  </si>
  <si>
    <t>=NL("Rows","Item Ledger Entry",,"+Posting Date",$L$5,"Item No.","@@"&amp;$D608,"Location Code","@@"&amp;$E$6)</t>
  </si>
  <si>
    <t>=NL("Sum","Item Ledger Entry","Quantity","Entry Type","Purchase","Entry No.",I608,"Location Code","@@"&amp;$E$6)</t>
  </si>
  <si>
    <t>=NL("Sum","Item Ledger Entry","Quantity","Entry Type","Sale","Entry No.",I608,"Location Code","@@"&amp;$E$6)</t>
  </si>
  <si>
    <t>=NL("Sum","Item Ledger Entry","Quantity","Entry Type","Positive Adjmt.|Negative Adjmt.","Entry No.",I608,"Location Code","@@"&amp;$E$6)</t>
  </si>
  <si>
    <t>=NL("Sum","Item Ledger Entry","Quantity","Entry Type","Transfer","Entry No.",I608,"Location Code","@@"&amp;$E$6)</t>
  </si>
  <si>
    <t>=NL("Sum","Item Ledger Entry","Quantity","Entry Type","Consumption","Entry No.",I608,"Location Code","@@"&amp;$E$6)</t>
  </si>
  <si>
    <t>=NL("Sum","Item Ledger Entry","Quantity","Entry Type","Output","Entry No.",I608,"Location Code","@@"&amp;$E$6)</t>
  </si>
  <si>
    <t>=NL("Sum","Item Ledger Entry","Quantity","Entry Type","Purchase","Entry No.",I609,"Location Code","@@"&amp;$E$6)</t>
  </si>
  <si>
    <t>=NL("Sum","Item Ledger Entry","Quantity","Entry Type","Sale","Entry No.",I609,"Location Code","@@"&amp;$E$6)</t>
  </si>
  <si>
    <t>=NL("Sum","Item Ledger Entry","Quantity","Entry Type","Positive Adjmt.|Negative Adjmt.","Entry No.",I609,"Location Code","@@"&amp;$E$6)</t>
  </si>
  <si>
    <t>=NL("Sum","Item Ledger Entry","Quantity","Entry Type","Transfer","Entry No.",I609,"Location Code","@@"&amp;$E$6)</t>
  </si>
  <si>
    <t>=NL("Sum","Item Ledger Entry","Quantity","Entry Type","Consumption","Entry No.",I609,"Location Code","@@"&amp;$E$6)</t>
  </si>
  <si>
    <t>=NL("Sum","Item Ledger Entry","Quantity","Entry Type","Output","Entry No.",I609,"Location Code","@@"&amp;$E$6)</t>
  </si>
  <si>
    <t>=E612</t>
  </si>
  <si>
    <t>=NL("First","Item","Description","No.",$E612)</t>
  </si>
  <si>
    <t>=NL("First","Item","Base Unit of Measure","No.",$E612)</t>
  </si>
  <si>
    <t>=(SUBTOTAL(9,O613:O617))</t>
  </si>
  <si>
    <t>=(SUBTOTAL(9,P613:P617))</t>
  </si>
  <si>
    <t>=(SUBTOTAL(9,Q613:Q617))</t>
  </si>
  <si>
    <t>=(SUBTOTAL(9,R613:R617))</t>
  </si>
  <si>
    <t>=(SUBTOTAL(9,S613:S617))</t>
  </si>
  <si>
    <t>=(SUBTOTAL(9,T613:T617))</t>
  </si>
  <si>
    <t>=SUBTOTAL(9,O613:T617)</t>
  </si>
  <si>
    <t>=NL("Rows","Item Ledger Entry",,"+Posting Date",$L$5,"Item No.","@@"&amp;$D613,"Location Code","@@"&amp;$E$6)</t>
  </si>
  <si>
    <t>=D614</t>
  </si>
  <si>
    <t>=IF($J615="Customer",NL("first",$J615,"Name","No.","@@"&amp;$K615),"")</t>
  </si>
  <si>
    <t>=IF(J615="vendor",NL("first",J615,"Name","No.","@@"&amp;K615),"")</t>
  </si>
  <si>
    <t>=IF($J615="Item",NL("first",$J615,"Description","No.","@@"&amp;$K615),"")</t>
  </si>
  <si>
    <t>=D615</t>
  </si>
  <si>
    <t>=IF($J616="Customer",NL("first",$J616,"Name","No.","@@"&amp;$K616),"")</t>
  </si>
  <si>
    <t>=IF(J616="vendor",NL("first",J616,"Name","No.","@@"&amp;K616),"")</t>
  </si>
  <si>
    <t>=IF($J616="Item",NL("first",$J616,"Description","No.","@@"&amp;$K616),"")</t>
  </si>
  <si>
    <t>=E619</t>
  </si>
  <si>
    <t>=NL("First","Item","Description","No.",$E619)</t>
  </si>
  <si>
    <t>=NL("First","Item","Base Unit of Measure","No.",$E619)</t>
  </si>
  <si>
    <t>=(SUBTOTAL(9,O620:O623))</t>
  </si>
  <si>
    <t>=(SUBTOTAL(9,P620:P623))</t>
  </si>
  <si>
    <t>=(SUBTOTAL(9,Q620:Q623))</t>
  </si>
  <si>
    <t>=(SUBTOTAL(9,R620:R623))</t>
  </si>
  <si>
    <t>=(SUBTOTAL(9,S620:S623))</t>
  </si>
  <si>
    <t>=(SUBTOTAL(9,T620:T623))</t>
  </si>
  <si>
    <t>=SUBTOTAL(9,O620:T623)</t>
  </si>
  <si>
    <t>=NL("Rows","Item Ledger Entry",,"+Posting Date",$L$5,"Item No.","@@"&amp;$D620,"Location Code","@@"&amp;$E$6)</t>
  </si>
  <si>
    <t>=E625</t>
  </si>
  <si>
    <t>=NL("First","Item","Description","No.",$E625)</t>
  </si>
  <si>
    <t>=NL("First","Item","Base Unit of Measure","No.",$E625)</t>
  </si>
  <si>
    <t>=(SUBTOTAL(9,O626:O627))</t>
  </si>
  <si>
    <t>=(SUBTOTAL(9,P626:P627))</t>
  </si>
  <si>
    <t>=(SUBTOTAL(9,Q626:Q627))</t>
  </si>
  <si>
    <t>=(SUBTOTAL(9,R626:R627))</t>
  </si>
  <si>
    <t>=(SUBTOTAL(9,S626:S627))</t>
  </si>
  <si>
    <t>=(SUBTOTAL(9,T626:T627))</t>
  </si>
  <si>
    <t>=SUBTOTAL(9,O626:T627)</t>
  </si>
  <si>
    <t>=NL("Rows","Item Ledger Entry",,"+Posting Date",$L$5,"Item No.","@@"&amp;$D626,"Location Code","@@"&amp;$E$6)</t>
  </si>
  <si>
    <t>=NL("Sum","Item Ledger Entry","Quantity","Entry Type","Purchase","Entry No.",I626,"Location Code","@@"&amp;$E$6)</t>
  </si>
  <si>
    <t>=NL("Sum","Item Ledger Entry","Quantity","Entry Type","Sale","Entry No.",I626,"Location Code","@@"&amp;$E$6)</t>
  </si>
  <si>
    <t>=NL("Sum","Item Ledger Entry","Quantity","Entry Type","Positive Adjmt.|Negative Adjmt.","Entry No.",I626,"Location Code","@@"&amp;$E$6)</t>
  </si>
  <si>
    <t>=NL("Sum","Item Ledger Entry","Quantity","Entry Type","Transfer","Entry No.",I626,"Location Code","@@"&amp;$E$6)</t>
  </si>
  <si>
    <t>=NL("Sum","Item Ledger Entry","Quantity","Entry Type","Consumption","Entry No.",I626,"Location Code","@@"&amp;$E$6)</t>
  </si>
  <si>
    <t>=NL("Sum","Item Ledger Entry","Quantity","Entry Type","Output","Entry No.",I626,"Location Code","@@"&amp;$E$6)</t>
  </si>
  <si>
    <t>=(SUBTOTAL(9,O630:O632))</t>
  </si>
  <si>
    <t>=(SUBTOTAL(9,P630:P632))</t>
  </si>
  <si>
    <t>=(SUBTOTAL(9,Q630:Q632))</t>
  </si>
  <si>
    <t>=(SUBTOTAL(9,R630:R632))</t>
  </si>
  <si>
    <t>=(SUBTOTAL(9,S630:S632))</t>
  </si>
  <si>
    <t>=(SUBTOTAL(9,T630:T632))</t>
  </si>
  <si>
    <t>=SUBTOTAL(9,O630:T632)</t>
  </si>
  <si>
    <t>=NL("Rows","Item Ledger Entry",,"+Posting Date",$L$5,"Item No.","@@"&amp;$D630,"Location Code","@@"&amp;$E$6)</t>
  </si>
  <si>
    <t>=NL("Sum","Item Ledger Entry","Quantity","Entry Type","Purchase","Entry No.",I630,"Location Code","@@"&amp;$E$6)</t>
  </si>
  <si>
    <t>=NL("Sum","Item Ledger Entry","Quantity","Entry Type","Sale","Entry No.",I630,"Location Code","@@"&amp;$E$6)</t>
  </si>
  <si>
    <t>=NL("Sum","Item Ledger Entry","Quantity","Entry Type","Positive Adjmt.|Negative Adjmt.","Entry No.",I630,"Location Code","@@"&amp;$E$6)</t>
  </si>
  <si>
    <t>=NL("Sum","Item Ledger Entry","Quantity","Entry Type","Transfer","Entry No.",I630,"Location Code","@@"&amp;$E$6)</t>
  </si>
  <si>
    <t>=NL("Sum","Item Ledger Entry","Quantity","Entry Type","Consumption","Entry No.",I630,"Location Code","@@"&amp;$E$6)</t>
  </si>
  <si>
    <t>=NL("Sum","Item Ledger Entry","Quantity","Entry Type","Output","Entry No.",I630,"Location Code","@@"&amp;$E$6)</t>
  </si>
  <si>
    <t>=NL("Sum","Item Ledger Entry","Quantity","Entry Type","Purchase","Entry No.",I631,"Location Code","@@"&amp;$E$6)</t>
  </si>
  <si>
    <t>=NL("Sum","Item Ledger Entry","Quantity","Entry Type","Sale","Entry No.",I631,"Location Code","@@"&amp;$E$6)</t>
  </si>
  <si>
    <t>=NL("Sum","Item Ledger Entry","Quantity","Entry Type","Positive Adjmt.|Negative Adjmt.","Entry No.",I631,"Location Code","@@"&amp;$E$6)</t>
  </si>
  <si>
    <t>=NL("Sum","Item Ledger Entry","Quantity","Entry Type","Transfer","Entry No.",I631,"Location Code","@@"&amp;$E$6)</t>
  </si>
  <si>
    <t>=NL("Sum","Item Ledger Entry","Quantity","Entry Type","Consumption","Entry No.",I631,"Location Code","@@"&amp;$E$6)</t>
  </si>
  <si>
    <t>=NL("Sum","Item Ledger Entry","Quantity","Entry Type","Output","Entry No.",I631,"Location Code","@@"&amp;$E$6)</t>
  </si>
  <si>
    <t>=E634</t>
  </si>
  <si>
    <t>=NL("First","Item","Description","No.",$E634)</t>
  </si>
  <si>
    <t>=NL("First","Item","Base Unit of Measure","No.",$E634)</t>
  </si>
  <si>
    <t>=(SUBTOTAL(9,O635:O638))</t>
  </si>
  <si>
    <t>=(SUBTOTAL(9,P635:P638))</t>
  </si>
  <si>
    <t>=(SUBTOTAL(9,Q635:Q638))</t>
  </si>
  <si>
    <t>=(SUBTOTAL(9,R635:R638))</t>
  </si>
  <si>
    <t>=(SUBTOTAL(9,S635:S638))</t>
  </si>
  <si>
    <t>=(SUBTOTAL(9,T635:T638))</t>
  </si>
  <si>
    <t>=SUBTOTAL(9,O635:T638)</t>
  </si>
  <si>
    <t>=NL("Rows","Item Ledger Entry",,"+Posting Date",$L$5,"Item No.","@@"&amp;$D635,"Location Code","@@"&amp;$E$6)</t>
  </si>
  <si>
    <t>=E640</t>
  </si>
  <si>
    <t>=NL("First","Item","Description","No.",$E640)</t>
  </si>
  <si>
    <t>=NL("First","Item","Base Unit of Measure","No.",$E640)</t>
  </si>
  <si>
    <t>=(SUBTOTAL(9,O641:O644))</t>
  </si>
  <si>
    <t>=(SUBTOTAL(9,P641:P644))</t>
  </si>
  <si>
    <t>=(SUBTOTAL(9,Q641:Q644))</t>
  </si>
  <si>
    <t>=(SUBTOTAL(9,R641:R644))</t>
  </si>
  <si>
    <t>=(SUBTOTAL(9,S641:S644))</t>
  </si>
  <si>
    <t>=(SUBTOTAL(9,T641:T644))</t>
  </si>
  <si>
    <t>=SUBTOTAL(9,O641:T644)</t>
  </si>
  <si>
    <t>=NL("Rows","Item Ledger Entry",,"+Posting Date",$L$5,"Item No.","@@"&amp;$D641,"Location Code","@@"&amp;$E$6)</t>
  </si>
  <si>
    <t>=E646</t>
  </si>
  <si>
    <t>=NL("First","Item","Description","No.",$E646)</t>
  </si>
  <si>
    <t>=NL("First","Item","Base Unit of Measure","No.",$E646)</t>
  </si>
  <si>
    <t>=(SUBTOTAL(9,O647:O651))</t>
  </si>
  <si>
    <t>=(SUBTOTAL(9,P647:P651))</t>
  </si>
  <si>
    <t>=(SUBTOTAL(9,Q647:Q651))</t>
  </si>
  <si>
    <t>=(SUBTOTAL(9,R647:R651))</t>
  </si>
  <si>
    <t>=(SUBTOTAL(9,S647:S651))</t>
  </si>
  <si>
    <t>=(SUBTOTAL(9,T647:T651))</t>
  </si>
  <si>
    <t>=SUBTOTAL(9,O647:T651)</t>
  </si>
  <si>
    <t>=NL("Rows","Item Ledger Entry",,"+Posting Date",$L$5,"Item No.","@@"&amp;$D647,"Location Code","@@"&amp;$E$6)</t>
  </si>
  <si>
    <t>=SUBTOTAL(9,O13:O653)</t>
  </si>
  <si>
    <t>=SUBTOTAL(9,P13:P653)</t>
  </si>
  <si>
    <t>=SUBTOTAL(9,Q13:Q653)</t>
  </si>
  <si>
    <t>=SUBTOTAL(9,R13:R653)</t>
  </si>
  <si>
    <t>=SUBTOTAL(9,S13:S653)</t>
  </si>
  <si>
    <t>=SUBTOTAL(9,T13:T653)</t>
  </si>
  <si>
    <t>=SUM(U12:U653)</t>
  </si>
  <si>
    <t>=NL("Sum","Item Ledger Entry","Quantity","Entry Type","Purchase","Entry No.",I647,"Location Code","@@"&amp;$E$6)</t>
  </si>
  <si>
    <t>=NL("Sum","Item Ledger Entry","Quantity","Entry Type","Purchase","Entry No.",I648,"Location Code","@@"&amp;$E$6)</t>
  </si>
  <si>
    <t>=NL("Sum","Item Ledger Entry","Quantity","Entry Type","Purchase","Entry No.",I649,"Location Code","@@"&amp;$E$6)</t>
  </si>
  <si>
    <t>=NL("Sum","Item Ledger Entry","Quantity","Entry Type","Purchase","Entry No.",I650,"Location Code","@@"&amp;$E$6)</t>
  </si>
  <si>
    <t>=NL("Sum","Item Ledger Entry","Quantity","Entry Type","Sale","Entry No.",I647,"Location Code","@@"&amp;$E$6)</t>
  </si>
  <si>
    <t>=NL("Sum","Item Ledger Entry","Quantity","Entry Type","Sale","Entry No.",I648,"Location Code","@@"&amp;$E$6)</t>
  </si>
  <si>
    <t>=NL("Sum","Item Ledger Entry","Quantity","Entry Type","Sale","Entry No.",I649,"Location Code","@@"&amp;$E$6)</t>
  </si>
  <si>
    <t>=NL("Sum","Item Ledger Entry","Quantity","Entry Type","Sale","Entry No.",I650,"Location Code","@@"&amp;$E$6)</t>
  </si>
  <si>
    <t>=NL("Sum","Item Ledger Entry","Quantity","Entry Type","Positive Adjmt.|Negative Adjmt.","Entry No.",I647,"Location Code","@@"&amp;$E$6)</t>
  </si>
  <si>
    <t>=NL("Sum","Item Ledger Entry","Quantity","Entry Type","Positive Adjmt.|Negative Adjmt.","Entry No.",I648,"Location Code","@@"&amp;$E$6)</t>
  </si>
  <si>
    <t>=NL("Sum","Item Ledger Entry","Quantity","Entry Type","Positive Adjmt.|Negative Adjmt.","Entry No.",I649,"Location Code","@@"&amp;$E$6)</t>
  </si>
  <si>
    <t>=NL("Sum","Item Ledger Entry","Quantity","Entry Type","Positive Adjmt.|Negative Adjmt.","Entry No.",I650,"Location Code","@@"&amp;$E$6)</t>
  </si>
  <si>
    <t>=NL("Sum","Item Ledger Entry","Quantity","Entry Type","Transfer","Entry No.",I647,"Location Code","@@"&amp;$E$6)</t>
  </si>
  <si>
    <t>=NL("Sum","Item Ledger Entry","Quantity","Entry Type","Transfer","Entry No.",I648,"Location Code","@@"&amp;$E$6)</t>
  </si>
  <si>
    <t>=NL("Sum","Item Ledger Entry","Quantity","Entry Type","Transfer","Entry No.",I649,"Location Code","@@"&amp;$E$6)</t>
  </si>
  <si>
    <t>=NL("Sum","Item Ledger Entry","Quantity","Entry Type","Transfer","Entry No.",I650,"Location Code","@@"&amp;$E$6)</t>
  </si>
  <si>
    <t>=NL("Sum","Item Ledger Entry","Quantity","Entry Type","Consumption","Entry No.",I647,"Location Code","@@"&amp;$E$6)</t>
  </si>
  <si>
    <t>=NL("Sum","Item Ledger Entry","Quantity","Entry Type","Consumption","Entry No.",I648,"Location Code","@@"&amp;$E$6)</t>
  </si>
  <si>
    <t>=NL("Sum","Item Ledger Entry","Quantity","Entry Type","Consumption","Entry No.",I649,"Location Code","@@"&amp;$E$6)</t>
  </si>
  <si>
    <t>=NL("Sum","Item Ledger Entry","Quantity","Entry Type","Consumption","Entry No.",I650,"Location Code","@@"&amp;$E$6)</t>
  </si>
  <si>
    <t>=NL("Sum","Item Ledger Entry","Quantity","Entry Type","Output","Entry No.",I647,"Location Code","@@"&amp;$E$6)</t>
  </si>
  <si>
    <t>=NL("Sum","Item Ledger Entry","Quantity","Entry Type","Output","Entry No.",I648,"Location Code","@@"&amp;$E$6)</t>
  </si>
  <si>
    <t>=NL("Sum","Item Ledger Entry","Quantity","Entry Type","Output","Entry No.",I649,"Location Code","@@"&amp;$E$6)</t>
  </si>
  <si>
    <t>=NL("Sum","Item Ledger Entry","Quantity","Entry Type","Output","Entry No.",I650,"Location Code","@@"&amp;$E$6)</t>
  </si>
  <si>
    <t>=NL("Sum","Item Ledger Entry","Quantity","Entry Type","Purchase","Entry No.",I641,"Location Code","@@"&amp;$E$6)</t>
  </si>
  <si>
    <t>=NL("Sum","Item Ledger Entry","Quantity","Entry Type","Purchase","Entry No.",I642,"Location Code","@@"&amp;$E$6)</t>
  </si>
  <si>
    <t>=NL("Sum","Item Ledger Entry","Quantity","Entry Type","Purchase","Entry No.",I643,"Location Code","@@"&amp;$E$6)</t>
  </si>
  <si>
    <t>=NL("Sum","Item Ledger Entry","Quantity","Entry Type","Sale","Entry No.",I641,"Location Code","@@"&amp;$E$6)</t>
  </si>
  <si>
    <t>=NL("Sum","Item Ledger Entry","Quantity","Entry Type","Sale","Entry No.",I642,"Location Code","@@"&amp;$E$6)</t>
  </si>
  <si>
    <t>=NL("Sum","Item Ledger Entry","Quantity","Entry Type","Sale","Entry No.",I643,"Location Code","@@"&amp;$E$6)</t>
  </si>
  <si>
    <t>=NL("Sum","Item Ledger Entry","Quantity","Entry Type","Positive Adjmt.|Negative Adjmt.","Entry No.",I641,"Location Code","@@"&amp;$E$6)</t>
  </si>
  <si>
    <t>=NL("Sum","Item Ledger Entry","Quantity","Entry Type","Positive Adjmt.|Negative Adjmt.","Entry No.",I642,"Location Code","@@"&amp;$E$6)</t>
  </si>
  <si>
    <t>=NL("Sum","Item Ledger Entry","Quantity","Entry Type","Positive Adjmt.|Negative Adjmt.","Entry No.",I643,"Location Code","@@"&amp;$E$6)</t>
  </si>
  <si>
    <t>=NL("Sum","Item Ledger Entry","Quantity","Entry Type","Transfer","Entry No.",I641,"Location Code","@@"&amp;$E$6)</t>
  </si>
  <si>
    <t>=NL("Sum","Item Ledger Entry","Quantity","Entry Type","Transfer","Entry No.",I642,"Location Code","@@"&amp;$E$6)</t>
  </si>
  <si>
    <t>=NL("Sum","Item Ledger Entry","Quantity","Entry Type","Transfer","Entry No.",I643,"Location Code","@@"&amp;$E$6)</t>
  </si>
  <si>
    <t>=NL("Sum","Item Ledger Entry","Quantity","Entry Type","Consumption","Entry No.",I641,"Location Code","@@"&amp;$E$6)</t>
  </si>
  <si>
    <t>=NL("Sum","Item Ledger Entry","Quantity","Entry Type","Consumption","Entry No.",I642,"Location Code","@@"&amp;$E$6)</t>
  </si>
  <si>
    <t>=NL("Sum","Item Ledger Entry","Quantity","Entry Type","Consumption","Entry No.",I643,"Location Code","@@"&amp;$E$6)</t>
  </si>
  <si>
    <t>=NL("Sum","Item Ledger Entry","Quantity","Entry Type","Output","Entry No.",I641,"Location Code","@@"&amp;$E$6)</t>
  </si>
  <si>
    <t>=NL("Sum","Item Ledger Entry","Quantity","Entry Type","Output","Entry No.",I642,"Location Code","@@"&amp;$E$6)</t>
  </si>
  <si>
    <t>=NL("Sum","Item Ledger Entry","Quantity","Entry Type","Output","Entry No.",I643,"Location Code","@@"&amp;$E$6)</t>
  </si>
  <si>
    <t>=NL("Sum","Item Ledger Entry","Quantity","Entry Type","Purchase","Entry No.",I635,"Location Code","@@"&amp;$E$6)</t>
  </si>
  <si>
    <t>=NL("Sum","Item Ledger Entry","Quantity","Entry Type","Purchase","Entry No.",I636,"Location Code","@@"&amp;$E$6)</t>
  </si>
  <si>
    <t>=NL("Sum","Item Ledger Entry","Quantity","Entry Type","Purchase","Entry No.",I637,"Location Code","@@"&amp;$E$6)</t>
  </si>
  <si>
    <t>=NL("Sum","Item Ledger Entry","Quantity","Entry Type","Sale","Entry No.",I635,"Location Code","@@"&amp;$E$6)</t>
  </si>
  <si>
    <t>=NL("Sum","Item Ledger Entry","Quantity","Entry Type","Sale","Entry No.",I636,"Location Code","@@"&amp;$E$6)</t>
  </si>
  <si>
    <t>=NL("Sum","Item Ledger Entry","Quantity","Entry Type","Sale","Entry No.",I637,"Location Code","@@"&amp;$E$6)</t>
  </si>
  <si>
    <t>=NL("Sum","Item Ledger Entry","Quantity","Entry Type","Positive Adjmt.|Negative Adjmt.","Entry No.",I635,"Location Code","@@"&amp;$E$6)</t>
  </si>
  <si>
    <t>=NL("Sum","Item Ledger Entry","Quantity","Entry Type","Positive Adjmt.|Negative Adjmt.","Entry No.",I636,"Location Code","@@"&amp;$E$6)</t>
  </si>
  <si>
    <t>=NL("Sum","Item Ledger Entry","Quantity","Entry Type","Positive Adjmt.|Negative Adjmt.","Entry No.",I637,"Location Code","@@"&amp;$E$6)</t>
  </si>
  <si>
    <t>=NL("Sum","Item Ledger Entry","Quantity","Entry Type","Transfer","Entry No.",I635,"Location Code","@@"&amp;$E$6)</t>
  </si>
  <si>
    <t>=NL("Sum","Item Ledger Entry","Quantity","Entry Type","Transfer","Entry No.",I636,"Location Code","@@"&amp;$E$6)</t>
  </si>
  <si>
    <t>=NL("Sum","Item Ledger Entry","Quantity","Entry Type","Transfer","Entry No.",I637,"Location Code","@@"&amp;$E$6)</t>
  </si>
  <si>
    <t>=NL("Sum","Item Ledger Entry","Quantity","Entry Type","Consumption","Entry No.",I635,"Location Code","@@"&amp;$E$6)</t>
  </si>
  <si>
    <t>=NL("Sum","Item Ledger Entry","Quantity","Entry Type","Consumption","Entry No.",I636,"Location Code","@@"&amp;$E$6)</t>
  </si>
  <si>
    <t>=NL("Sum","Item Ledger Entry","Quantity","Entry Type","Consumption","Entry No.",I637,"Location Code","@@"&amp;$E$6)</t>
  </si>
  <si>
    <t>=NL("Sum","Item Ledger Entry","Quantity","Entry Type","Output","Entry No.",I635,"Location Code","@@"&amp;$E$6)</t>
  </si>
  <si>
    <t>=NL("Sum","Item Ledger Entry","Quantity","Entry Type","Output","Entry No.",I636,"Location Code","@@"&amp;$E$6)</t>
  </si>
  <si>
    <t>=NL("Sum","Item Ledger Entry","Quantity","Entry Type","Output","Entry No.",I637,"Location Code","@@"&amp;$E$6)</t>
  </si>
  <si>
    <t>=NL("Sum","Item Ledger Entry","Quantity","Entry Type","Purchase","Entry No.",I620,"Location Code","@@"&amp;$E$6)</t>
  </si>
  <si>
    <t>=NL("Sum","Item Ledger Entry","Quantity","Entry Type","Purchase","Entry No.",I621,"Location Code","@@"&amp;$E$6)</t>
  </si>
  <si>
    <t>=NL("Sum","Item Ledger Entry","Quantity","Entry Type","Purchase","Entry No.",I622,"Location Code","@@"&amp;$E$6)</t>
  </si>
  <si>
    <t>=NL("Sum","Item Ledger Entry","Quantity","Entry Type","Sale","Entry No.",I620,"Location Code","@@"&amp;$E$6)</t>
  </si>
  <si>
    <t>=NL("Sum","Item Ledger Entry","Quantity","Entry Type","Sale","Entry No.",I621,"Location Code","@@"&amp;$E$6)</t>
  </si>
  <si>
    <t>=NL("Sum","Item Ledger Entry","Quantity","Entry Type","Sale","Entry No.",I622,"Location Code","@@"&amp;$E$6)</t>
  </si>
  <si>
    <t>=NL("Sum","Item Ledger Entry","Quantity","Entry Type","Positive Adjmt.|Negative Adjmt.","Entry No.",I620,"Location Code","@@"&amp;$E$6)</t>
  </si>
  <si>
    <t>=NL("Sum","Item Ledger Entry","Quantity","Entry Type","Positive Adjmt.|Negative Adjmt.","Entry No.",I621,"Location Code","@@"&amp;$E$6)</t>
  </si>
  <si>
    <t>=NL("Sum","Item Ledger Entry","Quantity","Entry Type","Positive Adjmt.|Negative Adjmt.","Entry No.",I622,"Location Code","@@"&amp;$E$6)</t>
  </si>
  <si>
    <t>=NL("Sum","Item Ledger Entry","Quantity","Entry Type","Transfer","Entry No.",I620,"Location Code","@@"&amp;$E$6)</t>
  </si>
  <si>
    <t>=NL("Sum","Item Ledger Entry","Quantity","Entry Type","Transfer","Entry No.",I621,"Location Code","@@"&amp;$E$6)</t>
  </si>
  <si>
    <t>=NL("Sum","Item Ledger Entry","Quantity","Entry Type","Transfer","Entry No.",I622,"Location Code","@@"&amp;$E$6)</t>
  </si>
  <si>
    <t>=NL("Sum","Item Ledger Entry","Quantity","Entry Type","Consumption","Entry No.",I620,"Location Code","@@"&amp;$E$6)</t>
  </si>
  <si>
    <t>=NL("Sum","Item Ledger Entry","Quantity","Entry Type","Consumption","Entry No.",I621,"Location Code","@@"&amp;$E$6)</t>
  </si>
  <si>
    <t>=NL("Sum","Item Ledger Entry","Quantity","Entry Type","Consumption","Entry No.",I622,"Location Code","@@"&amp;$E$6)</t>
  </si>
  <si>
    <t>=NL("Sum","Item Ledger Entry","Quantity","Entry Type","Output","Entry No.",I620,"Location Code","@@"&amp;$E$6)</t>
  </si>
  <si>
    <t>=NL("Sum","Item Ledger Entry","Quantity","Entry Type","Output","Entry No.",I621,"Location Code","@@"&amp;$E$6)</t>
  </si>
  <si>
    <t>=NL("Sum","Item Ledger Entry","Quantity","Entry Type","Output","Entry No.",I622,"Location Code","@@"&amp;$E$6)</t>
  </si>
  <si>
    <t>=NF($G615,"Posting Date")</t>
  </si>
  <si>
    <t>=NF($G616,"Posting Date")</t>
  </si>
  <si>
    <t>=NF($G615,"Entry No.")</t>
  </si>
  <si>
    <t>=NF($G616,"Entry No.")</t>
  </si>
  <si>
    <t>=NL("Sum","Item Ledger Entry","Quantity","Entry Type","Purchase","Entry No.",I613,"Location Code","@@"&amp;$E$6)</t>
  </si>
  <si>
    <t>=NL("Sum","Item Ledger Entry","Quantity","Entry Type","Purchase","Entry No.",I614,"Location Code","@@"&amp;$E$6)</t>
  </si>
  <si>
    <t>=NL("Sum","Item Ledger Entry","Quantity","Entry Type","Purchase","Entry No.",I615,"Location Code","@@"&amp;$E$6)</t>
  </si>
  <si>
    <t>=NL("Sum","Item Ledger Entry","Quantity","Entry Type","Purchase","Entry No.",I616,"Location Code","@@"&amp;$E$6)</t>
  </si>
  <si>
    <t>=NL("Sum","Item Ledger Entry","Quantity","Entry Type","Sale","Entry No.",I613,"Location Code","@@"&amp;$E$6)</t>
  </si>
  <si>
    <t>=NL("Sum","Item Ledger Entry","Quantity","Entry Type","Sale","Entry No.",I614,"Location Code","@@"&amp;$E$6)</t>
  </si>
  <si>
    <t>=NL("Sum","Item Ledger Entry","Quantity","Entry Type","Sale","Entry No.",I615,"Location Code","@@"&amp;$E$6)</t>
  </si>
  <si>
    <t>=NL("Sum","Item Ledger Entry","Quantity","Entry Type","Sale","Entry No.",I616,"Location Code","@@"&amp;$E$6)</t>
  </si>
  <si>
    <t>=NL("Sum","Item Ledger Entry","Quantity","Entry Type","Positive Adjmt.|Negative Adjmt.","Entry No.",I613,"Location Code","@@"&amp;$E$6)</t>
  </si>
  <si>
    <t>=NL("Sum","Item Ledger Entry","Quantity","Entry Type","Positive Adjmt.|Negative Adjmt.","Entry No.",I614,"Location Code","@@"&amp;$E$6)</t>
  </si>
  <si>
    <t>=NL("Sum","Item Ledger Entry","Quantity","Entry Type","Positive Adjmt.|Negative Adjmt.","Entry No.",I615,"Location Code","@@"&amp;$E$6)</t>
  </si>
  <si>
    <t>=NL("Sum","Item Ledger Entry","Quantity","Entry Type","Positive Adjmt.|Negative Adjmt.","Entry No.",I616,"Location Code","@@"&amp;$E$6)</t>
  </si>
  <si>
    <t>=NL("Sum","Item Ledger Entry","Quantity","Entry Type","Transfer","Entry No.",I613,"Location Code","@@"&amp;$E$6)</t>
  </si>
  <si>
    <t>=NL("Sum","Item Ledger Entry","Quantity","Entry Type","Transfer","Entry No.",I614,"Location Code","@@"&amp;$E$6)</t>
  </si>
  <si>
    <t>=NL("Sum","Item Ledger Entry","Quantity","Entry Type","Transfer","Entry No.",I615,"Location Code","@@"&amp;$E$6)</t>
  </si>
  <si>
    <t>=NL("Sum","Item Ledger Entry","Quantity","Entry Type","Transfer","Entry No.",I616,"Location Code","@@"&amp;$E$6)</t>
  </si>
  <si>
    <t>=NL("Sum","Item Ledger Entry","Quantity","Entry Type","Consumption","Entry No.",I613,"Location Code","@@"&amp;$E$6)</t>
  </si>
  <si>
    <t>=NL("Sum","Item Ledger Entry","Quantity","Entry Type","Consumption","Entry No.",I614,"Location Code","@@"&amp;$E$6)</t>
  </si>
  <si>
    <t>=NL("Sum","Item Ledger Entry","Quantity","Entry Type","Consumption","Entry No.",I615,"Location Code","@@"&amp;$E$6)</t>
  </si>
  <si>
    <t>=NL("Sum","Item Ledger Entry","Quantity","Entry Type","Consumption","Entry No.",I616,"Location Code","@@"&amp;$E$6)</t>
  </si>
  <si>
    <t>=NL("Sum","Item Ledger Entry","Quantity","Entry Type","Output","Entry No.",I613,"Location Code","@@"&amp;$E$6)</t>
  </si>
  <si>
    <t>=NL("Sum","Item Ledger Entry","Quantity","Entry Type","Output","Entry No.",I614,"Location Code","@@"&amp;$E$6)</t>
  </si>
  <si>
    <t>=NL("Sum","Item Ledger Entry","Quantity","Entry Type","Output","Entry No.",I615,"Location Code","@@"&amp;$E$6)</t>
  </si>
  <si>
    <t>=NL("Sum","Item Ledger Entry","Quantity","Entry Type","Output","Entry No.",I616,"Location Code","@@"&amp;$E$6)</t>
  </si>
  <si>
    <t>=NF(G615,"Source Type")</t>
  </si>
  <si>
    <t>=NF(G616,"Source Type")</t>
  </si>
  <si>
    <t>=NF($G615,"Source No.")</t>
  </si>
  <si>
    <t>=NF($G616,"Source No.")</t>
  </si>
  <si>
    <t>=NL("Sum","Item Ledger Entry","Quantity","Entry Type","Purchase","Entry No.",I591,"Location Code","@@"&amp;$E$6)</t>
  </si>
  <si>
    <t>=NL("Sum","Item Ledger Entry","Quantity","Entry Type","Purchase","Entry No.",I592,"Location Code","@@"&amp;$E$6)</t>
  </si>
  <si>
    <t>=NL("Sum","Item Ledger Entry","Quantity","Entry Type","Purchase","Entry No.",I593,"Location Code","@@"&amp;$E$6)</t>
  </si>
  <si>
    <t>=NL("Sum","Item Ledger Entry","Quantity","Entry Type","Purchase","Entry No.",I594,"Location Code","@@"&amp;$E$6)</t>
  </si>
  <si>
    <t>=NL("Sum","Item Ledger Entry","Quantity","Entry Type","Purchase","Entry No.",I595,"Location Code","@@"&amp;$E$6)</t>
  </si>
  <si>
    <t>=NL("Sum","Item Ledger Entry","Quantity","Entry Type","Sale","Entry No.",I591,"Location Code","@@"&amp;$E$6)</t>
  </si>
  <si>
    <t>=NL("Sum","Item Ledger Entry","Quantity","Entry Type","Sale","Entry No.",I592,"Location Code","@@"&amp;$E$6)</t>
  </si>
  <si>
    <t>=NL("Sum","Item Ledger Entry","Quantity","Entry Type","Sale","Entry No.",I593,"Location Code","@@"&amp;$E$6)</t>
  </si>
  <si>
    <t>=NL("Sum","Item Ledger Entry","Quantity","Entry Type","Sale","Entry No.",I594,"Location Code","@@"&amp;$E$6)</t>
  </si>
  <si>
    <t>=NL("Sum","Item Ledger Entry","Quantity","Entry Type","Sale","Entry No.",I595,"Location Code","@@"&amp;$E$6)</t>
  </si>
  <si>
    <t>=NL("Sum","Item Ledger Entry","Quantity","Entry Type","Positive Adjmt.|Negative Adjmt.","Entry No.",I591,"Location Code","@@"&amp;$E$6)</t>
  </si>
  <si>
    <t>=NL("Sum","Item Ledger Entry","Quantity","Entry Type","Positive Adjmt.|Negative Adjmt.","Entry No.",I592,"Location Code","@@"&amp;$E$6)</t>
  </si>
  <si>
    <t>=NL("Sum","Item Ledger Entry","Quantity","Entry Type","Positive Adjmt.|Negative Adjmt.","Entry No.",I593,"Location Code","@@"&amp;$E$6)</t>
  </si>
  <si>
    <t>=NL("Sum","Item Ledger Entry","Quantity","Entry Type","Positive Adjmt.|Negative Adjmt.","Entry No.",I594,"Location Code","@@"&amp;$E$6)</t>
  </si>
  <si>
    <t>=NL("Sum","Item Ledger Entry","Quantity","Entry Type","Positive Adjmt.|Negative Adjmt.","Entry No.",I595,"Location Code","@@"&amp;$E$6)</t>
  </si>
  <si>
    <t>=NL("Sum","Item Ledger Entry","Quantity","Entry Type","Transfer","Entry No.",I591,"Location Code","@@"&amp;$E$6)</t>
  </si>
  <si>
    <t>=NL("Sum","Item Ledger Entry","Quantity","Entry Type","Transfer","Entry No.",I592,"Location Code","@@"&amp;$E$6)</t>
  </si>
  <si>
    <t>=NL("Sum","Item Ledger Entry","Quantity","Entry Type","Transfer","Entry No.",I593,"Location Code","@@"&amp;$E$6)</t>
  </si>
  <si>
    <t>=NL("Sum","Item Ledger Entry","Quantity","Entry Type","Transfer","Entry No.",I594,"Location Code","@@"&amp;$E$6)</t>
  </si>
  <si>
    <t>=NL("Sum","Item Ledger Entry","Quantity","Entry Type","Transfer","Entry No.",I595,"Location Code","@@"&amp;$E$6)</t>
  </si>
  <si>
    <t>=NL("Sum","Item Ledger Entry","Quantity","Entry Type","Consumption","Entry No.",I591,"Location Code","@@"&amp;$E$6)</t>
  </si>
  <si>
    <t>=NL("Sum","Item Ledger Entry","Quantity","Entry Type","Consumption","Entry No.",I592,"Location Code","@@"&amp;$E$6)</t>
  </si>
  <si>
    <t>=NL("Sum","Item Ledger Entry","Quantity","Entry Type","Consumption","Entry No.",I593,"Location Code","@@"&amp;$E$6)</t>
  </si>
  <si>
    <t>=NL("Sum","Item Ledger Entry","Quantity","Entry Type","Consumption","Entry No.",I594,"Location Code","@@"&amp;$E$6)</t>
  </si>
  <si>
    <t>=NL("Sum","Item Ledger Entry","Quantity","Entry Type","Consumption","Entry No.",I595,"Location Code","@@"&amp;$E$6)</t>
  </si>
  <si>
    <t>=NL("Sum","Item Ledger Entry","Quantity","Entry Type","Output","Entry No.",I591,"Location Code","@@"&amp;$E$6)</t>
  </si>
  <si>
    <t>=NL("Sum","Item Ledger Entry","Quantity","Entry Type","Output","Entry No.",I592,"Location Code","@@"&amp;$E$6)</t>
  </si>
  <si>
    <t>=NL("Sum","Item Ledger Entry","Quantity","Entry Type","Output","Entry No.",I593,"Location Code","@@"&amp;$E$6)</t>
  </si>
  <si>
    <t>=NL("Sum","Item Ledger Entry","Quantity","Entry Type","Output","Entry No.",I594,"Location Code","@@"&amp;$E$6)</t>
  </si>
  <si>
    <t>=NL("Sum","Item Ledger Entry","Quantity","Entry Type","Output","Entry No.",I595,"Location Code","@@"&amp;$E$6)</t>
  </si>
  <si>
    <t>=NL("Sum","Item Ledger Entry","Quantity","Entry Type","Purchase","Entry No.",I556,"Location Code","@@"&amp;$E$6)</t>
  </si>
  <si>
    <t>=NL("Sum","Item Ledger Entry","Quantity","Entry Type","Purchase","Entry No.",I557,"Location Code","@@"&amp;$E$6)</t>
  </si>
  <si>
    <t>=NL("Sum","Item Ledger Entry","Quantity","Entry Type","Purchase","Entry No.",I558,"Location Code","@@"&amp;$E$6)</t>
  </si>
  <si>
    <t>=NL("Sum","Item Ledger Entry","Quantity","Entry Type","Purchase","Entry No.",I559,"Location Code","@@"&amp;$E$6)</t>
  </si>
  <si>
    <t>=NL("Sum","Item Ledger Entry","Quantity","Entry Type","Sale","Entry No.",I556,"Location Code","@@"&amp;$E$6)</t>
  </si>
  <si>
    <t>=NL("Sum","Item Ledger Entry","Quantity","Entry Type","Sale","Entry No.",I557,"Location Code","@@"&amp;$E$6)</t>
  </si>
  <si>
    <t>=NL("Sum","Item Ledger Entry","Quantity","Entry Type","Sale","Entry No.",I558,"Location Code","@@"&amp;$E$6)</t>
  </si>
  <si>
    <t>=NL("Sum","Item Ledger Entry","Quantity","Entry Type","Sale","Entry No.",I559,"Location Code","@@"&amp;$E$6)</t>
  </si>
  <si>
    <t>=NL("Sum","Item Ledger Entry","Quantity","Entry Type","Positive Adjmt.|Negative Adjmt.","Entry No.",I556,"Location Code","@@"&amp;$E$6)</t>
  </si>
  <si>
    <t>=NL("Sum","Item Ledger Entry","Quantity","Entry Type","Positive Adjmt.|Negative Adjmt.","Entry No.",I557,"Location Code","@@"&amp;$E$6)</t>
  </si>
  <si>
    <t>=NL("Sum","Item Ledger Entry","Quantity","Entry Type","Positive Adjmt.|Negative Adjmt.","Entry No.",I558,"Location Code","@@"&amp;$E$6)</t>
  </si>
  <si>
    <t>=NL("Sum","Item Ledger Entry","Quantity","Entry Type","Positive Adjmt.|Negative Adjmt.","Entry No.",I559,"Location Code","@@"&amp;$E$6)</t>
  </si>
  <si>
    <t>=NL("Sum","Item Ledger Entry","Quantity","Entry Type","Transfer","Entry No.",I556,"Location Code","@@"&amp;$E$6)</t>
  </si>
  <si>
    <t>=NL("Sum","Item Ledger Entry","Quantity","Entry Type","Transfer","Entry No.",I557,"Location Code","@@"&amp;$E$6)</t>
  </si>
  <si>
    <t>=NL("Sum","Item Ledger Entry","Quantity","Entry Type","Transfer","Entry No.",I558,"Location Code","@@"&amp;$E$6)</t>
  </si>
  <si>
    <t>=NL("Sum","Item Ledger Entry","Quantity","Entry Type","Transfer","Entry No.",I559,"Location Code","@@"&amp;$E$6)</t>
  </si>
  <si>
    <t>=NL("Sum","Item Ledger Entry","Quantity","Entry Type","Consumption","Entry No.",I556,"Location Code","@@"&amp;$E$6)</t>
  </si>
  <si>
    <t>=NL("Sum","Item Ledger Entry","Quantity","Entry Type","Consumption","Entry No.",I557,"Location Code","@@"&amp;$E$6)</t>
  </si>
  <si>
    <t>=NL("Sum","Item Ledger Entry","Quantity","Entry Type","Consumption","Entry No.",I558,"Location Code","@@"&amp;$E$6)</t>
  </si>
  <si>
    <t>=NL("Sum","Item Ledger Entry","Quantity","Entry Type","Consumption","Entry No.",I559,"Location Code","@@"&amp;$E$6)</t>
  </si>
  <si>
    <t>=NL("Sum","Item Ledger Entry","Quantity","Entry Type","Output","Entry No.",I556,"Location Code","@@"&amp;$E$6)</t>
  </si>
  <si>
    <t>=NL("Sum","Item Ledger Entry","Quantity","Entry Type","Output","Entry No.",I557,"Location Code","@@"&amp;$E$6)</t>
  </si>
  <si>
    <t>=NL("Sum","Item Ledger Entry","Quantity","Entry Type","Output","Entry No.",I558,"Location Code","@@"&amp;$E$6)</t>
  </si>
  <si>
    <t>=NL("Sum","Item Ledger Entry","Quantity","Entry Type","Output","Entry No.",I559,"Location Code","@@"&amp;$E$6)</t>
  </si>
  <si>
    <t>=NL("Sum","Item Ledger Entry","Quantity","Entry Type","Purchase","Entry No.",I540,"Location Code","@@"&amp;$E$6)</t>
  </si>
  <si>
    <t>=NL("Sum","Item Ledger Entry","Quantity","Entry Type","Purchase","Entry No.",I541,"Location Code","@@"&amp;$E$6)</t>
  </si>
  <si>
    <t>=NL("Sum","Item Ledger Entry","Quantity","Entry Type","Purchase","Entry No.",I542,"Location Code","@@"&amp;$E$6)</t>
  </si>
  <si>
    <t>=NL("Sum","Item Ledger Entry","Quantity","Entry Type","Purchase","Entry No.",I543,"Location Code","@@"&amp;$E$6)</t>
  </si>
  <si>
    <t>=NL("Sum","Item Ledger Entry","Quantity","Entry Type","Sale","Entry No.",I540,"Location Code","@@"&amp;$E$6)</t>
  </si>
  <si>
    <t>=NL("Sum","Item Ledger Entry","Quantity","Entry Type","Sale","Entry No.",I541,"Location Code","@@"&amp;$E$6)</t>
  </si>
  <si>
    <t>=NL("Sum","Item Ledger Entry","Quantity","Entry Type","Sale","Entry No.",I542,"Location Code","@@"&amp;$E$6)</t>
  </si>
  <si>
    <t>=NL("Sum","Item Ledger Entry","Quantity","Entry Type","Sale","Entry No.",I543,"Location Code","@@"&amp;$E$6)</t>
  </si>
  <si>
    <t>=NL("Sum","Item Ledger Entry","Quantity","Entry Type","Positive Adjmt.|Negative Adjmt.","Entry No.",I540,"Location Code","@@"&amp;$E$6)</t>
  </si>
  <si>
    <t>=NL("Sum","Item Ledger Entry","Quantity","Entry Type","Positive Adjmt.|Negative Adjmt.","Entry No.",I541,"Location Code","@@"&amp;$E$6)</t>
  </si>
  <si>
    <t>=NL("Sum","Item Ledger Entry","Quantity","Entry Type","Positive Adjmt.|Negative Adjmt.","Entry No.",I542,"Location Code","@@"&amp;$E$6)</t>
  </si>
  <si>
    <t>=NL("Sum","Item Ledger Entry","Quantity","Entry Type","Positive Adjmt.|Negative Adjmt.","Entry No.",I543,"Location Code","@@"&amp;$E$6)</t>
  </si>
  <si>
    <t>=NL("Sum","Item Ledger Entry","Quantity","Entry Type","Transfer","Entry No.",I540,"Location Code","@@"&amp;$E$6)</t>
  </si>
  <si>
    <t>=NL("Sum","Item Ledger Entry","Quantity","Entry Type","Transfer","Entry No.",I541,"Location Code","@@"&amp;$E$6)</t>
  </si>
  <si>
    <t>=NL("Sum","Item Ledger Entry","Quantity","Entry Type","Transfer","Entry No.",I542,"Location Code","@@"&amp;$E$6)</t>
  </si>
  <si>
    <t>=NL("Sum","Item Ledger Entry","Quantity","Entry Type","Transfer","Entry No.",I543,"Location Code","@@"&amp;$E$6)</t>
  </si>
  <si>
    <t>=NL("Sum","Item Ledger Entry","Quantity","Entry Type","Consumption","Entry No.",I540,"Location Code","@@"&amp;$E$6)</t>
  </si>
  <si>
    <t>=NL("Sum","Item Ledger Entry","Quantity","Entry Type","Consumption","Entry No.",I541,"Location Code","@@"&amp;$E$6)</t>
  </si>
  <si>
    <t>=NL("Sum","Item Ledger Entry","Quantity","Entry Type","Consumption","Entry No.",I542,"Location Code","@@"&amp;$E$6)</t>
  </si>
  <si>
    <t>=NL("Sum","Item Ledger Entry","Quantity","Entry Type","Consumption","Entry No.",I543,"Location Code","@@"&amp;$E$6)</t>
  </si>
  <si>
    <t>=NL("Sum","Item Ledger Entry","Quantity","Entry Type","Output","Entry No.",I540,"Location Code","@@"&amp;$E$6)</t>
  </si>
  <si>
    <t>=NL("Sum","Item Ledger Entry","Quantity","Entry Type","Output","Entry No.",I541,"Location Code","@@"&amp;$E$6)</t>
  </si>
  <si>
    <t>=NL("Sum","Item Ledger Entry","Quantity","Entry Type","Output","Entry No.",I542,"Location Code","@@"&amp;$E$6)</t>
  </si>
  <si>
    <t>=NL("Sum","Item Ledger Entry","Quantity","Entry Type","Output","Entry No.",I543,"Location Code","@@"&amp;$E$6)</t>
  </si>
  <si>
    <t>=NL("Sum","Item Ledger Entry","Quantity","Entry Type","Purchase","Entry No.",I534,"Location Code","@@"&amp;$E$6)</t>
  </si>
  <si>
    <t>=NL("Sum","Item Ledger Entry","Quantity","Entry Type","Purchase","Entry No.",I535,"Location Code","@@"&amp;$E$6)</t>
  </si>
  <si>
    <t>=NL("Sum","Item Ledger Entry","Quantity","Entry Type","Purchase","Entry No.",I536,"Location Code","@@"&amp;$E$6)</t>
  </si>
  <si>
    <t>=NL("Sum","Item Ledger Entry","Quantity","Entry Type","Sale","Entry No.",I534,"Location Code","@@"&amp;$E$6)</t>
  </si>
  <si>
    <t>=NL("Sum","Item Ledger Entry","Quantity","Entry Type","Sale","Entry No.",I535,"Location Code","@@"&amp;$E$6)</t>
  </si>
  <si>
    <t>=NL("Sum","Item Ledger Entry","Quantity","Entry Type","Sale","Entry No.",I536,"Location Code","@@"&amp;$E$6)</t>
  </si>
  <si>
    <t>=NL("Sum","Item Ledger Entry","Quantity","Entry Type","Positive Adjmt.|Negative Adjmt.","Entry No.",I534,"Location Code","@@"&amp;$E$6)</t>
  </si>
  <si>
    <t>=NL("Sum","Item Ledger Entry","Quantity","Entry Type","Positive Adjmt.|Negative Adjmt.","Entry No.",I535,"Location Code","@@"&amp;$E$6)</t>
  </si>
  <si>
    <t>=NL("Sum","Item Ledger Entry","Quantity","Entry Type","Positive Adjmt.|Negative Adjmt.","Entry No.",I536,"Location Code","@@"&amp;$E$6)</t>
  </si>
  <si>
    <t>=NL("Sum","Item Ledger Entry","Quantity","Entry Type","Transfer","Entry No.",I534,"Location Code","@@"&amp;$E$6)</t>
  </si>
  <si>
    <t>=NL("Sum","Item Ledger Entry","Quantity","Entry Type","Transfer","Entry No.",I535,"Location Code","@@"&amp;$E$6)</t>
  </si>
  <si>
    <t>=NL("Sum","Item Ledger Entry","Quantity","Entry Type","Transfer","Entry No.",I536,"Location Code","@@"&amp;$E$6)</t>
  </si>
  <si>
    <t>=NL("Sum","Item Ledger Entry","Quantity","Entry Type","Consumption","Entry No.",I534,"Location Code","@@"&amp;$E$6)</t>
  </si>
  <si>
    <t>=NL("Sum","Item Ledger Entry","Quantity","Entry Type","Consumption","Entry No.",I535,"Location Code","@@"&amp;$E$6)</t>
  </si>
  <si>
    <t>=NL("Sum","Item Ledger Entry","Quantity","Entry Type","Consumption","Entry No.",I536,"Location Code","@@"&amp;$E$6)</t>
  </si>
  <si>
    <t>=NL("Sum","Item Ledger Entry","Quantity","Entry Type","Output","Entry No.",I534,"Location Code","@@"&amp;$E$6)</t>
  </si>
  <si>
    <t>=NL("Sum","Item Ledger Entry","Quantity","Entry Type","Output","Entry No.",I535,"Location Code","@@"&amp;$E$6)</t>
  </si>
  <si>
    <t>=NL("Sum","Item Ledger Entry","Quantity","Entry Type","Output","Entry No.",I536,"Location Code","@@"&amp;$E$6)</t>
  </si>
  <si>
    <t>=NL("Sum","Item Ledger Entry","Quantity","Entry Type","Purchase","Entry No.",I527,"Location Code","@@"&amp;$E$6)</t>
  </si>
  <si>
    <t>=NL("Sum","Item Ledger Entry","Quantity","Entry Type","Purchase","Entry No.",I528,"Location Code","@@"&amp;$E$6)</t>
  </si>
  <si>
    <t>=NL("Sum","Item Ledger Entry","Quantity","Entry Type","Purchase","Entry No.",I529,"Location Code","@@"&amp;$E$6)</t>
  </si>
  <si>
    <t>=NL("Sum","Item Ledger Entry","Quantity","Entry Type","Purchase","Entry No.",I530,"Location Code","@@"&amp;$E$6)</t>
  </si>
  <si>
    <t>=NL("Sum","Item Ledger Entry","Quantity","Entry Type","Sale","Entry No.",I527,"Location Code","@@"&amp;$E$6)</t>
  </si>
  <si>
    <t>=NL("Sum","Item Ledger Entry","Quantity","Entry Type","Sale","Entry No.",I528,"Location Code","@@"&amp;$E$6)</t>
  </si>
  <si>
    <t>=NL("Sum","Item Ledger Entry","Quantity","Entry Type","Sale","Entry No.",I529,"Location Code","@@"&amp;$E$6)</t>
  </si>
  <si>
    <t>=NL("Sum","Item Ledger Entry","Quantity","Entry Type","Sale","Entry No.",I530,"Location Code","@@"&amp;$E$6)</t>
  </si>
  <si>
    <t>=NL("Sum","Item Ledger Entry","Quantity","Entry Type","Positive Adjmt.|Negative Adjmt.","Entry No.",I527,"Location Code","@@"&amp;$E$6)</t>
  </si>
  <si>
    <t>=NL("Sum","Item Ledger Entry","Quantity","Entry Type","Positive Adjmt.|Negative Adjmt.","Entry No.",I528,"Location Code","@@"&amp;$E$6)</t>
  </si>
  <si>
    <t>=NL("Sum","Item Ledger Entry","Quantity","Entry Type","Positive Adjmt.|Negative Adjmt.","Entry No.",I529,"Location Code","@@"&amp;$E$6)</t>
  </si>
  <si>
    <t>=NL("Sum","Item Ledger Entry","Quantity","Entry Type","Positive Adjmt.|Negative Adjmt.","Entry No.",I530,"Location Code","@@"&amp;$E$6)</t>
  </si>
  <si>
    <t>=NL("Sum","Item Ledger Entry","Quantity","Entry Type","Transfer","Entry No.",I527,"Location Code","@@"&amp;$E$6)</t>
  </si>
  <si>
    <t>=NL("Sum","Item Ledger Entry","Quantity","Entry Type","Transfer","Entry No.",I528,"Location Code","@@"&amp;$E$6)</t>
  </si>
  <si>
    <t>=NL("Sum","Item Ledger Entry","Quantity","Entry Type","Transfer","Entry No.",I529,"Location Code","@@"&amp;$E$6)</t>
  </si>
  <si>
    <t>=NL("Sum","Item Ledger Entry","Quantity","Entry Type","Transfer","Entry No.",I530,"Location Code","@@"&amp;$E$6)</t>
  </si>
  <si>
    <t>=NL("Sum","Item Ledger Entry","Quantity","Entry Type","Consumption","Entry No.",I527,"Location Code","@@"&amp;$E$6)</t>
  </si>
  <si>
    <t>=NL("Sum","Item Ledger Entry","Quantity","Entry Type","Consumption","Entry No.",I528,"Location Code","@@"&amp;$E$6)</t>
  </si>
  <si>
    <t>=NL("Sum","Item Ledger Entry","Quantity","Entry Type","Consumption","Entry No.",I529,"Location Code","@@"&amp;$E$6)</t>
  </si>
  <si>
    <t>=NL("Sum","Item Ledger Entry","Quantity","Entry Type","Consumption","Entry No.",I530,"Location Code","@@"&amp;$E$6)</t>
  </si>
  <si>
    <t>=NL("Sum","Item Ledger Entry","Quantity","Entry Type","Output","Entry No.",I527,"Location Code","@@"&amp;$E$6)</t>
  </si>
  <si>
    <t>=NL("Sum","Item Ledger Entry","Quantity","Entry Type","Output","Entry No.",I528,"Location Code","@@"&amp;$E$6)</t>
  </si>
  <si>
    <t>=NL("Sum","Item Ledger Entry","Quantity","Entry Type","Output","Entry No.",I529,"Location Code","@@"&amp;$E$6)</t>
  </si>
  <si>
    <t>=NL("Sum","Item Ledger Entry","Quantity","Entry Type","Output","Entry No.",I530,"Location Code","@@"&amp;$E$6)</t>
  </si>
  <si>
    <t>=NL("Sum","Item Ledger Entry","Quantity","Entry Type","Purchase","Entry No.",I521,"Location Code","@@"&amp;$E$6)</t>
  </si>
  <si>
    <t>=NL("Sum","Item Ledger Entry","Quantity","Entry Type","Purchase","Entry No.",I522,"Location Code","@@"&amp;$E$6)</t>
  </si>
  <si>
    <t>=NL("Sum","Item Ledger Entry","Quantity","Entry Type","Purchase","Entry No.",I523,"Location Code","@@"&amp;$E$6)</t>
  </si>
  <si>
    <t>=NL("Sum","Item Ledger Entry","Quantity","Entry Type","Sale","Entry No.",I521,"Location Code","@@"&amp;$E$6)</t>
  </si>
  <si>
    <t>=NL("Sum","Item Ledger Entry","Quantity","Entry Type","Sale","Entry No.",I522,"Location Code","@@"&amp;$E$6)</t>
  </si>
  <si>
    <t>=NL("Sum","Item Ledger Entry","Quantity","Entry Type","Sale","Entry No.",I523,"Location Code","@@"&amp;$E$6)</t>
  </si>
  <si>
    <t>=NL("Sum","Item Ledger Entry","Quantity","Entry Type","Positive Adjmt.|Negative Adjmt.","Entry No.",I521,"Location Code","@@"&amp;$E$6)</t>
  </si>
  <si>
    <t>=NL("Sum","Item Ledger Entry","Quantity","Entry Type","Positive Adjmt.|Negative Adjmt.","Entry No.",I522,"Location Code","@@"&amp;$E$6)</t>
  </si>
  <si>
    <t>=NL("Sum","Item Ledger Entry","Quantity","Entry Type","Positive Adjmt.|Negative Adjmt.","Entry No.",I523,"Location Code","@@"&amp;$E$6)</t>
  </si>
  <si>
    <t>=NL("Sum","Item Ledger Entry","Quantity","Entry Type","Transfer","Entry No.",I521,"Location Code","@@"&amp;$E$6)</t>
  </si>
  <si>
    <t>=NL("Sum","Item Ledger Entry","Quantity","Entry Type","Transfer","Entry No.",I522,"Location Code","@@"&amp;$E$6)</t>
  </si>
  <si>
    <t>=NL("Sum","Item Ledger Entry","Quantity","Entry Type","Transfer","Entry No.",I523,"Location Code","@@"&amp;$E$6)</t>
  </si>
  <si>
    <t>=NL("Sum","Item Ledger Entry","Quantity","Entry Type","Consumption","Entry No.",I521,"Location Code","@@"&amp;$E$6)</t>
  </si>
  <si>
    <t>=NL("Sum","Item Ledger Entry","Quantity","Entry Type","Consumption","Entry No.",I522,"Location Code","@@"&amp;$E$6)</t>
  </si>
  <si>
    <t>=NL("Sum","Item Ledger Entry","Quantity","Entry Type","Consumption","Entry No.",I523,"Location Code","@@"&amp;$E$6)</t>
  </si>
  <si>
    <t>=NL("Sum","Item Ledger Entry","Quantity","Entry Type","Output","Entry No.",I521,"Location Code","@@"&amp;$E$6)</t>
  </si>
  <si>
    <t>=NL("Sum","Item Ledger Entry","Quantity","Entry Type","Output","Entry No.",I522,"Location Code","@@"&amp;$E$6)</t>
  </si>
  <si>
    <t>=NL("Sum","Item Ledger Entry","Quantity","Entry Type","Output","Entry No.",I523,"Location Code","@@"&amp;$E$6)</t>
  </si>
  <si>
    <t>=NL("Sum","Item Ledger Entry","Quantity","Entry Type","Purchase","Entry No.",I510,"Location Code","@@"&amp;$E$6)</t>
  </si>
  <si>
    <t>=NL("Sum","Item Ledger Entry","Quantity","Entry Type","Purchase","Entry No.",I511,"Location Code","@@"&amp;$E$6)</t>
  </si>
  <si>
    <t>=NL("Sum","Item Ledger Entry","Quantity","Entry Type","Purchase","Entry No.",I512,"Location Code","@@"&amp;$E$6)</t>
  </si>
  <si>
    <t>=NL("Sum","Item Ledger Entry","Quantity","Entry Type","Sale","Entry No.",I510,"Location Code","@@"&amp;$E$6)</t>
  </si>
  <si>
    <t>=NL("Sum","Item Ledger Entry","Quantity","Entry Type","Sale","Entry No.",I511,"Location Code","@@"&amp;$E$6)</t>
  </si>
  <si>
    <t>=NL("Sum","Item Ledger Entry","Quantity","Entry Type","Sale","Entry No.",I512,"Location Code","@@"&amp;$E$6)</t>
  </si>
  <si>
    <t>=NL("Sum","Item Ledger Entry","Quantity","Entry Type","Positive Adjmt.|Negative Adjmt.","Entry No.",I510,"Location Code","@@"&amp;$E$6)</t>
  </si>
  <si>
    <t>=NL("Sum","Item Ledger Entry","Quantity","Entry Type","Positive Adjmt.|Negative Adjmt.","Entry No.",I511,"Location Code","@@"&amp;$E$6)</t>
  </si>
  <si>
    <t>=NL("Sum","Item Ledger Entry","Quantity","Entry Type","Positive Adjmt.|Negative Adjmt.","Entry No.",I512,"Location Code","@@"&amp;$E$6)</t>
  </si>
  <si>
    <t>=NL("Sum","Item Ledger Entry","Quantity","Entry Type","Transfer","Entry No.",I510,"Location Code","@@"&amp;$E$6)</t>
  </si>
  <si>
    <t>=NL("Sum","Item Ledger Entry","Quantity","Entry Type","Transfer","Entry No.",I511,"Location Code","@@"&amp;$E$6)</t>
  </si>
  <si>
    <t>=NL("Sum","Item Ledger Entry","Quantity","Entry Type","Transfer","Entry No.",I512,"Location Code","@@"&amp;$E$6)</t>
  </si>
  <si>
    <t>=NL("Sum","Item Ledger Entry","Quantity","Entry Type","Consumption","Entry No.",I510,"Location Code","@@"&amp;$E$6)</t>
  </si>
  <si>
    <t>=NL("Sum","Item Ledger Entry","Quantity","Entry Type","Consumption","Entry No.",I511,"Location Code","@@"&amp;$E$6)</t>
  </si>
  <si>
    <t>=NL("Sum","Item Ledger Entry","Quantity","Entry Type","Consumption","Entry No.",I512,"Location Code","@@"&amp;$E$6)</t>
  </si>
  <si>
    <t>=NL("Sum","Item Ledger Entry","Quantity","Entry Type","Output","Entry No.",I510,"Location Code","@@"&amp;$E$6)</t>
  </si>
  <si>
    <t>=NL("Sum","Item Ledger Entry","Quantity","Entry Type","Output","Entry No.",I511,"Location Code","@@"&amp;$E$6)</t>
  </si>
  <si>
    <t>=NL("Sum","Item Ledger Entry","Quantity","Entry Type","Output","Entry No.",I512,"Location Code","@@"&amp;$E$6)</t>
  </si>
  <si>
    <t>=NL("Sum","Item Ledger Entry","Quantity","Entry Type","Purchase","Entry No.",I504,"Location Code","@@"&amp;$E$6)</t>
  </si>
  <si>
    <t>=NL("Sum","Item Ledger Entry","Quantity","Entry Type","Purchase","Entry No.",I505,"Location Code","@@"&amp;$E$6)</t>
  </si>
  <si>
    <t>=NL("Sum","Item Ledger Entry","Quantity","Entry Type","Purchase","Entry No.",I506,"Location Code","@@"&amp;$E$6)</t>
  </si>
  <si>
    <t>=NL("Sum","Item Ledger Entry","Quantity","Entry Type","Sale","Entry No.",I504,"Location Code","@@"&amp;$E$6)</t>
  </si>
  <si>
    <t>=NL("Sum","Item Ledger Entry","Quantity","Entry Type","Sale","Entry No.",I505,"Location Code","@@"&amp;$E$6)</t>
  </si>
  <si>
    <t>=NL("Sum","Item Ledger Entry","Quantity","Entry Type","Sale","Entry No.",I506,"Location Code","@@"&amp;$E$6)</t>
  </si>
  <si>
    <t>=NL("Sum","Item Ledger Entry","Quantity","Entry Type","Positive Adjmt.|Negative Adjmt.","Entry No.",I504,"Location Code","@@"&amp;$E$6)</t>
  </si>
  <si>
    <t>=NL("Sum","Item Ledger Entry","Quantity","Entry Type","Positive Adjmt.|Negative Adjmt.","Entry No.",I505,"Location Code","@@"&amp;$E$6)</t>
  </si>
  <si>
    <t>=NL("Sum","Item Ledger Entry","Quantity","Entry Type","Positive Adjmt.|Negative Adjmt.","Entry No.",I506,"Location Code","@@"&amp;$E$6)</t>
  </si>
  <si>
    <t>=NL("Sum","Item Ledger Entry","Quantity","Entry Type","Transfer","Entry No.",I504,"Location Code","@@"&amp;$E$6)</t>
  </si>
  <si>
    <t>=NL("Sum","Item Ledger Entry","Quantity","Entry Type","Transfer","Entry No.",I505,"Location Code","@@"&amp;$E$6)</t>
  </si>
  <si>
    <t>=NL("Sum","Item Ledger Entry","Quantity","Entry Type","Transfer","Entry No.",I506,"Location Code","@@"&amp;$E$6)</t>
  </si>
  <si>
    <t>=NL("Sum","Item Ledger Entry","Quantity","Entry Type","Consumption","Entry No.",I504,"Location Code","@@"&amp;$E$6)</t>
  </si>
  <si>
    <t>=NL("Sum","Item Ledger Entry","Quantity","Entry Type","Consumption","Entry No.",I505,"Location Code","@@"&amp;$E$6)</t>
  </si>
  <si>
    <t>=NL("Sum","Item Ledger Entry","Quantity","Entry Type","Consumption","Entry No.",I506,"Location Code","@@"&amp;$E$6)</t>
  </si>
  <si>
    <t>=NL("Sum","Item Ledger Entry","Quantity","Entry Type","Output","Entry No.",I504,"Location Code","@@"&amp;$E$6)</t>
  </si>
  <si>
    <t>=NL("Sum","Item Ledger Entry","Quantity","Entry Type","Output","Entry No.",I505,"Location Code","@@"&amp;$E$6)</t>
  </si>
  <si>
    <t>=NL("Sum","Item Ledger Entry","Quantity","Entry Type","Output","Entry No.",I506,"Location Code","@@"&amp;$E$6)</t>
  </si>
  <si>
    <t>=NL("Sum","Item Ledger Entry","Quantity","Entry Type","Purchase","Entry No.",I481,"Location Code","@@"&amp;$E$6)</t>
  </si>
  <si>
    <t>=NL("Sum","Item Ledger Entry","Quantity","Entry Type","Purchase","Entry No.",I482,"Location Code","@@"&amp;$E$6)</t>
  </si>
  <si>
    <t>=NL("Sum","Item Ledger Entry","Quantity","Entry Type","Purchase","Entry No.",I483,"Location Code","@@"&amp;$E$6)</t>
  </si>
  <si>
    <t>=NL("Sum","Item Ledger Entry","Quantity","Entry Type","Sale","Entry No.",I481,"Location Code","@@"&amp;$E$6)</t>
  </si>
  <si>
    <t>=NL("Sum","Item Ledger Entry","Quantity","Entry Type","Sale","Entry No.",I482,"Location Code","@@"&amp;$E$6)</t>
  </si>
  <si>
    <t>=NL("Sum","Item Ledger Entry","Quantity","Entry Type","Sale","Entry No.",I483,"Location Code","@@"&amp;$E$6)</t>
  </si>
  <si>
    <t>=NL("Sum","Item Ledger Entry","Quantity","Entry Type","Positive Adjmt.|Negative Adjmt.","Entry No.",I481,"Location Code","@@"&amp;$E$6)</t>
  </si>
  <si>
    <t>=NL("Sum","Item Ledger Entry","Quantity","Entry Type","Positive Adjmt.|Negative Adjmt.","Entry No.",I482,"Location Code","@@"&amp;$E$6)</t>
  </si>
  <si>
    <t>=NL("Sum","Item Ledger Entry","Quantity","Entry Type","Positive Adjmt.|Negative Adjmt.","Entry No.",I483,"Location Code","@@"&amp;$E$6)</t>
  </si>
  <si>
    <t>=NL("Sum","Item Ledger Entry","Quantity","Entry Type","Transfer","Entry No.",I481,"Location Code","@@"&amp;$E$6)</t>
  </si>
  <si>
    <t>=NL("Sum","Item Ledger Entry","Quantity","Entry Type","Transfer","Entry No.",I482,"Location Code","@@"&amp;$E$6)</t>
  </si>
  <si>
    <t>=NL("Sum","Item Ledger Entry","Quantity","Entry Type","Transfer","Entry No.",I483,"Location Code","@@"&amp;$E$6)</t>
  </si>
  <si>
    <t>=NL("Sum","Item Ledger Entry","Quantity","Entry Type","Consumption","Entry No.",I481,"Location Code","@@"&amp;$E$6)</t>
  </si>
  <si>
    <t>=NL("Sum","Item Ledger Entry","Quantity","Entry Type","Consumption","Entry No.",I482,"Location Code","@@"&amp;$E$6)</t>
  </si>
  <si>
    <t>=NL("Sum","Item Ledger Entry","Quantity","Entry Type","Consumption","Entry No.",I483,"Location Code","@@"&amp;$E$6)</t>
  </si>
  <si>
    <t>=NL("Sum","Item Ledger Entry","Quantity","Entry Type","Output","Entry No.",I481,"Location Code","@@"&amp;$E$6)</t>
  </si>
  <si>
    <t>=NL("Sum","Item Ledger Entry","Quantity","Entry Type","Output","Entry No.",I482,"Location Code","@@"&amp;$E$6)</t>
  </si>
  <si>
    <t>=NL("Sum","Item Ledger Entry","Quantity","Entry Type","Output","Entry No.",I483,"Location Code","@@"&amp;$E$6)</t>
  </si>
  <si>
    <t>=NL("Sum","Item Ledger Entry","Quantity","Entry Type","Purchase","Entry No.",I475,"Location Code","@@"&amp;$E$6)</t>
  </si>
  <si>
    <t>=NL("Sum","Item Ledger Entry","Quantity","Entry Type","Purchase","Entry No.",I476,"Location Code","@@"&amp;$E$6)</t>
  </si>
  <si>
    <t>=NL("Sum","Item Ledger Entry","Quantity","Entry Type","Purchase","Entry No.",I477,"Location Code","@@"&amp;$E$6)</t>
  </si>
  <si>
    <t>=NL("Sum","Item Ledger Entry","Quantity","Entry Type","Sale","Entry No.",I475,"Location Code","@@"&amp;$E$6)</t>
  </si>
  <si>
    <t>=NL("Sum","Item Ledger Entry","Quantity","Entry Type","Sale","Entry No.",I476,"Location Code","@@"&amp;$E$6)</t>
  </si>
  <si>
    <t>=NL("Sum","Item Ledger Entry","Quantity","Entry Type","Sale","Entry No.",I477,"Location Code","@@"&amp;$E$6)</t>
  </si>
  <si>
    <t>=NL("Sum","Item Ledger Entry","Quantity","Entry Type","Positive Adjmt.|Negative Adjmt.","Entry No.",I475,"Location Code","@@"&amp;$E$6)</t>
  </si>
  <si>
    <t>=NL("Sum","Item Ledger Entry","Quantity","Entry Type","Positive Adjmt.|Negative Adjmt.","Entry No.",I476,"Location Code","@@"&amp;$E$6)</t>
  </si>
  <si>
    <t>=NL("Sum","Item Ledger Entry","Quantity","Entry Type","Positive Adjmt.|Negative Adjmt.","Entry No.",I477,"Location Code","@@"&amp;$E$6)</t>
  </si>
  <si>
    <t>=NL("Sum","Item Ledger Entry","Quantity","Entry Type","Transfer","Entry No.",I475,"Location Code","@@"&amp;$E$6)</t>
  </si>
  <si>
    <t>=NL("Sum","Item Ledger Entry","Quantity","Entry Type","Transfer","Entry No.",I476,"Location Code","@@"&amp;$E$6)</t>
  </si>
  <si>
    <t>=NL("Sum","Item Ledger Entry","Quantity","Entry Type","Transfer","Entry No.",I477,"Location Code","@@"&amp;$E$6)</t>
  </si>
  <si>
    <t>=NL("Sum","Item Ledger Entry","Quantity","Entry Type","Consumption","Entry No.",I475,"Location Code","@@"&amp;$E$6)</t>
  </si>
  <si>
    <t>=NL("Sum","Item Ledger Entry","Quantity","Entry Type","Consumption","Entry No.",I476,"Location Code","@@"&amp;$E$6)</t>
  </si>
  <si>
    <t>=NL("Sum","Item Ledger Entry","Quantity","Entry Type","Consumption","Entry No.",I477,"Location Code","@@"&amp;$E$6)</t>
  </si>
  <si>
    <t>=NL("Sum","Item Ledger Entry","Quantity","Entry Type","Output","Entry No.",I475,"Location Code","@@"&amp;$E$6)</t>
  </si>
  <si>
    <t>=NL("Sum","Item Ledger Entry","Quantity","Entry Type","Output","Entry No.",I476,"Location Code","@@"&amp;$E$6)</t>
  </si>
  <si>
    <t>=NL("Sum","Item Ledger Entry","Quantity","Entry Type","Output","Entry No.",I477,"Location Code","@@"&amp;$E$6)</t>
  </si>
  <si>
    <t>=NL("Sum","Item Ledger Entry","Quantity","Entry Type","Purchase","Entry No.",I465,"Location Code","@@"&amp;$E$6)</t>
  </si>
  <si>
    <t>=NL("Sum","Item Ledger Entry","Quantity","Entry Type","Purchase","Entry No.",I466,"Location Code","@@"&amp;$E$6)</t>
  </si>
  <si>
    <t>=NL("Sum","Item Ledger Entry","Quantity","Entry Type","Purchase","Entry No.",I467,"Location Code","@@"&amp;$E$6)</t>
  </si>
  <si>
    <t>=NL("Sum","Item Ledger Entry","Quantity","Entry Type","Sale","Entry No.",I465,"Location Code","@@"&amp;$E$6)</t>
  </si>
  <si>
    <t>=NL("Sum","Item Ledger Entry","Quantity","Entry Type","Sale","Entry No.",I466,"Location Code","@@"&amp;$E$6)</t>
  </si>
  <si>
    <t>=NL("Sum","Item Ledger Entry","Quantity","Entry Type","Sale","Entry No.",I467,"Location Code","@@"&amp;$E$6)</t>
  </si>
  <si>
    <t>=NL("Sum","Item Ledger Entry","Quantity","Entry Type","Positive Adjmt.|Negative Adjmt.","Entry No.",I465,"Location Code","@@"&amp;$E$6)</t>
  </si>
  <si>
    <t>=NL("Sum","Item Ledger Entry","Quantity","Entry Type","Positive Adjmt.|Negative Adjmt.","Entry No.",I466,"Location Code","@@"&amp;$E$6)</t>
  </si>
  <si>
    <t>=NL("Sum","Item Ledger Entry","Quantity","Entry Type","Positive Adjmt.|Negative Adjmt.","Entry No.",I467,"Location Code","@@"&amp;$E$6)</t>
  </si>
  <si>
    <t>=NL("Sum","Item Ledger Entry","Quantity","Entry Type","Transfer","Entry No.",I465,"Location Code","@@"&amp;$E$6)</t>
  </si>
  <si>
    <t>=NL("Sum","Item Ledger Entry","Quantity","Entry Type","Transfer","Entry No.",I466,"Location Code","@@"&amp;$E$6)</t>
  </si>
  <si>
    <t>=NL("Sum","Item Ledger Entry","Quantity","Entry Type","Transfer","Entry No.",I467,"Location Code","@@"&amp;$E$6)</t>
  </si>
  <si>
    <t>=NL("Sum","Item Ledger Entry","Quantity","Entry Type","Consumption","Entry No.",I465,"Location Code","@@"&amp;$E$6)</t>
  </si>
  <si>
    <t>=NL("Sum","Item Ledger Entry","Quantity","Entry Type","Consumption","Entry No.",I466,"Location Code","@@"&amp;$E$6)</t>
  </si>
  <si>
    <t>=NL("Sum","Item Ledger Entry","Quantity","Entry Type","Consumption","Entry No.",I467,"Location Code","@@"&amp;$E$6)</t>
  </si>
  <si>
    <t>=NL("Sum","Item Ledger Entry","Quantity","Entry Type","Output","Entry No.",I465,"Location Code","@@"&amp;$E$6)</t>
  </si>
  <si>
    <t>=NL("Sum","Item Ledger Entry","Quantity","Entry Type","Output","Entry No.",I466,"Location Code","@@"&amp;$E$6)</t>
  </si>
  <si>
    <t>=NL("Sum","Item Ledger Entry","Quantity","Entry Type","Output","Entry No.",I467,"Location Code","@@"&amp;$E$6)</t>
  </si>
  <si>
    <t>=NL("Sum","Item Ledger Entry","Quantity","Entry Type","Purchase","Entry No.",I441,"Location Code","@@"&amp;$E$6)</t>
  </si>
  <si>
    <t>=NL("Sum","Item Ledger Entry","Quantity","Entry Type","Purchase","Entry No.",I443,"Location Code","@@"&amp;$E$6)</t>
  </si>
  <si>
    <t>=NL("Sum","Item Ledger Entry","Quantity","Entry Type","Sale","Entry No.",I441,"Location Code","@@"&amp;$E$6)</t>
  </si>
  <si>
    <t>=NL("Sum","Item Ledger Entry","Quantity","Entry Type","Sale","Entry No.",I443,"Location Code","@@"&amp;$E$6)</t>
  </si>
  <si>
    <t>=NL("Sum","Item Ledger Entry","Quantity","Entry Type","Positive Adjmt.|Negative Adjmt.","Entry No.",I441,"Location Code","@@"&amp;$E$6)</t>
  </si>
  <si>
    <t>=NL("Sum","Item Ledger Entry","Quantity","Entry Type","Positive Adjmt.|Negative Adjmt.","Entry No.",I443,"Location Code","@@"&amp;$E$6)</t>
  </si>
  <si>
    <t>=NL("Sum","Item Ledger Entry","Quantity","Entry Type","Transfer","Entry No.",I441,"Location Code","@@"&amp;$E$6)</t>
  </si>
  <si>
    <t>=NL("Sum","Item Ledger Entry","Quantity","Entry Type","Transfer","Entry No.",I443,"Location Code","@@"&amp;$E$6)</t>
  </si>
  <si>
    <t>=NL("Sum","Item Ledger Entry","Quantity","Entry Type","Consumption","Entry No.",I441,"Location Code","@@"&amp;$E$6)</t>
  </si>
  <si>
    <t>=NL("Sum","Item Ledger Entry","Quantity","Entry Type","Consumption","Entry No.",I443,"Location Code","@@"&amp;$E$6)</t>
  </si>
  <si>
    <t>=NL("Sum","Item Ledger Entry","Quantity","Entry Type","Output","Entry No.",I441,"Location Code","@@"&amp;$E$6)</t>
  </si>
  <si>
    <t>=NL("Sum","Item Ledger Entry","Quantity","Entry Type","Output","Entry No.",I443,"Location Code","@@"&amp;$E$6)</t>
  </si>
  <si>
    <t>=NF($G431,"Posting Date")</t>
  </si>
  <si>
    <t>=NF($G431,"Entry No.")</t>
  </si>
  <si>
    <t>=NL("Sum","Item Ledger Entry","Quantity","Entry Type","Purchase","Entry No.",I430,"Location Code","@@"&amp;$E$6)</t>
  </si>
  <si>
    <t>=NL("Sum","Item Ledger Entry","Quantity","Entry Type","Purchase","Entry No.",I431,"Location Code","@@"&amp;$E$6)</t>
  </si>
  <si>
    <t>=NL("Sum","Item Ledger Entry","Quantity","Entry Type","Sale","Entry No.",I430,"Location Code","@@"&amp;$E$6)</t>
  </si>
  <si>
    <t>=NL("Sum","Item Ledger Entry","Quantity","Entry Type","Sale","Entry No.",I431,"Location Code","@@"&amp;$E$6)</t>
  </si>
  <si>
    <t>=NL("Sum","Item Ledger Entry","Quantity","Entry Type","Positive Adjmt.|Negative Adjmt.","Entry No.",I430,"Location Code","@@"&amp;$E$6)</t>
  </si>
  <si>
    <t>=NL("Sum","Item Ledger Entry","Quantity","Entry Type","Positive Adjmt.|Negative Adjmt.","Entry No.",I431,"Location Code","@@"&amp;$E$6)</t>
  </si>
  <si>
    <t>=NL("Sum","Item Ledger Entry","Quantity","Entry Type","Transfer","Entry No.",I430,"Location Code","@@"&amp;$E$6)</t>
  </si>
  <si>
    <t>=NL("Sum","Item Ledger Entry","Quantity","Entry Type","Transfer","Entry No.",I431,"Location Code","@@"&amp;$E$6)</t>
  </si>
  <si>
    <t>=NL("Sum","Item Ledger Entry","Quantity","Entry Type","Consumption","Entry No.",I430,"Location Code","@@"&amp;$E$6)</t>
  </si>
  <si>
    <t>=NL("Sum","Item Ledger Entry","Quantity","Entry Type","Consumption","Entry No.",I431,"Location Code","@@"&amp;$E$6)</t>
  </si>
  <si>
    <t>=NL("Sum","Item Ledger Entry","Quantity","Entry Type","Output","Entry No.",I430,"Location Code","@@"&amp;$E$6)</t>
  </si>
  <si>
    <t>=NL("Sum","Item Ledger Entry","Quantity","Entry Type","Output","Entry No.",I431,"Location Code","@@"&amp;$E$6)</t>
  </si>
  <si>
    <t>=NF(G431,"Source Type")</t>
  </si>
  <si>
    <t>=NF($G431,"Source No.")</t>
  </si>
  <si>
    <t>=NL("Sum","Item Ledger Entry","Quantity","Entry Type","Purchase","Entry No.",I426,"Location Code","@@"&amp;$E$6)</t>
  </si>
  <si>
    <t>=NL("Sum","Item Ledger Entry","Quantity","Entry Type","Sale","Entry No.",I426,"Location Code","@@"&amp;$E$6)</t>
  </si>
  <si>
    <t>=NL("Sum","Item Ledger Entry","Quantity","Entry Type","Positive Adjmt.|Negative Adjmt.","Entry No.",I426,"Location Code","@@"&amp;$E$6)</t>
  </si>
  <si>
    <t>=NL("Sum","Item Ledger Entry","Quantity","Entry Type","Transfer","Entry No.",I426,"Location Code","@@"&amp;$E$6)</t>
  </si>
  <si>
    <t>=NL("Sum","Item Ledger Entry","Quantity","Entry Type","Consumption","Entry No.",I426,"Location Code","@@"&amp;$E$6)</t>
  </si>
  <si>
    <t>=NL("Sum","Item Ledger Entry","Quantity","Entry Type","Output","Entry No.",I426,"Location Code","@@"&amp;$E$6)</t>
  </si>
  <si>
    <t>=NL("Sum","Item Ledger Entry","Quantity","Entry Type","Purchase","Entry No.",I420,"Location Code","@@"&amp;$E$6)</t>
  </si>
  <si>
    <t>=NL("Sum","Item Ledger Entry","Quantity","Entry Type","Sale","Entry No.",I420,"Location Code","@@"&amp;$E$6)</t>
  </si>
  <si>
    <t>=NL("Sum","Item Ledger Entry","Quantity","Entry Type","Positive Adjmt.|Negative Adjmt.","Entry No.",I420,"Location Code","@@"&amp;$E$6)</t>
  </si>
  <si>
    <t>=NL("Sum","Item Ledger Entry","Quantity","Entry Type","Transfer","Entry No.",I420,"Location Code","@@"&amp;$E$6)</t>
  </si>
  <si>
    <t>=NL("Sum","Item Ledger Entry","Quantity","Entry Type","Consumption","Entry No.",I420,"Location Code","@@"&amp;$E$6)</t>
  </si>
  <si>
    <t>=NL("Sum","Item Ledger Entry","Quantity","Entry Type","Output","Entry No.",I420,"Location Code","@@"&amp;$E$6)</t>
  </si>
  <si>
    <t>=NL("Sum","Item Ledger Entry","Quantity","Entry Type","Purchase","Entry No.",I411,"Location Code","@@"&amp;$E$6)</t>
  </si>
  <si>
    <t>=NL("Sum","Item Ledger Entry","Quantity","Entry Type","Purchase","Entry No.",I412,"Location Code","@@"&amp;$E$6)</t>
  </si>
  <si>
    <t>=NL("Sum","Item Ledger Entry","Quantity","Entry Type","Purchase","Entry No.",I413,"Location Code","@@"&amp;$E$6)</t>
  </si>
  <si>
    <t>=NL("Sum","Item Ledger Entry","Quantity","Entry Type","Sale","Entry No.",I411,"Location Code","@@"&amp;$E$6)</t>
  </si>
  <si>
    <t>=NL("Sum","Item Ledger Entry","Quantity","Entry Type","Sale","Entry No.",I412,"Location Code","@@"&amp;$E$6)</t>
  </si>
  <si>
    <t>=NL("Sum","Item Ledger Entry","Quantity","Entry Type","Sale","Entry No.",I413,"Location Code","@@"&amp;$E$6)</t>
  </si>
  <si>
    <t>=NL("Sum","Item Ledger Entry","Quantity","Entry Type","Positive Adjmt.|Negative Adjmt.","Entry No.",I411,"Location Code","@@"&amp;$E$6)</t>
  </si>
  <si>
    <t>=NL("Sum","Item Ledger Entry","Quantity","Entry Type","Positive Adjmt.|Negative Adjmt.","Entry No.",I412,"Location Code","@@"&amp;$E$6)</t>
  </si>
  <si>
    <t>=NL("Sum","Item Ledger Entry","Quantity","Entry Type","Positive Adjmt.|Negative Adjmt.","Entry No.",I413,"Location Code","@@"&amp;$E$6)</t>
  </si>
  <si>
    <t>=NL("Sum","Item Ledger Entry","Quantity","Entry Type","Transfer","Entry No.",I411,"Location Code","@@"&amp;$E$6)</t>
  </si>
  <si>
    <t>=NL("Sum","Item Ledger Entry","Quantity","Entry Type","Transfer","Entry No.",I412,"Location Code","@@"&amp;$E$6)</t>
  </si>
  <si>
    <t>=NL("Sum","Item Ledger Entry","Quantity","Entry Type","Transfer","Entry No.",I413,"Location Code","@@"&amp;$E$6)</t>
  </si>
  <si>
    <t>=NL("Sum","Item Ledger Entry","Quantity","Entry Type","Consumption","Entry No.",I411,"Location Code","@@"&amp;$E$6)</t>
  </si>
  <si>
    <t>=NL("Sum","Item Ledger Entry","Quantity","Entry Type","Consumption","Entry No.",I412,"Location Code","@@"&amp;$E$6)</t>
  </si>
  <si>
    <t>=NL("Sum","Item Ledger Entry","Quantity","Entry Type","Consumption","Entry No.",I413,"Location Code","@@"&amp;$E$6)</t>
  </si>
  <si>
    <t>=NL("Sum","Item Ledger Entry","Quantity","Entry Type","Output","Entry No.",I411,"Location Code","@@"&amp;$E$6)</t>
  </si>
  <si>
    <t>=NL("Sum","Item Ledger Entry","Quantity","Entry Type","Output","Entry No.",I412,"Location Code","@@"&amp;$E$6)</t>
  </si>
  <si>
    <t>=NL("Sum","Item Ledger Entry","Quantity","Entry Type","Output","Entry No.",I413,"Location Code","@@"&amp;$E$6)</t>
  </si>
  <si>
    <t>=NL("Sum","Item Ledger Entry","Quantity","Entry Type","Purchase","Entry No.",I405,"Location Code","@@"&amp;$E$6)</t>
  </si>
  <si>
    <t>=NL("Sum","Item Ledger Entry","Quantity","Entry Type","Purchase","Entry No.",I407,"Location Code","@@"&amp;$E$6)</t>
  </si>
  <si>
    <t>=NL("Sum","Item Ledger Entry","Quantity","Entry Type","Sale","Entry No.",I405,"Location Code","@@"&amp;$E$6)</t>
  </si>
  <si>
    <t>=NL("Sum","Item Ledger Entry","Quantity","Entry Type","Sale","Entry No.",I407,"Location Code","@@"&amp;$E$6)</t>
  </si>
  <si>
    <t>=NL("Sum","Item Ledger Entry","Quantity","Entry Type","Positive Adjmt.|Negative Adjmt.","Entry No.",I405,"Location Code","@@"&amp;$E$6)</t>
  </si>
  <si>
    <t>=NL("Sum","Item Ledger Entry","Quantity","Entry Type","Positive Adjmt.|Negative Adjmt.","Entry No.",I407,"Location Code","@@"&amp;$E$6)</t>
  </si>
  <si>
    <t>=NL("Sum","Item Ledger Entry","Quantity","Entry Type","Transfer","Entry No.",I405,"Location Code","@@"&amp;$E$6)</t>
  </si>
  <si>
    <t>=NL("Sum","Item Ledger Entry","Quantity","Entry Type","Transfer","Entry No.",I407,"Location Code","@@"&amp;$E$6)</t>
  </si>
  <si>
    <t>=NL("Sum","Item Ledger Entry","Quantity","Entry Type","Consumption","Entry No.",I405,"Location Code","@@"&amp;$E$6)</t>
  </si>
  <si>
    <t>=NL("Sum","Item Ledger Entry","Quantity","Entry Type","Consumption","Entry No.",I407,"Location Code","@@"&amp;$E$6)</t>
  </si>
  <si>
    <t>=NL("Sum","Item Ledger Entry","Quantity","Entry Type","Output","Entry No.",I405,"Location Code","@@"&amp;$E$6)</t>
  </si>
  <si>
    <t>=NL("Sum","Item Ledger Entry","Quantity","Entry Type","Output","Entry No.",I407,"Location Code","@@"&amp;$E$6)</t>
  </si>
  <si>
    <t>=NL("Sum","Item Ledger Entry","Quantity","Entry Type","Purchase","Entry No.",I396,"Location Code","@@"&amp;$E$6)</t>
  </si>
  <si>
    <t>=NL("Sum","Item Ledger Entry","Quantity","Entry Type","Sale","Entry No.",I396,"Location Code","@@"&amp;$E$6)</t>
  </si>
  <si>
    <t>=NL("Sum","Item Ledger Entry","Quantity","Entry Type","Positive Adjmt.|Negative Adjmt.","Entry No.",I396,"Location Code","@@"&amp;$E$6)</t>
  </si>
  <si>
    <t>=NL("Sum","Item Ledger Entry","Quantity","Entry Type","Transfer","Entry No.",I396,"Location Code","@@"&amp;$E$6)</t>
  </si>
  <si>
    <t>=NL("Sum","Item Ledger Entry","Quantity","Entry Type","Consumption","Entry No.",I396,"Location Code","@@"&amp;$E$6)</t>
  </si>
  <si>
    <t>=NL("Sum","Item Ledger Entry","Quantity","Entry Type","Output","Entry No.",I396,"Location Code","@@"&amp;$E$6)</t>
  </si>
  <si>
    <t>=NL("Sum","Item Ledger Entry","Quantity","Entry Type","Purchase","Entry No.",I391,"Location Code","@@"&amp;$E$6)</t>
  </si>
  <si>
    <t>=NL("Sum","Item Ledger Entry","Quantity","Entry Type","Purchase","Entry No.",I392,"Location Code","@@"&amp;$E$6)</t>
  </si>
  <si>
    <t>=NL("Sum","Item Ledger Entry","Quantity","Entry Type","Sale","Entry No.",I391,"Location Code","@@"&amp;$E$6)</t>
  </si>
  <si>
    <t>=NL("Sum","Item Ledger Entry","Quantity","Entry Type","Sale","Entry No.",I392,"Location Code","@@"&amp;$E$6)</t>
  </si>
  <si>
    <t>=NL("Sum","Item Ledger Entry","Quantity","Entry Type","Positive Adjmt.|Negative Adjmt.","Entry No.",I391,"Location Code","@@"&amp;$E$6)</t>
  </si>
  <si>
    <t>=NL("Sum","Item Ledger Entry","Quantity","Entry Type","Positive Adjmt.|Negative Adjmt.","Entry No.",I392,"Location Code","@@"&amp;$E$6)</t>
  </si>
  <si>
    <t>=NL("Sum","Item Ledger Entry","Quantity","Entry Type","Transfer","Entry No.",I391,"Location Code","@@"&amp;$E$6)</t>
  </si>
  <si>
    <t>=NL("Sum","Item Ledger Entry","Quantity","Entry Type","Transfer","Entry No.",I392,"Location Code","@@"&amp;$E$6)</t>
  </si>
  <si>
    <t>=NL("Sum","Item Ledger Entry","Quantity","Entry Type","Consumption","Entry No.",I391,"Location Code","@@"&amp;$E$6)</t>
  </si>
  <si>
    <t>=NL("Sum","Item Ledger Entry","Quantity","Entry Type","Consumption","Entry No.",I392,"Location Code","@@"&amp;$E$6)</t>
  </si>
  <si>
    <t>=NL("Sum","Item Ledger Entry","Quantity","Entry Type","Output","Entry No.",I391,"Location Code","@@"&amp;$E$6)</t>
  </si>
  <si>
    <t>=NL("Sum","Item Ledger Entry","Quantity","Entry Type","Output","Entry No.",I392,"Location Code","@@"&amp;$E$6)</t>
  </si>
  <si>
    <t>=NL("Sum","Item Ledger Entry","Quantity","Entry Type","Purchase","Entry No.",I383,"Location Code","@@"&amp;$E$6)</t>
  </si>
  <si>
    <t>=NL("Sum","Item Ledger Entry","Quantity","Entry Type","Sale","Entry No.",I383,"Location Code","@@"&amp;$E$6)</t>
  </si>
  <si>
    <t>=NL("Sum","Item Ledger Entry","Quantity","Entry Type","Positive Adjmt.|Negative Adjmt.","Entry No.",I383,"Location Code","@@"&amp;$E$6)</t>
  </si>
  <si>
    <t>=NL("Sum","Item Ledger Entry","Quantity","Entry Type","Transfer","Entry No.",I383,"Location Code","@@"&amp;$E$6)</t>
  </si>
  <si>
    <t>=NL("Sum","Item Ledger Entry","Quantity","Entry Type","Consumption","Entry No.",I383,"Location Code","@@"&amp;$E$6)</t>
  </si>
  <si>
    <t>=NL("Sum","Item Ledger Entry","Quantity","Entry Type","Output","Entry No.",I383,"Location Code","@@"&amp;$E$6)</t>
  </si>
  <si>
    <t>=NL("Sum","Item Ledger Entry","Quantity","Entry Type","Purchase","Entry No.",I356,"Location Code","@@"&amp;$E$6)</t>
  </si>
  <si>
    <t>=NL("Sum","Item Ledger Entry","Quantity","Entry Type","Sale","Entry No.",I356,"Location Code","@@"&amp;$E$6)</t>
  </si>
  <si>
    <t>=NL("Sum","Item Ledger Entry","Quantity","Entry Type","Positive Adjmt.|Negative Adjmt.","Entry No.",I356,"Location Code","@@"&amp;$E$6)</t>
  </si>
  <si>
    <t>=NL("Sum","Item Ledger Entry","Quantity","Entry Type","Transfer","Entry No.",I356,"Location Code","@@"&amp;$E$6)</t>
  </si>
  <si>
    <t>=NL("Sum","Item Ledger Entry","Quantity","Entry Type","Consumption","Entry No.",I356,"Location Code","@@"&amp;$E$6)</t>
  </si>
  <si>
    <t>=NL("Sum","Item Ledger Entry","Quantity","Entry Type","Output","Entry No.",I356,"Location Code","@@"&amp;$E$6)</t>
  </si>
  <si>
    <t>=NL("Sum","Item Ledger Entry","Quantity","Entry Type","Purchase","Entry No.",I337,"Location Code","@@"&amp;$E$6)</t>
  </si>
  <si>
    <t>=NL("Sum","Item Ledger Entry","Quantity","Entry Type","Sale","Entry No.",I337,"Location Code","@@"&amp;$E$6)</t>
  </si>
  <si>
    <t>=NL("Sum","Item Ledger Entry","Quantity","Entry Type","Positive Adjmt.|Negative Adjmt.","Entry No.",I337,"Location Code","@@"&amp;$E$6)</t>
  </si>
  <si>
    <t>=NL("Sum","Item Ledger Entry","Quantity","Entry Type","Transfer","Entry No.",I337,"Location Code","@@"&amp;$E$6)</t>
  </si>
  <si>
    <t>=NL("Sum","Item Ledger Entry","Quantity","Entry Type","Consumption","Entry No.",I337,"Location Code","@@"&amp;$E$6)</t>
  </si>
  <si>
    <t>=NL("Sum","Item Ledger Entry","Quantity","Entry Type","Output","Entry No.",I337,"Location Code","@@"&amp;$E$6)</t>
  </si>
  <si>
    <t>=NL("Sum","Item Ledger Entry","Quantity","Entry Type","Purchase","Entry No.",I318,"Location Code","@@"&amp;$E$6)</t>
  </si>
  <si>
    <t>=NL("Sum","Item Ledger Entry","Quantity","Entry Type","Sale","Entry No.",I318,"Location Code","@@"&amp;$E$6)</t>
  </si>
  <si>
    <t>=NL("Sum","Item Ledger Entry","Quantity","Entry Type","Positive Adjmt.|Negative Adjmt.","Entry No.",I318,"Location Code","@@"&amp;$E$6)</t>
  </si>
  <si>
    <t>=NL("Sum","Item Ledger Entry","Quantity","Entry Type","Transfer","Entry No.",I318,"Location Code","@@"&amp;$E$6)</t>
  </si>
  <si>
    <t>=NL("Sum","Item Ledger Entry","Quantity","Entry Type","Consumption","Entry No.",I318,"Location Code","@@"&amp;$E$6)</t>
  </si>
  <si>
    <t>=NL("Sum","Item Ledger Entry","Quantity","Entry Type","Output","Entry No.",I318,"Location Code","@@"&amp;$E$6)</t>
  </si>
  <si>
    <t>=NL("Sum","Item Ledger Entry","Quantity","Entry Type","Purchase","Entry No.",I168,"Location Code","@@"&amp;$E$6)</t>
  </si>
  <si>
    <t>=NL("Sum","Item Ledger Entry","Quantity","Entry Type","Sale","Entry No.",I168,"Location Code","@@"&amp;$E$6)</t>
  </si>
  <si>
    <t>=NL("Sum","Item Ledger Entry","Quantity","Entry Type","Positive Adjmt.|Negative Adjmt.","Entry No.",I168,"Location Code","@@"&amp;$E$6)</t>
  </si>
  <si>
    <t>=NL("Sum","Item Ledger Entry","Quantity","Entry Type","Transfer","Entry No.",I168,"Location Code","@@"&amp;$E$6)</t>
  </si>
  <si>
    <t>=NL("Sum","Item Ledger Entry","Quantity","Entry Type","Consumption","Entry No.",I168,"Location Code","@@"&amp;$E$6)</t>
  </si>
  <si>
    <t>=NL("Sum","Item Ledger Entry","Quantity","Entry Type","Output","Entry No.",I168,"Location Code","@@"&amp;$E$6)</t>
  </si>
  <si>
    <t>=NL("Sum","Item Ledger Entry","Quantity","Entry Type","Purchase","Entry No.",I151,"Location Code","@@"&amp;$E$6)</t>
  </si>
  <si>
    <t>=NL("Sum","Item Ledger Entry","Quantity","Entry Type","Sale","Entry No.",I151,"Location Code","@@"&amp;$E$6)</t>
  </si>
  <si>
    <t>=NL("Sum","Item Ledger Entry","Quantity","Entry Type","Positive Adjmt.|Negative Adjmt.","Entry No.",I151,"Location Code","@@"&amp;$E$6)</t>
  </si>
  <si>
    <t>=NL("Sum","Item Ledger Entry","Quantity","Entry Type","Transfer","Entry No.",I151,"Location Code","@@"&amp;$E$6)</t>
  </si>
  <si>
    <t>=NL("Sum","Item Ledger Entry","Quantity","Entry Type","Consumption","Entry No.",I151,"Location Code","@@"&amp;$E$6)</t>
  </si>
  <si>
    <t>=NL("Sum","Item Ledger Entry","Quantity","Entry Type","Output","Entry No.",I151,"Location Code","@@"&amp;$E$6)</t>
  </si>
  <si>
    <t>=NL("Sum","Item Ledger Entry","Quantity","Entry Type","Purchase","Entry No.",I20,"Location Code","@@"&amp;$E$6)</t>
  </si>
  <si>
    <t>=NL("Sum","Item Ledger Entry","Quantity","Entry Type","Sale","Entry No.",I20,"Location Code","@@"&amp;$E$6)</t>
  </si>
  <si>
    <t>=NL("Sum","Item Ledger Entry","Quantity","Entry Type","Positive Adjmt.|Negative Adjmt.","Entry No.",I20,"Location Code","@@"&amp;$E$6)</t>
  </si>
  <si>
    <t>=NL("Sum","Item Ledger Entry","Quantity","Entry Type","Transfer","Entry No.",I20,"Location Code","@@"&amp;$E$6)</t>
  </si>
  <si>
    <t>=NL("Sum","Item Ledger Entry","Quantity","Entry Type","Consumption","Entry No.",I20,"Location Code","@@"&amp;$E$6)</t>
  </si>
  <si>
    <t>=NL("Sum","Item Ledger Entry","Quantity","Entry Type","Output","Entry No.",I20,"Location Code","@@"&amp;$E$6)</t>
  </si>
  <si>
    <t>Auto+Hide+Values+Formulas=Sheet18,Sheet6,Sheet7+AutoSheet+FormulasOnly</t>
  </si>
  <si>
    <t>Auto+Hide+Values+Formulas=Sheet19,Sheet6,Sheet7+AutoSheet</t>
  </si>
  <si>
    <t>=(SUBTOTAL(9,O51:O53))</t>
  </si>
  <si>
    <t>=(SUBTOTAL(9,P51:P53))</t>
  </si>
  <si>
    <t>=(SUBTOTAL(9,Q51:Q53))</t>
  </si>
  <si>
    <t>=(SUBTOTAL(9,R51:R53))</t>
  </si>
  <si>
    <t>=(SUBTOTAL(9,S51:S53))</t>
  </si>
  <si>
    <t>=(SUBTOTAL(9,T51:T53))</t>
  </si>
  <si>
    <t>=SUBTOTAL(9,O51:T53)</t>
  </si>
  <si>
    <t>=E55</t>
  </si>
  <si>
    <t>=NL("First","Item","Description","No.",$E55)</t>
  </si>
  <si>
    <t>=NL("First","Item","Base Unit of Measure","No.",$E55)</t>
  </si>
  <si>
    <t>=(SUBTOTAL(9,O56:O57))</t>
  </si>
  <si>
    <t>=(SUBTOTAL(9,P56:P57))</t>
  </si>
  <si>
    <t>=(SUBTOTAL(9,Q56:Q57))</t>
  </si>
  <si>
    <t>=(SUBTOTAL(9,R56:R57))</t>
  </si>
  <si>
    <t>=(SUBTOTAL(9,S56:S57))</t>
  </si>
  <si>
    <t>=(SUBTOTAL(9,T56:T57))</t>
  </si>
  <si>
    <t>=SUBTOTAL(9,O56:T57)</t>
  </si>
  <si>
    <t>=NL("Rows","Item Ledger Entry",,"+Posting Date",$L$5,"Item No.","@@"&amp;$D56,"Location Code","@@"&amp;$E$6)</t>
  </si>
  <si>
    <t>=(SUBTOTAL(9,O60:O62))</t>
  </si>
  <si>
    <t>=(SUBTOTAL(9,P60:P62))</t>
  </si>
  <si>
    <t>=(SUBTOTAL(9,Q60:Q62))</t>
  </si>
  <si>
    <t>=(SUBTOTAL(9,R60:R62))</t>
  </si>
  <si>
    <t>=(SUBTOTAL(9,S60:S62))</t>
  </si>
  <si>
    <t>=(SUBTOTAL(9,T60:T62))</t>
  </si>
  <si>
    <t>=SUBTOTAL(9,O60:T62)</t>
  </si>
  <si>
    <t>=E64</t>
  </si>
  <si>
    <t>=NL("First","Item","Description","No.",$E64)</t>
  </si>
  <si>
    <t>=NL("First","Item","Base Unit of Measure","No.",$E64)</t>
  </si>
  <si>
    <t>=(SUBTOTAL(9,O65:O67))</t>
  </si>
  <si>
    <t>=(SUBTOTAL(9,P65:P67))</t>
  </si>
  <si>
    <t>=(SUBTOTAL(9,Q65:Q67))</t>
  </si>
  <si>
    <t>=(SUBTOTAL(9,R65:R67))</t>
  </si>
  <si>
    <t>=(SUBTOTAL(9,S65:S67))</t>
  </si>
  <si>
    <t>=(SUBTOTAL(9,T65:T67))</t>
  </si>
  <si>
    <t>=SUBTOTAL(9,O65:T67)</t>
  </si>
  <si>
    <t>=NL("Rows","Item Ledger Entry",,"+Posting Date",$L$5,"Item No.","@@"&amp;$D65,"Location Code","@@"&amp;$E$6)</t>
  </si>
  <si>
    <t>=(SUBTOTAL(9,O70:O72))</t>
  </si>
  <si>
    <t>=(SUBTOTAL(9,P70:P72))</t>
  </si>
  <si>
    <t>=(SUBTOTAL(9,Q70:Q72))</t>
  </si>
  <si>
    <t>=(SUBTOTAL(9,R70:R72))</t>
  </si>
  <si>
    <t>=(SUBTOTAL(9,S70:S72))</t>
  </si>
  <si>
    <t>=(SUBTOTAL(9,T70:T72))</t>
  </si>
  <si>
    <t>=SUBTOTAL(9,O70:T72)</t>
  </si>
  <si>
    <t>=(SUBTOTAL(9,O87:O88))</t>
  </si>
  <si>
    <t>=(SUBTOTAL(9,P87:P88))</t>
  </si>
  <si>
    <t>=(SUBTOTAL(9,Q87:Q88))</t>
  </si>
  <si>
    <t>=(SUBTOTAL(9,R87:R88))</t>
  </si>
  <si>
    <t>=(SUBTOTAL(9,S87:S88))</t>
  </si>
  <si>
    <t>=(SUBTOTAL(9,T87:T88))</t>
  </si>
  <si>
    <t>=SUBTOTAL(9,O87:T88)</t>
  </si>
  <si>
    <t>=E90</t>
  </si>
  <si>
    <t>=NL("First","Item","Description","No.",$E90)</t>
  </si>
  <si>
    <t>=NL("First","Item","Base Unit of Measure","No.",$E90)</t>
  </si>
  <si>
    <t>=(SUBTOTAL(9,O91:O92))</t>
  </si>
  <si>
    <t>=(SUBTOTAL(9,P91:P92))</t>
  </si>
  <si>
    <t>=(SUBTOTAL(9,Q91:Q92))</t>
  </si>
  <si>
    <t>=(SUBTOTAL(9,R91:R92))</t>
  </si>
  <si>
    <t>=(SUBTOTAL(9,S91:S92))</t>
  </si>
  <si>
    <t>=(SUBTOTAL(9,T91:T92))</t>
  </si>
  <si>
    <t>=SUBTOTAL(9,O91:T92)</t>
  </si>
  <si>
    <t>=NL("Rows","Item Ledger Entry",,"+Posting Date",$L$5,"Item No.","@@"&amp;$D91,"Location Code","@@"&amp;$E$6)</t>
  </si>
  <si>
    <t>=(SUBTOTAL(9,O116:O118))</t>
  </si>
  <si>
    <t>=(SUBTOTAL(9,P116:P118))</t>
  </si>
  <si>
    <t>=(SUBTOTAL(9,Q116:Q118))</t>
  </si>
  <si>
    <t>=(SUBTOTAL(9,R116:R118))</t>
  </si>
  <si>
    <t>=(SUBTOTAL(9,S116:S118))</t>
  </si>
  <si>
    <t>=(SUBTOTAL(9,T116:T118))</t>
  </si>
  <si>
    <t>=SUBTOTAL(9,O116:T118)</t>
  </si>
  <si>
    <t>=(SUBTOTAL(9,O144:O146))</t>
  </si>
  <si>
    <t>=(SUBTOTAL(9,P144:P146))</t>
  </si>
  <si>
    <t>=(SUBTOTAL(9,Q144:Q146))</t>
  </si>
  <si>
    <t>=(SUBTOTAL(9,R144:R146))</t>
  </si>
  <si>
    <t>=(SUBTOTAL(9,S144:S146))</t>
  </si>
  <si>
    <t>=(SUBTOTAL(9,T144:T146))</t>
  </si>
  <si>
    <t>=SUBTOTAL(9,O144:T146)</t>
  </si>
  <si>
    <t>=(SUBTOTAL(9,O149:O151))</t>
  </si>
  <si>
    <t>=(SUBTOTAL(9,P149:P151))</t>
  </si>
  <si>
    <t>=(SUBTOTAL(9,Q149:Q151))</t>
  </si>
  <si>
    <t>=(SUBTOTAL(9,R149:R151))</t>
  </si>
  <si>
    <t>=(SUBTOTAL(9,S149:S151))</t>
  </si>
  <si>
    <t>=(SUBTOTAL(9,T149:T151))</t>
  </si>
  <si>
    <t>=SUBTOTAL(9,O149:T151)</t>
  </si>
  <si>
    <t>=(SUBTOTAL(9,O184:O185))</t>
  </si>
  <si>
    <t>=(SUBTOTAL(9,P184:P185))</t>
  </si>
  <si>
    <t>=(SUBTOTAL(9,Q184:Q185))</t>
  </si>
  <si>
    <t>=(SUBTOTAL(9,R184:R185))</t>
  </si>
  <si>
    <t>=(SUBTOTAL(9,S184:S185))</t>
  </si>
  <si>
    <t>=(SUBTOTAL(9,T184:T185))</t>
  </si>
  <si>
    <t>=SUBTOTAL(9,O184:T185)</t>
  </si>
  <si>
    <t>=(SUBTOTAL(9,O188:O189))</t>
  </si>
  <si>
    <t>=(SUBTOTAL(9,P188:P189))</t>
  </si>
  <si>
    <t>=(SUBTOTAL(9,Q188:Q189))</t>
  </si>
  <si>
    <t>=(SUBTOTAL(9,R188:R189))</t>
  </si>
  <si>
    <t>=(SUBTOTAL(9,S188:S189))</t>
  </si>
  <si>
    <t>=(SUBTOTAL(9,T188:T189))</t>
  </si>
  <si>
    <t>=SUBTOTAL(9,O188:T189)</t>
  </si>
  <si>
    <t>=NL("Rows","Item Ledger Entry",,"+Posting Date",$L$5,"Item No.","@@"&amp;$D188,"Location Code","@@"&amp;$E$6)</t>
  </si>
  <si>
    <t>=SUBTOTAL(9,O13:O200)</t>
  </si>
  <si>
    <t>=SUBTOTAL(9,P13:P200)</t>
  </si>
  <si>
    <t>=SUBTOTAL(9,Q13:Q200)</t>
  </si>
  <si>
    <t>=SUBTOTAL(9,R13:R200)</t>
  </si>
  <si>
    <t>=SUBTOTAL(9,S13:S200)</t>
  </si>
  <si>
    <t>=SUBTOTAL(9,T13:T200)</t>
  </si>
  <si>
    <t>=SUM(U12:U200)</t>
  </si>
  <si>
    <t>Auto+Hide+Values+Formulas=Sheet19,Sheet6,Sheet7+AutoSheet+FormulasOnly</t>
  </si>
  <si>
    <t>Auto+Hide+Values+Formulas=Sheet20,Sheet6,Sheet7+AutoSheet</t>
  </si>
  <si>
    <t>=(SUBTOTAL(9,O18:O21))</t>
  </si>
  <si>
    <t>=(SUBTOTAL(9,P18:P21))</t>
  </si>
  <si>
    <t>=(SUBTOTAL(9,Q18:Q21))</t>
  </si>
  <si>
    <t>=(SUBTOTAL(9,R18:R21))</t>
  </si>
  <si>
    <t>=(SUBTOTAL(9,S18:S21))</t>
  </si>
  <si>
    <t>=(SUBTOTAL(9,T18:T21))</t>
  </si>
  <si>
    <t>=SUBTOTAL(9,O18:T21)</t>
  </si>
  <si>
    <t>=E23</t>
  </si>
  <si>
    <t>=NL("First","Item","Description","No.",$E23)</t>
  </si>
  <si>
    <t>=NL("First","Item","Base Unit of Measure","No.",$E23)</t>
  </si>
  <si>
    <t>=(SUBTOTAL(9,O24:O27))</t>
  </si>
  <si>
    <t>=(SUBTOTAL(9,P24:P27))</t>
  </si>
  <si>
    <t>=(SUBTOTAL(9,Q24:Q27))</t>
  </si>
  <si>
    <t>=(SUBTOTAL(9,R24:R27))</t>
  </si>
  <si>
    <t>=(SUBTOTAL(9,S24:S27))</t>
  </si>
  <si>
    <t>=(SUBTOTAL(9,T24:T27))</t>
  </si>
  <si>
    <t>=SUBTOTAL(9,O24:T27)</t>
  </si>
  <si>
    <t>=NL("Rows","Item Ledger Entry",,"+Posting Date",$L$5,"Item No.","@@"&amp;$D24,"Location Code","@@"&amp;$E$6)</t>
  </si>
  <si>
    <t>=(SUBTOTAL(9,O30:O35))</t>
  </si>
  <si>
    <t>=(SUBTOTAL(9,P30:P35))</t>
  </si>
  <si>
    <t>=(SUBTOTAL(9,Q30:Q35))</t>
  </si>
  <si>
    <t>=(SUBTOTAL(9,R30:R35))</t>
  </si>
  <si>
    <t>=(SUBTOTAL(9,S30:S35))</t>
  </si>
  <si>
    <t>=(SUBTOTAL(9,T30:T35))</t>
  </si>
  <si>
    <t>=SUBTOTAL(9,O30:T35)</t>
  </si>
  <si>
    <t>=(SUBTOTAL(9,O38:O42))</t>
  </si>
  <si>
    <t>=(SUBTOTAL(9,P38:P42))</t>
  </si>
  <si>
    <t>=(SUBTOTAL(9,Q38:Q42))</t>
  </si>
  <si>
    <t>=(SUBTOTAL(9,R38:R42))</t>
  </si>
  <si>
    <t>=(SUBTOTAL(9,S38:S42))</t>
  </si>
  <si>
    <t>=(SUBTOTAL(9,T38:T42))</t>
  </si>
  <si>
    <t>=SUBTOTAL(9,O38:T42)</t>
  </si>
  <si>
    <t>=(SUBTOTAL(9,O45:O49))</t>
  </si>
  <si>
    <t>=(SUBTOTAL(9,P45:P49))</t>
  </si>
  <si>
    <t>=(SUBTOTAL(9,Q45:Q49))</t>
  </si>
  <si>
    <t>=(SUBTOTAL(9,R45:R49))</t>
  </si>
  <si>
    <t>=(SUBTOTAL(9,S45:S49))</t>
  </si>
  <si>
    <t>=(SUBTOTAL(9,T45:T49))</t>
  </si>
  <si>
    <t>=SUBTOTAL(9,O45:T49)</t>
  </si>
  <si>
    <t>=(SUBTOTAL(9,O57:O59))</t>
  </si>
  <si>
    <t>=(SUBTOTAL(9,P57:P59))</t>
  </si>
  <si>
    <t>=(SUBTOTAL(9,Q57:Q59))</t>
  </si>
  <si>
    <t>=(SUBTOTAL(9,R57:R59))</t>
  </si>
  <si>
    <t>=(SUBTOTAL(9,S57:S59))</t>
  </si>
  <si>
    <t>=(SUBTOTAL(9,T57:T59))</t>
  </si>
  <si>
    <t>=SUBTOTAL(9,O57:T59)</t>
  </si>
  <si>
    <t>=(SUBTOTAL(9,O67:O71))</t>
  </si>
  <si>
    <t>=(SUBTOTAL(9,P67:P71))</t>
  </si>
  <si>
    <t>=(SUBTOTAL(9,Q67:Q71))</t>
  </si>
  <si>
    <t>=(SUBTOTAL(9,R67:R71))</t>
  </si>
  <si>
    <t>=(SUBTOTAL(9,S67:S71))</t>
  </si>
  <si>
    <t>=(SUBTOTAL(9,T67:T71))</t>
  </si>
  <si>
    <t>=SUBTOTAL(9,O67:T71)</t>
  </si>
  <si>
    <t>=(SUBTOTAL(9,O82:O85))</t>
  </si>
  <si>
    <t>=(SUBTOTAL(9,P82:P85))</t>
  </si>
  <si>
    <t>=(SUBTOTAL(9,Q82:Q85))</t>
  </si>
  <si>
    <t>=(SUBTOTAL(9,R82:R85))</t>
  </si>
  <si>
    <t>=(SUBTOTAL(9,S82:S85))</t>
  </si>
  <si>
    <t>=(SUBTOTAL(9,T82:T85))</t>
  </si>
  <si>
    <t>=SUBTOTAL(9,O82:T85)</t>
  </si>
  <si>
    <t>=(SUBTOTAL(9,O88:O93))</t>
  </si>
  <si>
    <t>=(SUBTOTAL(9,P88:P93))</t>
  </si>
  <si>
    <t>=(SUBTOTAL(9,Q88:Q93))</t>
  </si>
  <si>
    <t>=(SUBTOTAL(9,R88:R93))</t>
  </si>
  <si>
    <t>=(SUBTOTAL(9,S88:S93))</t>
  </si>
  <si>
    <t>=(SUBTOTAL(9,T88:T93))</t>
  </si>
  <si>
    <t>=SUBTOTAL(9,O88:T93)</t>
  </si>
  <si>
    <t>=(SUBTOTAL(9,O96:O100))</t>
  </si>
  <si>
    <t>=(SUBTOTAL(9,P96:P100))</t>
  </si>
  <si>
    <t>=(SUBTOTAL(9,Q96:Q100))</t>
  </si>
  <si>
    <t>=(SUBTOTAL(9,R96:R100))</t>
  </si>
  <si>
    <t>=(SUBTOTAL(9,S96:S100))</t>
  </si>
  <si>
    <t>=(SUBTOTAL(9,T96:T100))</t>
  </si>
  <si>
    <t>=SUBTOTAL(9,O96:T100)</t>
  </si>
  <si>
    <t>=(SUBTOTAL(9,O103:O106))</t>
  </si>
  <si>
    <t>=(SUBTOTAL(9,P103:P106))</t>
  </si>
  <si>
    <t>=(SUBTOTAL(9,Q103:Q106))</t>
  </si>
  <si>
    <t>=(SUBTOTAL(9,R103:R106))</t>
  </si>
  <si>
    <t>=(SUBTOTAL(9,S103:S106))</t>
  </si>
  <si>
    <t>=(SUBTOTAL(9,T103:T106))</t>
  </si>
  <si>
    <t>=SUBTOTAL(9,O103:T106)</t>
  </si>
  <si>
    <t>=(SUBTOTAL(9,O109:O112))</t>
  </si>
  <si>
    <t>=(SUBTOTAL(9,P109:P112))</t>
  </si>
  <si>
    <t>=(SUBTOTAL(9,Q109:Q112))</t>
  </si>
  <si>
    <t>=(SUBTOTAL(9,R109:R112))</t>
  </si>
  <si>
    <t>=(SUBTOTAL(9,S109:S112))</t>
  </si>
  <si>
    <t>=(SUBTOTAL(9,T109:T112))</t>
  </si>
  <si>
    <t>=SUBTOTAL(9,O109:T112)</t>
  </si>
  <si>
    <t>=(SUBTOTAL(9,O115:O117))</t>
  </si>
  <si>
    <t>=(SUBTOTAL(9,P115:P117))</t>
  </si>
  <si>
    <t>=(SUBTOTAL(9,Q115:Q117))</t>
  </si>
  <si>
    <t>=(SUBTOTAL(9,R115:R117))</t>
  </si>
  <si>
    <t>=(SUBTOTAL(9,S115:S117))</t>
  </si>
  <si>
    <t>=(SUBTOTAL(9,T115:T117))</t>
  </si>
  <si>
    <t>=SUBTOTAL(9,O115:T117)</t>
  </si>
  <si>
    <t>=(SUBTOTAL(9,O120:O122))</t>
  </si>
  <si>
    <t>=(SUBTOTAL(9,P120:P122))</t>
  </si>
  <si>
    <t>=(SUBTOTAL(9,Q120:Q122))</t>
  </si>
  <si>
    <t>=(SUBTOTAL(9,R120:R122))</t>
  </si>
  <si>
    <t>=(SUBTOTAL(9,S120:S122))</t>
  </si>
  <si>
    <t>=(SUBTOTAL(9,T120:T122))</t>
  </si>
  <si>
    <t>=SUBTOTAL(9,O120:T122)</t>
  </si>
  <si>
    <t>=(SUBTOTAL(9,O125:O128))</t>
  </si>
  <si>
    <t>=(SUBTOTAL(9,P125:P128))</t>
  </si>
  <si>
    <t>=(SUBTOTAL(9,Q125:Q128))</t>
  </si>
  <si>
    <t>=(SUBTOTAL(9,R125:R128))</t>
  </si>
  <si>
    <t>=(SUBTOTAL(9,S125:S128))</t>
  </si>
  <si>
    <t>=(SUBTOTAL(9,T125:T128))</t>
  </si>
  <si>
    <t>=SUBTOTAL(9,O125:T128)</t>
  </si>
  <si>
    <t>=(SUBTOTAL(9,O131:O135))</t>
  </si>
  <si>
    <t>=(SUBTOTAL(9,P131:P135))</t>
  </si>
  <si>
    <t>=(SUBTOTAL(9,Q131:Q135))</t>
  </si>
  <si>
    <t>=(SUBTOTAL(9,R131:R135))</t>
  </si>
  <si>
    <t>=(SUBTOTAL(9,S131:S135))</t>
  </si>
  <si>
    <t>=(SUBTOTAL(9,T131:T135))</t>
  </si>
  <si>
    <t>=SUBTOTAL(9,O131:T135)</t>
  </si>
  <si>
    <t>=(SUBTOTAL(9,O138:O142))</t>
  </si>
  <si>
    <t>=(SUBTOTAL(9,P138:P142))</t>
  </si>
  <si>
    <t>=(SUBTOTAL(9,Q138:Q142))</t>
  </si>
  <si>
    <t>=(SUBTOTAL(9,R138:R142))</t>
  </si>
  <si>
    <t>=(SUBTOTAL(9,S138:S142))</t>
  </si>
  <si>
    <t>=(SUBTOTAL(9,T138:T142))</t>
  </si>
  <si>
    <t>=SUBTOTAL(9,O138:T142)</t>
  </si>
  <si>
    <t>=(SUBTOTAL(9,O145:O147))</t>
  </si>
  <si>
    <t>=(SUBTOTAL(9,P145:P147))</t>
  </si>
  <si>
    <t>=(SUBTOTAL(9,Q145:Q147))</t>
  </si>
  <si>
    <t>=(SUBTOTAL(9,R145:R147))</t>
  </si>
  <si>
    <t>=(SUBTOTAL(9,S145:S147))</t>
  </si>
  <si>
    <t>=(SUBTOTAL(9,T145:T147))</t>
  </si>
  <si>
    <t>=SUBTOTAL(9,O145:T147)</t>
  </si>
  <si>
    <t>=(SUBTOTAL(9,O150:O153))</t>
  </si>
  <si>
    <t>=(SUBTOTAL(9,P150:P153))</t>
  </si>
  <si>
    <t>=(SUBTOTAL(9,Q150:Q153))</t>
  </si>
  <si>
    <t>=(SUBTOTAL(9,R150:R153))</t>
  </si>
  <si>
    <t>=(SUBTOTAL(9,S150:S153))</t>
  </si>
  <si>
    <t>=(SUBTOTAL(9,T150:T153))</t>
  </si>
  <si>
    <t>=SUBTOTAL(9,O150:T153)</t>
  </si>
  <si>
    <t>=(SUBTOTAL(9,O182:O188))</t>
  </si>
  <si>
    <t>=(SUBTOTAL(9,P182:P188))</t>
  </si>
  <si>
    <t>=(SUBTOTAL(9,Q182:Q188))</t>
  </si>
  <si>
    <t>=(SUBTOTAL(9,R182:R188))</t>
  </si>
  <si>
    <t>=(SUBTOTAL(9,S182:S188))</t>
  </si>
  <si>
    <t>=(SUBTOTAL(9,T182:T188))</t>
  </si>
  <si>
    <t>=SUBTOTAL(9,O182:T188)</t>
  </si>
  <si>
    <t>=(SUBTOTAL(9,O191:O195))</t>
  </si>
  <si>
    <t>=(SUBTOTAL(9,P191:P195))</t>
  </si>
  <si>
    <t>=(SUBTOTAL(9,Q191:Q195))</t>
  </si>
  <si>
    <t>=(SUBTOTAL(9,R191:R195))</t>
  </si>
  <si>
    <t>=(SUBTOTAL(9,S191:S195))</t>
  </si>
  <si>
    <t>=(SUBTOTAL(9,T191:T195))</t>
  </si>
  <si>
    <t>=SUBTOTAL(9,O191:T195)</t>
  </si>
  <si>
    <t>=(SUBTOTAL(9,O198:O202))</t>
  </si>
  <si>
    <t>=(SUBTOTAL(9,P198:P202))</t>
  </si>
  <si>
    <t>=(SUBTOTAL(9,Q198:Q202))</t>
  </si>
  <si>
    <t>=(SUBTOTAL(9,R198:R202))</t>
  </si>
  <si>
    <t>=(SUBTOTAL(9,S198:S202))</t>
  </si>
  <si>
    <t>=(SUBTOTAL(9,T198:T202))</t>
  </si>
  <si>
    <t>=SUBTOTAL(9,O198:T202)</t>
  </si>
  <si>
    <t>=(SUBTOTAL(9,O205:O211))</t>
  </si>
  <si>
    <t>=(SUBTOTAL(9,P205:P211))</t>
  </si>
  <si>
    <t>=(SUBTOTAL(9,Q205:Q211))</t>
  </si>
  <si>
    <t>=(SUBTOTAL(9,R205:R211))</t>
  </si>
  <si>
    <t>=(SUBTOTAL(9,S205:S211))</t>
  </si>
  <si>
    <t>=(SUBTOTAL(9,T205:T211))</t>
  </si>
  <si>
    <t>=SUBTOTAL(9,O205:T211)</t>
  </si>
  <si>
    <t>=(SUBTOTAL(9,O214:O217))</t>
  </si>
  <si>
    <t>=(SUBTOTAL(9,P214:P217))</t>
  </si>
  <si>
    <t>=(SUBTOTAL(9,Q214:Q217))</t>
  </si>
  <si>
    <t>=(SUBTOTAL(9,R214:R217))</t>
  </si>
  <si>
    <t>=(SUBTOTAL(9,S214:S217))</t>
  </si>
  <si>
    <t>=(SUBTOTAL(9,T214:T217))</t>
  </si>
  <si>
    <t>=SUBTOTAL(9,O214:T217)</t>
  </si>
  <si>
    <t>=(SUBTOTAL(9,O220:O225))</t>
  </si>
  <si>
    <t>=(SUBTOTAL(9,P220:P225))</t>
  </si>
  <si>
    <t>=(SUBTOTAL(9,Q220:Q225))</t>
  </si>
  <si>
    <t>=(SUBTOTAL(9,R220:R225))</t>
  </si>
  <si>
    <t>=(SUBTOTAL(9,S220:S225))</t>
  </si>
  <si>
    <t>=(SUBTOTAL(9,T220:T225))</t>
  </si>
  <si>
    <t>=SUBTOTAL(9,O220:T225)</t>
  </si>
  <si>
    <t>=(SUBTOTAL(9,O228:O233))</t>
  </si>
  <si>
    <t>=(SUBTOTAL(9,P228:P233))</t>
  </si>
  <si>
    <t>=(SUBTOTAL(9,Q228:Q233))</t>
  </si>
  <si>
    <t>=(SUBTOTAL(9,R228:R233))</t>
  </si>
  <si>
    <t>=(SUBTOTAL(9,S228:S233))</t>
  </si>
  <si>
    <t>=(SUBTOTAL(9,T228:T233))</t>
  </si>
  <si>
    <t>=SUBTOTAL(9,O228:T233)</t>
  </si>
  <si>
    <t>=(SUBTOTAL(9,O236:O241))</t>
  </si>
  <si>
    <t>=(SUBTOTAL(9,P236:P241))</t>
  </si>
  <si>
    <t>=(SUBTOTAL(9,Q236:Q241))</t>
  </si>
  <si>
    <t>=(SUBTOTAL(9,R236:R241))</t>
  </si>
  <si>
    <t>=(SUBTOTAL(9,S236:S241))</t>
  </si>
  <si>
    <t>=(SUBTOTAL(9,T236:T241))</t>
  </si>
  <si>
    <t>=SUBTOTAL(9,O236:T241)</t>
  </si>
  <si>
    <t>=(SUBTOTAL(9,O244:O250))</t>
  </si>
  <si>
    <t>=(SUBTOTAL(9,P244:P250))</t>
  </si>
  <si>
    <t>=(SUBTOTAL(9,Q244:Q250))</t>
  </si>
  <si>
    <t>=(SUBTOTAL(9,R244:R250))</t>
  </si>
  <si>
    <t>=(SUBTOTAL(9,S244:S250))</t>
  </si>
  <si>
    <t>=(SUBTOTAL(9,T244:T250))</t>
  </si>
  <si>
    <t>=SUBTOTAL(9,O244:T250)</t>
  </si>
  <si>
    <t>=E252</t>
  </si>
  <si>
    <t>=NL("First","Item","Description","No.",$E252)</t>
  </si>
  <si>
    <t>=NL("First","Item","Base Unit of Measure","No.",$E252)</t>
  </si>
  <si>
    <t>=(SUBTOTAL(9,O253:O257))</t>
  </si>
  <si>
    <t>=(SUBTOTAL(9,P253:P257))</t>
  </si>
  <si>
    <t>=(SUBTOTAL(9,Q253:Q257))</t>
  </si>
  <si>
    <t>=(SUBTOTAL(9,R253:R257))</t>
  </si>
  <si>
    <t>=(SUBTOTAL(9,S253:S257))</t>
  </si>
  <si>
    <t>=(SUBTOTAL(9,T253:T257))</t>
  </si>
  <si>
    <t>=SUBTOTAL(9,O253:T257)</t>
  </si>
  <si>
    <t>=NL("Rows","Item Ledger Entry",,"+Posting Date",$L$5,"Item No.","@@"&amp;$D253,"Location Code","@@"&amp;$E$6)</t>
  </si>
  <si>
    <t>=(SUBTOTAL(9,O260:O263))</t>
  </si>
  <si>
    <t>=(SUBTOTAL(9,P260:P263))</t>
  </si>
  <si>
    <t>=(SUBTOTAL(9,Q260:Q263))</t>
  </si>
  <si>
    <t>=(SUBTOTAL(9,R260:R263))</t>
  </si>
  <si>
    <t>=(SUBTOTAL(9,S260:S263))</t>
  </si>
  <si>
    <t>=(SUBTOTAL(9,T260:T263))</t>
  </si>
  <si>
    <t>=SUBTOTAL(9,O260:T263)</t>
  </si>
  <si>
    <t>=(SUBTOTAL(9,O266:O269))</t>
  </si>
  <si>
    <t>=(SUBTOTAL(9,P266:P269))</t>
  </si>
  <si>
    <t>=(SUBTOTAL(9,Q266:Q269))</t>
  </si>
  <si>
    <t>=(SUBTOTAL(9,R266:R269))</t>
  </si>
  <si>
    <t>=(SUBTOTAL(9,S266:S269))</t>
  </si>
  <si>
    <t>=(SUBTOTAL(9,T266:T269))</t>
  </si>
  <si>
    <t>=SUBTOTAL(9,O266:T269)</t>
  </si>
  <si>
    <t>=(SUBTOTAL(9,O272:O276))</t>
  </si>
  <si>
    <t>=(SUBTOTAL(9,P272:P276))</t>
  </si>
  <si>
    <t>=(SUBTOTAL(9,Q272:Q276))</t>
  </si>
  <si>
    <t>=(SUBTOTAL(9,R272:R276))</t>
  </si>
  <si>
    <t>=(SUBTOTAL(9,S272:S276))</t>
  </si>
  <si>
    <t>=(SUBTOTAL(9,T272:T276))</t>
  </si>
  <si>
    <t>=SUBTOTAL(9,O272:T276)</t>
  </si>
  <si>
    <t>=(SUBTOTAL(9,O279:O282))</t>
  </si>
  <si>
    <t>=(SUBTOTAL(9,P279:P282))</t>
  </si>
  <si>
    <t>=(SUBTOTAL(9,Q279:Q282))</t>
  </si>
  <si>
    <t>=(SUBTOTAL(9,R279:R282))</t>
  </si>
  <si>
    <t>=(SUBTOTAL(9,S279:S282))</t>
  </si>
  <si>
    <t>=(SUBTOTAL(9,T279:T282))</t>
  </si>
  <si>
    <t>=SUBTOTAL(9,O279:T282)</t>
  </si>
  <si>
    <t>=E284</t>
  </si>
  <si>
    <t>=NL("First","Item","Description","No.",$E284)</t>
  </si>
  <si>
    <t>=NL("First","Item","Base Unit of Measure","No.",$E284)</t>
  </si>
  <si>
    <t>=(SUBTOTAL(9,O285:O286))</t>
  </si>
  <si>
    <t>=(SUBTOTAL(9,P285:P286))</t>
  </si>
  <si>
    <t>=(SUBTOTAL(9,Q285:Q286))</t>
  </si>
  <si>
    <t>=(SUBTOTAL(9,R285:R286))</t>
  </si>
  <si>
    <t>=(SUBTOTAL(9,S285:S286))</t>
  </si>
  <si>
    <t>=(SUBTOTAL(9,T285:T286))</t>
  </si>
  <si>
    <t>=SUBTOTAL(9,O285:T286)</t>
  </si>
  <si>
    <t>=NL("Rows","Item Ledger Entry",,"+Posting Date",$L$5,"Item No.","@@"&amp;$D285,"Location Code","@@"&amp;$E$6)</t>
  </si>
  <si>
    <t>=(SUBTOTAL(9,O289:O291))</t>
  </si>
  <si>
    <t>=(SUBTOTAL(9,P289:P291))</t>
  </si>
  <si>
    <t>=(SUBTOTAL(9,Q289:Q291))</t>
  </si>
  <si>
    <t>=(SUBTOTAL(9,R289:R291))</t>
  </si>
  <si>
    <t>=(SUBTOTAL(9,S289:S291))</t>
  </si>
  <si>
    <t>=(SUBTOTAL(9,T289:T291))</t>
  </si>
  <si>
    <t>=SUBTOTAL(9,O289:T291)</t>
  </si>
  <si>
    <t>=(SUBTOTAL(9,O294:O295))</t>
  </si>
  <si>
    <t>=(SUBTOTAL(9,P294:P295))</t>
  </si>
  <si>
    <t>=(SUBTOTAL(9,Q294:Q295))</t>
  </si>
  <si>
    <t>=(SUBTOTAL(9,R294:R295))</t>
  </si>
  <si>
    <t>=(SUBTOTAL(9,S294:S295))</t>
  </si>
  <si>
    <t>=(SUBTOTAL(9,T294:T295))</t>
  </si>
  <si>
    <t>=SUBTOTAL(9,O294:T295)</t>
  </si>
  <si>
    <t>=(SUBTOTAL(9,O298:O301))</t>
  </si>
  <si>
    <t>=(SUBTOTAL(9,P298:P301))</t>
  </si>
  <si>
    <t>=(SUBTOTAL(9,Q298:Q301))</t>
  </si>
  <si>
    <t>=(SUBTOTAL(9,R298:R301))</t>
  </si>
  <si>
    <t>=(SUBTOTAL(9,S298:S301))</t>
  </si>
  <si>
    <t>=(SUBTOTAL(9,T298:T301))</t>
  </si>
  <si>
    <t>=SUBTOTAL(9,O298:T301)</t>
  </si>
  <si>
    <t>=D298</t>
  </si>
  <si>
    <t>=IF($J299="Customer",NL("first",$J299,"Name","No.","@@"&amp;$K299),"")</t>
  </si>
  <si>
    <t>=IF(J299="vendor",NL("first",J299,"Name","No.","@@"&amp;K299),"")</t>
  </si>
  <si>
    <t>=IF($J299="Item",NL("first",$J299,"Description","No.","@@"&amp;$K299),"")</t>
  </si>
  <si>
    <t>=(SUBTOTAL(9,O304:O308))</t>
  </si>
  <si>
    <t>=(SUBTOTAL(9,P304:P308))</t>
  </si>
  <si>
    <t>=(SUBTOTAL(9,Q304:Q308))</t>
  </si>
  <si>
    <t>=(SUBTOTAL(9,R304:R308))</t>
  </si>
  <si>
    <t>=(SUBTOTAL(9,S304:S308))</t>
  </si>
  <si>
    <t>=(SUBTOTAL(9,T304:T308))</t>
  </si>
  <si>
    <t>=SUBTOTAL(9,O304:T308)</t>
  </si>
  <si>
    <t>=E310</t>
  </si>
  <si>
    <t>=NL("First","Item","Description","No.",$E310)</t>
  </si>
  <si>
    <t>=NL("First","Item","Base Unit of Measure","No.",$E310)</t>
  </si>
  <si>
    <t>=(SUBTOTAL(9,O311:O315))</t>
  </si>
  <si>
    <t>=(SUBTOTAL(9,P311:P315))</t>
  </si>
  <si>
    <t>=(SUBTOTAL(9,Q311:Q315))</t>
  </si>
  <si>
    <t>=(SUBTOTAL(9,R311:R315))</t>
  </si>
  <si>
    <t>=(SUBTOTAL(9,S311:S315))</t>
  </si>
  <si>
    <t>=(SUBTOTAL(9,T311:T315))</t>
  </si>
  <si>
    <t>=SUBTOTAL(9,O311:T315)</t>
  </si>
  <si>
    <t>=NL("Rows","Item Ledger Entry",,"+Posting Date",$L$5,"Item No.","@@"&amp;$D311,"Location Code","@@"&amp;$E$6)</t>
  </si>
  <si>
    <t>=(SUBTOTAL(9,O318:O319))</t>
  </si>
  <si>
    <t>=(SUBTOTAL(9,P318:P319))</t>
  </si>
  <si>
    <t>=(SUBTOTAL(9,Q318:Q319))</t>
  </si>
  <si>
    <t>=(SUBTOTAL(9,R318:R319))</t>
  </si>
  <si>
    <t>=(SUBTOTAL(9,S318:S319))</t>
  </si>
  <si>
    <t>=(SUBTOTAL(9,T318:T319))</t>
  </si>
  <si>
    <t>=SUBTOTAL(9,O318:T319)</t>
  </si>
  <si>
    <t>=E321</t>
  </si>
  <si>
    <t>=NL("First","Item","Description","No.",$E321)</t>
  </si>
  <si>
    <t>=NL("First","Item","Base Unit of Measure","No.",$E321)</t>
  </si>
  <si>
    <t>=(SUBTOTAL(9,O322:O323))</t>
  </si>
  <si>
    <t>=(SUBTOTAL(9,P322:P323))</t>
  </si>
  <si>
    <t>=(SUBTOTAL(9,Q322:Q323))</t>
  </si>
  <si>
    <t>=(SUBTOTAL(9,R322:R323))</t>
  </si>
  <si>
    <t>=(SUBTOTAL(9,S322:S323))</t>
  </si>
  <si>
    <t>=(SUBTOTAL(9,T322:T323))</t>
  </si>
  <si>
    <t>=SUBTOTAL(9,O322:T323)</t>
  </si>
  <si>
    <t>=NL("Rows","Item Ledger Entry",,"+Posting Date",$L$5,"Item No.","@@"&amp;$D322,"Location Code","@@"&amp;$E$6)</t>
  </si>
  <si>
    <t>=(SUBTOTAL(9,O326:O330))</t>
  </si>
  <si>
    <t>=(SUBTOTAL(9,P326:P330))</t>
  </si>
  <si>
    <t>=(SUBTOTAL(9,Q326:Q330))</t>
  </si>
  <si>
    <t>=(SUBTOTAL(9,R326:R330))</t>
  </si>
  <si>
    <t>=(SUBTOTAL(9,S326:S330))</t>
  </si>
  <si>
    <t>=(SUBTOTAL(9,T326:T330))</t>
  </si>
  <si>
    <t>=SUBTOTAL(9,O326:T330)</t>
  </si>
  <si>
    <t>=(SUBTOTAL(9,O333:O334))</t>
  </si>
  <si>
    <t>=(SUBTOTAL(9,P333:P334))</t>
  </si>
  <si>
    <t>=(SUBTOTAL(9,Q333:Q334))</t>
  </si>
  <si>
    <t>=(SUBTOTAL(9,R333:R334))</t>
  </si>
  <si>
    <t>=(SUBTOTAL(9,S333:S334))</t>
  </si>
  <si>
    <t>=(SUBTOTAL(9,T333:T334))</t>
  </si>
  <si>
    <t>=SUBTOTAL(9,O333:T334)</t>
  </si>
  <si>
    <t>=E336</t>
  </si>
  <si>
    <t>=NL("First","Item","Description","No.",$E336)</t>
  </si>
  <si>
    <t>=NL("First","Item","Base Unit of Measure","No.",$E336)</t>
  </si>
  <si>
    <t>=(SUBTOTAL(9,O337:O339))</t>
  </si>
  <si>
    <t>=(SUBTOTAL(9,P337:P339))</t>
  </si>
  <si>
    <t>=(SUBTOTAL(9,Q337:Q339))</t>
  </si>
  <si>
    <t>=(SUBTOTAL(9,R337:R339))</t>
  </si>
  <si>
    <t>=(SUBTOTAL(9,S337:S339))</t>
  </si>
  <si>
    <t>=(SUBTOTAL(9,T337:T339))</t>
  </si>
  <si>
    <t>=SUBTOTAL(9,O337:T339)</t>
  </si>
  <si>
    <t>=NL("Rows","Item Ledger Entry",,"+Posting Date",$L$5,"Item No.","@@"&amp;$D337,"Location Code","@@"&amp;$E$6)</t>
  </si>
  <si>
    <t>=(SUBTOTAL(9,O342:O346))</t>
  </si>
  <si>
    <t>=(SUBTOTAL(9,P342:P346))</t>
  </si>
  <si>
    <t>=(SUBTOTAL(9,Q342:Q346))</t>
  </si>
  <si>
    <t>=(SUBTOTAL(9,R342:R346))</t>
  </si>
  <si>
    <t>=(SUBTOTAL(9,S342:S346))</t>
  </si>
  <si>
    <t>=(SUBTOTAL(9,T342:T346))</t>
  </si>
  <si>
    <t>=SUBTOTAL(9,O342:T346)</t>
  </si>
  <si>
    <t>=(SUBTOTAL(9,O349:O352))</t>
  </si>
  <si>
    <t>=(SUBTOTAL(9,P349:P352))</t>
  </si>
  <si>
    <t>=(SUBTOTAL(9,Q349:Q352))</t>
  </si>
  <si>
    <t>=(SUBTOTAL(9,R349:R352))</t>
  </si>
  <si>
    <t>=(SUBTOTAL(9,S349:S352))</t>
  </si>
  <si>
    <t>=(SUBTOTAL(9,T349:T352))</t>
  </si>
  <si>
    <t>=SUBTOTAL(9,O349:T352)</t>
  </si>
  <si>
    <t>=(SUBTOTAL(9,O355:O358))</t>
  </si>
  <si>
    <t>=(SUBTOTAL(9,P355:P358))</t>
  </si>
  <si>
    <t>=(SUBTOTAL(9,Q355:Q358))</t>
  </si>
  <si>
    <t>=(SUBTOTAL(9,R355:R358))</t>
  </si>
  <si>
    <t>=(SUBTOTAL(9,S355:S358))</t>
  </si>
  <si>
    <t>=(SUBTOTAL(9,T355:T358))</t>
  </si>
  <si>
    <t>=SUBTOTAL(9,O355:T358)</t>
  </si>
  <si>
    <t>=(SUBTOTAL(9,O361:O362))</t>
  </si>
  <si>
    <t>=(SUBTOTAL(9,P361:P362))</t>
  </si>
  <si>
    <t>=(SUBTOTAL(9,Q361:Q362))</t>
  </si>
  <si>
    <t>=(SUBTOTAL(9,R361:R362))</t>
  </si>
  <si>
    <t>=(SUBTOTAL(9,S361:S362))</t>
  </si>
  <si>
    <t>=(SUBTOTAL(9,T361:T362))</t>
  </si>
  <si>
    <t>=SUBTOTAL(9,O361:T362)</t>
  </si>
  <si>
    <t>=(SUBTOTAL(9,O370:O374))</t>
  </si>
  <si>
    <t>=(SUBTOTAL(9,P370:P374))</t>
  </si>
  <si>
    <t>=(SUBTOTAL(9,Q370:Q374))</t>
  </si>
  <si>
    <t>=(SUBTOTAL(9,R370:R374))</t>
  </si>
  <si>
    <t>=(SUBTOTAL(9,S370:S374))</t>
  </si>
  <si>
    <t>=(SUBTOTAL(9,T370:T374))</t>
  </si>
  <si>
    <t>=SUBTOTAL(9,O370:T374)</t>
  </si>
  <si>
    <t>=E376</t>
  </si>
  <si>
    <t>=NL("First","Item","Description","No.",$E376)</t>
  </si>
  <si>
    <t>=NL("First","Item","Base Unit of Measure","No.",$E376)</t>
  </si>
  <si>
    <t>=(SUBTOTAL(9,O377:O381))</t>
  </si>
  <si>
    <t>=(SUBTOTAL(9,P377:P381))</t>
  </si>
  <si>
    <t>=(SUBTOTAL(9,Q377:Q381))</t>
  </si>
  <si>
    <t>=(SUBTOTAL(9,R377:R381))</t>
  </si>
  <si>
    <t>=(SUBTOTAL(9,S377:S381))</t>
  </si>
  <si>
    <t>=(SUBTOTAL(9,T377:T381))</t>
  </si>
  <si>
    <t>=SUBTOTAL(9,O377:T381)</t>
  </si>
  <si>
    <t>=NL("Rows","Item Ledger Entry",,"+Posting Date",$L$5,"Item No.","@@"&amp;$D377,"Location Code","@@"&amp;$E$6)</t>
  </si>
  <si>
    <t>=(SUBTOTAL(9,O384:O393))</t>
  </si>
  <si>
    <t>=(SUBTOTAL(9,P384:P393))</t>
  </si>
  <si>
    <t>=(SUBTOTAL(9,Q384:Q393))</t>
  </si>
  <si>
    <t>=(SUBTOTAL(9,R384:R393))</t>
  </si>
  <si>
    <t>=(SUBTOTAL(9,S384:S393))</t>
  </si>
  <si>
    <t>=(SUBTOTAL(9,T384:T393))</t>
  </si>
  <si>
    <t>=SUBTOTAL(9,O384:T393)</t>
  </si>
  <si>
    <t>=(SUBTOTAL(9,O396:O401))</t>
  </si>
  <si>
    <t>=(SUBTOTAL(9,P396:P401))</t>
  </si>
  <si>
    <t>=(SUBTOTAL(9,Q396:Q401))</t>
  </si>
  <si>
    <t>=(SUBTOTAL(9,R396:R401))</t>
  </si>
  <si>
    <t>=(SUBTOTAL(9,S396:S401))</t>
  </si>
  <si>
    <t>=(SUBTOTAL(9,T396:T401))</t>
  </si>
  <si>
    <t>=SUBTOTAL(9,O396:T401)</t>
  </si>
  <si>
    <t>=E403</t>
  </si>
  <si>
    <t>=NL("First","Item","Description","No.",$E403)</t>
  </si>
  <si>
    <t>=NL("First","Item","Base Unit of Measure","No.",$E403)</t>
  </si>
  <si>
    <t>=(SUBTOTAL(9,O404:O408))</t>
  </si>
  <si>
    <t>=(SUBTOTAL(9,P404:P408))</t>
  </si>
  <si>
    <t>=(SUBTOTAL(9,Q404:Q408))</t>
  </si>
  <si>
    <t>=(SUBTOTAL(9,R404:R408))</t>
  </si>
  <si>
    <t>=(SUBTOTAL(9,S404:S408))</t>
  </si>
  <si>
    <t>=(SUBTOTAL(9,T404:T408))</t>
  </si>
  <si>
    <t>=SUBTOTAL(9,O404:T408)</t>
  </si>
  <si>
    <t>=NL("Rows","Item Ledger Entry",,"+Posting Date",$L$5,"Item No.","@@"&amp;$D404,"Location Code","@@"&amp;$E$6)</t>
  </si>
  <si>
    <t>=(SUBTOTAL(9,O411:O418))</t>
  </si>
  <si>
    <t>=(SUBTOTAL(9,P411:P418))</t>
  </si>
  <si>
    <t>=(SUBTOTAL(9,Q411:Q418))</t>
  </si>
  <si>
    <t>=(SUBTOTAL(9,R411:R418))</t>
  </si>
  <si>
    <t>=(SUBTOTAL(9,S411:S418))</t>
  </si>
  <si>
    <t>=(SUBTOTAL(9,T411:T418))</t>
  </si>
  <si>
    <t>=SUBTOTAL(9,O411:T418)</t>
  </si>
  <si>
    <t>=(SUBTOTAL(9,O421:O429))</t>
  </si>
  <si>
    <t>=(SUBTOTAL(9,P421:P429))</t>
  </si>
  <si>
    <t>=(SUBTOTAL(9,Q421:Q429))</t>
  </si>
  <si>
    <t>=(SUBTOTAL(9,R421:R429))</t>
  </si>
  <si>
    <t>=(SUBTOTAL(9,S421:S429))</t>
  </si>
  <si>
    <t>=(SUBTOTAL(9,T421:T429))</t>
  </si>
  <si>
    <t>=SUBTOTAL(9,O421:T429)</t>
  </si>
  <si>
    <t>=NL("Rows","Item Ledger Entry",,"+Posting Date",$L$5,"Item No.","@@"&amp;$D421,"Location Code","@@"&amp;$E$6)</t>
  </si>
  <si>
    <t>=(SUBTOTAL(9,O444:O445))</t>
  </si>
  <si>
    <t>=(SUBTOTAL(9,P444:P445))</t>
  </si>
  <si>
    <t>=(SUBTOTAL(9,Q444:Q445))</t>
  </si>
  <si>
    <t>=(SUBTOTAL(9,R444:R445))</t>
  </si>
  <si>
    <t>=(SUBTOTAL(9,S444:S445))</t>
  </si>
  <si>
    <t>=(SUBTOTAL(9,T444:T445))</t>
  </si>
  <si>
    <t>=SUBTOTAL(9,O444:T445)</t>
  </si>
  <si>
    <t>=E447</t>
  </si>
  <si>
    <t>=NL("First","Item","Description","No.",$E447)</t>
  </si>
  <si>
    <t>=NL("First","Item","Base Unit of Measure","No.",$E447)</t>
  </si>
  <si>
    <t>=(SUBTOTAL(9,O448:O449))</t>
  </si>
  <si>
    <t>=(SUBTOTAL(9,P448:P449))</t>
  </si>
  <si>
    <t>=(SUBTOTAL(9,Q448:Q449))</t>
  </si>
  <si>
    <t>=(SUBTOTAL(9,R448:R449))</t>
  </si>
  <si>
    <t>=(SUBTOTAL(9,S448:S449))</t>
  </si>
  <si>
    <t>=(SUBTOTAL(9,T448:T449))</t>
  </si>
  <si>
    <t>=SUBTOTAL(9,O448:T449)</t>
  </si>
  <si>
    <t>=NL("Rows","Item Ledger Entry",,"+Posting Date",$L$5,"Item No.","@@"&amp;$D448,"Location Code","@@"&amp;$E$6)</t>
  </si>
  <si>
    <t>=NL("Sum","Item Ledger Entry","Quantity","Entry Type","Purchase","Entry No.",I448,"Location Code","@@"&amp;$E$6)</t>
  </si>
  <si>
    <t>=NL("Sum","Item Ledger Entry","Quantity","Entry Type","Sale","Entry No.",I448,"Location Code","@@"&amp;$E$6)</t>
  </si>
  <si>
    <t>=NL("Sum","Item Ledger Entry","Quantity","Entry Type","Positive Adjmt.|Negative Adjmt.","Entry No.",I448,"Location Code","@@"&amp;$E$6)</t>
  </si>
  <si>
    <t>=NL("Sum","Item Ledger Entry","Quantity","Entry Type","Transfer","Entry No.",I448,"Location Code","@@"&amp;$E$6)</t>
  </si>
  <si>
    <t>=NL("Sum","Item Ledger Entry","Quantity","Entry Type","Consumption","Entry No.",I448,"Location Code","@@"&amp;$E$6)</t>
  </si>
  <si>
    <t>=NL("Sum","Item Ledger Entry","Quantity","Entry Type","Output","Entry No.",I448,"Location Code","@@"&amp;$E$6)</t>
  </si>
  <si>
    <t>=(SUBTOTAL(9,O452:O453))</t>
  </si>
  <si>
    <t>=(SUBTOTAL(9,P452:P453))</t>
  </si>
  <si>
    <t>=(SUBTOTAL(9,Q452:Q453))</t>
  </si>
  <si>
    <t>=(SUBTOTAL(9,R452:R453))</t>
  </si>
  <si>
    <t>=(SUBTOTAL(9,S452:S453))</t>
  </si>
  <si>
    <t>=(SUBTOTAL(9,T452:T453))</t>
  </si>
  <si>
    <t>=SUBTOTAL(9,O452:T453)</t>
  </si>
  <si>
    <t>=NL("Rows","Item Ledger Entry",,"+Posting Date",$L$5,"Item No.","@@"&amp;$D452,"Location Code","@@"&amp;$E$6)</t>
  </si>
  <si>
    <t>=(SUBTOTAL(9,O456:O457))</t>
  </si>
  <si>
    <t>=(SUBTOTAL(9,P456:P457))</t>
  </si>
  <si>
    <t>=(SUBTOTAL(9,Q456:Q457))</t>
  </si>
  <si>
    <t>=(SUBTOTAL(9,R456:R457))</t>
  </si>
  <si>
    <t>=(SUBTOTAL(9,S456:S457))</t>
  </si>
  <si>
    <t>=(SUBTOTAL(9,T456:T457))</t>
  </si>
  <si>
    <t>=SUBTOTAL(9,O456:T457)</t>
  </si>
  <si>
    <t>=E459</t>
  </si>
  <si>
    <t>=NL("First","Item","Description","No.",$E459)</t>
  </si>
  <si>
    <t>=NL("First","Item","Base Unit of Measure","No.",$E459)</t>
  </si>
  <si>
    <t>=(SUBTOTAL(9,O460:O462))</t>
  </si>
  <si>
    <t>=(SUBTOTAL(9,P460:P462))</t>
  </si>
  <si>
    <t>=(SUBTOTAL(9,Q460:Q462))</t>
  </si>
  <si>
    <t>=(SUBTOTAL(9,R460:R462))</t>
  </si>
  <si>
    <t>=(SUBTOTAL(9,S460:S462))</t>
  </si>
  <si>
    <t>=(SUBTOTAL(9,T460:T462))</t>
  </si>
  <si>
    <t>=SUBTOTAL(9,O460:T462)</t>
  </si>
  <si>
    <t>=NL("Rows","Item Ledger Entry",,"+Posting Date",$L$5,"Item No.","@@"&amp;$D460,"Location Code","@@"&amp;$E$6)</t>
  </si>
  <si>
    <t>=NL("Sum","Item Ledger Entry","Quantity","Entry Type","Purchase","Entry No.",I460,"Location Code","@@"&amp;$E$6)</t>
  </si>
  <si>
    <t>=NL("Sum","Item Ledger Entry","Quantity","Entry Type","Sale","Entry No.",I460,"Location Code","@@"&amp;$E$6)</t>
  </si>
  <si>
    <t>=NL("Sum","Item Ledger Entry","Quantity","Entry Type","Positive Adjmt.|Negative Adjmt.","Entry No.",I460,"Location Code","@@"&amp;$E$6)</t>
  </si>
  <si>
    <t>=NL("Sum","Item Ledger Entry","Quantity","Entry Type","Transfer","Entry No.",I460,"Location Code","@@"&amp;$E$6)</t>
  </si>
  <si>
    <t>=NL("Sum","Item Ledger Entry","Quantity","Entry Type","Consumption","Entry No.",I460,"Location Code","@@"&amp;$E$6)</t>
  </si>
  <si>
    <t>=NL("Sum","Item Ledger Entry","Quantity","Entry Type","Output","Entry No.",I460,"Location Code","@@"&amp;$E$6)</t>
  </si>
  <si>
    <t>=(SUBTOTAL(9,O465:O466))</t>
  </si>
  <si>
    <t>=(SUBTOTAL(9,P465:P466))</t>
  </si>
  <si>
    <t>=(SUBTOTAL(9,Q465:Q466))</t>
  </si>
  <si>
    <t>=(SUBTOTAL(9,R465:R466))</t>
  </si>
  <si>
    <t>=(SUBTOTAL(9,S465:S466))</t>
  </si>
  <si>
    <t>=(SUBTOTAL(9,T465:T466))</t>
  </si>
  <si>
    <t>=SUBTOTAL(9,O465:T466)</t>
  </si>
  <si>
    <t>=E468</t>
  </si>
  <si>
    <t>=NL("First","Item","Description","No.",$E468)</t>
  </si>
  <si>
    <t>=NL("First","Item","Base Unit of Measure","No.",$E468)</t>
  </si>
  <si>
    <t>=(SUBTOTAL(9,O469:O472))</t>
  </si>
  <si>
    <t>=(SUBTOTAL(9,P469:P472))</t>
  </si>
  <si>
    <t>=(SUBTOTAL(9,Q469:Q472))</t>
  </si>
  <si>
    <t>=(SUBTOTAL(9,R469:R472))</t>
  </si>
  <si>
    <t>=(SUBTOTAL(9,S469:S472))</t>
  </si>
  <si>
    <t>=(SUBTOTAL(9,T469:T472))</t>
  </si>
  <si>
    <t>=SUBTOTAL(9,O469:T472)</t>
  </si>
  <si>
    <t>=NL("Rows","Item Ledger Entry",,"+Posting Date",$L$5,"Item No.","@@"&amp;$D469,"Location Code","@@"&amp;$E$6)</t>
  </si>
  <si>
    <t>=(SUBTOTAL(9,O475:O477))</t>
  </si>
  <si>
    <t>=(SUBTOTAL(9,P475:P477))</t>
  </si>
  <si>
    <t>=(SUBTOTAL(9,Q475:Q477))</t>
  </si>
  <si>
    <t>=(SUBTOTAL(9,R475:R477))</t>
  </si>
  <si>
    <t>=(SUBTOTAL(9,S475:S477))</t>
  </si>
  <si>
    <t>=(SUBTOTAL(9,T475:T477))</t>
  </si>
  <si>
    <t>=SUBTOTAL(9,O475:T477)</t>
  </si>
  <si>
    <t>=E479</t>
  </si>
  <si>
    <t>=NL("First","Item","Description","No.",$E479)</t>
  </si>
  <si>
    <t>=NL("First","Item","Base Unit of Measure","No.",$E479)</t>
  </si>
  <si>
    <t>=(SUBTOTAL(9,O480:O483))</t>
  </si>
  <si>
    <t>=(SUBTOTAL(9,P480:P483))</t>
  </si>
  <si>
    <t>=(SUBTOTAL(9,Q480:Q483))</t>
  </si>
  <si>
    <t>=(SUBTOTAL(9,R480:R483))</t>
  </si>
  <si>
    <t>=(SUBTOTAL(9,S480:S483))</t>
  </si>
  <si>
    <t>=(SUBTOTAL(9,T480:T483))</t>
  </si>
  <si>
    <t>=SUBTOTAL(9,O480:T483)</t>
  </si>
  <si>
    <t>=NL("Rows","Item Ledger Entry",,"+Posting Date",$L$5,"Item No.","@@"&amp;$D480,"Location Code","@@"&amp;$E$6)</t>
  </si>
  <si>
    <t>=E485</t>
  </si>
  <si>
    <t>=NL("First","Item","Description","No.",$E485)</t>
  </si>
  <si>
    <t>=NL("First","Item","Base Unit of Measure","No.",$E485)</t>
  </si>
  <si>
    <t>=(SUBTOTAL(9,O486:O488))</t>
  </si>
  <si>
    <t>=(SUBTOTAL(9,P486:P488))</t>
  </si>
  <si>
    <t>=(SUBTOTAL(9,Q486:Q488))</t>
  </si>
  <si>
    <t>=(SUBTOTAL(9,R486:R488))</t>
  </si>
  <si>
    <t>=(SUBTOTAL(9,S486:S488))</t>
  </si>
  <si>
    <t>=(SUBTOTAL(9,T486:T488))</t>
  </si>
  <si>
    <t>=SUBTOTAL(9,O486:T488)</t>
  </si>
  <si>
    <t>=NL("Rows","Item Ledger Entry",,"+Posting Date",$L$5,"Item No.","@@"&amp;$D486,"Location Code","@@"&amp;$E$6)</t>
  </si>
  <si>
    <t>=NL("Sum","Item Ledger Entry","Quantity","Entry Type","Purchase","Entry No.",I486,"Location Code","@@"&amp;$E$6)</t>
  </si>
  <si>
    <t>=NL("Sum","Item Ledger Entry","Quantity","Entry Type","Sale","Entry No.",I486,"Location Code","@@"&amp;$E$6)</t>
  </si>
  <si>
    <t>=NL("Sum","Item Ledger Entry","Quantity","Entry Type","Positive Adjmt.|Negative Adjmt.","Entry No.",I486,"Location Code","@@"&amp;$E$6)</t>
  </si>
  <si>
    <t>=NL("Sum","Item Ledger Entry","Quantity","Entry Type","Transfer","Entry No.",I486,"Location Code","@@"&amp;$E$6)</t>
  </si>
  <si>
    <t>=NL("Sum","Item Ledger Entry","Quantity","Entry Type","Consumption","Entry No.",I486,"Location Code","@@"&amp;$E$6)</t>
  </si>
  <si>
    <t>=NL("Sum","Item Ledger Entry","Quantity","Entry Type","Output","Entry No.",I486,"Location Code","@@"&amp;$E$6)</t>
  </si>
  <si>
    <t>=(SUBTOTAL(9,O491:O492))</t>
  </si>
  <si>
    <t>=(SUBTOTAL(9,P491:P492))</t>
  </si>
  <si>
    <t>=(SUBTOTAL(9,Q491:Q492))</t>
  </si>
  <si>
    <t>=(SUBTOTAL(9,R491:R492))</t>
  </si>
  <si>
    <t>=(SUBTOTAL(9,S491:S492))</t>
  </si>
  <si>
    <t>=(SUBTOTAL(9,T491:T492))</t>
  </si>
  <si>
    <t>=SUBTOTAL(9,O491:T492)</t>
  </si>
  <si>
    <t>=(SUBTOTAL(9,O495:O498))</t>
  </si>
  <si>
    <t>=(SUBTOTAL(9,P495:P498))</t>
  </si>
  <si>
    <t>=(SUBTOTAL(9,Q495:Q498))</t>
  </si>
  <si>
    <t>=(SUBTOTAL(9,R495:R498))</t>
  </si>
  <si>
    <t>=(SUBTOTAL(9,S495:S498))</t>
  </si>
  <si>
    <t>=(SUBTOTAL(9,T495:T498))</t>
  </si>
  <si>
    <t>=SUBTOTAL(9,O495:T498)</t>
  </si>
  <si>
    <t>=NL("Rows","Item Ledger Entry",,"+Posting Date",$L$5,"Item No.","@@"&amp;$D495,"Location Code","@@"&amp;$E$6)</t>
  </si>
  <si>
    <t>=E500</t>
  </si>
  <si>
    <t>=NL("First","Item","Description","No.",$E500)</t>
  </si>
  <si>
    <t>=NL("First","Item","Base Unit of Measure","No.",$E500)</t>
  </si>
  <si>
    <t>=(SUBTOTAL(9,O501:O504))</t>
  </si>
  <si>
    <t>=(SUBTOTAL(9,P501:P504))</t>
  </si>
  <si>
    <t>=(SUBTOTAL(9,Q501:Q504))</t>
  </si>
  <si>
    <t>=(SUBTOTAL(9,R501:R504))</t>
  </si>
  <si>
    <t>=(SUBTOTAL(9,S501:S504))</t>
  </si>
  <si>
    <t>=(SUBTOTAL(9,T501:T504))</t>
  </si>
  <si>
    <t>=SUBTOTAL(9,O501:T504)</t>
  </si>
  <si>
    <t>=NL("Rows","Item Ledger Entry",,"+Posting Date",$L$5,"Item No.","@@"&amp;$D501,"Location Code","@@"&amp;$E$6)</t>
  </si>
  <si>
    <t>=E506</t>
  </si>
  <si>
    <t>=NL("First","Item","Description","No.",$E506)</t>
  </si>
  <si>
    <t>=NL("First","Item","Base Unit of Measure","No.",$E506)</t>
  </si>
  <si>
    <t>=(SUBTOTAL(9,O507:O511))</t>
  </si>
  <si>
    <t>=(SUBTOTAL(9,P507:P511))</t>
  </si>
  <si>
    <t>=(SUBTOTAL(9,Q507:Q511))</t>
  </si>
  <si>
    <t>=(SUBTOTAL(9,R507:R511))</t>
  </si>
  <si>
    <t>=(SUBTOTAL(9,S507:S511))</t>
  </si>
  <si>
    <t>=(SUBTOTAL(9,T507:T511))</t>
  </si>
  <si>
    <t>=SUBTOTAL(9,O507:T511)</t>
  </si>
  <si>
    <t>=NL("Rows","Item Ledger Entry",,"+Posting Date",$L$5,"Item No.","@@"&amp;$D507,"Location Code","@@"&amp;$E$6)</t>
  </si>
  <si>
    <t>=E513</t>
  </si>
  <si>
    <t>=NL("First","Item","Description","No.",$E513)</t>
  </si>
  <si>
    <t>=NL("First","Item","Base Unit of Measure","No.",$E513)</t>
  </si>
  <si>
    <t>=(SUBTOTAL(9,O514:O519))</t>
  </si>
  <si>
    <t>=(SUBTOTAL(9,P514:P519))</t>
  </si>
  <si>
    <t>=(SUBTOTAL(9,Q514:Q519))</t>
  </si>
  <si>
    <t>=(SUBTOTAL(9,R514:R519))</t>
  </si>
  <si>
    <t>=(SUBTOTAL(9,S514:S519))</t>
  </si>
  <si>
    <t>=(SUBTOTAL(9,T514:T519))</t>
  </si>
  <si>
    <t>=SUBTOTAL(9,O514:T519)</t>
  </si>
  <si>
    <t>=NL("Rows","Item Ledger Entry",,"+Posting Date",$L$5,"Item No.","@@"&amp;$D514,"Location Code","@@"&amp;$E$6)</t>
  </si>
  <si>
    <t>=D514</t>
  </si>
  <si>
    <t>=IF($J515="Customer",NL("first",$J515,"Name","No.","@@"&amp;$K515),"")</t>
  </si>
  <si>
    <t>=IF(J515="vendor",NL("first",J515,"Name","No.","@@"&amp;K515),"")</t>
  </si>
  <si>
    <t>=IF($J515="Item",NL("first",$J515,"Description","No.","@@"&amp;$K515),"")</t>
  </si>
  <si>
    <t>=E521</t>
  </si>
  <si>
    <t>=NL("First","Item","Description","No.",$E521)</t>
  </si>
  <si>
    <t>=NL("First","Item","Base Unit of Measure","No.",$E521)</t>
  </si>
  <si>
    <t>=(SUBTOTAL(9,O522:O524))</t>
  </si>
  <si>
    <t>=(SUBTOTAL(9,P522:P524))</t>
  </si>
  <si>
    <t>=(SUBTOTAL(9,Q522:Q524))</t>
  </si>
  <si>
    <t>=(SUBTOTAL(9,R522:R524))</t>
  </si>
  <si>
    <t>=(SUBTOTAL(9,S522:S524))</t>
  </si>
  <si>
    <t>=(SUBTOTAL(9,T522:T524))</t>
  </si>
  <si>
    <t>=SUBTOTAL(9,O522:T524)</t>
  </si>
  <si>
    <t>=NL("Rows","Item Ledger Entry",,"+Posting Date",$L$5,"Item No.","@@"&amp;$D522,"Location Code","@@"&amp;$E$6)</t>
  </si>
  <si>
    <t>=(SUBTOTAL(9,O534:O539))</t>
  </si>
  <si>
    <t>=(SUBTOTAL(9,P534:P539))</t>
  </si>
  <si>
    <t>=(SUBTOTAL(9,Q534:Q539))</t>
  </si>
  <si>
    <t>=(SUBTOTAL(9,R534:R539))</t>
  </si>
  <si>
    <t>=(SUBTOTAL(9,S534:S539))</t>
  </si>
  <si>
    <t>=(SUBTOTAL(9,T534:T539))</t>
  </si>
  <si>
    <t>=SUBTOTAL(9,O534:T539)</t>
  </si>
  <si>
    <t>=E541</t>
  </si>
  <si>
    <t>=NL("First","Item","Description","No.",$E541)</t>
  </si>
  <si>
    <t>=NL("First","Item","Base Unit of Measure","No.",$E541)</t>
  </si>
  <si>
    <t>=(SUBTOTAL(9,O542:O544))</t>
  </si>
  <si>
    <t>=(SUBTOTAL(9,P542:P544))</t>
  </si>
  <si>
    <t>=(SUBTOTAL(9,Q542:Q544))</t>
  </si>
  <si>
    <t>=(SUBTOTAL(9,R542:R544))</t>
  </si>
  <si>
    <t>=(SUBTOTAL(9,S542:S544))</t>
  </si>
  <si>
    <t>=(SUBTOTAL(9,T542:T544))</t>
  </si>
  <si>
    <t>=SUBTOTAL(9,O542:T544)</t>
  </si>
  <si>
    <t>=NL("Rows","Item Ledger Entry",,"+Posting Date",$L$5,"Item No.","@@"&amp;$D542,"Location Code","@@"&amp;$E$6)</t>
  </si>
  <si>
    <t>=(SUBTOTAL(9,O547:O550))</t>
  </si>
  <si>
    <t>=(SUBTOTAL(9,P547:P550))</t>
  </si>
  <si>
    <t>=(SUBTOTAL(9,Q547:Q550))</t>
  </si>
  <si>
    <t>=(SUBTOTAL(9,R547:R550))</t>
  </si>
  <si>
    <t>=(SUBTOTAL(9,S547:S550))</t>
  </si>
  <si>
    <t>=(SUBTOTAL(9,T547:T550))</t>
  </si>
  <si>
    <t>=SUBTOTAL(9,O547:T550)</t>
  </si>
  <si>
    <t>=E552</t>
  </si>
  <si>
    <t>=NL("First","Item","Description","No.",$E552)</t>
  </si>
  <si>
    <t>=NL("First","Item","Base Unit of Measure","No.",$E552)</t>
  </si>
  <si>
    <t>=(SUBTOTAL(9,O553:O556))</t>
  </si>
  <si>
    <t>=(SUBTOTAL(9,P553:P556))</t>
  </si>
  <si>
    <t>=(SUBTOTAL(9,Q553:Q556))</t>
  </si>
  <si>
    <t>=(SUBTOTAL(9,R553:R556))</t>
  </si>
  <si>
    <t>=(SUBTOTAL(9,S553:S556))</t>
  </si>
  <si>
    <t>=(SUBTOTAL(9,T553:T556))</t>
  </si>
  <si>
    <t>=SUBTOTAL(9,O553:T556)</t>
  </si>
  <si>
    <t>=D552</t>
  </si>
  <si>
    <t>=NL("Rows","Item Ledger Entry",,"+Posting Date",$L$5,"Item No.","@@"&amp;$D553,"Location Code","@@"&amp;$E$6)</t>
  </si>
  <si>
    <t>=IF($J553="Customer",NL("first",$J553,"Name","No.","@@"&amp;$K553),"")</t>
  </si>
  <si>
    <t>=IF(J553="vendor",NL("first",J553,"Name","No.","@@"&amp;K553),"")</t>
  </si>
  <si>
    <t>=IF($J553="Item",NL("first",$J553,"Description","No.","@@"&amp;$K553),"")</t>
  </si>
  <si>
    <t>=E558</t>
  </si>
  <si>
    <t>=NL("First","Item","Description","No.",$E558)</t>
  </si>
  <si>
    <t>=NL("First","Item","Base Unit of Measure","No.",$E558)</t>
  </si>
  <si>
    <t>=(SUBTOTAL(9,O559:O565))</t>
  </si>
  <si>
    <t>=(SUBTOTAL(9,P559:P565))</t>
  </si>
  <si>
    <t>=(SUBTOTAL(9,Q559:Q565))</t>
  </si>
  <si>
    <t>=(SUBTOTAL(9,R559:R565))</t>
  </si>
  <si>
    <t>=(SUBTOTAL(9,S559:S565))</t>
  </si>
  <si>
    <t>=(SUBTOTAL(9,T559:T565))</t>
  </si>
  <si>
    <t>=SUBTOTAL(9,O559:T565)</t>
  </si>
  <si>
    <t>=NL("Rows","Item Ledger Entry",,"+Posting Date",$L$5,"Item No.","@@"&amp;$D559,"Location Code","@@"&amp;$E$6)</t>
  </si>
  <si>
    <t>=D563</t>
  </si>
  <si>
    <t>=IF($J564="Customer",NL("first",$J564,"Name","No.","@@"&amp;$K564),"")</t>
  </si>
  <si>
    <t>=IF(J564="vendor",NL("first",J564,"Name","No.","@@"&amp;K564),"")</t>
  </si>
  <si>
    <t>=IF($J564="Item",NL("first",$J564,"Description","No.","@@"&amp;$K564),"")</t>
  </si>
  <si>
    <t>=E567</t>
  </si>
  <si>
    <t>=NL("First","Item","Description","No.",$E567)</t>
  </si>
  <si>
    <t>=NL("First","Item","Base Unit of Measure","No.",$E567)</t>
  </si>
  <si>
    <t>=(SUBTOTAL(9,O568:O571))</t>
  </si>
  <si>
    <t>=(SUBTOTAL(9,P568:P571))</t>
  </si>
  <si>
    <t>=(SUBTOTAL(9,Q568:Q571))</t>
  </si>
  <si>
    <t>=(SUBTOTAL(9,R568:R571))</t>
  </si>
  <si>
    <t>=(SUBTOTAL(9,S568:S571))</t>
  </si>
  <si>
    <t>=(SUBTOTAL(9,T568:T571))</t>
  </si>
  <si>
    <t>=SUBTOTAL(9,O568:T571)</t>
  </si>
  <si>
    <t>=NL("Rows","Item Ledger Entry",,"+Posting Date",$L$5,"Item No.","@@"&amp;$D568,"Location Code","@@"&amp;$E$6)</t>
  </si>
  <si>
    <t>=E573</t>
  </si>
  <si>
    <t>=NL("First","Item","Description","No.",$E573)</t>
  </si>
  <si>
    <t>=NL("First","Item","Base Unit of Measure","No.",$E573)</t>
  </si>
  <si>
    <t>=(SUBTOTAL(9,O574:O580))</t>
  </si>
  <si>
    <t>=(SUBTOTAL(9,P574:P580))</t>
  </si>
  <si>
    <t>=(SUBTOTAL(9,Q574:Q580))</t>
  </si>
  <si>
    <t>=(SUBTOTAL(9,R574:R580))</t>
  </si>
  <si>
    <t>=(SUBTOTAL(9,S574:S580))</t>
  </si>
  <si>
    <t>=(SUBTOTAL(9,T574:T580))</t>
  </si>
  <si>
    <t>=SUBTOTAL(9,O574:T580)</t>
  </si>
  <si>
    <t>=NL("Rows","Item Ledger Entry",,"+Posting Date",$L$5,"Item No.","@@"&amp;$D574,"Location Code","@@"&amp;$E$6)</t>
  </si>
  <si>
    <t>=D577</t>
  </si>
  <si>
    <t>=IF($J578="Customer",NL("first",$J578,"Name","No.","@@"&amp;$K578),"")</t>
  </si>
  <si>
    <t>=IF(J578="vendor",NL("first",J578,"Name","No.","@@"&amp;K578),"")</t>
  </si>
  <si>
    <t>=IF($J578="Item",NL("first",$J578,"Description","No.","@@"&amp;$K578),"")</t>
  </si>
  <si>
    <t>=E582</t>
  </si>
  <si>
    <t>=NL("First","Item","Description","No.",$E582)</t>
  </si>
  <si>
    <t>=NL("First","Item","Base Unit of Measure","No.",$E582)</t>
  </si>
  <si>
    <t>=(SUBTOTAL(9,O583:O589))</t>
  </si>
  <si>
    <t>=(SUBTOTAL(9,P583:P589))</t>
  </si>
  <si>
    <t>=(SUBTOTAL(9,Q583:Q589))</t>
  </si>
  <si>
    <t>=(SUBTOTAL(9,R583:R589))</t>
  </si>
  <si>
    <t>=(SUBTOTAL(9,S583:S589))</t>
  </si>
  <si>
    <t>=(SUBTOTAL(9,T583:T589))</t>
  </si>
  <si>
    <t>=SUBTOTAL(9,O583:T589)</t>
  </si>
  <si>
    <t>=NL("Rows","Item Ledger Entry",,"+Posting Date",$L$5,"Item No.","@@"&amp;$D583,"Location Code","@@"&amp;$E$6)</t>
  </si>
  <si>
    <t>=E591</t>
  </si>
  <si>
    <t>=NL("First","Item","Description","No.",$E591)</t>
  </si>
  <si>
    <t>=NL("First","Item","Base Unit of Measure","No.",$E591)</t>
  </si>
  <si>
    <t>=(SUBTOTAL(9,O592:O593))</t>
  </si>
  <si>
    <t>=(SUBTOTAL(9,P592:P593))</t>
  </si>
  <si>
    <t>=(SUBTOTAL(9,Q592:Q593))</t>
  </si>
  <si>
    <t>=(SUBTOTAL(9,R592:R593))</t>
  </si>
  <si>
    <t>=(SUBTOTAL(9,S592:S593))</t>
  </si>
  <si>
    <t>=(SUBTOTAL(9,T592:T593))</t>
  </si>
  <si>
    <t>=SUBTOTAL(9,O592:T593)</t>
  </si>
  <si>
    <t>=NL("Rows","Item Ledger Entry",,"+Posting Date",$L$5,"Item No.","@@"&amp;$D592,"Location Code","@@"&amp;$E$6)</t>
  </si>
  <si>
    <t>=E595</t>
  </si>
  <si>
    <t>=NL("First","Item","Description","No.",$E595)</t>
  </si>
  <si>
    <t>=NL("First","Item","Base Unit of Measure","No.",$E595)</t>
  </si>
  <si>
    <t>=(SUBTOTAL(9,O596:O597))</t>
  </si>
  <si>
    <t>=(SUBTOTAL(9,P596:P597))</t>
  </si>
  <si>
    <t>=(SUBTOTAL(9,Q596:Q597))</t>
  </si>
  <si>
    <t>=(SUBTOTAL(9,R596:R597))</t>
  </si>
  <si>
    <t>=(SUBTOTAL(9,S596:S597))</t>
  </si>
  <si>
    <t>=(SUBTOTAL(9,T596:T597))</t>
  </si>
  <si>
    <t>=SUBTOTAL(9,O596:T597)</t>
  </si>
  <si>
    <t>=NL("Rows","Item Ledger Entry",,"+Posting Date",$L$5,"Item No.","@@"&amp;$D596,"Location Code","@@"&amp;$E$6)</t>
  </si>
  <si>
    <t>=NL("Sum","Item Ledger Entry","Quantity","Entry Type","Purchase","Entry No.",I596,"Location Code","@@"&amp;$E$6)</t>
  </si>
  <si>
    <t>=NL("Sum","Item Ledger Entry","Quantity","Entry Type","Sale","Entry No.",I596,"Location Code","@@"&amp;$E$6)</t>
  </si>
  <si>
    <t>=NL("Sum","Item Ledger Entry","Quantity","Entry Type","Positive Adjmt.|Negative Adjmt.","Entry No.",I596,"Location Code","@@"&amp;$E$6)</t>
  </si>
  <si>
    <t>=NL("Sum","Item Ledger Entry","Quantity","Entry Type","Transfer","Entry No.",I596,"Location Code","@@"&amp;$E$6)</t>
  </si>
  <si>
    <t>=NL("Sum","Item Ledger Entry","Quantity","Entry Type","Consumption","Entry No.",I596,"Location Code","@@"&amp;$E$6)</t>
  </si>
  <si>
    <t>=NL("Sum","Item Ledger Entry","Quantity","Entry Type","Output","Entry No.",I596,"Location Code","@@"&amp;$E$6)</t>
  </si>
  <si>
    <t>=E599</t>
  </si>
  <si>
    <t>=NL("First","Item","Description","No.",$E599)</t>
  </si>
  <si>
    <t>=NL("First","Item","Base Unit of Measure","No.",$E599)</t>
  </si>
  <si>
    <t>=(SUBTOTAL(9,O600:O601))</t>
  </si>
  <si>
    <t>=(SUBTOTAL(9,P600:P601))</t>
  </si>
  <si>
    <t>=(SUBTOTAL(9,Q600:Q601))</t>
  </si>
  <si>
    <t>=(SUBTOTAL(9,R600:R601))</t>
  </si>
  <si>
    <t>=(SUBTOTAL(9,S600:S601))</t>
  </si>
  <si>
    <t>=(SUBTOTAL(9,T600:T601))</t>
  </si>
  <si>
    <t>=SUBTOTAL(9,O600:T601)</t>
  </si>
  <si>
    <t>=NL("Rows","Item Ledger Entry",,"+Posting Date",$L$5,"Item No.","@@"&amp;$D600,"Location Code","@@"&amp;$E$6)</t>
  </si>
  <si>
    <t>=NL("Sum","Item Ledger Entry","Quantity","Entry Type","Purchase","Entry No.",I600,"Location Code","@@"&amp;$E$6)</t>
  </si>
  <si>
    <t>=NL("Sum","Item Ledger Entry","Quantity","Entry Type","Sale","Entry No.",I600,"Location Code","@@"&amp;$E$6)</t>
  </si>
  <si>
    <t>=NL("Sum","Item Ledger Entry","Quantity","Entry Type","Positive Adjmt.|Negative Adjmt.","Entry No.",I600,"Location Code","@@"&amp;$E$6)</t>
  </si>
  <si>
    <t>=NL("Sum","Item Ledger Entry","Quantity","Entry Type","Transfer","Entry No.",I600,"Location Code","@@"&amp;$E$6)</t>
  </si>
  <si>
    <t>=NL("Sum","Item Ledger Entry","Quantity","Entry Type","Consumption","Entry No.",I600,"Location Code","@@"&amp;$E$6)</t>
  </si>
  <si>
    <t>=NL("Sum","Item Ledger Entry","Quantity","Entry Type","Output","Entry No.",I600,"Location Code","@@"&amp;$E$6)</t>
  </si>
  <si>
    <t>=E603</t>
  </si>
  <si>
    <t>=NL("First","Item","Description","No.",$E603)</t>
  </si>
  <si>
    <t>=NL("First","Item","Base Unit of Measure","No.",$E603)</t>
  </si>
  <si>
    <t>=(SUBTOTAL(9,O604:O605))</t>
  </si>
  <si>
    <t>=(SUBTOTAL(9,P604:P605))</t>
  </si>
  <si>
    <t>=(SUBTOTAL(9,Q604:Q605))</t>
  </si>
  <si>
    <t>=(SUBTOTAL(9,R604:R605))</t>
  </si>
  <si>
    <t>=(SUBTOTAL(9,S604:S605))</t>
  </si>
  <si>
    <t>=(SUBTOTAL(9,T604:T605))</t>
  </si>
  <si>
    <t>=SUBTOTAL(9,O604:T605)</t>
  </si>
  <si>
    <t>=NL("Rows","Item Ledger Entry",,"+Posting Date",$L$5,"Item No.","@@"&amp;$D604,"Location Code","@@"&amp;$E$6)</t>
  </si>
  <si>
    <t>=(SUBTOTAL(9,O608:O609))</t>
  </si>
  <si>
    <t>=(SUBTOTAL(9,P608:P609))</t>
  </si>
  <si>
    <t>=(SUBTOTAL(9,Q608:Q609))</t>
  </si>
  <si>
    <t>=(SUBTOTAL(9,R608:R609))</t>
  </si>
  <si>
    <t>=(SUBTOTAL(9,S608:S609))</t>
  </si>
  <si>
    <t>=(SUBTOTAL(9,T608:T609))</t>
  </si>
  <si>
    <t>=SUBTOTAL(9,O608:T609)</t>
  </si>
  <si>
    <t>=E611</t>
  </si>
  <si>
    <t>=NL("First","Item","Description","No.",$E611)</t>
  </si>
  <si>
    <t>=NL("First","Item","Base Unit of Measure","No.",$E611)</t>
  </si>
  <si>
    <t>=(SUBTOTAL(9,O612:O613))</t>
  </si>
  <si>
    <t>=(SUBTOTAL(9,P612:P613))</t>
  </si>
  <si>
    <t>=(SUBTOTAL(9,Q612:Q613))</t>
  </si>
  <si>
    <t>=(SUBTOTAL(9,R612:R613))</t>
  </si>
  <si>
    <t>=(SUBTOTAL(9,S612:S613))</t>
  </si>
  <si>
    <t>=(SUBTOTAL(9,T612:T613))</t>
  </si>
  <si>
    <t>=SUBTOTAL(9,O612:T613)</t>
  </si>
  <si>
    <t>=NL("Rows","Item Ledger Entry",,"+Posting Date",$L$5,"Item No.","@@"&amp;$D612,"Location Code","@@"&amp;$E$6)</t>
  </si>
  <si>
    <t>=NL("Sum","Item Ledger Entry","Quantity","Entry Type","Purchase","Entry No.",I612,"Location Code","@@"&amp;$E$6)</t>
  </si>
  <si>
    <t>=NL("Sum","Item Ledger Entry","Quantity","Entry Type","Sale","Entry No.",I612,"Location Code","@@"&amp;$E$6)</t>
  </si>
  <si>
    <t>=NL("Sum","Item Ledger Entry","Quantity","Entry Type","Positive Adjmt.|Negative Adjmt.","Entry No.",I612,"Location Code","@@"&amp;$E$6)</t>
  </si>
  <si>
    <t>=NL("Sum","Item Ledger Entry","Quantity","Entry Type","Transfer","Entry No.",I612,"Location Code","@@"&amp;$E$6)</t>
  </si>
  <si>
    <t>=NL("Sum","Item Ledger Entry","Quantity","Entry Type","Consumption","Entry No.",I612,"Location Code","@@"&amp;$E$6)</t>
  </si>
  <si>
    <t>=NL("Sum","Item Ledger Entry","Quantity","Entry Type","Output","Entry No.",I612,"Location Code","@@"&amp;$E$6)</t>
  </si>
  <si>
    <t>=E615</t>
  </si>
  <si>
    <t>=NL("First","Item","Description","No.",$E615)</t>
  </si>
  <si>
    <t>=NL("First","Item","Base Unit of Measure","No.",$E615)</t>
  </si>
  <si>
    <t>=(SUBTOTAL(9,O616:O617))</t>
  </si>
  <si>
    <t>=(SUBTOTAL(9,P616:P617))</t>
  </si>
  <si>
    <t>=(SUBTOTAL(9,Q616:Q617))</t>
  </si>
  <si>
    <t>=(SUBTOTAL(9,R616:R617))</t>
  </si>
  <si>
    <t>=(SUBTOTAL(9,S616:S617))</t>
  </si>
  <si>
    <t>=(SUBTOTAL(9,T616:T617))</t>
  </si>
  <si>
    <t>=SUBTOTAL(9,O616:T617)</t>
  </si>
  <si>
    <t>=NL("Rows","Item Ledger Entry",,"+Posting Date",$L$5,"Item No.","@@"&amp;$D616,"Location Code","@@"&amp;$E$6)</t>
  </si>
  <si>
    <t>=(SUBTOTAL(9,O620:O621))</t>
  </si>
  <si>
    <t>=(SUBTOTAL(9,P620:P621))</t>
  </si>
  <si>
    <t>=(SUBTOTAL(9,Q620:Q621))</t>
  </si>
  <si>
    <t>=(SUBTOTAL(9,R620:R621))</t>
  </si>
  <si>
    <t>=(SUBTOTAL(9,S620:S621))</t>
  </si>
  <si>
    <t>=(SUBTOTAL(9,T620:T621))</t>
  </si>
  <si>
    <t>=SUBTOTAL(9,O620:T621)</t>
  </si>
  <si>
    <t>=SUBTOTAL(9,O13:O623)</t>
  </si>
  <si>
    <t>=SUBTOTAL(9,P13:P623)</t>
  </si>
  <si>
    <t>=SUBTOTAL(9,Q13:Q623)</t>
  </si>
  <si>
    <t>=SUBTOTAL(9,R13:R623)</t>
  </si>
  <si>
    <t>=SUBTOTAL(9,S13:S623)</t>
  </si>
  <si>
    <t>=SUBTOTAL(9,T13:T623)</t>
  </si>
  <si>
    <t>=SUM(U12:U623)</t>
  </si>
  <si>
    <t>=NL("Sum","Item Ledger Entry","Quantity","Entry Type","Purchase","Entry No.",I583,"Location Code","@@"&amp;$E$6)</t>
  </si>
  <si>
    <t>=NL("Sum","Item Ledger Entry","Quantity","Entry Type","Purchase","Entry No.",I584,"Location Code","@@"&amp;$E$6)</t>
  </si>
  <si>
    <t>=NL("Sum","Item Ledger Entry","Quantity","Entry Type","Purchase","Entry No.",I585,"Location Code","@@"&amp;$E$6)</t>
  </si>
  <si>
    <t>=NL("Sum","Item Ledger Entry","Quantity","Entry Type","Purchase","Entry No.",I588,"Location Code","@@"&amp;$E$6)</t>
  </si>
  <si>
    <t>=NL("Sum","Item Ledger Entry","Quantity","Entry Type","Sale","Entry No.",I583,"Location Code","@@"&amp;$E$6)</t>
  </si>
  <si>
    <t>=NL("Sum","Item Ledger Entry","Quantity","Entry Type","Sale","Entry No.",I584,"Location Code","@@"&amp;$E$6)</t>
  </si>
  <si>
    <t>=NL("Sum","Item Ledger Entry","Quantity","Entry Type","Sale","Entry No.",I585,"Location Code","@@"&amp;$E$6)</t>
  </si>
  <si>
    <t>=NL("Sum","Item Ledger Entry","Quantity","Entry Type","Sale","Entry No.",I588,"Location Code","@@"&amp;$E$6)</t>
  </si>
  <si>
    <t>=NL("Sum","Item Ledger Entry","Quantity","Entry Type","Positive Adjmt.|Negative Adjmt.","Entry No.",I583,"Location Code","@@"&amp;$E$6)</t>
  </si>
  <si>
    <t>=NL("Sum","Item Ledger Entry","Quantity","Entry Type","Positive Adjmt.|Negative Adjmt.","Entry No.",I584,"Location Code","@@"&amp;$E$6)</t>
  </si>
  <si>
    <t>=NL("Sum","Item Ledger Entry","Quantity","Entry Type","Positive Adjmt.|Negative Adjmt.","Entry No.",I585,"Location Code","@@"&amp;$E$6)</t>
  </si>
  <si>
    <t>=NL("Sum","Item Ledger Entry","Quantity","Entry Type","Positive Adjmt.|Negative Adjmt.","Entry No.",I588,"Location Code","@@"&amp;$E$6)</t>
  </si>
  <si>
    <t>=NL("Sum","Item Ledger Entry","Quantity","Entry Type","Transfer","Entry No.",I583,"Location Code","@@"&amp;$E$6)</t>
  </si>
  <si>
    <t>=NL("Sum","Item Ledger Entry","Quantity","Entry Type","Transfer","Entry No.",I584,"Location Code","@@"&amp;$E$6)</t>
  </si>
  <si>
    <t>=NL("Sum","Item Ledger Entry","Quantity","Entry Type","Transfer","Entry No.",I585,"Location Code","@@"&amp;$E$6)</t>
  </si>
  <si>
    <t>=NL("Sum","Item Ledger Entry","Quantity","Entry Type","Transfer","Entry No.",I588,"Location Code","@@"&amp;$E$6)</t>
  </si>
  <si>
    <t>=NL("Sum","Item Ledger Entry","Quantity","Entry Type","Consumption","Entry No.",I583,"Location Code","@@"&amp;$E$6)</t>
  </si>
  <si>
    <t>=NL("Sum","Item Ledger Entry","Quantity","Entry Type","Consumption","Entry No.",I584,"Location Code","@@"&amp;$E$6)</t>
  </si>
  <si>
    <t>=NL("Sum","Item Ledger Entry","Quantity","Entry Type","Consumption","Entry No.",I585,"Location Code","@@"&amp;$E$6)</t>
  </si>
  <si>
    <t>=NL("Sum","Item Ledger Entry","Quantity","Entry Type","Consumption","Entry No.",I588,"Location Code","@@"&amp;$E$6)</t>
  </si>
  <si>
    <t>=NL("Sum","Item Ledger Entry","Quantity","Entry Type","Output","Entry No.",I583,"Location Code","@@"&amp;$E$6)</t>
  </si>
  <si>
    <t>=NL("Sum","Item Ledger Entry","Quantity","Entry Type","Output","Entry No.",I584,"Location Code","@@"&amp;$E$6)</t>
  </si>
  <si>
    <t>=NL("Sum","Item Ledger Entry","Quantity","Entry Type","Output","Entry No.",I585,"Location Code","@@"&amp;$E$6)</t>
  </si>
  <si>
    <t>=NL("Sum","Item Ledger Entry","Quantity","Entry Type","Output","Entry No.",I588,"Location Code","@@"&amp;$E$6)</t>
  </si>
  <si>
    <t>=NF($G578,"Posting Date")</t>
  </si>
  <si>
    <t>=NF($G578,"Entry No.")</t>
  </si>
  <si>
    <t>=NL("Sum","Item Ledger Entry","Quantity","Entry Type","Purchase","Entry No.",I574,"Location Code","@@"&amp;$E$6)</t>
  </si>
  <si>
    <t>=NL("Sum","Item Ledger Entry","Quantity","Entry Type","Purchase","Entry No.",I575,"Location Code","@@"&amp;$E$6)</t>
  </si>
  <si>
    <t>=NL("Sum","Item Ledger Entry","Quantity","Entry Type","Purchase","Entry No.",I578,"Location Code","@@"&amp;$E$6)</t>
  </si>
  <si>
    <t>=NL("Sum","Item Ledger Entry","Quantity","Entry Type","Purchase","Entry No.",I579,"Location Code","@@"&amp;$E$6)</t>
  </si>
  <si>
    <t>=NL("Sum","Item Ledger Entry","Quantity","Entry Type","Sale","Entry No.",I574,"Location Code","@@"&amp;$E$6)</t>
  </si>
  <si>
    <t>=NL("Sum","Item Ledger Entry","Quantity","Entry Type","Sale","Entry No.",I575,"Location Code","@@"&amp;$E$6)</t>
  </si>
  <si>
    <t>=NL("Sum","Item Ledger Entry","Quantity","Entry Type","Sale","Entry No.",I578,"Location Code","@@"&amp;$E$6)</t>
  </si>
  <si>
    <t>=NL("Sum","Item Ledger Entry","Quantity","Entry Type","Sale","Entry No.",I579,"Location Code","@@"&amp;$E$6)</t>
  </si>
  <si>
    <t>=NL("Sum","Item Ledger Entry","Quantity","Entry Type","Positive Adjmt.|Negative Adjmt.","Entry No.",I574,"Location Code","@@"&amp;$E$6)</t>
  </si>
  <si>
    <t>=NL("Sum","Item Ledger Entry","Quantity","Entry Type","Positive Adjmt.|Negative Adjmt.","Entry No.",I575,"Location Code","@@"&amp;$E$6)</t>
  </si>
  <si>
    <t>=NL("Sum","Item Ledger Entry","Quantity","Entry Type","Positive Adjmt.|Negative Adjmt.","Entry No.",I578,"Location Code","@@"&amp;$E$6)</t>
  </si>
  <si>
    <t>=NL("Sum","Item Ledger Entry","Quantity","Entry Type","Positive Adjmt.|Negative Adjmt.","Entry No.",I579,"Location Code","@@"&amp;$E$6)</t>
  </si>
  <si>
    <t>=NL("Sum","Item Ledger Entry","Quantity","Entry Type","Transfer","Entry No.",I574,"Location Code","@@"&amp;$E$6)</t>
  </si>
  <si>
    <t>=NL("Sum","Item Ledger Entry","Quantity","Entry Type","Transfer","Entry No.",I575,"Location Code","@@"&amp;$E$6)</t>
  </si>
  <si>
    <t>=NL("Sum","Item Ledger Entry","Quantity","Entry Type","Transfer","Entry No.",I578,"Location Code","@@"&amp;$E$6)</t>
  </si>
  <si>
    <t>=NL("Sum","Item Ledger Entry","Quantity","Entry Type","Transfer","Entry No.",I579,"Location Code","@@"&amp;$E$6)</t>
  </si>
  <si>
    <t>=NL("Sum","Item Ledger Entry","Quantity","Entry Type","Consumption","Entry No.",I574,"Location Code","@@"&amp;$E$6)</t>
  </si>
  <si>
    <t>=NL("Sum","Item Ledger Entry","Quantity","Entry Type","Consumption","Entry No.",I575,"Location Code","@@"&amp;$E$6)</t>
  </si>
  <si>
    <t>=NL("Sum","Item Ledger Entry","Quantity","Entry Type","Consumption","Entry No.",I578,"Location Code","@@"&amp;$E$6)</t>
  </si>
  <si>
    <t>=NL("Sum","Item Ledger Entry","Quantity","Entry Type","Consumption","Entry No.",I579,"Location Code","@@"&amp;$E$6)</t>
  </si>
  <si>
    <t>=NL("Sum","Item Ledger Entry","Quantity","Entry Type","Output","Entry No.",I574,"Location Code","@@"&amp;$E$6)</t>
  </si>
  <si>
    <t>=NL("Sum","Item Ledger Entry","Quantity","Entry Type","Output","Entry No.",I575,"Location Code","@@"&amp;$E$6)</t>
  </si>
  <si>
    <t>=NL("Sum","Item Ledger Entry","Quantity","Entry Type","Output","Entry No.",I578,"Location Code","@@"&amp;$E$6)</t>
  </si>
  <si>
    <t>=NL("Sum","Item Ledger Entry","Quantity","Entry Type","Output","Entry No.",I579,"Location Code","@@"&amp;$E$6)</t>
  </si>
  <si>
    <t>=NF(G578,"Source Type")</t>
  </si>
  <si>
    <t>=NF($G578,"Source No.")</t>
  </si>
  <si>
    <t>=NL("Sum","Item Ledger Entry","Quantity","Entry Type","Purchase","Entry No.",I569,"Location Code","@@"&amp;$E$6)</t>
  </si>
  <si>
    <t>=NL("Sum","Item Ledger Entry","Quantity","Entry Type","Purchase","Entry No.",I570,"Location Code","@@"&amp;$E$6)</t>
  </si>
  <si>
    <t>=NL("Sum","Item Ledger Entry","Quantity","Entry Type","Sale","Entry No.",I569,"Location Code","@@"&amp;$E$6)</t>
  </si>
  <si>
    <t>=NL("Sum","Item Ledger Entry","Quantity","Entry Type","Sale","Entry No.",I570,"Location Code","@@"&amp;$E$6)</t>
  </si>
  <si>
    <t>=NL("Sum","Item Ledger Entry","Quantity","Entry Type","Positive Adjmt.|Negative Adjmt.","Entry No.",I569,"Location Code","@@"&amp;$E$6)</t>
  </si>
  <si>
    <t>=NL("Sum","Item Ledger Entry","Quantity","Entry Type","Positive Adjmt.|Negative Adjmt.","Entry No.",I570,"Location Code","@@"&amp;$E$6)</t>
  </si>
  <si>
    <t>=NL("Sum","Item Ledger Entry","Quantity","Entry Type","Transfer","Entry No.",I569,"Location Code","@@"&amp;$E$6)</t>
  </si>
  <si>
    <t>=NL("Sum","Item Ledger Entry","Quantity","Entry Type","Transfer","Entry No.",I570,"Location Code","@@"&amp;$E$6)</t>
  </si>
  <si>
    <t>=NL("Sum","Item Ledger Entry","Quantity","Entry Type","Consumption","Entry No.",I569,"Location Code","@@"&amp;$E$6)</t>
  </si>
  <si>
    <t>=NL("Sum","Item Ledger Entry","Quantity","Entry Type","Consumption","Entry No.",I570,"Location Code","@@"&amp;$E$6)</t>
  </si>
  <si>
    <t>=NL("Sum","Item Ledger Entry","Quantity","Entry Type","Output","Entry No.",I569,"Location Code","@@"&amp;$E$6)</t>
  </si>
  <si>
    <t>=NL("Sum","Item Ledger Entry","Quantity","Entry Type","Output","Entry No.",I570,"Location Code","@@"&amp;$E$6)</t>
  </si>
  <si>
    <t>=NF($G564,"Posting Date")</t>
  </si>
  <si>
    <t>=NF($G564,"Entry No.")</t>
  </si>
  <si>
    <t>=NL("Sum","Item Ledger Entry","Quantity","Entry Type","Purchase","Entry No.",I560,"Location Code","@@"&amp;$E$6)</t>
  </si>
  <si>
    <t>=NL("Sum","Item Ledger Entry","Quantity","Entry Type","Purchase","Entry No.",I561,"Location Code","@@"&amp;$E$6)</t>
  </si>
  <si>
    <t>=NL("Sum","Item Ledger Entry","Quantity","Entry Type","Purchase","Entry No.",I562,"Location Code","@@"&amp;$E$6)</t>
  </si>
  <si>
    <t>=NL("Sum","Item Ledger Entry","Quantity","Entry Type","Purchase","Entry No.",I564,"Location Code","@@"&amp;$E$6)</t>
  </si>
  <si>
    <t>=NL("Sum","Item Ledger Entry","Quantity","Entry Type","Sale","Entry No.",I560,"Location Code","@@"&amp;$E$6)</t>
  </si>
  <si>
    <t>=NL("Sum","Item Ledger Entry","Quantity","Entry Type","Sale","Entry No.",I561,"Location Code","@@"&amp;$E$6)</t>
  </si>
  <si>
    <t>=NL("Sum","Item Ledger Entry","Quantity","Entry Type","Sale","Entry No.",I562,"Location Code","@@"&amp;$E$6)</t>
  </si>
  <si>
    <t>=NL("Sum","Item Ledger Entry","Quantity","Entry Type","Sale","Entry No.",I564,"Location Code","@@"&amp;$E$6)</t>
  </si>
  <si>
    <t>=NL("Sum","Item Ledger Entry","Quantity","Entry Type","Positive Adjmt.|Negative Adjmt.","Entry No.",I560,"Location Code","@@"&amp;$E$6)</t>
  </si>
  <si>
    <t>=NL("Sum","Item Ledger Entry","Quantity","Entry Type","Positive Adjmt.|Negative Adjmt.","Entry No.",I561,"Location Code","@@"&amp;$E$6)</t>
  </si>
  <si>
    <t>=NL("Sum","Item Ledger Entry","Quantity","Entry Type","Positive Adjmt.|Negative Adjmt.","Entry No.",I562,"Location Code","@@"&amp;$E$6)</t>
  </si>
  <si>
    <t>=NL("Sum","Item Ledger Entry","Quantity","Entry Type","Positive Adjmt.|Negative Adjmt.","Entry No.",I564,"Location Code","@@"&amp;$E$6)</t>
  </si>
  <si>
    <t>=NL("Sum","Item Ledger Entry","Quantity","Entry Type","Transfer","Entry No.",I560,"Location Code","@@"&amp;$E$6)</t>
  </si>
  <si>
    <t>=NL("Sum","Item Ledger Entry","Quantity","Entry Type","Transfer","Entry No.",I561,"Location Code","@@"&amp;$E$6)</t>
  </si>
  <si>
    <t>=NL("Sum","Item Ledger Entry","Quantity","Entry Type","Transfer","Entry No.",I562,"Location Code","@@"&amp;$E$6)</t>
  </si>
  <si>
    <t>=NL("Sum","Item Ledger Entry","Quantity","Entry Type","Transfer","Entry No.",I564,"Location Code","@@"&amp;$E$6)</t>
  </si>
  <si>
    <t>=NL("Sum","Item Ledger Entry","Quantity","Entry Type","Consumption","Entry No.",I560,"Location Code","@@"&amp;$E$6)</t>
  </si>
  <si>
    <t>=NL("Sum","Item Ledger Entry","Quantity","Entry Type","Consumption","Entry No.",I561,"Location Code","@@"&amp;$E$6)</t>
  </si>
  <si>
    <t>=NL("Sum","Item Ledger Entry","Quantity","Entry Type","Consumption","Entry No.",I562,"Location Code","@@"&amp;$E$6)</t>
  </si>
  <si>
    <t>=NL("Sum","Item Ledger Entry","Quantity","Entry Type","Consumption","Entry No.",I564,"Location Code","@@"&amp;$E$6)</t>
  </si>
  <si>
    <t>=NL("Sum","Item Ledger Entry","Quantity","Entry Type","Output","Entry No.",I560,"Location Code","@@"&amp;$E$6)</t>
  </si>
  <si>
    <t>=NL("Sum","Item Ledger Entry","Quantity","Entry Type","Output","Entry No.",I561,"Location Code","@@"&amp;$E$6)</t>
  </si>
  <si>
    <t>=NL("Sum","Item Ledger Entry","Quantity","Entry Type","Output","Entry No.",I562,"Location Code","@@"&amp;$E$6)</t>
  </si>
  <si>
    <t>=NL("Sum","Item Ledger Entry","Quantity","Entry Type","Output","Entry No.",I564,"Location Code","@@"&amp;$E$6)</t>
  </si>
  <si>
    <t>=NF(G564,"Source Type")</t>
  </si>
  <si>
    <t>=NF($G564,"Source No.")</t>
  </si>
  <si>
    <t>=NF($G553,"Posting Date")</t>
  </si>
  <si>
    <t>=NF($G553,"Entry No.")</t>
  </si>
  <si>
    <t>=NL("Sum","Item Ledger Entry","Quantity","Entry Type","Purchase","Entry No.",I553,"Location Code","@@"&amp;$E$6)</t>
  </si>
  <si>
    <t>=NL("Sum","Item Ledger Entry","Quantity","Entry Type","Purchase","Entry No.",I554,"Location Code","@@"&amp;$E$6)</t>
  </si>
  <si>
    <t>=NL("Sum","Item Ledger Entry","Quantity","Entry Type","Purchase","Entry No.",I555,"Location Code","@@"&amp;$E$6)</t>
  </si>
  <si>
    <t>=NL("Sum","Item Ledger Entry","Quantity","Entry Type","Sale","Entry No.",I553,"Location Code","@@"&amp;$E$6)</t>
  </si>
  <si>
    <t>=NL("Sum","Item Ledger Entry","Quantity","Entry Type","Sale","Entry No.",I554,"Location Code","@@"&amp;$E$6)</t>
  </si>
  <si>
    <t>=NL("Sum","Item Ledger Entry","Quantity","Entry Type","Sale","Entry No.",I555,"Location Code","@@"&amp;$E$6)</t>
  </si>
  <si>
    <t>=NL("Sum","Item Ledger Entry","Quantity","Entry Type","Positive Adjmt.|Negative Adjmt.","Entry No.",I553,"Location Code","@@"&amp;$E$6)</t>
  </si>
  <si>
    <t>=NL("Sum","Item Ledger Entry","Quantity","Entry Type","Positive Adjmt.|Negative Adjmt.","Entry No.",I554,"Location Code","@@"&amp;$E$6)</t>
  </si>
  <si>
    <t>=NL("Sum","Item Ledger Entry","Quantity","Entry Type","Positive Adjmt.|Negative Adjmt.","Entry No.",I555,"Location Code","@@"&amp;$E$6)</t>
  </si>
  <si>
    <t>=NL("Sum","Item Ledger Entry","Quantity","Entry Type","Transfer","Entry No.",I553,"Location Code","@@"&amp;$E$6)</t>
  </si>
  <si>
    <t>=NL("Sum","Item Ledger Entry","Quantity","Entry Type","Transfer","Entry No.",I554,"Location Code","@@"&amp;$E$6)</t>
  </si>
  <si>
    <t>=NL("Sum","Item Ledger Entry","Quantity","Entry Type","Transfer","Entry No.",I555,"Location Code","@@"&amp;$E$6)</t>
  </si>
  <si>
    <t>=NL("Sum","Item Ledger Entry","Quantity","Entry Type","Consumption","Entry No.",I553,"Location Code","@@"&amp;$E$6)</t>
  </si>
  <si>
    <t>=NL("Sum","Item Ledger Entry","Quantity","Entry Type","Consumption","Entry No.",I554,"Location Code","@@"&amp;$E$6)</t>
  </si>
  <si>
    <t>=NL("Sum","Item Ledger Entry","Quantity","Entry Type","Consumption","Entry No.",I555,"Location Code","@@"&amp;$E$6)</t>
  </si>
  <si>
    <t>=NL("Sum","Item Ledger Entry","Quantity","Entry Type","Output","Entry No.",I553,"Location Code","@@"&amp;$E$6)</t>
  </si>
  <si>
    <t>=NL("Sum","Item Ledger Entry","Quantity","Entry Type","Output","Entry No.",I554,"Location Code","@@"&amp;$E$6)</t>
  </si>
  <si>
    <t>=NL("Sum","Item Ledger Entry","Quantity","Entry Type","Output","Entry No.",I555,"Location Code","@@"&amp;$E$6)</t>
  </si>
  <si>
    <t>=NF(G553,"Source Type")</t>
  </si>
  <si>
    <t>=NF($G553,"Source No.")</t>
  </si>
  <si>
    <t>=NL("Sum","Item Ledger Entry","Quantity","Entry Type","Purchase","Entry No.",I549,"Location Code","@@"&amp;$E$6)</t>
  </si>
  <si>
    <t>=NL("Sum","Item Ledger Entry","Quantity","Entry Type","Sale","Entry No.",I549,"Location Code","@@"&amp;$E$6)</t>
  </si>
  <si>
    <t>=NL("Sum","Item Ledger Entry","Quantity","Entry Type","Positive Adjmt.|Negative Adjmt.","Entry No.",I549,"Location Code","@@"&amp;$E$6)</t>
  </si>
  <si>
    <t>=NL("Sum","Item Ledger Entry","Quantity","Entry Type","Transfer","Entry No.",I549,"Location Code","@@"&amp;$E$6)</t>
  </si>
  <si>
    <t>=NL("Sum","Item Ledger Entry","Quantity","Entry Type","Consumption","Entry No.",I549,"Location Code","@@"&amp;$E$6)</t>
  </si>
  <si>
    <t>=NL("Sum","Item Ledger Entry","Quantity","Entry Type","Output","Entry No.",I549,"Location Code","@@"&amp;$E$6)</t>
  </si>
  <si>
    <t>=NL("Sum","Item Ledger Entry","Quantity","Entry Type","Purchase","Entry No.",I537,"Location Code","@@"&amp;$E$6)</t>
  </si>
  <si>
    <t>=NL("Sum","Item Ledger Entry","Quantity","Entry Type","Purchase","Entry No.",I538,"Location Code","@@"&amp;$E$6)</t>
  </si>
  <si>
    <t>=NL("Sum","Item Ledger Entry","Quantity","Entry Type","Sale","Entry No.",I537,"Location Code","@@"&amp;$E$6)</t>
  </si>
  <si>
    <t>=NL("Sum","Item Ledger Entry","Quantity","Entry Type","Sale","Entry No.",I538,"Location Code","@@"&amp;$E$6)</t>
  </si>
  <si>
    <t>=NL("Sum","Item Ledger Entry","Quantity","Entry Type","Positive Adjmt.|Negative Adjmt.","Entry No.",I537,"Location Code","@@"&amp;$E$6)</t>
  </si>
  <si>
    <t>=NL("Sum","Item Ledger Entry","Quantity","Entry Type","Positive Adjmt.|Negative Adjmt.","Entry No.",I538,"Location Code","@@"&amp;$E$6)</t>
  </si>
  <si>
    <t>=NL("Sum","Item Ledger Entry","Quantity","Entry Type","Transfer","Entry No.",I537,"Location Code","@@"&amp;$E$6)</t>
  </si>
  <si>
    <t>=NL("Sum","Item Ledger Entry","Quantity","Entry Type","Transfer","Entry No.",I538,"Location Code","@@"&amp;$E$6)</t>
  </si>
  <si>
    <t>=NL("Sum","Item Ledger Entry","Quantity","Entry Type","Consumption","Entry No.",I537,"Location Code","@@"&amp;$E$6)</t>
  </si>
  <si>
    <t>=NL("Sum","Item Ledger Entry","Quantity","Entry Type","Consumption","Entry No.",I538,"Location Code","@@"&amp;$E$6)</t>
  </si>
  <si>
    <t>=NL("Sum","Item Ledger Entry","Quantity","Entry Type","Output","Entry No.",I537,"Location Code","@@"&amp;$E$6)</t>
  </si>
  <si>
    <t>=NL("Sum","Item Ledger Entry","Quantity","Entry Type","Output","Entry No.",I538,"Location Code","@@"&amp;$E$6)</t>
  </si>
  <si>
    <t>=NF($G515,"Posting Date")</t>
  </si>
  <si>
    <t>=NF($G515,"Entry No.")</t>
  </si>
  <si>
    <t>=NL("Sum","Item Ledger Entry","Quantity","Entry Type","Purchase","Entry No.",I514,"Location Code","@@"&amp;$E$6)</t>
  </si>
  <si>
    <t>=NL("Sum","Item Ledger Entry","Quantity","Entry Type","Purchase","Entry No.",I515,"Location Code","@@"&amp;$E$6)</t>
  </si>
  <si>
    <t>=NL("Sum","Item Ledger Entry","Quantity","Entry Type","Purchase","Entry No.",I518,"Location Code","@@"&amp;$E$6)</t>
  </si>
  <si>
    <t>=NL("Sum","Item Ledger Entry","Quantity","Entry Type","Sale","Entry No.",I514,"Location Code","@@"&amp;$E$6)</t>
  </si>
  <si>
    <t>=NL("Sum","Item Ledger Entry","Quantity","Entry Type","Sale","Entry No.",I515,"Location Code","@@"&amp;$E$6)</t>
  </si>
  <si>
    <t>=NL("Sum","Item Ledger Entry","Quantity","Entry Type","Sale","Entry No.",I518,"Location Code","@@"&amp;$E$6)</t>
  </si>
  <si>
    <t>=NL("Sum","Item Ledger Entry","Quantity","Entry Type","Positive Adjmt.|Negative Adjmt.","Entry No.",I514,"Location Code","@@"&amp;$E$6)</t>
  </si>
  <si>
    <t>=NL("Sum","Item Ledger Entry","Quantity","Entry Type","Positive Adjmt.|Negative Adjmt.","Entry No.",I515,"Location Code","@@"&amp;$E$6)</t>
  </si>
  <si>
    <t>=NL("Sum","Item Ledger Entry","Quantity","Entry Type","Positive Adjmt.|Negative Adjmt.","Entry No.",I518,"Location Code","@@"&amp;$E$6)</t>
  </si>
  <si>
    <t>=NL("Sum","Item Ledger Entry","Quantity","Entry Type","Transfer","Entry No.",I514,"Location Code","@@"&amp;$E$6)</t>
  </si>
  <si>
    <t>=NL("Sum","Item Ledger Entry","Quantity","Entry Type","Transfer","Entry No.",I515,"Location Code","@@"&amp;$E$6)</t>
  </si>
  <si>
    <t>=NL("Sum","Item Ledger Entry","Quantity","Entry Type","Transfer","Entry No.",I518,"Location Code","@@"&amp;$E$6)</t>
  </si>
  <si>
    <t>=NL("Sum","Item Ledger Entry","Quantity","Entry Type","Consumption","Entry No.",I514,"Location Code","@@"&amp;$E$6)</t>
  </si>
  <si>
    <t>=NL("Sum","Item Ledger Entry","Quantity","Entry Type","Consumption","Entry No.",I515,"Location Code","@@"&amp;$E$6)</t>
  </si>
  <si>
    <t>=NL("Sum","Item Ledger Entry","Quantity","Entry Type","Consumption","Entry No.",I518,"Location Code","@@"&amp;$E$6)</t>
  </si>
  <si>
    <t>=NL("Sum","Item Ledger Entry","Quantity","Entry Type","Output","Entry No.",I514,"Location Code","@@"&amp;$E$6)</t>
  </si>
  <si>
    <t>=NL("Sum","Item Ledger Entry","Quantity","Entry Type","Output","Entry No.",I515,"Location Code","@@"&amp;$E$6)</t>
  </si>
  <si>
    <t>=NL("Sum","Item Ledger Entry","Quantity","Entry Type","Output","Entry No.",I518,"Location Code","@@"&amp;$E$6)</t>
  </si>
  <si>
    <t>=NF(G515,"Source Type")</t>
  </si>
  <si>
    <t>=NF($G515,"Source No.")</t>
  </si>
  <si>
    <t>=NL("Sum","Item Ledger Entry","Quantity","Entry Type","Purchase","Entry No.",I507,"Location Code","@@"&amp;$E$6)</t>
  </si>
  <si>
    <t>=NL("Sum","Item Ledger Entry","Quantity","Entry Type","Purchase","Entry No.",I508,"Location Code","@@"&amp;$E$6)</t>
  </si>
  <si>
    <t>=NL("Sum","Item Ledger Entry","Quantity","Entry Type","Purchase","Entry No.",I509,"Location Code","@@"&amp;$E$6)</t>
  </si>
  <si>
    <t>=NL("Sum","Item Ledger Entry","Quantity","Entry Type","Sale","Entry No.",I507,"Location Code","@@"&amp;$E$6)</t>
  </si>
  <si>
    <t>=NL("Sum","Item Ledger Entry","Quantity","Entry Type","Sale","Entry No.",I508,"Location Code","@@"&amp;$E$6)</t>
  </si>
  <si>
    <t>=NL("Sum","Item Ledger Entry","Quantity","Entry Type","Sale","Entry No.",I509,"Location Code","@@"&amp;$E$6)</t>
  </si>
  <si>
    <t>=NL("Sum","Item Ledger Entry","Quantity","Entry Type","Positive Adjmt.|Negative Adjmt.","Entry No.",I507,"Location Code","@@"&amp;$E$6)</t>
  </si>
  <si>
    <t>=NL("Sum","Item Ledger Entry","Quantity","Entry Type","Positive Adjmt.|Negative Adjmt.","Entry No.",I508,"Location Code","@@"&amp;$E$6)</t>
  </si>
  <si>
    <t>=NL("Sum","Item Ledger Entry","Quantity","Entry Type","Positive Adjmt.|Negative Adjmt.","Entry No.",I509,"Location Code","@@"&amp;$E$6)</t>
  </si>
  <si>
    <t>=NL("Sum","Item Ledger Entry","Quantity","Entry Type","Transfer","Entry No.",I507,"Location Code","@@"&amp;$E$6)</t>
  </si>
  <si>
    <t>=NL("Sum","Item Ledger Entry","Quantity","Entry Type","Transfer","Entry No.",I508,"Location Code","@@"&amp;$E$6)</t>
  </si>
  <si>
    <t>=NL("Sum","Item Ledger Entry","Quantity","Entry Type","Transfer","Entry No.",I509,"Location Code","@@"&amp;$E$6)</t>
  </si>
  <si>
    <t>=NL("Sum","Item Ledger Entry","Quantity","Entry Type","Consumption","Entry No.",I507,"Location Code","@@"&amp;$E$6)</t>
  </si>
  <si>
    <t>=NL("Sum","Item Ledger Entry","Quantity","Entry Type","Consumption","Entry No.",I508,"Location Code","@@"&amp;$E$6)</t>
  </si>
  <si>
    <t>=NL("Sum","Item Ledger Entry","Quantity","Entry Type","Consumption","Entry No.",I509,"Location Code","@@"&amp;$E$6)</t>
  </si>
  <si>
    <t>=NL("Sum","Item Ledger Entry","Quantity","Entry Type","Output","Entry No.",I507,"Location Code","@@"&amp;$E$6)</t>
  </si>
  <si>
    <t>=NL("Sum","Item Ledger Entry","Quantity","Entry Type","Output","Entry No.",I508,"Location Code","@@"&amp;$E$6)</t>
  </si>
  <si>
    <t>=NL("Sum","Item Ledger Entry","Quantity","Entry Type","Output","Entry No.",I509,"Location Code","@@"&amp;$E$6)</t>
  </si>
  <si>
    <t>=NL("Sum","Item Ledger Entry","Quantity","Entry Type","Purchase","Entry No.",I501,"Location Code","@@"&amp;$E$6)</t>
  </si>
  <si>
    <t>=NL("Sum","Item Ledger Entry","Quantity","Entry Type","Purchase","Entry No.",I502,"Location Code","@@"&amp;$E$6)</t>
  </si>
  <si>
    <t>=NL("Sum","Item Ledger Entry","Quantity","Entry Type","Purchase","Entry No.",I503,"Location Code","@@"&amp;$E$6)</t>
  </si>
  <si>
    <t>=NL("Sum","Item Ledger Entry","Quantity","Entry Type","Sale","Entry No.",I501,"Location Code","@@"&amp;$E$6)</t>
  </si>
  <si>
    <t>=NL("Sum","Item Ledger Entry","Quantity","Entry Type","Sale","Entry No.",I502,"Location Code","@@"&amp;$E$6)</t>
  </si>
  <si>
    <t>=NL("Sum","Item Ledger Entry","Quantity","Entry Type","Sale","Entry No.",I503,"Location Code","@@"&amp;$E$6)</t>
  </si>
  <si>
    <t>=NL("Sum","Item Ledger Entry","Quantity","Entry Type","Positive Adjmt.|Negative Adjmt.","Entry No.",I501,"Location Code","@@"&amp;$E$6)</t>
  </si>
  <si>
    <t>=NL("Sum","Item Ledger Entry","Quantity","Entry Type","Positive Adjmt.|Negative Adjmt.","Entry No.",I502,"Location Code","@@"&amp;$E$6)</t>
  </si>
  <si>
    <t>=NL("Sum","Item Ledger Entry","Quantity","Entry Type","Positive Adjmt.|Negative Adjmt.","Entry No.",I503,"Location Code","@@"&amp;$E$6)</t>
  </si>
  <si>
    <t>=NL("Sum","Item Ledger Entry","Quantity","Entry Type","Transfer","Entry No.",I501,"Location Code","@@"&amp;$E$6)</t>
  </si>
  <si>
    <t>=NL("Sum","Item Ledger Entry","Quantity","Entry Type","Transfer","Entry No.",I502,"Location Code","@@"&amp;$E$6)</t>
  </si>
  <si>
    <t>=NL("Sum","Item Ledger Entry","Quantity","Entry Type","Transfer","Entry No.",I503,"Location Code","@@"&amp;$E$6)</t>
  </si>
  <si>
    <t>=NL("Sum","Item Ledger Entry","Quantity","Entry Type","Consumption","Entry No.",I501,"Location Code","@@"&amp;$E$6)</t>
  </si>
  <si>
    <t>=NL("Sum","Item Ledger Entry","Quantity","Entry Type","Consumption","Entry No.",I502,"Location Code","@@"&amp;$E$6)</t>
  </si>
  <si>
    <t>=NL("Sum","Item Ledger Entry","Quantity","Entry Type","Consumption","Entry No.",I503,"Location Code","@@"&amp;$E$6)</t>
  </si>
  <si>
    <t>=NL("Sum","Item Ledger Entry","Quantity","Entry Type","Output","Entry No.",I501,"Location Code","@@"&amp;$E$6)</t>
  </si>
  <si>
    <t>=NL("Sum","Item Ledger Entry","Quantity","Entry Type","Output","Entry No.",I502,"Location Code","@@"&amp;$E$6)</t>
  </si>
  <si>
    <t>=NL("Sum","Item Ledger Entry","Quantity","Entry Type","Output","Entry No.",I503,"Location Code","@@"&amp;$E$6)</t>
  </si>
  <si>
    <t>=NL("Sum","Item Ledger Entry","Quantity","Entry Type","Purchase","Entry No.",I495,"Location Code","@@"&amp;$E$6)</t>
  </si>
  <si>
    <t>=NL("Sum","Item Ledger Entry","Quantity","Entry Type","Purchase","Entry No.",I497,"Location Code","@@"&amp;$E$6)</t>
  </si>
  <si>
    <t>=NL("Sum","Item Ledger Entry","Quantity","Entry Type","Sale","Entry No.",I495,"Location Code","@@"&amp;$E$6)</t>
  </si>
  <si>
    <t>=NL("Sum","Item Ledger Entry","Quantity","Entry Type","Sale","Entry No.",I497,"Location Code","@@"&amp;$E$6)</t>
  </si>
  <si>
    <t>=NL("Sum","Item Ledger Entry","Quantity","Entry Type","Positive Adjmt.|Negative Adjmt.","Entry No.",I495,"Location Code","@@"&amp;$E$6)</t>
  </si>
  <si>
    <t>=NL("Sum","Item Ledger Entry","Quantity","Entry Type","Positive Adjmt.|Negative Adjmt.","Entry No.",I497,"Location Code","@@"&amp;$E$6)</t>
  </si>
  <si>
    <t>=NL("Sum","Item Ledger Entry","Quantity","Entry Type","Transfer","Entry No.",I495,"Location Code","@@"&amp;$E$6)</t>
  </si>
  <si>
    <t>=NL("Sum","Item Ledger Entry","Quantity","Entry Type","Transfer","Entry No.",I497,"Location Code","@@"&amp;$E$6)</t>
  </si>
  <si>
    <t>=NL("Sum","Item Ledger Entry","Quantity","Entry Type","Consumption","Entry No.",I495,"Location Code","@@"&amp;$E$6)</t>
  </si>
  <si>
    <t>=NL("Sum","Item Ledger Entry","Quantity","Entry Type","Consumption","Entry No.",I497,"Location Code","@@"&amp;$E$6)</t>
  </si>
  <si>
    <t>=NL("Sum","Item Ledger Entry","Quantity","Entry Type","Output","Entry No.",I495,"Location Code","@@"&amp;$E$6)</t>
  </si>
  <si>
    <t>=NL("Sum","Item Ledger Entry","Quantity","Entry Type","Output","Entry No.",I497,"Location Code","@@"&amp;$E$6)</t>
  </si>
  <si>
    <t>=NL("Sum","Item Ledger Entry","Quantity","Entry Type","Purchase","Entry No.",I480,"Location Code","@@"&amp;$E$6)</t>
  </si>
  <si>
    <t>=NL("Sum","Item Ledger Entry","Quantity","Entry Type","Sale","Entry No.",I480,"Location Code","@@"&amp;$E$6)</t>
  </si>
  <si>
    <t>=NL("Sum","Item Ledger Entry","Quantity","Entry Type","Positive Adjmt.|Negative Adjmt.","Entry No.",I480,"Location Code","@@"&amp;$E$6)</t>
  </si>
  <si>
    <t>=NL("Sum","Item Ledger Entry","Quantity","Entry Type","Transfer","Entry No.",I480,"Location Code","@@"&amp;$E$6)</t>
  </si>
  <si>
    <t>=NL("Sum","Item Ledger Entry","Quantity","Entry Type","Consumption","Entry No.",I480,"Location Code","@@"&amp;$E$6)</t>
  </si>
  <si>
    <t>=NL("Sum","Item Ledger Entry","Quantity","Entry Type","Output","Entry No.",I480,"Location Code","@@"&amp;$E$6)</t>
  </si>
  <si>
    <t>=NL("Sum","Item Ledger Entry","Quantity","Entry Type","Purchase","Entry No.",I469,"Location Code","@@"&amp;$E$6)</t>
  </si>
  <si>
    <t>=NL("Sum","Item Ledger Entry","Quantity","Entry Type","Purchase","Entry No.",I470,"Location Code","@@"&amp;$E$6)</t>
  </si>
  <si>
    <t>=NL("Sum","Item Ledger Entry","Quantity","Entry Type","Sale","Entry No.",I469,"Location Code","@@"&amp;$E$6)</t>
  </si>
  <si>
    <t>=NL("Sum","Item Ledger Entry","Quantity","Entry Type","Sale","Entry No.",I470,"Location Code","@@"&amp;$E$6)</t>
  </si>
  <si>
    <t>=NL("Sum","Item Ledger Entry","Quantity","Entry Type","Positive Adjmt.|Negative Adjmt.","Entry No.",I469,"Location Code","@@"&amp;$E$6)</t>
  </si>
  <si>
    <t>=NL("Sum","Item Ledger Entry","Quantity","Entry Type","Positive Adjmt.|Negative Adjmt.","Entry No.",I470,"Location Code","@@"&amp;$E$6)</t>
  </si>
  <si>
    <t>=NL("Sum","Item Ledger Entry","Quantity","Entry Type","Transfer","Entry No.",I469,"Location Code","@@"&amp;$E$6)</t>
  </si>
  <si>
    <t>=NL("Sum","Item Ledger Entry","Quantity","Entry Type","Transfer","Entry No.",I470,"Location Code","@@"&amp;$E$6)</t>
  </si>
  <si>
    <t>=NL("Sum","Item Ledger Entry","Quantity","Entry Type","Consumption","Entry No.",I469,"Location Code","@@"&amp;$E$6)</t>
  </si>
  <si>
    <t>=NL("Sum","Item Ledger Entry","Quantity","Entry Type","Consumption","Entry No.",I470,"Location Code","@@"&amp;$E$6)</t>
  </si>
  <si>
    <t>=NL("Sum","Item Ledger Entry","Quantity","Entry Type","Output","Entry No.",I469,"Location Code","@@"&amp;$E$6)</t>
  </si>
  <si>
    <t>=NL("Sum","Item Ledger Entry","Quantity","Entry Type","Output","Entry No.",I470,"Location Code","@@"&amp;$E$6)</t>
  </si>
  <si>
    <t>=NL("Sum","Item Ledger Entry","Quantity","Entry Type","Purchase","Entry No.",I421,"Location Code","@@"&amp;$E$6)</t>
  </si>
  <si>
    <t>=NL("Sum","Item Ledger Entry","Quantity","Entry Type","Purchase","Entry No.",I422,"Location Code","@@"&amp;$E$6)</t>
  </si>
  <si>
    <t>=NL("Sum","Item Ledger Entry","Quantity","Entry Type","Sale","Entry No.",I421,"Location Code","@@"&amp;$E$6)</t>
  </si>
  <si>
    <t>=NL("Sum","Item Ledger Entry","Quantity","Entry Type","Sale","Entry No.",I422,"Location Code","@@"&amp;$E$6)</t>
  </si>
  <si>
    <t>=NL("Sum","Item Ledger Entry","Quantity","Entry Type","Positive Adjmt.|Negative Adjmt.","Entry No.",I421,"Location Code","@@"&amp;$E$6)</t>
  </si>
  <si>
    <t>=NL("Sum","Item Ledger Entry","Quantity","Entry Type","Positive Adjmt.|Negative Adjmt.","Entry No.",I422,"Location Code","@@"&amp;$E$6)</t>
  </si>
  <si>
    <t>=NL("Sum","Item Ledger Entry","Quantity","Entry Type","Transfer","Entry No.",I421,"Location Code","@@"&amp;$E$6)</t>
  </si>
  <si>
    <t>=NL("Sum","Item Ledger Entry","Quantity","Entry Type","Transfer","Entry No.",I422,"Location Code","@@"&amp;$E$6)</t>
  </si>
  <si>
    <t>=NL("Sum","Item Ledger Entry","Quantity","Entry Type","Consumption","Entry No.",I421,"Location Code","@@"&amp;$E$6)</t>
  </si>
  <si>
    <t>=NL("Sum","Item Ledger Entry","Quantity","Entry Type","Consumption","Entry No.",I422,"Location Code","@@"&amp;$E$6)</t>
  </si>
  <si>
    <t>=NL("Sum","Item Ledger Entry","Quantity","Entry Type","Output","Entry No.",I421,"Location Code","@@"&amp;$E$6)</t>
  </si>
  <si>
    <t>=NL("Sum","Item Ledger Entry","Quantity","Entry Type","Output","Entry No.",I422,"Location Code","@@"&amp;$E$6)</t>
  </si>
  <si>
    <t>=NL("Sum","Item Ledger Entry","Quantity","Entry Type","Purchase","Entry No.",I416,"Location Code","@@"&amp;$E$6)</t>
  </si>
  <si>
    <t>=NL("Sum","Item Ledger Entry","Quantity","Entry Type","Purchase","Entry No.",I417,"Location Code","@@"&amp;$E$6)</t>
  </si>
  <si>
    <t>=NL("Sum","Item Ledger Entry","Quantity","Entry Type","Sale","Entry No.",I416,"Location Code","@@"&amp;$E$6)</t>
  </si>
  <si>
    <t>=NL("Sum","Item Ledger Entry","Quantity","Entry Type","Sale","Entry No.",I417,"Location Code","@@"&amp;$E$6)</t>
  </si>
  <si>
    <t>=NL("Sum","Item Ledger Entry","Quantity","Entry Type","Positive Adjmt.|Negative Adjmt.","Entry No.",I416,"Location Code","@@"&amp;$E$6)</t>
  </si>
  <si>
    <t>=NL("Sum","Item Ledger Entry","Quantity","Entry Type","Positive Adjmt.|Negative Adjmt.","Entry No.",I417,"Location Code","@@"&amp;$E$6)</t>
  </si>
  <si>
    <t>=NL("Sum","Item Ledger Entry","Quantity","Entry Type","Transfer","Entry No.",I416,"Location Code","@@"&amp;$E$6)</t>
  </si>
  <si>
    <t>=NL("Sum","Item Ledger Entry","Quantity","Entry Type","Transfer","Entry No.",I417,"Location Code","@@"&amp;$E$6)</t>
  </si>
  <si>
    <t>=NL("Sum","Item Ledger Entry","Quantity","Entry Type","Consumption","Entry No.",I416,"Location Code","@@"&amp;$E$6)</t>
  </si>
  <si>
    <t>=NL("Sum","Item Ledger Entry","Quantity","Entry Type","Consumption","Entry No.",I417,"Location Code","@@"&amp;$E$6)</t>
  </si>
  <si>
    <t>=NL("Sum","Item Ledger Entry","Quantity","Entry Type","Output","Entry No.",I416,"Location Code","@@"&amp;$E$6)</t>
  </si>
  <si>
    <t>=NL("Sum","Item Ledger Entry","Quantity","Entry Type","Output","Entry No.",I417,"Location Code","@@"&amp;$E$6)</t>
  </si>
  <si>
    <t>=NL("Sum","Item Ledger Entry","Quantity","Entry Type","Purchase","Entry No.",I400,"Location Code","@@"&amp;$E$6)</t>
  </si>
  <si>
    <t>=NL("Sum","Item Ledger Entry","Quantity","Entry Type","Sale","Entry No.",I400,"Location Code","@@"&amp;$E$6)</t>
  </si>
  <si>
    <t>=NL("Sum","Item Ledger Entry","Quantity","Entry Type","Positive Adjmt.|Negative Adjmt.","Entry No.",I400,"Location Code","@@"&amp;$E$6)</t>
  </si>
  <si>
    <t>=NL("Sum","Item Ledger Entry","Quantity","Entry Type","Transfer","Entry No.",I400,"Location Code","@@"&amp;$E$6)</t>
  </si>
  <si>
    <t>=NL("Sum","Item Ledger Entry","Quantity","Entry Type","Consumption","Entry No.",I400,"Location Code","@@"&amp;$E$6)</t>
  </si>
  <si>
    <t>=NL("Sum","Item Ledger Entry","Quantity","Entry Type","Output","Entry No.",I400,"Location Code","@@"&amp;$E$6)</t>
  </si>
  <si>
    <t>=NL("Sum","Item Ledger Entry","Quantity","Entry Type","Purchase","Entry No.",I387,"Location Code","@@"&amp;$E$6)</t>
  </si>
  <si>
    <t>=NL("Sum","Item Ledger Entry","Quantity","Entry Type","Sale","Entry No.",I387,"Location Code","@@"&amp;$E$6)</t>
  </si>
  <si>
    <t>=NL("Sum","Item Ledger Entry","Quantity","Entry Type","Positive Adjmt.|Negative Adjmt.","Entry No.",I387,"Location Code","@@"&amp;$E$6)</t>
  </si>
  <si>
    <t>=NL("Sum","Item Ledger Entry","Quantity","Entry Type","Transfer","Entry No.",I387,"Location Code","@@"&amp;$E$6)</t>
  </si>
  <si>
    <t>=NL("Sum","Item Ledger Entry","Quantity","Entry Type","Consumption","Entry No.",I387,"Location Code","@@"&amp;$E$6)</t>
  </si>
  <si>
    <t>=NL("Sum","Item Ledger Entry","Quantity","Entry Type","Output","Entry No.",I387,"Location Code","@@"&amp;$E$6)</t>
  </si>
  <si>
    <t>=NL("Sum","Item Ledger Entry","Quantity","Entry Type","Purchase","Entry No.",I373,"Location Code","@@"&amp;$E$6)</t>
  </si>
  <si>
    <t>=NL("Sum","Item Ledger Entry","Quantity","Entry Type","Sale","Entry No.",I373,"Location Code","@@"&amp;$E$6)</t>
  </si>
  <si>
    <t>=NL("Sum","Item Ledger Entry","Quantity","Entry Type","Positive Adjmt.|Negative Adjmt.","Entry No.",I373,"Location Code","@@"&amp;$E$6)</t>
  </si>
  <si>
    <t>=NL("Sum","Item Ledger Entry","Quantity","Entry Type","Transfer","Entry No.",I373,"Location Code","@@"&amp;$E$6)</t>
  </si>
  <si>
    <t>=NL("Sum","Item Ledger Entry","Quantity","Entry Type","Consumption","Entry No.",I373,"Location Code","@@"&amp;$E$6)</t>
  </si>
  <si>
    <t>=NL("Sum","Item Ledger Entry","Quantity","Entry Type","Output","Entry No.",I373,"Location Code","@@"&amp;$E$6)</t>
  </si>
  <si>
    <t>=NL("Sum","Item Ledger Entry","Quantity","Entry Type","Purchase","Entry No.",I350,"Location Code","@@"&amp;$E$6)</t>
  </si>
  <si>
    <t>=NL("Sum","Item Ledger Entry","Quantity","Entry Type","Sale","Entry No.",I350,"Location Code","@@"&amp;$E$6)</t>
  </si>
  <si>
    <t>=NL("Sum","Item Ledger Entry","Quantity","Entry Type","Positive Adjmt.|Negative Adjmt.","Entry No.",I350,"Location Code","@@"&amp;$E$6)</t>
  </si>
  <si>
    <t>=NL("Sum","Item Ledger Entry","Quantity","Entry Type","Transfer","Entry No.",I350,"Location Code","@@"&amp;$E$6)</t>
  </si>
  <si>
    <t>=NL("Sum","Item Ledger Entry","Quantity","Entry Type","Consumption","Entry No.",I350,"Location Code","@@"&amp;$E$6)</t>
  </si>
  <si>
    <t>=NL("Sum","Item Ledger Entry","Quantity","Entry Type","Output","Entry No.",I350,"Location Code","@@"&amp;$E$6)</t>
  </si>
  <si>
    <t>=NL("Sum","Item Ledger Entry","Quantity","Entry Type","Purchase","Entry No.",I327,"Location Code","@@"&amp;$E$6)</t>
  </si>
  <si>
    <t>=NL("Sum","Item Ledger Entry","Quantity","Entry Type","Sale","Entry No.",I327,"Location Code","@@"&amp;$E$6)</t>
  </si>
  <si>
    <t>=NL("Sum","Item Ledger Entry","Quantity","Entry Type","Positive Adjmt.|Negative Adjmt.","Entry No.",I327,"Location Code","@@"&amp;$E$6)</t>
  </si>
  <si>
    <t>=NL("Sum","Item Ledger Entry","Quantity","Entry Type","Transfer","Entry No.",I327,"Location Code","@@"&amp;$E$6)</t>
  </si>
  <si>
    <t>=NL("Sum","Item Ledger Entry","Quantity","Entry Type","Consumption","Entry No.",I327,"Location Code","@@"&amp;$E$6)</t>
  </si>
  <si>
    <t>=NL("Sum","Item Ledger Entry","Quantity","Entry Type","Output","Entry No.",I327,"Location Code","@@"&amp;$E$6)</t>
  </si>
  <si>
    <t>=NF($G299,"Posting Date")</t>
  </si>
  <si>
    <t>=NF($G299,"Entry No.")</t>
  </si>
  <si>
    <t>=NL("Sum","Item Ledger Entry","Quantity","Entry Type","Purchase","Entry No.",I299,"Location Code","@@"&amp;$E$6)</t>
  </si>
  <si>
    <t>=NL("Sum","Item Ledger Entry","Quantity","Entry Type","Sale","Entry No.",I299,"Location Code","@@"&amp;$E$6)</t>
  </si>
  <si>
    <t>=NL("Sum","Item Ledger Entry","Quantity","Entry Type","Positive Adjmt.|Negative Adjmt.","Entry No.",I299,"Location Code","@@"&amp;$E$6)</t>
  </si>
  <si>
    <t>=NL("Sum","Item Ledger Entry","Quantity","Entry Type","Transfer","Entry No.",I299,"Location Code","@@"&amp;$E$6)</t>
  </si>
  <si>
    <t>=NL("Sum","Item Ledger Entry","Quantity","Entry Type","Consumption","Entry No.",I299,"Location Code","@@"&amp;$E$6)</t>
  </si>
  <si>
    <t>=NL("Sum","Item Ledger Entry","Quantity","Entry Type","Output","Entry No.",I299,"Location Code","@@"&amp;$E$6)</t>
  </si>
  <si>
    <t>=NF(G299,"Source Type")</t>
  </si>
  <si>
    <t>=NF($G299,"Source No.")</t>
  </si>
  <si>
    <t>=NL("Sum","Item Ledger Entry","Quantity","Entry Type","Purchase","Entry No.",I209,"Location Code","@@"&amp;$E$6)</t>
  </si>
  <si>
    <t>=NL("Sum","Item Ledger Entry","Quantity","Entry Type","Sale","Entry No.",I209,"Location Code","@@"&amp;$E$6)</t>
  </si>
  <si>
    <t>=NL("Sum","Item Ledger Entry","Quantity","Entry Type","Positive Adjmt.|Negative Adjmt.","Entry No.",I209,"Location Code","@@"&amp;$E$6)</t>
  </si>
  <si>
    <t>=NL("Sum","Item Ledger Entry","Quantity","Entry Type","Transfer","Entry No.",I209,"Location Code","@@"&amp;$E$6)</t>
  </si>
  <si>
    <t>=NL("Sum","Item Ledger Entry","Quantity","Entry Type","Consumption","Entry No.",I209,"Location Code","@@"&amp;$E$6)</t>
  </si>
  <si>
    <t>=NL("Sum","Item Ledger Entry","Quantity","Entry Type","Output","Entry No.",I209,"Location Code","@@"&amp;$E$6)</t>
  </si>
  <si>
    <t>Auto+Hide+Values+Formulas=Sheet20,Sheet6,Sheet7+AutoSheet+FormulasOnly</t>
  </si>
  <si>
    <t>Auto+Hide+Values+Formulas=Sheet21,Sheet6,Sheet7+AutoSheet</t>
  </si>
  <si>
    <t>=(SUBTOTAL(9,O25:O30))</t>
  </si>
  <si>
    <t>=(SUBTOTAL(9,P25:P30))</t>
  </si>
  <si>
    <t>=(SUBTOTAL(9,Q25:Q30))</t>
  </si>
  <si>
    <t>=(SUBTOTAL(9,R25:R30))</t>
  </si>
  <si>
    <t>=(SUBTOTAL(9,S25:S30))</t>
  </si>
  <si>
    <t>=(SUBTOTAL(9,T25:T30))</t>
  </si>
  <si>
    <t>=SUBTOTAL(9,O25:T30)</t>
  </si>
  <si>
    <t>=(SUBTOTAL(9,O33:O37))</t>
  </si>
  <si>
    <t>=(SUBTOTAL(9,P33:P37))</t>
  </si>
  <si>
    <t>=(SUBTOTAL(9,Q33:Q37))</t>
  </si>
  <si>
    <t>=(SUBTOTAL(9,R33:R37))</t>
  </si>
  <si>
    <t>=(SUBTOTAL(9,S33:S37))</t>
  </si>
  <si>
    <t>=(SUBTOTAL(9,T33:T37))</t>
  </si>
  <si>
    <t>=SUBTOTAL(9,O33:T37)</t>
  </si>
  <si>
    <t>=(SUBTOTAL(9,O40:O42))</t>
  </si>
  <si>
    <t>=(SUBTOTAL(9,P40:P42))</t>
  </si>
  <si>
    <t>=(SUBTOTAL(9,Q40:Q42))</t>
  </si>
  <si>
    <t>=(SUBTOTAL(9,R40:R42))</t>
  </si>
  <si>
    <t>=(SUBTOTAL(9,S40:S42))</t>
  </si>
  <si>
    <t>=(SUBTOTAL(9,T40:T42))</t>
  </si>
  <si>
    <t>=SUBTOTAL(9,O40:T42)</t>
  </si>
  <si>
    <t>=(SUBTOTAL(9,O49:O52))</t>
  </si>
  <si>
    <t>=(SUBTOTAL(9,P49:P52))</t>
  </si>
  <si>
    <t>=(SUBTOTAL(9,Q49:Q52))</t>
  </si>
  <si>
    <t>=(SUBTOTAL(9,R49:R52))</t>
  </si>
  <si>
    <t>=(SUBTOTAL(9,S49:S52))</t>
  </si>
  <si>
    <t>=(SUBTOTAL(9,T49:T52))</t>
  </si>
  <si>
    <t>=SUBTOTAL(9,O49:T52)</t>
  </si>
  <si>
    <t>=(SUBTOTAL(9,O55:O56))</t>
  </si>
  <si>
    <t>=(SUBTOTAL(9,P55:P56))</t>
  </si>
  <si>
    <t>=(SUBTOTAL(9,Q55:Q56))</t>
  </si>
  <si>
    <t>=(SUBTOTAL(9,R55:R56))</t>
  </si>
  <si>
    <t>=(SUBTOTAL(9,S55:S56))</t>
  </si>
  <si>
    <t>=(SUBTOTAL(9,T55:T56))</t>
  </si>
  <si>
    <t>=SUBTOTAL(9,O55:T56)</t>
  </si>
  <si>
    <t>=(SUBTOTAL(9,O59:O61))</t>
  </si>
  <si>
    <t>=(SUBTOTAL(9,P59:P61))</t>
  </si>
  <si>
    <t>=(SUBTOTAL(9,Q59:Q61))</t>
  </si>
  <si>
    <t>=(SUBTOTAL(9,R59:R61))</t>
  </si>
  <si>
    <t>=(SUBTOTAL(9,S59:S61))</t>
  </si>
  <si>
    <t>=(SUBTOTAL(9,T59:T61))</t>
  </si>
  <si>
    <t>=SUBTOTAL(9,O59:T61)</t>
  </si>
  <si>
    <t>=(SUBTOTAL(9,O64:O68))</t>
  </si>
  <si>
    <t>=(SUBTOTAL(9,P64:P68))</t>
  </si>
  <si>
    <t>=(SUBTOTAL(9,Q64:Q68))</t>
  </si>
  <si>
    <t>=(SUBTOTAL(9,R64:R68))</t>
  </si>
  <si>
    <t>=(SUBTOTAL(9,S64:S68))</t>
  </si>
  <si>
    <t>=(SUBTOTAL(9,T64:T68))</t>
  </si>
  <si>
    <t>=SUBTOTAL(9,O64:T68)</t>
  </si>
  <si>
    <t>=E70</t>
  </si>
  <si>
    <t>=NL("First","Item","Description","No.",$E70)</t>
  </si>
  <si>
    <t>=NL("First","Item","Base Unit of Measure","No.",$E70)</t>
  </si>
  <si>
    <t>=(SUBTOTAL(9,O71:O75))</t>
  </si>
  <si>
    <t>=(SUBTOTAL(9,P71:P75))</t>
  </si>
  <si>
    <t>=(SUBTOTAL(9,Q71:Q75))</t>
  </si>
  <si>
    <t>=(SUBTOTAL(9,R71:R75))</t>
  </si>
  <si>
    <t>=(SUBTOTAL(9,S71:S75))</t>
  </si>
  <si>
    <t>=(SUBTOTAL(9,T71:T75))</t>
  </si>
  <si>
    <t>=SUBTOTAL(9,O71:T75)</t>
  </si>
  <si>
    <t>=NL("Rows","Item Ledger Entry",,"+Posting Date",$L$5,"Item No.","@@"&amp;$D71,"Location Code","@@"&amp;$E$6)</t>
  </si>
  <si>
    <t>=(SUBTOTAL(9,O78:O82))</t>
  </si>
  <si>
    <t>=(SUBTOTAL(9,P78:P82))</t>
  </si>
  <si>
    <t>=(SUBTOTAL(9,Q78:Q82))</t>
  </si>
  <si>
    <t>=(SUBTOTAL(9,R78:R82))</t>
  </si>
  <si>
    <t>=(SUBTOTAL(9,S78:S82))</t>
  </si>
  <si>
    <t>=(SUBTOTAL(9,T78:T82))</t>
  </si>
  <si>
    <t>=SUBTOTAL(9,O78:T82)</t>
  </si>
  <si>
    <t>=(SUBTOTAL(9,O85:O88))</t>
  </si>
  <si>
    <t>=(SUBTOTAL(9,P85:P88))</t>
  </si>
  <si>
    <t>=(SUBTOTAL(9,Q85:Q88))</t>
  </si>
  <si>
    <t>=(SUBTOTAL(9,R85:R88))</t>
  </si>
  <si>
    <t>=(SUBTOTAL(9,S85:S88))</t>
  </si>
  <si>
    <t>=(SUBTOTAL(9,T85:T88))</t>
  </si>
  <si>
    <t>=SUBTOTAL(9,O85:T88)</t>
  </si>
  <si>
    <t>=(SUBTOTAL(9,O91:O94))</t>
  </si>
  <si>
    <t>=(SUBTOTAL(9,P91:P94))</t>
  </si>
  <si>
    <t>=(SUBTOTAL(9,Q91:Q94))</t>
  </si>
  <si>
    <t>=(SUBTOTAL(9,R91:R94))</t>
  </si>
  <si>
    <t>=(SUBTOTAL(9,S91:S94))</t>
  </si>
  <si>
    <t>=(SUBTOTAL(9,T91:T94))</t>
  </si>
  <si>
    <t>=SUBTOTAL(9,O91:T94)</t>
  </si>
  <si>
    <t>=(SUBTOTAL(9,O97:O103))</t>
  </si>
  <si>
    <t>=(SUBTOTAL(9,P97:P103))</t>
  </si>
  <si>
    <t>=(SUBTOTAL(9,Q97:Q103))</t>
  </si>
  <si>
    <t>=(SUBTOTAL(9,R97:R103))</t>
  </si>
  <si>
    <t>=(SUBTOTAL(9,S97:S103))</t>
  </si>
  <si>
    <t>=(SUBTOTAL(9,T97:T103))</t>
  </si>
  <si>
    <t>=SUBTOTAL(9,O97:T103)</t>
  </si>
  <si>
    <t>=(SUBTOTAL(9,O106:O110))</t>
  </si>
  <si>
    <t>=(SUBTOTAL(9,P106:P110))</t>
  </si>
  <si>
    <t>=(SUBTOTAL(9,Q106:Q110))</t>
  </si>
  <si>
    <t>=(SUBTOTAL(9,R106:R110))</t>
  </si>
  <si>
    <t>=(SUBTOTAL(9,S106:S110))</t>
  </si>
  <si>
    <t>=(SUBTOTAL(9,T106:T110))</t>
  </si>
  <si>
    <t>=SUBTOTAL(9,O106:T110)</t>
  </si>
  <si>
    <t>=(SUBTOTAL(9,O113:O116))</t>
  </si>
  <si>
    <t>=(SUBTOTAL(9,P113:P116))</t>
  </si>
  <si>
    <t>=(SUBTOTAL(9,Q113:Q116))</t>
  </si>
  <si>
    <t>=(SUBTOTAL(9,R113:R116))</t>
  </si>
  <si>
    <t>=(SUBTOTAL(9,S113:S116))</t>
  </si>
  <si>
    <t>=(SUBTOTAL(9,T113:T116))</t>
  </si>
  <si>
    <t>=SUBTOTAL(9,O113:T116)</t>
  </si>
  <si>
    <t>=E118</t>
  </si>
  <si>
    <t>=NL("First","Item","Description","No.",$E118)</t>
  </si>
  <si>
    <t>=NL("First","Item","Base Unit of Measure","No.",$E118)</t>
  </si>
  <si>
    <t>=(SUBTOTAL(9,O119:O125))</t>
  </si>
  <si>
    <t>=(SUBTOTAL(9,P119:P125))</t>
  </si>
  <si>
    <t>=(SUBTOTAL(9,Q119:Q125))</t>
  </si>
  <si>
    <t>=(SUBTOTAL(9,R119:R125))</t>
  </si>
  <si>
    <t>=(SUBTOTAL(9,S119:S125))</t>
  </si>
  <si>
    <t>=(SUBTOTAL(9,T119:T125))</t>
  </si>
  <si>
    <t>=SUBTOTAL(9,O119:T125)</t>
  </si>
  <si>
    <t>=NL("Rows","Item Ledger Entry",,"+Posting Date",$L$5,"Item No.","@@"&amp;$D119,"Location Code","@@"&amp;$E$6)</t>
  </si>
  <si>
    <t>=(SUBTOTAL(9,O128:O139))</t>
  </si>
  <si>
    <t>=(SUBTOTAL(9,P128:P139))</t>
  </si>
  <si>
    <t>=(SUBTOTAL(9,Q128:Q139))</t>
  </si>
  <si>
    <t>=(SUBTOTAL(9,R128:R139))</t>
  </si>
  <si>
    <t>=(SUBTOTAL(9,S128:S139))</t>
  </si>
  <si>
    <t>=(SUBTOTAL(9,T128:T139))</t>
  </si>
  <si>
    <t>=SUBTOTAL(9,O128:T139)</t>
  </si>
  <si>
    <t>=(SUBTOTAL(9,O142:O146))</t>
  </si>
  <si>
    <t>=(SUBTOTAL(9,P142:P146))</t>
  </si>
  <si>
    <t>=(SUBTOTAL(9,Q142:Q146))</t>
  </si>
  <si>
    <t>=(SUBTOTAL(9,R142:R146))</t>
  </si>
  <si>
    <t>=(SUBTOTAL(9,S142:S146))</t>
  </si>
  <si>
    <t>=(SUBTOTAL(9,T142:T146))</t>
  </si>
  <si>
    <t>=SUBTOTAL(9,O142:T146)</t>
  </si>
  <si>
    <t>=(SUBTOTAL(9,O149:O156))</t>
  </si>
  <si>
    <t>=(SUBTOTAL(9,P149:P156))</t>
  </si>
  <si>
    <t>=(SUBTOTAL(9,Q149:Q156))</t>
  </si>
  <si>
    <t>=(SUBTOTAL(9,R149:R156))</t>
  </si>
  <si>
    <t>=(SUBTOTAL(9,S149:S156))</t>
  </si>
  <si>
    <t>=(SUBTOTAL(9,T149:T156))</t>
  </si>
  <si>
    <t>=SUBTOTAL(9,O149:T156)</t>
  </si>
  <si>
    <t>=(SUBTOTAL(9,O159:O169))</t>
  </si>
  <si>
    <t>=(SUBTOTAL(9,P159:P169))</t>
  </si>
  <si>
    <t>=(SUBTOTAL(9,Q159:Q169))</t>
  </si>
  <si>
    <t>=(SUBTOTAL(9,R159:R169))</t>
  </si>
  <si>
    <t>=(SUBTOTAL(9,S159:S169))</t>
  </si>
  <si>
    <t>=(SUBTOTAL(9,T159:T169))</t>
  </si>
  <si>
    <t>=SUBTOTAL(9,O159:T169)</t>
  </si>
  <si>
    <t>=E171</t>
  </si>
  <si>
    <t>=NL("First","Item","Description","No.",$E171)</t>
  </si>
  <si>
    <t>=NL("First","Item","Base Unit of Measure","No.",$E171)</t>
  </si>
  <si>
    <t>=(SUBTOTAL(9,O172:O176))</t>
  </si>
  <si>
    <t>=(SUBTOTAL(9,P172:P176))</t>
  </si>
  <si>
    <t>=(SUBTOTAL(9,Q172:Q176))</t>
  </si>
  <si>
    <t>=(SUBTOTAL(9,R172:R176))</t>
  </si>
  <si>
    <t>=(SUBTOTAL(9,S172:S176))</t>
  </si>
  <si>
    <t>=(SUBTOTAL(9,T172:T176))</t>
  </si>
  <si>
    <t>=SUBTOTAL(9,O172:T176)</t>
  </si>
  <si>
    <t>=NL("Rows","Item Ledger Entry",,"+Posting Date",$L$5,"Item No.","@@"&amp;$D172,"Location Code","@@"&amp;$E$6)</t>
  </si>
  <si>
    <t>=(SUBTOTAL(9,O179:O184))</t>
  </si>
  <si>
    <t>=(SUBTOTAL(9,P179:P184))</t>
  </si>
  <si>
    <t>=(SUBTOTAL(9,Q179:Q184))</t>
  </si>
  <si>
    <t>=(SUBTOTAL(9,R179:R184))</t>
  </si>
  <si>
    <t>=(SUBTOTAL(9,S179:S184))</t>
  </si>
  <si>
    <t>=(SUBTOTAL(9,T179:T184))</t>
  </si>
  <si>
    <t>=SUBTOTAL(9,O179:T184)</t>
  </si>
  <si>
    <t>=(SUBTOTAL(9,O187:O193))</t>
  </si>
  <si>
    <t>=(SUBTOTAL(9,P187:P193))</t>
  </si>
  <si>
    <t>=(SUBTOTAL(9,Q187:Q193))</t>
  </si>
  <si>
    <t>=(SUBTOTAL(9,R187:R193))</t>
  </si>
  <si>
    <t>=(SUBTOTAL(9,S187:S193))</t>
  </si>
  <si>
    <t>=(SUBTOTAL(9,T187:T193))</t>
  </si>
  <si>
    <t>=SUBTOTAL(9,O187:T193)</t>
  </si>
  <si>
    <t>=(SUBTOTAL(9,O196:O199))</t>
  </si>
  <si>
    <t>=(SUBTOTAL(9,P196:P199))</t>
  </si>
  <si>
    <t>=(SUBTOTAL(9,Q196:Q199))</t>
  </si>
  <si>
    <t>=(SUBTOTAL(9,R196:R199))</t>
  </si>
  <si>
    <t>=(SUBTOTAL(9,S196:S199))</t>
  </si>
  <si>
    <t>=(SUBTOTAL(9,T196:T199))</t>
  </si>
  <si>
    <t>=SUBTOTAL(9,O196:T199)</t>
  </si>
  <si>
    <t>=(SUBTOTAL(9,O202:O203))</t>
  </si>
  <si>
    <t>=(SUBTOTAL(9,P202:P203))</t>
  </si>
  <si>
    <t>=(SUBTOTAL(9,Q202:Q203))</t>
  </si>
  <si>
    <t>=(SUBTOTAL(9,R202:R203))</t>
  </si>
  <si>
    <t>=(SUBTOTAL(9,S202:S203))</t>
  </si>
  <si>
    <t>=(SUBTOTAL(9,T202:T203))</t>
  </si>
  <si>
    <t>=SUBTOTAL(9,O202:T203)</t>
  </si>
  <si>
    <t>=(SUBTOTAL(9,O206:O211))</t>
  </si>
  <si>
    <t>=(SUBTOTAL(9,P206:P211))</t>
  </si>
  <si>
    <t>=(SUBTOTAL(9,Q206:Q211))</t>
  </si>
  <si>
    <t>=(SUBTOTAL(9,R206:R211))</t>
  </si>
  <si>
    <t>=(SUBTOTAL(9,S206:S211))</t>
  </si>
  <si>
    <t>=(SUBTOTAL(9,T206:T211))</t>
  </si>
  <si>
    <t>=SUBTOTAL(9,O206:T211)</t>
  </si>
  <si>
    <t>=(SUBTOTAL(9,O226:O229))</t>
  </si>
  <si>
    <t>=(SUBTOTAL(9,P226:P229))</t>
  </si>
  <si>
    <t>=(SUBTOTAL(9,Q226:Q229))</t>
  </si>
  <si>
    <t>=(SUBTOTAL(9,R226:R229))</t>
  </si>
  <si>
    <t>=(SUBTOTAL(9,S226:S229))</t>
  </si>
  <si>
    <t>=(SUBTOTAL(9,T226:T229))</t>
  </si>
  <si>
    <t>=SUBTOTAL(9,O226:T229)</t>
  </si>
  <si>
    <t>=(SUBTOTAL(9,O232:O233))</t>
  </si>
  <si>
    <t>=(SUBTOTAL(9,P232:P233))</t>
  </si>
  <si>
    <t>=(SUBTOTAL(9,Q232:Q233))</t>
  </si>
  <si>
    <t>=(SUBTOTAL(9,R232:R233))</t>
  </si>
  <si>
    <t>=(SUBTOTAL(9,S232:S233))</t>
  </si>
  <si>
    <t>=(SUBTOTAL(9,T232:T233))</t>
  </si>
  <si>
    <t>=SUBTOTAL(9,O232:T233)</t>
  </si>
  <si>
    <t>=(SUBTOTAL(9,O245:O246))</t>
  </si>
  <si>
    <t>=(SUBTOTAL(9,P245:P246))</t>
  </si>
  <si>
    <t>=(SUBTOTAL(9,Q245:Q246))</t>
  </si>
  <si>
    <t>=(SUBTOTAL(9,R245:R246))</t>
  </si>
  <si>
    <t>=(SUBTOTAL(9,S245:S246))</t>
  </si>
  <si>
    <t>=(SUBTOTAL(9,T245:T246))</t>
  </si>
  <si>
    <t>=SUBTOTAL(9,O245:T246)</t>
  </si>
  <si>
    <t>=(SUBTOTAL(9,O249:O250))</t>
  </si>
  <si>
    <t>=(SUBTOTAL(9,P249:P250))</t>
  </si>
  <si>
    <t>=(SUBTOTAL(9,Q249:Q250))</t>
  </si>
  <si>
    <t>=(SUBTOTAL(9,R249:R250))</t>
  </si>
  <si>
    <t>=(SUBTOTAL(9,S249:S250))</t>
  </si>
  <si>
    <t>=(SUBTOTAL(9,T249:T250))</t>
  </si>
  <si>
    <t>=SUBTOTAL(9,O249:T250)</t>
  </si>
  <si>
    <t>=(SUBTOTAL(9,O253:O254))</t>
  </si>
  <si>
    <t>=(SUBTOTAL(9,P253:P254))</t>
  </si>
  <si>
    <t>=(SUBTOTAL(9,Q253:Q254))</t>
  </si>
  <si>
    <t>=(SUBTOTAL(9,R253:R254))</t>
  </si>
  <si>
    <t>=(SUBTOTAL(9,S253:S254))</t>
  </si>
  <si>
    <t>=(SUBTOTAL(9,T253:T254))</t>
  </si>
  <si>
    <t>=SUBTOTAL(9,O253:T254)</t>
  </si>
  <si>
    <t>=E256</t>
  </si>
  <si>
    <t>=NL("First","Item","Description","No.",$E256)</t>
  </si>
  <si>
    <t>=NL("First","Item","Base Unit of Measure","No.",$E256)</t>
  </si>
  <si>
    <t>=(SUBTOTAL(9,O257:O258))</t>
  </si>
  <si>
    <t>=(SUBTOTAL(9,P257:P258))</t>
  </si>
  <si>
    <t>=(SUBTOTAL(9,Q257:Q258))</t>
  </si>
  <si>
    <t>=(SUBTOTAL(9,R257:R258))</t>
  </si>
  <si>
    <t>=(SUBTOTAL(9,S257:S258))</t>
  </si>
  <si>
    <t>=(SUBTOTAL(9,T257:T258))</t>
  </si>
  <si>
    <t>=SUBTOTAL(9,O257:T258)</t>
  </si>
  <si>
    <t>=NL("Rows","Item Ledger Entry",,"+Posting Date",$L$5,"Item No.","@@"&amp;$D257,"Location Code","@@"&amp;$E$6)</t>
  </si>
  <si>
    <t>=(SUBTOTAL(9,O265:O266))</t>
  </si>
  <si>
    <t>=(SUBTOTAL(9,P265:P266))</t>
  </si>
  <si>
    <t>=(SUBTOTAL(9,Q265:Q266))</t>
  </si>
  <si>
    <t>=(SUBTOTAL(9,R265:R266))</t>
  </si>
  <si>
    <t>=(SUBTOTAL(9,S265:S266))</t>
  </si>
  <si>
    <t>=(SUBTOTAL(9,T265:T266))</t>
  </si>
  <si>
    <t>=SUBTOTAL(9,O265:T266)</t>
  </si>
  <si>
    <t>=(SUBTOTAL(9,O274:O278))</t>
  </si>
  <si>
    <t>=(SUBTOTAL(9,P274:P278))</t>
  </si>
  <si>
    <t>=(SUBTOTAL(9,Q274:Q278))</t>
  </si>
  <si>
    <t>=(SUBTOTAL(9,R274:R278))</t>
  </si>
  <si>
    <t>=(SUBTOTAL(9,S274:S278))</t>
  </si>
  <si>
    <t>=(SUBTOTAL(9,T274:T278))</t>
  </si>
  <si>
    <t>=SUBTOTAL(9,O274:T278)</t>
  </si>
  <si>
    <t>=E280</t>
  </si>
  <si>
    <t>=NL("First","Item","Description","No.",$E280)</t>
  </si>
  <si>
    <t>=NL("First","Item","Base Unit of Measure","No.",$E280)</t>
  </si>
  <si>
    <t>=(SUBTOTAL(9,O281:O282))</t>
  </si>
  <si>
    <t>=(SUBTOTAL(9,P281:P282))</t>
  </si>
  <si>
    <t>=(SUBTOTAL(9,Q281:Q282))</t>
  </si>
  <si>
    <t>=(SUBTOTAL(9,R281:R282))</t>
  </si>
  <si>
    <t>=(SUBTOTAL(9,S281:S282))</t>
  </si>
  <si>
    <t>=(SUBTOTAL(9,T281:T282))</t>
  </si>
  <si>
    <t>=SUBTOTAL(9,O281:T282)</t>
  </si>
  <si>
    <t>=NL("Rows","Item Ledger Entry",,"+Posting Date",$L$5,"Item No.","@@"&amp;$D281,"Location Code","@@"&amp;$E$6)</t>
  </si>
  <si>
    <t>=(SUBTOTAL(9,O285:O287))</t>
  </si>
  <si>
    <t>=(SUBTOTAL(9,P285:P287))</t>
  </si>
  <si>
    <t>=(SUBTOTAL(9,Q285:Q287))</t>
  </si>
  <si>
    <t>=(SUBTOTAL(9,R285:R287))</t>
  </si>
  <si>
    <t>=(SUBTOTAL(9,S285:S287))</t>
  </si>
  <si>
    <t>=(SUBTOTAL(9,T285:T287))</t>
  </si>
  <si>
    <t>=SUBTOTAL(9,O285:T287)</t>
  </si>
  <si>
    <t>=(SUBTOTAL(9,O290:O294))</t>
  </si>
  <si>
    <t>=(SUBTOTAL(9,P290:P294))</t>
  </si>
  <si>
    <t>=(SUBTOTAL(9,Q290:Q294))</t>
  </si>
  <si>
    <t>=(SUBTOTAL(9,R290:R294))</t>
  </si>
  <si>
    <t>=(SUBTOTAL(9,S290:S294))</t>
  </si>
  <si>
    <t>=(SUBTOTAL(9,T290:T294))</t>
  </si>
  <si>
    <t>=SUBTOTAL(9,O290:T294)</t>
  </si>
  <si>
    <t>=(SUBTOTAL(9,O301:O309))</t>
  </si>
  <si>
    <t>=(SUBTOTAL(9,P301:P309))</t>
  </si>
  <si>
    <t>=(SUBTOTAL(9,Q301:Q309))</t>
  </si>
  <si>
    <t>=(SUBTOTAL(9,R301:R309))</t>
  </si>
  <si>
    <t>=(SUBTOTAL(9,S301:S309))</t>
  </si>
  <si>
    <t>=(SUBTOTAL(9,T301:T309))</t>
  </si>
  <si>
    <t>=SUBTOTAL(9,O301:T309)</t>
  </si>
  <si>
    <t>=(SUBTOTAL(9,O312:O315))</t>
  </si>
  <si>
    <t>=(SUBTOTAL(9,P312:P315))</t>
  </si>
  <si>
    <t>=(SUBTOTAL(9,Q312:Q315))</t>
  </si>
  <si>
    <t>=(SUBTOTAL(9,R312:R315))</t>
  </si>
  <si>
    <t>=(SUBTOTAL(9,S312:S315))</t>
  </si>
  <si>
    <t>=(SUBTOTAL(9,T312:T315))</t>
  </si>
  <si>
    <t>=SUBTOTAL(9,O312:T315)</t>
  </si>
  <si>
    <t>=(SUBTOTAL(9,O324:O329))</t>
  </si>
  <si>
    <t>=(SUBTOTAL(9,P324:P329))</t>
  </si>
  <si>
    <t>=(SUBTOTAL(9,Q324:Q329))</t>
  </si>
  <si>
    <t>=(SUBTOTAL(9,R324:R329))</t>
  </si>
  <si>
    <t>=(SUBTOTAL(9,S324:S329))</t>
  </si>
  <si>
    <t>=(SUBTOTAL(9,T324:T329))</t>
  </si>
  <si>
    <t>=SUBTOTAL(9,O324:T329)</t>
  </si>
  <si>
    <t>=(SUBTOTAL(9,O332:O335))</t>
  </si>
  <si>
    <t>=(SUBTOTAL(9,P332:P335))</t>
  </si>
  <si>
    <t>=(SUBTOTAL(9,Q332:Q335))</t>
  </si>
  <si>
    <t>=(SUBTOTAL(9,R332:R335))</t>
  </si>
  <si>
    <t>=(SUBTOTAL(9,S332:S335))</t>
  </si>
  <si>
    <t>=(SUBTOTAL(9,T332:T335))</t>
  </si>
  <si>
    <t>=SUBTOTAL(9,O332:T335)</t>
  </si>
  <si>
    <t>=(SUBTOTAL(9,O338:O343))</t>
  </si>
  <si>
    <t>=(SUBTOTAL(9,P338:P343))</t>
  </si>
  <si>
    <t>=(SUBTOTAL(9,Q338:Q343))</t>
  </si>
  <si>
    <t>=(SUBTOTAL(9,R338:R343))</t>
  </si>
  <si>
    <t>=(SUBTOTAL(9,S338:S343))</t>
  </si>
  <si>
    <t>=(SUBTOTAL(9,T338:T343))</t>
  </si>
  <si>
    <t>=SUBTOTAL(9,O338:T343)</t>
  </si>
  <si>
    <t>=(SUBTOTAL(9,O346:O351))</t>
  </si>
  <si>
    <t>=(SUBTOTAL(9,P346:P351))</t>
  </si>
  <si>
    <t>=(SUBTOTAL(9,Q346:Q351))</t>
  </si>
  <si>
    <t>=(SUBTOTAL(9,R346:R351))</t>
  </si>
  <si>
    <t>=(SUBTOTAL(9,S346:S351))</t>
  </si>
  <si>
    <t>=(SUBTOTAL(9,T346:T351))</t>
  </si>
  <si>
    <t>=SUBTOTAL(9,O346:T351)</t>
  </si>
  <si>
    <t>=NL("Rows","Item Ledger Entry",,"+Posting Date",$L$5,"Item No.","@@"&amp;$D354,"Location Code","@@"&amp;$E$6)</t>
  </si>
  <si>
    <t>=(SUBTOTAL(9,O368:O373))</t>
  </si>
  <si>
    <t>=(SUBTOTAL(9,P368:P373))</t>
  </si>
  <si>
    <t>=(SUBTOTAL(9,Q368:Q373))</t>
  </si>
  <si>
    <t>=(SUBTOTAL(9,R368:R373))</t>
  </si>
  <si>
    <t>=(SUBTOTAL(9,S368:S373))</t>
  </si>
  <si>
    <t>=(SUBTOTAL(9,T368:T373))</t>
  </si>
  <si>
    <t>=SUBTOTAL(9,O368:T373)</t>
  </si>
  <si>
    <t>=(SUBTOTAL(9,O376:O385))</t>
  </si>
  <si>
    <t>=(SUBTOTAL(9,P376:P385))</t>
  </si>
  <si>
    <t>=(SUBTOTAL(9,Q376:Q385))</t>
  </si>
  <si>
    <t>=(SUBTOTAL(9,R376:R385))</t>
  </si>
  <si>
    <t>=(SUBTOTAL(9,S376:S385))</t>
  </si>
  <si>
    <t>=(SUBTOTAL(9,T376:T385))</t>
  </si>
  <si>
    <t>=SUBTOTAL(9,O376:T385)</t>
  </si>
  <si>
    <t>=(SUBTOTAL(9,O388:O396))</t>
  </si>
  <si>
    <t>=(SUBTOTAL(9,P388:P396))</t>
  </si>
  <si>
    <t>=(SUBTOTAL(9,Q388:Q396))</t>
  </si>
  <si>
    <t>=(SUBTOTAL(9,R388:R396))</t>
  </si>
  <si>
    <t>=(SUBTOTAL(9,S388:S396))</t>
  </si>
  <si>
    <t>=(SUBTOTAL(9,T388:T396))</t>
  </si>
  <si>
    <t>=SUBTOTAL(9,O388:T396)</t>
  </si>
  <si>
    <t>=E398</t>
  </si>
  <si>
    <t>=NL("First","Item","Description","No.",$E398)</t>
  </si>
  <si>
    <t>=NL("First","Item","Base Unit of Measure","No.",$E398)</t>
  </si>
  <si>
    <t>=(SUBTOTAL(9,O399:O402))</t>
  </si>
  <si>
    <t>=(SUBTOTAL(9,P399:P402))</t>
  </si>
  <si>
    <t>=(SUBTOTAL(9,Q399:Q402))</t>
  </si>
  <si>
    <t>=(SUBTOTAL(9,R399:R402))</t>
  </si>
  <si>
    <t>=(SUBTOTAL(9,S399:S402))</t>
  </si>
  <si>
    <t>=(SUBTOTAL(9,T399:T402))</t>
  </si>
  <si>
    <t>=SUBTOTAL(9,O399:T402)</t>
  </si>
  <si>
    <t>=NL("Rows","Item Ledger Entry",,"+Posting Date",$L$5,"Item No.","@@"&amp;$D399,"Location Code","@@"&amp;$E$6)</t>
  </si>
  <si>
    <t>=E404</t>
  </si>
  <si>
    <t>=NL("First","Item","Description","No.",$E404)</t>
  </si>
  <si>
    <t>=NL("First","Item","Base Unit of Measure","No.",$E404)</t>
  </si>
  <si>
    <t>=(SUBTOTAL(9,O405:O411))</t>
  </si>
  <si>
    <t>=(SUBTOTAL(9,P405:P411))</t>
  </si>
  <si>
    <t>=(SUBTOTAL(9,Q405:Q411))</t>
  </si>
  <si>
    <t>=(SUBTOTAL(9,R405:R411))</t>
  </si>
  <si>
    <t>=(SUBTOTAL(9,S405:S411))</t>
  </si>
  <si>
    <t>=(SUBTOTAL(9,T405:T411))</t>
  </si>
  <si>
    <t>=SUBTOTAL(9,O405:T411)</t>
  </si>
  <si>
    <t>=NL("Rows","Item Ledger Entry",,"+Posting Date",$L$5,"Item No.","@@"&amp;$D405,"Location Code","@@"&amp;$E$6)</t>
  </si>
  <si>
    <t>=(SUBTOTAL(9,O414:O419))</t>
  </si>
  <si>
    <t>=(SUBTOTAL(9,P414:P419))</t>
  </si>
  <si>
    <t>=(SUBTOTAL(9,Q414:Q419))</t>
  </si>
  <si>
    <t>=(SUBTOTAL(9,R414:R419))</t>
  </si>
  <si>
    <t>=(SUBTOTAL(9,S414:S419))</t>
  </si>
  <si>
    <t>=(SUBTOTAL(9,T414:T419))</t>
  </si>
  <si>
    <t>=SUBTOTAL(9,O414:T419)</t>
  </si>
  <si>
    <t>=E421</t>
  </si>
  <si>
    <t>=NL("First","Item","Description","No.",$E421)</t>
  </si>
  <si>
    <t>=NL("First","Item","Base Unit of Measure","No.",$E421)</t>
  </si>
  <si>
    <t>=(SUBTOTAL(9,O422:O429))</t>
  </si>
  <si>
    <t>=(SUBTOTAL(9,P422:P429))</t>
  </si>
  <si>
    <t>=(SUBTOTAL(9,Q422:Q429))</t>
  </si>
  <si>
    <t>=(SUBTOTAL(9,R422:R429))</t>
  </si>
  <si>
    <t>=(SUBTOTAL(9,S422:S429))</t>
  </si>
  <si>
    <t>=(SUBTOTAL(9,T422:T429))</t>
  </si>
  <si>
    <t>=SUBTOTAL(9,O422:T429)</t>
  </si>
  <si>
    <t>=NL("Rows","Item Ledger Entry",,"+Posting Date",$L$5,"Item No.","@@"&amp;$D422,"Location Code","@@"&amp;$E$6)</t>
  </si>
  <si>
    <t>=(SUBTOTAL(9,O432:O436))</t>
  </si>
  <si>
    <t>=(SUBTOTAL(9,P432:P436))</t>
  </si>
  <si>
    <t>=(SUBTOTAL(9,Q432:Q436))</t>
  </si>
  <si>
    <t>=(SUBTOTAL(9,R432:R436))</t>
  </si>
  <si>
    <t>=(SUBTOTAL(9,S432:S436))</t>
  </si>
  <si>
    <t>=(SUBTOTAL(9,T432:T436))</t>
  </si>
  <si>
    <t>=SUBTOTAL(9,O432:T436)</t>
  </si>
  <si>
    <t>=(SUBTOTAL(9,O439:O449))</t>
  </si>
  <si>
    <t>=(SUBTOTAL(9,P439:P449))</t>
  </si>
  <si>
    <t>=(SUBTOTAL(9,Q439:Q449))</t>
  </si>
  <si>
    <t>=(SUBTOTAL(9,R439:R449))</t>
  </si>
  <si>
    <t>=(SUBTOTAL(9,S439:S449))</t>
  </si>
  <si>
    <t>=(SUBTOTAL(9,T439:T449))</t>
  </si>
  <si>
    <t>=SUBTOTAL(9,O439:T449)</t>
  </si>
  <si>
    <t>=NL("Rows","Item Ledger Entry",,"+Posting Date",$L$5,"Item No.","@@"&amp;$D439,"Location Code","@@"&amp;$E$6)</t>
  </si>
  <si>
    <t>=(SUBTOTAL(9,O452:O457))</t>
  </si>
  <si>
    <t>=(SUBTOTAL(9,P452:P457))</t>
  </si>
  <si>
    <t>=(SUBTOTAL(9,Q452:Q457))</t>
  </si>
  <si>
    <t>=(SUBTOTAL(9,R452:R457))</t>
  </si>
  <si>
    <t>=(SUBTOTAL(9,S452:S457))</t>
  </si>
  <si>
    <t>=(SUBTOTAL(9,T452:T457))</t>
  </si>
  <si>
    <t>=SUBTOTAL(9,O452:T457)</t>
  </si>
  <si>
    <t>=(SUBTOTAL(9,O460:O466))</t>
  </si>
  <si>
    <t>=(SUBTOTAL(9,P460:P466))</t>
  </si>
  <si>
    <t>=(SUBTOTAL(9,Q460:Q466))</t>
  </si>
  <si>
    <t>=(SUBTOTAL(9,R460:R466))</t>
  </si>
  <si>
    <t>=(SUBTOTAL(9,S460:S466))</t>
  </si>
  <si>
    <t>=(SUBTOTAL(9,T460:T466))</t>
  </si>
  <si>
    <t>=SUBTOTAL(9,O460:T466)</t>
  </si>
  <si>
    <t>=(SUBTOTAL(9,O469:O475))</t>
  </si>
  <si>
    <t>=(SUBTOTAL(9,P469:P475))</t>
  </si>
  <si>
    <t>=(SUBTOTAL(9,Q469:Q475))</t>
  </si>
  <si>
    <t>=(SUBTOTAL(9,R469:R475))</t>
  </si>
  <si>
    <t>=(SUBTOTAL(9,S469:S475))</t>
  </si>
  <si>
    <t>=(SUBTOTAL(9,T469:T475))</t>
  </si>
  <si>
    <t>=SUBTOTAL(9,O469:T475)</t>
  </si>
  <si>
    <t>=E477</t>
  </si>
  <si>
    <t>=NL("First","Item","Description","No.",$E477)</t>
  </si>
  <si>
    <t>=NL("First","Item","Base Unit of Measure","No.",$E477)</t>
  </si>
  <si>
    <t>=(SUBTOTAL(9,O478:O482))</t>
  </si>
  <si>
    <t>=(SUBTOTAL(9,P478:P482))</t>
  </si>
  <si>
    <t>=(SUBTOTAL(9,Q478:Q482))</t>
  </si>
  <si>
    <t>=(SUBTOTAL(9,R478:R482))</t>
  </si>
  <si>
    <t>=(SUBTOTAL(9,S478:S482))</t>
  </si>
  <si>
    <t>=(SUBTOTAL(9,T478:T482))</t>
  </si>
  <si>
    <t>=SUBTOTAL(9,O478:T482)</t>
  </si>
  <si>
    <t>=NL("Rows","Item Ledger Entry",,"+Posting Date",$L$5,"Item No.","@@"&amp;$D478,"Location Code","@@"&amp;$E$6)</t>
  </si>
  <si>
    <t>=E484</t>
  </si>
  <si>
    <t>=NL("First","Item","Description","No.",$E484)</t>
  </si>
  <si>
    <t>=NL("First","Item","Base Unit of Measure","No.",$E484)</t>
  </si>
  <si>
    <t>=(SUBTOTAL(9,O485:O488))</t>
  </si>
  <si>
    <t>=(SUBTOTAL(9,P485:P488))</t>
  </si>
  <si>
    <t>=(SUBTOTAL(9,Q485:Q488))</t>
  </si>
  <si>
    <t>=(SUBTOTAL(9,R485:R488))</t>
  </si>
  <si>
    <t>=(SUBTOTAL(9,S485:S488))</t>
  </si>
  <si>
    <t>=(SUBTOTAL(9,T485:T488))</t>
  </si>
  <si>
    <t>=SUBTOTAL(9,O485:T488)</t>
  </si>
  <si>
    <t>=NL("Rows","Item Ledger Entry",,"+Posting Date",$L$5,"Item No.","@@"&amp;$D485,"Location Code","@@"&amp;$E$6)</t>
  </si>
  <si>
    <t>=(SUBTOTAL(9,O496:O498))</t>
  </si>
  <si>
    <t>=(SUBTOTAL(9,P496:P498))</t>
  </si>
  <si>
    <t>=(SUBTOTAL(9,Q496:Q498))</t>
  </si>
  <si>
    <t>=(SUBTOTAL(9,R496:R498))</t>
  </si>
  <si>
    <t>=(SUBTOTAL(9,S496:S498))</t>
  </si>
  <si>
    <t>=(SUBTOTAL(9,T496:T498))</t>
  </si>
  <si>
    <t>=SUBTOTAL(9,O496:T498)</t>
  </si>
  <si>
    <t>=(SUBTOTAL(9,O501:O502))</t>
  </si>
  <si>
    <t>=(SUBTOTAL(9,P501:P502))</t>
  </si>
  <si>
    <t>=(SUBTOTAL(9,Q501:Q502))</t>
  </si>
  <si>
    <t>=(SUBTOTAL(9,R501:R502))</t>
  </si>
  <si>
    <t>=(SUBTOTAL(9,S501:S502))</t>
  </si>
  <si>
    <t>=(SUBTOTAL(9,T501:T502))</t>
  </si>
  <si>
    <t>=SUBTOTAL(9,O501:T502)</t>
  </si>
  <si>
    <t>=E504</t>
  </si>
  <si>
    <t>=NL("First","Item","Description","No.",$E504)</t>
  </si>
  <si>
    <t>=NL("First","Item","Base Unit of Measure","No.",$E504)</t>
  </si>
  <si>
    <t>=(SUBTOTAL(9,O505:O507))</t>
  </si>
  <si>
    <t>=(SUBTOTAL(9,P505:P507))</t>
  </si>
  <si>
    <t>=(SUBTOTAL(9,Q505:Q507))</t>
  </si>
  <si>
    <t>=(SUBTOTAL(9,R505:R507))</t>
  </si>
  <si>
    <t>=(SUBTOTAL(9,S505:S507))</t>
  </si>
  <si>
    <t>=(SUBTOTAL(9,T505:T507))</t>
  </si>
  <si>
    <t>=SUBTOTAL(9,O505:T507)</t>
  </si>
  <si>
    <t>=NL("Rows","Item Ledger Entry",,"+Posting Date",$L$5,"Item No.","@@"&amp;$D505,"Location Code","@@"&amp;$E$6)</t>
  </si>
  <si>
    <t>=(SUBTOTAL(9,O510:O511))</t>
  </si>
  <si>
    <t>=(SUBTOTAL(9,P510:P511))</t>
  </si>
  <si>
    <t>=(SUBTOTAL(9,Q510:Q511))</t>
  </si>
  <si>
    <t>=(SUBTOTAL(9,R510:R511))</t>
  </si>
  <si>
    <t>=(SUBTOTAL(9,S510:S511))</t>
  </si>
  <si>
    <t>=(SUBTOTAL(9,T510:T511))</t>
  </si>
  <si>
    <t>=SUBTOTAL(9,O510:T511)</t>
  </si>
  <si>
    <t>=(SUBTOTAL(9,O514:O517))</t>
  </si>
  <si>
    <t>=(SUBTOTAL(9,P514:P517))</t>
  </si>
  <si>
    <t>=(SUBTOTAL(9,Q514:Q517))</t>
  </si>
  <si>
    <t>=(SUBTOTAL(9,R514:R517))</t>
  </si>
  <si>
    <t>=(SUBTOTAL(9,S514:S517))</t>
  </si>
  <si>
    <t>=(SUBTOTAL(9,T514:T517))</t>
  </si>
  <si>
    <t>=SUBTOTAL(9,O514:T517)</t>
  </si>
  <si>
    <t>=E519</t>
  </si>
  <si>
    <t>=NL("First","Item","Description","No.",$E519)</t>
  </si>
  <si>
    <t>=NL("First","Item","Base Unit of Measure","No.",$E519)</t>
  </si>
  <si>
    <t>=(SUBTOTAL(9,O520:O522))</t>
  </si>
  <si>
    <t>=(SUBTOTAL(9,P520:P522))</t>
  </si>
  <si>
    <t>=(SUBTOTAL(9,Q520:Q522))</t>
  </si>
  <si>
    <t>=(SUBTOTAL(9,R520:R522))</t>
  </si>
  <si>
    <t>=(SUBTOTAL(9,S520:S522))</t>
  </si>
  <si>
    <t>=(SUBTOTAL(9,T520:T522))</t>
  </si>
  <si>
    <t>=SUBTOTAL(9,O520:T522)</t>
  </si>
  <si>
    <t>=NL("Rows","Item Ledger Entry",,"+Posting Date",$L$5,"Item No.","@@"&amp;$D520,"Location Code","@@"&amp;$E$6)</t>
  </si>
  <si>
    <t>=NL("Sum","Item Ledger Entry","Quantity","Entry Type","Purchase","Entry No.",I520,"Location Code","@@"&amp;$E$6)</t>
  </si>
  <si>
    <t>=NL("Sum","Item Ledger Entry","Quantity","Entry Type","Sale","Entry No.",I520,"Location Code","@@"&amp;$E$6)</t>
  </si>
  <si>
    <t>=NL("Sum","Item Ledger Entry","Quantity","Entry Type","Positive Adjmt.|Negative Adjmt.","Entry No.",I520,"Location Code","@@"&amp;$E$6)</t>
  </si>
  <si>
    <t>=NL("Sum","Item Ledger Entry","Quantity","Entry Type","Transfer","Entry No.",I520,"Location Code","@@"&amp;$E$6)</t>
  </si>
  <si>
    <t>=NL("Sum","Item Ledger Entry","Quantity","Entry Type","Consumption","Entry No.",I520,"Location Code","@@"&amp;$E$6)</t>
  </si>
  <si>
    <t>=NL("Sum","Item Ledger Entry","Quantity","Entry Type","Output","Entry No.",I520,"Location Code","@@"&amp;$E$6)</t>
  </si>
  <si>
    <t>=E524</t>
  </si>
  <si>
    <t>=NL("First","Item","Description","No.",$E524)</t>
  </si>
  <si>
    <t>=NL("First","Item","Base Unit of Measure","No.",$E524)</t>
  </si>
  <si>
    <t>=(SUBTOTAL(9,O525:O530))</t>
  </si>
  <si>
    <t>=(SUBTOTAL(9,P525:P530))</t>
  </si>
  <si>
    <t>=(SUBTOTAL(9,Q525:Q530))</t>
  </si>
  <si>
    <t>=(SUBTOTAL(9,R525:R530))</t>
  </si>
  <si>
    <t>=(SUBTOTAL(9,S525:S530))</t>
  </si>
  <si>
    <t>=(SUBTOTAL(9,T525:T530))</t>
  </si>
  <si>
    <t>=SUBTOTAL(9,O525:T530)</t>
  </si>
  <si>
    <t>=NL("Rows","Item Ledger Entry",,"+Posting Date",$L$5,"Item No.","@@"&amp;$D525,"Location Code","@@"&amp;$E$6)</t>
  </si>
  <si>
    <t>=E532</t>
  </si>
  <si>
    <t>=NL("First","Item","Description","No.",$E532)</t>
  </si>
  <si>
    <t>=NL("First","Item","Base Unit of Measure","No.",$E532)</t>
  </si>
  <si>
    <t>=(SUBTOTAL(9,O533:O535))</t>
  </si>
  <si>
    <t>=(SUBTOTAL(9,P533:P535))</t>
  </si>
  <si>
    <t>=(SUBTOTAL(9,Q533:Q535))</t>
  </si>
  <si>
    <t>=(SUBTOTAL(9,R533:R535))</t>
  </si>
  <si>
    <t>=(SUBTOTAL(9,S533:S535))</t>
  </si>
  <si>
    <t>=(SUBTOTAL(9,T533:T535))</t>
  </si>
  <si>
    <t>=SUBTOTAL(9,O533:T535)</t>
  </si>
  <si>
    <t>=NL("Rows","Item Ledger Entry",,"+Posting Date",$L$5,"Item No.","@@"&amp;$D533,"Location Code","@@"&amp;$E$6)</t>
  </si>
  <si>
    <t>=NL("Sum","Item Ledger Entry","Quantity","Entry Type","Purchase","Entry No.",I533,"Location Code","@@"&amp;$E$6)</t>
  </si>
  <si>
    <t>=NL("Sum","Item Ledger Entry","Quantity","Entry Type","Sale","Entry No.",I533,"Location Code","@@"&amp;$E$6)</t>
  </si>
  <si>
    <t>=NL("Sum","Item Ledger Entry","Quantity","Entry Type","Positive Adjmt.|Negative Adjmt.","Entry No.",I533,"Location Code","@@"&amp;$E$6)</t>
  </si>
  <si>
    <t>=NL("Sum","Item Ledger Entry","Quantity","Entry Type","Transfer","Entry No.",I533,"Location Code","@@"&amp;$E$6)</t>
  </si>
  <si>
    <t>=NL("Sum","Item Ledger Entry","Quantity","Entry Type","Consumption","Entry No.",I533,"Location Code","@@"&amp;$E$6)</t>
  </si>
  <si>
    <t>=NL("Sum","Item Ledger Entry","Quantity","Entry Type","Output","Entry No.",I533,"Location Code","@@"&amp;$E$6)</t>
  </si>
  <si>
    <t>=E537</t>
  </si>
  <si>
    <t>=NL("First","Item","Description","No.",$E537)</t>
  </si>
  <si>
    <t>=NL("First","Item","Base Unit of Measure","No.",$E537)</t>
  </si>
  <si>
    <t>=(SUBTOTAL(9,O538:O540))</t>
  </si>
  <si>
    <t>=(SUBTOTAL(9,P538:P540))</t>
  </si>
  <si>
    <t>=(SUBTOTAL(9,Q538:Q540))</t>
  </si>
  <si>
    <t>=(SUBTOTAL(9,R538:R540))</t>
  </si>
  <si>
    <t>=(SUBTOTAL(9,S538:S540))</t>
  </si>
  <si>
    <t>=(SUBTOTAL(9,T538:T540))</t>
  </si>
  <si>
    <t>=SUBTOTAL(9,O538:T540)</t>
  </si>
  <si>
    <t>=NL("Rows","Item Ledger Entry",,"+Posting Date",$L$5,"Item No.","@@"&amp;$D538,"Location Code","@@"&amp;$E$6)</t>
  </si>
  <si>
    <t>=NL("Sum","Item Ledger Entry","Quantity","Entry Type","Purchase","Entry No.",I539,"Location Code","@@"&amp;$E$6)</t>
  </si>
  <si>
    <t>=NL("Sum","Item Ledger Entry","Quantity","Entry Type","Sale","Entry No.",I539,"Location Code","@@"&amp;$E$6)</t>
  </si>
  <si>
    <t>=NL("Sum","Item Ledger Entry","Quantity","Entry Type","Positive Adjmt.|Negative Adjmt.","Entry No.",I539,"Location Code","@@"&amp;$E$6)</t>
  </si>
  <si>
    <t>=NL("Sum","Item Ledger Entry","Quantity","Entry Type","Transfer","Entry No.",I539,"Location Code","@@"&amp;$E$6)</t>
  </si>
  <si>
    <t>=NL("Sum","Item Ledger Entry","Quantity","Entry Type","Consumption","Entry No.",I539,"Location Code","@@"&amp;$E$6)</t>
  </si>
  <si>
    <t>=NL("Sum","Item Ledger Entry","Quantity","Entry Type","Output","Entry No.",I539,"Location Code","@@"&amp;$E$6)</t>
  </si>
  <si>
    <t>=(SUBTOTAL(9,O543:O546))</t>
  </si>
  <si>
    <t>=(SUBTOTAL(9,P543:P546))</t>
  </si>
  <si>
    <t>=(SUBTOTAL(9,Q543:Q546))</t>
  </si>
  <si>
    <t>=(SUBTOTAL(9,R543:R546))</t>
  </si>
  <si>
    <t>=(SUBTOTAL(9,S543:S546))</t>
  </si>
  <si>
    <t>=(SUBTOTAL(9,T543:T546))</t>
  </si>
  <si>
    <t>=SUBTOTAL(9,O543:T546)</t>
  </si>
  <si>
    <t>=NL("Rows","Item Ledger Entry",,"+Posting Date",$L$5,"Item No.","@@"&amp;$D543,"Location Code","@@"&amp;$E$6)</t>
  </si>
  <si>
    <t>=E548</t>
  </si>
  <si>
    <t>=NL("First","Item","Description","No.",$E548)</t>
  </si>
  <si>
    <t>=NL("First","Item","Base Unit of Measure","No.",$E548)</t>
  </si>
  <si>
    <t>=(SUBTOTAL(9,O549:O552))</t>
  </si>
  <si>
    <t>=(SUBTOTAL(9,P549:P552))</t>
  </si>
  <si>
    <t>=(SUBTOTAL(9,Q549:Q552))</t>
  </si>
  <si>
    <t>=(SUBTOTAL(9,R549:R552))</t>
  </si>
  <si>
    <t>=(SUBTOTAL(9,S549:S552))</t>
  </si>
  <si>
    <t>=(SUBTOTAL(9,T549:T552))</t>
  </si>
  <si>
    <t>=SUBTOTAL(9,O549:T552)</t>
  </si>
  <si>
    <t>=NL("Rows","Item Ledger Entry",,"+Posting Date",$L$5,"Item No.","@@"&amp;$D549,"Location Code","@@"&amp;$E$6)</t>
  </si>
  <si>
    <t>=D550</t>
  </si>
  <si>
    <t>=IF($J551="Customer",NL("first",$J551,"Name","No.","@@"&amp;$K551),"")</t>
  </si>
  <si>
    <t>=IF(J551="vendor",NL("first",J551,"Name","No.","@@"&amp;K551),"")</t>
  </si>
  <si>
    <t>=IF($J551="Item",NL("first",$J551,"Description","No.","@@"&amp;$K551),"")</t>
  </si>
  <si>
    <t>=E554</t>
  </si>
  <si>
    <t>=NL("First","Item","Description","No.",$E554)</t>
  </si>
  <si>
    <t>=NL("First","Item","Base Unit of Measure","No.",$E554)</t>
  </si>
  <si>
    <t>=(SUBTOTAL(9,O555:O561))</t>
  </si>
  <si>
    <t>=(SUBTOTAL(9,P555:P561))</t>
  </si>
  <si>
    <t>=(SUBTOTAL(9,Q555:Q561))</t>
  </si>
  <si>
    <t>=(SUBTOTAL(9,R555:R561))</t>
  </si>
  <si>
    <t>=(SUBTOTAL(9,S555:S561))</t>
  </si>
  <si>
    <t>=(SUBTOTAL(9,T555:T561))</t>
  </si>
  <si>
    <t>=SUBTOTAL(9,O555:T561)</t>
  </si>
  <si>
    <t>=NL("Rows","Item Ledger Entry",,"+Posting Date",$L$5,"Item No.","@@"&amp;$D555,"Location Code","@@"&amp;$E$6)</t>
  </si>
  <si>
    <t>=E563</t>
  </si>
  <si>
    <t>=NL("First","Item","Description","No.",$E563)</t>
  </si>
  <si>
    <t>=NL("First","Item","Base Unit of Measure","No.",$E563)</t>
  </si>
  <si>
    <t>=(SUBTOTAL(9,O564:O566))</t>
  </si>
  <si>
    <t>=(SUBTOTAL(9,P564:P566))</t>
  </si>
  <si>
    <t>=(SUBTOTAL(9,Q564:Q566))</t>
  </si>
  <si>
    <t>=(SUBTOTAL(9,R564:R566))</t>
  </si>
  <si>
    <t>=(SUBTOTAL(9,S564:S566))</t>
  </si>
  <si>
    <t>=(SUBTOTAL(9,T564:T566))</t>
  </si>
  <si>
    <t>=SUBTOTAL(9,O564:T566)</t>
  </si>
  <si>
    <t>=NL("Rows","Item Ledger Entry",,"+Posting Date",$L$5,"Item No.","@@"&amp;$D564,"Location Code","@@"&amp;$E$6)</t>
  </si>
  <si>
    <t>=NL("Sum","Item Ledger Entry","Quantity","Entry Type","Purchase","Entry No.",I565,"Location Code","@@"&amp;$E$6)</t>
  </si>
  <si>
    <t>=NL("Sum","Item Ledger Entry","Quantity","Entry Type","Sale","Entry No.",I565,"Location Code","@@"&amp;$E$6)</t>
  </si>
  <si>
    <t>=NL("Sum","Item Ledger Entry","Quantity","Entry Type","Positive Adjmt.|Negative Adjmt.","Entry No.",I565,"Location Code","@@"&amp;$E$6)</t>
  </si>
  <si>
    <t>=NL("Sum","Item Ledger Entry","Quantity","Entry Type","Transfer","Entry No.",I565,"Location Code","@@"&amp;$E$6)</t>
  </si>
  <si>
    <t>=NL("Sum","Item Ledger Entry","Quantity","Entry Type","Consumption","Entry No.",I565,"Location Code","@@"&amp;$E$6)</t>
  </si>
  <si>
    <t>=NL("Sum","Item Ledger Entry","Quantity","Entry Type","Output","Entry No.",I565,"Location Code","@@"&amp;$E$6)</t>
  </si>
  <si>
    <t>=E568</t>
  </si>
  <si>
    <t>=NL("First","Item","Description","No.",$E568)</t>
  </si>
  <si>
    <t>=NL("First","Item","Base Unit of Measure","No.",$E568)</t>
  </si>
  <si>
    <t>=(SUBTOTAL(9,O569:O574))</t>
  </si>
  <si>
    <t>=(SUBTOTAL(9,P569:P574))</t>
  </si>
  <si>
    <t>=(SUBTOTAL(9,Q569:Q574))</t>
  </si>
  <si>
    <t>=(SUBTOTAL(9,R569:R574))</t>
  </si>
  <si>
    <t>=(SUBTOTAL(9,S569:S574))</t>
  </si>
  <si>
    <t>=(SUBTOTAL(9,T569:T574))</t>
  </si>
  <si>
    <t>=SUBTOTAL(9,O569:T574)</t>
  </si>
  <si>
    <t>=NL("Rows","Item Ledger Entry",,"+Posting Date",$L$5,"Item No.","@@"&amp;$D569,"Location Code","@@"&amp;$E$6)</t>
  </si>
  <si>
    <t>=E576</t>
  </si>
  <si>
    <t>=NL("First","Item","Description","No.",$E576)</t>
  </si>
  <si>
    <t>=NL("First","Item","Base Unit of Measure","No.",$E576)</t>
  </si>
  <si>
    <t>=(SUBTOTAL(9,O577:O579))</t>
  </si>
  <si>
    <t>=(SUBTOTAL(9,P577:P579))</t>
  </si>
  <si>
    <t>=(SUBTOTAL(9,Q577:Q579))</t>
  </si>
  <si>
    <t>=(SUBTOTAL(9,R577:R579))</t>
  </si>
  <si>
    <t>=(SUBTOTAL(9,S577:S579))</t>
  </si>
  <si>
    <t>=(SUBTOTAL(9,T577:T579))</t>
  </si>
  <si>
    <t>=SUBTOTAL(9,O577:T579)</t>
  </si>
  <si>
    <t>=NL("Rows","Item Ledger Entry",,"+Posting Date",$L$5,"Item No.","@@"&amp;$D577,"Location Code","@@"&amp;$E$6)</t>
  </si>
  <si>
    <t>=E581</t>
  </si>
  <si>
    <t>=NL("First","Item","Description","No.",$E581)</t>
  </si>
  <si>
    <t>=NL("First","Item","Base Unit of Measure","No.",$E581)</t>
  </si>
  <si>
    <t>=(SUBTOTAL(9,O582:O585))</t>
  </si>
  <si>
    <t>=(SUBTOTAL(9,P582:P585))</t>
  </si>
  <si>
    <t>=(SUBTOTAL(9,Q582:Q585))</t>
  </si>
  <si>
    <t>=(SUBTOTAL(9,R582:R585))</t>
  </si>
  <si>
    <t>=(SUBTOTAL(9,S582:S585))</t>
  </si>
  <si>
    <t>=(SUBTOTAL(9,T582:T585))</t>
  </si>
  <si>
    <t>=SUBTOTAL(9,O582:T585)</t>
  </si>
  <si>
    <t>=NL("Rows","Item Ledger Entry",,"+Posting Date",$L$5,"Item No.","@@"&amp;$D582,"Location Code","@@"&amp;$E$6)</t>
  </si>
  <si>
    <t>=E587</t>
  </si>
  <si>
    <t>=NL("First","Item","Description","No.",$E587)</t>
  </si>
  <si>
    <t>=NL("First","Item","Base Unit of Measure","No.",$E587)</t>
  </si>
  <si>
    <t>=(SUBTOTAL(9,O588:O592))</t>
  </si>
  <si>
    <t>=(SUBTOTAL(9,P588:P592))</t>
  </si>
  <si>
    <t>=(SUBTOTAL(9,Q588:Q592))</t>
  </si>
  <si>
    <t>=(SUBTOTAL(9,R588:R592))</t>
  </si>
  <si>
    <t>=(SUBTOTAL(9,S588:S592))</t>
  </si>
  <si>
    <t>=(SUBTOTAL(9,T588:T592))</t>
  </si>
  <si>
    <t>=SUBTOTAL(9,O588:T592)</t>
  </si>
  <si>
    <t>=NL("Rows","Item Ledger Entry",,"+Posting Date",$L$5,"Item No.","@@"&amp;$D588,"Location Code","@@"&amp;$E$6)</t>
  </si>
  <si>
    <t>=E594</t>
  </si>
  <si>
    <t>=NL("First","Item","Description","No.",$E594)</t>
  </si>
  <si>
    <t>=NL("First","Item","Base Unit of Measure","No.",$E594)</t>
  </si>
  <si>
    <t>=(SUBTOTAL(9,O595:O598))</t>
  </si>
  <si>
    <t>=(SUBTOTAL(9,P595:P598))</t>
  </si>
  <si>
    <t>=(SUBTOTAL(9,Q595:Q598))</t>
  </si>
  <si>
    <t>=(SUBTOTAL(9,R595:R598))</t>
  </si>
  <si>
    <t>=(SUBTOTAL(9,S595:S598))</t>
  </si>
  <si>
    <t>=(SUBTOTAL(9,T595:T598))</t>
  </si>
  <si>
    <t>=SUBTOTAL(9,O595:T598)</t>
  </si>
  <si>
    <t>=NL("Rows","Item Ledger Entry",,"+Posting Date",$L$5,"Item No.","@@"&amp;$D595,"Location Code","@@"&amp;$E$6)</t>
  </si>
  <si>
    <t>=E600</t>
  </si>
  <si>
    <t>=NL("First","Item","Description","No.",$E600)</t>
  </si>
  <si>
    <t>=NL("First","Item","Base Unit of Measure","No.",$E600)</t>
  </si>
  <si>
    <t>=(SUBTOTAL(9,O601:O604))</t>
  </si>
  <si>
    <t>=(SUBTOTAL(9,P601:P604))</t>
  </si>
  <si>
    <t>=(SUBTOTAL(9,Q601:Q604))</t>
  </si>
  <si>
    <t>=(SUBTOTAL(9,R601:R604))</t>
  </si>
  <si>
    <t>=(SUBTOTAL(9,S601:S604))</t>
  </si>
  <si>
    <t>=(SUBTOTAL(9,T601:T604))</t>
  </si>
  <si>
    <t>=SUBTOTAL(9,O601:T604)</t>
  </si>
  <si>
    <t>=NL("Rows","Item Ledger Entry",,"+Posting Date",$L$5,"Item No.","@@"&amp;$D601,"Location Code","@@"&amp;$E$6)</t>
  </si>
  <si>
    <t>=D601</t>
  </si>
  <si>
    <t>=IF($J602="Customer",NL("first",$J602,"Name","No.","@@"&amp;$K602),"")</t>
  </si>
  <si>
    <t>=IF(J602="vendor",NL("first",J602,"Name","No.","@@"&amp;K602),"")</t>
  </si>
  <si>
    <t>=IF($J602="Item",NL("first",$J602,"Description","No.","@@"&amp;$K602),"")</t>
  </si>
  <si>
    <t>=E606</t>
  </si>
  <si>
    <t>=NL("First","Item","Description","No.",$E606)</t>
  </si>
  <si>
    <t>=NL("First","Item","Base Unit of Measure","No.",$E606)</t>
  </si>
  <si>
    <t>=(SUBTOTAL(9,O607:O611))</t>
  </si>
  <si>
    <t>=(SUBTOTAL(9,P607:P611))</t>
  </si>
  <si>
    <t>=(SUBTOTAL(9,Q607:Q611))</t>
  </si>
  <si>
    <t>=(SUBTOTAL(9,R607:R611))</t>
  </si>
  <si>
    <t>=(SUBTOTAL(9,S607:S611))</t>
  </si>
  <si>
    <t>=(SUBTOTAL(9,T607:T611))</t>
  </si>
  <si>
    <t>=SUBTOTAL(9,O607:T611)</t>
  </si>
  <si>
    <t>=NL("Rows","Item Ledger Entry",,"+Posting Date",$L$5,"Item No.","@@"&amp;$D607,"Location Code","@@"&amp;$E$6)</t>
  </si>
  <si>
    <t>=E613</t>
  </si>
  <si>
    <t>=NL("First","Item","Description","No.",$E613)</t>
  </si>
  <si>
    <t>=NL("First","Item","Base Unit of Measure","No.",$E613)</t>
  </si>
  <si>
    <t>=(SUBTOTAL(9,O614:O617))</t>
  </si>
  <si>
    <t>=(SUBTOTAL(9,P614:P617))</t>
  </si>
  <si>
    <t>=(SUBTOTAL(9,Q614:Q617))</t>
  </si>
  <si>
    <t>=(SUBTOTAL(9,R614:R617))</t>
  </si>
  <si>
    <t>=(SUBTOTAL(9,S614:S617))</t>
  </si>
  <si>
    <t>=(SUBTOTAL(9,T614:T617))</t>
  </si>
  <si>
    <t>=SUBTOTAL(9,O614:T617)</t>
  </si>
  <si>
    <t>=NL("Rows","Item Ledger Entry",,"+Posting Date",$L$5,"Item No.","@@"&amp;$D614,"Location Code","@@"&amp;$E$6)</t>
  </si>
  <si>
    <t>=(SUBTOTAL(9,O620:O622))</t>
  </si>
  <si>
    <t>=(SUBTOTAL(9,P620:P622))</t>
  </si>
  <si>
    <t>=(SUBTOTAL(9,Q620:Q622))</t>
  </si>
  <si>
    <t>=(SUBTOTAL(9,R620:R622))</t>
  </si>
  <si>
    <t>=(SUBTOTAL(9,S620:S622))</t>
  </si>
  <si>
    <t>=(SUBTOTAL(9,T620:T622))</t>
  </si>
  <si>
    <t>=SUBTOTAL(9,O620:T622)</t>
  </si>
  <si>
    <t>=E624</t>
  </si>
  <si>
    <t>=NL("First","Item","Description","No.",$E624)</t>
  </si>
  <si>
    <t>=NL("First","Item","Base Unit of Measure","No.",$E624)</t>
  </si>
  <si>
    <t>=(SUBTOTAL(9,O625:O632))</t>
  </si>
  <si>
    <t>=(SUBTOTAL(9,P625:P632))</t>
  </si>
  <si>
    <t>=(SUBTOTAL(9,Q625:Q632))</t>
  </si>
  <si>
    <t>=(SUBTOTAL(9,R625:R632))</t>
  </si>
  <si>
    <t>=(SUBTOTAL(9,S625:S632))</t>
  </si>
  <si>
    <t>=(SUBTOTAL(9,T625:T632))</t>
  </si>
  <si>
    <t>=SUBTOTAL(9,O625:T632)</t>
  </si>
  <si>
    <t>=NL("Rows","Item Ledger Entry",,"+Posting Date",$L$5,"Item No.","@@"&amp;$D625,"Location Code","@@"&amp;$E$6)</t>
  </si>
  <si>
    <t>=D627</t>
  </si>
  <si>
    <t>=IF($J628="Customer",NL("first",$J628,"Name","No.","@@"&amp;$K628),"")</t>
  </si>
  <si>
    <t>=IF(J628="vendor",NL("first",J628,"Name","No.","@@"&amp;K628),"")</t>
  </si>
  <si>
    <t>=IF($J628="Item",NL("first",$J628,"Description","No.","@@"&amp;$K628),"")</t>
  </si>
  <si>
    <t>=D628</t>
  </si>
  <si>
    <t>=IF($J629="Customer",NL("first",$J629,"Name","No.","@@"&amp;$K629),"")</t>
  </si>
  <si>
    <t>=IF(J629="vendor",NL("first",J629,"Name","No.","@@"&amp;K629),"")</t>
  </si>
  <si>
    <t>=IF($J629="Item",NL("first",$J629,"Description","No.","@@"&amp;$K629),"")</t>
  </si>
  <si>
    <t>=(SUBTOTAL(9,O635:O641))</t>
  </si>
  <si>
    <t>=(SUBTOTAL(9,P635:P641))</t>
  </si>
  <si>
    <t>=(SUBTOTAL(9,Q635:Q641))</t>
  </si>
  <si>
    <t>=(SUBTOTAL(9,R635:R641))</t>
  </si>
  <si>
    <t>=(SUBTOTAL(9,S635:S641))</t>
  </si>
  <si>
    <t>=(SUBTOTAL(9,T635:T641))</t>
  </si>
  <si>
    <t>=SUBTOTAL(9,O635:T641)</t>
  </si>
  <si>
    <t>=E643</t>
  </si>
  <si>
    <t>=NL("First","Item","Description","No.",$E643)</t>
  </si>
  <si>
    <t>=NL("First","Item","Base Unit of Measure","No.",$E643)</t>
  </si>
  <si>
    <t>=(SUBTOTAL(9,O644:O648))</t>
  </si>
  <si>
    <t>=(SUBTOTAL(9,P644:P648))</t>
  </si>
  <si>
    <t>=(SUBTOTAL(9,Q644:Q648))</t>
  </si>
  <si>
    <t>=(SUBTOTAL(9,R644:R648))</t>
  </si>
  <si>
    <t>=(SUBTOTAL(9,S644:S648))</t>
  </si>
  <si>
    <t>=(SUBTOTAL(9,T644:T648))</t>
  </si>
  <si>
    <t>=SUBTOTAL(9,O644:T648)</t>
  </si>
  <si>
    <t>=NL("Rows","Item Ledger Entry",,"+Posting Date",$L$5,"Item No.","@@"&amp;$D644,"Location Code","@@"&amp;$E$6)</t>
  </si>
  <si>
    <t>=E650</t>
  </si>
  <si>
    <t>=NL("First","Item","Description","No.",$E650)</t>
  </si>
  <si>
    <t>=NL("First","Item","Base Unit of Measure","No.",$E650)</t>
  </si>
  <si>
    <t>=(SUBTOTAL(9,O651:O657))</t>
  </si>
  <si>
    <t>=(SUBTOTAL(9,P651:P657))</t>
  </si>
  <si>
    <t>=(SUBTOTAL(9,Q651:Q657))</t>
  </si>
  <si>
    <t>=(SUBTOTAL(9,R651:R657))</t>
  </si>
  <si>
    <t>=(SUBTOTAL(9,S651:S657))</t>
  </si>
  <si>
    <t>=(SUBTOTAL(9,T651:T657))</t>
  </si>
  <si>
    <t>=SUBTOTAL(9,O651:T657)</t>
  </si>
  <si>
    <t>=NL("Rows","Item Ledger Entry",,"+Posting Date",$L$5,"Item No.","@@"&amp;$D651,"Location Code","@@"&amp;$E$6)</t>
  </si>
  <si>
    <t>=E659</t>
  </si>
  <si>
    <t>=NL("First","Item","Description","No.",$E659)</t>
  </si>
  <si>
    <t>=NL("First","Item","Base Unit of Measure","No.",$E659)</t>
  </si>
  <si>
    <t>=(SUBTOTAL(9,O660:O667))</t>
  </si>
  <si>
    <t>=(SUBTOTAL(9,P660:P667))</t>
  </si>
  <si>
    <t>=(SUBTOTAL(9,Q660:Q667))</t>
  </si>
  <si>
    <t>=(SUBTOTAL(9,R660:R667))</t>
  </si>
  <si>
    <t>=(SUBTOTAL(9,S660:S667))</t>
  </si>
  <si>
    <t>=(SUBTOTAL(9,T660:T667))</t>
  </si>
  <si>
    <t>=SUBTOTAL(9,O660:T667)</t>
  </si>
  <si>
    <t>=NL("Rows","Item Ledger Entry",,"+Posting Date",$L$5,"Item No.","@@"&amp;$D660,"Location Code","@@"&amp;$E$6)</t>
  </si>
  <si>
    <t>=E669</t>
  </si>
  <si>
    <t>=NL("First","Item","Description","No.",$E669)</t>
  </si>
  <si>
    <t>=NL("First","Item","Base Unit of Measure","No.",$E669)</t>
  </si>
  <si>
    <t>=(SUBTOTAL(9,O670:O678))</t>
  </si>
  <si>
    <t>=(SUBTOTAL(9,P670:P678))</t>
  </si>
  <si>
    <t>=(SUBTOTAL(9,Q670:Q678))</t>
  </si>
  <si>
    <t>=(SUBTOTAL(9,R670:R678))</t>
  </si>
  <si>
    <t>=(SUBTOTAL(9,S670:S678))</t>
  </si>
  <si>
    <t>=(SUBTOTAL(9,T670:T678))</t>
  </si>
  <si>
    <t>=SUBTOTAL(9,O670:T678)</t>
  </si>
  <si>
    <t>=NL("Rows","Item Ledger Entry",,"+Posting Date",$L$5,"Item No.","@@"&amp;$D670,"Location Code","@@"&amp;$E$6)</t>
  </si>
  <si>
    <t>=E680</t>
  </si>
  <si>
    <t>=NL("First","Item","Description","No.",$E680)</t>
  </si>
  <si>
    <t>=NL("First","Item","Base Unit of Measure","No.",$E680)</t>
  </si>
  <si>
    <t>=(SUBTOTAL(9,O681:O687))</t>
  </si>
  <si>
    <t>=(SUBTOTAL(9,P681:P687))</t>
  </si>
  <si>
    <t>=(SUBTOTAL(9,Q681:Q687))</t>
  </si>
  <si>
    <t>=(SUBTOTAL(9,R681:R687))</t>
  </si>
  <si>
    <t>=(SUBTOTAL(9,S681:S687))</t>
  </si>
  <si>
    <t>=(SUBTOTAL(9,T681:T687))</t>
  </si>
  <si>
    <t>=SUBTOTAL(9,O681:T687)</t>
  </si>
  <si>
    <t>=D680</t>
  </si>
  <si>
    <t>=NL("Rows","Item Ledger Entry",,"+Posting Date",$L$5,"Item No.","@@"&amp;$D681,"Location Code","@@"&amp;$E$6)</t>
  </si>
  <si>
    <t>=IF($J681="Customer",NL("first",$J681,"Name","No.","@@"&amp;$K681),"")</t>
  </si>
  <si>
    <t>=IF(J681="vendor",NL("first",J681,"Name","No.","@@"&amp;K681),"")</t>
  </si>
  <si>
    <t>=IF($J681="Item",NL("first",$J681,"Description","No.","@@"&amp;$K681),"")</t>
  </si>
  <si>
    <t>=D681</t>
  </si>
  <si>
    <t>=IF($J682="Customer",NL("first",$J682,"Name","No.","@@"&amp;$K682),"")</t>
  </si>
  <si>
    <t>=IF(J682="vendor",NL("first",J682,"Name","No.","@@"&amp;K682),"")</t>
  </si>
  <si>
    <t>=IF($J682="Item",NL("first",$J682,"Description","No.","@@"&amp;$K682),"")</t>
  </si>
  <si>
    <t>=E689</t>
  </si>
  <si>
    <t>=NL("First","Item","Description","No.",$E689)</t>
  </si>
  <si>
    <t>=NL("First","Item","Base Unit of Measure","No.",$E689)</t>
  </si>
  <si>
    <t>=(SUBTOTAL(9,O690:O696))</t>
  </si>
  <si>
    <t>=(SUBTOTAL(9,P690:P696))</t>
  </si>
  <si>
    <t>=(SUBTOTAL(9,Q690:Q696))</t>
  </si>
  <si>
    <t>=(SUBTOTAL(9,R690:R696))</t>
  </si>
  <si>
    <t>=(SUBTOTAL(9,S690:S696))</t>
  </si>
  <si>
    <t>=(SUBTOTAL(9,T690:T696))</t>
  </si>
  <si>
    <t>=SUBTOTAL(9,O690:T696)</t>
  </si>
  <si>
    <t>=NL("Rows","Item Ledger Entry",,"+Posting Date",$L$5,"Item No.","@@"&amp;$D690,"Location Code","@@"&amp;$E$6)</t>
  </si>
  <si>
    <t>=E698</t>
  </si>
  <si>
    <t>=NL("First","Item","Description","No.",$E698)</t>
  </si>
  <si>
    <t>=NL("First","Item","Base Unit of Measure","No.",$E698)</t>
  </si>
  <si>
    <t>=(SUBTOTAL(9,O699:O708))</t>
  </si>
  <si>
    <t>=(SUBTOTAL(9,P699:P708))</t>
  </si>
  <si>
    <t>=(SUBTOTAL(9,Q699:Q708))</t>
  </si>
  <si>
    <t>=(SUBTOTAL(9,R699:R708))</t>
  </si>
  <si>
    <t>=(SUBTOTAL(9,S699:S708))</t>
  </si>
  <si>
    <t>=(SUBTOTAL(9,T699:T708))</t>
  </si>
  <si>
    <t>=SUBTOTAL(9,O699:T708)</t>
  </si>
  <si>
    <t>=NL("Rows","Item Ledger Entry",,"+Posting Date",$L$5,"Item No.","@@"&amp;$D699,"Location Code","@@"&amp;$E$6)</t>
  </si>
  <si>
    <t>=E710</t>
  </si>
  <si>
    <t>=NL("First","Item","Description","No.",$E710)</t>
  </si>
  <si>
    <t>=NL("First","Item","Base Unit of Measure","No.",$E710)</t>
  </si>
  <si>
    <t>=(SUBTOTAL(9,O711:O713))</t>
  </si>
  <si>
    <t>=(SUBTOTAL(9,P711:P713))</t>
  </si>
  <si>
    <t>=(SUBTOTAL(9,Q711:Q713))</t>
  </si>
  <si>
    <t>=(SUBTOTAL(9,R711:R713))</t>
  </si>
  <si>
    <t>=(SUBTOTAL(9,S711:S713))</t>
  </si>
  <si>
    <t>=(SUBTOTAL(9,T711:T713))</t>
  </si>
  <si>
    <t>=SUBTOTAL(9,O711:T713)</t>
  </si>
  <si>
    <t>=NL("Rows","Item Ledger Entry",,"+Posting Date",$L$5,"Item No.","@@"&amp;$D711,"Location Code","@@"&amp;$E$6)</t>
  </si>
  <si>
    <t>=NL("Sum","Item Ledger Entry","Quantity","Entry Type","Purchase","Entry No.",I711,"Location Code","@@"&amp;$E$6)</t>
  </si>
  <si>
    <t>=NL("Sum","Item Ledger Entry","Quantity","Entry Type","Sale","Entry No.",I711,"Location Code","@@"&amp;$E$6)</t>
  </si>
  <si>
    <t>=NL("Sum","Item Ledger Entry","Quantity","Entry Type","Positive Adjmt.|Negative Adjmt.","Entry No.",I711,"Location Code","@@"&amp;$E$6)</t>
  </si>
  <si>
    <t>=NL("Sum","Item Ledger Entry","Quantity","Entry Type","Transfer","Entry No.",I711,"Location Code","@@"&amp;$E$6)</t>
  </si>
  <si>
    <t>=NL("Sum","Item Ledger Entry","Quantity","Entry Type","Consumption","Entry No.",I711,"Location Code","@@"&amp;$E$6)</t>
  </si>
  <si>
    <t>=NL("Sum","Item Ledger Entry","Quantity","Entry Type","Output","Entry No.",I711,"Location Code","@@"&amp;$E$6)</t>
  </si>
  <si>
    <t>=NL("Sum","Item Ledger Entry","Quantity","Entry Type","Purchase","Entry No.",I712,"Location Code","@@"&amp;$E$6)</t>
  </si>
  <si>
    <t>=NL("Sum","Item Ledger Entry","Quantity","Entry Type","Sale","Entry No.",I712,"Location Code","@@"&amp;$E$6)</t>
  </si>
  <si>
    <t>=NL("Sum","Item Ledger Entry","Quantity","Entry Type","Positive Adjmt.|Negative Adjmt.","Entry No.",I712,"Location Code","@@"&amp;$E$6)</t>
  </si>
  <si>
    <t>=NL("Sum","Item Ledger Entry","Quantity","Entry Type","Transfer","Entry No.",I712,"Location Code","@@"&amp;$E$6)</t>
  </si>
  <si>
    <t>=NL("Sum","Item Ledger Entry","Quantity","Entry Type","Consumption","Entry No.",I712,"Location Code","@@"&amp;$E$6)</t>
  </si>
  <si>
    <t>=NL("Sum","Item Ledger Entry","Quantity","Entry Type","Output","Entry No.",I712,"Location Code","@@"&amp;$E$6)</t>
  </si>
  <si>
    <t>=E715</t>
  </si>
  <si>
    <t>=NL("First","Item","Description","No.",$E715)</t>
  </si>
  <si>
    <t>=NL("First","Item","Base Unit of Measure","No.",$E715)</t>
  </si>
  <si>
    <t>=(SUBTOTAL(9,O716:O719))</t>
  </si>
  <si>
    <t>=(SUBTOTAL(9,P716:P719))</t>
  </si>
  <si>
    <t>=(SUBTOTAL(9,Q716:Q719))</t>
  </si>
  <si>
    <t>=(SUBTOTAL(9,R716:R719))</t>
  </si>
  <si>
    <t>=(SUBTOTAL(9,S716:S719))</t>
  </si>
  <si>
    <t>=(SUBTOTAL(9,T716:T719))</t>
  </si>
  <si>
    <t>=SUBTOTAL(9,O716:T719)</t>
  </si>
  <si>
    <t>=NL("Rows","Item Ledger Entry",,"+Posting Date",$L$5,"Item No.","@@"&amp;$D716,"Location Code","@@"&amp;$E$6)</t>
  </si>
  <si>
    <t>=D716</t>
  </si>
  <si>
    <t>=IF($J717="Customer",NL("first",$J717,"Name","No.","@@"&amp;$K717),"")</t>
  </si>
  <si>
    <t>=IF(J717="vendor",NL("first",J717,"Name","No.","@@"&amp;K717),"")</t>
  </si>
  <si>
    <t>=IF($J717="Item",NL("first",$J717,"Description","No.","@@"&amp;$K717),"")</t>
  </si>
  <si>
    <t>=D717</t>
  </si>
  <si>
    <t>=IF($J718="Customer",NL("first",$J718,"Name","No.","@@"&amp;$K718),"")</t>
  </si>
  <si>
    <t>=IF(J718="vendor",NL("first",J718,"Name","No.","@@"&amp;K718),"")</t>
  </si>
  <si>
    <t>=IF($J718="Item",NL("first",$J718,"Description","No.","@@"&amp;$K718),"")</t>
  </si>
  <si>
    <t>=E721</t>
  </si>
  <si>
    <t>=NL("First","Item","Description","No.",$E721)</t>
  </si>
  <si>
    <t>=NL("First","Item","Base Unit of Measure","No.",$E721)</t>
  </si>
  <si>
    <t>=(SUBTOTAL(9,O722:O728))</t>
  </si>
  <si>
    <t>=(SUBTOTAL(9,P722:P728))</t>
  </si>
  <si>
    <t>=(SUBTOTAL(9,Q722:Q728))</t>
  </si>
  <si>
    <t>=(SUBTOTAL(9,R722:R728))</t>
  </si>
  <si>
    <t>=(SUBTOTAL(9,S722:S728))</t>
  </si>
  <si>
    <t>=(SUBTOTAL(9,T722:T728))</t>
  </si>
  <si>
    <t>=SUBTOTAL(9,O722:T728)</t>
  </si>
  <si>
    <t>=NL("Rows","Item Ledger Entry",,"+Posting Date",$L$5,"Item No.","@@"&amp;$D722,"Location Code","@@"&amp;$E$6)</t>
  </si>
  <si>
    <t>=D724</t>
  </si>
  <si>
    <t>=IF($J725="Customer",NL("first",$J725,"Name","No.","@@"&amp;$K725),"")</t>
  </si>
  <si>
    <t>=IF(J725="vendor",NL("first",J725,"Name","No.","@@"&amp;K725),"")</t>
  </si>
  <si>
    <t>=IF($J725="Item",NL("first",$J725,"Description","No.","@@"&amp;$K725),"")</t>
  </si>
  <si>
    <t>=D725</t>
  </si>
  <si>
    <t>=IF($J726="Customer",NL("first",$J726,"Name","No.","@@"&amp;$K726),"")</t>
  </si>
  <si>
    <t>=IF(J726="vendor",NL("first",J726,"Name","No.","@@"&amp;K726),"")</t>
  </si>
  <si>
    <t>=IF($J726="Item",NL("first",$J726,"Description","No.","@@"&amp;$K726),"")</t>
  </si>
  <si>
    <t>=D726</t>
  </si>
  <si>
    <t>=IF($J727="Customer",NL("first",$J727,"Name","No.","@@"&amp;$K727),"")</t>
  </si>
  <si>
    <t>=IF(J727="vendor",NL("first",J727,"Name","No.","@@"&amp;K727),"")</t>
  </si>
  <si>
    <t>=IF($J727="Item",NL("first",$J727,"Description","No.","@@"&amp;$K727),"")</t>
  </si>
  <si>
    <t>=E730</t>
  </si>
  <si>
    <t>=NL("First","Item","Description","No.",$E730)</t>
  </si>
  <si>
    <t>=NL("First","Item","Base Unit of Measure","No.",$E730)</t>
  </si>
  <si>
    <t>=(SUBTOTAL(9,O731:O736))</t>
  </si>
  <si>
    <t>=(SUBTOTAL(9,P731:P736))</t>
  </si>
  <si>
    <t>=(SUBTOTAL(9,Q731:Q736))</t>
  </si>
  <si>
    <t>=(SUBTOTAL(9,R731:R736))</t>
  </si>
  <si>
    <t>=(SUBTOTAL(9,S731:S736))</t>
  </si>
  <si>
    <t>=(SUBTOTAL(9,T731:T736))</t>
  </si>
  <si>
    <t>=SUBTOTAL(9,O731:T736)</t>
  </si>
  <si>
    <t>=NL("Rows","Item Ledger Entry",,"+Posting Date",$L$5,"Item No.","@@"&amp;$D731,"Location Code","@@"&amp;$E$6)</t>
  </si>
  <si>
    <t>=D732</t>
  </si>
  <si>
    <t>=IF($J733="Customer",NL("first",$J733,"Name","No.","@@"&amp;$K733),"")</t>
  </si>
  <si>
    <t>=IF(J733="vendor",NL("first",J733,"Name","No.","@@"&amp;K733),"")</t>
  </si>
  <si>
    <t>=IF($J733="Item",NL("first",$J733,"Description","No.","@@"&amp;$K733),"")</t>
  </si>
  <si>
    <t>=E738</t>
  </si>
  <si>
    <t>=NL("First","Item","Description","No.",$E738)</t>
  </si>
  <si>
    <t>=NL("First","Item","Base Unit of Measure","No.",$E738)</t>
  </si>
  <si>
    <t>=(SUBTOTAL(9,O739:O745))</t>
  </si>
  <si>
    <t>=(SUBTOTAL(9,P739:P745))</t>
  </si>
  <si>
    <t>=(SUBTOTAL(9,Q739:Q745))</t>
  </si>
  <si>
    <t>=(SUBTOTAL(9,R739:R745))</t>
  </si>
  <si>
    <t>=(SUBTOTAL(9,S739:S745))</t>
  </si>
  <si>
    <t>=(SUBTOTAL(9,T739:T745))</t>
  </si>
  <si>
    <t>=SUBTOTAL(9,O739:T745)</t>
  </si>
  <si>
    <t>=NL("Rows","Item Ledger Entry",,"+Posting Date",$L$5,"Item No.","@@"&amp;$D739,"Location Code","@@"&amp;$E$6)</t>
  </si>
  <si>
    <t>=D740</t>
  </si>
  <si>
    <t>=IF($J741="Customer",NL("first",$J741,"Name","No.","@@"&amp;$K741),"")</t>
  </si>
  <si>
    <t>=IF(J741="vendor",NL("first",J741,"Name","No.","@@"&amp;K741),"")</t>
  </si>
  <si>
    <t>=IF($J741="Item",NL("first",$J741,"Description","No.","@@"&amp;$K741),"")</t>
  </si>
  <si>
    <t>=D741</t>
  </si>
  <si>
    <t>=IF($J742="Customer",NL("first",$J742,"Name","No.","@@"&amp;$K742),"")</t>
  </si>
  <si>
    <t>=IF(J742="vendor",NL("first",J742,"Name","No.","@@"&amp;K742),"")</t>
  </si>
  <si>
    <t>=IF($J742="Item",NL("first",$J742,"Description","No.","@@"&amp;$K742),"")</t>
  </si>
  <si>
    <t>=D742</t>
  </si>
  <si>
    <t>=IF($J743="Customer",NL("first",$J743,"Name","No.","@@"&amp;$K743),"")</t>
  </si>
  <si>
    <t>=IF(J743="vendor",NL("first",J743,"Name","No.","@@"&amp;K743),"")</t>
  </si>
  <si>
    <t>=IF($J743="Item",NL("first",$J743,"Description","No.","@@"&amp;$K743),"")</t>
  </si>
  <si>
    <t>=(SUBTOTAL(9,O748:O752))</t>
  </si>
  <si>
    <t>=(SUBTOTAL(9,P748:P752))</t>
  </si>
  <si>
    <t>=(SUBTOTAL(9,Q748:Q752))</t>
  </si>
  <si>
    <t>=(SUBTOTAL(9,R748:R752))</t>
  </si>
  <si>
    <t>=(SUBTOTAL(9,S748:S752))</t>
  </si>
  <si>
    <t>=(SUBTOTAL(9,T748:T752))</t>
  </si>
  <si>
    <t>=SUBTOTAL(9,O748:T752)</t>
  </si>
  <si>
    <t>=NL("Rows","Item Ledger Entry",,"+Posting Date",$L$5,"Item No.","@@"&amp;$D748,"Location Code","@@"&amp;$E$6)</t>
  </si>
  <si>
    <t>=E754</t>
  </si>
  <si>
    <t>=NL("First","Item","Description","No.",$E754)</t>
  </si>
  <si>
    <t>=NL("First","Item","Base Unit of Measure","No.",$E754)</t>
  </si>
  <si>
    <t>=(SUBTOTAL(9,O755:O759))</t>
  </si>
  <si>
    <t>=(SUBTOTAL(9,P755:P759))</t>
  </si>
  <si>
    <t>=(SUBTOTAL(9,Q755:Q759))</t>
  </si>
  <si>
    <t>=(SUBTOTAL(9,R755:R759))</t>
  </si>
  <si>
    <t>=(SUBTOTAL(9,S755:S759))</t>
  </si>
  <si>
    <t>=(SUBTOTAL(9,T755:T759))</t>
  </si>
  <si>
    <t>=SUBTOTAL(9,O755:T759)</t>
  </si>
  <si>
    <t>=NL("Rows","Item Ledger Entry",,"+Posting Date",$L$5,"Item No.","@@"&amp;$D755,"Location Code","@@"&amp;$E$6)</t>
  </si>
  <si>
    <t>=(SUBTOTAL(9,O762:O768))</t>
  </si>
  <si>
    <t>=(SUBTOTAL(9,P762:P768))</t>
  </si>
  <si>
    <t>=(SUBTOTAL(9,Q762:Q768))</t>
  </si>
  <si>
    <t>=(SUBTOTAL(9,R762:R768))</t>
  </si>
  <si>
    <t>=(SUBTOTAL(9,S762:S768))</t>
  </si>
  <si>
    <t>=(SUBTOTAL(9,T762:T768))</t>
  </si>
  <si>
    <t>=SUBTOTAL(9,O762:T768)</t>
  </si>
  <si>
    <t>=NL("Rows","Item Ledger Entry",,"+Posting Date",$L$5,"Item No.","@@"&amp;$D762,"Location Code","@@"&amp;$E$6)</t>
  </si>
  <si>
    <t>=E770</t>
  </si>
  <si>
    <t>=NL("First","Item","Description","No.",$E770)</t>
  </si>
  <si>
    <t>=NL("First","Item","Base Unit of Measure","No.",$E770)</t>
  </si>
  <si>
    <t>=(SUBTOTAL(9,O771:O779))</t>
  </si>
  <si>
    <t>=(SUBTOTAL(9,P771:P779))</t>
  </si>
  <si>
    <t>=(SUBTOTAL(9,Q771:Q779))</t>
  </si>
  <si>
    <t>=(SUBTOTAL(9,R771:R779))</t>
  </si>
  <si>
    <t>=(SUBTOTAL(9,S771:S779))</t>
  </si>
  <si>
    <t>=(SUBTOTAL(9,T771:T779))</t>
  </si>
  <si>
    <t>=SUBTOTAL(9,O771:T779)</t>
  </si>
  <si>
    <t>=NL("Rows","Item Ledger Entry",,"+Posting Date",$L$5,"Item No.","@@"&amp;$D771,"Location Code","@@"&amp;$E$6)</t>
  </si>
  <si>
    <t>=E781</t>
  </si>
  <si>
    <t>=NL("First","Item","Description","No.",$E781)</t>
  </si>
  <si>
    <t>=NL("First","Item","Base Unit of Measure","No.",$E781)</t>
  </si>
  <si>
    <t>=(SUBTOTAL(9,O782:O793))</t>
  </si>
  <si>
    <t>=(SUBTOTAL(9,P782:P793))</t>
  </si>
  <si>
    <t>=(SUBTOTAL(9,Q782:Q793))</t>
  </si>
  <si>
    <t>=(SUBTOTAL(9,R782:R793))</t>
  </si>
  <si>
    <t>=(SUBTOTAL(9,S782:S793))</t>
  </si>
  <si>
    <t>=(SUBTOTAL(9,T782:T793))</t>
  </si>
  <si>
    <t>=SUBTOTAL(9,O782:T793)</t>
  </si>
  <si>
    <t>=NL("Rows","Item Ledger Entry",,"+Posting Date",$L$5,"Item No.","@@"&amp;$D782,"Location Code","@@"&amp;$E$6)</t>
  </si>
  <si>
    <t>=E795</t>
  </si>
  <si>
    <t>=NL("First","Item","Description","No.",$E795)</t>
  </si>
  <si>
    <t>=NL("First","Item","Base Unit of Measure","No.",$E795)</t>
  </si>
  <si>
    <t>=(SUBTOTAL(9,O796:O798))</t>
  </si>
  <si>
    <t>=(SUBTOTAL(9,P796:P798))</t>
  </si>
  <si>
    <t>=(SUBTOTAL(9,Q796:Q798))</t>
  </si>
  <si>
    <t>=(SUBTOTAL(9,R796:R798))</t>
  </si>
  <si>
    <t>=(SUBTOTAL(9,S796:S798))</t>
  </si>
  <si>
    <t>=(SUBTOTAL(9,T796:T798))</t>
  </si>
  <si>
    <t>=SUBTOTAL(9,O796:T798)</t>
  </si>
  <si>
    <t>=D795</t>
  </si>
  <si>
    <t>=NL("Rows","Item Ledger Entry",,"+Posting Date",$L$5,"Item No.","@@"&amp;$D796,"Location Code","@@"&amp;$E$6)</t>
  </si>
  <si>
    <t>=NF($G796,"Posting Date")</t>
  </si>
  <si>
    <t>=NF($G796,"Entry No.")</t>
  </si>
  <si>
    <t>=NF(G796,"Source Type")</t>
  </si>
  <si>
    <t>=NF($G796,"Source No.")</t>
  </si>
  <si>
    <t>=IF($J796="Customer",NL("first",$J796,"Name","No.","@@"&amp;$K796),"")</t>
  </si>
  <si>
    <t>=IF(J796="vendor",NL("first",J796,"Name","No.","@@"&amp;K796),"")</t>
  </si>
  <si>
    <t>=IF($J796="Item",NL("first",$J796,"Description","No.","@@"&amp;$K796),"")</t>
  </si>
  <si>
    <t>=NL("Sum","Item Ledger Entry","Quantity","Entry Type","Purchase","Entry No.",I796,"Location Code","@@"&amp;$E$6)</t>
  </si>
  <si>
    <t>=NL("Sum","Item Ledger Entry","Quantity","Entry Type","Sale","Entry No.",I796,"Location Code","@@"&amp;$E$6)</t>
  </si>
  <si>
    <t>=NL("Sum","Item Ledger Entry","Quantity","Entry Type","Positive Adjmt.|Negative Adjmt.","Entry No.",I796,"Location Code","@@"&amp;$E$6)</t>
  </si>
  <si>
    <t>=NL("Sum","Item Ledger Entry","Quantity","Entry Type","Transfer","Entry No.",I796,"Location Code","@@"&amp;$E$6)</t>
  </si>
  <si>
    <t>=NL("Sum","Item Ledger Entry","Quantity","Entry Type","Consumption","Entry No.",I796,"Location Code","@@"&amp;$E$6)</t>
  </si>
  <si>
    <t>=NL("Sum","Item Ledger Entry","Quantity","Entry Type","Output","Entry No.",I796,"Location Code","@@"&amp;$E$6)</t>
  </si>
  <si>
    <t>=NL("Sum","Item Ledger Entry","Quantity","Entry Type","Purchase","Entry No.",I797,"Location Code","@@"&amp;$E$6)</t>
  </si>
  <si>
    <t>=NL("Sum","Item Ledger Entry","Quantity","Entry Type","Sale","Entry No.",I797,"Location Code","@@"&amp;$E$6)</t>
  </si>
  <si>
    <t>=NL("Sum","Item Ledger Entry","Quantity","Entry Type","Positive Adjmt.|Negative Adjmt.","Entry No.",I797,"Location Code","@@"&amp;$E$6)</t>
  </si>
  <si>
    <t>=NL("Sum","Item Ledger Entry","Quantity","Entry Type","Transfer","Entry No.",I797,"Location Code","@@"&amp;$E$6)</t>
  </si>
  <si>
    <t>=NL("Sum","Item Ledger Entry","Quantity","Entry Type","Consumption","Entry No.",I797,"Location Code","@@"&amp;$E$6)</t>
  </si>
  <si>
    <t>=NL("Sum","Item Ledger Entry","Quantity","Entry Type","Output","Entry No.",I797,"Location Code","@@"&amp;$E$6)</t>
  </si>
  <si>
    <t>=E800</t>
  </si>
  <si>
    <t>=NL("First","Item","Description","No.",$E800)</t>
  </si>
  <si>
    <t>=NL("First","Item","Base Unit of Measure","No.",$E800)</t>
  </si>
  <si>
    <t>=(SUBTOTAL(9,O801:O804))</t>
  </si>
  <si>
    <t>=(SUBTOTAL(9,P801:P804))</t>
  </si>
  <si>
    <t>=(SUBTOTAL(9,Q801:Q804))</t>
  </si>
  <si>
    <t>=(SUBTOTAL(9,R801:R804))</t>
  </si>
  <si>
    <t>=(SUBTOTAL(9,S801:S804))</t>
  </si>
  <si>
    <t>=(SUBTOTAL(9,T801:T804))</t>
  </si>
  <si>
    <t>=SUBTOTAL(9,O801:T804)</t>
  </si>
  <si>
    <t>=NL("Rows","Item Ledger Entry",,"+Posting Date",$L$5,"Item No.","@@"&amp;$D801,"Location Code","@@"&amp;$E$6)</t>
  </si>
  <si>
    <t>=(SUBTOTAL(9,O807:O809))</t>
  </si>
  <si>
    <t>=(SUBTOTAL(9,P807:P809))</t>
  </si>
  <si>
    <t>=(SUBTOTAL(9,Q807:Q809))</t>
  </si>
  <si>
    <t>=(SUBTOTAL(9,R807:R809))</t>
  </si>
  <si>
    <t>=(SUBTOTAL(9,S807:S809))</t>
  </si>
  <si>
    <t>=(SUBTOTAL(9,T807:T809))</t>
  </si>
  <si>
    <t>=SUBTOTAL(9,O807:T809)</t>
  </si>
  <si>
    <t>=NL("Rows","Item Ledger Entry",,"+Posting Date",$L$5,"Item No.","@@"&amp;$D807,"Location Code","@@"&amp;$E$6)</t>
  </si>
  <si>
    <t>=NL("Sum","Item Ledger Entry","Quantity","Entry Type","Purchase","Entry No.",I807,"Location Code","@@"&amp;$E$6)</t>
  </si>
  <si>
    <t>=NL("Sum","Item Ledger Entry","Quantity","Entry Type","Sale","Entry No.",I807,"Location Code","@@"&amp;$E$6)</t>
  </si>
  <si>
    <t>=NL("Sum","Item Ledger Entry","Quantity","Entry Type","Positive Adjmt.|Negative Adjmt.","Entry No.",I807,"Location Code","@@"&amp;$E$6)</t>
  </si>
  <si>
    <t>=NL("Sum","Item Ledger Entry","Quantity","Entry Type","Transfer","Entry No.",I807,"Location Code","@@"&amp;$E$6)</t>
  </si>
  <si>
    <t>=NL("Sum","Item Ledger Entry","Quantity","Entry Type","Consumption","Entry No.",I807,"Location Code","@@"&amp;$E$6)</t>
  </si>
  <si>
    <t>=NL("Sum","Item Ledger Entry","Quantity","Entry Type","Output","Entry No.",I807,"Location Code","@@"&amp;$E$6)</t>
  </si>
  <si>
    <t>=NL("Sum","Item Ledger Entry","Quantity","Entry Type","Purchase","Entry No.",I808,"Location Code","@@"&amp;$E$6)</t>
  </si>
  <si>
    <t>=NL("Sum","Item Ledger Entry","Quantity","Entry Type","Sale","Entry No.",I808,"Location Code","@@"&amp;$E$6)</t>
  </si>
  <si>
    <t>=NL("Sum","Item Ledger Entry","Quantity","Entry Type","Positive Adjmt.|Negative Adjmt.","Entry No.",I808,"Location Code","@@"&amp;$E$6)</t>
  </si>
  <si>
    <t>=NL("Sum","Item Ledger Entry","Quantity","Entry Type","Transfer","Entry No.",I808,"Location Code","@@"&amp;$E$6)</t>
  </si>
  <si>
    <t>=NL("Sum","Item Ledger Entry","Quantity","Entry Type","Consumption","Entry No.",I808,"Location Code","@@"&amp;$E$6)</t>
  </si>
  <si>
    <t>=NL("Sum","Item Ledger Entry","Quantity","Entry Type","Output","Entry No.",I808,"Location Code","@@"&amp;$E$6)</t>
  </si>
  <si>
    <t>=E811</t>
  </si>
  <si>
    <t>=NL("First","Item","Description","No.",$E811)</t>
  </si>
  <si>
    <t>=NL("First","Item","Base Unit of Measure","No.",$E811)</t>
  </si>
  <si>
    <t>=(SUBTOTAL(9,O812:O817))</t>
  </si>
  <si>
    <t>=(SUBTOTAL(9,P812:P817))</t>
  </si>
  <si>
    <t>=(SUBTOTAL(9,Q812:Q817))</t>
  </si>
  <si>
    <t>=(SUBTOTAL(9,R812:R817))</t>
  </si>
  <si>
    <t>=(SUBTOTAL(9,S812:S817))</t>
  </si>
  <si>
    <t>=(SUBTOTAL(9,T812:T817))</t>
  </si>
  <si>
    <t>=SUBTOTAL(9,O812:T817)</t>
  </si>
  <si>
    <t>=NL("Rows","Item Ledger Entry",,"+Posting Date",$L$5,"Item No.","@@"&amp;$D812,"Location Code","@@"&amp;$E$6)</t>
  </si>
  <si>
    <t>=D815</t>
  </si>
  <si>
    <t>=IF($J816="Customer",NL("first",$J816,"Name","No.","@@"&amp;$K816),"")</t>
  </si>
  <si>
    <t>=IF(J816="vendor",NL("first",J816,"Name","No.","@@"&amp;K816),"")</t>
  </si>
  <si>
    <t>=IF($J816="Item",NL("first",$J816,"Description","No.","@@"&amp;$K816),"")</t>
  </si>
  <si>
    <t>=E819</t>
  </si>
  <si>
    <t>=NL("First","Item","Description","No.",$E819)</t>
  </si>
  <si>
    <t>=NL("First","Item","Base Unit of Measure","No.",$E819)</t>
  </si>
  <si>
    <t>=(SUBTOTAL(9,O820:O821))</t>
  </si>
  <si>
    <t>=(SUBTOTAL(9,P820:P821))</t>
  </si>
  <si>
    <t>=(SUBTOTAL(9,Q820:Q821))</t>
  </si>
  <si>
    <t>=(SUBTOTAL(9,R820:R821))</t>
  </si>
  <si>
    <t>=(SUBTOTAL(9,S820:S821))</t>
  </si>
  <si>
    <t>=(SUBTOTAL(9,T820:T821))</t>
  </si>
  <si>
    <t>=SUBTOTAL(9,O820:T821)</t>
  </si>
  <si>
    <t>=NL("Rows","Item Ledger Entry",,"+Posting Date",$L$5,"Item No.","@@"&amp;$D820,"Location Code","@@"&amp;$E$6)</t>
  </si>
  <si>
    <t>=NL("Sum","Item Ledger Entry","Quantity","Entry Type","Purchase","Entry No.",I820,"Location Code","@@"&amp;$E$6)</t>
  </si>
  <si>
    <t>=NL("Sum","Item Ledger Entry","Quantity","Entry Type","Sale","Entry No.",I820,"Location Code","@@"&amp;$E$6)</t>
  </si>
  <si>
    <t>=NL("Sum","Item Ledger Entry","Quantity","Entry Type","Positive Adjmt.|Negative Adjmt.","Entry No.",I820,"Location Code","@@"&amp;$E$6)</t>
  </si>
  <si>
    <t>=NL("Sum","Item Ledger Entry","Quantity","Entry Type","Transfer","Entry No.",I820,"Location Code","@@"&amp;$E$6)</t>
  </si>
  <si>
    <t>=NL("Sum","Item Ledger Entry","Quantity","Entry Type","Consumption","Entry No.",I820,"Location Code","@@"&amp;$E$6)</t>
  </si>
  <si>
    <t>=NL("Sum","Item Ledger Entry","Quantity","Entry Type","Output","Entry No.",I820,"Location Code","@@"&amp;$E$6)</t>
  </si>
  <si>
    <t>=E823</t>
  </si>
  <si>
    <t>=NL("First","Item","Description","No.",$E823)</t>
  </si>
  <si>
    <t>=NL("First","Item","Base Unit of Measure","No.",$E823)</t>
  </si>
  <si>
    <t>=(SUBTOTAL(9,O824:O825))</t>
  </si>
  <si>
    <t>=(SUBTOTAL(9,P824:P825))</t>
  </si>
  <si>
    <t>=(SUBTOTAL(9,Q824:Q825))</t>
  </si>
  <si>
    <t>=(SUBTOTAL(9,R824:R825))</t>
  </si>
  <si>
    <t>=(SUBTOTAL(9,S824:S825))</t>
  </si>
  <si>
    <t>=(SUBTOTAL(9,T824:T825))</t>
  </si>
  <si>
    <t>=SUBTOTAL(9,O824:T825)</t>
  </si>
  <si>
    <t>=NL("Rows","Item Ledger Entry",,"+Posting Date",$L$5,"Item No.","@@"&amp;$D824,"Location Code","@@"&amp;$E$6)</t>
  </si>
  <si>
    <t>=NL("Sum","Item Ledger Entry","Quantity","Entry Type","Purchase","Entry No.",I824,"Location Code","@@"&amp;$E$6)</t>
  </si>
  <si>
    <t>=NL("Sum","Item Ledger Entry","Quantity","Entry Type","Sale","Entry No.",I824,"Location Code","@@"&amp;$E$6)</t>
  </si>
  <si>
    <t>=NL("Sum","Item Ledger Entry","Quantity","Entry Type","Positive Adjmt.|Negative Adjmt.","Entry No.",I824,"Location Code","@@"&amp;$E$6)</t>
  </si>
  <si>
    <t>=NL("Sum","Item Ledger Entry","Quantity","Entry Type","Transfer","Entry No.",I824,"Location Code","@@"&amp;$E$6)</t>
  </si>
  <si>
    <t>=NL("Sum","Item Ledger Entry","Quantity","Entry Type","Consumption","Entry No.",I824,"Location Code","@@"&amp;$E$6)</t>
  </si>
  <si>
    <t>=NL("Sum","Item Ledger Entry","Quantity","Entry Type","Output","Entry No.",I824,"Location Code","@@"&amp;$E$6)</t>
  </si>
  <si>
    <t>=E827</t>
  </si>
  <si>
    <t>=NL("First","Item","Description","No.",$E827)</t>
  </si>
  <si>
    <t>=NL("First","Item","Base Unit of Measure","No.",$E827)</t>
  </si>
  <si>
    <t>=(SUBTOTAL(9,O828:O829))</t>
  </si>
  <si>
    <t>=(SUBTOTAL(9,P828:P829))</t>
  </si>
  <si>
    <t>=(SUBTOTAL(9,Q828:Q829))</t>
  </si>
  <si>
    <t>=(SUBTOTAL(9,R828:R829))</t>
  </si>
  <si>
    <t>=(SUBTOTAL(9,S828:S829))</t>
  </si>
  <si>
    <t>=(SUBTOTAL(9,T828:T829))</t>
  </si>
  <si>
    <t>=SUBTOTAL(9,O828:T829)</t>
  </si>
  <si>
    <t>=D827</t>
  </si>
  <si>
    <t>=NL("Rows","Item Ledger Entry",,"+Posting Date",$L$5,"Item No.","@@"&amp;$D828,"Location Code","@@"&amp;$E$6)</t>
  </si>
  <si>
    <t>=NF($G828,"Posting Date")</t>
  </si>
  <si>
    <t>=NF($G828,"Entry No.")</t>
  </si>
  <si>
    <t>=NF(G828,"Source Type")</t>
  </si>
  <si>
    <t>=NF($G828,"Source No.")</t>
  </si>
  <si>
    <t>=IF($J828="Customer",NL("first",$J828,"Name","No.","@@"&amp;$K828),"")</t>
  </si>
  <si>
    <t>=IF(J828="vendor",NL("first",J828,"Name","No.","@@"&amp;K828),"")</t>
  </si>
  <si>
    <t>=IF($J828="Item",NL("first",$J828,"Description","No.","@@"&amp;$K828),"")</t>
  </si>
  <si>
    <t>=NL("Sum","Item Ledger Entry","Quantity","Entry Type","Purchase","Entry No.",I828,"Location Code","@@"&amp;$E$6)</t>
  </si>
  <si>
    <t>=NL("Sum","Item Ledger Entry","Quantity","Entry Type","Sale","Entry No.",I828,"Location Code","@@"&amp;$E$6)</t>
  </si>
  <si>
    <t>=NL("Sum","Item Ledger Entry","Quantity","Entry Type","Positive Adjmt.|Negative Adjmt.","Entry No.",I828,"Location Code","@@"&amp;$E$6)</t>
  </si>
  <si>
    <t>=NL("Sum","Item Ledger Entry","Quantity","Entry Type","Transfer","Entry No.",I828,"Location Code","@@"&amp;$E$6)</t>
  </si>
  <si>
    <t>=NL("Sum","Item Ledger Entry","Quantity","Entry Type","Consumption","Entry No.",I828,"Location Code","@@"&amp;$E$6)</t>
  </si>
  <si>
    <t>=NL("Sum","Item Ledger Entry","Quantity","Entry Type","Output","Entry No.",I828,"Location Code","@@"&amp;$E$6)</t>
  </si>
  <si>
    <t>=E831</t>
  </si>
  <si>
    <t>=NL("First","Item","Description","No.",$E831)</t>
  </si>
  <si>
    <t>=NL("First","Item","Base Unit of Measure","No.",$E831)</t>
  </si>
  <si>
    <t>=(SUBTOTAL(9,O832:O833))</t>
  </si>
  <si>
    <t>=(SUBTOTAL(9,P832:P833))</t>
  </si>
  <si>
    <t>=(SUBTOTAL(9,Q832:Q833))</t>
  </si>
  <si>
    <t>=(SUBTOTAL(9,R832:R833))</t>
  </si>
  <si>
    <t>=(SUBTOTAL(9,S832:S833))</t>
  </si>
  <si>
    <t>=(SUBTOTAL(9,T832:T833))</t>
  </si>
  <si>
    <t>=SUBTOTAL(9,O832:T833)</t>
  </si>
  <si>
    <t>=NL("Rows","Item Ledger Entry",,"+Posting Date",$L$5,"Item No.","@@"&amp;$D832,"Location Code","@@"&amp;$E$6)</t>
  </si>
  <si>
    <t>=NL("Sum","Item Ledger Entry","Quantity","Entry Type","Purchase","Entry No.",I832,"Location Code","@@"&amp;$E$6)</t>
  </si>
  <si>
    <t>=NL("Sum","Item Ledger Entry","Quantity","Entry Type","Sale","Entry No.",I832,"Location Code","@@"&amp;$E$6)</t>
  </si>
  <si>
    <t>=NL("Sum","Item Ledger Entry","Quantity","Entry Type","Positive Adjmt.|Negative Adjmt.","Entry No.",I832,"Location Code","@@"&amp;$E$6)</t>
  </si>
  <si>
    <t>=NL("Sum","Item Ledger Entry","Quantity","Entry Type","Transfer","Entry No.",I832,"Location Code","@@"&amp;$E$6)</t>
  </si>
  <si>
    <t>=NL("Sum","Item Ledger Entry","Quantity","Entry Type","Consumption","Entry No.",I832,"Location Code","@@"&amp;$E$6)</t>
  </si>
  <si>
    <t>=NL("Sum","Item Ledger Entry","Quantity","Entry Type","Output","Entry No.",I832,"Location Code","@@"&amp;$E$6)</t>
  </si>
  <si>
    <t>=E835</t>
  </si>
  <si>
    <t>=NL("First","Item","Description","No.",$E835)</t>
  </si>
  <si>
    <t>=NL("First","Item","Base Unit of Measure","No.",$E835)</t>
  </si>
  <si>
    <t>=(SUBTOTAL(9,O836:O839))</t>
  </si>
  <si>
    <t>=(SUBTOTAL(9,P836:P839))</t>
  </si>
  <si>
    <t>=(SUBTOTAL(9,Q836:Q839))</t>
  </si>
  <si>
    <t>=(SUBTOTAL(9,R836:R839))</t>
  </si>
  <si>
    <t>=(SUBTOTAL(9,S836:S839))</t>
  </si>
  <si>
    <t>=(SUBTOTAL(9,T836:T839))</t>
  </si>
  <si>
    <t>=SUBTOTAL(9,O836:T839)</t>
  </si>
  <si>
    <t>=NL("Rows","Item Ledger Entry",,"+Posting Date",$L$5,"Item No.","@@"&amp;$D836,"Location Code","@@"&amp;$E$6)</t>
  </si>
  <si>
    <t>=D836</t>
  </si>
  <si>
    <t>=IF($J837="Customer",NL("first",$J837,"Name","No.","@@"&amp;$K837),"")</t>
  </si>
  <si>
    <t>=IF(J837="vendor",NL("first",J837,"Name","No.","@@"&amp;K837),"")</t>
  </si>
  <si>
    <t>=IF($J837="Item",NL("first",$J837,"Description","No.","@@"&amp;$K837),"")</t>
  </si>
  <si>
    <t>=D837</t>
  </si>
  <si>
    <t>=IF($J838="Customer",NL("first",$J838,"Name","No.","@@"&amp;$K838),"")</t>
  </si>
  <si>
    <t>=IF(J838="vendor",NL("first",J838,"Name","No.","@@"&amp;K838),"")</t>
  </si>
  <si>
    <t>=IF($J838="Item",NL("first",$J838,"Description","No.","@@"&amp;$K838),"")</t>
  </si>
  <si>
    <t>=E841</t>
  </si>
  <si>
    <t>=NL("First","Item","Description","No.",$E841)</t>
  </si>
  <si>
    <t>=NL("First","Item","Base Unit of Measure","No.",$E841)</t>
  </si>
  <si>
    <t>=(SUBTOTAL(9,O842:O843))</t>
  </si>
  <si>
    <t>=(SUBTOTAL(9,P842:P843))</t>
  </si>
  <si>
    <t>=(SUBTOTAL(9,Q842:Q843))</t>
  </si>
  <si>
    <t>=(SUBTOTAL(9,R842:R843))</t>
  </si>
  <si>
    <t>=(SUBTOTAL(9,S842:S843))</t>
  </si>
  <si>
    <t>=(SUBTOTAL(9,T842:T843))</t>
  </si>
  <si>
    <t>=SUBTOTAL(9,O842:T843)</t>
  </si>
  <si>
    <t>=NL("Rows","Item Ledger Entry",,"+Posting Date",$L$5,"Item No.","@@"&amp;$D842,"Location Code","@@"&amp;$E$6)</t>
  </si>
  <si>
    <t>=NL("Sum","Item Ledger Entry","Quantity","Entry Type","Purchase","Entry No.",I842,"Location Code","@@"&amp;$E$6)</t>
  </si>
  <si>
    <t>=NL("Sum","Item Ledger Entry","Quantity","Entry Type","Sale","Entry No.",I842,"Location Code","@@"&amp;$E$6)</t>
  </si>
  <si>
    <t>=NL("Sum","Item Ledger Entry","Quantity","Entry Type","Positive Adjmt.|Negative Adjmt.","Entry No.",I842,"Location Code","@@"&amp;$E$6)</t>
  </si>
  <si>
    <t>=NL("Sum","Item Ledger Entry","Quantity","Entry Type","Transfer","Entry No.",I842,"Location Code","@@"&amp;$E$6)</t>
  </si>
  <si>
    <t>=NL("Sum","Item Ledger Entry","Quantity","Entry Type","Consumption","Entry No.",I842,"Location Code","@@"&amp;$E$6)</t>
  </si>
  <si>
    <t>=NL("Sum","Item Ledger Entry","Quantity","Entry Type","Output","Entry No.",I842,"Location Code","@@"&amp;$E$6)</t>
  </si>
  <si>
    <t>=E845</t>
  </si>
  <si>
    <t>=NL("First","Item","Description","No.",$E845)</t>
  </si>
  <si>
    <t>=NL("First","Item","Base Unit of Measure","No.",$E845)</t>
  </si>
  <si>
    <t>=(SUBTOTAL(9,O846:O847))</t>
  </si>
  <si>
    <t>=(SUBTOTAL(9,P846:P847))</t>
  </si>
  <si>
    <t>=(SUBTOTAL(9,Q846:Q847))</t>
  </si>
  <si>
    <t>=(SUBTOTAL(9,R846:R847))</t>
  </si>
  <si>
    <t>=(SUBTOTAL(9,S846:S847))</t>
  </si>
  <si>
    <t>=(SUBTOTAL(9,T846:T847))</t>
  </si>
  <si>
    <t>=SUBTOTAL(9,O846:T847)</t>
  </si>
  <si>
    <t>=NL("Rows","Item Ledger Entry",,"+Posting Date",$L$5,"Item No.","@@"&amp;$D846,"Location Code","@@"&amp;$E$6)</t>
  </si>
  <si>
    <t>=NL("Sum","Item Ledger Entry","Quantity","Entry Type","Purchase","Entry No.",I846,"Location Code","@@"&amp;$E$6)</t>
  </si>
  <si>
    <t>=NL("Sum","Item Ledger Entry","Quantity","Entry Type","Sale","Entry No.",I846,"Location Code","@@"&amp;$E$6)</t>
  </si>
  <si>
    <t>=NL("Sum","Item Ledger Entry","Quantity","Entry Type","Positive Adjmt.|Negative Adjmt.","Entry No.",I846,"Location Code","@@"&amp;$E$6)</t>
  </si>
  <si>
    <t>=NL("Sum","Item Ledger Entry","Quantity","Entry Type","Transfer","Entry No.",I846,"Location Code","@@"&amp;$E$6)</t>
  </si>
  <si>
    <t>=NL("Sum","Item Ledger Entry","Quantity","Entry Type","Consumption","Entry No.",I846,"Location Code","@@"&amp;$E$6)</t>
  </si>
  <si>
    <t>=NL("Sum","Item Ledger Entry","Quantity","Entry Type","Output","Entry No.",I846,"Location Code","@@"&amp;$E$6)</t>
  </si>
  <si>
    <t>=E849</t>
  </si>
  <si>
    <t>=NL("First","Item","Description","No.",$E849)</t>
  </si>
  <si>
    <t>=NL("First","Item","Base Unit of Measure","No.",$E849)</t>
  </si>
  <si>
    <t>=(SUBTOTAL(9,O850:O851))</t>
  </si>
  <si>
    <t>=(SUBTOTAL(9,P850:P851))</t>
  </si>
  <si>
    <t>=(SUBTOTAL(9,Q850:Q851))</t>
  </si>
  <si>
    <t>=(SUBTOTAL(9,R850:R851))</t>
  </si>
  <si>
    <t>=(SUBTOTAL(9,S850:S851))</t>
  </si>
  <si>
    <t>=(SUBTOTAL(9,T850:T851))</t>
  </si>
  <si>
    <t>=SUBTOTAL(9,O850:T851)</t>
  </si>
  <si>
    <t>=D849</t>
  </si>
  <si>
    <t>=NL("Rows","Item Ledger Entry",,"+Posting Date",$L$5,"Item No.","@@"&amp;$D850,"Location Code","@@"&amp;$E$6)</t>
  </si>
  <si>
    <t>=NF($G850,"Posting Date")</t>
  </si>
  <si>
    <t>=NF($G850,"Entry No.")</t>
  </si>
  <si>
    <t>=NF(G850,"Source Type")</t>
  </si>
  <si>
    <t>=NF($G850,"Source No.")</t>
  </si>
  <si>
    <t>=IF($J850="Customer",NL("first",$J850,"Name","No.","@@"&amp;$K850),"")</t>
  </si>
  <si>
    <t>=IF(J850="vendor",NL("first",J850,"Name","No.","@@"&amp;K850),"")</t>
  </si>
  <si>
    <t>=IF($J850="Item",NL("first",$J850,"Description","No.","@@"&amp;$K850),"")</t>
  </si>
  <si>
    <t>=NL("Sum","Item Ledger Entry","Quantity","Entry Type","Purchase","Entry No.",I850,"Location Code","@@"&amp;$E$6)</t>
  </si>
  <si>
    <t>=NL("Sum","Item Ledger Entry","Quantity","Entry Type","Sale","Entry No.",I850,"Location Code","@@"&amp;$E$6)</t>
  </si>
  <si>
    <t>=NL("Sum","Item Ledger Entry","Quantity","Entry Type","Positive Adjmt.|Negative Adjmt.","Entry No.",I850,"Location Code","@@"&amp;$E$6)</t>
  </si>
  <si>
    <t>=NL("Sum","Item Ledger Entry","Quantity","Entry Type","Transfer","Entry No.",I850,"Location Code","@@"&amp;$E$6)</t>
  </si>
  <si>
    <t>=NL("Sum","Item Ledger Entry","Quantity","Entry Type","Consumption","Entry No.",I850,"Location Code","@@"&amp;$E$6)</t>
  </si>
  <si>
    <t>=NL("Sum","Item Ledger Entry","Quantity","Entry Type","Output","Entry No.",I850,"Location Code","@@"&amp;$E$6)</t>
  </si>
  <si>
    <t>=E853</t>
  </si>
  <si>
    <t>=NL("First","Item","Description","No.",$E853)</t>
  </si>
  <si>
    <t>=NL("First","Item","Base Unit of Measure","No.",$E853)</t>
  </si>
  <si>
    <t>=(SUBTOTAL(9,O854:O856))</t>
  </si>
  <si>
    <t>=(SUBTOTAL(9,P854:P856))</t>
  </si>
  <si>
    <t>=(SUBTOTAL(9,Q854:Q856))</t>
  </si>
  <si>
    <t>=(SUBTOTAL(9,R854:R856))</t>
  </si>
  <si>
    <t>=(SUBTOTAL(9,S854:S856))</t>
  </si>
  <si>
    <t>=(SUBTOTAL(9,T854:T856))</t>
  </si>
  <si>
    <t>=SUBTOTAL(9,O854:T856)</t>
  </si>
  <si>
    <t>=NL("Rows","Item Ledger Entry",,"+Posting Date",$L$5,"Item No.","@@"&amp;$D854,"Location Code","@@"&amp;$E$6)</t>
  </si>
  <si>
    <t>=NL("Sum","Item Ledger Entry","Quantity","Entry Type","Purchase","Entry No.",I854,"Location Code","@@"&amp;$E$6)</t>
  </si>
  <si>
    <t>=NL("Sum","Item Ledger Entry","Quantity","Entry Type","Sale","Entry No.",I854,"Location Code","@@"&amp;$E$6)</t>
  </si>
  <si>
    <t>=NL("Sum","Item Ledger Entry","Quantity","Entry Type","Positive Adjmt.|Negative Adjmt.","Entry No.",I854,"Location Code","@@"&amp;$E$6)</t>
  </si>
  <si>
    <t>=NL("Sum","Item Ledger Entry","Quantity","Entry Type","Transfer","Entry No.",I854,"Location Code","@@"&amp;$E$6)</t>
  </si>
  <si>
    <t>=NL("Sum","Item Ledger Entry","Quantity","Entry Type","Consumption","Entry No.",I854,"Location Code","@@"&amp;$E$6)</t>
  </si>
  <si>
    <t>=NL("Sum","Item Ledger Entry","Quantity","Entry Type","Output","Entry No.",I854,"Location Code","@@"&amp;$E$6)</t>
  </si>
  <si>
    <t>=NL("Sum","Item Ledger Entry","Quantity","Entry Type","Purchase","Entry No.",I855,"Location Code","@@"&amp;$E$6)</t>
  </si>
  <si>
    <t>=NL("Sum","Item Ledger Entry","Quantity","Entry Type","Sale","Entry No.",I855,"Location Code","@@"&amp;$E$6)</t>
  </si>
  <si>
    <t>=NL("Sum","Item Ledger Entry","Quantity","Entry Type","Positive Adjmt.|Negative Adjmt.","Entry No.",I855,"Location Code","@@"&amp;$E$6)</t>
  </si>
  <si>
    <t>=NL("Sum","Item Ledger Entry","Quantity","Entry Type","Transfer","Entry No.",I855,"Location Code","@@"&amp;$E$6)</t>
  </si>
  <si>
    <t>=NL("Sum","Item Ledger Entry","Quantity","Entry Type","Consumption","Entry No.",I855,"Location Code","@@"&amp;$E$6)</t>
  </si>
  <si>
    <t>=NL("Sum","Item Ledger Entry","Quantity","Entry Type","Output","Entry No.",I855,"Location Code","@@"&amp;$E$6)</t>
  </si>
  <si>
    <t>=(SUBTOTAL(9,O859:O860))</t>
  </si>
  <si>
    <t>=(SUBTOTAL(9,P859:P860))</t>
  </si>
  <si>
    <t>=(SUBTOTAL(9,Q859:Q860))</t>
  </si>
  <si>
    <t>=(SUBTOTAL(9,R859:R860))</t>
  </si>
  <si>
    <t>=(SUBTOTAL(9,S859:S860))</t>
  </si>
  <si>
    <t>=(SUBTOTAL(9,T859:T860))</t>
  </si>
  <si>
    <t>=SUBTOTAL(9,O859:T860)</t>
  </si>
  <si>
    <t>=NL("Rows","Item Ledger Entry",,"+Posting Date",$L$5,"Item No.","@@"&amp;$D859,"Location Code","@@"&amp;$E$6)</t>
  </si>
  <si>
    <t>=NL("Sum","Item Ledger Entry","Quantity","Entry Type","Purchase","Entry No.",I859,"Location Code","@@"&amp;$E$6)</t>
  </si>
  <si>
    <t>=NL("Sum","Item Ledger Entry","Quantity","Entry Type","Sale","Entry No.",I859,"Location Code","@@"&amp;$E$6)</t>
  </si>
  <si>
    <t>=NL("Sum","Item Ledger Entry","Quantity","Entry Type","Positive Adjmt.|Negative Adjmt.","Entry No.",I859,"Location Code","@@"&amp;$E$6)</t>
  </si>
  <si>
    <t>=NL("Sum","Item Ledger Entry","Quantity","Entry Type","Transfer","Entry No.",I859,"Location Code","@@"&amp;$E$6)</t>
  </si>
  <si>
    <t>=NL("Sum","Item Ledger Entry","Quantity","Entry Type","Consumption","Entry No.",I859,"Location Code","@@"&amp;$E$6)</t>
  </si>
  <si>
    <t>=NL("Sum","Item Ledger Entry","Quantity","Entry Type","Output","Entry No.",I859,"Location Code","@@"&amp;$E$6)</t>
  </si>
  <si>
    <t>=E862</t>
  </si>
  <si>
    <t>=NL("First","Item","Description","No.",$E862)</t>
  </si>
  <si>
    <t>=NL("First","Item","Base Unit of Measure","No.",$E862)</t>
  </si>
  <si>
    <t>=(SUBTOTAL(9,O863:O865))</t>
  </si>
  <si>
    <t>=(SUBTOTAL(9,P863:P865))</t>
  </si>
  <si>
    <t>=(SUBTOTAL(9,Q863:Q865))</t>
  </si>
  <si>
    <t>=(SUBTOTAL(9,R863:R865))</t>
  </si>
  <si>
    <t>=(SUBTOTAL(9,S863:S865))</t>
  </si>
  <si>
    <t>=(SUBTOTAL(9,T863:T865))</t>
  </si>
  <si>
    <t>=SUBTOTAL(9,O863:T865)</t>
  </si>
  <si>
    <t>=NL("Rows","Item Ledger Entry",,"+Posting Date",$L$5,"Item No.","@@"&amp;$D863,"Location Code","@@"&amp;$E$6)</t>
  </si>
  <si>
    <t>=NL("Sum","Item Ledger Entry","Quantity","Entry Type","Purchase","Entry No.",I863,"Location Code","@@"&amp;$E$6)</t>
  </si>
  <si>
    <t>=NL("Sum","Item Ledger Entry","Quantity","Entry Type","Sale","Entry No.",I863,"Location Code","@@"&amp;$E$6)</t>
  </si>
  <si>
    <t>=NL("Sum","Item Ledger Entry","Quantity","Entry Type","Positive Adjmt.|Negative Adjmt.","Entry No.",I863,"Location Code","@@"&amp;$E$6)</t>
  </si>
  <si>
    <t>=NL("Sum","Item Ledger Entry","Quantity","Entry Type","Transfer","Entry No.",I863,"Location Code","@@"&amp;$E$6)</t>
  </si>
  <si>
    <t>=NL("Sum","Item Ledger Entry","Quantity","Entry Type","Consumption","Entry No.",I863,"Location Code","@@"&amp;$E$6)</t>
  </si>
  <si>
    <t>=NL("Sum","Item Ledger Entry","Quantity","Entry Type","Output","Entry No.",I863,"Location Code","@@"&amp;$E$6)</t>
  </si>
  <si>
    <t>=NL("Sum","Item Ledger Entry","Quantity","Entry Type","Purchase","Entry No.",I864,"Location Code","@@"&amp;$E$6)</t>
  </si>
  <si>
    <t>=NL("Sum","Item Ledger Entry","Quantity","Entry Type","Sale","Entry No.",I864,"Location Code","@@"&amp;$E$6)</t>
  </si>
  <si>
    <t>=NL("Sum","Item Ledger Entry","Quantity","Entry Type","Positive Adjmt.|Negative Adjmt.","Entry No.",I864,"Location Code","@@"&amp;$E$6)</t>
  </si>
  <si>
    <t>=NL("Sum","Item Ledger Entry","Quantity","Entry Type","Transfer","Entry No.",I864,"Location Code","@@"&amp;$E$6)</t>
  </si>
  <si>
    <t>=NL("Sum","Item Ledger Entry","Quantity","Entry Type","Consumption","Entry No.",I864,"Location Code","@@"&amp;$E$6)</t>
  </si>
  <si>
    <t>=NL("Sum","Item Ledger Entry","Quantity","Entry Type","Output","Entry No.",I864,"Location Code","@@"&amp;$E$6)</t>
  </si>
  <si>
    <t>=E867</t>
  </si>
  <si>
    <t>=NL("First","Item","Description","No.",$E867)</t>
  </si>
  <si>
    <t>=NL("First","Item","Base Unit of Measure","No.",$E867)</t>
  </si>
  <si>
    <t>=(SUBTOTAL(9,O868:O869))</t>
  </si>
  <si>
    <t>=(SUBTOTAL(9,P868:P869))</t>
  </si>
  <si>
    <t>=(SUBTOTAL(9,Q868:Q869))</t>
  </si>
  <si>
    <t>=(SUBTOTAL(9,R868:R869))</t>
  </si>
  <si>
    <t>=(SUBTOTAL(9,S868:S869))</t>
  </si>
  <si>
    <t>=(SUBTOTAL(9,T868:T869))</t>
  </si>
  <si>
    <t>=SUBTOTAL(9,O868:T869)</t>
  </si>
  <si>
    <t>=NL("Rows","Item Ledger Entry",,"+Posting Date",$L$5,"Item No.","@@"&amp;$D868,"Location Code","@@"&amp;$E$6)</t>
  </si>
  <si>
    <t>=NL("Sum","Item Ledger Entry","Quantity","Entry Type","Purchase","Entry No.",I868,"Location Code","@@"&amp;$E$6)</t>
  </si>
  <si>
    <t>=NL("Sum","Item Ledger Entry","Quantity","Entry Type","Sale","Entry No.",I868,"Location Code","@@"&amp;$E$6)</t>
  </si>
  <si>
    <t>=NL("Sum","Item Ledger Entry","Quantity","Entry Type","Positive Adjmt.|Negative Adjmt.","Entry No.",I868,"Location Code","@@"&amp;$E$6)</t>
  </si>
  <si>
    <t>=NL("Sum","Item Ledger Entry","Quantity","Entry Type","Transfer","Entry No.",I868,"Location Code","@@"&amp;$E$6)</t>
  </si>
  <si>
    <t>=NL("Sum","Item Ledger Entry","Quantity","Entry Type","Consumption","Entry No.",I868,"Location Code","@@"&amp;$E$6)</t>
  </si>
  <si>
    <t>=NL("Sum","Item Ledger Entry","Quantity","Entry Type","Output","Entry No.",I868,"Location Code","@@"&amp;$E$6)</t>
  </si>
  <si>
    <t>=(SUBTOTAL(9,O872:O873))</t>
  </si>
  <si>
    <t>=(SUBTOTAL(9,P872:P873))</t>
  </si>
  <si>
    <t>=(SUBTOTAL(9,Q872:Q873))</t>
  </si>
  <si>
    <t>=(SUBTOTAL(9,R872:R873))</t>
  </si>
  <si>
    <t>=(SUBTOTAL(9,S872:S873))</t>
  </si>
  <si>
    <t>=(SUBTOTAL(9,T872:T873))</t>
  </si>
  <si>
    <t>=SUBTOTAL(9,O872:T873)</t>
  </si>
  <si>
    <t>=NL("Rows","Item Ledger Entry",,"+Posting Date",$L$5,"Item No.","@@"&amp;$D872,"Location Code","@@"&amp;$E$6)</t>
  </si>
  <si>
    <t>=NL("Sum","Item Ledger Entry","Quantity","Entry Type","Purchase","Entry No.",I872,"Location Code","@@"&amp;$E$6)</t>
  </si>
  <si>
    <t>=NL("Sum","Item Ledger Entry","Quantity","Entry Type","Sale","Entry No.",I872,"Location Code","@@"&amp;$E$6)</t>
  </si>
  <si>
    <t>=NL("Sum","Item Ledger Entry","Quantity","Entry Type","Positive Adjmt.|Negative Adjmt.","Entry No.",I872,"Location Code","@@"&amp;$E$6)</t>
  </si>
  <si>
    <t>=NL("Sum","Item Ledger Entry","Quantity","Entry Type","Transfer","Entry No.",I872,"Location Code","@@"&amp;$E$6)</t>
  </si>
  <si>
    <t>=NL("Sum","Item Ledger Entry","Quantity","Entry Type","Consumption","Entry No.",I872,"Location Code","@@"&amp;$E$6)</t>
  </si>
  <si>
    <t>=NL("Sum","Item Ledger Entry","Quantity","Entry Type","Output","Entry No.",I872,"Location Code","@@"&amp;$E$6)</t>
  </si>
  <si>
    <t>=E875</t>
  </si>
  <si>
    <t>=NL("First","Item","Description","No.",$E875)</t>
  </si>
  <si>
    <t>=NL("First","Item","Base Unit of Measure","No.",$E875)</t>
  </si>
  <si>
    <t>=(SUBTOTAL(9,O876:O877))</t>
  </si>
  <si>
    <t>=(SUBTOTAL(9,P876:P877))</t>
  </si>
  <si>
    <t>=(SUBTOTAL(9,Q876:Q877))</t>
  </si>
  <si>
    <t>=(SUBTOTAL(9,R876:R877))</t>
  </si>
  <si>
    <t>=(SUBTOTAL(9,S876:S877))</t>
  </si>
  <si>
    <t>=(SUBTOTAL(9,T876:T877))</t>
  </si>
  <si>
    <t>=SUBTOTAL(9,O876:T877)</t>
  </si>
  <si>
    <t>=NL("Rows","Item Ledger Entry",,"+Posting Date",$L$5,"Item No.","@@"&amp;$D876,"Location Code","@@"&amp;$E$6)</t>
  </si>
  <si>
    <t>=NL("Sum","Item Ledger Entry","Quantity","Entry Type","Purchase","Entry No.",I876,"Location Code","@@"&amp;$E$6)</t>
  </si>
  <si>
    <t>=NL("Sum","Item Ledger Entry","Quantity","Entry Type","Sale","Entry No.",I876,"Location Code","@@"&amp;$E$6)</t>
  </si>
  <si>
    <t>=NL("Sum","Item Ledger Entry","Quantity","Entry Type","Positive Adjmt.|Negative Adjmt.","Entry No.",I876,"Location Code","@@"&amp;$E$6)</t>
  </si>
  <si>
    <t>=NL("Sum","Item Ledger Entry","Quantity","Entry Type","Transfer","Entry No.",I876,"Location Code","@@"&amp;$E$6)</t>
  </si>
  <si>
    <t>=NL("Sum","Item Ledger Entry","Quantity","Entry Type","Consumption","Entry No.",I876,"Location Code","@@"&amp;$E$6)</t>
  </si>
  <si>
    <t>=NL("Sum","Item Ledger Entry","Quantity","Entry Type","Output","Entry No.",I876,"Location Code","@@"&amp;$E$6)</t>
  </si>
  <si>
    <t>=SUBTOTAL(9,O13:O879)</t>
  </si>
  <si>
    <t>=SUBTOTAL(9,P13:P879)</t>
  </si>
  <si>
    <t>=SUBTOTAL(9,Q13:Q879)</t>
  </si>
  <si>
    <t>=SUBTOTAL(9,R13:R879)</t>
  </si>
  <si>
    <t>=SUBTOTAL(9,S13:S879)</t>
  </si>
  <si>
    <t>=SUBTOTAL(9,T13:T879)</t>
  </si>
  <si>
    <t>=SUM(U12:U879)</t>
  </si>
  <si>
    <t>=NF($G837,"Posting Date")</t>
  </si>
  <si>
    <t>=NF($G838,"Posting Date")</t>
  </si>
  <si>
    <t>=NF($G837,"Entry No.")</t>
  </si>
  <si>
    <t>=NF($G838,"Entry No.")</t>
  </si>
  <si>
    <t>=NL("Sum","Item Ledger Entry","Quantity","Entry Type","Purchase","Entry No.",I836,"Location Code","@@"&amp;$E$6)</t>
  </si>
  <si>
    <t>=NL("Sum","Item Ledger Entry","Quantity","Entry Type","Purchase","Entry No.",I837,"Location Code","@@"&amp;$E$6)</t>
  </si>
  <si>
    <t>=NL("Sum","Item Ledger Entry","Quantity","Entry Type","Purchase","Entry No.",I838,"Location Code","@@"&amp;$E$6)</t>
  </si>
  <si>
    <t>=NL("Sum","Item Ledger Entry","Quantity","Entry Type","Sale","Entry No.",I836,"Location Code","@@"&amp;$E$6)</t>
  </si>
  <si>
    <t>=NL("Sum","Item Ledger Entry","Quantity","Entry Type","Sale","Entry No.",I837,"Location Code","@@"&amp;$E$6)</t>
  </si>
  <si>
    <t>=NL("Sum","Item Ledger Entry","Quantity","Entry Type","Sale","Entry No.",I838,"Location Code","@@"&amp;$E$6)</t>
  </si>
  <si>
    <t>=NL("Sum","Item Ledger Entry","Quantity","Entry Type","Positive Adjmt.|Negative Adjmt.","Entry No.",I836,"Location Code","@@"&amp;$E$6)</t>
  </si>
  <si>
    <t>=NL("Sum","Item Ledger Entry","Quantity","Entry Type","Positive Adjmt.|Negative Adjmt.","Entry No.",I837,"Location Code","@@"&amp;$E$6)</t>
  </si>
  <si>
    <t>=NL("Sum","Item Ledger Entry","Quantity","Entry Type","Positive Adjmt.|Negative Adjmt.","Entry No.",I838,"Location Code","@@"&amp;$E$6)</t>
  </si>
  <si>
    <t>=NL("Sum","Item Ledger Entry","Quantity","Entry Type","Transfer","Entry No.",I836,"Location Code","@@"&amp;$E$6)</t>
  </si>
  <si>
    <t>=NL("Sum","Item Ledger Entry","Quantity","Entry Type","Transfer","Entry No.",I837,"Location Code","@@"&amp;$E$6)</t>
  </si>
  <si>
    <t>=NL("Sum","Item Ledger Entry","Quantity","Entry Type","Transfer","Entry No.",I838,"Location Code","@@"&amp;$E$6)</t>
  </si>
  <si>
    <t>=NL("Sum","Item Ledger Entry","Quantity","Entry Type","Consumption","Entry No.",I836,"Location Code","@@"&amp;$E$6)</t>
  </si>
  <si>
    <t>=NL("Sum","Item Ledger Entry","Quantity","Entry Type","Consumption","Entry No.",I837,"Location Code","@@"&amp;$E$6)</t>
  </si>
  <si>
    <t>=NL("Sum","Item Ledger Entry","Quantity","Entry Type","Consumption","Entry No.",I838,"Location Code","@@"&amp;$E$6)</t>
  </si>
  <si>
    <t>=NL("Sum","Item Ledger Entry","Quantity","Entry Type","Output","Entry No.",I836,"Location Code","@@"&amp;$E$6)</t>
  </si>
  <si>
    <t>=NL("Sum","Item Ledger Entry","Quantity","Entry Type","Output","Entry No.",I837,"Location Code","@@"&amp;$E$6)</t>
  </si>
  <si>
    <t>=NL("Sum","Item Ledger Entry","Quantity","Entry Type","Output","Entry No.",I838,"Location Code","@@"&amp;$E$6)</t>
  </si>
  <si>
    <t>=NF(G837,"Source Type")</t>
  </si>
  <si>
    <t>=NF(G838,"Source Type")</t>
  </si>
  <si>
    <t>=NF($G837,"Source No.")</t>
  </si>
  <si>
    <t>=NF($G838,"Source No.")</t>
  </si>
  <si>
    <t>=NF($G816,"Posting Date")</t>
  </si>
  <si>
    <t>=NF($G816,"Entry No.")</t>
  </si>
  <si>
    <t>=NL("Sum","Item Ledger Entry","Quantity","Entry Type","Purchase","Entry No.",I812,"Location Code","@@"&amp;$E$6)</t>
  </si>
  <si>
    <t>=NL("Sum","Item Ledger Entry","Quantity","Entry Type","Purchase","Entry No.",I813,"Location Code","@@"&amp;$E$6)</t>
  </si>
  <si>
    <t>=NL("Sum","Item Ledger Entry","Quantity","Entry Type","Purchase","Entry No.",I814,"Location Code","@@"&amp;$E$6)</t>
  </si>
  <si>
    <t>=NL("Sum","Item Ledger Entry","Quantity","Entry Type","Purchase","Entry No.",I815,"Location Code","@@"&amp;$E$6)</t>
  </si>
  <si>
    <t>=NL("Sum","Item Ledger Entry","Quantity","Entry Type","Purchase","Entry No.",I816,"Location Code","@@"&amp;$E$6)</t>
  </si>
  <si>
    <t>=NL("Sum","Item Ledger Entry","Quantity","Entry Type","Sale","Entry No.",I812,"Location Code","@@"&amp;$E$6)</t>
  </si>
  <si>
    <t>=NL("Sum","Item Ledger Entry","Quantity","Entry Type","Sale","Entry No.",I813,"Location Code","@@"&amp;$E$6)</t>
  </si>
  <si>
    <t>=NL("Sum","Item Ledger Entry","Quantity","Entry Type","Sale","Entry No.",I814,"Location Code","@@"&amp;$E$6)</t>
  </si>
  <si>
    <t>=NL("Sum","Item Ledger Entry","Quantity","Entry Type","Sale","Entry No.",I815,"Location Code","@@"&amp;$E$6)</t>
  </si>
  <si>
    <t>=NL("Sum","Item Ledger Entry","Quantity","Entry Type","Sale","Entry No.",I816,"Location Code","@@"&amp;$E$6)</t>
  </si>
  <si>
    <t>=NL("Sum","Item Ledger Entry","Quantity","Entry Type","Positive Adjmt.|Negative Adjmt.","Entry No.",I812,"Location Code","@@"&amp;$E$6)</t>
  </si>
  <si>
    <t>=NL("Sum","Item Ledger Entry","Quantity","Entry Type","Positive Adjmt.|Negative Adjmt.","Entry No.",I813,"Location Code","@@"&amp;$E$6)</t>
  </si>
  <si>
    <t>=NL("Sum","Item Ledger Entry","Quantity","Entry Type","Positive Adjmt.|Negative Adjmt.","Entry No.",I814,"Location Code","@@"&amp;$E$6)</t>
  </si>
  <si>
    <t>=NL("Sum","Item Ledger Entry","Quantity","Entry Type","Positive Adjmt.|Negative Adjmt.","Entry No.",I815,"Location Code","@@"&amp;$E$6)</t>
  </si>
  <si>
    <t>=NL("Sum","Item Ledger Entry","Quantity","Entry Type","Positive Adjmt.|Negative Adjmt.","Entry No.",I816,"Location Code","@@"&amp;$E$6)</t>
  </si>
  <si>
    <t>=NL("Sum","Item Ledger Entry","Quantity","Entry Type","Transfer","Entry No.",I812,"Location Code","@@"&amp;$E$6)</t>
  </si>
  <si>
    <t>=NL("Sum","Item Ledger Entry","Quantity","Entry Type","Transfer","Entry No.",I813,"Location Code","@@"&amp;$E$6)</t>
  </si>
  <si>
    <t>=NL("Sum","Item Ledger Entry","Quantity","Entry Type","Transfer","Entry No.",I814,"Location Code","@@"&amp;$E$6)</t>
  </si>
  <si>
    <t>=NL("Sum","Item Ledger Entry","Quantity","Entry Type","Transfer","Entry No.",I815,"Location Code","@@"&amp;$E$6)</t>
  </si>
  <si>
    <t>=NL("Sum","Item Ledger Entry","Quantity","Entry Type","Transfer","Entry No.",I816,"Location Code","@@"&amp;$E$6)</t>
  </si>
  <si>
    <t>=NL("Sum","Item Ledger Entry","Quantity","Entry Type","Consumption","Entry No.",I812,"Location Code","@@"&amp;$E$6)</t>
  </si>
  <si>
    <t>=NL("Sum","Item Ledger Entry","Quantity","Entry Type","Consumption","Entry No.",I813,"Location Code","@@"&amp;$E$6)</t>
  </si>
  <si>
    <t>=NL("Sum","Item Ledger Entry","Quantity","Entry Type","Consumption","Entry No.",I814,"Location Code","@@"&amp;$E$6)</t>
  </si>
  <si>
    <t>=NL("Sum","Item Ledger Entry","Quantity","Entry Type","Consumption","Entry No.",I815,"Location Code","@@"&amp;$E$6)</t>
  </si>
  <si>
    <t>=NL("Sum","Item Ledger Entry","Quantity","Entry Type","Consumption","Entry No.",I816,"Location Code","@@"&amp;$E$6)</t>
  </si>
  <si>
    <t>=NL("Sum","Item Ledger Entry","Quantity","Entry Type","Output","Entry No.",I812,"Location Code","@@"&amp;$E$6)</t>
  </si>
  <si>
    <t>=NL("Sum","Item Ledger Entry","Quantity","Entry Type","Output","Entry No.",I813,"Location Code","@@"&amp;$E$6)</t>
  </si>
  <si>
    <t>=NL("Sum","Item Ledger Entry","Quantity","Entry Type","Output","Entry No.",I814,"Location Code","@@"&amp;$E$6)</t>
  </si>
  <si>
    <t>=NL("Sum","Item Ledger Entry","Quantity","Entry Type","Output","Entry No.",I815,"Location Code","@@"&amp;$E$6)</t>
  </si>
  <si>
    <t>=NL("Sum","Item Ledger Entry","Quantity","Entry Type","Output","Entry No.",I816,"Location Code","@@"&amp;$E$6)</t>
  </si>
  <si>
    <t>=NF(G816,"Source Type")</t>
  </si>
  <si>
    <t>=NF($G816,"Source No.")</t>
  </si>
  <si>
    <t>=NL("Sum","Item Ledger Entry","Quantity","Entry Type","Purchase","Entry No.",I801,"Location Code","@@"&amp;$E$6)</t>
  </si>
  <si>
    <t>=NL("Sum","Item Ledger Entry","Quantity","Entry Type","Purchase","Entry No.",I802,"Location Code","@@"&amp;$E$6)</t>
  </si>
  <si>
    <t>=NL("Sum","Item Ledger Entry","Quantity","Entry Type","Purchase","Entry No.",I803,"Location Code","@@"&amp;$E$6)</t>
  </si>
  <si>
    <t>=NL("Sum","Item Ledger Entry","Quantity","Entry Type","Sale","Entry No.",I801,"Location Code","@@"&amp;$E$6)</t>
  </si>
  <si>
    <t>=NL("Sum","Item Ledger Entry","Quantity","Entry Type","Sale","Entry No.",I802,"Location Code","@@"&amp;$E$6)</t>
  </si>
  <si>
    <t>=NL("Sum","Item Ledger Entry","Quantity","Entry Type","Sale","Entry No.",I803,"Location Code","@@"&amp;$E$6)</t>
  </si>
  <si>
    <t>=NL("Sum","Item Ledger Entry","Quantity","Entry Type","Positive Adjmt.|Negative Adjmt.","Entry No.",I801,"Location Code","@@"&amp;$E$6)</t>
  </si>
  <si>
    <t>=NL("Sum","Item Ledger Entry","Quantity","Entry Type","Positive Adjmt.|Negative Adjmt.","Entry No.",I802,"Location Code","@@"&amp;$E$6)</t>
  </si>
  <si>
    <t>=NL("Sum","Item Ledger Entry","Quantity","Entry Type","Positive Adjmt.|Negative Adjmt.","Entry No.",I803,"Location Code","@@"&amp;$E$6)</t>
  </si>
  <si>
    <t>=NL("Sum","Item Ledger Entry","Quantity","Entry Type","Transfer","Entry No.",I801,"Location Code","@@"&amp;$E$6)</t>
  </si>
  <si>
    <t>=NL("Sum","Item Ledger Entry","Quantity","Entry Type","Transfer","Entry No.",I802,"Location Code","@@"&amp;$E$6)</t>
  </si>
  <si>
    <t>=NL("Sum","Item Ledger Entry","Quantity","Entry Type","Transfer","Entry No.",I803,"Location Code","@@"&amp;$E$6)</t>
  </si>
  <si>
    <t>=NL("Sum","Item Ledger Entry","Quantity","Entry Type","Consumption","Entry No.",I801,"Location Code","@@"&amp;$E$6)</t>
  </si>
  <si>
    <t>=NL("Sum","Item Ledger Entry","Quantity","Entry Type","Consumption","Entry No.",I802,"Location Code","@@"&amp;$E$6)</t>
  </si>
  <si>
    <t>=NL("Sum","Item Ledger Entry","Quantity","Entry Type","Consumption","Entry No.",I803,"Location Code","@@"&amp;$E$6)</t>
  </si>
  <si>
    <t>=NL("Sum","Item Ledger Entry","Quantity","Entry Type","Output","Entry No.",I801,"Location Code","@@"&amp;$E$6)</t>
  </si>
  <si>
    <t>=NL("Sum","Item Ledger Entry","Quantity","Entry Type","Output","Entry No.",I802,"Location Code","@@"&amp;$E$6)</t>
  </si>
  <si>
    <t>=NL("Sum","Item Ledger Entry","Quantity","Entry Type","Output","Entry No.",I803,"Location Code","@@"&amp;$E$6)</t>
  </si>
  <si>
    <t>=NL("Sum","Item Ledger Entry","Quantity","Entry Type","Purchase","Entry No.",I782,"Location Code","@@"&amp;$E$6)</t>
  </si>
  <si>
    <t>=NL("Sum","Item Ledger Entry","Quantity","Entry Type","Purchase","Entry No.",I783,"Location Code","@@"&amp;$E$6)</t>
  </si>
  <si>
    <t>=NL("Sum","Item Ledger Entry","Quantity","Entry Type","Purchase","Entry No.",I784,"Location Code","@@"&amp;$E$6)</t>
  </si>
  <si>
    <t>=NL("Sum","Item Ledger Entry","Quantity","Entry Type","Purchase","Entry No.",I785,"Location Code","@@"&amp;$E$6)</t>
  </si>
  <si>
    <t>=NL("Sum","Item Ledger Entry","Quantity","Entry Type","Purchase","Entry No.",I786,"Location Code","@@"&amp;$E$6)</t>
  </si>
  <si>
    <t>=NL("Sum","Item Ledger Entry","Quantity","Entry Type","Purchase","Entry No.",I787,"Location Code","@@"&amp;$E$6)</t>
  </si>
  <si>
    <t>=NL("Sum","Item Ledger Entry","Quantity","Entry Type","Purchase","Entry No.",I788,"Location Code","@@"&amp;$E$6)</t>
  </si>
  <si>
    <t>=NL("Sum","Item Ledger Entry","Quantity","Entry Type","Purchase","Entry No.",I789,"Location Code","@@"&amp;$E$6)</t>
  </si>
  <si>
    <t>=NL("Sum","Item Ledger Entry","Quantity","Entry Type","Purchase","Entry No.",I790,"Location Code","@@"&amp;$E$6)</t>
  </si>
  <si>
    <t>=NL("Sum","Item Ledger Entry","Quantity","Entry Type","Purchase","Entry No.",I791,"Location Code","@@"&amp;$E$6)</t>
  </si>
  <si>
    <t>=NL("Sum","Item Ledger Entry","Quantity","Entry Type","Purchase","Entry No.",I792,"Location Code","@@"&amp;$E$6)</t>
  </si>
  <si>
    <t>=NL("Sum","Item Ledger Entry","Quantity","Entry Type","Sale","Entry No.",I782,"Location Code","@@"&amp;$E$6)</t>
  </si>
  <si>
    <t>=NL("Sum","Item Ledger Entry","Quantity","Entry Type","Sale","Entry No.",I783,"Location Code","@@"&amp;$E$6)</t>
  </si>
  <si>
    <t>=NL("Sum","Item Ledger Entry","Quantity","Entry Type","Sale","Entry No.",I784,"Location Code","@@"&amp;$E$6)</t>
  </si>
  <si>
    <t>=NL("Sum","Item Ledger Entry","Quantity","Entry Type","Sale","Entry No.",I785,"Location Code","@@"&amp;$E$6)</t>
  </si>
  <si>
    <t>=NL("Sum","Item Ledger Entry","Quantity","Entry Type","Sale","Entry No.",I786,"Location Code","@@"&amp;$E$6)</t>
  </si>
  <si>
    <t>=NL("Sum","Item Ledger Entry","Quantity","Entry Type","Sale","Entry No.",I787,"Location Code","@@"&amp;$E$6)</t>
  </si>
  <si>
    <t>=NL("Sum","Item Ledger Entry","Quantity","Entry Type","Sale","Entry No.",I788,"Location Code","@@"&amp;$E$6)</t>
  </si>
  <si>
    <t>=NL("Sum","Item Ledger Entry","Quantity","Entry Type","Sale","Entry No.",I789,"Location Code","@@"&amp;$E$6)</t>
  </si>
  <si>
    <t>=NL("Sum","Item Ledger Entry","Quantity","Entry Type","Sale","Entry No.",I790,"Location Code","@@"&amp;$E$6)</t>
  </si>
  <si>
    <t>=NL("Sum","Item Ledger Entry","Quantity","Entry Type","Sale","Entry No.",I791,"Location Code","@@"&amp;$E$6)</t>
  </si>
  <si>
    <t>=NL("Sum","Item Ledger Entry","Quantity","Entry Type","Sale","Entry No.",I792,"Location Code","@@"&amp;$E$6)</t>
  </si>
  <si>
    <t>=NL("Sum","Item Ledger Entry","Quantity","Entry Type","Positive Adjmt.|Negative Adjmt.","Entry No.",I782,"Location Code","@@"&amp;$E$6)</t>
  </si>
  <si>
    <t>=NL("Sum","Item Ledger Entry","Quantity","Entry Type","Positive Adjmt.|Negative Adjmt.","Entry No.",I783,"Location Code","@@"&amp;$E$6)</t>
  </si>
  <si>
    <t>=NL("Sum","Item Ledger Entry","Quantity","Entry Type","Positive Adjmt.|Negative Adjmt.","Entry No.",I784,"Location Code","@@"&amp;$E$6)</t>
  </si>
  <si>
    <t>=NL("Sum","Item Ledger Entry","Quantity","Entry Type","Positive Adjmt.|Negative Adjmt.","Entry No.",I785,"Location Code","@@"&amp;$E$6)</t>
  </si>
  <si>
    <t>=NL("Sum","Item Ledger Entry","Quantity","Entry Type","Positive Adjmt.|Negative Adjmt.","Entry No.",I786,"Location Code","@@"&amp;$E$6)</t>
  </si>
  <si>
    <t>=NL("Sum","Item Ledger Entry","Quantity","Entry Type","Positive Adjmt.|Negative Adjmt.","Entry No.",I787,"Location Code","@@"&amp;$E$6)</t>
  </si>
  <si>
    <t>=NL("Sum","Item Ledger Entry","Quantity","Entry Type","Positive Adjmt.|Negative Adjmt.","Entry No.",I788,"Location Code","@@"&amp;$E$6)</t>
  </si>
  <si>
    <t>=NL("Sum","Item Ledger Entry","Quantity","Entry Type","Positive Adjmt.|Negative Adjmt.","Entry No.",I789,"Location Code","@@"&amp;$E$6)</t>
  </si>
  <si>
    <t>=NL("Sum","Item Ledger Entry","Quantity","Entry Type","Positive Adjmt.|Negative Adjmt.","Entry No.",I790,"Location Code","@@"&amp;$E$6)</t>
  </si>
  <si>
    <t>=NL("Sum","Item Ledger Entry","Quantity","Entry Type","Positive Adjmt.|Negative Adjmt.","Entry No.",I791,"Location Code","@@"&amp;$E$6)</t>
  </si>
  <si>
    <t>=NL("Sum","Item Ledger Entry","Quantity","Entry Type","Positive Adjmt.|Negative Adjmt.","Entry No.",I792,"Location Code","@@"&amp;$E$6)</t>
  </si>
  <si>
    <t>=NL("Sum","Item Ledger Entry","Quantity","Entry Type","Transfer","Entry No.",I782,"Location Code","@@"&amp;$E$6)</t>
  </si>
  <si>
    <t>=NL("Sum","Item Ledger Entry","Quantity","Entry Type","Transfer","Entry No.",I783,"Location Code","@@"&amp;$E$6)</t>
  </si>
  <si>
    <t>=NL("Sum","Item Ledger Entry","Quantity","Entry Type","Transfer","Entry No.",I784,"Location Code","@@"&amp;$E$6)</t>
  </si>
  <si>
    <t>=NL("Sum","Item Ledger Entry","Quantity","Entry Type","Transfer","Entry No.",I785,"Location Code","@@"&amp;$E$6)</t>
  </si>
  <si>
    <t>=NL("Sum","Item Ledger Entry","Quantity","Entry Type","Transfer","Entry No.",I786,"Location Code","@@"&amp;$E$6)</t>
  </si>
  <si>
    <t>=NL("Sum","Item Ledger Entry","Quantity","Entry Type","Transfer","Entry No.",I787,"Location Code","@@"&amp;$E$6)</t>
  </si>
  <si>
    <t>=NL("Sum","Item Ledger Entry","Quantity","Entry Type","Transfer","Entry No.",I788,"Location Code","@@"&amp;$E$6)</t>
  </si>
  <si>
    <t>=NL("Sum","Item Ledger Entry","Quantity","Entry Type","Transfer","Entry No.",I789,"Location Code","@@"&amp;$E$6)</t>
  </si>
  <si>
    <t>=NL("Sum","Item Ledger Entry","Quantity","Entry Type","Transfer","Entry No.",I790,"Location Code","@@"&amp;$E$6)</t>
  </si>
  <si>
    <t>=NL("Sum","Item Ledger Entry","Quantity","Entry Type","Transfer","Entry No.",I791,"Location Code","@@"&amp;$E$6)</t>
  </si>
  <si>
    <t>=NL("Sum","Item Ledger Entry","Quantity","Entry Type","Transfer","Entry No.",I792,"Location Code","@@"&amp;$E$6)</t>
  </si>
  <si>
    <t>=NL("Sum","Item Ledger Entry","Quantity","Entry Type","Consumption","Entry No.",I782,"Location Code","@@"&amp;$E$6)</t>
  </si>
  <si>
    <t>=NL("Sum","Item Ledger Entry","Quantity","Entry Type","Consumption","Entry No.",I783,"Location Code","@@"&amp;$E$6)</t>
  </si>
  <si>
    <t>=NL("Sum","Item Ledger Entry","Quantity","Entry Type","Consumption","Entry No.",I784,"Location Code","@@"&amp;$E$6)</t>
  </si>
  <si>
    <t>=NL("Sum","Item Ledger Entry","Quantity","Entry Type","Consumption","Entry No.",I785,"Location Code","@@"&amp;$E$6)</t>
  </si>
  <si>
    <t>=NL("Sum","Item Ledger Entry","Quantity","Entry Type","Consumption","Entry No.",I786,"Location Code","@@"&amp;$E$6)</t>
  </si>
  <si>
    <t>=NL("Sum","Item Ledger Entry","Quantity","Entry Type","Consumption","Entry No.",I787,"Location Code","@@"&amp;$E$6)</t>
  </si>
  <si>
    <t>=NL("Sum","Item Ledger Entry","Quantity","Entry Type","Consumption","Entry No.",I788,"Location Code","@@"&amp;$E$6)</t>
  </si>
  <si>
    <t>=NL("Sum","Item Ledger Entry","Quantity","Entry Type","Consumption","Entry No.",I789,"Location Code","@@"&amp;$E$6)</t>
  </si>
  <si>
    <t>=NL("Sum","Item Ledger Entry","Quantity","Entry Type","Consumption","Entry No.",I790,"Location Code","@@"&amp;$E$6)</t>
  </si>
  <si>
    <t>=NL("Sum","Item Ledger Entry","Quantity","Entry Type","Consumption","Entry No.",I791,"Location Code","@@"&amp;$E$6)</t>
  </si>
  <si>
    <t>=NL("Sum","Item Ledger Entry","Quantity","Entry Type","Consumption","Entry No.",I792,"Location Code","@@"&amp;$E$6)</t>
  </si>
  <si>
    <t>=NL("Sum","Item Ledger Entry","Quantity","Entry Type","Output","Entry No.",I782,"Location Code","@@"&amp;$E$6)</t>
  </si>
  <si>
    <t>=NL("Sum","Item Ledger Entry","Quantity","Entry Type","Output","Entry No.",I783,"Location Code","@@"&amp;$E$6)</t>
  </si>
  <si>
    <t>=NL("Sum","Item Ledger Entry","Quantity","Entry Type","Output","Entry No.",I784,"Location Code","@@"&amp;$E$6)</t>
  </si>
  <si>
    <t>=NL("Sum","Item Ledger Entry","Quantity","Entry Type","Output","Entry No.",I785,"Location Code","@@"&amp;$E$6)</t>
  </si>
  <si>
    <t>=NL("Sum","Item Ledger Entry","Quantity","Entry Type","Output","Entry No.",I786,"Location Code","@@"&amp;$E$6)</t>
  </si>
  <si>
    <t>=NL("Sum","Item Ledger Entry","Quantity","Entry Type","Output","Entry No.",I787,"Location Code","@@"&amp;$E$6)</t>
  </si>
  <si>
    <t>=NL("Sum","Item Ledger Entry","Quantity","Entry Type","Output","Entry No.",I788,"Location Code","@@"&amp;$E$6)</t>
  </si>
  <si>
    <t>=NL("Sum","Item Ledger Entry","Quantity","Entry Type","Output","Entry No.",I789,"Location Code","@@"&amp;$E$6)</t>
  </si>
  <si>
    <t>=NL("Sum","Item Ledger Entry","Quantity","Entry Type","Output","Entry No.",I790,"Location Code","@@"&amp;$E$6)</t>
  </si>
  <si>
    <t>=NL("Sum","Item Ledger Entry","Quantity","Entry Type","Output","Entry No.",I791,"Location Code","@@"&amp;$E$6)</t>
  </si>
  <si>
    <t>=NL("Sum","Item Ledger Entry","Quantity","Entry Type","Output","Entry No.",I792,"Location Code","@@"&amp;$E$6)</t>
  </si>
  <si>
    <t>=NL("Sum","Item Ledger Entry","Quantity","Entry Type","Purchase","Entry No.",I771,"Location Code","@@"&amp;$E$6)</t>
  </si>
  <si>
    <t>=NL("Sum","Item Ledger Entry","Quantity","Entry Type","Purchase","Entry No.",I772,"Location Code","@@"&amp;$E$6)</t>
  </si>
  <si>
    <t>=NL("Sum","Item Ledger Entry","Quantity","Entry Type","Purchase","Entry No.",I773,"Location Code","@@"&amp;$E$6)</t>
  </si>
  <si>
    <t>=NL("Sum","Item Ledger Entry","Quantity","Entry Type","Purchase","Entry No.",I774,"Location Code","@@"&amp;$E$6)</t>
  </si>
  <si>
    <t>=NL("Sum","Item Ledger Entry","Quantity","Entry Type","Purchase","Entry No.",I775,"Location Code","@@"&amp;$E$6)</t>
  </si>
  <si>
    <t>=NL("Sum","Item Ledger Entry","Quantity","Entry Type","Purchase","Entry No.",I776,"Location Code","@@"&amp;$E$6)</t>
  </si>
  <si>
    <t>=NL("Sum","Item Ledger Entry","Quantity","Entry Type","Purchase","Entry No.",I777,"Location Code","@@"&amp;$E$6)</t>
  </si>
  <si>
    <t>=NL("Sum","Item Ledger Entry","Quantity","Entry Type","Purchase","Entry No.",I778,"Location Code","@@"&amp;$E$6)</t>
  </si>
  <si>
    <t>=NL("Sum","Item Ledger Entry","Quantity","Entry Type","Sale","Entry No.",I771,"Location Code","@@"&amp;$E$6)</t>
  </si>
  <si>
    <t>=NL("Sum","Item Ledger Entry","Quantity","Entry Type","Sale","Entry No.",I772,"Location Code","@@"&amp;$E$6)</t>
  </si>
  <si>
    <t>=NL("Sum","Item Ledger Entry","Quantity","Entry Type","Sale","Entry No.",I773,"Location Code","@@"&amp;$E$6)</t>
  </si>
  <si>
    <t>=NL("Sum","Item Ledger Entry","Quantity","Entry Type","Sale","Entry No.",I774,"Location Code","@@"&amp;$E$6)</t>
  </si>
  <si>
    <t>=NL("Sum","Item Ledger Entry","Quantity","Entry Type","Sale","Entry No.",I775,"Location Code","@@"&amp;$E$6)</t>
  </si>
  <si>
    <t>=NL("Sum","Item Ledger Entry","Quantity","Entry Type","Sale","Entry No.",I776,"Location Code","@@"&amp;$E$6)</t>
  </si>
  <si>
    <t>=NL("Sum","Item Ledger Entry","Quantity","Entry Type","Sale","Entry No.",I777,"Location Code","@@"&amp;$E$6)</t>
  </si>
  <si>
    <t>=NL("Sum","Item Ledger Entry","Quantity","Entry Type","Sale","Entry No.",I778,"Location Code","@@"&amp;$E$6)</t>
  </si>
  <si>
    <t>=NL("Sum","Item Ledger Entry","Quantity","Entry Type","Positive Adjmt.|Negative Adjmt.","Entry No.",I771,"Location Code","@@"&amp;$E$6)</t>
  </si>
  <si>
    <t>=NL("Sum","Item Ledger Entry","Quantity","Entry Type","Positive Adjmt.|Negative Adjmt.","Entry No.",I772,"Location Code","@@"&amp;$E$6)</t>
  </si>
  <si>
    <t>=NL("Sum","Item Ledger Entry","Quantity","Entry Type","Positive Adjmt.|Negative Adjmt.","Entry No.",I773,"Location Code","@@"&amp;$E$6)</t>
  </si>
  <si>
    <t>=NL("Sum","Item Ledger Entry","Quantity","Entry Type","Positive Adjmt.|Negative Adjmt.","Entry No.",I774,"Location Code","@@"&amp;$E$6)</t>
  </si>
  <si>
    <t>=NL("Sum","Item Ledger Entry","Quantity","Entry Type","Positive Adjmt.|Negative Adjmt.","Entry No.",I775,"Location Code","@@"&amp;$E$6)</t>
  </si>
  <si>
    <t>=NL("Sum","Item Ledger Entry","Quantity","Entry Type","Positive Adjmt.|Negative Adjmt.","Entry No.",I776,"Location Code","@@"&amp;$E$6)</t>
  </si>
  <si>
    <t>=NL("Sum","Item Ledger Entry","Quantity","Entry Type","Positive Adjmt.|Negative Adjmt.","Entry No.",I777,"Location Code","@@"&amp;$E$6)</t>
  </si>
  <si>
    <t>=NL("Sum","Item Ledger Entry","Quantity","Entry Type","Positive Adjmt.|Negative Adjmt.","Entry No.",I778,"Location Code","@@"&amp;$E$6)</t>
  </si>
  <si>
    <t>=NL("Sum","Item Ledger Entry","Quantity","Entry Type","Transfer","Entry No.",I771,"Location Code","@@"&amp;$E$6)</t>
  </si>
  <si>
    <t>=NL("Sum","Item Ledger Entry","Quantity","Entry Type","Transfer","Entry No.",I772,"Location Code","@@"&amp;$E$6)</t>
  </si>
  <si>
    <t>=NL("Sum","Item Ledger Entry","Quantity","Entry Type","Transfer","Entry No.",I773,"Location Code","@@"&amp;$E$6)</t>
  </si>
  <si>
    <t>=NL("Sum","Item Ledger Entry","Quantity","Entry Type","Transfer","Entry No.",I774,"Location Code","@@"&amp;$E$6)</t>
  </si>
  <si>
    <t>=NL("Sum","Item Ledger Entry","Quantity","Entry Type","Transfer","Entry No.",I775,"Location Code","@@"&amp;$E$6)</t>
  </si>
  <si>
    <t>=NL("Sum","Item Ledger Entry","Quantity","Entry Type","Transfer","Entry No.",I776,"Location Code","@@"&amp;$E$6)</t>
  </si>
  <si>
    <t>=NL("Sum","Item Ledger Entry","Quantity","Entry Type","Transfer","Entry No.",I777,"Location Code","@@"&amp;$E$6)</t>
  </si>
  <si>
    <t>=NL("Sum","Item Ledger Entry","Quantity","Entry Type","Transfer","Entry No.",I778,"Location Code","@@"&amp;$E$6)</t>
  </si>
  <si>
    <t>=NL("Sum","Item Ledger Entry","Quantity","Entry Type","Consumption","Entry No.",I771,"Location Code","@@"&amp;$E$6)</t>
  </si>
  <si>
    <t>=NL("Sum","Item Ledger Entry","Quantity","Entry Type","Consumption","Entry No.",I772,"Location Code","@@"&amp;$E$6)</t>
  </si>
  <si>
    <t>=NL("Sum","Item Ledger Entry","Quantity","Entry Type","Consumption","Entry No.",I773,"Location Code","@@"&amp;$E$6)</t>
  </si>
  <si>
    <t>=NL("Sum","Item Ledger Entry","Quantity","Entry Type","Consumption","Entry No.",I774,"Location Code","@@"&amp;$E$6)</t>
  </si>
  <si>
    <t>=NL("Sum","Item Ledger Entry","Quantity","Entry Type","Consumption","Entry No.",I775,"Location Code","@@"&amp;$E$6)</t>
  </si>
  <si>
    <t>=NL("Sum","Item Ledger Entry","Quantity","Entry Type","Consumption","Entry No.",I776,"Location Code","@@"&amp;$E$6)</t>
  </si>
  <si>
    <t>=NL("Sum","Item Ledger Entry","Quantity","Entry Type","Consumption","Entry No.",I777,"Location Code","@@"&amp;$E$6)</t>
  </si>
  <si>
    <t>=NL("Sum","Item Ledger Entry","Quantity","Entry Type","Consumption","Entry No.",I778,"Location Code","@@"&amp;$E$6)</t>
  </si>
  <si>
    <t>=NL("Sum","Item Ledger Entry","Quantity","Entry Type","Output","Entry No.",I771,"Location Code","@@"&amp;$E$6)</t>
  </si>
  <si>
    <t>=NL("Sum","Item Ledger Entry","Quantity","Entry Type","Output","Entry No.",I772,"Location Code","@@"&amp;$E$6)</t>
  </si>
  <si>
    <t>=NL("Sum","Item Ledger Entry","Quantity","Entry Type","Output","Entry No.",I773,"Location Code","@@"&amp;$E$6)</t>
  </si>
  <si>
    <t>=NL("Sum","Item Ledger Entry","Quantity","Entry Type","Output","Entry No.",I774,"Location Code","@@"&amp;$E$6)</t>
  </si>
  <si>
    <t>=NL("Sum","Item Ledger Entry","Quantity","Entry Type","Output","Entry No.",I775,"Location Code","@@"&amp;$E$6)</t>
  </si>
  <si>
    <t>=NL("Sum","Item Ledger Entry","Quantity","Entry Type","Output","Entry No.",I776,"Location Code","@@"&amp;$E$6)</t>
  </si>
  <si>
    <t>=NL("Sum","Item Ledger Entry","Quantity","Entry Type","Output","Entry No.",I777,"Location Code","@@"&amp;$E$6)</t>
  </si>
  <si>
    <t>=NL("Sum","Item Ledger Entry","Quantity","Entry Type","Output","Entry No.",I778,"Location Code","@@"&amp;$E$6)</t>
  </si>
  <si>
    <t>=NL("Sum","Item Ledger Entry","Quantity","Entry Type","Purchase","Entry No.",I762,"Location Code","@@"&amp;$E$6)</t>
  </si>
  <si>
    <t>=NL("Sum","Item Ledger Entry","Quantity","Entry Type","Purchase","Entry No.",I763,"Location Code","@@"&amp;$E$6)</t>
  </si>
  <si>
    <t>=NL("Sum","Item Ledger Entry","Quantity","Entry Type","Purchase","Entry No.",I764,"Location Code","@@"&amp;$E$6)</t>
  </si>
  <si>
    <t>=NL("Sum","Item Ledger Entry","Quantity","Entry Type","Purchase","Entry No.",I765,"Location Code","@@"&amp;$E$6)</t>
  </si>
  <si>
    <t>=NL("Sum","Item Ledger Entry","Quantity","Entry Type","Purchase","Entry No.",I766,"Location Code","@@"&amp;$E$6)</t>
  </si>
  <si>
    <t>=NL("Sum","Item Ledger Entry","Quantity","Entry Type","Purchase","Entry No.",I767,"Location Code","@@"&amp;$E$6)</t>
  </si>
  <si>
    <t>=NL("Sum","Item Ledger Entry","Quantity","Entry Type","Sale","Entry No.",I762,"Location Code","@@"&amp;$E$6)</t>
  </si>
  <si>
    <t>=NL("Sum","Item Ledger Entry","Quantity","Entry Type","Sale","Entry No.",I763,"Location Code","@@"&amp;$E$6)</t>
  </si>
  <si>
    <t>=NL("Sum","Item Ledger Entry","Quantity","Entry Type","Sale","Entry No.",I764,"Location Code","@@"&amp;$E$6)</t>
  </si>
  <si>
    <t>=NL("Sum","Item Ledger Entry","Quantity","Entry Type","Sale","Entry No.",I765,"Location Code","@@"&amp;$E$6)</t>
  </si>
  <si>
    <t>=NL("Sum","Item Ledger Entry","Quantity","Entry Type","Sale","Entry No.",I766,"Location Code","@@"&amp;$E$6)</t>
  </si>
  <si>
    <t>=NL("Sum","Item Ledger Entry","Quantity","Entry Type","Sale","Entry No.",I767,"Location Code","@@"&amp;$E$6)</t>
  </si>
  <si>
    <t>=NL("Sum","Item Ledger Entry","Quantity","Entry Type","Positive Adjmt.|Negative Adjmt.","Entry No.",I762,"Location Code","@@"&amp;$E$6)</t>
  </si>
  <si>
    <t>=NL("Sum","Item Ledger Entry","Quantity","Entry Type","Positive Adjmt.|Negative Adjmt.","Entry No.",I763,"Location Code","@@"&amp;$E$6)</t>
  </si>
  <si>
    <t>=NL("Sum","Item Ledger Entry","Quantity","Entry Type","Positive Adjmt.|Negative Adjmt.","Entry No.",I764,"Location Code","@@"&amp;$E$6)</t>
  </si>
  <si>
    <t>=NL("Sum","Item Ledger Entry","Quantity","Entry Type","Positive Adjmt.|Negative Adjmt.","Entry No.",I765,"Location Code","@@"&amp;$E$6)</t>
  </si>
  <si>
    <t>=NL("Sum","Item Ledger Entry","Quantity","Entry Type","Positive Adjmt.|Negative Adjmt.","Entry No.",I766,"Location Code","@@"&amp;$E$6)</t>
  </si>
  <si>
    <t>=NL("Sum","Item Ledger Entry","Quantity","Entry Type","Positive Adjmt.|Negative Adjmt.","Entry No.",I767,"Location Code","@@"&amp;$E$6)</t>
  </si>
  <si>
    <t>=NL("Sum","Item Ledger Entry","Quantity","Entry Type","Transfer","Entry No.",I762,"Location Code","@@"&amp;$E$6)</t>
  </si>
  <si>
    <t>=NL("Sum","Item Ledger Entry","Quantity","Entry Type","Transfer","Entry No.",I763,"Location Code","@@"&amp;$E$6)</t>
  </si>
  <si>
    <t>=NL("Sum","Item Ledger Entry","Quantity","Entry Type","Transfer","Entry No.",I764,"Location Code","@@"&amp;$E$6)</t>
  </si>
  <si>
    <t>=NL("Sum","Item Ledger Entry","Quantity","Entry Type","Transfer","Entry No.",I765,"Location Code","@@"&amp;$E$6)</t>
  </si>
  <si>
    <t>=NL("Sum","Item Ledger Entry","Quantity","Entry Type","Transfer","Entry No.",I766,"Location Code","@@"&amp;$E$6)</t>
  </si>
  <si>
    <t>=NL("Sum","Item Ledger Entry","Quantity","Entry Type","Transfer","Entry No.",I767,"Location Code","@@"&amp;$E$6)</t>
  </si>
  <si>
    <t>=NL("Sum","Item Ledger Entry","Quantity","Entry Type","Consumption","Entry No.",I762,"Location Code","@@"&amp;$E$6)</t>
  </si>
  <si>
    <t>=NL("Sum","Item Ledger Entry","Quantity","Entry Type","Consumption","Entry No.",I763,"Location Code","@@"&amp;$E$6)</t>
  </si>
  <si>
    <t>=NL("Sum","Item Ledger Entry","Quantity","Entry Type","Consumption","Entry No.",I764,"Location Code","@@"&amp;$E$6)</t>
  </si>
  <si>
    <t>=NL("Sum","Item Ledger Entry","Quantity","Entry Type","Consumption","Entry No.",I765,"Location Code","@@"&amp;$E$6)</t>
  </si>
  <si>
    <t>=NL("Sum","Item Ledger Entry","Quantity","Entry Type","Consumption","Entry No.",I766,"Location Code","@@"&amp;$E$6)</t>
  </si>
  <si>
    <t>=NL("Sum","Item Ledger Entry","Quantity","Entry Type","Consumption","Entry No.",I767,"Location Code","@@"&amp;$E$6)</t>
  </si>
  <si>
    <t>=NL("Sum","Item Ledger Entry","Quantity","Entry Type","Output","Entry No.",I762,"Location Code","@@"&amp;$E$6)</t>
  </si>
  <si>
    <t>=NL("Sum","Item Ledger Entry","Quantity","Entry Type","Output","Entry No.",I763,"Location Code","@@"&amp;$E$6)</t>
  </si>
  <si>
    <t>=NL("Sum","Item Ledger Entry","Quantity","Entry Type","Output","Entry No.",I764,"Location Code","@@"&amp;$E$6)</t>
  </si>
  <si>
    <t>=NL("Sum","Item Ledger Entry","Quantity","Entry Type","Output","Entry No.",I765,"Location Code","@@"&amp;$E$6)</t>
  </si>
  <si>
    <t>=NL("Sum","Item Ledger Entry","Quantity","Entry Type","Output","Entry No.",I766,"Location Code","@@"&amp;$E$6)</t>
  </si>
  <si>
    <t>=NL("Sum","Item Ledger Entry","Quantity","Entry Type","Output","Entry No.",I767,"Location Code","@@"&amp;$E$6)</t>
  </si>
  <si>
    <t>=NL("Sum","Item Ledger Entry","Quantity","Entry Type","Purchase","Entry No.",I755,"Location Code","@@"&amp;$E$6)</t>
  </si>
  <si>
    <t>=NL("Sum","Item Ledger Entry","Quantity","Entry Type","Purchase","Entry No.",I756,"Location Code","@@"&amp;$E$6)</t>
  </si>
  <si>
    <t>=NL("Sum","Item Ledger Entry","Quantity","Entry Type","Purchase","Entry No.",I757,"Location Code","@@"&amp;$E$6)</t>
  </si>
  <si>
    <t>=NL("Sum","Item Ledger Entry","Quantity","Entry Type","Purchase","Entry No.",I758,"Location Code","@@"&amp;$E$6)</t>
  </si>
  <si>
    <t>=NL("Sum","Item Ledger Entry","Quantity","Entry Type","Sale","Entry No.",I755,"Location Code","@@"&amp;$E$6)</t>
  </si>
  <si>
    <t>=NL("Sum","Item Ledger Entry","Quantity","Entry Type","Sale","Entry No.",I756,"Location Code","@@"&amp;$E$6)</t>
  </si>
  <si>
    <t>=NL("Sum","Item Ledger Entry","Quantity","Entry Type","Sale","Entry No.",I757,"Location Code","@@"&amp;$E$6)</t>
  </si>
  <si>
    <t>=NL("Sum","Item Ledger Entry","Quantity","Entry Type","Sale","Entry No.",I758,"Location Code","@@"&amp;$E$6)</t>
  </si>
  <si>
    <t>=NL("Sum","Item Ledger Entry","Quantity","Entry Type","Positive Adjmt.|Negative Adjmt.","Entry No.",I755,"Location Code","@@"&amp;$E$6)</t>
  </si>
  <si>
    <t>=NL("Sum","Item Ledger Entry","Quantity","Entry Type","Positive Adjmt.|Negative Adjmt.","Entry No.",I756,"Location Code","@@"&amp;$E$6)</t>
  </si>
  <si>
    <t>=NL("Sum","Item Ledger Entry","Quantity","Entry Type","Positive Adjmt.|Negative Adjmt.","Entry No.",I757,"Location Code","@@"&amp;$E$6)</t>
  </si>
  <si>
    <t>=NL("Sum","Item Ledger Entry","Quantity","Entry Type","Positive Adjmt.|Negative Adjmt.","Entry No.",I758,"Location Code","@@"&amp;$E$6)</t>
  </si>
  <si>
    <t>=NL("Sum","Item Ledger Entry","Quantity","Entry Type","Transfer","Entry No.",I755,"Location Code","@@"&amp;$E$6)</t>
  </si>
  <si>
    <t>=NL("Sum","Item Ledger Entry","Quantity","Entry Type","Transfer","Entry No.",I756,"Location Code","@@"&amp;$E$6)</t>
  </si>
  <si>
    <t>=NL("Sum","Item Ledger Entry","Quantity","Entry Type","Transfer","Entry No.",I757,"Location Code","@@"&amp;$E$6)</t>
  </si>
  <si>
    <t>=NL("Sum","Item Ledger Entry","Quantity","Entry Type","Transfer","Entry No.",I758,"Location Code","@@"&amp;$E$6)</t>
  </si>
  <si>
    <t>=NL("Sum","Item Ledger Entry","Quantity","Entry Type","Consumption","Entry No.",I755,"Location Code","@@"&amp;$E$6)</t>
  </si>
  <si>
    <t>=NL("Sum","Item Ledger Entry","Quantity","Entry Type","Consumption","Entry No.",I756,"Location Code","@@"&amp;$E$6)</t>
  </si>
  <si>
    <t>=NL("Sum","Item Ledger Entry","Quantity","Entry Type","Consumption","Entry No.",I757,"Location Code","@@"&amp;$E$6)</t>
  </si>
  <si>
    <t>=NL("Sum","Item Ledger Entry","Quantity","Entry Type","Consumption","Entry No.",I758,"Location Code","@@"&amp;$E$6)</t>
  </si>
  <si>
    <t>=NL("Sum","Item Ledger Entry","Quantity","Entry Type","Output","Entry No.",I755,"Location Code","@@"&amp;$E$6)</t>
  </si>
  <si>
    <t>=NL("Sum","Item Ledger Entry","Quantity","Entry Type","Output","Entry No.",I756,"Location Code","@@"&amp;$E$6)</t>
  </si>
  <si>
    <t>=NL("Sum","Item Ledger Entry","Quantity","Entry Type","Output","Entry No.",I757,"Location Code","@@"&amp;$E$6)</t>
  </si>
  <si>
    <t>=NL("Sum","Item Ledger Entry","Quantity","Entry Type","Output","Entry No.",I758,"Location Code","@@"&amp;$E$6)</t>
  </si>
  <si>
    <t>=NL("Sum","Item Ledger Entry","Quantity","Entry Type","Purchase","Entry No.",I748,"Location Code","@@"&amp;$E$6)</t>
  </si>
  <si>
    <t>=NL("Sum","Item Ledger Entry","Quantity","Entry Type","Purchase","Entry No.",I749,"Location Code","@@"&amp;$E$6)</t>
  </si>
  <si>
    <t>=NL("Sum","Item Ledger Entry","Quantity","Entry Type","Purchase","Entry No.",I750,"Location Code","@@"&amp;$E$6)</t>
  </si>
  <si>
    <t>=NL("Sum","Item Ledger Entry","Quantity","Entry Type","Purchase","Entry No.",I751,"Location Code","@@"&amp;$E$6)</t>
  </si>
  <si>
    <t>=NL("Sum","Item Ledger Entry","Quantity","Entry Type","Sale","Entry No.",I748,"Location Code","@@"&amp;$E$6)</t>
  </si>
  <si>
    <t>=NL("Sum","Item Ledger Entry","Quantity","Entry Type","Sale","Entry No.",I749,"Location Code","@@"&amp;$E$6)</t>
  </si>
  <si>
    <t>=NL("Sum","Item Ledger Entry","Quantity","Entry Type","Sale","Entry No.",I750,"Location Code","@@"&amp;$E$6)</t>
  </si>
  <si>
    <t>=NL("Sum","Item Ledger Entry","Quantity","Entry Type","Sale","Entry No.",I751,"Location Code","@@"&amp;$E$6)</t>
  </si>
  <si>
    <t>=NL("Sum","Item Ledger Entry","Quantity","Entry Type","Positive Adjmt.|Negative Adjmt.","Entry No.",I748,"Location Code","@@"&amp;$E$6)</t>
  </si>
  <si>
    <t>=NL("Sum","Item Ledger Entry","Quantity","Entry Type","Positive Adjmt.|Negative Adjmt.","Entry No.",I749,"Location Code","@@"&amp;$E$6)</t>
  </si>
  <si>
    <t>=NL("Sum","Item Ledger Entry","Quantity","Entry Type","Positive Adjmt.|Negative Adjmt.","Entry No.",I750,"Location Code","@@"&amp;$E$6)</t>
  </si>
  <si>
    <t>=NL("Sum","Item Ledger Entry","Quantity","Entry Type","Positive Adjmt.|Negative Adjmt.","Entry No.",I751,"Location Code","@@"&amp;$E$6)</t>
  </si>
  <si>
    <t>=NL("Sum","Item Ledger Entry","Quantity","Entry Type","Transfer","Entry No.",I748,"Location Code","@@"&amp;$E$6)</t>
  </si>
  <si>
    <t>=NL("Sum","Item Ledger Entry","Quantity","Entry Type","Transfer","Entry No.",I749,"Location Code","@@"&amp;$E$6)</t>
  </si>
  <si>
    <t>=NL("Sum","Item Ledger Entry","Quantity","Entry Type","Transfer","Entry No.",I750,"Location Code","@@"&amp;$E$6)</t>
  </si>
  <si>
    <t>=NL("Sum","Item Ledger Entry","Quantity","Entry Type","Transfer","Entry No.",I751,"Location Code","@@"&amp;$E$6)</t>
  </si>
  <si>
    <t>=NL("Sum","Item Ledger Entry","Quantity","Entry Type","Consumption","Entry No.",I748,"Location Code","@@"&amp;$E$6)</t>
  </si>
  <si>
    <t>=NL("Sum","Item Ledger Entry","Quantity","Entry Type","Consumption","Entry No.",I749,"Location Code","@@"&amp;$E$6)</t>
  </si>
  <si>
    <t>=NL("Sum","Item Ledger Entry","Quantity","Entry Type","Consumption","Entry No.",I750,"Location Code","@@"&amp;$E$6)</t>
  </si>
  <si>
    <t>=NL("Sum","Item Ledger Entry","Quantity","Entry Type","Consumption","Entry No.",I751,"Location Code","@@"&amp;$E$6)</t>
  </si>
  <si>
    <t>=NL("Sum","Item Ledger Entry","Quantity","Entry Type","Output","Entry No.",I748,"Location Code","@@"&amp;$E$6)</t>
  </si>
  <si>
    <t>=NL("Sum","Item Ledger Entry","Quantity","Entry Type","Output","Entry No.",I749,"Location Code","@@"&amp;$E$6)</t>
  </si>
  <si>
    <t>=NL("Sum","Item Ledger Entry","Quantity","Entry Type","Output","Entry No.",I750,"Location Code","@@"&amp;$E$6)</t>
  </si>
  <si>
    <t>=NL("Sum","Item Ledger Entry","Quantity","Entry Type","Output","Entry No.",I751,"Location Code","@@"&amp;$E$6)</t>
  </si>
  <si>
    <t>=NF($G741,"Posting Date")</t>
  </si>
  <si>
    <t>=NF($G742,"Posting Date")</t>
  </si>
  <si>
    <t>=NF($G743,"Posting Date")</t>
  </si>
  <si>
    <t>=NF($G741,"Entry No.")</t>
  </si>
  <si>
    <t>=NF($G742,"Entry No.")</t>
  </si>
  <si>
    <t>=NF($G743,"Entry No.")</t>
  </si>
  <si>
    <t>=NL("Sum","Item Ledger Entry","Quantity","Entry Type","Purchase","Entry No.",I739,"Location Code","@@"&amp;$E$6)</t>
  </si>
  <si>
    <t>=NL("Sum","Item Ledger Entry","Quantity","Entry Type","Purchase","Entry No.",I740,"Location Code","@@"&amp;$E$6)</t>
  </si>
  <si>
    <t>=NL("Sum","Item Ledger Entry","Quantity","Entry Type","Purchase","Entry No.",I741,"Location Code","@@"&amp;$E$6)</t>
  </si>
  <si>
    <t>=NL("Sum","Item Ledger Entry","Quantity","Entry Type","Purchase","Entry No.",I742,"Location Code","@@"&amp;$E$6)</t>
  </si>
  <si>
    <t>=NL("Sum","Item Ledger Entry","Quantity","Entry Type","Purchase","Entry No.",I743,"Location Code","@@"&amp;$E$6)</t>
  </si>
  <si>
    <t>=NL("Sum","Item Ledger Entry","Quantity","Entry Type","Purchase","Entry No.",I744,"Location Code","@@"&amp;$E$6)</t>
  </si>
  <si>
    <t>=NL("Sum","Item Ledger Entry","Quantity","Entry Type","Sale","Entry No.",I739,"Location Code","@@"&amp;$E$6)</t>
  </si>
  <si>
    <t>=NL("Sum","Item Ledger Entry","Quantity","Entry Type","Sale","Entry No.",I740,"Location Code","@@"&amp;$E$6)</t>
  </si>
  <si>
    <t>=NL("Sum","Item Ledger Entry","Quantity","Entry Type","Sale","Entry No.",I741,"Location Code","@@"&amp;$E$6)</t>
  </si>
  <si>
    <t>=NL("Sum","Item Ledger Entry","Quantity","Entry Type","Sale","Entry No.",I742,"Location Code","@@"&amp;$E$6)</t>
  </si>
  <si>
    <t>=NL("Sum","Item Ledger Entry","Quantity","Entry Type","Sale","Entry No.",I743,"Location Code","@@"&amp;$E$6)</t>
  </si>
  <si>
    <t>=NL("Sum","Item Ledger Entry","Quantity","Entry Type","Sale","Entry No.",I744,"Location Code","@@"&amp;$E$6)</t>
  </si>
  <si>
    <t>=NL("Sum","Item Ledger Entry","Quantity","Entry Type","Positive Adjmt.|Negative Adjmt.","Entry No.",I739,"Location Code","@@"&amp;$E$6)</t>
  </si>
  <si>
    <t>=NL("Sum","Item Ledger Entry","Quantity","Entry Type","Positive Adjmt.|Negative Adjmt.","Entry No.",I740,"Location Code","@@"&amp;$E$6)</t>
  </si>
  <si>
    <t>=NL("Sum","Item Ledger Entry","Quantity","Entry Type","Positive Adjmt.|Negative Adjmt.","Entry No.",I741,"Location Code","@@"&amp;$E$6)</t>
  </si>
  <si>
    <t>=NL("Sum","Item Ledger Entry","Quantity","Entry Type","Positive Adjmt.|Negative Adjmt.","Entry No.",I742,"Location Code","@@"&amp;$E$6)</t>
  </si>
  <si>
    <t>=NL("Sum","Item Ledger Entry","Quantity","Entry Type","Positive Adjmt.|Negative Adjmt.","Entry No.",I743,"Location Code","@@"&amp;$E$6)</t>
  </si>
  <si>
    <t>=NL("Sum","Item Ledger Entry","Quantity","Entry Type","Positive Adjmt.|Negative Adjmt.","Entry No.",I744,"Location Code","@@"&amp;$E$6)</t>
  </si>
  <si>
    <t>=NL("Sum","Item Ledger Entry","Quantity","Entry Type","Transfer","Entry No.",I739,"Location Code","@@"&amp;$E$6)</t>
  </si>
  <si>
    <t>=NL("Sum","Item Ledger Entry","Quantity","Entry Type","Transfer","Entry No.",I740,"Location Code","@@"&amp;$E$6)</t>
  </si>
  <si>
    <t>=NL("Sum","Item Ledger Entry","Quantity","Entry Type","Transfer","Entry No.",I741,"Location Code","@@"&amp;$E$6)</t>
  </si>
  <si>
    <t>=NL("Sum","Item Ledger Entry","Quantity","Entry Type","Transfer","Entry No.",I742,"Location Code","@@"&amp;$E$6)</t>
  </si>
  <si>
    <t>=NL("Sum","Item Ledger Entry","Quantity","Entry Type","Transfer","Entry No.",I743,"Location Code","@@"&amp;$E$6)</t>
  </si>
  <si>
    <t>=NL("Sum","Item Ledger Entry","Quantity","Entry Type","Transfer","Entry No.",I744,"Location Code","@@"&amp;$E$6)</t>
  </si>
  <si>
    <t>=NL("Sum","Item Ledger Entry","Quantity","Entry Type","Consumption","Entry No.",I739,"Location Code","@@"&amp;$E$6)</t>
  </si>
  <si>
    <t>=NL("Sum","Item Ledger Entry","Quantity","Entry Type","Consumption","Entry No.",I740,"Location Code","@@"&amp;$E$6)</t>
  </si>
  <si>
    <t>=NL("Sum","Item Ledger Entry","Quantity","Entry Type","Consumption","Entry No.",I741,"Location Code","@@"&amp;$E$6)</t>
  </si>
  <si>
    <t>=NL("Sum","Item Ledger Entry","Quantity","Entry Type","Consumption","Entry No.",I742,"Location Code","@@"&amp;$E$6)</t>
  </si>
  <si>
    <t>=NL("Sum","Item Ledger Entry","Quantity","Entry Type","Consumption","Entry No.",I743,"Location Code","@@"&amp;$E$6)</t>
  </si>
  <si>
    <t>=NL("Sum","Item Ledger Entry","Quantity","Entry Type","Consumption","Entry No.",I744,"Location Code","@@"&amp;$E$6)</t>
  </si>
  <si>
    <t>=NL("Sum","Item Ledger Entry","Quantity","Entry Type","Output","Entry No.",I739,"Location Code","@@"&amp;$E$6)</t>
  </si>
  <si>
    <t>=NL("Sum","Item Ledger Entry","Quantity","Entry Type","Output","Entry No.",I740,"Location Code","@@"&amp;$E$6)</t>
  </si>
  <si>
    <t>=NL("Sum","Item Ledger Entry","Quantity","Entry Type","Output","Entry No.",I741,"Location Code","@@"&amp;$E$6)</t>
  </si>
  <si>
    <t>=NL("Sum","Item Ledger Entry","Quantity","Entry Type","Output","Entry No.",I742,"Location Code","@@"&amp;$E$6)</t>
  </si>
  <si>
    <t>=NL("Sum","Item Ledger Entry","Quantity","Entry Type","Output","Entry No.",I743,"Location Code","@@"&amp;$E$6)</t>
  </si>
  <si>
    <t>=NL("Sum","Item Ledger Entry","Quantity","Entry Type","Output","Entry No.",I744,"Location Code","@@"&amp;$E$6)</t>
  </si>
  <si>
    <t>=NF(G741,"Source Type")</t>
  </si>
  <si>
    <t>=NF(G742,"Source Type")</t>
  </si>
  <si>
    <t>=NF(G743,"Source Type")</t>
  </si>
  <si>
    <t>=NF($G741,"Source No.")</t>
  </si>
  <si>
    <t>=NF($G742,"Source No.")</t>
  </si>
  <si>
    <t>=NF($G743,"Source No.")</t>
  </si>
  <si>
    <t>=NF($G733,"Posting Date")</t>
  </si>
  <si>
    <t>=NF($G733,"Entry No.")</t>
  </si>
  <si>
    <t>=NL("Sum","Item Ledger Entry","Quantity","Entry Type","Purchase","Entry No.",I731,"Location Code","@@"&amp;$E$6)</t>
  </si>
  <si>
    <t>=NL("Sum","Item Ledger Entry","Quantity","Entry Type","Purchase","Entry No.",I732,"Location Code","@@"&amp;$E$6)</t>
  </si>
  <si>
    <t>=NL("Sum","Item Ledger Entry","Quantity","Entry Type","Purchase","Entry No.",I733,"Location Code","@@"&amp;$E$6)</t>
  </si>
  <si>
    <t>=NL("Sum","Item Ledger Entry","Quantity","Entry Type","Purchase","Entry No.",I734,"Location Code","@@"&amp;$E$6)</t>
  </si>
  <si>
    <t>=NL("Sum","Item Ledger Entry","Quantity","Entry Type","Purchase","Entry No.",I735,"Location Code","@@"&amp;$E$6)</t>
  </si>
  <si>
    <t>=NL("Sum","Item Ledger Entry","Quantity","Entry Type","Sale","Entry No.",I731,"Location Code","@@"&amp;$E$6)</t>
  </si>
  <si>
    <t>=NL("Sum","Item Ledger Entry","Quantity","Entry Type","Sale","Entry No.",I732,"Location Code","@@"&amp;$E$6)</t>
  </si>
  <si>
    <t>=NL("Sum","Item Ledger Entry","Quantity","Entry Type","Sale","Entry No.",I733,"Location Code","@@"&amp;$E$6)</t>
  </si>
  <si>
    <t>=NL("Sum","Item Ledger Entry","Quantity","Entry Type","Sale","Entry No.",I734,"Location Code","@@"&amp;$E$6)</t>
  </si>
  <si>
    <t>=NL("Sum","Item Ledger Entry","Quantity","Entry Type","Sale","Entry No.",I735,"Location Code","@@"&amp;$E$6)</t>
  </si>
  <si>
    <t>=NL("Sum","Item Ledger Entry","Quantity","Entry Type","Positive Adjmt.|Negative Adjmt.","Entry No.",I731,"Location Code","@@"&amp;$E$6)</t>
  </si>
  <si>
    <t>=NL("Sum","Item Ledger Entry","Quantity","Entry Type","Positive Adjmt.|Negative Adjmt.","Entry No.",I732,"Location Code","@@"&amp;$E$6)</t>
  </si>
  <si>
    <t>=NL("Sum","Item Ledger Entry","Quantity","Entry Type","Positive Adjmt.|Negative Adjmt.","Entry No.",I733,"Location Code","@@"&amp;$E$6)</t>
  </si>
  <si>
    <t>=NL("Sum","Item Ledger Entry","Quantity","Entry Type","Positive Adjmt.|Negative Adjmt.","Entry No.",I734,"Location Code","@@"&amp;$E$6)</t>
  </si>
  <si>
    <t>=NL("Sum","Item Ledger Entry","Quantity","Entry Type","Positive Adjmt.|Negative Adjmt.","Entry No.",I735,"Location Code","@@"&amp;$E$6)</t>
  </si>
  <si>
    <t>=NL("Sum","Item Ledger Entry","Quantity","Entry Type","Transfer","Entry No.",I731,"Location Code","@@"&amp;$E$6)</t>
  </si>
  <si>
    <t>=NL("Sum","Item Ledger Entry","Quantity","Entry Type","Transfer","Entry No.",I732,"Location Code","@@"&amp;$E$6)</t>
  </si>
  <si>
    <t>=NL("Sum","Item Ledger Entry","Quantity","Entry Type","Transfer","Entry No.",I733,"Location Code","@@"&amp;$E$6)</t>
  </si>
  <si>
    <t>=NL("Sum","Item Ledger Entry","Quantity","Entry Type","Transfer","Entry No.",I734,"Location Code","@@"&amp;$E$6)</t>
  </si>
  <si>
    <t>=NL("Sum","Item Ledger Entry","Quantity","Entry Type","Transfer","Entry No.",I735,"Location Code","@@"&amp;$E$6)</t>
  </si>
  <si>
    <t>=NL("Sum","Item Ledger Entry","Quantity","Entry Type","Consumption","Entry No.",I731,"Location Code","@@"&amp;$E$6)</t>
  </si>
  <si>
    <t>=NL("Sum","Item Ledger Entry","Quantity","Entry Type","Consumption","Entry No.",I732,"Location Code","@@"&amp;$E$6)</t>
  </si>
  <si>
    <t>=NL("Sum","Item Ledger Entry","Quantity","Entry Type","Consumption","Entry No.",I733,"Location Code","@@"&amp;$E$6)</t>
  </si>
  <si>
    <t>=NL("Sum","Item Ledger Entry","Quantity","Entry Type","Consumption","Entry No.",I734,"Location Code","@@"&amp;$E$6)</t>
  </si>
  <si>
    <t>=NL("Sum","Item Ledger Entry","Quantity","Entry Type","Consumption","Entry No.",I735,"Location Code","@@"&amp;$E$6)</t>
  </si>
  <si>
    <t>=NL("Sum","Item Ledger Entry","Quantity","Entry Type","Output","Entry No.",I731,"Location Code","@@"&amp;$E$6)</t>
  </si>
  <si>
    <t>=NL("Sum","Item Ledger Entry","Quantity","Entry Type","Output","Entry No.",I732,"Location Code","@@"&amp;$E$6)</t>
  </si>
  <si>
    <t>=NL("Sum","Item Ledger Entry","Quantity","Entry Type","Output","Entry No.",I733,"Location Code","@@"&amp;$E$6)</t>
  </si>
  <si>
    <t>=NL("Sum","Item Ledger Entry","Quantity","Entry Type","Output","Entry No.",I734,"Location Code","@@"&amp;$E$6)</t>
  </si>
  <si>
    <t>=NL("Sum","Item Ledger Entry","Quantity","Entry Type","Output","Entry No.",I735,"Location Code","@@"&amp;$E$6)</t>
  </si>
  <si>
    <t>=NF(G733,"Source Type")</t>
  </si>
  <si>
    <t>=NF($G733,"Source No.")</t>
  </si>
  <si>
    <t>=NF($G725,"Posting Date")</t>
  </si>
  <si>
    <t>=NF($G726,"Posting Date")</t>
  </si>
  <si>
    <t>=NF($G727,"Posting Date")</t>
  </si>
  <si>
    <t>=NF($G725,"Entry No.")</t>
  </si>
  <si>
    <t>=NF($G726,"Entry No.")</t>
  </si>
  <si>
    <t>=NF($G727,"Entry No.")</t>
  </si>
  <si>
    <t>=NL("Sum","Item Ledger Entry","Quantity","Entry Type","Purchase","Entry No.",I722,"Location Code","@@"&amp;$E$6)</t>
  </si>
  <si>
    <t>=NL("Sum","Item Ledger Entry","Quantity","Entry Type","Purchase","Entry No.",I723,"Location Code","@@"&amp;$E$6)</t>
  </si>
  <si>
    <t>=NL("Sum","Item Ledger Entry","Quantity","Entry Type","Purchase","Entry No.",I724,"Location Code","@@"&amp;$E$6)</t>
  </si>
  <si>
    <t>=NL("Sum","Item Ledger Entry","Quantity","Entry Type","Purchase","Entry No.",I725,"Location Code","@@"&amp;$E$6)</t>
  </si>
  <si>
    <t>=NL("Sum","Item Ledger Entry","Quantity","Entry Type","Purchase","Entry No.",I726,"Location Code","@@"&amp;$E$6)</t>
  </si>
  <si>
    <t>=NL("Sum","Item Ledger Entry","Quantity","Entry Type","Purchase","Entry No.",I727,"Location Code","@@"&amp;$E$6)</t>
  </si>
  <si>
    <t>=NL("Sum","Item Ledger Entry","Quantity","Entry Type","Sale","Entry No.",I722,"Location Code","@@"&amp;$E$6)</t>
  </si>
  <si>
    <t>=NL("Sum","Item Ledger Entry","Quantity","Entry Type","Sale","Entry No.",I723,"Location Code","@@"&amp;$E$6)</t>
  </si>
  <si>
    <t>=NL("Sum","Item Ledger Entry","Quantity","Entry Type","Sale","Entry No.",I724,"Location Code","@@"&amp;$E$6)</t>
  </si>
  <si>
    <t>=NL("Sum","Item Ledger Entry","Quantity","Entry Type","Sale","Entry No.",I725,"Location Code","@@"&amp;$E$6)</t>
  </si>
  <si>
    <t>=NL("Sum","Item Ledger Entry","Quantity","Entry Type","Sale","Entry No.",I726,"Location Code","@@"&amp;$E$6)</t>
  </si>
  <si>
    <t>=NL("Sum","Item Ledger Entry","Quantity","Entry Type","Sale","Entry No.",I727,"Location Code","@@"&amp;$E$6)</t>
  </si>
  <si>
    <t>=NL("Sum","Item Ledger Entry","Quantity","Entry Type","Positive Adjmt.|Negative Adjmt.","Entry No.",I722,"Location Code","@@"&amp;$E$6)</t>
  </si>
  <si>
    <t>=NL("Sum","Item Ledger Entry","Quantity","Entry Type","Positive Adjmt.|Negative Adjmt.","Entry No.",I723,"Location Code","@@"&amp;$E$6)</t>
  </si>
  <si>
    <t>=NL("Sum","Item Ledger Entry","Quantity","Entry Type","Positive Adjmt.|Negative Adjmt.","Entry No.",I724,"Location Code","@@"&amp;$E$6)</t>
  </si>
  <si>
    <t>=NL("Sum","Item Ledger Entry","Quantity","Entry Type","Positive Adjmt.|Negative Adjmt.","Entry No.",I725,"Location Code","@@"&amp;$E$6)</t>
  </si>
  <si>
    <t>=NL("Sum","Item Ledger Entry","Quantity","Entry Type","Positive Adjmt.|Negative Adjmt.","Entry No.",I726,"Location Code","@@"&amp;$E$6)</t>
  </si>
  <si>
    <t>=NL("Sum","Item Ledger Entry","Quantity","Entry Type","Positive Adjmt.|Negative Adjmt.","Entry No.",I727,"Location Code","@@"&amp;$E$6)</t>
  </si>
  <si>
    <t>=NL("Sum","Item Ledger Entry","Quantity","Entry Type","Transfer","Entry No.",I722,"Location Code","@@"&amp;$E$6)</t>
  </si>
  <si>
    <t>=NL("Sum","Item Ledger Entry","Quantity","Entry Type","Transfer","Entry No.",I723,"Location Code","@@"&amp;$E$6)</t>
  </si>
  <si>
    <t>=NL("Sum","Item Ledger Entry","Quantity","Entry Type","Transfer","Entry No.",I724,"Location Code","@@"&amp;$E$6)</t>
  </si>
  <si>
    <t>=NL("Sum","Item Ledger Entry","Quantity","Entry Type","Transfer","Entry No.",I725,"Location Code","@@"&amp;$E$6)</t>
  </si>
  <si>
    <t>=NL("Sum","Item Ledger Entry","Quantity","Entry Type","Transfer","Entry No.",I726,"Location Code","@@"&amp;$E$6)</t>
  </si>
  <si>
    <t>=NL("Sum","Item Ledger Entry","Quantity","Entry Type","Transfer","Entry No.",I727,"Location Code","@@"&amp;$E$6)</t>
  </si>
  <si>
    <t>=NL("Sum","Item Ledger Entry","Quantity","Entry Type","Consumption","Entry No.",I722,"Location Code","@@"&amp;$E$6)</t>
  </si>
  <si>
    <t>=NL("Sum","Item Ledger Entry","Quantity","Entry Type","Consumption","Entry No.",I723,"Location Code","@@"&amp;$E$6)</t>
  </si>
  <si>
    <t>=NL("Sum","Item Ledger Entry","Quantity","Entry Type","Consumption","Entry No.",I724,"Location Code","@@"&amp;$E$6)</t>
  </si>
  <si>
    <t>=NL("Sum","Item Ledger Entry","Quantity","Entry Type","Consumption","Entry No.",I725,"Location Code","@@"&amp;$E$6)</t>
  </si>
  <si>
    <t>=NL("Sum","Item Ledger Entry","Quantity","Entry Type","Consumption","Entry No.",I726,"Location Code","@@"&amp;$E$6)</t>
  </si>
  <si>
    <t>=NL("Sum","Item Ledger Entry","Quantity","Entry Type","Consumption","Entry No.",I727,"Location Code","@@"&amp;$E$6)</t>
  </si>
  <si>
    <t>=NL("Sum","Item Ledger Entry","Quantity","Entry Type","Output","Entry No.",I722,"Location Code","@@"&amp;$E$6)</t>
  </si>
  <si>
    <t>=NL("Sum","Item Ledger Entry","Quantity","Entry Type","Output","Entry No.",I723,"Location Code","@@"&amp;$E$6)</t>
  </si>
  <si>
    <t>=NL("Sum","Item Ledger Entry","Quantity","Entry Type","Output","Entry No.",I724,"Location Code","@@"&amp;$E$6)</t>
  </si>
  <si>
    <t>=NL("Sum","Item Ledger Entry","Quantity","Entry Type","Output","Entry No.",I725,"Location Code","@@"&amp;$E$6)</t>
  </si>
  <si>
    <t>=NL("Sum","Item Ledger Entry","Quantity","Entry Type","Output","Entry No.",I726,"Location Code","@@"&amp;$E$6)</t>
  </si>
  <si>
    <t>=NL("Sum","Item Ledger Entry","Quantity","Entry Type","Output","Entry No.",I727,"Location Code","@@"&amp;$E$6)</t>
  </si>
  <si>
    <t>=NF(G725,"Source Type")</t>
  </si>
  <si>
    <t>=NF(G726,"Source Type")</t>
  </si>
  <si>
    <t>=NF(G727,"Source Type")</t>
  </si>
  <si>
    <t>=NF($G725,"Source No.")</t>
  </si>
  <si>
    <t>=NF($G726,"Source No.")</t>
  </si>
  <si>
    <t>=NF($G727,"Source No.")</t>
  </si>
  <si>
    <t>=NF($G717,"Posting Date")</t>
  </si>
  <si>
    <t>=NF($G718,"Posting Date")</t>
  </si>
  <si>
    <t>=NF($G717,"Entry No.")</t>
  </si>
  <si>
    <t>=NF($G718,"Entry No.")</t>
  </si>
  <si>
    <t>=NL("Sum","Item Ledger Entry","Quantity","Entry Type","Purchase","Entry No.",I716,"Location Code","@@"&amp;$E$6)</t>
  </si>
  <si>
    <t>=NL("Sum","Item Ledger Entry","Quantity","Entry Type","Purchase","Entry No.",I717,"Location Code","@@"&amp;$E$6)</t>
  </si>
  <si>
    <t>=NL("Sum","Item Ledger Entry","Quantity","Entry Type","Purchase","Entry No.",I718,"Location Code","@@"&amp;$E$6)</t>
  </si>
  <si>
    <t>=NL("Sum","Item Ledger Entry","Quantity","Entry Type","Sale","Entry No.",I716,"Location Code","@@"&amp;$E$6)</t>
  </si>
  <si>
    <t>=NL("Sum","Item Ledger Entry","Quantity","Entry Type","Sale","Entry No.",I717,"Location Code","@@"&amp;$E$6)</t>
  </si>
  <si>
    <t>=NL("Sum","Item Ledger Entry","Quantity","Entry Type","Sale","Entry No.",I718,"Location Code","@@"&amp;$E$6)</t>
  </si>
  <si>
    <t>=NL("Sum","Item Ledger Entry","Quantity","Entry Type","Positive Adjmt.|Negative Adjmt.","Entry No.",I716,"Location Code","@@"&amp;$E$6)</t>
  </si>
  <si>
    <t>=NL("Sum","Item Ledger Entry","Quantity","Entry Type","Positive Adjmt.|Negative Adjmt.","Entry No.",I717,"Location Code","@@"&amp;$E$6)</t>
  </si>
  <si>
    <t>=NL("Sum","Item Ledger Entry","Quantity","Entry Type","Positive Adjmt.|Negative Adjmt.","Entry No.",I718,"Location Code","@@"&amp;$E$6)</t>
  </si>
  <si>
    <t>=NL("Sum","Item Ledger Entry","Quantity","Entry Type","Transfer","Entry No.",I716,"Location Code","@@"&amp;$E$6)</t>
  </si>
  <si>
    <t>=NL("Sum","Item Ledger Entry","Quantity","Entry Type","Transfer","Entry No.",I717,"Location Code","@@"&amp;$E$6)</t>
  </si>
  <si>
    <t>=NL("Sum","Item Ledger Entry","Quantity","Entry Type","Transfer","Entry No.",I718,"Location Code","@@"&amp;$E$6)</t>
  </si>
  <si>
    <t>=NL("Sum","Item Ledger Entry","Quantity","Entry Type","Consumption","Entry No.",I716,"Location Code","@@"&amp;$E$6)</t>
  </si>
  <si>
    <t>=NL("Sum","Item Ledger Entry","Quantity","Entry Type","Consumption","Entry No.",I717,"Location Code","@@"&amp;$E$6)</t>
  </si>
  <si>
    <t>=NL("Sum","Item Ledger Entry","Quantity","Entry Type","Consumption","Entry No.",I718,"Location Code","@@"&amp;$E$6)</t>
  </si>
  <si>
    <t>=NL("Sum","Item Ledger Entry","Quantity","Entry Type","Output","Entry No.",I716,"Location Code","@@"&amp;$E$6)</t>
  </si>
  <si>
    <t>=NL("Sum","Item Ledger Entry","Quantity","Entry Type","Output","Entry No.",I717,"Location Code","@@"&amp;$E$6)</t>
  </si>
  <si>
    <t>=NL("Sum","Item Ledger Entry","Quantity","Entry Type","Output","Entry No.",I718,"Location Code","@@"&amp;$E$6)</t>
  </si>
  <si>
    <t>=NF(G717,"Source Type")</t>
  </si>
  <si>
    <t>=NF(G718,"Source Type")</t>
  </si>
  <si>
    <t>=NF($G717,"Source No.")</t>
  </si>
  <si>
    <t>=NF($G718,"Source No.")</t>
  </si>
  <si>
    <t>=NL("Sum","Item Ledger Entry","Quantity","Entry Type","Purchase","Entry No.",I699,"Location Code","@@"&amp;$E$6)</t>
  </si>
  <si>
    <t>=NL("Sum","Item Ledger Entry","Quantity","Entry Type","Purchase","Entry No.",I700,"Location Code","@@"&amp;$E$6)</t>
  </si>
  <si>
    <t>=NL("Sum","Item Ledger Entry","Quantity","Entry Type","Purchase","Entry No.",I701,"Location Code","@@"&amp;$E$6)</t>
  </si>
  <si>
    <t>=NL("Sum","Item Ledger Entry","Quantity","Entry Type","Purchase","Entry No.",I702,"Location Code","@@"&amp;$E$6)</t>
  </si>
  <si>
    <t>=NL("Sum","Item Ledger Entry","Quantity","Entry Type","Purchase","Entry No.",I703,"Location Code","@@"&amp;$E$6)</t>
  </si>
  <si>
    <t>=NL("Sum","Item Ledger Entry","Quantity","Entry Type","Purchase","Entry No.",I704,"Location Code","@@"&amp;$E$6)</t>
  </si>
  <si>
    <t>=NL("Sum","Item Ledger Entry","Quantity","Entry Type","Purchase","Entry No.",I705,"Location Code","@@"&amp;$E$6)</t>
  </si>
  <si>
    <t>=NL("Sum","Item Ledger Entry","Quantity","Entry Type","Purchase","Entry No.",I706,"Location Code","@@"&amp;$E$6)</t>
  </si>
  <si>
    <t>=NL("Sum","Item Ledger Entry","Quantity","Entry Type","Purchase","Entry No.",I707,"Location Code","@@"&amp;$E$6)</t>
  </si>
  <si>
    <t>=NL("Sum","Item Ledger Entry","Quantity","Entry Type","Sale","Entry No.",I699,"Location Code","@@"&amp;$E$6)</t>
  </si>
  <si>
    <t>=NL("Sum","Item Ledger Entry","Quantity","Entry Type","Sale","Entry No.",I700,"Location Code","@@"&amp;$E$6)</t>
  </si>
  <si>
    <t>=NL("Sum","Item Ledger Entry","Quantity","Entry Type","Sale","Entry No.",I701,"Location Code","@@"&amp;$E$6)</t>
  </si>
  <si>
    <t>=NL("Sum","Item Ledger Entry","Quantity","Entry Type","Sale","Entry No.",I702,"Location Code","@@"&amp;$E$6)</t>
  </si>
  <si>
    <t>=NL("Sum","Item Ledger Entry","Quantity","Entry Type","Sale","Entry No.",I703,"Location Code","@@"&amp;$E$6)</t>
  </si>
  <si>
    <t>=NL("Sum","Item Ledger Entry","Quantity","Entry Type","Sale","Entry No.",I704,"Location Code","@@"&amp;$E$6)</t>
  </si>
  <si>
    <t>=NL("Sum","Item Ledger Entry","Quantity","Entry Type","Sale","Entry No.",I705,"Location Code","@@"&amp;$E$6)</t>
  </si>
  <si>
    <t>=NL("Sum","Item Ledger Entry","Quantity","Entry Type","Sale","Entry No.",I706,"Location Code","@@"&amp;$E$6)</t>
  </si>
  <si>
    <t>=NL("Sum","Item Ledger Entry","Quantity","Entry Type","Sale","Entry No.",I707,"Location Code","@@"&amp;$E$6)</t>
  </si>
  <si>
    <t>=NL("Sum","Item Ledger Entry","Quantity","Entry Type","Positive Adjmt.|Negative Adjmt.","Entry No.",I699,"Location Code","@@"&amp;$E$6)</t>
  </si>
  <si>
    <t>=NL("Sum","Item Ledger Entry","Quantity","Entry Type","Positive Adjmt.|Negative Adjmt.","Entry No.",I700,"Location Code","@@"&amp;$E$6)</t>
  </si>
  <si>
    <t>=NL("Sum","Item Ledger Entry","Quantity","Entry Type","Positive Adjmt.|Negative Adjmt.","Entry No.",I701,"Location Code","@@"&amp;$E$6)</t>
  </si>
  <si>
    <t>=NL("Sum","Item Ledger Entry","Quantity","Entry Type","Positive Adjmt.|Negative Adjmt.","Entry No.",I702,"Location Code","@@"&amp;$E$6)</t>
  </si>
  <si>
    <t>=NL("Sum","Item Ledger Entry","Quantity","Entry Type","Positive Adjmt.|Negative Adjmt.","Entry No.",I703,"Location Code","@@"&amp;$E$6)</t>
  </si>
  <si>
    <t>=NL("Sum","Item Ledger Entry","Quantity","Entry Type","Positive Adjmt.|Negative Adjmt.","Entry No.",I704,"Location Code","@@"&amp;$E$6)</t>
  </si>
  <si>
    <t>=NL("Sum","Item Ledger Entry","Quantity","Entry Type","Positive Adjmt.|Negative Adjmt.","Entry No.",I705,"Location Code","@@"&amp;$E$6)</t>
  </si>
  <si>
    <t>=NL("Sum","Item Ledger Entry","Quantity","Entry Type","Positive Adjmt.|Negative Adjmt.","Entry No.",I706,"Location Code","@@"&amp;$E$6)</t>
  </si>
  <si>
    <t>=NL("Sum","Item Ledger Entry","Quantity","Entry Type","Positive Adjmt.|Negative Adjmt.","Entry No.",I707,"Location Code","@@"&amp;$E$6)</t>
  </si>
  <si>
    <t>=NL("Sum","Item Ledger Entry","Quantity","Entry Type","Transfer","Entry No.",I699,"Location Code","@@"&amp;$E$6)</t>
  </si>
  <si>
    <t>=NL("Sum","Item Ledger Entry","Quantity","Entry Type","Transfer","Entry No.",I700,"Location Code","@@"&amp;$E$6)</t>
  </si>
  <si>
    <t>=NL("Sum","Item Ledger Entry","Quantity","Entry Type","Transfer","Entry No.",I701,"Location Code","@@"&amp;$E$6)</t>
  </si>
  <si>
    <t>=NL("Sum","Item Ledger Entry","Quantity","Entry Type","Transfer","Entry No.",I702,"Location Code","@@"&amp;$E$6)</t>
  </si>
  <si>
    <t>=NL("Sum","Item Ledger Entry","Quantity","Entry Type","Transfer","Entry No.",I703,"Location Code","@@"&amp;$E$6)</t>
  </si>
  <si>
    <t>=NL("Sum","Item Ledger Entry","Quantity","Entry Type","Transfer","Entry No.",I704,"Location Code","@@"&amp;$E$6)</t>
  </si>
  <si>
    <t>=NL("Sum","Item Ledger Entry","Quantity","Entry Type","Transfer","Entry No.",I705,"Location Code","@@"&amp;$E$6)</t>
  </si>
  <si>
    <t>=NL("Sum","Item Ledger Entry","Quantity","Entry Type","Transfer","Entry No.",I706,"Location Code","@@"&amp;$E$6)</t>
  </si>
  <si>
    <t>=NL("Sum","Item Ledger Entry","Quantity","Entry Type","Transfer","Entry No.",I707,"Location Code","@@"&amp;$E$6)</t>
  </si>
  <si>
    <t>=NL("Sum","Item Ledger Entry","Quantity","Entry Type","Consumption","Entry No.",I699,"Location Code","@@"&amp;$E$6)</t>
  </si>
  <si>
    <t>=NL("Sum","Item Ledger Entry","Quantity","Entry Type","Consumption","Entry No.",I700,"Location Code","@@"&amp;$E$6)</t>
  </si>
  <si>
    <t>=NL("Sum","Item Ledger Entry","Quantity","Entry Type","Consumption","Entry No.",I701,"Location Code","@@"&amp;$E$6)</t>
  </si>
  <si>
    <t>=NL("Sum","Item Ledger Entry","Quantity","Entry Type","Consumption","Entry No.",I702,"Location Code","@@"&amp;$E$6)</t>
  </si>
  <si>
    <t>=NL("Sum","Item Ledger Entry","Quantity","Entry Type","Consumption","Entry No.",I703,"Location Code","@@"&amp;$E$6)</t>
  </si>
  <si>
    <t>=NL("Sum","Item Ledger Entry","Quantity","Entry Type","Consumption","Entry No.",I704,"Location Code","@@"&amp;$E$6)</t>
  </si>
  <si>
    <t>=NL("Sum","Item Ledger Entry","Quantity","Entry Type","Consumption","Entry No.",I705,"Location Code","@@"&amp;$E$6)</t>
  </si>
  <si>
    <t>=NL("Sum","Item Ledger Entry","Quantity","Entry Type","Consumption","Entry No.",I706,"Location Code","@@"&amp;$E$6)</t>
  </si>
  <si>
    <t>=NL("Sum","Item Ledger Entry","Quantity","Entry Type","Consumption","Entry No.",I707,"Location Code","@@"&amp;$E$6)</t>
  </si>
  <si>
    <t>=NL("Sum","Item Ledger Entry","Quantity","Entry Type","Output","Entry No.",I699,"Location Code","@@"&amp;$E$6)</t>
  </si>
  <si>
    <t>=NL("Sum","Item Ledger Entry","Quantity","Entry Type","Output","Entry No.",I700,"Location Code","@@"&amp;$E$6)</t>
  </si>
  <si>
    <t>=NL("Sum","Item Ledger Entry","Quantity","Entry Type","Output","Entry No.",I701,"Location Code","@@"&amp;$E$6)</t>
  </si>
  <si>
    <t>=NL("Sum","Item Ledger Entry","Quantity","Entry Type","Output","Entry No.",I702,"Location Code","@@"&amp;$E$6)</t>
  </si>
  <si>
    <t>=NL("Sum","Item Ledger Entry","Quantity","Entry Type","Output","Entry No.",I703,"Location Code","@@"&amp;$E$6)</t>
  </si>
  <si>
    <t>=NL("Sum","Item Ledger Entry","Quantity","Entry Type","Output","Entry No.",I704,"Location Code","@@"&amp;$E$6)</t>
  </si>
  <si>
    <t>=NL("Sum","Item Ledger Entry","Quantity","Entry Type","Output","Entry No.",I705,"Location Code","@@"&amp;$E$6)</t>
  </si>
  <si>
    <t>=NL("Sum","Item Ledger Entry","Quantity","Entry Type","Output","Entry No.",I706,"Location Code","@@"&amp;$E$6)</t>
  </si>
  <si>
    <t>=NL("Sum","Item Ledger Entry","Quantity","Entry Type","Output","Entry No.",I707,"Location Code","@@"&amp;$E$6)</t>
  </si>
  <si>
    <t>=NL("Sum","Item Ledger Entry","Quantity","Entry Type","Purchase","Entry No.",I690,"Location Code","@@"&amp;$E$6)</t>
  </si>
  <si>
    <t>=NL("Sum","Item Ledger Entry","Quantity","Entry Type","Purchase","Entry No.",I691,"Location Code","@@"&amp;$E$6)</t>
  </si>
  <si>
    <t>=NL("Sum","Item Ledger Entry","Quantity","Entry Type","Purchase","Entry No.",I692,"Location Code","@@"&amp;$E$6)</t>
  </si>
  <si>
    <t>=NL("Sum","Item Ledger Entry","Quantity","Entry Type","Purchase","Entry No.",I693,"Location Code","@@"&amp;$E$6)</t>
  </si>
  <si>
    <t>=NL("Sum","Item Ledger Entry","Quantity","Entry Type","Purchase","Entry No.",I694,"Location Code","@@"&amp;$E$6)</t>
  </si>
  <si>
    <t>=NL("Sum","Item Ledger Entry","Quantity","Entry Type","Purchase","Entry No.",I695,"Location Code","@@"&amp;$E$6)</t>
  </si>
  <si>
    <t>=NL("Sum","Item Ledger Entry","Quantity","Entry Type","Sale","Entry No.",I690,"Location Code","@@"&amp;$E$6)</t>
  </si>
  <si>
    <t>=NL("Sum","Item Ledger Entry","Quantity","Entry Type","Sale","Entry No.",I691,"Location Code","@@"&amp;$E$6)</t>
  </si>
  <si>
    <t>=NL("Sum","Item Ledger Entry","Quantity","Entry Type","Sale","Entry No.",I692,"Location Code","@@"&amp;$E$6)</t>
  </si>
  <si>
    <t>=NL("Sum","Item Ledger Entry","Quantity","Entry Type","Sale","Entry No.",I693,"Location Code","@@"&amp;$E$6)</t>
  </si>
  <si>
    <t>=NL("Sum","Item Ledger Entry","Quantity","Entry Type","Sale","Entry No.",I694,"Location Code","@@"&amp;$E$6)</t>
  </si>
  <si>
    <t>=NL("Sum","Item Ledger Entry","Quantity","Entry Type","Sale","Entry No.",I695,"Location Code","@@"&amp;$E$6)</t>
  </si>
  <si>
    <t>=NL("Sum","Item Ledger Entry","Quantity","Entry Type","Positive Adjmt.|Negative Adjmt.","Entry No.",I690,"Location Code","@@"&amp;$E$6)</t>
  </si>
  <si>
    <t>=NL("Sum","Item Ledger Entry","Quantity","Entry Type","Positive Adjmt.|Negative Adjmt.","Entry No.",I691,"Location Code","@@"&amp;$E$6)</t>
  </si>
  <si>
    <t>=NL("Sum","Item Ledger Entry","Quantity","Entry Type","Positive Adjmt.|Negative Adjmt.","Entry No.",I692,"Location Code","@@"&amp;$E$6)</t>
  </si>
  <si>
    <t>=NL("Sum","Item Ledger Entry","Quantity","Entry Type","Positive Adjmt.|Negative Adjmt.","Entry No.",I693,"Location Code","@@"&amp;$E$6)</t>
  </si>
  <si>
    <t>=NL("Sum","Item Ledger Entry","Quantity","Entry Type","Positive Adjmt.|Negative Adjmt.","Entry No.",I694,"Location Code","@@"&amp;$E$6)</t>
  </si>
  <si>
    <t>=NL("Sum","Item Ledger Entry","Quantity","Entry Type","Positive Adjmt.|Negative Adjmt.","Entry No.",I695,"Location Code","@@"&amp;$E$6)</t>
  </si>
  <si>
    <t>=NL("Sum","Item Ledger Entry","Quantity","Entry Type","Transfer","Entry No.",I690,"Location Code","@@"&amp;$E$6)</t>
  </si>
  <si>
    <t>=NL("Sum","Item Ledger Entry","Quantity","Entry Type","Transfer","Entry No.",I691,"Location Code","@@"&amp;$E$6)</t>
  </si>
  <si>
    <t>=NL("Sum","Item Ledger Entry","Quantity","Entry Type","Transfer","Entry No.",I692,"Location Code","@@"&amp;$E$6)</t>
  </si>
  <si>
    <t>=NL("Sum","Item Ledger Entry","Quantity","Entry Type","Transfer","Entry No.",I693,"Location Code","@@"&amp;$E$6)</t>
  </si>
  <si>
    <t>=NL("Sum","Item Ledger Entry","Quantity","Entry Type","Transfer","Entry No.",I694,"Location Code","@@"&amp;$E$6)</t>
  </si>
  <si>
    <t>=NL("Sum","Item Ledger Entry","Quantity","Entry Type","Transfer","Entry No.",I695,"Location Code","@@"&amp;$E$6)</t>
  </si>
  <si>
    <t>=NL("Sum","Item Ledger Entry","Quantity","Entry Type","Consumption","Entry No.",I690,"Location Code","@@"&amp;$E$6)</t>
  </si>
  <si>
    <t>=NL("Sum","Item Ledger Entry","Quantity","Entry Type","Consumption","Entry No.",I691,"Location Code","@@"&amp;$E$6)</t>
  </si>
  <si>
    <t>=NL("Sum","Item Ledger Entry","Quantity","Entry Type","Consumption","Entry No.",I692,"Location Code","@@"&amp;$E$6)</t>
  </si>
  <si>
    <t>=NL("Sum","Item Ledger Entry","Quantity","Entry Type","Consumption","Entry No.",I693,"Location Code","@@"&amp;$E$6)</t>
  </si>
  <si>
    <t>=NL("Sum","Item Ledger Entry","Quantity","Entry Type","Consumption","Entry No.",I694,"Location Code","@@"&amp;$E$6)</t>
  </si>
  <si>
    <t>=NL("Sum","Item Ledger Entry","Quantity","Entry Type","Consumption","Entry No.",I695,"Location Code","@@"&amp;$E$6)</t>
  </si>
  <si>
    <t>=NL("Sum","Item Ledger Entry","Quantity","Entry Type","Output","Entry No.",I690,"Location Code","@@"&amp;$E$6)</t>
  </si>
  <si>
    <t>=NL("Sum","Item Ledger Entry","Quantity","Entry Type","Output","Entry No.",I691,"Location Code","@@"&amp;$E$6)</t>
  </si>
  <si>
    <t>=NL("Sum","Item Ledger Entry","Quantity","Entry Type","Output","Entry No.",I692,"Location Code","@@"&amp;$E$6)</t>
  </si>
  <si>
    <t>=NL("Sum","Item Ledger Entry","Quantity","Entry Type","Output","Entry No.",I693,"Location Code","@@"&amp;$E$6)</t>
  </si>
  <si>
    <t>=NL("Sum","Item Ledger Entry","Quantity","Entry Type","Output","Entry No.",I694,"Location Code","@@"&amp;$E$6)</t>
  </si>
  <si>
    <t>=NL("Sum","Item Ledger Entry","Quantity","Entry Type","Output","Entry No.",I695,"Location Code","@@"&amp;$E$6)</t>
  </si>
  <si>
    <t>=NF($G681,"Posting Date")</t>
  </si>
  <si>
    <t>=NF($G682,"Posting Date")</t>
  </si>
  <si>
    <t>=NF($G681,"Entry No.")</t>
  </si>
  <si>
    <t>=NF($G682,"Entry No.")</t>
  </si>
  <si>
    <t>=NL("Sum","Item Ledger Entry","Quantity","Entry Type","Purchase","Entry No.",I681,"Location Code","@@"&amp;$E$6)</t>
  </si>
  <si>
    <t>=NL("Sum","Item Ledger Entry","Quantity","Entry Type","Purchase","Entry No.",I682,"Location Code","@@"&amp;$E$6)</t>
  </si>
  <si>
    <t>=NL("Sum","Item Ledger Entry","Quantity","Entry Type","Purchase","Entry No.",I683,"Location Code","@@"&amp;$E$6)</t>
  </si>
  <si>
    <t>=NL("Sum","Item Ledger Entry","Quantity","Entry Type","Purchase","Entry No.",I684,"Location Code","@@"&amp;$E$6)</t>
  </si>
  <si>
    <t>=NL("Sum","Item Ledger Entry","Quantity","Entry Type","Purchase","Entry No.",I685,"Location Code","@@"&amp;$E$6)</t>
  </si>
  <si>
    <t>=NL("Sum","Item Ledger Entry","Quantity","Entry Type","Purchase","Entry No.",I686,"Location Code","@@"&amp;$E$6)</t>
  </si>
  <si>
    <t>=NL("Sum","Item Ledger Entry","Quantity","Entry Type","Sale","Entry No.",I681,"Location Code","@@"&amp;$E$6)</t>
  </si>
  <si>
    <t>=NL("Sum","Item Ledger Entry","Quantity","Entry Type","Sale","Entry No.",I682,"Location Code","@@"&amp;$E$6)</t>
  </si>
  <si>
    <t>=NL("Sum","Item Ledger Entry","Quantity","Entry Type","Sale","Entry No.",I683,"Location Code","@@"&amp;$E$6)</t>
  </si>
  <si>
    <t>=NL("Sum","Item Ledger Entry","Quantity","Entry Type","Sale","Entry No.",I684,"Location Code","@@"&amp;$E$6)</t>
  </si>
  <si>
    <t>=NL("Sum","Item Ledger Entry","Quantity","Entry Type","Sale","Entry No.",I685,"Location Code","@@"&amp;$E$6)</t>
  </si>
  <si>
    <t>=NL("Sum","Item Ledger Entry","Quantity","Entry Type","Sale","Entry No.",I686,"Location Code","@@"&amp;$E$6)</t>
  </si>
  <si>
    <t>=NL("Sum","Item Ledger Entry","Quantity","Entry Type","Positive Adjmt.|Negative Adjmt.","Entry No.",I681,"Location Code","@@"&amp;$E$6)</t>
  </si>
  <si>
    <t>=NL("Sum","Item Ledger Entry","Quantity","Entry Type","Positive Adjmt.|Negative Adjmt.","Entry No.",I682,"Location Code","@@"&amp;$E$6)</t>
  </si>
  <si>
    <t>=NL("Sum","Item Ledger Entry","Quantity","Entry Type","Positive Adjmt.|Negative Adjmt.","Entry No.",I683,"Location Code","@@"&amp;$E$6)</t>
  </si>
  <si>
    <t>=NL("Sum","Item Ledger Entry","Quantity","Entry Type","Positive Adjmt.|Negative Adjmt.","Entry No.",I684,"Location Code","@@"&amp;$E$6)</t>
  </si>
  <si>
    <t>=NL("Sum","Item Ledger Entry","Quantity","Entry Type","Positive Adjmt.|Negative Adjmt.","Entry No.",I685,"Location Code","@@"&amp;$E$6)</t>
  </si>
  <si>
    <t>=NL("Sum","Item Ledger Entry","Quantity","Entry Type","Positive Adjmt.|Negative Adjmt.","Entry No.",I686,"Location Code","@@"&amp;$E$6)</t>
  </si>
  <si>
    <t>=NL("Sum","Item Ledger Entry","Quantity","Entry Type","Transfer","Entry No.",I681,"Location Code","@@"&amp;$E$6)</t>
  </si>
  <si>
    <t>=NL("Sum","Item Ledger Entry","Quantity","Entry Type","Transfer","Entry No.",I682,"Location Code","@@"&amp;$E$6)</t>
  </si>
  <si>
    <t>=NL("Sum","Item Ledger Entry","Quantity","Entry Type","Transfer","Entry No.",I683,"Location Code","@@"&amp;$E$6)</t>
  </si>
  <si>
    <t>=NL("Sum","Item Ledger Entry","Quantity","Entry Type","Transfer","Entry No.",I684,"Location Code","@@"&amp;$E$6)</t>
  </si>
  <si>
    <t>=NL("Sum","Item Ledger Entry","Quantity","Entry Type","Transfer","Entry No.",I685,"Location Code","@@"&amp;$E$6)</t>
  </si>
  <si>
    <t>=NL("Sum","Item Ledger Entry","Quantity","Entry Type","Transfer","Entry No.",I686,"Location Code","@@"&amp;$E$6)</t>
  </si>
  <si>
    <t>=NL("Sum","Item Ledger Entry","Quantity","Entry Type","Consumption","Entry No.",I681,"Location Code","@@"&amp;$E$6)</t>
  </si>
  <si>
    <t>=NL("Sum","Item Ledger Entry","Quantity","Entry Type","Consumption","Entry No.",I682,"Location Code","@@"&amp;$E$6)</t>
  </si>
  <si>
    <t>=NL("Sum","Item Ledger Entry","Quantity","Entry Type","Consumption","Entry No.",I683,"Location Code","@@"&amp;$E$6)</t>
  </si>
  <si>
    <t>=NL("Sum","Item Ledger Entry","Quantity","Entry Type","Consumption","Entry No.",I684,"Location Code","@@"&amp;$E$6)</t>
  </si>
  <si>
    <t>=NL("Sum","Item Ledger Entry","Quantity","Entry Type","Consumption","Entry No.",I685,"Location Code","@@"&amp;$E$6)</t>
  </si>
  <si>
    <t>=NL("Sum","Item Ledger Entry","Quantity","Entry Type","Consumption","Entry No.",I686,"Location Code","@@"&amp;$E$6)</t>
  </si>
  <si>
    <t>=NL("Sum","Item Ledger Entry","Quantity","Entry Type","Output","Entry No.",I681,"Location Code","@@"&amp;$E$6)</t>
  </si>
  <si>
    <t>=NL("Sum","Item Ledger Entry","Quantity","Entry Type","Output","Entry No.",I682,"Location Code","@@"&amp;$E$6)</t>
  </si>
  <si>
    <t>=NL("Sum","Item Ledger Entry","Quantity","Entry Type","Output","Entry No.",I683,"Location Code","@@"&amp;$E$6)</t>
  </si>
  <si>
    <t>=NL("Sum","Item Ledger Entry","Quantity","Entry Type","Output","Entry No.",I684,"Location Code","@@"&amp;$E$6)</t>
  </si>
  <si>
    <t>=NL("Sum","Item Ledger Entry","Quantity","Entry Type","Output","Entry No.",I685,"Location Code","@@"&amp;$E$6)</t>
  </si>
  <si>
    <t>=NL("Sum","Item Ledger Entry","Quantity","Entry Type","Output","Entry No.",I686,"Location Code","@@"&amp;$E$6)</t>
  </si>
  <si>
    <t>=NF(G681,"Source Type")</t>
  </si>
  <si>
    <t>=NF(G682,"Source Type")</t>
  </si>
  <si>
    <t>=NF($G681,"Source No.")</t>
  </si>
  <si>
    <t>=NF($G682,"Source No.")</t>
  </si>
  <si>
    <t>=NL("Sum","Item Ledger Entry","Quantity","Entry Type","Purchase","Entry No.",I670,"Location Code","@@"&amp;$E$6)</t>
  </si>
  <si>
    <t>=NL("Sum","Item Ledger Entry","Quantity","Entry Type","Purchase","Entry No.",I671,"Location Code","@@"&amp;$E$6)</t>
  </si>
  <si>
    <t>=NL("Sum","Item Ledger Entry","Quantity","Entry Type","Purchase","Entry No.",I672,"Location Code","@@"&amp;$E$6)</t>
  </si>
  <si>
    <t>=NL("Sum","Item Ledger Entry","Quantity","Entry Type","Purchase","Entry No.",I673,"Location Code","@@"&amp;$E$6)</t>
  </si>
  <si>
    <t>=NL("Sum","Item Ledger Entry","Quantity","Entry Type","Purchase","Entry No.",I674,"Location Code","@@"&amp;$E$6)</t>
  </si>
  <si>
    <t>=NL("Sum","Item Ledger Entry","Quantity","Entry Type","Purchase","Entry No.",I675,"Location Code","@@"&amp;$E$6)</t>
  </si>
  <si>
    <t>=NL("Sum","Item Ledger Entry","Quantity","Entry Type","Purchase","Entry No.",I676,"Location Code","@@"&amp;$E$6)</t>
  </si>
  <si>
    <t>=NL("Sum","Item Ledger Entry","Quantity","Entry Type","Purchase","Entry No.",I677,"Location Code","@@"&amp;$E$6)</t>
  </si>
  <si>
    <t>=NL("Sum","Item Ledger Entry","Quantity","Entry Type","Sale","Entry No.",I670,"Location Code","@@"&amp;$E$6)</t>
  </si>
  <si>
    <t>=NL("Sum","Item Ledger Entry","Quantity","Entry Type","Sale","Entry No.",I671,"Location Code","@@"&amp;$E$6)</t>
  </si>
  <si>
    <t>=NL("Sum","Item Ledger Entry","Quantity","Entry Type","Sale","Entry No.",I672,"Location Code","@@"&amp;$E$6)</t>
  </si>
  <si>
    <t>=NL("Sum","Item Ledger Entry","Quantity","Entry Type","Sale","Entry No.",I673,"Location Code","@@"&amp;$E$6)</t>
  </si>
  <si>
    <t>=NL("Sum","Item Ledger Entry","Quantity","Entry Type","Sale","Entry No.",I674,"Location Code","@@"&amp;$E$6)</t>
  </si>
  <si>
    <t>=NL("Sum","Item Ledger Entry","Quantity","Entry Type","Sale","Entry No.",I675,"Location Code","@@"&amp;$E$6)</t>
  </si>
  <si>
    <t>=NL("Sum","Item Ledger Entry","Quantity","Entry Type","Sale","Entry No.",I676,"Location Code","@@"&amp;$E$6)</t>
  </si>
  <si>
    <t>=NL("Sum","Item Ledger Entry","Quantity","Entry Type","Sale","Entry No.",I677,"Location Code","@@"&amp;$E$6)</t>
  </si>
  <si>
    <t>=NL("Sum","Item Ledger Entry","Quantity","Entry Type","Positive Adjmt.|Negative Adjmt.","Entry No.",I670,"Location Code","@@"&amp;$E$6)</t>
  </si>
  <si>
    <t>=NL("Sum","Item Ledger Entry","Quantity","Entry Type","Positive Adjmt.|Negative Adjmt.","Entry No.",I671,"Location Code","@@"&amp;$E$6)</t>
  </si>
  <si>
    <t>=NL("Sum","Item Ledger Entry","Quantity","Entry Type","Positive Adjmt.|Negative Adjmt.","Entry No.",I672,"Location Code","@@"&amp;$E$6)</t>
  </si>
  <si>
    <t>=NL("Sum","Item Ledger Entry","Quantity","Entry Type","Positive Adjmt.|Negative Adjmt.","Entry No.",I673,"Location Code","@@"&amp;$E$6)</t>
  </si>
  <si>
    <t>=NL("Sum","Item Ledger Entry","Quantity","Entry Type","Positive Adjmt.|Negative Adjmt.","Entry No.",I674,"Location Code","@@"&amp;$E$6)</t>
  </si>
  <si>
    <t>=NL("Sum","Item Ledger Entry","Quantity","Entry Type","Positive Adjmt.|Negative Adjmt.","Entry No.",I675,"Location Code","@@"&amp;$E$6)</t>
  </si>
  <si>
    <t>=NL("Sum","Item Ledger Entry","Quantity","Entry Type","Positive Adjmt.|Negative Adjmt.","Entry No.",I676,"Location Code","@@"&amp;$E$6)</t>
  </si>
  <si>
    <t>=NL("Sum","Item Ledger Entry","Quantity","Entry Type","Positive Adjmt.|Negative Adjmt.","Entry No.",I677,"Location Code","@@"&amp;$E$6)</t>
  </si>
  <si>
    <t>=NL("Sum","Item Ledger Entry","Quantity","Entry Type","Transfer","Entry No.",I670,"Location Code","@@"&amp;$E$6)</t>
  </si>
  <si>
    <t>=NL("Sum","Item Ledger Entry","Quantity","Entry Type","Transfer","Entry No.",I671,"Location Code","@@"&amp;$E$6)</t>
  </si>
  <si>
    <t>=NL("Sum","Item Ledger Entry","Quantity","Entry Type","Transfer","Entry No.",I672,"Location Code","@@"&amp;$E$6)</t>
  </si>
  <si>
    <t>=NL("Sum","Item Ledger Entry","Quantity","Entry Type","Transfer","Entry No.",I673,"Location Code","@@"&amp;$E$6)</t>
  </si>
  <si>
    <t>=NL("Sum","Item Ledger Entry","Quantity","Entry Type","Transfer","Entry No.",I674,"Location Code","@@"&amp;$E$6)</t>
  </si>
  <si>
    <t>=NL("Sum","Item Ledger Entry","Quantity","Entry Type","Transfer","Entry No.",I675,"Location Code","@@"&amp;$E$6)</t>
  </si>
  <si>
    <t>=NL("Sum","Item Ledger Entry","Quantity","Entry Type","Transfer","Entry No.",I676,"Location Code","@@"&amp;$E$6)</t>
  </si>
  <si>
    <t>=NL("Sum","Item Ledger Entry","Quantity","Entry Type","Transfer","Entry No.",I677,"Location Code","@@"&amp;$E$6)</t>
  </si>
  <si>
    <t>=NL("Sum","Item Ledger Entry","Quantity","Entry Type","Consumption","Entry No.",I670,"Location Code","@@"&amp;$E$6)</t>
  </si>
  <si>
    <t>=NL("Sum","Item Ledger Entry","Quantity","Entry Type","Consumption","Entry No.",I671,"Location Code","@@"&amp;$E$6)</t>
  </si>
  <si>
    <t>=NL("Sum","Item Ledger Entry","Quantity","Entry Type","Consumption","Entry No.",I672,"Location Code","@@"&amp;$E$6)</t>
  </si>
  <si>
    <t>=NL("Sum","Item Ledger Entry","Quantity","Entry Type","Consumption","Entry No.",I673,"Location Code","@@"&amp;$E$6)</t>
  </si>
  <si>
    <t>=NL("Sum","Item Ledger Entry","Quantity","Entry Type","Consumption","Entry No.",I674,"Location Code","@@"&amp;$E$6)</t>
  </si>
  <si>
    <t>=NL("Sum","Item Ledger Entry","Quantity","Entry Type","Consumption","Entry No.",I675,"Location Code","@@"&amp;$E$6)</t>
  </si>
  <si>
    <t>=NL("Sum","Item Ledger Entry","Quantity","Entry Type","Consumption","Entry No.",I676,"Location Code","@@"&amp;$E$6)</t>
  </si>
  <si>
    <t>=NL("Sum","Item Ledger Entry","Quantity","Entry Type","Consumption","Entry No.",I677,"Location Code","@@"&amp;$E$6)</t>
  </si>
  <si>
    <t>=NL("Sum","Item Ledger Entry","Quantity","Entry Type","Output","Entry No.",I670,"Location Code","@@"&amp;$E$6)</t>
  </si>
  <si>
    <t>=NL("Sum","Item Ledger Entry","Quantity","Entry Type","Output","Entry No.",I671,"Location Code","@@"&amp;$E$6)</t>
  </si>
  <si>
    <t>=NL("Sum","Item Ledger Entry","Quantity","Entry Type","Output","Entry No.",I672,"Location Code","@@"&amp;$E$6)</t>
  </si>
  <si>
    <t>=NL("Sum","Item Ledger Entry","Quantity","Entry Type","Output","Entry No.",I673,"Location Code","@@"&amp;$E$6)</t>
  </si>
  <si>
    <t>=NL("Sum","Item Ledger Entry","Quantity","Entry Type","Output","Entry No.",I674,"Location Code","@@"&amp;$E$6)</t>
  </si>
  <si>
    <t>=NL("Sum","Item Ledger Entry","Quantity","Entry Type","Output","Entry No.",I675,"Location Code","@@"&amp;$E$6)</t>
  </si>
  <si>
    <t>=NL("Sum","Item Ledger Entry","Quantity","Entry Type","Output","Entry No.",I676,"Location Code","@@"&amp;$E$6)</t>
  </si>
  <si>
    <t>=NL("Sum","Item Ledger Entry","Quantity","Entry Type","Output","Entry No.",I677,"Location Code","@@"&amp;$E$6)</t>
  </si>
  <si>
    <t>=NL("Sum","Item Ledger Entry","Quantity","Entry Type","Purchase","Entry No.",I660,"Location Code","@@"&amp;$E$6)</t>
  </si>
  <si>
    <t>=NL("Sum","Item Ledger Entry","Quantity","Entry Type","Purchase","Entry No.",I661,"Location Code","@@"&amp;$E$6)</t>
  </si>
  <si>
    <t>=NL("Sum","Item Ledger Entry","Quantity","Entry Type","Purchase","Entry No.",I662,"Location Code","@@"&amp;$E$6)</t>
  </si>
  <si>
    <t>=NL("Sum","Item Ledger Entry","Quantity","Entry Type","Purchase","Entry No.",I663,"Location Code","@@"&amp;$E$6)</t>
  </si>
  <si>
    <t>=NL("Sum","Item Ledger Entry","Quantity","Entry Type","Purchase","Entry No.",I664,"Location Code","@@"&amp;$E$6)</t>
  </si>
  <si>
    <t>=NL("Sum","Item Ledger Entry","Quantity","Entry Type","Purchase","Entry No.",I665,"Location Code","@@"&amp;$E$6)</t>
  </si>
  <si>
    <t>=NL("Sum","Item Ledger Entry","Quantity","Entry Type","Purchase","Entry No.",I666,"Location Code","@@"&amp;$E$6)</t>
  </si>
  <si>
    <t>=NL("Sum","Item Ledger Entry","Quantity","Entry Type","Sale","Entry No.",I660,"Location Code","@@"&amp;$E$6)</t>
  </si>
  <si>
    <t>=NL("Sum","Item Ledger Entry","Quantity","Entry Type","Sale","Entry No.",I661,"Location Code","@@"&amp;$E$6)</t>
  </si>
  <si>
    <t>=NL("Sum","Item Ledger Entry","Quantity","Entry Type","Sale","Entry No.",I662,"Location Code","@@"&amp;$E$6)</t>
  </si>
  <si>
    <t>=NL("Sum","Item Ledger Entry","Quantity","Entry Type","Sale","Entry No.",I663,"Location Code","@@"&amp;$E$6)</t>
  </si>
  <si>
    <t>=NL("Sum","Item Ledger Entry","Quantity","Entry Type","Sale","Entry No.",I664,"Location Code","@@"&amp;$E$6)</t>
  </si>
  <si>
    <t>=NL("Sum","Item Ledger Entry","Quantity","Entry Type","Sale","Entry No.",I665,"Location Code","@@"&amp;$E$6)</t>
  </si>
  <si>
    <t>=NL("Sum","Item Ledger Entry","Quantity","Entry Type","Sale","Entry No.",I666,"Location Code","@@"&amp;$E$6)</t>
  </si>
  <si>
    <t>=NL("Sum","Item Ledger Entry","Quantity","Entry Type","Positive Adjmt.|Negative Adjmt.","Entry No.",I660,"Location Code","@@"&amp;$E$6)</t>
  </si>
  <si>
    <t>=NL("Sum","Item Ledger Entry","Quantity","Entry Type","Positive Adjmt.|Negative Adjmt.","Entry No.",I661,"Location Code","@@"&amp;$E$6)</t>
  </si>
  <si>
    <t>=NL("Sum","Item Ledger Entry","Quantity","Entry Type","Positive Adjmt.|Negative Adjmt.","Entry No.",I662,"Location Code","@@"&amp;$E$6)</t>
  </si>
  <si>
    <t>=NL("Sum","Item Ledger Entry","Quantity","Entry Type","Positive Adjmt.|Negative Adjmt.","Entry No.",I663,"Location Code","@@"&amp;$E$6)</t>
  </si>
  <si>
    <t>=NL("Sum","Item Ledger Entry","Quantity","Entry Type","Positive Adjmt.|Negative Adjmt.","Entry No.",I664,"Location Code","@@"&amp;$E$6)</t>
  </si>
  <si>
    <t>=NL("Sum","Item Ledger Entry","Quantity","Entry Type","Positive Adjmt.|Negative Adjmt.","Entry No.",I665,"Location Code","@@"&amp;$E$6)</t>
  </si>
  <si>
    <t>=NL("Sum","Item Ledger Entry","Quantity","Entry Type","Positive Adjmt.|Negative Adjmt.","Entry No.",I666,"Location Code","@@"&amp;$E$6)</t>
  </si>
  <si>
    <t>=NL("Sum","Item Ledger Entry","Quantity","Entry Type","Transfer","Entry No.",I660,"Location Code","@@"&amp;$E$6)</t>
  </si>
  <si>
    <t>=NL("Sum","Item Ledger Entry","Quantity","Entry Type","Transfer","Entry No.",I661,"Location Code","@@"&amp;$E$6)</t>
  </si>
  <si>
    <t>=NL("Sum","Item Ledger Entry","Quantity","Entry Type","Transfer","Entry No.",I662,"Location Code","@@"&amp;$E$6)</t>
  </si>
  <si>
    <t>=NL("Sum","Item Ledger Entry","Quantity","Entry Type","Transfer","Entry No.",I663,"Location Code","@@"&amp;$E$6)</t>
  </si>
  <si>
    <t>=NL("Sum","Item Ledger Entry","Quantity","Entry Type","Transfer","Entry No.",I664,"Location Code","@@"&amp;$E$6)</t>
  </si>
  <si>
    <t>=NL("Sum","Item Ledger Entry","Quantity","Entry Type","Transfer","Entry No.",I665,"Location Code","@@"&amp;$E$6)</t>
  </si>
  <si>
    <t>=NL("Sum","Item Ledger Entry","Quantity","Entry Type","Transfer","Entry No.",I666,"Location Code","@@"&amp;$E$6)</t>
  </si>
  <si>
    <t>=NL("Sum","Item Ledger Entry","Quantity","Entry Type","Consumption","Entry No.",I660,"Location Code","@@"&amp;$E$6)</t>
  </si>
  <si>
    <t>=NL("Sum","Item Ledger Entry","Quantity","Entry Type","Consumption","Entry No.",I661,"Location Code","@@"&amp;$E$6)</t>
  </si>
  <si>
    <t>=NL("Sum","Item Ledger Entry","Quantity","Entry Type","Consumption","Entry No.",I662,"Location Code","@@"&amp;$E$6)</t>
  </si>
  <si>
    <t>=NL("Sum","Item Ledger Entry","Quantity","Entry Type","Consumption","Entry No.",I663,"Location Code","@@"&amp;$E$6)</t>
  </si>
  <si>
    <t>=NL("Sum","Item Ledger Entry","Quantity","Entry Type","Consumption","Entry No.",I664,"Location Code","@@"&amp;$E$6)</t>
  </si>
  <si>
    <t>=NL("Sum","Item Ledger Entry","Quantity","Entry Type","Consumption","Entry No.",I665,"Location Code","@@"&amp;$E$6)</t>
  </si>
  <si>
    <t>=NL("Sum","Item Ledger Entry","Quantity","Entry Type","Consumption","Entry No.",I666,"Location Code","@@"&amp;$E$6)</t>
  </si>
  <si>
    <t>=NL("Sum","Item Ledger Entry","Quantity","Entry Type","Output","Entry No.",I660,"Location Code","@@"&amp;$E$6)</t>
  </si>
  <si>
    <t>=NL("Sum","Item Ledger Entry","Quantity","Entry Type","Output","Entry No.",I661,"Location Code","@@"&amp;$E$6)</t>
  </si>
  <si>
    <t>=NL("Sum","Item Ledger Entry","Quantity","Entry Type","Output","Entry No.",I662,"Location Code","@@"&amp;$E$6)</t>
  </si>
  <si>
    <t>=NL("Sum","Item Ledger Entry","Quantity","Entry Type","Output","Entry No.",I663,"Location Code","@@"&amp;$E$6)</t>
  </si>
  <si>
    <t>=NL("Sum","Item Ledger Entry","Quantity","Entry Type","Output","Entry No.",I664,"Location Code","@@"&amp;$E$6)</t>
  </si>
  <si>
    <t>=NL("Sum","Item Ledger Entry","Quantity","Entry Type","Output","Entry No.",I665,"Location Code","@@"&amp;$E$6)</t>
  </si>
  <si>
    <t>=NL("Sum","Item Ledger Entry","Quantity","Entry Type","Output","Entry No.",I666,"Location Code","@@"&amp;$E$6)</t>
  </si>
  <si>
    <t>=NL("Sum","Item Ledger Entry","Quantity","Entry Type","Purchase","Entry No.",I651,"Location Code","@@"&amp;$E$6)</t>
  </si>
  <si>
    <t>=NL("Sum","Item Ledger Entry","Quantity","Entry Type","Purchase","Entry No.",I652,"Location Code","@@"&amp;$E$6)</t>
  </si>
  <si>
    <t>=NL("Sum","Item Ledger Entry","Quantity","Entry Type","Purchase","Entry No.",I653,"Location Code","@@"&amp;$E$6)</t>
  </si>
  <si>
    <t>=NL("Sum","Item Ledger Entry","Quantity","Entry Type","Purchase","Entry No.",I654,"Location Code","@@"&amp;$E$6)</t>
  </si>
  <si>
    <t>=NL("Sum","Item Ledger Entry","Quantity","Entry Type","Purchase","Entry No.",I655,"Location Code","@@"&amp;$E$6)</t>
  </si>
  <si>
    <t>=NL("Sum","Item Ledger Entry","Quantity","Entry Type","Purchase","Entry No.",I656,"Location Code","@@"&amp;$E$6)</t>
  </si>
  <si>
    <t>=NL("Sum","Item Ledger Entry","Quantity","Entry Type","Sale","Entry No.",I651,"Location Code","@@"&amp;$E$6)</t>
  </si>
  <si>
    <t>=NL("Sum","Item Ledger Entry","Quantity","Entry Type","Sale","Entry No.",I652,"Location Code","@@"&amp;$E$6)</t>
  </si>
  <si>
    <t>=NL("Sum","Item Ledger Entry","Quantity","Entry Type","Sale","Entry No.",I653,"Location Code","@@"&amp;$E$6)</t>
  </si>
  <si>
    <t>=NL("Sum","Item Ledger Entry","Quantity","Entry Type","Sale","Entry No.",I654,"Location Code","@@"&amp;$E$6)</t>
  </si>
  <si>
    <t>=NL("Sum","Item Ledger Entry","Quantity","Entry Type","Sale","Entry No.",I655,"Location Code","@@"&amp;$E$6)</t>
  </si>
  <si>
    <t>=NL("Sum","Item Ledger Entry","Quantity","Entry Type","Sale","Entry No.",I656,"Location Code","@@"&amp;$E$6)</t>
  </si>
  <si>
    <t>=NL("Sum","Item Ledger Entry","Quantity","Entry Type","Positive Adjmt.|Negative Adjmt.","Entry No.",I651,"Location Code","@@"&amp;$E$6)</t>
  </si>
  <si>
    <t>=NL("Sum","Item Ledger Entry","Quantity","Entry Type","Positive Adjmt.|Negative Adjmt.","Entry No.",I652,"Location Code","@@"&amp;$E$6)</t>
  </si>
  <si>
    <t>=NL("Sum","Item Ledger Entry","Quantity","Entry Type","Positive Adjmt.|Negative Adjmt.","Entry No.",I653,"Location Code","@@"&amp;$E$6)</t>
  </si>
  <si>
    <t>=NL("Sum","Item Ledger Entry","Quantity","Entry Type","Positive Adjmt.|Negative Adjmt.","Entry No.",I654,"Location Code","@@"&amp;$E$6)</t>
  </si>
  <si>
    <t>=NL("Sum","Item Ledger Entry","Quantity","Entry Type","Positive Adjmt.|Negative Adjmt.","Entry No.",I655,"Location Code","@@"&amp;$E$6)</t>
  </si>
  <si>
    <t>=NL("Sum","Item Ledger Entry","Quantity","Entry Type","Positive Adjmt.|Negative Adjmt.","Entry No.",I656,"Location Code","@@"&amp;$E$6)</t>
  </si>
  <si>
    <t>=NL("Sum","Item Ledger Entry","Quantity","Entry Type","Transfer","Entry No.",I651,"Location Code","@@"&amp;$E$6)</t>
  </si>
  <si>
    <t>=NL("Sum","Item Ledger Entry","Quantity","Entry Type","Transfer","Entry No.",I652,"Location Code","@@"&amp;$E$6)</t>
  </si>
  <si>
    <t>=NL("Sum","Item Ledger Entry","Quantity","Entry Type","Transfer","Entry No.",I653,"Location Code","@@"&amp;$E$6)</t>
  </si>
  <si>
    <t>=NL("Sum","Item Ledger Entry","Quantity","Entry Type","Transfer","Entry No.",I654,"Location Code","@@"&amp;$E$6)</t>
  </si>
  <si>
    <t>=NL("Sum","Item Ledger Entry","Quantity","Entry Type","Transfer","Entry No.",I655,"Location Code","@@"&amp;$E$6)</t>
  </si>
  <si>
    <t>=NL("Sum","Item Ledger Entry","Quantity","Entry Type","Transfer","Entry No.",I656,"Location Code","@@"&amp;$E$6)</t>
  </si>
  <si>
    <t>=NL("Sum","Item Ledger Entry","Quantity","Entry Type","Consumption","Entry No.",I651,"Location Code","@@"&amp;$E$6)</t>
  </si>
  <si>
    <t>=NL("Sum","Item Ledger Entry","Quantity","Entry Type","Consumption","Entry No.",I652,"Location Code","@@"&amp;$E$6)</t>
  </si>
  <si>
    <t>=NL("Sum","Item Ledger Entry","Quantity","Entry Type","Consumption","Entry No.",I653,"Location Code","@@"&amp;$E$6)</t>
  </si>
  <si>
    <t>=NL("Sum","Item Ledger Entry","Quantity","Entry Type","Consumption","Entry No.",I654,"Location Code","@@"&amp;$E$6)</t>
  </si>
  <si>
    <t>=NL("Sum","Item Ledger Entry","Quantity","Entry Type","Consumption","Entry No.",I655,"Location Code","@@"&amp;$E$6)</t>
  </si>
  <si>
    <t>=NL("Sum","Item Ledger Entry","Quantity","Entry Type","Consumption","Entry No.",I656,"Location Code","@@"&amp;$E$6)</t>
  </si>
  <si>
    <t>=NL("Sum","Item Ledger Entry","Quantity","Entry Type","Output","Entry No.",I651,"Location Code","@@"&amp;$E$6)</t>
  </si>
  <si>
    <t>=NL("Sum","Item Ledger Entry","Quantity","Entry Type","Output","Entry No.",I652,"Location Code","@@"&amp;$E$6)</t>
  </si>
  <si>
    <t>=NL("Sum","Item Ledger Entry","Quantity","Entry Type","Output","Entry No.",I653,"Location Code","@@"&amp;$E$6)</t>
  </si>
  <si>
    <t>=NL("Sum","Item Ledger Entry","Quantity","Entry Type","Output","Entry No.",I654,"Location Code","@@"&amp;$E$6)</t>
  </si>
  <si>
    <t>=NL("Sum","Item Ledger Entry","Quantity","Entry Type","Output","Entry No.",I655,"Location Code","@@"&amp;$E$6)</t>
  </si>
  <si>
    <t>=NL("Sum","Item Ledger Entry","Quantity","Entry Type","Output","Entry No.",I656,"Location Code","@@"&amp;$E$6)</t>
  </si>
  <si>
    <t>=NL("Sum","Item Ledger Entry","Quantity","Entry Type","Purchase","Entry No.",I644,"Location Code","@@"&amp;$E$6)</t>
  </si>
  <si>
    <t>=NL("Sum","Item Ledger Entry","Quantity","Entry Type","Purchase","Entry No.",I645,"Location Code","@@"&amp;$E$6)</t>
  </si>
  <si>
    <t>=NL("Sum","Item Ledger Entry","Quantity","Entry Type","Purchase","Entry No.",I646,"Location Code","@@"&amp;$E$6)</t>
  </si>
  <si>
    <t>=NL("Sum","Item Ledger Entry","Quantity","Entry Type","Sale","Entry No.",I644,"Location Code","@@"&amp;$E$6)</t>
  </si>
  <si>
    <t>=NL("Sum","Item Ledger Entry","Quantity","Entry Type","Sale","Entry No.",I645,"Location Code","@@"&amp;$E$6)</t>
  </si>
  <si>
    <t>=NL("Sum","Item Ledger Entry","Quantity","Entry Type","Sale","Entry No.",I646,"Location Code","@@"&amp;$E$6)</t>
  </si>
  <si>
    <t>=NL("Sum","Item Ledger Entry","Quantity","Entry Type","Positive Adjmt.|Negative Adjmt.","Entry No.",I644,"Location Code","@@"&amp;$E$6)</t>
  </si>
  <si>
    <t>=NL("Sum","Item Ledger Entry","Quantity","Entry Type","Positive Adjmt.|Negative Adjmt.","Entry No.",I645,"Location Code","@@"&amp;$E$6)</t>
  </si>
  <si>
    <t>=NL("Sum","Item Ledger Entry","Quantity","Entry Type","Positive Adjmt.|Negative Adjmt.","Entry No.",I646,"Location Code","@@"&amp;$E$6)</t>
  </si>
  <si>
    <t>=NL("Sum","Item Ledger Entry","Quantity","Entry Type","Transfer","Entry No.",I644,"Location Code","@@"&amp;$E$6)</t>
  </si>
  <si>
    <t>=NL("Sum","Item Ledger Entry","Quantity","Entry Type","Transfer","Entry No.",I645,"Location Code","@@"&amp;$E$6)</t>
  </si>
  <si>
    <t>=NL("Sum","Item Ledger Entry","Quantity","Entry Type","Transfer","Entry No.",I646,"Location Code","@@"&amp;$E$6)</t>
  </si>
  <si>
    <t>=NL("Sum","Item Ledger Entry","Quantity","Entry Type","Consumption","Entry No.",I644,"Location Code","@@"&amp;$E$6)</t>
  </si>
  <si>
    <t>=NL("Sum","Item Ledger Entry","Quantity","Entry Type","Consumption","Entry No.",I645,"Location Code","@@"&amp;$E$6)</t>
  </si>
  <si>
    <t>=NL("Sum","Item Ledger Entry","Quantity","Entry Type","Consumption","Entry No.",I646,"Location Code","@@"&amp;$E$6)</t>
  </si>
  <si>
    <t>=NL("Sum","Item Ledger Entry","Quantity","Entry Type","Output","Entry No.",I644,"Location Code","@@"&amp;$E$6)</t>
  </si>
  <si>
    <t>=NL("Sum","Item Ledger Entry","Quantity","Entry Type","Output","Entry No.",I645,"Location Code","@@"&amp;$E$6)</t>
  </si>
  <si>
    <t>=NL("Sum","Item Ledger Entry","Quantity","Entry Type","Output","Entry No.",I646,"Location Code","@@"&amp;$E$6)</t>
  </si>
  <si>
    <t>=NL("Sum","Item Ledger Entry","Quantity","Entry Type","Purchase","Entry No.",I638,"Location Code","@@"&amp;$E$6)</t>
  </si>
  <si>
    <t>=NL("Sum","Item Ledger Entry","Quantity","Entry Type","Purchase","Entry No.",I639,"Location Code","@@"&amp;$E$6)</t>
  </si>
  <si>
    <t>=NL("Sum","Item Ledger Entry","Quantity","Entry Type","Purchase","Entry No.",I640,"Location Code","@@"&amp;$E$6)</t>
  </si>
  <si>
    <t>=NL("Sum","Item Ledger Entry","Quantity","Entry Type","Sale","Entry No.",I638,"Location Code","@@"&amp;$E$6)</t>
  </si>
  <si>
    <t>=NL("Sum","Item Ledger Entry","Quantity","Entry Type","Sale","Entry No.",I639,"Location Code","@@"&amp;$E$6)</t>
  </si>
  <si>
    <t>=NL("Sum","Item Ledger Entry","Quantity","Entry Type","Sale","Entry No.",I640,"Location Code","@@"&amp;$E$6)</t>
  </si>
  <si>
    <t>=NL("Sum","Item Ledger Entry","Quantity","Entry Type","Positive Adjmt.|Negative Adjmt.","Entry No.",I638,"Location Code","@@"&amp;$E$6)</t>
  </si>
  <si>
    <t>=NL("Sum","Item Ledger Entry","Quantity","Entry Type","Positive Adjmt.|Negative Adjmt.","Entry No.",I639,"Location Code","@@"&amp;$E$6)</t>
  </si>
  <si>
    <t>=NL("Sum","Item Ledger Entry","Quantity","Entry Type","Positive Adjmt.|Negative Adjmt.","Entry No.",I640,"Location Code","@@"&amp;$E$6)</t>
  </si>
  <si>
    <t>=NL("Sum","Item Ledger Entry","Quantity","Entry Type","Transfer","Entry No.",I638,"Location Code","@@"&amp;$E$6)</t>
  </si>
  <si>
    <t>=NL("Sum","Item Ledger Entry","Quantity","Entry Type","Transfer","Entry No.",I639,"Location Code","@@"&amp;$E$6)</t>
  </si>
  <si>
    <t>=NL("Sum","Item Ledger Entry","Quantity","Entry Type","Transfer","Entry No.",I640,"Location Code","@@"&amp;$E$6)</t>
  </si>
  <si>
    <t>=NL("Sum","Item Ledger Entry","Quantity","Entry Type","Consumption","Entry No.",I638,"Location Code","@@"&amp;$E$6)</t>
  </si>
  <si>
    <t>=NL("Sum","Item Ledger Entry","Quantity","Entry Type","Consumption","Entry No.",I639,"Location Code","@@"&amp;$E$6)</t>
  </si>
  <si>
    <t>=NL("Sum","Item Ledger Entry","Quantity","Entry Type","Consumption","Entry No.",I640,"Location Code","@@"&amp;$E$6)</t>
  </si>
  <si>
    <t>=NL("Sum","Item Ledger Entry","Quantity","Entry Type","Output","Entry No.",I638,"Location Code","@@"&amp;$E$6)</t>
  </si>
  <si>
    <t>=NL("Sum","Item Ledger Entry","Quantity","Entry Type","Output","Entry No.",I639,"Location Code","@@"&amp;$E$6)</t>
  </si>
  <si>
    <t>=NL("Sum","Item Ledger Entry","Quantity","Entry Type","Output","Entry No.",I640,"Location Code","@@"&amp;$E$6)</t>
  </si>
  <si>
    <t>=NF($G628,"Posting Date")</t>
  </si>
  <si>
    <t>=NF($G629,"Posting Date")</t>
  </si>
  <si>
    <t>=NF($G628,"Entry No.")</t>
  </si>
  <si>
    <t>=NF($G629,"Entry No.")</t>
  </si>
  <si>
    <t>=NL("Sum","Item Ledger Entry","Quantity","Entry Type","Purchase","Entry No.",I625,"Location Code","@@"&amp;$E$6)</t>
  </si>
  <si>
    <t>=NL("Sum","Item Ledger Entry","Quantity","Entry Type","Purchase","Entry No.",I627,"Location Code","@@"&amp;$E$6)</t>
  </si>
  <si>
    <t>=NL("Sum","Item Ledger Entry","Quantity","Entry Type","Purchase","Entry No.",I628,"Location Code","@@"&amp;$E$6)</t>
  </si>
  <si>
    <t>=NL("Sum","Item Ledger Entry","Quantity","Entry Type","Purchase","Entry No.",I629,"Location Code","@@"&amp;$E$6)</t>
  </si>
  <si>
    <t>=NL("Sum","Item Ledger Entry","Quantity","Entry Type","Sale","Entry No.",I625,"Location Code","@@"&amp;$E$6)</t>
  </si>
  <si>
    <t>=NL("Sum","Item Ledger Entry","Quantity","Entry Type","Sale","Entry No.",I627,"Location Code","@@"&amp;$E$6)</t>
  </si>
  <si>
    <t>=NL("Sum","Item Ledger Entry","Quantity","Entry Type","Sale","Entry No.",I628,"Location Code","@@"&amp;$E$6)</t>
  </si>
  <si>
    <t>=NL("Sum","Item Ledger Entry","Quantity","Entry Type","Sale","Entry No.",I629,"Location Code","@@"&amp;$E$6)</t>
  </si>
  <si>
    <t>=NL("Sum","Item Ledger Entry","Quantity","Entry Type","Positive Adjmt.|Negative Adjmt.","Entry No.",I625,"Location Code","@@"&amp;$E$6)</t>
  </si>
  <si>
    <t>=NL("Sum","Item Ledger Entry","Quantity","Entry Type","Positive Adjmt.|Negative Adjmt.","Entry No.",I627,"Location Code","@@"&amp;$E$6)</t>
  </si>
  <si>
    <t>=NL("Sum","Item Ledger Entry","Quantity","Entry Type","Positive Adjmt.|Negative Adjmt.","Entry No.",I628,"Location Code","@@"&amp;$E$6)</t>
  </si>
  <si>
    <t>=NL("Sum","Item Ledger Entry","Quantity","Entry Type","Positive Adjmt.|Negative Adjmt.","Entry No.",I629,"Location Code","@@"&amp;$E$6)</t>
  </si>
  <si>
    <t>=NL("Sum","Item Ledger Entry","Quantity","Entry Type","Transfer","Entry No.",I625,"Location Code","@@"&amp;$E$6)</t>
  </si>
  <si>
    <t>=NL("Sum","Item Ledger Entry","Quantity","Entry Type","Transfer","Entry No.",I627,"Location Code","@@"&amp;$E$6)</t>
  </si>
  <si>
    <t>=NL("Sum","Item Ledger Entry","Quantity","Entry Type","Transfer","Entry No.",I628,"Location Code","@@"&amp;$E$6)</t>
  </si>
  <si>
    <t>=NL("Sum","Item Ledger Entry","Quantity","Entry Type","Transfer","Entry No.",I629,"Location Code","@@"&amp;$E$6)</t>
  </si>
  <si>
    <t>=NL("Sum","Item Ledger Entry","Quantity","Entry Type","Consumption","Entry No.",I625,"Location Code","@@"&amp;$E$6)</t>
  </si>
  <si>
    <t>=NL("Sum","Item Ledger Entry","Quantity","Entry Type","Consumption","Entry No.",I627,"Location Code","@@"&amp;$E$6)</t>
  </si>
  <si>
    <t>=NL("Sum","Item Ledger Entry","Quantity","Entry Type","Consumption","Entry No.",I628,"Location Code","@@"&amp;$E$6)</t>
  </si>
  <si>
    <t>=NL("Sum","Item Ledger Entry","Quantity","Entry Type","Consumption","Entry No.",I629,"Location Code","@@"&amp;$E$6)</t>
  </si>
  <si>
    <t>=NL("Sum","Item Ledger Entry","Quantity","Entry Type","Output","Entry No.",I625,"Location Code","@@"&amp;$E$6)</t>
  </si>
  <si>
    <t>=NL("Sum","Item Ledger Entry","Quantity","Entry Type","Output","Entry No.",I627,"Location Code","@@"&amp;$E$6)</t>
  </si>
  <si>
    <t>=NL("Sum","Item Ledger Entry","Quantity","Entry Type","Output","Entry No.",I628,"Location Code","@@"&amp;$E$6)</t>
  </si>
  <si>
    <t>=NL("Sum","Item Ledger Entry","Quantity","Entry Type","Output","Entry No.",I629,"Location Code","@@"&amp;$E$6)</t>
  </si>
  <si>
    <t>=NF(G628,"Source Type")</t>
  </si>
  <si>
    <t>=NF(G629,"Source Type")</t>
  </si>
  <si>
    <t>=NF($G628,"Source No.")</t>
  </si>
  <si>
    <t>=NF($G629,"Source No.")</t>
  </si>
  <si>
    <t>=NL("Sum","Item Ledger Entry","Quantity","Entry Type","Purchase","Entry No.",I607,"Location Code","@@"&amp;$E$6)</t>
  </si>
  <si>
    <t>=NL("Sum","Item Ledger Entry","Quantity","Entry Type","Purchase","Entry No.",I610,"Location Code","@@"&amp;$E$6)</t>
  </si>
  <si>
    <t>=NL("Sum","Item Ledger Entry","Quantity","Entry Type","Sale","Entry No.",I607,"Location Code","@@"&amp;$E$6)</t>
  </si>
  <si>
    <t>=NL("Sum","Item Ledger Entry","Quantity","Entry Type","Sale","Entry No.",I610,"Location Code","@@"&amp;$E$6)</t>
  </si>
  <si>
    <t>=NL("Sum","Item Ledger Entry","Quantity","Entry Type","Positive Adjmt.|Negative Adjmt.","Entry No.",I607,"Location Code","@@"&amp;$E$6)</t>
  </si>
  <si>
    <t>=NL("Sum","Item Ledger Entry","Quantity","Entry Type","Positive Adjmt.|Negative Adjmt.","Entry No.",I610,"Location Code","@@"&amp;$E$6)</t>
  </si>
  <si>
    <t>=NL("Sum","Item Ledger Entry","Quantity","Entry Type","Transfer","Entry No.",I607,"Location Code","@@"&amp;$E$6)</t>
  </si>
  <si>
    <t>=NL("Sum","Item Ledger Entry","Quantity","Entry Type","Transfer","Entry No.",I610,"Location Code","@@"&amp;$E$6)</t>
  </si>
  <si>
    <t>=NL("Sum","Item Ledger Entry","Quantity","Entry Type","Consumption","Entry No.",I607,"Location Code","@@"&amp;$E$6)</t>
  </si>
  <si>
    <t>=NL("Sum","Item Ledger Entry","Quantity","Entry Type","Consumption","Entry No.",I610,"Location Code","@@"&amp;$E$6)</t>
  </si>
  <si>
    <t>=NL("Sum","Item Ledger Entry","Quantity","Entry Type","Output","Entry No.",I607,"Location Code","@@"&amp;$E$6)</t>
  </si>
  <si>
    <t>=NL("Sum","Item Ledger Entry","Quantity","Entry Type","Output","Entry No.",I610,"Location Code","@@"&amp;$E$6)</t>
  </si>
  <si>
    <t>=NF($G602,"Posting Date")</t>
  </si>
  <si>
    <t>=NF($G602,"Entry No.")</t>
  </si>
  <si>
    <t>=NL("Sum","Item Ledger Entry","Quantity","Entry Type","Purchase","Entry No.",I601,"Location Code","@@"&amp;$E$6)</t>
  </si>
  <si>
    <t>=NL("Sum","Item Ledger Entry","Quantity","Entry Type","Purchase","Entry No.",I602,"Location Code","@@"&amp;$E$6)</t>
  </si>
  <si>
    <t>=NL("Sum","Item Ledger Entry","Quantity","Entry Type","Sale","Entry No.",I601,"Location Code","@@"&amp;$E$6)</t>
  </si>
  <si>
    <t>=NL("Sum","Item Ledger Entry","Quantity","Entry Type","Sale","Entry No.",I602,"Location Code","@@"&amp;$E$6)</t>
  </si>
  <si>
    <t>=NL("Sum","Item Ledger Entry","Quantity","Entry Type","Positive Adjmt.|Negative Adjmt.","Entry No.",I601,"Location Code","@@"&amp;$E$6)</t>
  </si>
  <si>
    <t>=NL("Sum","Item Ledger Entry","Quantity","Entry Type","Positive Adjmt.|Negative Adjmt.","Entry No.",I602,"Location Code","@@"&amp;$E$6)</t>
  </si>
  <si>
    <t>=NL("Sum","Item Ledger Entry","Quantity","Entry Type","Transfer","Entry No.",I601,"Location Code","@@"&amp;$E$6)</t>
  </si>
  <si>
    <t>=NL("Sum","Item Ledger Entry","Quantity","Entry Type","Transfer","Entry No.",I602,"Location Code","@@"&amp;$E$6)</t>
  </si>
  <si>
    <t>=NL("Sum","Item Ledger Entry","Quantity","Entry Type","Consumption","Entry No.",I601,"Location Code","@@"&amp;$E$6)</t>
  </si>
  <si>
    <t>=NL("Sum","Item Ledger Entry","Quantity","Entry Type","Consumption","Entry No.",I602,"Location Code","@@"&amp;$E$6)</t>
  </si>
  <si>
    <t>=NL("Sum","Item Ledger Entry","Quantity","Entry Type","Output","Entry No.",I601,"Location Code","@@"&amp;$E$6)</t>
  </si>
  <si>
    <t>=NL("Sum","Item Ledger Entry","Quantity","Entry Type","Output","Entry No.",I602,"Location Code","@@"&amp;$E$6)</t>
  </si>
  <si>
    <t>=NF(G602,"Source Type")</t>
  </si>
  <si>
    <t>=NF($G602,"Source No.")</t>
  </si>
  <si>
    <t>=NL("Sum","Item Ledger Entry","Quantity","Entry Type","Purchase","Entry No.",I597,"Location Code","@@"&amp;$E$6)</t>
  </si>
  <si>
    <t>=NL("Sum","Item Ledger Entry","Quantity","Entry Type","Sale","Entry No.",I597,"Location Code","@@"&amp;$E$6)</t>
  </si>
  <si>
    <t>=NL("Sum","Item Ledger Entry","Quantity","Entry Type","Positive Adjmt.|Negative Adjmt.","Entry No.",I597,"Location Code","@@"&amp;$E$6)</t>
  </si>
  <si>
    <t>=NL("Sum","Item Ledger Entry","Quantity","Entry Type","Transfer","Entry No.",I597,"Location Code","@@"&amp;$E$6)</t>
  </si>
  <si>
    <t>=NL("Sum","Item Ledger Entry","Quantity","Entry Type","Consumption","Entry No.",I597,"Location Code","@@"&amp;$E$6)</t>
  </si>
  <si>
    <t>=NL("Sum","Item Ledger Entry","Quantity","Entry Type","Output","Entry No.",I597,"Location Code","@@"&amp;$E$6)</t>
  </si>
  <si>
    <t>=NL("Sum","Item Ledger Entry","Quantity","Entry Type","Purchase","Entry No.",I589,"Location Code","@@"&amp;$E$6)</t>
  </si>
  <si>
    <t>=NL("Sum","Item Ledger Entry","Quantity","Entry Type","Purchase","Entry No.",I590,"Location Code","@@"&amp;$E$6)</t>
  </si>
  <si>
    <t>=NL("Sum","Item Ledger Entry","Quantity","Entry Type","Sale","Entry No.",I589,"Location Code","@@"&amp;$E$6)</t>
  </si>
  <si>
    <t>=NL("Sum","Item Ledger Entry","Quantity","Entry Type","Sale","Entry No.",I590,"Location Code","@@"&amp;$E$6)</t>
  </si>
  <si>
    <t>=NL("Sum","Item Ledger Entry","Quantity","Entry Type","Positive Adjmt.|Negative Adjmt.","Entry No.",I589,"Location Code","@@"&amp;$E$6)</t>
  </si>
  <si>
    <t>=NL("Sum","Item Ledger Entry","Quantity","Entry Type","Positive Adjmt.|Negative Adjmt.","Entry No.",I590,"Location Code","@@"&amp;$E$6)</t>
  </si>
  <si>
    <t>=NL("Sum","Item Ledger Entry","Quantity","Entry Type","Transfer","Entry No.",I589,"Location Code","@@"&amp;$E$6)</t>
  </si>
  <si>
    <t>=NL("Sum","Item Ledger Entry","Quantity","Entry Type","Transfer","Entry No.",I590,"Location Code","@@"&amp;$E$6)</t>
  </si>
  <si>
    <t>=NL("Sum","Item Ledger Entry","Quantity","Entry Type","Consumption","Entry No.",I589,"Location Code","@@"&amp;$E$6)</t>
  </si>
  <si>
    <t>=NL("Sum","Item Ledger Entry","Quantity","Entry Type","Consumption","Entry No.",I590,"Location Code","@@"&amp;$E$6)</t>
  </si>
  <si>
    <t>=NL("Sum","Item Ledger Entry","Quantity","Entry Type","Output","Entry No.",I589,"Location Code","@@"&amp;$E$6)</t>
  </si>
  <si>
    <t>=NL("Sum","Item Ledger Entry","Quantity","Entry Type","Output","Entry No.",I590,"Location Code","@@"&amp;$E$6)</t>
  </si>
  <si>
    <t>=NL("Sum","Item Ledger Entry","Quantity","Entry Type","Purchase","Entry No.",I571,"Location Code","@@"&amp;$E$6)</t>
  </si>
  <si>
    <t>=NL("Sum","Item Ledger Entry","Quantity","Entry Type","Purchase","Entry No.",I573,"Location Code","@@"&amp;$E$6)</t>
  </si>
  <si>
    <t>=NL("Sum","Item Ledger Entry","Quantity","Entry Type","Sale","Entry No.",I571,"Location Code","@@"&amp;$E$6)</t>
  </si>
  <si>
    <t>=NL("Sum","Item Ledger Entry","Quantity","Entry Type","Sale","Entry No.",I573,"Location Code","@@"&amp;$E$6)</t>
  </si>
  <si>
    <t>=NL("Sum","Item Ledger Entry","Quantity","Entry Type","Positive Adjmt.|Negative Adjmt.","Entry No.",I571,"Location Code","@@"&amp;$E$6)</t>
  </si>
  <si>
    <t>=NL("Sum","Item Ledger Entry","Quantity","Entry Type","Positive Adjmt.|Negative Adjmt.","Entry No.",I573,"Location Code","@@"&amp;$E$6)</t>
  </si>
  <si>
    <t>=NL("Sum","Item Ledger Entry","Quantity","Entry Type","Transfer","Entry No.",I571,"Location Code","@@"&amp;$E$6)</t>
  </si>
  <si>
    <t>=NL("Sum","Item Ledger Entry","Quantity","Entry Type","Transfer","Entry No.",I573,"Location Code","@@"&amp;$E$6)</t>
  </si>
  <si>
    <t>=NL("Sum","Item Ledger Entry","Quantity","Entry Type","Consumption","Entry No.",I571,"Location Code","@@"&amp;$E$6)</t>
  </si>
  <si>
    <t>=NL("Sum","Item Ledger Entry","Quantity","Entry Type","Consumption","Entry No.",I573,"Location Code","@@"&amp;$E$6)</t>
  </si>
  <si>
    <t>=NL("Sum","Item Ledger Entry","Quantity","Entry Type","Output","Entry No.",I571,"Location Code","@@"&amp;$E$6)</t>
  </si>
  <si>
    <t>=NL("Sum","Item Ledger Entry","Quantity","Entry Type","Output","Entry No.",I573,"Location Code","@@"&amp;$E$6)</t>
  </si>
  <si>
    <t>=NF($G551,"Posting Date")</t>
  </si>
  <si>
    <t>=NF($G551,"Entry No.")</t>
  </si>
  <si>
    <t>=NL("Sum","Item Ledger Entry","Quantity","Entry Type","Purchase","Entry No.",I550,"Location Code","@@"&amp;$E$6)</t>
  </si>
  <si>
    <t>=NL("Sum","Item Ledger Entry","Quantity","Entry Type","Purchase","Entry No.",I551,"Location Code","@@"&amp;$E$6)</t>
  </si>
  <si>
    <t>=NL("Sum","Item Ledger Entry","Quantity","Entry Type","Sale","Entry No.",I550,"Location Code","@@"&amp;$E$6)</t>
  </si>
  <si>
    <t>=NL("Sum","Item Ledger Entry","Quantity","Entry Type","Sale","Entry No.",I551,"Location Code","@@"&amp;$E$6)</t>
  </si>
  <si>
    <t>=NL("Sum","Item Ledger Entry","Quantity","Entry Type","Positive Adjmt.|Negative Adjmt.","Entry No.",I550,"Location Code","@@"&amp;$E$6)</t>
  </si>
  <si>
    <t>=NL("Sum","Item Ledger Entry","Quantity","Entry Type","Positive Adjmt.|Negative Adjmt.","Entry No.",I551,"Location Code","@@"&amp;$E$6)</t>
  </si>
  <si>
    <t>=NL("Sum","Item Ledger Entry","Quantity","Entry Type","Transfer","Entry No.",I550,"Location Code","@@"&amp;$E$6)</t>
  </si>
  <si>
    <t>=NL("Sum","Item Ledger Entry","Quantity","Entry Type","Transfer","Entry No.",I551,"Location Code","@@"&amp;$E$6)</t>
  </si>
  <si>
    <t>=NL("Sum","Item Ledger Entry","Quantity","Entry Type","Consumption","Entry No.",I550,"Location Code","@@"&amp;$E$6)</t>
  </si>
  <si>
    <t>=NL("Sum","Item Ledger Entry","Quantity","Entry Type","Consumption","Entry No.",I551,"Location Code","@@"&amp;$E$6)</t>
  </si>
  <si>
    <t>=NL("Sum","Item Ledger Entry","Quantity","Entry Type","Output","Entry No.",I550,"Location Code","@@"&amp;$E$6)</t>
  </si>
  <si>
    <t>=NL("Sum","Item Ledger Entry","Quantity","Entry Type","Output","Entry No.",I551,"Location Code","@@"&amp;$E$6)</t>
  </si>
  <si>
    <t>=NF(G551,"Source Type")</t>
  </si>
  <si>
    <t>=NF($G551,"Source No.")</t>
  </si>
  <si>
    <t>=NL("Sum","Item Ledger Entry","Quantity","Entry Type","Purchase","Entry No.",I544,"Location Code","@@"&amp;$E$6)</t>
  </si>
  <si>
    <t>=NL("Sum","Item Ledger Entry","Quantity","Entry Type","Purchase","Entry No.",I545,"Location Code","@@"&amp;$E$6)</t>
  </si>
  <si>
    <t>=NL("Sum","Item Ledger Entry","Quantity","Entry Type","Sale","Entry No.",I544,"Location Code","@@"&amp;$E$6)</t>
  </si>
  <si>
    <t>=NL("Sum","Item Ledger Entry","Quantity","Entry Type","Sale","Entry No.",I545,"Location Code","@@"&amp;$E$6)</t>
  </si>
  <si>
    <t>=NL("Sum","Item Ledger Entry","Quantity","Entry Type","Positive Adjmt.|Negative Adjmt.","Entry No.",I544,"Location Code","@@"&amp;$E$6)</t>
  </si>
  <si>
    <t>=NL("Sum","Item Ledger Entry","Quantity","Entry Type","Positive Adjmt.|Negative Adjmt.","Entry No.",I545,"Location Code","@@"&amp;$E$6)</t>
  </si>
  <si>
    <t>=NL("Sum","Item Ledger Entry","Quantity","Entry Type","Transfer","Entry No.",I544,"Location Code","@@"&amp;$E$6)</t>
  </si>
  <si>
    <t>=NL("Sum","Item Ledger Entry","Quantity","Entry Type","Transfer","Entry No.",I545,"Location Code","@@"&amp;$E$6)</t>
  </si>
  <si>
    <t>=NL("Sum","Item Ledger Entry","Quantity","Entry Type","Consumption","Entry No.",I544,"Location Code","@@"&amp;$E$6)</t>
  </si>
  <si>
    <t>=NL("Sum","Item Ledger Entry","Quantity","Entry Type","Consumption","Entry No.",I545,"Location Code","@@"&amp;$E$6)</t>
  </si>
  <si>
    <t>=NL("Sum","Item Ledger Entry","Quantity","Entry Type","Output","Entry No.",I544,"Location Code","@@"&amp;$E$6)</t>
  </si>
  <si>
    <t>=NL("Sum","Item Ledger Entry","Quantity","Entry Type","Output","Entry No.",I545,"Location Code","@@"&amp;$E$6)</t>
  </si>
  <si>
    <t>=NL("Sum","Item Ledger Entry","Quantity","Entry Type","Purchase","Entry No.",I525,"Location Code","@@"&amp;$E$6)</t>
  </si>
  <si>
    <t>=NL("Sum","Item Ledger Entry","Quantity","Entry Type","Purchase","Entry No.",I526,"Location Code","@@"&amp;$E$6)</t>
  </si>
  <si>
    <t>=NL("Sum","Item Ledger Entry","Quantity","Entry Type","Sale","Entry No.",I525,"Location Code","@@"&amp;$E$6)</t>
  </si>
  <si>
    <t>=NL("Sum","Item Ledger Entry","Quantity","Entry Type","Sale","Entry No.",I526,"Location Code","@@"&amp;$E$6)</t>
  </si>
  <si>
    <t>=NL("Sum","Item Ledger Entry","Quantity","Entry Type","Positive Adjmt.|Negative Adjmt.","Entry No.",I525,"Location Code","@@"&amp;$E$6)</t>
  </si>
  <si>
    <t>=NL("Sum","Item Ledger Entry","Quantity","Entry Type","Positive Adjmt.|Negative Adjmt.","Entry No.",I526,"Location Code","@@"&amp;$E$6)</t>
  </si>
  <si>
    <t>=NL("Sum","Item Ledger Entry","Quantity","Entry Type","Transfer","Entry No.",I525,"Location Code","@@"&amp;$E$6)</t>
  </si>
  <si>
    <t>=NL("Sum","Item Ledger Entry","Quantity","Entry Type","Transfer","Entry No.",I526,"Location Code","@@"&amp;$E$6)</t>
  </si>
  <si>
    <t>=NL("Sum","Item Ledger Entry","Quantity","Entry Type","Consumption","Entry No.",I525,"Location Code","@@"&amp;$E$6)</t>
  </si>
  <si>
    <t>=NL("Sum","Item Ledger Entry","Quantity","Entry Type","Consumption","Entry No.",I526,"Location Code","@@"&amp;$E$6)</t>
  </si>
  <si>
    <t>=NL("Sum","Item Ledger Entry","Quantity","Entry Type","Output","Entry No.",I525,"Location Code","@@"&amp;$E$6)</t>
  </si>
  <si>
    <t>=NL("Sum","Item Ledger Entry","Quantity","Entry Type","Output","Entry No.",I526,"Location Code","@@"&amp;$E$6)</t>
  </si>
  <si>
    <t>=NL("Sum","Item Ledger Entry","Quantity","Entry Type","Purchase","Entry No.",I485,"Location Code","@@"&amp;$E$6)</t>
  </si>
  <si>
    <t>=NL("Sum","Item Ledger Entry","Quantity","Entry Type","Sale","Entry No.",I485,"Location Code","@@"&amp;$E$6)</t>
  </si>
  <si>
    <t>=NL("Sum","Item Ledger Entry","Quantity","Entry Type","Positive Adjmt.|Negative Adjmt.","Entry No.",I485,"Location Code","@@"&amp;$E$6)</t>
  </si>
  <si>
    <t>=NL("Sum","Item Ledger Entry","Quantity","Entry Type","Transfer","Entry No.",I485,"Location Code","@@"&amp;$E$6)</t>
  </si>
  <si>
    <t>=NL("Sum","Item Ledger Entry","Quantity","Entry Type","Consumption","Entry No.",I485,"Location Code","@@"&amp;$E$6)</t>
  </si>
  <si>
    <t>=NL("Sum","Item Ledger Entry","Quantity","Entry Type","Output","Entry No.",I485,"Location Code","@@"&amp;$E$6)</t>
  </si>
  <si>
    <t>=NL("Sum","Item Ledger Entry","Quantity","Entry Type","Purchase","Entry No.",I478,"Location Code","@@"&amp;$E$6)</t>
  </si>
  <si>
    <t>=NL("Sum","Item Ledger Entry","Quantity","Entry Type","Purchase","Entry No.",I479,"Location Code","@@"&amp;$E$6)</t>
  </si>
  <si>
    <t>=NL("Sum","Item Ledger Entry","Quantity","Entry Type","Sale","Entry No.",I478,"Location Code","@@"&amp;$E$6)</t>
  </si>
  <si>
    <t>=NL("Sum","Item Ledger Entry","Quantity","Entry Type","Sale","Entry No.",I479,"Location Code","@@"&amp;$E$6)</t>
  </si>
  <si>
    <t>=NL("Sum","Item Ledger Entry","Quantity","Entry Type","Positive Adjmt.|Negative Adjmt.","Entry No.",I478,"Location Code","@@"&amp;$E$6)</t>
  </si>
  <si>
    <t>=NL("Sum","Item Ledger Entry","Quantity","Entry Type","Positive Adjmt.|Negative Adjmt.","Entry No.",I479,"Location Code","@@"&amp;$E$6)</t>
  </si>
  <si>
    <t>=NL("Sum","Item Ledger Entry","Quantity","Entry Type","Transfer","Entry No.",I478,"Location Code","@@"&amp;$E$6)</t>
  </si>
  <si>
    <t>=NL("Sum","Item Ledger Entry","Quantity","Entry Type","Transfer","Entry No.",I479,"Location Code","@@"&amp;$E$6)</t>
  </si>
  <si>
    <t>=NL("Sum","Item Ledger Entry","Quantity","Entry Type","Consumption","Entry No.",I478,"Location Code","@@"&amp;$E$6)</t>
  </si>
  <si>
    <t>=NL("Sum","Item Ledger Entry","Quantity","Entry Type","Consumption","Entry No.",I479,"Location Code","@@"&amp;$E$6)</t>
  </si>
  <si>
    <t>=NL("Sum","Item Ledger Entry","Quantity","Entry Type","Output","Entry No.",I478,"Location Code","@@"&amp;$E$6)</t>
  </si>
  <si>
    <t>=NL("Sum","Item Ledger Entry","Quantity","Entry Type","Output","Entry No.",I479,"Location Code","@@"&amp;$E$6)</t>
  </si>
  <si>
    <t>=NL("Sum","Item Ledger Entry","Quantity","Entry Type","Purchase","Entry No.",I472,"Location Code","@@"&amp;$E$6)</t>
  </si>
  <si>
    <t>=NL("Sum","Item Ledger Entry","Quantity","Entry Type","Purchase","Entry No.",I473,"Location Code","@@"&amp;$E$6)</t>
  </si>
  <si>
    <t>=NL("Sum","Item Ledger Entry","Quantity","Entry Type","Purchase","Entry No.",I474,"Location Code","@@"&amp;$E$6)</t>
  </si>
  <si>
    <t>=NL("Sum","Item Ledger Entry","Quantity","Entry Type","Sale","Entry No.",I472,"Location Code","@@"&amp;$E$6)</t>
  </si>
  <si>
    <t>=NL("Sum","Item Ledger Entry","Quantity","Entry Type","Sale","Entry No.",I473,"Location Code","@@"&amp;$E$6)</t>
  </si>
  <si>
    <t>=NL("Sum","Item Ledger Entry","Quantity","Entry Type","Sale","Entry No.",I474,"Location Code","@@"&amp;$E$6)</t>
  </si>
  <si>
    <t>=NL("Sum","Item Ledger Entry","Quantity","Entry Type","Positive Adjmt.|Negative Adjmt.","Entry No.",I472,"Location Code","@@"&amp;$E$6)</t>
  </si>
  <si>
    <t>=NL("Sum","Item Ledger Entry","Quantity","Entry Type","Positive Adjmt.|Negative Adjmt.","Entry No.",I473,"Location Code","@@"&amp;$E$6)</t>
  </si>
  <si>
    <t>=NL("Sum","Item Ledger Entry","Quantity","Entry Type","Positive Adjmt.|Negative Adjmt.","Entry No.",I474,"Location Code","@@"&amp;$E$6)</t>
  </si>
  <si>
    <t>=NL("Sum","Item Ledger Entry","Quantity","Entry Type","Transfer","Entry No.",I472,"Location Code","@@"&amp;$E$6)</t>
  </si>
  <si>
    <t>=NL("Sum","Item Ledger Entry","Quantity","Entry Type","Transfer","Entry No.",I473,"Location Code","@@"&amp;$E$6)</t>
  </si>
  <si>
    <t>=NL("Sum","Item Ledger Entry","Quantity","Entry Type","Transfer","Entry No.",I474,"Location Code","@@"&amp;$E$6)</t>
  </si>
  <si>
    <t>=NL("Sum","Item Ledger Entry","Quantity","Entry Type","Consumption","Entry No.",I472,"Location Code","@@"&amp;$E$6)</t>
  </si>
  <si>
    <t>=NL("Sum","Item Ledger Entry","Quantity","Entry Type","Consumption","Entry No.",I473,"Location Code","@@"&amp;$E$6)</t>
  </si>
  <si>
    <t>=NL("Sum","Item Ledger Entry","Quantity","Entry Type","Consumption","Entry No.",I474,"Location Code","@@"&amp;$E$6)</t>
  </si>
  <si>
    <t>=NL("Sum","Item Ledger Entry","Quantity","Entry Type","Output","Entry No.",I472,"Location Code","@@"&amp;$E$6)</t>
  </si>
  <si>
    <t>=NL("Sum","Item Ledger Entry","Quantity","Entry Type","Output","Entry No.",I473,"Location Code","@@"&amp;$E$6)</t>
  </si>
  <si>
    <t>=NL("Sum","Item Ledger Entry","Quantity","Entry Type","Output","Entry No.",I474,"Location Code","@@"&amp;$E$6)</t>
  </si>
  <si>
    <t>=NL("Sum","Item Ledger Entry","Quantity","Entry Type","Purchase","Entry No.",I462,"Location Code","@@"&amp;$E$6)</t>
  </si>
  <si>
    <t>=NL("Sum","Item Ledger Entry","Quantity","Entry Type","Purchase","Entry No.",I463,"Location Code","@@"&amp;$E$6)</t>
  </si>
  <si>
    <t>=NL("Sum","Item Ledger Entry","Quantity","Entry Type","Purchase","Entry No.",I464,"Location Code","@@"&amp;$E$6)</t>
  </si>
  <si>
    <t>=NL("Sum","Item Ledger Entry","Quantity","Entry Type","Sale","Entry No.",I462,"Location Code","@@"&amp;$E$6)</t>
  </si>
  <si>
    <t>=NL("Sum","Item Ledger Entry","Quantity","Entry Type","Sale","Entry No.",I463,"Location Code","@@"&amp;$E$6)</t>
  </si>
  <si>
    <t>=NL("Sum","Item Ledger Entry","Quantity","Entry Type","Sale","Entry No.",I464,"Location Code","@@"&amp;$E$6)</t>
  </si>
  <si>
    <t>=NL("Sum","Item Ledger Entry","Quantity","Entry Type","Positive Adjmt.|Negative Adjmt.","Entry No.",I462,"Location Code","@@"&amp;$E$6)</t>
  </si>
  <si>
    <t>=NL("Sum","Item Ledger Entry","Quantity","Entry Type","Positive Adjmt.|Negative Adjmt.","Entry No.",I463,"Location Code","@@"&amp;$E$6)</t>
  </si>
  <si>
    <t>=NL("Sum","Item Ledger Entry","Quantity","Entry Type","Positive Adjmt.|Negative Adjmt.","Entry No.",I464,"Location Code","@@"&amp;$E$6)</t>
  </si>
  <si>
    <t>=NL("Sum","Item Ledger Entry","Quantity","Entry Type","Transfer","Entry No.",I462,"Location Code","@@"&amp;$E$6)</t>
  </si>
  <si>
    <t>=NL("Sum","Item Ledger Entry","Quantity","Entry Type","Transfer","Entry No.",I463,"Location Code","@@"&amp;$E$6)</t>
  </si>
  <si>
    <t>=NL("Sum","Item Ledger Entry","Quantity","Entry Type","Transfer","Entry No.",I464,"Location Code","@@"&amp;$E$6)</t>
  </si>
  <si>
    <t>=NL("Sum","Item Ledger Entry","Quantity","Entry Type","Consumption","Entry No.",I462,"Location Code","@@"&amp;$E$6)</t>
  </si>
  <si>
    <t>=NL("Sum","Item Ledger Entry","Quantity","Entry Type","Consumption","Entry No.",I463,"Location Code","@@"&amp;$E$6)</t>
  </si>
  <si>
    <t>=NL("Sum","Item Ledger Entry","Quantity","Entry Type","Consumption","Entry No.",I464,"Location Code","@@"&amp;$E$6)</t>
  </si>
  <si>
    <t>=NL("Sum","Item Ledger Entry","Quantity","Entry Type","Output","Entry No.",I462,"Location Code","@@"&amp;$E$6)</t>
  </si>
  <si>
    <t>=NL("Sum","Item Ledger Entry","Quantity","Entry Type","Output","Entry No.",I463,"Location Code","@@"&amp;$E$6)</t>
  </si>
  <si>
    <t>=NL("Sum","Item Ledger Entry","Quantity","Entry Type","Output","Entry No.",I464,"Location Code","@@"&amp;$E$6)</t>
  </si>
  <si>
    <t>=NL("Sum","Item Ledger Entry","Quantity","Entry Type","Purchase","Entry No.",I454,"Location Code","@@"&amp;$E$6)</t>
  </si>
  <si>
    <t>=NL("Sum","Item Ledger Entry","Quantity","Entry Type","Purchase","Entry No.",I455,"Location Code","@@"&amp;$E$6)</t>
  </si>
  <si>
    <t>=NL("Sum","Item Ledger Entry","Quantity","Entry Type","Sale","Entry No.",I454,"Location Code","@@"&amp;$E$6)</t>
  </si>
  <si>
    <t>=NL("Sum","Item Ledger Entry","Quantity","Entry Type","Sale","Entry No.",I455,"Location Code","@@"&amp;$E$6)</t>
  </si>
  <si>
    <t>=NL("Sum","Item Ledger Entry","Quantity","Entry Type","Positive Adjmt.|Negative Adjmt.","Entry No.",I454,"Location Code","@@"&amp;$E$6)</t>
  </si>
  <si>
    <t>=NL("Sum","Item Ledger Entry","Quantity","Entry Type","Positive Adjmt.|Negative Adjmt.","Entry No.",I455,"Location Code","@@"&amp;$E$6)</t>
  </si>
  <si>
    <t>=NL("Sum","Item Ledger Entry","Quantity","Entry Type","Transfer","Entry No.",I454,"Location Code","@@"&amp;$E$6)</t>
  </si>
  <si>
    <t>=NL("Sum","Item Ledger Entry","Quantity","Entry Type","Transfer","Entry No.",I455,"Location Code","@@"&amp;$E$6)</t>
  </si>
  <si>
    <t>=NL("Sum","Item Ledger Entry","Quantity","Entry Type","Consumption","Entry No.",I454,"Location Code","@@"&amp;$E$6)</t>
  </si>
  <si>
    <t>=NL("Sum","Item Ledger Entry","Quantity","Entry Type","Consumption","Entry No.",I455,"Location Code","@@"&amp;$E$6)</t>
  </si>
  <si>
    <t>=NL("Sum","Item Ledger Entry","Quantity","Entry Type","Output","Entry No.",I454,"Location Code","@@"&amp;$E$6)</t>
  </si>
  <si>
    <t>=NL("Sum","Item Ledger Entry","Quantity","Entry Type","Output","Entry No.",I455,"Location Code","@@"&amp;$E$6)</t>
  </si>
  <si>
    <t>=NL("Sum","Item Ledger Entry","Quantity","Entry Type","Purchase","Entry No.",I439,"Location Code","@@"&amp;$E$6)</t>
  </si>
  <si>
    <t>=NL("Sum","Item Ledger Entry","Quantity","Entry Type","Purchase","Entry No.",I446,"Location Code","@@"&amp;$E$6)</t>
  </si>
  <si>
    <t>=NL("Sum","Item Ledger Entry","Quantity","Entry Type","Sale","Entry No.",I439,"Location Code","@@"&amp;$E$6)</t>
  </si>
  <si>
    <t>=NL("Sum","Item Ledger Entry","Quantity","Entry Type","Sale","Entry No.",I446,"Location Code","@@"&amp;$E$6)</t>
  </si>
  <si>
    <t>=NL("Sum","Item Ledger Entry","Quantity","Entry Type","Positive Adjmt.|Negative Adjmt.","Entry No.",I439,"Location Code","@@"&amp;$E$6)</t>
  </si>
  <si>
    <t>=NL("Sum","Item Ledger Entry","Quantity","Entry Type","Positive Adjmt.|Negative Adjmt.","Entry No.",I446,"Location Code","@@"&amp;$E$6)</t>
  </si>
  <si>
    <t>=NL("Sum","Item Ledger Entry","Quantity","Entry Type","Transfer","Entry No.",I439,"Location Code","@@"&amp;$E$6)</t>
  </si>
  <si>
    <t>=NL("Sum","Item Ledger Entry","Quantity","Entry Type","Transfer","Entry No.",I446,"Location Code","@@"&amp;$E$6)</t>
  </si>
  <si>
    <t>=NL("Sum","Item Ledger Entry","Quantity","Entry Type","Consumption","Entry No.",I439,"Location Code","@@"&amp;$E$6)</t>
  </si>
  <si>
    <t>=NL("Sum","Item Ledger Entry","Quantity","Entry Type","Consumption","Entry No.",I446,"Location Code","@@"&amp;$E$6)</t>
  </si>
  <si>
    <t>=NL("Sum","Item Ledger Entry","Quantity","Entry Type","Output","Entry No.",I439,"Location Code","@@"&amp;$E$6)</t>
  </si>
  <si>
    <t>=NL("Sum","Item Ledger Entry","Quantity","Entry Type","Output","Entry No.",I446,"Location Code","@@"&amp;$E$6)</t>
  </si>
  <si>
    <t>=NL("Sum","Item Ledger Entry","Quantity","Entry Type","Purchase","Entry No.",I435,"Location Code","@@"&amp;$E$6)</t>
  </si>
  <si>
    <t>=NL("Sum","Item Ledger Entry","Quantity","Entry Type","Sale","Entry No.",I435,"Location Code","@@"&amp;$E$6)</t>
  </si>
  <si>
    <t>=NL("Sum","Item Ledger Entry","Quantity","Entry Type","Positive Adjmt.|Negative Adjmt.","Entry No.",I435,"Location Code","@@"&amp;$E$6)</t>
  </si>
  <si>
    <t>=NL("Sum","Item Ledger Entry","Quantity","Entry Type","Transfer","Entry No.",I435,"Location Code","@@"&amp;$E$6)</t>
  </si>
  <si>
    <t>=NL("Sum","Item Ledger Entry","Quantity","Entry Type","Consumption","Entry No.",I435,"Location Code","@@"&amp;$E$6)</t>
  </si>
  <si>
    <t>=NL("Sum","Item Ledger Entry","Quantity","Entry Type","Output","Entry No.",I435,"Location Code","@@"&amp;$E$6)</t>
  </si>
  <si>
    <t>=NL("Sum","Item Ledger Entry","Quantity","Entry Type","Purchase","Entry No.",I401,"Location Code","@@"&amp;$E$6)</t>
  </si>
  <si>
    <t>=NL("Sum","Item Ledger Entry","Quantity","Entry Type","Sale","Entry No.",I401,"Location Code","@@"&amp;$E$6)</t>
  </si>
  <si>
    <t>=NL("Sum","Item Ledger Entry","Quantity","Entry Type","Positive Adjmt.|Negative Adjmt.","Entry No.",I401,"Location Code","@@"&amp;$E$6)</t>
  </si>
  <si>
    <t>=NL("Sum","Item Ledger Entry","Quantity","Entry Type","Transfer","Entry No.",I401,"Location Code","@@"&amp;$E$6)</t>
  </si>
  <si>
    <t>=NL("Sum","Item Ledger Entry","Quantity","Entry Type","Consumption","Entry No.",I401,"Location Code","@@"&amp;$E$6)</t>
  </si>
  <si>
    <t>=NL("Sum","Item Ledger Entry","Quantity","Entry Type","Output","Entry No.",I401,"Location Code","@@"&amp;$E$6)</t>
  </si>
  <si>
    <t>=NL("Sum","Item Ledger Entry","Quantity","Entry Type","Purchase","Entry No.",I395,"Location Code","@@"&amp;$E$6)</t>
  </si>
  <si>
    <t>=NL("Sum","Item Ledger Entry","Quantity","Entry Type","Sale","Entry No.",I395,"Location Code","@@"&amp;$E$6)</t>
  </si>
  <si>
    <t>=NL("Sum","Item Ledger Entry","Quantity","Entry Type","Positive Adjmt.|Negative Adjmt.","Entry No.",I395,"Location Code","@@"&amp;$E$6)</t>
  </si>
  <si>
    <t>=NL("Sum","Item Ledger Entry","Quantity","Entry Type","Transfer","Entry No.",I395,"Location Code","@@"&amp;$E$6)</t>
  </si>
  <si>
    <t>=NL("Sum","Item Ledger Entry","Quantity","Entry Type","Consumption","Entry No.",I395,"Location Code","@@"&amp;$E$6)</t>
  </si>
  <si>
    <t>=NL("Sum","Item Ledger Entry","Quantity","Entry Type","Output","Entry No.",I395,"Location Code","@@"&amp;$E$6)</t>
  </si>
  <si>
    <t>=NL("Sum","Item Ledger Entry","Quantity","Entry Type","Purchase","Entry No.",I369,"Location Code","@@"&amp;$E$6)</t>
  </si>
  <si>
    <t>=NL("Sum","Item Ledger Entry","Quantity","Entry Type","Sale","Entry No.",I369,"Location Code","@@"&amp;$E$6)</t>
  </si>
  <si>
    <t>=NL("Sum","Item Ledger Entry","Quantity","Entry Type","Positive Adjmt.|Negative Adjmt.","Entry No.",I369,"Location Code","@@"&amp;$E$6)</t>
  </si>
  <si>
    <t>=NL("Sum","Item Ledger Entry","Quantity","Entry Type","Transfer","Entry No.",I369,"Location Code","@@"&amp;$E$6)</t>
  </si>
  <si>
    <t>=NL("Sum","Item Ledger Entry","Quantity","Entry Type","Consumption","Entry No.",I369,"Location Code","@@"&amp;$E$6)</t>
  </si>
  <si>
    <t>=NL("Sum","Item Ledger Entry","Quantity","Entry Type","Output","Entry No.",I369,"Location Code","@@"&amp;$E$6)</t>
  </si>
  <si>
    <t>=NL("Sum","Item Ledger Entry","Quantity","Entry Type","Purchase","Entry No.",I181,"Location Code","@@"&amp;$E$6)</t>
  </si>
  <si>
    <t>=NL("Sum","Item Ledger Entry","Quantity","Entry Type","Sale","Entry No.",I181,"Location Code","@@"&amp;$E$6)</t>
  </si>
  <si>
    <t>=NL("Sum","Item Ledger Entry","Quantity","Entry Type","Positive Adjmt.|Negative Adjmt.","Entry No.",I181,"Location Code","@@"&amp;$E$6)</t>
  </si>
  <si>
    <t>=NL("Sum","Item Ledger Entry","Quantity","Entry Type","Transfer","Entry No.",I181,"Location Code","@@"&amp;$E$6)</t>
  </si>
  <si>
    <t>=NL("Sum","Item Ledger Entry","Quantity","Entry Type","Consumption","Entry No.",I181,"Location Code","@@"&amp;$E$6)</t>
  </si>
  <si>
    <t>=NL("Sum","Item Ledger Entry","Quantity","Entry Type","Output","Entry No.",I181,"Location Code","@@"&amp;$E$6)</t>
  </si>
  <si>
    <t>=NL("Sum","Item Ledger Entry","Quantity","Entry Type","Purchase","Entry No.",I172,"Location Code","@@"&amp;$E$6)</t>
  </si>
  <si>
    <t>=NL("Sum","Item Ledger Entry","Quantity","Entry Type","Sale","Entry No.",I172,"Location Code","@@"&amp;$E$6)</t>
  </si>
  <si>
    <t>=NL("Sum","Item Ledger Entry","Quantity","Entry Type","Positive Adjmt.|Negative Adjmt.","Entry No.",I172,"Location Code","@@"&amp;$E$6)</t>
  </si>
  <si>
    <t>=NL("Sum","Item Ledger Entry","Quantity","Entry Type","Transfer","Entry No.",I172,"Location Code","@@"&amp;$E$6)</t>
  </si>
  <si>
    <t>=NL("Sum","Item Ledger Entry","Quantity","Entry Type","Consumption","Entry No.",I172,"Location Code","@@"&amp;$E$6)</t>
  </si>
  <si>
    <t>=NL("Sum","Item Ledger Entry","Quantity","Entry Type","Output","Entry No.",I172,"Location Code","@@"&amp;$E$6)</t>
  </si>
  <si>
    <t>Auto+Hide+Values+Formulas=Sheet21,Sheet6,Sheet7+AutoSheet+FormulasOnly</t>
  </si>
  <si>
    <t>Auto+Hide+Values+Formulas=Sheet22,Sheet6,Sheet7+AutoSheet</t>
  </si>
  <si>
    <t>=(SUBTOTAL(9,O18:O19))</t>
  </si>
  <si>
    <t>=(SUBTOTAL(9,P18:P19))</t>
  </si>
  <si>
    <t>=(SUBTOTAL(9,Q18:Q19))</t>
  </si>
  <si>
    <t>=(SUBTOTAL(9,R18:R19))</t>
  </si>
  <si>
    <t>=(SUBTOTAL(9,S18:S19))</t>
  </si>
  <si>
    <t>=(SUBTOTAL(9,T18:T19))</t>
  </si>
  <si>
    <t>=SUBTOTAL(9,O18:T19)</t>
  </si>
  <si>
    <t>=(SUBTOTAL(9,O52:O53))</t>
  </si>
  <si>
    <t>=(SUBTOTAL(9,P52:P53))</t>
  </si>
  <si>
    <t>=(SUBTOTAL(9,Q52:Q53))</t>
  </si>
  <si>
    <t>=(SUBTOTAL(9,R52:R53))</t>
  </si>
  <si>
    <t>=(SUBTOTAL(9,S52:S53))</t>
  </si>
  <si>
    <t>=(SUBTOTAL(9,T52:T53))</t>
  </si>
  <si>
    <t>=SUBTOTAL(9,O52:T53)</t>
  </si>
  <si>
    <t>=(SUBTOTAL(9,O65:O66))</t>
  </si>
  <si>
    <t>=(SUBTOTAL(9,P65:P66))</t>
  </si>
  <si>
    <t>=(SUBTOTAL(9,Q65:Q66))</t>
  </si>
  <si>
    <t>=(SUBTOTAL(9,R65:R66))</t>
  </si>
  <si>
    <t>=(SUBTOTAL(9,S65:S66))</t>
  </si>
  <si>
    <t>=(SUBTOTAL(9,T65:T66))</t>
  </si>
  <si>
    <t>=SUBTOTAL(9,O65:T66)</t>
  </si>
  <si>
    <t>=(SUBTOTAL(9,O89:O90))</t>
  </si>
  <si>
    <t>=(SUBTOTAL(9,P89:P90))</t>
  </si>
  <si>
    <t>=(SUBTOTAL(9,Q89:Q90))</t>
  </si>
  <si>
    <t>=(SUBTOTAL(9,R89:R90))</t>
  </si>
  <si>
    <t>=(SUBTOTAL(9,S89:S90))</t>
  </si>
  <si>
    <t>=(SUBTOTAL(9,T89:T90))</t>
  </si>
  <si>
    <t>=SUBTOTAL(9,O89:T90)</t>
  </si>
  <si>
    <t>=E92</t>
  </si>
  <si>
    <t>=NL("First","Item","Description","No.",$E92)</t>
  </si>
  <si>
    <t>=NL("First","Item","Base Unit of Measure","No.",$E92)</t>
  </si>
  <si>
    <t>=(SUBTOTAL(9,O93:O94))</t>
  </si>
  <si>
    <t>=(SUBTOTAL(9,P93:P94))</t>
  </si>
  <si>
    <t>=(SUBTOTAL(9,Q93:Q94))</t>
  </si>
  <si>
    <t>=(SUBTOTAL(9,R93:R94))</t>
  </si>
  <si>
    <t>=(SUBTOTAL(9,S93:S94))</t>
  </si>
  <si>
    <t>=(SUBTOTAL(9,T93:T94))</t>
  </si>
  <si>
    <t>=SUBTOTAL(9,O93:T94)</t>
  </si>
  <si>
    <t>=NL("Rows","Item Ledger Entry",,"+Posting Date",$L$5,"Item No.","@@"&amp;$D93,"Location Code","@@"&amp;$E$6)</t>
  </si>
  <si>
    <t>=(SUBTOTAL(9,O105:O107))</t>
  </si>
  <si>
    <t>=(SUBTOTAL(9,P105:P107))</t>
  </si>
  <si>
    <t>=(SUBTOTAL(9,Q105:Q107))</t>
  </si>
  <si>
    <t>=(SUBTOTAL(9,R105:R107))</t>
  </si>
  <si>
    <t>=(SUBTOTAL(9,S105:S107))</t>
  </si>
  <si>
    <t>=(SUBTOTAL(9,T105:T107))</t>
  </si>
  <si>
    <t>=SUBTOTAL(9,O105:T107)</t>
  </si>
  <si>
    <t>=(SUBTOTAL(9,O110:O112))</t>
  </si>
  <si>
    <t>=(SUBTOTAL(9,P110:P112))</t>
  </si>
  <si>
    <t>=(SUBTOTAL(9,Q110:Q112))</t>
  </si>
  <si>
    <t>=(SUBTOTAL(9,R110:R112))</t>
  </si>
  <si>
    <t>=(SUBTOTAL(9,S110:S112))</t>
  </si>
  <si>
    <t>=(SUBTOTAL(9,T110:T112))</t>
  </si>
  <si>
    <t>=SUBTOTAL(9,O110:T112)</t>
  </si>
  <si>
    <t>=(SUBTOTAL(9,O115:O116))</t>
  </si>
  <si>
    <t>=(SUBTOTAL(9,P115:P116))</t>
  </si>
  <si>
    <t>=(SUBTOTAL(9,Q115:Q116))</t>
  </si>
  <si>
    <t>=(SUBTOTAL(9,R115:R116))</t>
  </si>
  <si>
    <t>=(SUBTOTAL(9,S115:S116))</t>
  </si>
  <si>
    <t>=(SUBTOTAL(9,T115:T116))</t>
  </si>
  <si>
    <t>=SUBTOTAL(9,O115:T116)</t>
  </si>
  <si>
    <t>=(SUBTOTAL(9,O119:O121))</t>
  </si>
  <si>
    <t>=(SUBTOTAL(9,P119:P121))</t>
  </si>
  <si>
    <t>=(SUBTOTAL(9,Q119:Q121))</t>
  </si>
  <si>
    <t>=(SUBTOTAL(9,R119:R121))</t>
  </si>
  <si>
    <t>=(SUBTOTAL(9,S119:S121))</t>
  </si>
  <si>
    <t>=(SUBTOTAL(9,T119:T121))</t>
  </si>
  <si>
    <t>=SUBTOTAL(9,O119:T121)</t>
  </si>
  <si>
    <t>=(SUBTOTAL(9,O124:O125))</t>
  </si>
  <si>
    <t>=(SUBTOTAL(9,P124:P125))</t>
  </si>
  <si>
    <t>=(SUBTOTAL(9,Q124:Q125))</t>
  </si>
  <si>
    <t>=(SUBTOTAL(9,R124:R125))</t>
  </si>
  <si>
    <t>=(SUBTOTAL(9,S124:S125))</t>
  </si>
  <si>
    <t>=(SUBTOTAL(9,T124:T125))</t>
  </si>
  <si>
    <t>=SUBTOTAL(9,O124:T125)</t>
  </si>
  <si>
    <t>=(SUBTOTAL(9,O128:O129))</t>
  </si>
  <si>
    <t>=(SUBTOTAL(9,P128:P129))</t>
  </si>
  <si>
    <t>=(SUBTOTAL(9,Q128:Q129))</t>
  </si>
  <si>
    <t>=(SUBTOTAL(9,R128:R129))</t>
  </si>
  <si>
    <t>=(SUBTOTAL(9,S128:S129))</t>
  </si>
  <si>
    <t>=(SUBTOTAL(9,T128:T129))</t>
  </si>
  <si>
    <t>=SUBTOTAL(9,O128:T129)</t>
  </si>
  <si>
    <t>=(SUBTOTAL(9,O132:O135))</t>
  </si>
  <si>
    <t>=(SUBTOTAL(9,P132:P135))</t>
  </si>
  <si>
    <t>=(SUBTOTAL(9,Q132:Q135))</t>
  </si>
  <si>
    <t>=(SUBTOTAL(9,R132:R135))</t>
  </si>
  <si>
    <t>=(SUBTOTAL(9,S132:S135))</t>
  </si>
  <si>
    <t>=(SUBTOTAL(9,T132:T135))</t>
  </si>
  <si>
    <t>=SUBTOTAL(9,O132:T135)</t>
  </si>
  <si>
    <t>=(SUBTOTAL(9,O138:O139))</t>
  </si>
  <si>
    <t>=(SUBTOTAL(9,P138:P139))</t>
  </si>
  <si>
    <t>=(SUBTOTAL(9,Q138:Q139))</t>
  </si>
  <si>
    <t>=(SUBTOTAL(9,R138:R139))</t>
  </si>
  <si>
    <t>=(SUBTOTAL(9,S138:S139))</t>
  </si>
  <si>
    <t>=(SUBTOTAL(9,T138:T139))</t>
  </si>
  <si>
    <t>=SUBTOTAL(9,O138:T139)</t>
  </si>
  <si>
    <t>=(SUBTOTAL(9,O179:O181))</t>
  </si>
  <si>
    <t>=(SUBTOTAL(9,P179:P181))</t>
  </si>
  <si>
    <t>=(SUBTOTAL(9,Q179:Q181))</t>
  </si>
  <si>
    <t>=(SUBTOTAL(9,R179:R181))</t>
  </si>
  <si>
    <t>=(SUBTOTAL(9,S179:S181))</t>
  </si>
  <si>
    <t>=(SUBTOTAL(9,T179:T181))</t>
  </si>
  <si>
    <t>=SUBTOTAL(9,O179:T181)</t>
  </si>
  <si>
    <t>=(SUBTOTAL(9,O189:O192))</t>
  </si>
  <si>
    <t>=(SUBTOTAL(9,P189:P192))</t>
  </si>
  <si>
    <t>=(SUBTOTAL(9,Q189:Q192))</t>
  </si>
  <si>
    <t>=(SUBTOTAL(9,R189:R192))</t>
  </si>
  <si>
    <t>=(SUBTOTAL(9,S189:S192))</t>
  </si>
  <si>
    <t>=(SUBTOTAL(9,T189:T192))</t>
  </si>
  <si>
    <t>=SUBTOTAL(9,O189:T192)</t>
  </si>
  <si>
    <t>=(SUBTOTAL(9,O195:O197))</t>
  </si>
  <si>
    <t>=(SUBTOTAL(9,P195:P197))</t>
  </si>
  <si>
    <t>=(SUBTOTAL(9,Q195:Q197))</t>
  </si>
  <si>
    <t>=(SUBTOTAL(9,R195:R197))</t>
  </si>
  <si>
    <t>=(SUBTOTAL(9,S195:S197))</t>
  </si>
  <si>
    <t>=(SUBTOTAL(9,T195:T197))</t>
  </si>
  <si>
    <t>=SUBTOTAL(9,O195:T197)</t>
  </si>
  <si>
    <t>=(SUBTOTAL(9,O200:O201))</t>
  </si>
  <si>
    <t>=(SUBTOTAL(9,P200:P201))</t>
  </si>
  <si>
    <t>=(SUBTOTAL(9,Q200:Q201))</t>
  </si>
  <si>
    <t>=(SUBTOTAL(9,R200:R201))</t>
  </si>
  <si>
    <t>=(SUBTOTAL(9,S200:S201))</t>
  </si>
  <si>
    <t>=(SUBTOTAL(9,T200:T201))</t>
  </si>
  <si>
    <t>=SUBTOTAL(9,O200:T201)</t>
  </si>
  <si>
    <t>=(SUBTOTAL(9,O204:O206))</t>
  </si>
  <si>
    <t>=(SUBTOTAL(9,P204:P206))</t>
  </si>
  <si>
    <t>=(SUBTOTAL(9,Q204:Q206))</t>
  </si>
  <si>
    <t>=(SUBTOTAL(9,R204:R206))</t>
  </si>
  <si>
    <t>=(SUBTOTAL(9,S204:S206))</t>
  </si>
  <si>
    <t>=(SUBTOTAL(9,T204:T206))</t>
  </si>
  <si>
    <t>=SUBTOTAL(9,O204:T206)</t>
  </si>
  <si>
    <t>=E208</t>
  </si>
  <si>
    <t>=NL("First","Item","Description","No.",$E208)</t>
  </si>
  <si>
    <t>=NL("First","Item","Base Unit of Measure","No.",$E208)</t>
  </si>
  <si>
    <t>=(SUBTOTAL(9,O209:O210))</t>
  </si>
  <si>
    <t>=(SUBTOTAL(9,P209:P210))</t>
  </si>
  <si>
    <t>=(SUBTOTAL(9,Q209:Q210))</t>
  </si>
  <si>
    <t>=(SUBTOTAL(9,R209:R210))</t>
  </si>
  <si>
    <t>=(SUBTOTAL(9,S209:S210))</t>
  </si>
  <si>
    <t>=(SUBTOTAL(9,T209:T210))</t>
  </si>
  <si>
    <t>=SUBTOTAL(9,O209:T210)</t>
  </si>
  <si>
    <t>=NL("Rows","Item Ledger Entry",,"+Posting Date",$L$5,"Item No.","@@"&amp;$D209,"Location Code","@@"&amp;$E$6)</t>
  </si>
  <si>
    <t>=(SUBTOTAL(9,O213:O215))</t>
  </si>
  <si>
    <t>=(SUBTOTAL(9,P213:P215))</t>
  </si>
  <si>
    <t>=(SUBTOTAL(9,Q213:Q215))</t>
  </si>
  <si>
    <t>=(SUBTOTAL(9,R213:R215))</t>
  </si>
  <si>
    <t>=(SUBTOTAL(9,S213:S215))</t>
  </si>
  <si>
    <t>=(SUBTOTAL(9,T213:T215))</t>
  </si>
  <si>
    <t>=SUBTOTAL(9,O213:T215)</t>
  </si>
  <si>
    <t>=NL("Rows","Item Ledger Entry",,"+Posting Date",$L$5,"Item No.","@@"&amp;$D213,"Location Code","@@"&amp;$E$6)</t>
  </si>
  <si>
    <t>=(SUBTOTAL(9,O218:O220))</t>
  </si>
  <si>
    <t>=(SUBTOTAL(9,P218:P220))</t>
  </si>
  <si>
    <t>=(SUBTOTAL(9,Q218:Q220))</t>
  </si>
  <si>
    <t>=(SUBTOTAL(9,R218:R220))</t>
  </si>
  <si>
    <t>=(SUBTOTAL(9,S218:S220))</t>
  </si>
  <si>
    <t>=(SUBTOTAL(9,T218:T220))</t>
  </si>
  <si>
    <t>=SUBTOTAL(9,O218:T220)</t>
  </si>
  <si>
    <t>=E222</t>
  </si>
  <si>
    <t>=NL("First","Item","Description","No.",$E222)</t>
  </si>
  <si>
    <t>=NL("First","Item","Base Unit of Measure","No.",$E222)</t>
  </si>
  <si>
    <t>=(SUBTOTAL(9,O223:O224))</t>
  </si>
  <si>
    <t>=(SUBTOTAL(9,P223:P224))</t>
  </si>
  <si>
    <t>=(SUBTOTAL(9,Q223:Q224))</t>
  </si>
  <si>
    <t>=(SUBTOTAL(9,R223:R224))</t>
  </si>
  <si>
    <t>=(SUBTOTAL(9,S223:S224))</t>
  </si>
  <si>
    <t>=(SUBTOTAL(9,T223:T224))</t>
  </si>
  <si>
    <t>=SUBTOTAL(9,O223:T224)</t>
  </si>
  <si>
    <t>=NL("Rows","Item Ledger Entry",,"+Posting Date",$L$5,"Item No.","@@"&amp;$D223,"Location Code","@@"&amp;$E$6)</t>
  </si>
  <si>
    <t>=(SUBTOTAL(9,O227:O229))</t>
  </si>
  <si>
    <t>=(SUBTOTAL(9,P227:P229))</t>
  </si>
  <si>
    <t>=(SUBTOTAL(9,Q227:Q229))</t>
  </si>
  <si>
    <t>=(SUBTOTAL(9,R227:R229))</t>
  </si>
  <si>
    <t>=(SUBTOTAL(9,S227:S229))</t>
  </si>
  <si>
    <t>=(SUBTOTAL(9,T227:T229))</t>
  </si>
  <si>
    <t>=SUBTOTAL(9,O227:T229)</t>
  </si>
  <si>
    <t>=(SUBTOTAL(9,O236:O237))</t>
  </si>
  <si>
    <t>=(SUBTOTAL(9,P236:P237))</t>
  </si>
  <si>
    <t>=(SUBTOTAL(9,Q236:Q237))</t>
  </si>
  <si>
    <t>=(SUBTOTAL(9,R236:R237))</t>
  </si>
  <si>
    <t>=(SUBTOTAL(9,S236:S237))</t>
  </si>
  <si>
    <t>=(SUBTOTAL(9,T236:T237))</t>
  </si>
  <si>
    <t>=SUBTOTAL(9,O236:T237)</t>
  </si>
  <si>
    <t>=SUBTOTAL(9,O13:O239)</t>
  </si>
  <si>
    <t>=SUBTOTAL(9,P13:P239)</t>
  </si>
  <si>
    <t>=SUBTOTAL(9,Q13:Q239)</t>
  </si>
  <si>
    <t>=SUBTOTAL(9,R13:R239)</t>
  </si>
  <si>
    <t>=SUBTOTAL(9,S13:S239)</t>
  </si>
  <si>
    <t>=SUBTOTAL(9,T13:T239)</t>
  </si>
  <si>
    <t>=SUM(U12:U239)</t>
  </si>
  <si>
    <t>Auto+Hide+Values+Formulas=Sheet22,Sheet6,Sheet7+AutoSheet+FormulasOnly</t>
  </si>
  <si>
    <t>Auto+Hide+Values+Formulas=Sheet23,Sheet6,Sheet7+AutoSheet</t>
  </si>
  <si>
    <t>=(SUBTOTAL(9,O27:O30))</t>
  </si>
  <si>
    <t>=(SUBTOTAL(9,P27:P30))</t>
  </si>
  <si>
    <t>=(SUBTOTAL(9,Q27:Q30))</t>
  </si>
  <si>
    <t>=(SUBTOTAL(9,R27:R30))</t>
  </si>
  <si>
    <t>=(SUBTOTAL(9,S27:S30))</t>
  </si>
  <si>
    <t>=(SUBTOTAL(9,T27:T30))</t>
  </si>
  <si>
    <t>=SUBTOTAL(9,O27:T30)</t>
  </si>
  <si>
    <t>=(SUBTOTAL(9,O40:O44))</t>
  </si>
  <si>
    <t>=(SUBTOTAL(9,P40:P44))</t>
  </si>
  <si>
    <t>=(SUBTOTAL(9,Q40:Q44))</t>
  </si>
  <si>
    <t>=(SUBTOTAL(9,R40:R44))</t>
  </si>
  <si>
    <t>=(SUBTOTAL(9,S40:S44))</t>
  </si>
  <si>
    <t>=(SUBTOTAL(9,T40:T44))</t>
  </si>
  <si>
    <t>=SUBTOTAL(9,O40:T44)</t>
  </si>
  <si>
    <t>=(SUBTOTAL(9,O47:O52))</t>
  </si>
  <si>
    <t>=(SUBTOTAL(9,P47:P52))</t>
  </si>
  <si>
    <t>=(SUBTOTAL(9,Q47:Q52))</t>
  </si>
  <si>
    <t>=(SUBTOTAL(9,R47:R52))</t>
  </si>
  <si>
    <t>=(SUBTOTAL(9,S47:S52))</t>
  </si>
  <si>
    <t>=(SUBTOTAL(9,T47:T52))</t>
  </si>
  <si>
    <t>=SUBTOTAL(9,O47:T52)</t>
  </si>
  <si>
    <t>=(SUBTOTAL(9,O69:O71))</t>
  </si>
  <si>
    <t>=(SUBTOTAL(9,P69:P71))</t>
  </si>
  <si>
    <t>=(SUBTOTAL(9,Q69:Q71))</t>
  </si>
  <si>
    <t>=(SUBTOTAL(9,R69:R71))</t>
  </si>
  <si>
    <t>=(SUBTOTAL(9,S69:S71))</t>
  </si>
  <si>
    <t>=(SUBTOTAL(9,T69:T71))</t>
  </si>
  <si>
    <t>=SUBTOTAL(9,O69:T71)</t>
  </si>
  <si>
    <t>=(SUBTOTAL(9,O88:O90))</t>
  </si>
  <si>
    <t>=(SUBTOTAL(9,P88:P90))</t>
  </si>
  <si>
    <t>=(SUBTOTAL(9,Q88:Q90))</t>
  </si>
  <si>
    <t>=(SUBTOTAL(9,R88:R90))</t>
  </si>
  <si>
    <t>=(SUBTOTAL(9,S88:S90))</t>
  </si>
  <si>
    <t>=(SUBTOTAL(9,T88:T90))</t>
  </si>
  <si>
    <t>=SUBTOTAL(9,O88:T90)</t>
  </si>
  <si>
    <t>=(SUBTOTAL(9,O93:O96))</t>
  </si>
  <si>
    <t>=(SUBTOTAL(9,P93:P96))</t>
  </si>
  <si>
    <t>=(SUBTOTAL(9,Q93:Q96))</t>
  </si>
  <si>
    <t>=(SUBTOTAL(9,R93:R96))</t>
  </si>
  <si>
    <t>=(SUBTOTAL(9,S93:S96))</t>
  </si>
  <si>
    <t>=(SUBTOTAL(9,T93:T96))</t>
  </si>
  <si>
    <t>=SUBTOTAL(9,O93:T96)</t>
  </si>
  <si>
    <t>=(SUBTOTAL(9,O99:O100))</t>
  </si>
  <si>
    <t>=(SUBTOTAL(9,P99:P100))</t>
  </si>
  <si>
    <t>=(SUBTOTAL(9,Q99:Q100))</t>
  </si>
  <si>
    <t>=(SUBTOTAL(9,R99:R100))</t>
  </si>
  <si>
    <t>=(SUBTOTAL(9,S99:S100))</t>
  </si>
  <si>
    <t>=(SUBTOTAL(9,T99:T100))</t>
  </si>
  <si>
    <t>=SUBTOTAL(9,O99:T100)</t>
  </si>
  <si>
    <t>=(SUBTOTAL(9,O107:O109))</t>
  </si>
  <si>
    <t>=(SUBTOTAL(9,P107:P109))</t>
  </si>
  <si>
    <t>=(SUBTOTAL(9,Q107:Q109))</t>
  </si>
  <si>
    <t>=(SUBTOTAL(9,R107:R109))</t>
  </si>
  <si>
    <t>=(SUBTOTAL(9,S107:S109))</t>
  </si>
  <si>
    <t>=(SUBTOTAL(9,T107:T109))</t>
  </si>
  <si>
    <t>=SUBTOTAL(9,O107:T109)</t>
  </si>
  <si>
    <t>=(SUBTOTAL(9,O121:O124))</t>
  </si>
  <si>
    <t>=(SUBTOTAL(9,P121:P124))</t>
  </si>
  <si>
    <t>=(SUBTOTAL(9,Q121:Q124))</t>
  </si>
  <si>
    <t>=(SUBTOTAL(9,R121:R124))</t>
  </si>
  <si>
    <t>=(SUBTOTAL(9,S121:S124))</t>
  </si>
  <si>
    <t>=(SUBTOTAL(9,T121:T124))</t>
  </si>
  <si>
    <t>=SUBTOTAL(9,O121:T124)</t>
  </si>
  <si>
    <t>=(SUBTOTAL(9,O127:O130))</t>
  </si>
  <si>
    <t>=(SUBTOTAL(9,P127:P130))</t>
  </si>
  <si>
    <t>=(SUBTOTAL(9,Q127:Q130))</t>
  </si>
  <si>
    <t>=(SUBTOTAL(9,R127:R130))</t>
  </si>
  <si>
    <t>=(SUBTOTAL(9,S127:S130))</t>
  </si>
  <si>
    <t>=(SUBTOTAL(9,T127:T130))</t>
  </si>
  <si>
    <t>=SUBTOTAL(9,O127:T130)</t>
  </si>
  <si>
    <t>=(SUBTOTAL(9,O133:O135))</t>
  </si>
  <si>
    <t>=(SUBTOTAL(9,P133:P135))</t>
  </si>
  <si>
    <t>=(SUBTOTAL(9,Q133:Q135))</t>
  </si>
  <si>
    <t>=(SUBTOTAL(9,R133:R135))</t>
  </si>
  <si>
    <t>=(SUBTOTAL(9,S133:S135))</t>
  </si>
  <si>
    <t>=(SUBTOTAL(9,T133:T135))</t>
  </si>
  <si>
    <t>=SUBTOTAL(9,O133:T135)</t>
  </si>
  <si>
    <t>=(SUBTOTAL(9,O143:O147))</t>
  </si>
  <si>
    <t>=(SUBTOTAL(9,P143:P147))</t>
  </si>
  <si>
    <t>=(SUBTOTAL(9,Q143:Q147))</t>
  </si>
  <si>
    <t>=(SUBTOTAL(9,R143:R147))</t>
  </si>
  <si>
    <t>=(SUBTOTAL(9,S143:S147))</t>
  </si>
  <si>
    <t>=(SUBTOTAL(9,T143:T147))</t>
  </si>
  <si>
    <t>=SUBTOTAL(9,O143:T147)</t>
  </si>
  <si>
    <t>=(SUBTOTAL(9,O156:O159))</t>
  </si>
  <si>
    <t>=(SUBTOTAL(9,P156:P159))</t>
  </si>
  <si>
    <t>=(SUBTOTAL(9,Q156:Q159))</t>
  </si>
  <si>
    <t>=(SUBTOTAL(9,R156:R159))</t>
  </si>
  <si>
    <t>=(SUBTOTAL(9,S156:S159))</t>
  </si>
  <si>
    <t>=(SUBTOTAL(9,T156:T159))</t>
  </si>
  <si>
    <t>=SUBTOTAL(9,O156:T159)</t>
  </si>
  <si>
    <t>=(SUBTOTAL(9,O162:O167))</t>
  </si>
  <si>
    <t>=(SUBTOTAL(9,P162:P167))</t>
  </si>
  <si>
    <t>=(SUBTOTAL(9,Q162:Q167))</t>
  </si>
  <si>
    <t>=(SUBTOTAL(9,R162:R167))</t>
  </si>
  <si>
    <t>=(SUBTOTAL(9,S162:S167))</t>
  </si>
  <si>
    <t>=(SUBTOTAL(9,T162:T167))</t>
  </si>
  <si>
    <t>=SUBTOTAL(9,O162:T167)</t>
  </si>
  <si>
    <t>=(SUBTOTAL(9,O174:O179))</t>
  </si>
  <si>
    <t>=(SUBTOTAL(9,P174:P179))</t>
  </si>
  <si>
    <t>=(SUBTOTAL(9,Q174:Q179))</t>
  </si>
  <si>
    <t>=(SUBTOTAL(9,R174:R179))</t>
  </si>
  <si>
    <t>=(SUBTOTAL(9,S174:S179))</t>
  </si>
  <si>
    <t>=(SUBTOTAL(9,T174:T179))</t>
  </si>
  <si>
    <t>=SUBTOTAL(9,O174:T179)</t>
  </si>
  <si>
    <t>=(SUBTOTAL(9,O182:O184))</t>
  </si>
  <si>
    <t>=(SUBTOTAL(9,P182:P184))</t>
  </si>
  <si>
    <t>=(SUBTOTAL(9,Q182:Q184))</t>
  </si>
  <si>
    <t>=(SUBTOTAL(9,R182:R184))</t>
  </si>
  <si>
    <t>=(SUBTOTAL(9,S182:S184))</t>
  </si>
  <si>
    <t>=(SUBTOTAL(9,T182:T184))</t>
  </si>
  <si>
    <t>=SUBTOTAL(9,O182:T184)</t>
  </si>
  <si>
    <t>=(SUBTOTAL(9,O187:O190))</t>
  </si>
  <si>
    <t>=(SUBTOTAL(9,P187:P190))</t>
  </si>
  <si>
    <t>=(SUBTOTAL(9,Q187:Q190))</t>
  </si>
  <si>
    <t>=(SUBTOTAL(9,R187:R190))</t>
  </si>
  <si>
    <t>=(SUBTOTAL(9,S187:S190))</t>
  </si>
  <si>
    <t>=(SUBTOTAL(9,T187:T190))</t>
  </si>
  <si>
    <t>=SUBTOTAL(9,O187:T190)</t>
  </si>
  <si>
    <t>=E192</t>
  </si>
  <si>
    <t>=NL("First","Item","Description","No.",$E192)</t>
  </si>
  <si>
    <t>=NL("First","Item","Base Unit of Measure","No.",$E192)</t>
  </si>
  <si>
    <t>=(SUBTOTAL(9,O193:O195))</t>
  </si>
  <si>
    <t>=(SUBTOTAL(9,P193:P195))</t>
  </si>
  <si>
    <t>=(SUBTOTAL(9,Q193:Q195))</t>
  </si>
  <si>
    <t>=(SUBTOTAL(9,R193:R195))</t>
  </si>
  <si>
    <t>=(SUBTOTAL(9,S193:S195))</t>
  </si>
  <si>
    <t>=(SUBTOTAL(9,T193:T195))</t>
  </si>
  <si>
    <t>=SUBTOTAL(9,O193:T195)</t>
  </si>
  <si>
    <t>=NL("Rows","Item Ledger Entry",,"+Posting Date",$L$5,"Item No.","@@"&amp;$D193,"Location Code","@@"&amp;$E$6)</t>
  </si>
  <si>
    <t>=(SUBTOTAL(9,O198:O200))</t>
  </si>
  <si>
    <t>=(SUBTOTAL(9,P198:P200))</t>
  </si>
  <si>
    <t>=(SUBTOTAL(9,Q198:Q200))</t>
  </si>
  <si>
    <t>=(SUBTOTAL(9,R198:R200))</t>
  </si>
  <si>
    <t>=(SUBTOTAL(9,S198:S200))</t>
  </si>
  <si>
    <t>=(SUBTOTAL(9,T198:T200))</t>
  </si>
  <si>
    <t>=SUBTOTAL(9,O198:T200)</t>
  </si>
  <si>
    <t>=(SUBTOTAL(9,O203:O204))</t>
  </si>
  <si>
    <t>=(SUBTOTAL(9,P203:P204))</t>
  </si>
  <si>
    <t>=(SUBTOTAL(9,Q203:Q204))</t>
  </si>
  <si>
    <t>=(SUBTOTAL(9,R203:R204))</t>
  </si>
  <si>
    <t>=(SUBTOTAL(9,S203:S204))</t>
  </si>
  <si>
    <t>=(SUBTOTAL(9,T203:T204))</t>
  </si>
  <si>
    <t>=SUBTOTAL(9,O203:T204)</t>
  </si>
  <si>
    <t>=NL("Rows","Item Ledger Entry",,"+Posting Date",$L$5,"Item No.","@@"&amp;$D203,"Location Code","@@"&amp;$E$6)</t>
  </si>
  <si>
    <t>=(SUBTOTAL(9,O230:O232))</t>
  </si>
  <si>
    <t>=(SUBTOTAL(9,P230:P232))</t>
  </si>
  <si>
    <t>=(SUBTOTAL(9,Q230:Q232))</t>
  </si>
  <si>
    <t>=(SUBTOTAL(9,R230:R232))</t>
  </si>
  <si>
    <t>=(SUBTOTAL(9,S230:S232))</t>
  </si>
  <si>
    <t>=(SUBTOTAL(9,T230:T232))</t>
  </si>
  <si>
    <t>=SUBTOTAL(9,O230:T232)</t>
  </si>
  <si>
    <t>=(SUBTOTAL(9,O244:O248))</t>
  </si>
  <si>
    <t>=(SUBTOTAL(9,P244:P248))</t>
  </si>
  <si>
    <t>=(SUBTOTAL(9,Q244:Q248))</t>
  </si>
  <si>
    <t>=(SUBTOTAL(9,R244:R248))</t>
  </si>
  <si>
    <t>=(SUBTOTAL(9,S244:S248))</t>
  </si>
  <si>
    <t>=(SUBTOTAL(9,T244:T248))</t>
  </si>
  <si>
    <t>=SUBTOTAL(9,O244:T248)</t>
  </si>
  <si>
    <t>=(SUBTOTAL(9,O251:O255))</t>
  </si>
  <si>
    <t>=(SUBTOTAL(9,P251:P255))</t>
  </si>
  <si>
    <t>=(SUBTOTAL(9,Q251:Q255))</t>
  </si>
  <si>
    <t>=(SUBTOTAL(9,R251:R255))</t>
  </si>
  <si>
    <t>=(SUBTOTAL(9,S251:S255))</t>
  </si>
  <si>
    <t>=(SUBTOTAL(9,T251:T255))</t>
  </si>
  <si>
    <t>=SUBTOTAL(9,O251:T255)</t>
  </si>
  <si>
    <t>=(SUBTOTAL(9,O258:O261))</t>
  </si>
  <si>
    <t>=(SUBTOTAL(9,P258:P261))</t>
  </si>
  <si>
    <t>=(SUBTOTAL(9,Q258:Q261))</t>
  </si>
  <si>
    <t>=(SUBTOTAL(9,R258:R261))</t>
  </si>
  <si>
    <t>=(SUBTOTAL(9,S258:S261))</t>
  </si>
  <si>
    <t>=(SUBTOTAL(9,T258:T261))</t>
  </si>
  <si>
    <t>=SUBTOTAL(9,O258:T261)</t>
  </si>
  <si>
    <t>=(SUBTOTAL(9,O321:O322))</t>
  </si>
  <si>
    <t>=(SUBTOTAL(9,P321:P322))</t>
  </si>
  <si>
    <t>=(SUBTOTAL(9,Q321:Q322))</t>
  </si>
  <si>
    <t>=(SUBTOTAL(9,R321:R322))</t>
  </si>
  <si>
    <t>=(SUBTOTAL(9,S321:S322))</t>
  </si>
  <si>
    <t>=(SUBTOTAL(9,T321:T322))</t>
  </si>
  <si>
    <t>=SUBTOTAL(9,O321:T322)</t>
  </si>
  <si>
    <t>=(SUBTOTAL(9,O325:O327))</t>
  </si>
  <si>
    <t>=(SUBTOTAL(9,P325:P327))</t>
  </si>
  <si>
    <t>=(SUBTOTAL(9,Q325:Q327))</t>
  </si>
  <si>
    <t>=(SUBTOTAL(9,R325:R327))</t>
  </si>
  <si>
    <t>=(SUBTOTAL(9,S325:S327))</t>
  </si>
  <si>
    <t>=(SUBTOTAL(9,T325:T327))</t>
  </si>
  <si>
    <t>=SUBTOTAL(9,O325:T327)</t>
  </si>
  <si>
    <t>=(SUBTOTAL(9,O335:O336))</t>
  </si>
  <si>
    <t>=(SUBTOTAL(9,P335:P336))</t>
  </si>
  <si>
    <t>=(SUBTOTAL(9,Q335:Q336))</t>
  </si>
  <si>
    <t>=(SUBTOTAL(9,R335:R336))</t>
  </si>
  <si>
    <t>=(SUBTOTAL(9,S335:S336))</t>
  </si>
  <si>
    <t>=(SUBTOTAL(9,T335:T336))</t>
  </si>
  <si>
    <t>=SUBTOTAL(9,O335:T336)</t>
  </si>
  <si>
    <t>=(SUBTOTAL(9,O339:O341))</t>
  </si>
  <si>
    <t>=(SUBTOTAL(9,P339:P341))</t>
  </si>
  <si>
    <t>=(SUBTOTAL(9,Q339:Q341))</t>
  </si>
  <si>
    <t>=(SUBTOTAL(9,R339:R341))</t>
  </si>
  <si>
    <t>=(SUBTOTAL(9,S339:S341))</t>
  </si>
  <si>
    <t>=(SUBTOTAL(9,T339:T341))</t>
  </si>
  <si>
    <t>=SUBTOTAL(9,O339:T341)</t>
  </si>
  <si>
    <t>=(SUBTOTAL(9,O358:O364))</t>
  </si>
  <si>
    <t>=(SUBTOTAL(9,P358:P364))</t>
  </si>
  <si>
    <t>=(SUBTOTAL(9,Q358:Q364))</t>
  </si>
  <si>
    <t>=(SUBTOTAL(9,R358:R364))</t>
  </si>
  <si>
    <t>=(SUBTOTAL(9,S358:S364))</t>
  </si>
  <si>
    <t>=(SUBTOTAL(9,T358:T364))</t>
  </si>
  <si>
    <t>=SUBTOTAL(9,O358:T364)</t>
  </si>
  <si>
    <t>=(SUBTOTAL(9,O367:O369))</t>
  </si>
  <si>
    <t>=(SUBTOTAL(9,P367:P369))</t>
  </si>
  <si>
    <t>=(SUBTOTAL(9,Q367:Q369))</t>
  </si>
  <si>
    <t>=(SUBTOTAL(9,R367:R369))</t>
  </si>
  <si>
    <t>=(SUBTOTAL(9,S367:S369))</t>
  </si>
  <si>
    <t>=(SUBTOTAL(9,T367:T369))</t>
  </si>
  <si>
    <t>=SUBTOTAL(9,O367:T369)</t>
  </si>
  <si>
    <t>=(SUBTOTAL(9,O372:O375))</t>
  </si>
  <si>
    <t>=(SUBTOTAL(9,P372:P375))</t>
  </si>
  <si>
    <t>=(SUBTOTAL(9,Q372:Q375))</t>
  </si>
  <si>
    <t>=(SUBTOTAL(9,R372:R375))</t>
  </si>
  <si>
    <t>=(SUBTOTAL(9,S372:S375))</t>
  </si>
  <si>
    <t>=(SUBTOTAL(9,T372:T375))</t>
  </si>
  <si>
    <t>=SUBTOTAL(9,O372:T375)</t>
  </si>
  <si>
    <t>=E377</t>
  </si>
  <si>
    <t>=NL("First","Item","Description","No.",$E377)</t>
  </si>
  <si>
    <t>=NL("First","Item","Base Unit of Measure","No.",$E377)</t>
  </si>
  <si>
    <t>=(SUBTOTAL(9,O378:O384))</t>
  </si>
  <si>
    <t>=(SUBTOTAL(9,P378:P384))</t>
  </si>
  <si>
    <t>=(SUBTOTAL(9,Q378:Q384))</t>
  </si>
  <si>
    <t>=(SUBTOTAL(9,R378:R384))</t>
  </si>
  <si>
    <t>=(SUBTOTAL(9,S378:S384))</t>
  </si>
  <si>
    <t>=(SUBTOTAL(9,T378:T384))</t>
  </si>
  <si>
    <t>=SUBTOTAL(9,O378:T384)</t>
  </si>
  <si>
    <t>=NL("Rows","Item Ledger Entry",,"+Posting Date",$L$5,"Item No.","@@"&amp;$D378,"Location Code","@@"&amp;$E$6)</t>
  </si>
  <si>
    <t>=E386</t>
  </si>
  <si>
    <t>=NL("First","Item","Description","No.",$E386)</t>
  </si>
  <si>
    <t>=NL("First","Item","Base Unit of Measure","No.",$E386)</t>
  </si>
  <si>
    <t>=(SUBTOTAL(9,O387:O392))</t>
  </si>
  <si>
    <t>=(SUBTOTAL(9,P387:P392))</t>
  </si>
  <si>
    <t>=(SUBTOTAL(9,Q387:Q392))</t>
  </si>
  <si>
    <t>=(SUBTOTAL(9,R387:R392))</t>
  </si>
  <si>
    <t>=(SUBTOTAL(9,S387:S392))</t>
  </si>
  <si>
    <t>=(SUBTOTAL(9,T387:T392))</t>
  </si>
  <si>
    <t>=SUBTOTAL(9,O387:T392)</t>
  </si>
  <si>
    <t>=NL("Rows","Item Ledger Entry",,"+Posting Date",$L$5,"Item No.","@@"&amp;$D387,"Location Code","@@"&amp;$E$6)</t>
  </si>
  <si>
    <t>=(SUBTOTAL(9,O395:O396))</t>
  </si>
  <si>
    <t>=(SUBTOTAL(9,P395:P396))</t>
  </si>
  <si>
    <t>=(SUBTOTAL(9,Q395:Q396))</t>
  </si>
  <si>
    <t>=(SUBTOTAL(9,R395:R396))</t>
  </si>
  <si>
    <t>=(SUBTOTAL(9,S395:S396))</t>
  </si>
  <si>
    <t>=(SUBTOTAL(9,T395:T396))</t>
  </si>
  <si>
    <t>=SUBTOTAL(9,O395:T396)</t>
  </si>
  <si>
    <t>=NL("Rows","Item Ledger Entry",,"+Posting Date",$L$5,"Item No.","@@"&amp;$D395,"Location Code","@@"&amp;$E$6)</t>
  </si>
  <si>
    <t>=(SUBTOTAL(9,O399:O401))</t>
  </si>
  <si>
    <t>=(SUBTOTAL(9,P399:P401))</t>
  </si>
  <si>
    <t>=(SUBTOTAL(9,Q399:Q401))</t>
  </si>
  <si>
    <t>=(SUBTOTAL(9,R399:R401))</t>
  </si>
  <si>
    <t>=(SUBTOTAL(9,S399:S401))</t>
  </si>
  <si>
    <t>=(SUBTOTAL(9,T399:T401))</t>
  </si>
  <si>
    <t>=SUBTOTAL(9,O399:T401)</t>
  </si>
  <si>
    <t>=(SUBTOTAL(9,O404:O405))</t>
  </si>
  <si>
    <t>=(SUBTOTAL(9,P404:P405))</t>
  </si>
  <si>
    <t>=(SUBTOTAL(9,Q404:Q405))</t>
  </si>
  <si>
    <t>=(SUBTOTAL(9,R404:R405))</t>
  </si>
  <si>
    <t>=(SUBTOTAL(9,S404:S405))</t>
  </si>
  <si>
    <t>=(SUBTOTAL(9,T404:T405))</t>
  </si>
  <si>
    <t>=SUBTOTAL(9,O404:T405)</t>
  </si>
  <si>
    <t>=(SUBTOTAL(9,O408:O409))</t>
  </si>
  <si>
    <t>=(SUBTOTAL(9,P408:P409))</t>
  </si>
  <si>
    <t>=(SUBTOTAL(9,Q408:Q409))</t>
  </si>
  <si>
    <t>=(SUBTOTAL(9,R408:R409))</t>
  </si>
  <si>
    <t>=(SUBTOTAL(9,S408:S409))</t>
  </si>
  <si>
    <t>=(SUBTOTAL(9,T408:T409))</t>
  </si>
  <si>
    <t>=SUBTOTAL(9,O408:T409)</t>
  </si>
  <si>
    <t>=E411</t>
  </si>
  <si>
    <t>=NL("First","Item","Description","No.",$E411)</t>
  </si>
  <si>
    <t>=NL("First","Item","Base Unit of Measure","No.",$E411)</t>
  </si>
  <si>
    <t>=(SUBTOTAL(9,O412:O413))</t>
  </si>
  <si>
    <t>=(SUBTOTAL(9,P412:P413))</t>
  </si>
  <si>
    <t>=(SUBTOTAL(9,Q412:Q413))</t>
  </si>
  <si>
    <t>=(SUBTOTAL(9,R412:R413))</t>
  </si>
  <si>
    <t>=(SUBTOTAL(9,S412:S413))</t>
  </si>
  <si>
    <t>=(SUBTOTAL(9,T412:T413))</t>
  </si>
  <si>
    <t>=SUBTOTAL(9,O412:T413)</t>
  </si>
  <si>
    <t>=NL("Rows","Item Ledger Entry",,"+Posting Date",$L$5,"Item No.","@@"&amp;$D412,"Location Code","@@"&amp;$E$6)</t>
  </si>
  <si>
    <t>=E415</t>
  </si>
  <si>
    <t>=NL("First","Item","Description","No.",$E415)</t>
  </si>
  <si>
    <t>=NL("First","Item","Base Unit of Measure","No.",$E415)</t>
  </si>
  <si>
    <t>=(SUBTOTAL(9,O416:O417))</t>
  </si>
  <si>
    <t>=(SUBTOTAL(9,P416:P417))</t>
  </si>
  <si>
    <t>=(SUBTOTAL(9,Q416:Q417))</t>
  </si>
  <si>
    <t>=(SUBTOTAL(9,R416:R417))</t>
  </si>
  <si>
    <t>=(SUBTOTAL(9,S416:S417))</t>
  </si>
  <si>
    <t>=(SUBTOTAL(9,T416:T417))</t>
  </si>
  <si>
    <t>=SUBTOTAL(9,O416:T417)</t>
  </si>
  <si>
    <t>=NL("Rows","Item Ledger Entry",,"+Posting Date",$L$5,"Item No.","@@"&amp;$D416,"Location Code","@@"&amp;$E$6)</t>
  </si>
  <si>
    <t>=E419</t>
  </si>
  <si>
    <t>=NL("First","Item","Description","No.",$E419)</t>
  </si>
  <si>
    <t>=NL("First","Item","Base Unit of Measure","No.",$E419)</t>
  </si>
  <si>
    <t>=(SUBTOTAL(9,O420:O421))</t>
  </si>
  <si>
    <t>=(SUBTOTAL(9,P420:P421))</t>
  </si>
  <si>
    <t>=(SUBTOTAL(9,Q420:Q421))</t>
  </si>
  <si>
    <t>=(SUBTOTAL(9,R420:R421))</t>
  </si>
  <si>
    <t>=(SUBTOTAL(9,S420:S421))</t>
  </si>
  <si>
    <t>=(SUBTOTAL(9,T420:T421))</t>
  </si>
  <si>
    <t>=SUBTOTAL(9,O420:T421)</t>
  </si>
  <si>
    <t>=NL("Rows","Item Ledger Entry",,"+Posting Date",$L$5,"Item No.","@@"&amp;$D420,"Location Code","@@"&amp;$E$6)</t>
  </si>
  <si>
    <t>=(SUBTOTAL(9,O424:O425))</t>
  </si>
  <si>
    <t>=(SUBTOTAL(9,P424:P425))</t>
  </si>
  <si>
    <t>=(SUBTOTAL(9,Q424:Q425))</t>
  </si>
  <si>
    <t>=(SUBTOTAL(9,R424:R425))</t>
  </si>
  <si>
    <t>=(SUBTOTAL(9,S424:S425))</t>
  </si>
  <si>
    <t>=(SUBTOTAL(9,T424:T425))</t>
  </si>
  <si>
    <t>=SUBTOTAL(9,O424:T425)</t>
  </si>
  <si>
    <t>=E427</t>
  </si>
  <si>
    <t>=NL("First","Item","Description","No.",$E427)</t>
  </si>
  <si>
    <t>=NL("First","Item","Base Unit of Measure","No.",$E427)</t>
  </si>
  <si>
    <t>=(SUBTOTAL(9,O428:O429))</t>
  </si>
  <si>
    <t>=(SUBTOTAL(9,P428:P429))</t>
  </si>
  <si>
    <t>=(SUBTOTAL(9,Q428:Q429))</t>
  </si>
  <si>
    <t>=(SUBTOTAL(9,R428:R429))</t>
  </si>
  <si>
    <t>=(SUBTOTAL(9,S428:S429))</t>
  </si>
  <si>
    <t>=(SUBTOTAL(9,T428:T429))</t>
  </si>
  <si>
    <t>=SUBTOTAL(9,O428:T429)</t>
  </si>
  <si>
    <t>=NL("Rows","Item Ledger Entry",,"+Posting Date",$L$5,"Item No.","@@"&amp;$D428,"Location Code","@@"&amp;$E$6)</t>
  </si>
  <si>
    <t>=(SUBTOTAL(9,O432:O434))</t>
  </si>
  <si>
    <t>=(SUBTOTAL(9,P432:P434))</t>
  </si>
  <si>
    <t>=(SUBTOTAL(9,Q432:Q434))</t>
  </si>
  <si>
    <t>=(SUBTOTAL(9,R432:R434))</t>
  </si>
  <si>
    <t>=(SUBTOTAL(9,S432:S434))</t>
  </si>
  <si>
    <t>=(SUBTOTAL(9,T432:T434))</t>
  </si>
  <si>
    <t>=SUBTOTAL(9,O432:T434)</t>
  </si>
  <si>
    <t>=(SUBTOTAL(9,O441:O443))</t>
  </si>
  <si>
    <t>=(SUBTOTAL(9,P441:P443))</t>
  </si>
  <si>
    <t>=(SUBTOTAL(9,Q441:Q443))</t>
  </si>
  <si>
    <t>=(SUBTOTAL(9,R441:R443))</t>
  </si>
  <si>
    <t>=(SUBTOTAL(9,S441:S443))</t>
  </si>
  <si>
    <t>=(SUBTOTAL(9,T441:T443))</t>
  </si>
  <si>
    <t>=SUBTOTAL(9,O441:T443)</t>
  </si>
  <si>
    <t>=E445</t>
  </si>
  <si>
    <t>=NL("First","Item","Description","No.",$E445)</t>
  </si>
  <si>
    <t>=NL("First","Item","Base Unit of Measure","No.",$E445)</t>
  </si>
  <si>
    <t>=(SUBTOTAL(9,O446:O447))</t>
  </si>
  <si>
    <t>=(SUBTOTAL(9,P446:P447))</t>
  </si>
  <si>
    <t>=(SUBTOTAL(9,Q446:Q447))</t>
  </si>
  <si>
    <t>=(SUBTOTAL(9,R446:R447))</t>
  </si>
  <si>
    <t>=(SUBTOTAL(9,S446:S447))</t>
  </si>
  <si>
    <t>=(SUBTOTAL(9,T446:T447))</t>
  </si>
  <si>
    <t>=SUBTOTAL(9,O446:T447)</t>
  </si>
  <si>
    <t>=NL("Rows","Item Ledger Entry",,"+Posting Date",$L$5,"Item No.","@@"&amp;$D446,"Location Code","@@"&amp;$E$6)</t>
  </si>
  <si>
    <t>=E449</t>
  </si>
  <si>
    <t>=NL("First","Item","Description","No.",$E449)</t>
  </si>
  <si>
    <t>=NL("First","Item","Base Unit of Measure","No.",$E449)</t>
  </si>
  <si>
    <t>=(SUBTOTAL(9,O450:O451))</t>
  </si>
  <si>
    <t>=(SUBTOTAL(9,P450:P451))</t>
  </si>
  <si>
    <t>=(SUBTOTAL(9,Q450:Q451))</t>
  </si>
  <si>
    <t>=(SUBTOTAL(9,R450:R451))</t>
  </si>
  <si>
    <t>=(SUBTOTAL(9,S450:S451))</t>
  </si>
  <si>
    <t>=(SUBTOTAL(9,T450:T451))</t>
  </si>
  <si>
    <t>=SUBTOTAL(9,O450:T451)</t>
  </si>
  <si>
    <t>=D449</t>
  </si>
  <si>
    <t>=NL("Rows","Item Ledger Entry",,"+Posting Date",$L$5,"Item No.","@@"&amp;$D450,"Location Code","@@"&amp;$E$6)</t>
  </si>
  <si>
    <t>=NF($G450,"Posting Date")</t>
  </si>
  <si>
    <t>=NF($G450,"Entry No.")</t>
  </si>
  <si>
    <t>=NF(G450,"Source Type")</t>
  </si>
  <si>
    <t>=NF($G450,"Source No.")</t>
  </si>
  <si>
    <t>=IF($J450="Customer",NL("first",$J450,"Name","No.","@@"&amp;$K450),"")</t>
  </si>
  <si>
    <t>=IF(J450="vendor",NL("first",J450,"Name","No.","@@"&amp;K450),"")</t>
  </si>
  <si>
    <t>=IF($J450="Item",NL("first",$J450,"Description","No.","@@"&amp;$K450),"")</t>
  </si>
  <si>
    <t>=NL("Sum","Item Ledger Entry","Quantity","Entry Type","Purchase","Entry No.",I450,"Location Code","@@"&amp;$E$6)</t>
  </si>
  <si>
    <t>=NL("Sum","Item Ledger Entry","Quantity","Entry Type","Sale","Entry No.",I450,"Location Code","@@"&amp;$E$6)</t>
  </si>
  <si>
    <t>=NL("Sum","Item Ledger Entry","Quantity","Entry Type","Positive Adjmt.|Negative Adjmt.","Entry No.",I450,"Location Code","@@"&amp;$E$6)</t>
  </si>
  <si>
    <t>=NL("Sum","Item Ledger Entry","Quantity","Entry Type","Transfer","Entry No.",I450,"Location Code","@@"&amp;$E$6)</t>
  </si>
  <si>
    <t>=NL("Sum","Item Ledger Entry","Quantity","Entry Type","Consumption","Entry No.",I450,"Location Code","@@"&amp;$E$6)</t>
  </si>
  <si>
    <t>=NL("Sum","Item Ledger Entry","Quantity","Entry Type","Output","Entry No.",I450,"Location Code","@@"&amp;$E$6)</t>
  </si>
  <si>
    <t>=E453</t>
  </si>
  <si>
    <t>=NL("First","Item","Description","No.",$E453)</t>
  </si>
  <si>
    <t>=NL("First","Item","Base Unit of Measure","No.",$E453)</t>
  </si>
  <si>
    <t>=(SUBTOTAL(9,O454:O455))</t>
  </si>
  <si>
    <t>=(SUBTOTAL(9,P454:P455))</t>
  </si>
  <si>
    <t>=(SUBTOTAL(9,Q454:Q455))</t>
  </si>
  <si>
    <t>=(SUBTOTAL(9,R454:R455))</t>
  </si>
  <si>
    <t>=(SUBTOTAL(9,S454:S455))</t>
  </si>
  <si>
    <t>=(SUBTOTAL(9,T454:T455))</t>
  </si>
  <si>
    <t>=SUBTOTAL(9,O454:T455)</t>
  </si>
  <si>
    <t>=NL("Rows","Item Ledger Entry",,"+Posting Date",$L$5,"Item No.","@@"&amp;$D454,"Location Code","@@"&amp;$E$6)</t>
  </si>
  <si>
    <t>=(SUBTOTAL(9,O458:O459))</t>
  </si>
  <si>
    <t>=(SUBTOTAL(9,P458:P459))</t>
  </si>
  <si>
    <t>=(SUBTOTAL(9,Q458:Q459))</t>
  </si>
  <si>
    <t>=(SUBTOTAL(9,R458:R459))</t>
  </si>
  <si>
    <t>=(SUBTOTAL(9,S458:S459))</t>
  </si>
  <si>
    <t>=(SUBTOTAL(9,T458:T459))</t>
  </si>
  <si>
    <t>=SUBTOTAL(9,O458:T459)</t>
  </si>
  <si>
    <t>=NL("Rows","Item Ledger Entry",,"+Posting Date",$L$5,"Item No.","@@"&amp;$D458,"Location Code","@@"&amp;$E$6)</t>
  </si>
  <si>
    <t>=NL("Sum","Item Ledger Entry","Quantity","Entry Type","Purchase","Entry No.",I458,"Location Code","@@"&amp;$E$6)</t>
  </si>
  <si>
    <t>=NL("Sum","Item Ledger Entry","Quantity","Entry Type","Sale","Entry No.",I458,"Location Code","@@"&amp;$E$6)</t>
  </si>
  <si>
    <t>=NL("Sum","Item Ledger Entry","Quantity","Entry Type","Positive Adjmt.|Negative Adjmt.","Entry No.",I458,"Location Code","@@"&amp;$E$6)</t>
  </si>
  <si>
    <t>=NL("Sum","Item Ledger Entry","Quantity","Entry Type","Transfer","Entry No.",I458,"Location Code","@@"&amp;$E$6)</t>
  </si>
  <si>
    <t>=NL("Sum","Item Ledger Entry","Quantity","Entry Type","Consumption","Entry No.",I458,"Location Code","@@"&amp;$E$6)</t>
  </si>
  <si>
    <t>=NL("Sum","Item Ledger Entry","Quantity","Entry Type","Output","Entry No.",I458,"Location Code","@@"&amp;$E$6)</t>
  </si>
  <si>
    <t>=E461</t>
  </si>
  <si>
    <t>=NL("First","Item","Description","No.",$E461)</t>
  </si>
  <si>
    <t>=NL("First","Item","Base Unit of Measure","No.",$E461)</t>
  </si>
  <si>
    <t>=(SUBTOTAL(9,O462:O463))</t>
  </si>
  <si>
    <t>=(SUBTOTAL(9,P462:P463))</t>
  </si>
  <si>
    <t>=(SUBTOTAL(9,Q462:Q463))</t>
  </si>
  <si>
    <t>=(SUBTOTAL(9,R462:R463))</t>
  </si>
  <si>
    <t>=(SUBTOTAL(9,S462:S463))</t>
  </si>
  <si>
    <t>=(SUBTOTAL(9,T462:T463))</t>
  </si>
  <si>
    <t>=SUBTOTAL(9,O462:T463)</t>
  </si>
  <si>
    <t>=NL("Rows","Item Ledger Entry",,"+Posting Date",$L$5,"Item No.","@@"&amp;$D462,"Location Code","@@"&amp;$E$6)</t>
  </si>
  <si>
    <t>=E465</t>
  </si>
  <si>
    <t>=NL("First","Item","Description","No.",$E465)</t>
  </si>
  <si>
    <t>=NL("First","Item","Base Unit of Measure","No.",$E465)</t>
  </si>
  <si>
    <t>=(SUBTOTAL(9,O466:O467))</t>
  </si>
  <si>
    <t>=(SUBTOTAL(9,P466:P467))</t>
  </si>
  <si>
    <t>=(SUBTOTAL(9,Q466:Q467))</t>
  </si>
  <si>
    <t>=(SUBTOTAL(9,R466:R467))</t>
  </si>
  <si>
    <t>=(SUBTOTAL(9,S466:S467))</t>
  </si>
  <si>
    <t>=(SUBTOTAL(9,T466:T467))</t>
  </si>
  <si>
    <t>=SUBTOTAL(9,O466:T467)</t>
  </si>
  <si>
    <t>=NL("Rows","Item Ledger Entry",,"+Posting Date",$L$5,"Item No.","@@"&amp;$D466,"Location Code","@@"&amp;$E$6)</t>
  </si>
  <si>
    <t>=E469</t>
  </si>
  <si>
    <t>=NL("First","Item","Description","No.",$E469)</t>
  </si>
  <si>
    <t>=NL("First","Item","Base Unit of Measure","No.",$E469)</t>
  </si>
  <si>
    <t>=(SUBTOTAL(9,O470:O471))</t>
  </si>
  <si>
    <t>=(SUBTOTAL(9,P470:P471))</t>
  </si>
  <si>
    <t>=(SUBTOTAL(9,Q470:Q471))</t>
  </si>
  <si>
    <t>=(SUBTOTAL(9,R470:R471))</t>
  </si>
  <si>
    <t>=(SUBTOTAL(9,S470:S471))</t>
  </si>
  <si>
    <t>=(SUBTOTAL(9,T470:T471))</t>
  </si>
  <si>
    <t>=SUBTOTAL(9,O470:T471)</t>
  </si>
  <si>
    <t>=NL("Rows","Item Ledger Entry",,"+Posting Date",$L$5,"Item No.","@@"&amp;$D470,"Location Code","@@"&amp;$E$6)</t>
  </si>
  <si>
    <t>=E473</t>
  </si>
  <si>
    <t>=NL("First","Item","Description","No.",$E473)</t>
  </si>
  <si>
    <t>=NL("First","Item","Base Unit of Measure","No.",$E473)</t>
  </si>
  <si>
    <t>=(SUBTOTAL(9,O474:O475))</t>
  </si>
  <si>
    <t>=(SUBTOTAL(9,P474:P475))</t>
  </si>
  <si>
    <t>=(SUBTOTAL(9,Q474:Q475))</t>
  </si>
  <si>
    <t>=(SUBTOTAL(9,R474:R475))</t>
  </si>
  <si>
    <t>=(SUBTOTAL(9,S474:S475))</t>
  </si>
  <si>
    <t>=(SUBTOTAL(9,T474:T475))</t>
  </si>
  <si>
    <t>=SUBTOTAL(9,O474:T475)</t>
  </si>
  <si>
    <t>=NL("Rows","Item Ledger Entry",,"+Posting Date",$L$5,"Item No.","@@"&amp;$D474,"Location Code","@@"&amp;$E$6)</t>
  </si>
  <si>
    <t>=(SUBTOTAL(9,O478:O479))</t>
  </si>
  <si>
    <t>=(SUBTOTAL(9,P478:P479))</t>
  </si>
  <si>
    <t>=(SUBTOTAL(9,Q478:Q479))</t>
  </si>
  <si>
    <t>=(SUBTOTAL(9,R478:R479))</t>
  </si>
  <si>
    <t>=(SUBTOTAL(9,S478:S479))</t>
  </si>
  <si>
    <t>=(SUBTOTAL(9,T478:T479))</t>
  </si>
  <si>
    <t>=SUBTOTAL(9,O478:T479)</t>
  </si>
  <si>
    <t>=E481</t>
  </si>
  <si>
    <t>=NL("First","Item","Description","No.",$E481)</t>
  </si>
  <si>
    <t>=NL("First","Item","Base Unit of Measure","No.",$E481)</t>
  </si>
  <si>
    <t>=(SUBTOTAL(9,O482:O483))</t>
  </si>
  <si>
    <t>=(SUBTOTAL(9,P482:P483))</t>
  </si>
  <si>
    <t>=(SUBTOTAL(9,Q482:Q483))</t>
  </si>
  <si>
    <t>=(SUBTOTAL(9,R482:R483))</t>
  </si>
  <si>
    <t>=(SUBTOTAL(9,S482:S483))</t>
  </si>
  <si>
    <t>=(SUBTOTAL(9,T482:T483))</t>
  </si>
  <si>
    <t>=SUBTOTAL(9,O482:T483)</t>
  </si>
  <si>
    <t>=NL("Rows","Item Ledger Entry",,"+Posting Date",$L$5,"Item No.","@@"&amp;$D482,"Location Code","@@"&amp;$E$6)</t>
  </si>
  <si>
    <t>=(SUBTOTAL(9,O486:O487))</t>
  </si>
  <si>
    <t>=(SUBTOTAL(9,P486:P487))</t>
  </si>
  <si>
    <t>=(SUBTOTAL(9,Q486:Q487))</t>
  </si>
  <si>
    <t>=(SUBTOTAL(9,R486:R487))</t>
  </si>
  <si>
    <t>=(SUBTOTAL(9,S486:S487))</t>
  </si>
  <si>
    <t>=(SUBTOTAL(9,T486:T487))</t>
  </si>
  <si>
    <t>=SUBTOTAL(9,O486:T487)</t>
  </si>
  <si>
    <t>=(SUBTOTAL(9,O490:O492))</t>
  </si>
  <si>
    <t>=(SUBTOTAL(9,P490:P492))</t>
  </si>
  <si>
    <t>=(SUBTOTAL(9,Q490:Q492))</t>
  </si>
  <si>
    <t>=(SUBTOTAL(9,R490:R492))</t>
  </si>
  <si>
    <t>=(SUBTOTAL(9,S490:S492))</t>
  </si>
  <si>
    <t>=(SUBTOTAL(9,T490:T492))</t>
  </si>
  <si>
    <t>=SUBTOTAL(9,O490:T492)</t>
  </si>
  <si>
    <t>=NL("Rows","Item Ledger Entry",,"+Posting Date",$L$5,"Item No.","@@"&amp;$D490,"Location Code","@@"&amp;$E$6)</t>
  </si>
  <si>
    <t>=NL("Sum","Item Ledger Entry","Quantity","Entry Type","Purchase","Entry No.",I490,"Location Code","@@"&amp;$E$6)</t>
  </si>
  <si>
    <t>=NL("Sum","Item Ledger Entry","Quantity","Entry Type","Sale","Entry No.",I490,"Location Code","@@"&amp;$E$6)</t>
  </si>
  <si>
    <t>=NL("Sum","Item Ledger Entry","Quantity","Entry Type","Positive Adjmt.|Negative Adjmt.","Entry No.",I490,"Location Code","@@"&amp;$E$6)</t>
  </si>
  <si>
    <t>=NL("Sum","Item Ledger Entry","Quantity","Entry Type","Transfer","Entry No.",I490,"Location Code","@@"&amp;$E$6)</t>
  </si>
  <si>
    <t>=NL("Sum","Item Ledger Entry","Quantity","Entry Type","Consumption","Entry No.",I490,"Location Code","@@"&amp;$E$6)</t>
  </si>
  <si>
    <t>=NL("Sum","Item Ledger Entry","Quantity","Entry Type","Output","Entry No.",I490,"Location Code","@@"&amp;$E$6)</t>
  </si>
  <si>
    <t>=(SUBTOTAL(9,O495:O497))</t>
  </si>
  <si>
    <t>=(SUBTOTAL(9,P495:P497))</t>
  </si>
  <si>
    <t>=(SUBTOTAL(9,Q495:Q497))</t>
  </si>
  <si>
    <t>=(SUBTOTAL(9,R495:R497))</t>
  </si>
  <si>
    <t>=(SUBTOTAL(9,S495:S497))</t>
  </si>
  <si>
    <t>=(SUBTOTAL(9,T495:T497))</t>
  </si>
  <si>
    <t>=SUBTOTAL(9,O495:T497)</t>
  </si>
  <si>
    <t>=(SUBTOTAL(9,O504:O506))</t>
  </si>
  <si>
    <t>=(SUBTOTAL(9,P504:P506))</t>
  </si>
  <si>
    <t>=(SUBTOTAL(9,Q504:Q506))</t>
  </si>
  <si>
    <t>=(SUBTOTAL(9,R504:R506))</t>
  </si>
  <si>
    <t>=(SUBTOTAL(9,S504:S506))</t>
  </si>
  <si>
    <t>=(SUBTOTAL(9,T504:T506))</t>
  </si>
  <si>
    <t>=SUBTOTAL(9,O504:T506)</t>
  </si>
  <si>
    <t>=E508</t>
  </si>
  <si>
    <t>=NL("First","Item","Description","No.",$E508)</t>
  </si>
  <si>
    <t>=NL("First","Item","Base Unit of Measure","No.",$E508)</t>
  </si>
  <si>
    <t>=(SUBTOTAL(9,O509:O511))</t>
  </si>
  <si>
    <t>=(SUBTOTAL(9,P509:P511))</t>
  </si>
  <si>
    <t>=(SUBTOTAL(9,Q509:Q511))</t>
  </si>
  <si>
    <t>=(SUBTOTAL(9,R509:R511))</t>
  </si>
  <si>
    <t>=(SUBTOTAL(9,S509:S511))</t>
  </si>
  <si>
    <t>=(SUBTOTAL(9,T509:T511))</t>
  </si>
  <si>
    <t>=SUBTOTAL(9,O509:T511)</t>
  </si>
  <si>
    <t>=NL("Rows","Item Ledger Entry",,"+Posting Date",$L$5,"Item No.","@@"&amp;$D509,"Location Code","@@"&amp;$E$6)</t>
  </si>
  <si>
    <t>=(SUBTOTAL(9,O514:O515))</t>
  </si>
  <si>
    <t>=(SUBTOTAL(9,P514:P515))</t>
  </si>
  <si>
    <t>=(SUBTOTAL(9,Q514:Q515))</t>
  </si>
  <si>
    <t>=(SUBTOTAL(9,R514:R515))</t>
  </si>
  <si>
    <t>=(SUBTOTAL(9,S514:S515))</t>
  </si>
  <si>
    <t>=(SUBTOTAL(9,T514:T515))</t>
  </si>
  <si>
    <t>=SUBTOTAL(9,O514:T515)</t>
  </si>
  <si>
    <t>=(SUBTOTAL(9,O518:O519))</t>
  </si>
  <si>
    <t>=(SUBTOTAL(9,P518:P519))</t>
  </si>
  <si>
    <t>=(SUBTOTAL(9,Q518:Q519))</t>
  </si>
  <si>
    <t>=(SUBTOTAL(9,R518:R519))</t>
  </si>
  <si>
    <t>=(SUBTOTAL(9,S518:S519))</t>
  </si>
  <si>
    <t>=(SUBTOTAL(9,T518:T519))</t>
  </si>
  <si>
    <t>=SUBTOTAL(9,O518:T519)</t>
  </si>
  <si>
    <t>=NL("Rows","Item Ledger Entry",,"+Posting Date",$L$5,"Item No.","@@"&amp;$D518,"Location Code","@@"&amp;$E$6)</t>
  </si>
  <si>
    <t>=(SUBTOTAL(9,O527:O528))</t>
  </si>
  <si>
    <t>=(SUBTOTAL(9,P527:P528))</t>
  </si>
  <si>
    <t>=(SUBTOTAL(9,Q527:Q528))</t>
  </si>
  <si>
    <t>=(SUBTOTAL(9,R527:R528))</t>
  </si>
  <si>
    <t>=(SUBTOTAL(9,S527:S528))</t>
  </si>
  <si>
    <t>=(SUBTOTAL(9,T527:T528))</t>
  </si>
  <si>
    <t>=SUBTOTAL(9,O527:T528)</t>
  </si>
  <si>
    <t>=(SUBTOTAL(9,O531:O533))</t>
  </si>
  <si>
    <t>=(SUBTOTAL(9,P531:P533))</t>
  </si>
  <si>
    <t>=(SUBTOTAL(9,Q531:Q533))</t>
  </si>
  <si>
    <t>=(SUBTOTAL(9,R531:R533))</t>
  </si>
  <si>
    <t>=(SUBTOTAL(9,S531:S533))</t>
  </si>
  <si>
    <t>=(SUBTOTAL(9,T531:T533))</t>
  </si>
  <si>
    <t>=SUBTOTAL(9,O531:T533)</t>
  </si>
  <si>
    <t>=NL("Rows","Item Ledger Entry",,"+Posting Date",$L$5,"Item No.","@@"&amp;$D531,"Location Code","@@"&amp;$E$6)</t>
  </si>
  <si>
    <t>=NL("Sum","Item Ledger Entry","Quantity","Entry Type","Purchase","Entry No.",I531,"Location Code","@@"&amp;$E$6)</t>
  </si>
  <si>
    <t>=NL("Sum","Item Ledger Entry","Quantity","Entry Type","Sale","Entry No.",I531,"Location Code","@@"&amp;$E$6)</t>
  </si>
  <si>
    <t>=NL("Sum","Item Ledger Entry","Quantity","Entry Type","Positive Adjmt.|Negative Adjmt.","Entry No.",I531,"Location Code","@@"&amp;$E$6)</t>
  </si>
  <si>
    <t>=NL("Sum","Item Ledger Entry","Quantity","Entry Type","Transfer","Entry No.",I531,"Location Code","@@"&amp;$E$6)</t>
  </si>
  <si>
    <t>=NL("Sum","Item Ledger Entry","Quantity","Entry Type","Consumption","Entry No.",I531,"Location Code","@@"&amp;$E$6)</t>
  </si>
  <si>
    <t>=NL("Sum","Item Ledger Entry","Quantity","Entry Type","Output","Entry No.",I531,"Location Code","@@"&amp;$E$6)</t>
  </si>
  <si>
    <t>=NL("Sum","Item Ledger Entry","Quantity","Entry Type","Purchase","Entry No.",I532,"Location Code","@@"&amp;$E$6)</t>
  </si>
  <si>
    <t>=NL("Sum","Item Ledger Entry","Quantity","Entry Type","Sale","Entry No.",I532,"Location Code","@@"&amp;$E$6)</t>
  </si>
  <si>
    <t>=NL("Sum","Item Ledger Entry","Quantity","Entry Type","Positive Adjmt.|Negative Adjmt.","Entry No.",I532,"Location Code","@@"&amp;$E$6)</t>
  </si>
  <si>
    <t>=NL("Sum","Item Ledger Entry","Quantity","Entry Type","Transfer","Entry No.",I532,"Location Code","@@"&amp;$E$6)</t>
  </si>
  <si>
    <t>=NL("Sum","Item Ledger Entry","Quantity","Entry Type","Consumption","Entry No.",I532,"Location Code","@@"&amp;$E$6)</t>
  </si>
  <si>
    <t>=NL("Sum","Item Ledger Entry","Quantity","Entry Type","Output","Entry No.",I532,"Location Code","@@"&amp;$E$6)</t>
  </si>
  <si>
    <t>=E535</t>
  </si>
  <si>
    <t>=NL("First","Item","Description","No.",$E535)</t>
  </si>
  <si>
    <t>=NL("First","Item","Base Unit of Measure","No.",$E535)</t>
  </si>
  <si>
    <t>=(SUBTOTAL(9,O536:O537))</t>
  </si>
  <si>
    <t>=(SUBTOTAL(9,P536:P537))</t>
  </si>
  <si>
    <t>=(SUBTOTAL(9,Q536:Q537))</t>
  </si>
  <si>
    <t>=(SUBTOTAL(9,R536:R537))</t>
  </si>
  <si>
    <t>=(SUBTOTAL(9,S536:S537))</t>
  </si>
  <si>
    <t>=(SUBTOTAL(9,T536:T537))</t>
  </si>
  <si>
    <t>=SUBTOTAL(9,O536:T537)</t>
  </si>
  <si>
    <t>=NL("Rows","Item Ledger Entry",,"+Posting Date",$L$5,"Item No.","@@"&amp;$D536,"Location Code","@@"&amp;$E$6)</t>
  </si>
  <si>
    <t>=(SUBTOTAL(9,O540:O542))</t>
  </si>
  <si>
    <t>=(SUBTOTAL(9,P540:P542))</t>
  </si>
  <si>
    <t>=(SUBTOTAL(9,Q540:Q542))</t>
  </si>
  <si>
    <t>=(SUBTOTAL(9,R540:R542))</t>
  </si>
  <si>
    <t>=(SUBTOTAL(9,S540:S542))</t>
  </si>
  <si>
    <t>=(SUBTOTAL(9,T540:T542))</t>
  </si>
  <si>
    <t>=SUBTOTAL(9,O540:T542)</t>
  </si>
  <si>
    <t>=E544</t>
  </si>
  <si>
    <t>=NL("First","Item","Description","No.",$E544)</t>
  </si>
  <si>
    <t>=NL("First","Item","Base Unit of Measure","No.",$E544)</t>
  </si>
  <si>
    <t>=(SUBTOTAL(9,O545:O547))</t>
  </si>
  <si>
    <t>=(SUBTOTAL(9,P545:P547))</t>
  </si>
  <si>
    <t>=(SUBTOTAL(9,Q545:Q547))</t>
  </si>
  <si>
    <t>=(SUBTOTAL(9,R545:R547))</t>
  </si>
  <si>
    <t>=(SUBTOTAL(9,S545:S547))</t>
  </si>
  <si>
    <t>=(SUBTOTAL(9,T545:T547))</t>
  </si>
  <si>
    <t>=SUBTOTAL(9,O545:T547)</t>
  </si>
  <si>
    <t>=NL("Rows","Item Ledger Entry",,"+Posting Date",$L$5,"Item No.","@@"&amp;$D545,"Location Code","@@"&amp;$E$6)</t>
  </si>
  <si>
    <t>=NL("Sum","Item Ledger Entry","Quantity","Entry Type","Purchase","Entry No.",I546,"Location Code","@@"&amp;$E$6)</t>
  </si>
  <si>
    <t>=NL("Sum","Item Ledger Entry","Quantity","Entry Type","Sale","Entry No.",I546,"Location Code","@@"&amp;$E$6)</t>
  </si>
  <si>
    <t>=NL("Sum","Item Ledger Entry","Quantity","Entry Type","Positive Adjmt.|Negative Adjmt.","Entry No.",I546,"Location Code","@@"&amp;$E$6)</t>
  </si>
  <si>
    <t>=NL("Sum","Item Ledger Entry","Quantity","Entry Type","Transfer","Entry No.",I546,"Location Code","@@"&amp;$E$6)</t>
  </si>
  <si>
    <t>=NL("Sum","Item Ledger Entry","Quantity","Entry Type","Consumption","Entry No.",I546,"Location Code","@@"&amp;$E$6)</t>
  </si>
  <si>
    <t>=NL("Sum","Item Ledger Entry","Quantity","Entry Type","Output","Entry No.",I546,"Location Code","@@"&amp;$E$6)</t>
  </si>
  <si>
    <t>=E549</t>
  </si>
  <si>
    <t>=NL("First","Item","Description","No.",$E549)</t>
  </si>
  <si>
    <t>=NL("First","Item","Base Unit of Measure","No.",$E549)</t>
  </si>
  <si>
    <t>=(SUBTOTAL(9,O550:O553))</t>
  </si>
  <si>
    <t>=(SUBTOTAL(9,P550:P553))</t>
  </si>
  <si>
    <t>=(SUBTOTAL(9,Q550:Q553))</t>
  </si>
  <si>
    <t>=(SUBTOTAL(9,R550:R553))</t>
  </si>
  <si>
    <t>=(SUBTOTAL(9,S550:S553))</t>
  </si>
  <si>
    <t>=(SUBTOTAL(9,T550:T553))</t>
  </si>
  <si>
    <t>=SUBTOTAL(9,O550:T553)</t>
  </si>
  <si>
    <t>=NL("Rows","Item Ledger Entry",,"+Posting Date",$L$5,"Item No.","@@"&amp;$D550,"Location Code","@@"&amp;$E$6)</t>
  </si>
  <si>
    <t>=(SUBTOTAL(9,O556:O557))</t>
  </si>
  <si>
    <t>=(SUBTOTAL(9,P556:P557))</t>
  </si>
  <si>
    <t>=(SUBTOTAL(9,Q556:Q557))</t>
  </si>
  <si>
    <t>=(SUBTOTAL(9,R556:R557))</t>
  </si>
  <si>
    <t>=(SUBTOTAL(9,S556:S557))</t>
  </si>
  <si>
    <t>=(SUBTOTAL(9,T556:T557))</t>
  </si>
  <si>
    <t>=SUBTOTAL(9,O556:T557)</t>
  </si>
  <si>
    <t>=E559</t>
  </si>
  <si>
    <t>=NL("First","Item","Description","No.",$E559)</t>
  </si>
  <si>
    <t>=NL("First","Item","Base Unit of Measure","No.",$E559)</t>
  </si>
  <si>
    <t>=(SUBTOTAL(9,O560:O563))</t>
  </si>
  <si>
    <t>=(SUBTOTAL(9,P560:P563))</t>
  </si>
  <si>
    <t>=(SUBTOTAL(9,Q560:Q563))</t>
  </si>
  <si>
    <t>=(SUBTOTAL(9,R560:R563))</t>
  </si>
  <si>
    <t>=(SUBTOTAL(9,S560:S563))</t>
  </si>
  <si>
    <t>=(SUBTOTAL(9,T560:T563))</t>
  </si>
  <si>
    <t>=SUBTOTAL(9,O560:T563)</t>
  </si>
  <si>
    <t>=NL("Rows","Item Ledger Entry",,"+Posting Date",$L$5,"Item No.","@@"&amp;$D560,"Location Code","@@"&amp;$E$6)</t>
  </si>
  <si>
    <t>=E565</t>
  </si>
  <si>
    <t>=NL("First","Item","Description","No.",$E565)</t>
  </si>
  <si>
    <t>=NL("First","Item","Base Unit of Measure","No.",$E565)</t>
  </si>
  <si>
    <t>=(SUBTOTAL(9,O566:O569))</t>
  </si>
  <si>
    <t>=(SUBTOTAL(9,P566:P569))</t>
  </si>
  <si>
    <t>=(SUBTOTAL(9,Q566:Q569))</t>
  </si>
  <si>
    <t>=(SUBTOTAL(9,R566:R569))</t>
  </si>
  <si>
    <t>=(SUBTOTAL(9,S566:S569))</t>
  </si>
  <si>
    <t>=(SUBTOTAL(9,T566:T569))</t>
  </si>
  <si>
    <t>=SUBTOTAL(9,O566:T569)</t>
  </si>
  <si>
    <t>=NL("Rows","Item Ledger Entry",,"+Posting Date",$L$5,"Item No.","@@"&amp;$D566,"Location Code","@@"&amp;$E$6)</t>
  </si>
  <si>
    <t>=(SUBTOTAL(9,O572:O574))</t>
  </si>
  <si>
    <t>=(SUBTOTAL(9,P572:P574))</t>
  </si>
  <si>
    <t>=(SUBTOTAL(9,Q572:Q574))</t>
  </si>
  <si>
    <t>=(SUBTOTAL(9,R572:R574))</t>
  </si>
  <si>
    <t>=(SUBTOTAL(9,S572:S574))</t>
  </si>
  <si>
    <t>=(SUBTOTAL(9,T572:T574))</t>
  </si>
  <si>
    <t>=SUBTOTAL(9,O572:T574)</t>
  </si>
  <si>
    <t>=(SUBTOTAL(9,O577:O578))</t>
  </si>
  <si>
    <t>=(SUBTOTAL(9,P577:P578))</t>
  </si>
  <si>
    <t>=(SUBTOTAL(9,Q577:Q578))</t>
  </si>
  <si>
    <t>=(SUBTOTAL(9,R577:R578))</t>
  </si>
  <si>
    <t>=(SUBTOTAL(9,S577:S578))</t>
  </si>
  <si>
    <t>=(SUBTOTAL(9,T577:T578))</t>
  </si>
  <si>
    <t>=SUBTOTAL(9,O577:T578)</t>
  </si>
  <si>
    <t>=(SUBTOTAL(9,O581:O582))</t>
  </si>
  <si>
    <t>=(SUBTOTAL(9,P581:P582))</t>
  </si>
  <si>
    <t>=(SUBTOTAL(9,Q581:Q582))</t>
  </si>
  <si>
    <t>=(SUBTOTAL(9,R581:R582))</t>
  </si>
  <si>
    <t>=(SUBTOTAL(9,S581:S582))</t>
  </si>
  <si>
    <t>=(SUBTOTAL(9,T581:T582))</t>
  </si>
  <si>
    <t>=SUBTOTAL(9,O581:T582)</t>
  </si>
  <si>
    <t>=E584</t>
  </si>
  <si>
    <t>=NL("First","Item","Description","No.",$E584)</t>
  </si>
  <si>
    <t>=NL("First","Item","Base Unit of Measure","No.",$E584)</t>
  </si>
  <si>
    <t>=(SUBTOTAL(9,O585:O586))</t>
  </si>
  <si>
    <t>=(SUBTOTAL(9,P585:P586))</t>
  </si>
  <si>
    <t>=(SUBTOTAL(9,Q585:Q586))</t>
  </si>
  <si>
    <t>=(SUBTOTAL(9,R585:R586))</t>
  </si>
  <si>
    <t>=(SUBTOTAL(9,S585:S586))</t>
  </si>
  <si>
    <t>=(SUBTOTAL(9,T585:T586))</t>
  </si>
  <si>
    <t>=SUBTOTAL(9,O585:T586)</t>
  </si>
  <si>
    <t>=NL("Rows","Item Ledger Entry",,"+Posting Date",$L$5,"Item No.","@@"&amp;$D585,"Location Code","@@"&amp;$E$6)</t>
  </si>
  <si>
    <t>=E588</t>
  </si>
  <si>
    <t>=NL("First","Item","Description","No.",$E588)</t>
  </si>
  <si>
    <t>=NL("First","Item","Base Unit of Measure","No.",$E588)</t>
  </si>
  <si>
    <t>=(SUBTOTAL(9,O589:O590))</t>
  </si>
  <si>
    <t>=(SUBTOTAL(9,P589:P590))</t>
  </si>
  <si>
    <t>=(SUBTOTAL(9,Q589:Q590))</t>
  </si>
  <si>
    <t>=(SUBTOTAL(9,R589:R590))</t>
  </si>
  <si>
    <t>=(SUBTOTAL(9,S589:S590))</t>
  </si>
  <si>
    <t>=(SUBTOTAL(9,T589:T590))</t>
  </si>
  <si>
    <t>=SUBTOTAL(9,O589:T590)</t>
  </si>
  <si>
    <t>=NL("Rows","Item Ledger Entry",,"+Posting Date",$L$5,"Item No.","@@"&amp;$D589,"Location Code","@@"&amp;$E$6)</t>
  </si>
  <si>
    <t>=(SUBTOTAL(9,O593:O594))</t>
  </si>
  <si>
    <t>=(SUBTOTAL(9,P593:P594))</t>
  </si>
  <si>
    <t>=(SUBTOTAL(9,Q593:Q594))</t>
  </si>
  <si>
    <t>=(SUBTOTAL(9,R593:R594))</t>
  </si>
  <si>
    <t>=(SUBTOTAL(9,S593:S594))</t>
  </si>
  <si>
    <t>=(SUBTOTAL(9,T593:T594))</t>
  </si>
  <si>
    <t>=SUBTOTAL(9,O593:T594)</t>
  </si>
  <si>
    <t>=NL("Rows","Item Ledger Entry",,"+Posting Date",$L$5,"Item No.","@@"&amp;$D593,"Location Code","@@"&amp;$E$6)</t>
  </si>
  <si>
    <t>=E596</t>
  </si>
  <si>
    <t>=NL("First","Item","Description","No.",$E596)</t>
  </si>
  <si>
    <t>=NL("First","Item","Base Unit of Measure","No.",$E596)</t>
  </si>
  <si>
    <t>=(SUBTOTAL(9,O597:O598))</t>
  </si>
  <si>
    <t>=(SUBTOTAL(9,P597:P598))</t>
  </si>
  <si>
    <t>=(SUBTOTAL(9,Q597:Q598))</t>
  </si>
  <si>
    <t>=(SUBTOTAL(9,R597:R598))</t>
  </si>
  <si>
    <t>=(SUBTOTAL(9,S597:S598))</t>
  </si>
  <si>
    <t>=(SUBTOTAL(9,T597:T598))</t>
  </si>
  <si>
    <t>=SUBTOTAL(9,O597:T598)</t>
  </si>
  <si>
    <t>=NL("Rows","Item Ledger Entry",,"+Posting Date",$L$5,"Item No.","@@"&amp;$D597,"Location Code","@@"&amp;$E$6)</t>
  </si>
  <si>
    <t>=(SUBTOTAL(9,O601:O602))</t>
  </si>
  <si>
    <t>=(SUBTOTAL(9,P601:P602))</t>
  </si>
  <si>
    <t>=(SUBTOTAL(9,Q601:Q602))</t>
  </si>
  <si>
    <t>=(SUBTOTAL(9,R601:R602))</t>
  </si>
  <si>
    <t>=(SUBTOTAL(9,S601:S602))</t>
  </si>
  <si>
    <t>=(SUBTOTAL(9,T601:T602))</t>
  </si>
  <si>
    <t>=SUBTOTAL(9,O601:T602)</t>
  </si>
  <si>
    <t>=(SUBTOTAL(9,O605:O606))</t>
  </si>
  <si>
    <t>=(SUBTOTAL(9,P605:P606))</t>
  </si>
  <si>
    <t>=(SUBTOTAL(9,Q605:Q606))</t>
  </si>
  <si>
    <t>=(SUBTOTAL(9,R605:R606))</t>
  </si>
  <si>
    <t>=(SUBTOTAL(9,S605:S606))</t>
  </si>
  <si>
    <t>=(SUBTOTAL(9,T605:T606))</t>
  </si>
  <si>
    <t>=SUBTOTAL(9,O605:T606)</t>
  </si>
  <si>
    <t>=NL("Rows","Item Ledger Entry",,"+Posting Date",$L$5,"Item No.","@@"&amp;$D605,"Location Code","@@"&amp;$E$6)</t>
  </si>
  <si>
    <t>=NL("Sum","Item Ledger Entry","Quantity","Entry Type","Purchase","Entry No.",I605,"Location Code","@@"&amp;$E$6)</t>
  </si>
  <si>
    <t>=NL("Sum","Item Ledger Entry","Quantity","Entry Type","Sale","Entry No.",I605,"Location Code","@@"&amp;$E$6)</t>
  </si>
  <si>
    <t>=NL("Sum","Item Ledger Entry","Quantity","Entry Type","Positive Adjmt.|Negative Adjmt.","Entry No.",I605,"Location Code","@@"&amp;$E$6)</t>
  </si>
  <si>
    <t>=NL("Sum","Item Ledger Entry","Quantity","Entry Type","Transfer","Entry No.",I605,"Location Code","@@"&amp;$E$6)</t>
  </si>
  <si>
    <t>=NL("Sum","Item Ledger Entry","Quantity","Entry Type","Consumption","Entry No.",I605,"Location Code","@@"&amp;$E$6)</t>
  </si>
  <si>
    <t>=NL("Sum","Item Ledger Entry","Quantity","Entry Type","Output","Entry No.",I605,"Location Code","@@"&amp;$E$6)</t>
  </si>
  <si>
    <t>=E608</t>
  </si>
  <si>
    <t>=NL("First","Item","Description","No.",$E608)</t>
  </si>
  <si>
    <t>=NL("First","Item","Base Unit of Measure","No.",$E608)</t>
  </si>
  <si>
    <t>=(SUBTOTAL(9,O609:O610))</t>
  </si>
  <si>
    <t>=(SUBTOTAL(9,P609:P610))</t>
  </si>
  <si>
    <t>=(SUBTOTAL(9,Q609:Q610))</t>
  </si>
  <si>
    <t>=(SUBTOTAL(9,R609:R610))</t>
  </si>
  <si>
    <t>=(SUBTOTAL(9,S609:S610))</t>
  </si>
  <si>
    <t>=(SUBTOTAL(9,T609:T610))</t>
  </si>
  <si>
    <t>=SUBTOTAL(9,O609:T610)</t>
  </si>
  <si>
    <t>=NL("Rows","Item Ledger Entry",,"+Posting Date",$L$5,"Item No.","@@"&amp;$D609,"Location Code","@@"&amp;$E$6)</t>
  </si>
  <si>
    <t>=(SUBTOTAL(9,O613:O614))</t>
  </si>
  <si>
    <t>=(SUBTOTAL(9,P613:P614))</t>
  </si>
  <si>
    <t>=(SUBTOTAL(9,Q613:Q614))</t>
  </si>
  <si>
    <t>=(SUBTOTAL(9,R613:R614))</t>
  </si>
  <si>
    <t>=(SUBTOTAL(9,S613:S614))</t>
  </si>
  <si>
    <t>=(SUBTOTAL(9,T613:T614))</t>
  </si>
  <si>
    <t>=SUBTOTAL(9,O613:T614)</t>
  </si>
  <si>
    <t>=SUBTOTAL(9,O13:O616)</t>
  </si>
  <si>
    <t>=SUBTOTAL(9,P13:P616)</t>
  </si>
  <si>
    <t>=SUBTOTAL(9,Q13:Q616)</t>
  </si>
  <si>
    <t>=SUBTOTAL(9,R13:R616)</t>
  </si>
  <si>
    <t>=SUBTOTAL(9,S13:S616)</t>
  </si>
  <si>
    <t>=SUBTOTAL(9,T13:T616)</t>
  </si>
  <si>
    <t>=SUM(U12:U616)</t>
  </si>
  <si>
    <t>=NL("Sum","Item Ledger Entry","Quantity","Entry Type","Purchase","Entry No.",I566,"Location Code","@@"&amp;$E$6)</t>
  </si>
  <si>
    <t>=NL("Sum","Item Ledger Entry","Quantity","Entry Type","Sale","Entry No.",I566,"Location Code","@@"&amp;$E$6)</t>
  </si>
  <si>
    <t>=NL("Sum","Item Ledger Entry","Quantity","Entry Type","Positive Adjmt.|Negative Adjmt.","Entry No.",I566,"Location Code","@@"&amp;$E$6)</t>
  </si>
  <si>
    <t>=NL("Sum","Item Ledger Entry","Quantity","Entry Type","Transfer","Entry No.",I566,"Location Code","@@"&amp;$E$6)</t>
  </si>
  <si>
    <t>=NL("Sum","Item Ledger Entry","Quantity","Entry Type","Consumption","Entry No.",I566,"Location Code","@@"&amp;$E$6)</t>
  </si>
  <si>
    <t>=NL("Sum","Item Ledger Entry","Quantity","Entry Type","Output","Entry No.",I566,"Location Code","@@"&amp;$E$6)</t>
  </si>
  <si>
    <t>=NL("Sum","Item Ledger Entry","Quantity","Entry Type","Purchase","Entry No.",I374,"Location Code","@@"&amp;$E$6)</t>
  </si>
  <si>
    <t>=NL("Sum","Item Ledger Entry","Quantity","Entry Type","Sale","Entry No.",I374,"Location Code","@@"&amp;$E$6)</t>
  </si>
  <si>
    <t>=NL("Sum","Item Ledger Entry","Quantity","Entry Type","Positive Adjmt.|Negative Adjmt.","Entry No.",I374,"Location Code","@@"&amp;$E$6)</t>
  </si>
  <si>
    <t>=NL("Sum","Item Ledger Entry","Quantity","Entry Type","Transfer","Entry No.",I374,"Location Code","@@"&amp;$E$6)</t>
  </si>
  <si>
    <t>=NL("Sum","Item Ledger Entry","Quantity","Entry Type","Consumption","Entry No.",I374,"Location Code","@@"&amp;$E$6)</t>
  </si>
  <si>
    <t>=NL("Sum","Item Ledger Entry","Quantity","Entry Type","Output","Entry No.",I374,"Location Code","@@"&amp;$E$6)</t>
  </si>
  <si>
    <t>Auto+Hide+Values+Formulas=Sheet23,Sheet6,Sheet7+AutoSheet+FormulasOnly</t>
  </si>
  <si>
    <t>Auto+Hide+Values+Formulas=Sheet24,Sheet6,Sheet7+AutoSheet</t>
  </si>
  <si>
    <t>=(SUBTOTAL(9,O36:O39))</t>
  </si>
  <si>
    <t>=(SUBTOTAL(9,P36:P39))</t>
  </si>
  <si>
    <t>=(SUBTOTAL(9,Q36:Q39))</t>
  </si>
  <si>
    <t>=(SUBTOTAL(9,R36:R39))</t>
  </si>
  <si>
    <t>=(SUBTOTAL(9,S36:S39))</t>
  </si>
  <si>
    <t>=(SUBTOTAL(9,T36:T39))</t>
  </si>
  <si>
    <t>=SUBTOTAL(9,O36:T39)</t>
  </si>
  <si>
    <t>=(SUBTOTAL(9,O56:O59))</t>
  </si>
  <si>
    <t>=(SUBTOTAL(9,P56:P59))</t>
  </si>
  <si>
    <t>=(SUBTOTAL(9,Q56:Q59))</t>
  </si>
  <si>
    <t>=(SUBTOTAL(9,R56:R59))</t>
  </si>
  <si>
    <t>=(SUBTOTAL(9,S56:S59))</t>
  </si>
  <si>
    <t>=(SUBTOTAL(9,T56:T59))</t>
  </si>
  <si>
    <t>=SUBTOTAL(9,O56:T59)</t>
  </si>
  <si>
    <t>=(SUBTOTAL(9,O67:O70))</t>
  </si>
  <si>
    <t>=(SUBTOTAL(9,P67:P70))</t>
  </si>
  <si>
    <t>=(SUBTOTAL(9,Q67:Q70))</t>
  </si>
  <si>
    <t>=(SUBTOTAL(9,R67:R70))</t>
  </si>
  <si>
    <t>=(SUBTOTAL(9,S67:S70))</t>
  </si>
  <si>
    <t>=(SUBTOTAL(9,T67:T70))</t>
  </si>
  <si>
    <t>=SUBTOTAL(9,O67:T70)</t>
  </si>
  <si>
    <t>=(SUBTOTAL(9,O81:O83))</t>
  </si>
  <si>
    <t>=(SUBTOTAL(9,P81:P83))</t>
  </si>
  <si>
    <t>=(SUBTOTAL(9,Q81:Q83))</t>
  </si>
  <si>
    <t>=(SUBTOTAL(9,R81:R83))</t>
  </si>
  <si>
    <t>=(SUBTOTAL(9,S81:S83))</t>
  </si>
  <si>
    <t>=(SUBTOTAL(9,T81:T83))</t>
  </si>
  <si>
    <t>=SUBTOTAL(9,O81:T83)</t>
  </si>
  <si>
    <t>=(SUBTOTAL(9,O95:O98))</t>
  </si>
  <si>
    <t>=(SUBTOTAL(9,P95:P98))</t>
  </si>
  <si>
    <t>=(SUBTOTAL(9,Q95:Q98))</t>
  </si>
  <si>
    <t>=(SUBTOTAL(9,R95:R98))</t>
  </si>
  <si>
    <t>=(SUBTOTAL(9,S95:S98))</t>
  </si>
  <si>
    <t>=(SUBTOTAL(9,T95:T98))</t>
  </si>
  <si>
    <t>=SUBTOTAL(9,O95:T98)</t>
  </si>
  <si>
    <t>=(SUBTOTAL(9,O110:O113))</t>
  </si>
  <si>
    <t>=(SUBTOTAL(9,P110:P113))</t>
  </si>
  <si>
    <t>=(SUBTOTAL(9,Q110:Q113))</t>
  </si>
  <si>
    <t>=(SUBTOTAL(9,R110:R113))</t>
  </si>
  <si>
    <t>=(SUBTOTAL(9,S110:S113))</t>
  </si>
  <si>
    <t>=(SUBTOTAL(9,T110:T113))</t>
  </si>
  <si>
    <t>=SUBTOTAL(9,O110:T113)</t>
  </si>
  <si>
    <t>=(SUBTOTAL(9,O116:O119))</t>
  </si>
  <si>
    <t>=(SUBTOTAL(9,P116:P119))</t>
  </si>
  <si>
    <t>=(SUBTOTAL(9,Q116:Q119))</t>
  </si>
  <si>
    <t>=(SUBTOTAL(9,R116:R119))</t>
  </si>
  <si>
    <t>=(SUBTOTAL(9,S116:S119))</t>
  </si>
  <si>
    <t>=(SUBTOTAL(9,T116:T119))</t>
  </si>
  <si>
    <t>=SUBTOTAL(9,O116:T119)</t>
  </si>
  <si>
    <t>=(SUBTOTAL(9,O126:O128))</t>
  </si>
  <si>
    <t>=(SUBTOTAL(9,P126:P128))</t>
  </si>
  <si>
    <t>=(SUBTOTAL(9,Q126:Q128))</t>
  </si>
  <si>
    <t>=(SUBTOTAL(9,R126:R128))</t>
  </si>
  <si>
    <t>=(SUBTOTAL(9,S126:S128))</t>
  </si>
  <si>
    <t>=(SUBTOTAL(9,T126:T128))</t>
  </si>
  <si>
    <t>=SUBTOTAL(9,O126:T128)</t>
  </si>
  <si>
    <t>=(SUBTOTAL(9,O147:O151))</t>
  </si>
  <si>
    <t>=(SUBTOTAL(9,P147:P151))</t>
  </si>
  <si>
    <t>=(SUBTOTAL(9,Q147:Q151))</t>
  </si>
  <si>
    <t>=(SUBTOTAL(9,R147:R151))</t>
  </si>
  <si>
    <t>=(SUBTOTAL(9,S147:S151))</t>
  </si>
  <si>
    <t>=(SUBTOTAL(9,T147:T151))</t>
  </si>
  <si>
    <t>=SUBTOTAL(9,O147:T151)</t>
  </si>
  <si>
    <t>=(SUBTOTAL(9,O154:O157))</t>
  </si>
  <si>
    <t>=(SUBTOTAL(9,P154:P157))</t>
  </si>
  <si>
    <t>=(SUBTOTAL(9,Q154:Q157))</t>
  </si>
  <si>
    <t>=(SUBTOTAL(9,R154:R157))</t>
  </si>
  <si>
    <t>=(SUBTOTAL(9,S154:S157))</t>
  </si>
  <si>
    <t>=(SUBTOTAL(9,T154:T157))</t>
  </si>
  <si>
    <t>=SUBTOTAL(9,O154:T157)</t>
  </si>
  <si>
    <t>=(SUBTOTAL(9,O177:O180))</t>
  </si>
  <si>
    <t>=(SUBTOTAL(9,P177:P180))</t>
  </si>
  <si>
    <t>=(SUBTOTAL(9,Q177:Q180))</t>
  </si>
  <si>
    <t>=(SUBTOTAL(9,R177:R180))</t>
  </si>
  <si>
    <t>=(SUBTOTAL(9,S177:S180))</t>
  </si>
  <si>
    <t>=(SUBTOTAL(9,T177:T180))</t>
  </si>
  <si>
    <t>=SUBTOTAL(9,O177:T180)</t>
  </si>
  <si>
    <t>=(SUBTOTAL(9,O226:O227))</t>
  </si>
  <si>
    <t>=(SUBTOTAL(9,P226:P227))</t>
  </si>
  <si>
    <t>=(SUBTOTAL(9,Q226:Q227))</t>
  </si>
  <si>
    <t>=(SUBTOTAL(9,R226:R227))</t>
  </si>
  <si>
    <t>=(SUBTOTAL(9,S226:S227))</t>
  </si>
  <si>
    <t>=(SUBTOTAL(9,T226:T227))</t>
  </si>
  <si>
    <t>=SUBTOTAL(9,O226:T227)</t>
  </si>
  <si>
    <t>=(SUBTOTAL(9,O243:O246))</t>
  </si>
  <si>
    <t>=(SUBTOTAL(9,P243:P246))</t>
  </si>
  <si>
    <t>=(SUBTOTAL(9,Q243:Q246))</t>
  </si>
  <si>
    <t>=(SUBTOTAL(9,R243:R246))</t>
  </si>
  <si>
    <t>=(SUBTOTAL(9,S243:S246))</t>
  </si>
  <si>
    <t>=(SUBTOTAL(9,T243:T246))</t>
  </si>
  <si>
    <t>=SUBTOTAL(9,O243:T246)</t>
  </si>
  <si>
    <t>=(SUBTOTAL(9,O258:O260))</t>
  </si>
  <si>
    <t>=(SUBTOTAL(9,P258:P260))</t>
  </si>
  <si>
    <t>=(SUBTOTAL(9,Q258:Q260))</t>
  </si>
  <si>
    <t>=(SUBTOTAL(9,R258:R260))</t>
  </si>
  <si>
    <t>=(SUBTOTAL(9,S258:S260))</t>
  </si>
  <si>
    <t>=(SUBTOTAL(9,T258:T260))</t>
  </si>
  <si>
    <t>=SUBTOTAL(9,O258:T260)</t>
  </si>
  <si>
    <t>=E262</t>
  </si>
  <si>
    <t>=NL("First","Item","Description","No.",$E262)</t>
  </si>
  <si>
    <t>=NL("First","Item","Base Unit of Measure","No.",$E262)</t>
  </si>
  <si>
    <t>=(SUBTOTAL(9,O263:O264))</t>
  </si>
  <si>
    <t>=(SUBTOTAL(9,P263:P264))</t>
  </si>
  <si>
    <t>=(SUBTOTAL(9,Q263:Q264))</t>
  </si>
  <si>
    <t>=(SUBTOTAL(9,R263:R264))</t>
  </si>
  <si>
    <t>=(SUBTOTAL(9,S263:S264))</t>
  </si>
  <si>
    <t>=(SUBTOTAL(9,T263:T264))</t>
  </si>
  <si>
    <t>=SUBTOTAL(9,O263:T264)</t>
  </si>
  <si>
    <t>=NL("Rows","Item Ledger Entry",,"+Posting Date",$L$5,"Item No.","@@"&amp;$D263,"Location Code","@@"&amp;$E$6)</t>
  </si>
  <si>
    <t>=NL("Sum","Item Ledger Entry","Quantity","Entry Type","Purchase","Entry No.",I263,"Location Code","@@"&amp;$E$6)</t>
  </si>
  <si>
    <t>=NL("Sum","Item Ledger Entry","Quantity","Entry Type","Sale","Entry No.",I263,"Location Code","@@"&amp;$E$6)</t>
  </si>
  <si>
    <t>=NL("Sum","Item Ledger Entry","Quantity","Entry Type","Positive Adjmt.|Negative Adjmt.","Entry No.",I263,"Location Code","@@"&amp;$E$6)</t>
  </si>
  <si>
    <t>=NL("Sum","Item Ledger Entry","Quantity","Entry Type","Transfer","Entry No.",I263,"Location Code","@@"&amp;$E$6)</t>
  </si>
  <si>
    <t>=NL("Sum","Item Ledger Entry","Quantity","Entry Type","Consumption","Entry No.",I263,"Location Code","@@"&amp;$E$6)</t>
  </si>
  <si>
    <t>=NL("Sum","Item Ledger Entry","Quantity","Entry Type","Output","Entry No.",I263,"Location Code","@@"&amp;$E$6)</t>
  </si>
  <si>
    <t>=E266</t>
  </si>
  <si>
    <t>=NL("First","Item","Description","No.",$E266)</t>
  </si>
  <si>
    <t>=NL("First","Item","Base Unit of Measure","No.",$E266)</t>
  </si>
  <si>
    <t>=(SUBTOTAL(9,O267:O268))</t>
  </si>
  <si>
    <t>=(SUBTOTAL(9,P267:P268))</t>
  </si>
  <si>
    <t>=(SUBTOTAL(9,Q267:Q268))</t>
  </si>
  <si>
    <t>=(SUBTOTAL(9,R267:R268))</t>
  </si>
  <si>
    <t>=(SUBTOTAL(9,S267:S268))</t>
  </si>
  <si>
    <t>=(SUBTOTAL(9,T267:T268))</t>
  </si>
  <si>
    <t>=SUBTOTAL(9,O267:T268)</t>
  </si>
  <si>
    <t>=NL("Rows","Item Ledger Entry",,"+Posting Date",$L$5,"Item No.","@@"&amp;$D267,"Location Code","@@"&amp;$E$6)</t>
  </si>
  <si>
    <t>=(SUBTOTAL(9,O271:O273))</t>
  </si>
  <si>
    <t>=(SUBTOTAL(9,P271:P273))</t>
  </si>
  <si>
    <t>=(SUBTOTAL(9,Q271:Q273))</t>
  </si>
  <si>
    <t>=(SUBTOTAL(9,R271:R273))</t>
  </si>
  <si>
    <t>=(SUBTOTAL(9,S271:S273))</t>
  </si>
  <si>
    <t>=(SUBTOTAL(9,T271:T273))</t>
  </si>
  <si>
    <t>=SUBTOTAL(9,O271:T273)</t>
  </si>
  <si>
    <t>=(SUBTOTAL(9,O276:O278))</t>
  </si>
  <si>
    <t>=(SUBTOTAL(9,P276:P278))</t>
  </si>
  <si>
    <t>=(SUBTOTAL(9,Q276:Q278))</t>
  </si>
  <si>
    <t>=(SUBTOTAL(9,R276:R278))</t>
  </si>
  <si>
    <t>=(SUBTOTAL(9,S276:S278))</t>
  </si>
  <si>
    <t>=(SUBTOTAL(9,T276:T278))</t>
  </si>
  <si>
    <t>=SUBTOTAL(9,O276:T278)</t>
  </si>
  <si>
    <t>=(SUBTOTAL(9,O285:O288))</t>
  </si>
  <si>
    <t>=(SUBTOTAL(9,P285:P288))</t>
  </si>
  <si>
    <t>=(SUBTOTAL(9,Q285:Q288))</t>
  </si>
  <si>
    <t>=(SUBTOTAL(9,R285:R288))</t>
  </si>
  <si>
    <t>=(SUBTOTAL(9,S285:S288))</t>
  </si>
  <si>
    <t>=(SUBTOTAL(9,T285:T288))</t>
  </si>
  <si>
    <t>=SUBTOTAL(9,O285:T288)</t>
  </si>
  <si>
    <t>=(SUBTOTAL(9,O291:O293))</t>
  </si>
  <si>
    <t>=(SUBTOTAL(9,P291:P293))</t>
  </si>
  <si>
    <t>=(SUBTOTAL(9,Q291:Q293))</t>
  </si>
  <si>
    <t>=(SUBTOTAL(9,R291:R293))</t>
  </si>
  <si>
    <t>=(SUBTOTAL(9,S291:S293))</t>
  </si>
  <si>
    <t>=(SUBTOTAL(9,T291:T293))</t>
  </si>
  <si>
    <t>=SUBTOTAL(9,O291:T293)</t>
  </si>
  <si>
    <t>=E295</t>
  </si>
  <si>
    <t>=NL("First","Item","Description","No.",$E295)</t>
  </si>
  <si>
    <t>=NL("First","Item","Base Unit of Measure","No.",$E295)</t>
  </si>
  <si>
    <t>=(SUBTOTAL(9,O296:O298))</t>
  </si>
  <si>
    <t>=(SUBTOTAL(9,P296:P298))</t>
  </si>
  <si>
    <t>=(SUBTOTAL(9,Q296:Q298))</t>
  </si>
  <si>
    <t>=(SUBTOTAL(9,R296:R298))</t>
  </si>
  <si>
    <t>=(SUBTOTAL(9,S296:S298))</t>
  </si>
  <si>
    <t>=(SUBTOTAL(9,T296:T298))</t>
  </si>
  <si>
    <t>=SUBTOTAL(9,O296:T298)</t>
  </si>
  <si>
    <t>=NL("Rows","Item Ledger Entry",,"+Posting Date",$L$5,"Item No.","@@"&amp;$D296,"Location Code","@@"&amp;$E$6)</t>
  </si>
  <si>
    <t>=(SUBTOTAL(9,O301:O303))</t>
  </si>
  <si>
    <t>=(SUBTOTAL(9,P301:P303))</t>
  </si>
  <si>
    <t>=(SUBTOTAL(9,Q301:Q303))</t>
  </si>
  <si>
    <t>=(SUBTOTAL(9,R301:R303))</t>
  </si>
  <si>
    <t>=(SUBTOTAL(9,S301:S303))</t>
  </si>
  <si>
    <t>=(SUBTOTAL(9,T301:T303))</t>
  </si>
  <si>
    <t>=SUBTOTAL(9,O301:T303)</t>
  </si>
  <si>
    <t>=(SUBTOTAL(9,O306:O308))</t>
  </si>
  <si>
    <t>=(SUBTOTAL(9,P306:P308))</t>
  </si>
  <si>
    <t>=(SUBTOTAL(9,Q306:Q308))</t>
  </si>
  <si>
    <t>=(SUBTOTAL(9,R306:R308))</t>
  </si>
  <si>
    <t>=(SUBTOTAL(9,S306:S308))</t>
  </si>
  <si>
    <t>=(SUBTOTAL(9,T306:T308))</t>
  </si>
  <si>
    <t>=SUBTOTAL(9,O306:T308)</t>
  </si>
  <si>
    <t>=(SUBTOTAL(9,O311:O313))</t>
  </si>
  <si>
    <t>=(SUBTOTAL(9,P311:P313))</t>
  </si>
  <si>
    <t>=(SUBTOTAL(9,Q311:Q313))</t>
  </si>
  <si>
    <t>=(SUBTOTAL(9,R311:R313))</t>
  </si>
  <si>
    <t>=(SUBTOTAL(9,S311:S313))</t>
  </si>
  <si>
    <t>=(SUBTOTAL(9,T311:T313))</t>
  </si>
  <si>
    <t>=SUBTOTAL(9,O311:T313)</t>
  </si>
  <si>
    <t>=SUBTOTAL(9,O13:O343)</t>
  </si>
  <si>
    <t>=SUBTOTAL(9,P13:P343)</t>
  </si>
  <si>
    <t>=SUBTOTAL(9,Q13:Q343)</t>
  </si>
  <si>
    <t>=SUBTOTAL(9,R13:R343)</t>
  </si>
  <si>
    <t>=SUBTOTAL(9,S13:S343)</t>
  </si>
  <si>
    <t>=SUBTOTAL(9,T13:T343)</t>
  </si>
  <si>
    <t>=SUM(U12:U343)</t>
  </si>
  <si>
    <t>Auto+Hide+Values+Formulas=Sheet24,Sheet6,Sheet7+AutoSheet+FormulasOnly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</si>
</sst>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_(* \(#,##0\);_(* &quot;-&quot;_);_(@_)"/>
    <numFmt numFmtId="164" formatCode="[$-409]m/d/yy\ h:mm\ AM/PM;@"/>
  </numFmts>
  <fonts count="46" x14ac:knownFonts="1">
    <font>
      <sz val="10"/>
      <name val="Arial"/>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0"/>
      <color indexed="12"/>
      <name val="Arial"/>
      <family val="2"/>
    </font>
    <font>
      <sz val="10"/>
      <name val="Arial"/>
      <family val="2"/>
    </font>
    <font>
      <sz val="10"/>
      <name val="Segoe UI Semibold"/>
      <family val="2"/>
    </font>
    <font>
      <sz val="11"/>
      <name val="Segoe UI Semibold"/>
      <family val="2"/>
    </font>
    <font>
      <i/>
      <sz val="11"/>
      <name val="Segoe UI Semibold"/>
      <family val="2"/>
    </font>
    <font>
      <sz val="12"/>
      <name val="Segoe UI Semibold"/>
      <family val="2"/>
    </font>
    <font>
      <b/>
      <sz val="14"/>
      <color indexed="9"/>
      <name val="Segoe UI Semibold"/>
      <family val="2"/>
    </font>
    <font>
      <b/>
      <sz val="11"/>
      <name val="Segoe UI Semibold"/>
      <family val="2"/>
    </font>
    <font>
      <sz val="10"/>
      <color indexed="8"/>
      <name val="Segoe UI Semibold"/>
      <family val="2"/>
    </font>
    <font>
      <sz val="10"/>
      <color indexed="9"/>
      <name val="Segoe UI Semibold"/>
      <family val="2"/>
    </font>
    <font>
      <sz val="14"/>
      <name val="Segoe UI Semibold"/>
      <family val="2"/>
    </font>
    <font>
      <b/>
      <sz val="14"/>
      <name val="Segoe UI Semibold"/>
      <family val="2"/>
    </font>
    <font>
      <b/>
      <u/>
      <sz val="18"/>
      <name val="Segoe UI Semibold"/>
      <family val="2"/>
    </font>
    <font>
      <b/>
      <sz val="20"/>
      <color indexed="9"/>
      <name val="Segoe UI Semibold"/>
      <family val="2"/>
    </font>
    <font>
      <sz val="11"/>
      <color indexed="55"/>
      <name val="Segoe UI Semibold"/>
      <family val="2"/>
    </font>
    <font>
      <sz val="11"/>
      <color indexed="8"/>
      <name val="Segoe UI Semibold"/>
      <family val="2"/>
    </font>
    <font>
      <sz val="11"/>
      <color indexed="9"/>
      <name val="Segoe UI Semibold"/>
      <family val="2"/>
    </font>
    <font>
      <b/>
      <sz val="11"/>
      <color indexed="9"/>
      <name val="Segoe UI Semibold"/>
      <family val="2"/>
    </font>
    <font>
      <b/>
      <sz val="10"/>
      <name val="Segoe UI Semibold"/>
      <family val="2"/>
    </font>
    <font>
      <sz val="12"/>
      <color indexed="9"/>
      <name val="Segoe UI Semibold"/>
      <family val="2"/>
    </font>
    <font>
      <i/>
      <sz val="12"/>
      <name val="Segoe UI Semibold"/>
      <family val="2"/>
    </font>
    <font>
      <sz val="10"/>
      <name val="Arial"/>
      <family val="2"/>
    </font>
    <font>
      <u/>
      <sz val="10"/>
      <color indexed="12"/>
      <name val="Segoe UI"/>
      <family val="2"/>
    </font>
    <font>
      <sz val="10"/>
      <color theme="1"/>
      <name val="Segoe UI"/>
      <family val="2"/>
    </font>
    <font>
      <b/>
      <sz val="20"/>
      <color rgb="FFDA4848"/>
      <name val="Segoe UI"/>
      <family val="2"/>
    </font>
    <font>
      <b/>
      <sz val="10"/>
      <color theme="1"/>
      <name val="Segoe U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6A6A6"/>
        <bgColor indexed="64"/>
      </patternFill>
    </fill>
    <fill>
      <patternFill patternType="solid">
        <fgColor rgb="FFE4E8ED"/>
        <bgColor indexed="64"/>
      </patternFill>
    </fill>
    <fill>
      <patternFill patternType="solid">
        <fgColor rgb="FF417A85"/>
        <bgColor indexed="64"/>
      </patternFill>
    </fill>
    <fill>
      <patternFill patternType="solid">
        <fgColor rgb="FF83B9C2"/>
        <bgColor indexed="64"/>
      </patternFill>
    </fill>
    <fill>
      <patternFill patternType="solid">
        <fgColor rgb="FFDDECEE"/>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style="thin">
        <color rgb="FF808080"/>
      </left>
      <right/>
      <top/>
      <bottom style="thin">
        <color rgb="FF808080"/>
      </bottom>
      <diagonal/>
    </border>
    <border>
      <left/>
      <right/>
      <top/>
      <bottom style="thin">
        <color rgb="FF808080"/>
      </bottom>
      <diagonal/>
    </border>
    <border>
      <left/>
      <right style="thin">
        <color indexed="64"/>
      </right>
      <top/>
      <bottom style="thin">
        <color rgb="FF808080"/>
      </bottom>
      <diagonal/>
    </border>
    <border>
      <left/>
      <right style="thin">
        <color indexed="64"/>
      </right>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rgb="FF808080"/>
      </top>
      <bottom/>
      <diagonal/>
    </border>
  </borders>
  <cellStyleXfs count="49">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1" fillId="0" borderId="0"/>
    <xf numFmtId="0" fontId="21" fillId="0" borderId="0"/>
    <xf numFmtId="0" fontId="19" fillId="0" borderId="0"/>
    <xf numFmtId="0" fontId="41" fillId="0" borderId="0"/>
    <xf numFmtId="0" fontId="19" fillId="0" borderId="0"/>
    <xf numFmtId="0" fontId="20" fillId="0" borderId="0" applyNumberFormat="0" applyFill="0" applyBorder="0" applyAlignment="0" applyProtection="0">
      <alignment vertical="top"/>
      <protection locked="0"/>
    </xf>
    <xf numFmtId="0" fontId="1" fillId="0" borderId="0"/>
  </cellStyleXfs>
  <cellXfs count="121">
    <xf numFmtId="0" fontId="0" fillId="0" borderId="0" xfId="0"/>
    <xf numFmtId="0" fontId="22" fillId="0" borderId="0" xfId="0" applyFont="1"/>
    <xf numFmtId="0" fontId="34" fillId="0" borderId="0" xfId="0" applyNumberFormat="1" applyFont="1" applyAlignment="1"/>
    <xf numFmtId="0" fontId="35" fillId="0" borderId="0" xfId="0" applyNumberFormat="1" applyFont="1" applyAlignment="1">
      <alignment horizontal="left"/>
    </xf>
    <xf numFmtId="0" fontId="35" fillId="0" borderId="0" xfId="0" applyNumberFormat="1" applyFont="1" applyAlignment="1">
      <alignment horizontal="right"/>
    </xf>
    <xf numFmtId="0" fontId="36" fillId="33" borderId="0" xfId="0" applyNumberFormat="1" applyFont="1" applyFill="1" applyAlignment="1"/>
    <xf numFmtId="0" fontId="37" fillId="33" borderId="0" xfId="0" applyNumberFormat="1" applyFont="1" applyFill="1" applyAlignment="1">
      <alignment horizontal="right"/>
    </xf>
    <xf numFmtId="0" fontId="36" fillId="33" borderId="0" xfId="0" applyNumberFormat="1" applyFont="1" applyFill="1" applyAlignment="1">
      <alignment horizontal="right"/>
    </xf>
    <xf numFmtId="0" fontId="22" fillId="0" borderId="0" xfId="0" applyFont="1" applyAlignment="1">
      <alignment horizontal="right"/>
    </xf>
    <xf numFmtId="0" fontId="38" fillId="0" borderId="0" xfId="0" applyFont="1"/>
    <xf numFmtId="0" fontId="22" fillId="0" borderId="0" xfId="0" applyFont="1" applyAlignment="1">
      <alignment horizontal="center"/>
    </xf>
    <xf numFmtId="0" fontId="34" fillId="0" borderId="0" xfId="0" applyNumberFormat="1" applyFont="1" applyAlignment="1">
      <alignment horizontal="right"/>
    </xf>
    <xf numFmtId="0" fontId="35" fillId="0" borderId="0" xfId="0" applyNumberFormat="1" applyFont="1" applyAlignment="1"/>
    <xf numFmtId="14" fontId="35" fillId="0" borderId="0" xfId="0" applyNumberFormat="1" applyFont="1" applyAlignment="1">
      <alignment horizontal="right"/>
    </xf>
    <xf numFmtId="14" fontId="35" fillId="0" borderId="0" xfId="0" applyNumberFormat="1" applyFont="1" applyAlignment="1"/>
    <xf numFmtId="0" fontId="22" fillId="34" borderId="0" xfId="0" applyFont="1" applyFill="1"/>
    <xf numFmtId="0" fontId="28" fillId="0" borderId="0" xfId="0" applyNumberFormat="1" applyFont="1" applyAlignment="1"/>
    <xf numFmtId="0" fontId="29" fillId="35" borderId="0" xfId="0" applyNumberFormat="1" applyFont="1" applyFill="1" applyAlignment="1"/>
    <xf numFmtId="164" fontId="28" fillId="0" borderId="0" xfId="0" applyNumberFormat="1" applyFont="1" applyAlignment="1">
      <alignment horizontal="left"/>
    </xf>
    <xf numFmtId="0" fontId="25" fillId="0" borderId="0" xfId="0" applyFont="1"/>
    <xf numFmtId="0" fontId="23" fillId="0" borderId="0" xfId="0" applyFont="1"/>
    <xf numFmtId="0" fontId="32" fillId="0" borderId="0" xfId="0" applyFont="1" applyFill="1" applyBorder="1"/>
    <xf numFmtId="0" fontId="24" fillId="0" borderId="0" xfId="0" applyFont="1"/>
    <xf numFmtId="0" fontId="23" fillId="0" borderId="10" xfId="0" applyFont="1" applyBorder="1"/>
    <xf numFmtId="0" fontId="26" fillId="36" borderId="10" xfId="0" applyFont="1" applyFill="1" applyBorder="1"/>
    <xf numFmtId="0" fontId="26" fillId="36" borderId="11" xfId="0" applyFont="1" applyFill="1" applyBorder="1"/>
    <xf numFmtId="0" fontId="26" fillId="36" borderId="11" xfId="0" applyFont="1" applyFill="1" applyBorder="1" applyAlignment="1">
      <alignment horizontal="left"/>
    </xf>
    <xf numFmtId="0" fontId="26" fillId="36" borderId="11" xfId="0" applyFont="1" applyFill="1" applyBorder="1" applyAlignment="1">
      <alignment horizontal="center"/>
    </xf>
    <xf numFmtId="0" fontId="26" fillId="36" borderId="11" xfId="0" applyFont="1" applyFill="1" applyBorder="1" applyAlignment="1">
      <alignment horizontal="right"/>
    </xf>
    <xf numFmtId="0" fontId="26" fillId="36" borderId="12" xfId="0" applyFont="1" applyFill="1" applyBorder="1" applyAlignment="1">
      <alignment horizontal="right" wrapText="1"/>
    </xf>
    <xf numFmtId="0" fontId="39" fillId="36" borderId="11" xfId="0" applyFont="1" applyFill="1" applyBorder="1" applyAlignment="1">
      <alignment horizontal="left"/>
    </xf>
    <xf numFmtId="0" fontId="39" fillId="36" borderId="11" xfId="0" applyFont="1" applyFill="1" applyBorder="1" applyAlignment="1">
      <alignment horizontal="right"/>
    </xf>
    <xf numFmtId="0" fontId="39" fillId="36" borderId="12" xfId="0" applyFont="1" applyFill="1" applyBorder="1" applyAlignment="1">
      <alignment horizontal="right" wrapText="1"/>
    </xf>
    <xf numFmtId="0" fontId="23" fillId="0" borderId="13" xfId="0" applyFont="1" applyBorder="1"/>
    <xf numFmtId="0" fontId="23" fillId="0" borderId="0" xfId="0" applyFont="1" applyBorder="1"/>
    <xf numFmtId="0" fontId="23" fillId="37" borderId="13" xfId="0" applyFont="1" applyFill="1" applyBorder="1"/>
    <xf numFmtId="0" fontId="30" fillId="37" borderId="13" xfId="0" applyFont="1" applyFill="1" applyBorder="1"/>
    <xf numFmtId="0" fontId="30" fillId="37" borderId="0" xfId="0" applyFont="1" applyFill="1" applyBorder="1"/>
    <xf numFmtId="0" fontId="30" fillId="37" borderId="0" xfId="0" applyFont="1" applyFill="1" applyBorder="1" applyAlignment="1">
      <alignment horizontal="left"/>
    </xf>
    <xf numFmtId="41" fontId="31" fillId="37" borderId="0" xfId="0" applyNumberFormat="1" applyFont="1" applyFill="1" applyBorder="1"/>
    <xf numFmtId="14" fontId="23" fillId="0" borderId="0" xfId="0" applyNumberFormat="1" applyFont="1" applyBorder="1" applyAlignment="1">
      <alignment horizontal="left"/>
    </xf>
    <xf numFmtId="0" fontId="23" fillId="0" borderId="0" xfId="0" applyNumberFormat="1" applyFont="1" applyBorder="1" applyAlignment="1">
      <alignment horizontal="left"/>
    </xf>
    <xf numFmtId="0" fontId="23" fillId="0" borderId="0" xfId="0" applyFont="1" applyBorder="1" applyAlignment="1">
      <alignment horizontal="left"/>
    </xf>
    <xf numFmtId="41" fontId="23" fillId="0" borderId="0" xfId="0" applyNumberFormat="1" applyFont="1" applyBorder="1" applyAlignment="1">
      <alignment horizontal="right"/>
    </xf>
    <xf numFmtId="3" fontId="23" fillId="0" borderId="0" xfId="0" applyNumberFormat="1" applyFont="1" applyBorder="1"/>
    <xf numFmtId="0" fontId="23" fillId="0" borderId="14" xfId="0" applyFont="1" applyBorder="1"/>
    <xf numFmtId="0" fontId="23" fillId="0" borderId="15" xfId="0" applyFont="1" applyBorder="1"/>
    <xf numFmtId="0" fontId="27" fillId="0" borderId="15" xfId="0" applyFont="1" applyBorder="1"/>
    <xf numFmtId="41" fontId="27" fillId="0" borderId="15" xfId="0" applyNumberFormat="1" applyFont="1" applyBorder="1"/>
    <xf numFmtId="0" fontId="0" fillId="0" borderId="0" xfId="0" quotePrefix="1"/>
    <xf numFmtId="0" fontId="25" fillId="0" borderId="0" xfId="0" applyFont="1" applyAlignment="1">
      <alignment horizontal="left"/>
    </xf>
    <xf numFmtId="14" fontId="40" fillId="0" borderId="0" xfId="0" applyNumberFormat="1" applyFont="1" applyAlignment="1">
      <alignment horizontal="left"/>
    </xf>
    <xf numFmtId="0" fontId="40" fillId="0" borderId="0" xfId="0" applyFont="1" applyAlignment="1">
      <alignment horizontal="right" indent="1"/>
    </xf>
    <xf numFmtId="0" fontId="25" fillId="0" borderId="0" xfId="0" applyFont="1" applyAlignment="1">
      <alignment horizontal="right" indent="1"/>
    </xf>
    <xf numFmtId="0" fontId="23" fillId="0" borderId="17" xfId="0" applyFont="1" applyBorder="1"/>
    <xf numFmtId="41" fontId="31" fillId="37" borderId="17" xfId="0" applyNumberFormat="1" applyFont="1" applyFill="1" applyBorder="1"/>
    <xf numFmtId="41" fontId="23" fillId="0" borderId="17" xfId="0" applyNumberFormat="1" applyFont="1" applyBorder="1" applyAlignment="1">
      <alignment horizontal="right"/>
    </xf>
    <xf numFmtId="3" fontId="23" fillId="0" borderId="17" xfId="0" applyNumberFormat="1" applyFont="1" applyBorder="1"/>
    <xf numFmtId="0" fontId="22" fillId="0" borderId="17" xfId="0" applyFont="1" applyBorder="1"/>
    <xf numFmtId="41" fontId="27" fillId="0" borderId="16" xfId="0" applyNumberFormat="1" applyFont="1" applyBorder="1"/>
    <xf numFmtId="0" fontId="31" fillId="0" borderId="19" xfId="0" applyFont="1" applyBorder="1"/>
    <xf numFmtId="41" fontId="31" fillId="0" borderId="19" xfId="0" applyNumberFormat="1" applyFont="1" applyBorder="1"/>
    <xf numFmtId="41" fontId="31" fillId="0" borderId="18" xfId="0" applyNumberFormat="1" applyFont="1" applyBorder="1"/>
    <xf numFmtId="0" fontId="26" fillId="36" borderId="20" xfId="0" applyFont="1" applyFill="1" applyBorder="1" applyAlignment="1">
      <alignment horizontal="right" wrapText="1"/>
    </xf>
    <xf numFmtId="0" fontId="39" fillId="36" borderId="20" xfId="0" applyFont="1" applyFill="1" applyBorder="1" applyAlignment="1">
      <alignment horizontal="right" wrapText="1"/>
    </xf>
    <xf numFmtId="0" fontId="22" fillId="0" borderId="0" xfId="46" applyFont="1"/>
    <xf numFmtId="0" fontId="22" fillId="34" borderId="0" xfId="46" applyFont="1" applyFill="1"/>
    <xf numFmtId="0" fontId="25" fillId="0" borderId="0" xfId="46" applyFont="1"/>
    <xf numFmtId="0" fontId="23" fillId="0" borderId="0" xfId="46" applyFont="1"/>
    <xf numFmtId="41" fontId="27" fillId="0" borderId="16" xfId="46" applyNumberFormat="1" applyFont="1" applyBorder="1"/>
    <xf numFmtId="41" fontId="27" fillId="0" borderId="15" xfId="46" applyNumberFormat="1" applyFont="1" applyBorder="1"/>
    <xf numFmtId="0" fontId="27" fillId="0" borderId="15" xfId="46" applyFont="1" applyBorder="1"/>
    <xf numFmtId="0" fontId="23" fillId="0" borderId="15" xfId="46" applyFont="1" applyBorder="1"/>
    <xf numFmtId="0" fontId="23" fillId="0" borderId="14" xfId="46" applyFont="1" applyBorder="1"/>
    <xf numFmtId="3" fontId="23" fillId="0" borderId="17" xfId="46" applyNumberFormat="1" applyFont="1" applyBorder="1"/>
    <xf numFmtId="3" fontId="23" fillId="0" borderId="0" xfId="46" applyNumberFormat="1" applyFont="1" applyBorder="1"/>
    <xf numFmtId="0" fontId="23" fillId="0" borderId="0" xfId="46" applyFont="1" applyBorder="1"/>
    <xf numFmtId="0" fontId="23" fillId="0" borderId="13" xfId="46" applyFont="1" applyBorder="1"/>
    <xf numFmtId="41" fontId="31" fillId="0" borderId="18" xfId="46" applyNumberFormat="1" applyFont="1" applyBorder="1"/>
    <xf numFmtId="41" fontId="31" fillId="0" borderId="19" xfId="46" applyNumberFormat="1" applyFont="1" applyBorder="1"/>
    <xf numFmtId="0" fontId="31" fillId="0" borderId="19" xfId="46" applyFont="1" applyBorder="1"/>
    <xf numFmtId="0" fontId="22" fillId="0" borderId="17" xfId="46" applyFont="1" applyBorder="1"/>
    <xf numFmtId="41" fontId="23" fillId="0" borderId="17" xfId="46" applyNumberFormat="1" applyFont="1" applyBorder="1" applyAlignment="1">
      <alignment horizontal="right"/>
    </xf>
    <xf numFmtId="41" fontId="23" fillId="0" borderId="0" xfId="46" applyNumberFormat="1" applyFont="1" applyBorder="1" applyAlignment="1">
      <alignment horizontal="right"/>
    </xf>
    <xf numFmtId="0" fontId="23" fillId="0" borderId="0" xfId="46" applyFont="1" applyBorder="1" applyAlignment="1">
      <alignment horizontal="left"/>
    </xf>
    <xf numFmtId="0" fontId="23" fillId="0" borderId="0" xfId="46" applyNumberFormat="1" applyFont="1" applyBorder="1" applyAlignment="1">
      <alignment horizontal="left"/>
    </xf>
    <xf numFmtId="14" fontId="23" fillId="0" borderId="0" xfId="46" applyNumberFormat="1" applyFont="1" applyBorder="1" applyAlignment="1">
      <alignment horizontal="left"/>
    </xf>
    <xf numFmtId="41" fontId="31" fillId="37" borderId="17" xfId="46" applyNumberFormat="1" applyFont="1" applyFill="1" applyBorder="1"/>
    <xf numFmtId="41" fontId="31" fillId="37" borderId="0" xfId="46" applyNumberFormat="1" applyFont="1" applyFill="1" applyBorder="1"/>
    <xf numFmtId="0" fontId="30" fillId="37" borderId="0" xfId="46" applyFont="1" applyFill="1" applyBorder="1"/>
    <xf numFmtId="0" fontId="30" fillId="37" borderId="0" xfId="46" applyFont="1" applyFill="1" applyBorder="1" applyAlignment="1">
      <alignment horizontal="left"/>
    </xf>
    <xf numFmtId="0" fontId="30" fillId="37" borderId="13" xfId="46" applyFont="1" applyFill="1" applyBorder="1"/>
    <xf numFmtId="0" fontId="23" fillId="37" borderId="13" xfId="46" applyFont="1" applyFill="1" applyBorder="1"/>
    <xf numFmtId="0" fontId="23" fillId="0" borderId="17" xfId="46" applyFont="1" applyBorder="1"/>
    <xf numFmtId="0" fontId="39" fillId="36" borderId="20" xfId="46" applyFont="1" applyFill="1" applyBorder="1" applyAlignment="1">
      <alignment horizontal="right" wrapText="1"/>
    </xf>
    <xf numFmtId="0" fontId="39" fillId="36" borderId="11" xfId="46" applyFont="1" applyFill="1" applyBorder="1" applyAlignment="1">
      <alignment horizontal="right"/>
    </xf>
    <xf numFmtId="0" fontId="39" fillId="36" borderId="11" xfId="46" applyFont="1" applyFill="1" applyBorder="1" applyAlignment="1">
      <alignment horizontal="left"/>
    </xf>
    <xf numFmtId="0" fontId="26" fillId="36" borderId="11" xfId="46" applyFont="1" applyFill="1" applyBorder="1"/>
    <xf numFmtId="0" fontId="26" fillId="36" borderId="10" xfId="46" applyFont="1" applyFill="1" applyBorder="1"/>
    <xf numFmtId="0" fontId="23" fillId="0" borderId="10" xfId="46" applyFont="1" applyBorder="1"/>
    <xf numFmtId="0" fontId="26" fillId="36" borderId="20" xfId="46" applyFont="1" applyFill="1" applyBorder="1" applyAlignment="1">
      <alignment horizontal="right" wrapText="1"/>
    </xf>
    <xf numFmtId="0" fontId="26" fillId="36" borderId="11" xfId="46" applyFont="1" applyFill="1" applyBorder="1" applyAlignment="1">
      <alignment horizontal="right"/>
    </xf>
    <xf numFmtId="0" fontId="26" fillId="36" borderId="11" xfId="46" applyFont="1" applyFill="1" applyBorder="1" applyAlignment="1">
      <alignment horizontal="center"/>
    </xf>
    <xf numFmtId="0" fontId="26" fillId="36" borderId="11" xfId="46" applyFont="1" applyFill="1" applyBorder="1" applyAlignment="1">
      <alignment horizontal="left"/>
    </xf>
    <xf numFmtId="0" fontId="24" fillId="0" borderId="0" xfId="46" applyFont="1"/>
    <xf numFmtId="0" fontId="32" fillId="0" borderId="0" xfId="46" applyFont="1" applyFill="1" applyBorder="1"/>
    <xf numFmtId="0" fontId="25" fillId="0" borderId="0" xfId="46" applyFont="1" applyAlignment="1">
      <alignment horizontal="left"/>
    </xf>
    <xf numFmtId="0" fontId="25" fillId="0" borderId="0" xfId="46" applyFont="1" applyAlignment="1">
      <alignment horizontal="right" indent="1"/>
    </xf>
    <xf numFmtId="164" fontId="28" fillId="0" borderId="0" xfId="46" applyNumberFormat="1" applyFont="1" applyAlignment="1">
      <alignment horizontal="left"/>
    </xf>
    <xf numFmtId="14" fontId="40" fillId="0" borderId="0" xfId="46" applyNumberFormat="1" applyFont="1" applyAlignment="1">
      <alignment horizontal="left"/>
    </xf>
    <xf numFmtId="0" fontId="40" fillId="0" borderId="0" xfId="46" applyFont="1" applyAlignment="1">
      <alignment horizontal="right" indent="1"/>
    </xf>
    <xf numFmtId="0" fontId="28" fillId="0" borderId="0" xfId="46" applyNumberFormat="1" applyFont="1" applyAlignment="1"/>
    <xf numFmtId="0" fontId="29" fillId="35" borderId="0" xfId="46" applyNumberFormat="1" applyFont="1" applyFill="1" applyAlignment="1"/>
    <xf numFmtId="0" fontId="33" fillId="35" borderId="0" xfId="0" applyNumberFormat="1" applyFont="1" applyFill="1" applyAlignment="1">
      <alignment horizontal="left"/>
    </xf>
    <xf numFmtId="0" fontId="33" fillId="35" borderId="0" xfId="46" applyNumberFormat="1" applyFont="1" applyFill="1" applyAlignment="1">
      <alignment horizontal="left"/>
    </xf>
    <xf numFmtId="0" fontId="43" fillId="0" borderId="0" xfId="48" applyFont="1"/>
    <xf numFmtId="0" fontId="43" fillId="0" borderId="0" xfId="48" applyFont="1" applyAlignment="1">
      <alignment vertical="top"/>
    </xf>
    <xf numFmtId="0" fontId="43" fillId="0" borderId="0" xfId="48" applyFont="1" applyAlignment="1">
      <alignment vertical="top" wrapText="1"/>
    </xf>
    <xf numFmtId="0" fontId="44" fillId="0" borderId="0" xfId="48" applyFont="1" applyAlignment="1">
      <alignment vertical="top"/>
    </xf>
    <xf numFmtId="0" fontId="45" fillId="0" borderId="0" xfId="48" applyFont="1" applyAlignment="1">
      <alignment vertical="top"/>
    </xf>
    <xf numFmtId="0" fontId="42" fillId="0" borderId="0" xfId="47" applyFont="1" applyAlignment="1" applyProtection="1">
      <alignment vertical="top"/>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3" xfId="47"/>
    <cellStyle name="Input" xfId="9" builtinId="20" customBuiltin="1"/>
    <cellStyle name="Linked Cell" xfId="12" builtinId="24" customBuiltin="1"/>
    <cellStyle name="Neutral" xfId="8" builtinId="28" customBuiltin="1"/>
    <cellStyle name="Normal" xfId="0" builtinId="0" customBuiltin="1"/>
    <cellStyle name="Normal 2" xfId="42"/>
    <cellStyle name="Normal 2 2" xfId="43"/>
    <cellStyle name="Normal 2 3" xfId="45"/>
    <cellStyle name="Normal 2 4" xfId="46"/>
    <cellStyle name="Normal 2 5" xfId="44"/>
    <cellStyle name="Normal 3" xfId="48"/>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go.jetreports.com/web"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4527550</xdr:colOff>
      <xdr:row>3</xdr:row>
      <xdr:rowOff>92075</xdr:rowOff>
    </xdr:from>
    <xdr:to>
      <xdr:col>7</xdr:col>
      <xdr:colOff>222250</xdr:colOff>
      <xdr:row>6</xdr:row>
      <xdr:rowOff>32361</xdr:rowOff>
    </xdr:to>
    <xdr:pic>
      <xdr:nvPicPr>
        <xdr:cNvPr id="2" name="Jet Logo">
          <a:hlinkClick xmlns:r="http://schemas.openxmlformats.org/officeDocument/2006/relationships" r:id="rId1"/>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6025" y="635000"/>
          <a:ext cx="2743200" cy="483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samplereports@jetglobal.com" TargetMode="External"/><Relationship Id="rId7" Type="http://schemas.openxmlformats.org/officeDocument/2006/relationships/printerSettings" Target="../printerSettings/printerSettings1.bin"/><Relationship Id="rId2" Type="http://schemas.openxmlformats.org/officeDocument/2006/relationships/hyperlink" Target="mailto:services@jetglobal.com" TargetMode="External"/><Relationship Id="rId1" Type="http://schemas.openxmlformats.org/officeDocument/2006/relationships/hyperlink" Target="https://go.jetreports.com/web" TargetMode="External"/><Relationship Id="rId6" Type="http://schemas.openxmlformats.org/officeDocument/2006/relationships/hyperlink" Target="https://go.jetreports.com/support" TargetMode="External"/><Relationship Id="rId5" Type="http://schemas.openxmlformats.org/officeDocument/2006/relationships/hyperlink" Target="mailto:sales.us@jetglobal.com" TargetMode="External"/><Relationship Id="rId4" Type="http://schemas.openxmlformats.org/officeDocument/2006/relationships/hyperlink" Target="https://go.jetreports.com/downloa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showGridLines="0" topLeftCell="B2" workbookViewId="0"/>
  </sheetViews>
  <sheetFormatPr defaultColWidth="9.140625" defaultRowHeight="14.25" x14ac:dyDescent="0.25"/>
  <cols>
    <col min="1" max="1" width="4.42578125" style="115" hidden="1" customWidth="1"/>
    <col min="2" max="2" width="9.140625" style="115"/>
    <col min="3" max="3" width="32" style="116" bestFit="1" customWidth="1"/>
    <col min="4" max="4" width="77.28515625" style="117" customWidth="1"/>
    <col min="5" max="5" width="10.140625" style="116" customWidth="1"/>
    <col min="6" max="16384" width="9.140625" style="115"/>
  </cols>
  <sheetData>
    <row r="1" spans="1:5" ht="14.25" hidden="1" customHeight="1" x14ac:dyDescent="0.25">
      <c r="A1" s="115" t="s">
        <v>13992</v>
      </c>
    </row>
    <row r="7" spans="1:5" ht="30.75" x14ac:dyDescent="0.25">
      <c r="C7" s="118" t="s">
        <v>33</v>
      </c>
    </row>
    <row r="9" spans="1:5" ht="57" x14ac:dyDescent="0.25">
      <c r="C9" s="119" t="s">
        <v>34</v>
      </c>
      <c r="D9" s="117" t="s">
        <v>14008</v>
      </c>
    </row>
    <row r="10" spans="1:5" x14ac:dyDescent="0.25">
      <c r="C10" s="119"/>
    </row>
    <row r="11" spans="1:5" x14ac:dyDescent="0.25">
      <c r="C11" s="119" t="s">
        <v>13993</v>
      </c>
      <c r="D11" s="117" t="s">
        <v>13994</v>
      </c>
    </row>
    <row r="12" spans="1:5" x14ac:dyDescent="0.25">
      <c r="C12" s="119"/>
    </row>
    <row r="13" spans="1:5" ht="42.75" x14ac:dyDescent="0.25">
      <c r="C13" s="119" t="s">
        <v>35</v>
      </c>
      <c r="D13" s="117" t="s">
        <v>13995</v>
      </c>
      <c r="E13" s="120" t="s">
        <v>10725</v>
      </c>
    </row>
    <row r="14" spans="1:5" ht="16.5" customHeight="1" x14ac:dyDescent="0.25">
      <c r="C14" s="119"/>
    </row>
    <row r="15" spans="1:5" ht="28.5" x14ac:dyDescent="0.25">
      <c r="C15" s="119" t="s">
        <v>10723</v>
      </c>
      <c r="D15" s="117" t="s">
        <v>13996</v>
      </c>
      <c r="E15" s="120" t="s">
        <v>10724</v>
      </c>
    </row>
    <row r="16" spans="1:5" x14ac:dyDescent="0.25">
      <c r="C16" s="119"/>
    </row>
    <row r="17" spans="3:5" ht="57" x14ac:dyDescent="0.25">
      <c r="C17" s="119" t="s">
        <v>13991</v>
      </c>
      <c r="D17" s="117" t="s">
        <v>13997</v>
      </c>
      <c r="E17" s="120" t="s">
        <v>13998</v>
      </c>
    </row>
    <row r="18" spans="3:5" x14ac:dyDescent="0.25">
      <c r="C18" s="119"/>
    </row>
    <row r="19" spans="3:5" ht="28.5" x14ac:dyDescent="0.25">
      <c r="C19" s="119" t="s">
        <v>36</v>
      </c>
      <c r="D19" s="117" t="s">
        <v>13999</v>
      </c>
      <c r="E19" s="120" t="s">
        <v>14000</v>
      </c>
    </row>
    <row r="20" spans="3:5" x14ac:dyDescent="0.25">
      <c r="C20" s="119"/>
    </row>
    <row r="21" spans="3:5" x14ac:dyDescent="0.25">
      <c r="C21" s="119" t="s">
        <v>37</v>
      </c>
      <c r="D21" s="117" t="s">
        <v>14001</v>
      </c>
      <c r="E21" s="120" t="s">
        <v>14002</v>
      </c>
    </row>
    <row r="22" spans="3:5" x14ac:dyDescent="0.25">
      <c r="C22" s="119"/>
    </row>
    <row r="23" spans="3:5" x14ac:dyDescent="0.25">
      <c r="C23" s="119" t="s">
        <v>38</v>
      </c>
      <c r="D23" s="117" t="s">
        <v>14003</v>
      </c>
      <c r="E23" s="120" t="s">
        <v>14004</v>
      </c>
    </row>
    <row r="24" spans="3:5" x14ac:dyDescent="0.25">
      <c r="C24" s="119"/>
    </row>
    <row r="25" spans="3:5" ht="71.25" x14ac:dyDescent="0.25">
      <c r="C25" s="119" t="s">
        <v>14005</v>
      </c>
      <c r="D25" s="117" t="s">
        <v>14006</v>
      </c>
    </row>
    <row r="26" spans="3:5" x14ac:dyDescent="0.25">
      <c r="C26" s="119"/>
    </row>
    <row r="27" spans="3:5" x14ac:dyDescent="0.25">
      <c r="C27" s="119" t="s">
        <v>39</v>
      </c>
      <c r="D27" s="117" t="s">
        <v>14007</v>
      </c>
    </row>
  </sheetData>
  <hyperlinks>
    <hyperlink ref="E21" r:id="rId1"/>
    <hyperlink ref="E19" r:id="rId2"/>
    <hyperlink ref="E15" r:id="rId3"/>
    <hyperlink ref="E13" r:id="rId4"/>
    <hyperlink ref="E23" r:id="rId5"/>
    <hyperlink ref="E17" r:id="rId6"/>
  </hyperlinks>
  <pageMargins left="0.25" right="0.25" top="0.75" bottom="0.75" header="0.3" footer="0.3"/>
  <pageSetup scale="63" orientation="portrait" r:id="rId7"/>
  <headerFooter alignWithMargins="0"/>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638"/>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19.5703125" style="65" bestFit="1" customWidth="1"/>
    <col min="6" max="6" width="48"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35.140625" style="65" bestFit="1" customWidth="1"/>
    <col min="13" max="13" width="13.85546875" style="65" bestFit="1" customWidth="1"/>
    <col min="14" max="14" width="26.7109375" style="65" customWidth="1"/>
    <col min="15" max="15" width="15" style="65" bestFit="1" customWidth="1"/>
    <col min="16" max="16" width="10.8554687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38344</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"NY-WHSE1"</f>
        <v>NY-WHSE1</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C100002</v>
      </c>
      <c r="E12" s="91" t="str">
        <f>"C100002"</f>
        <v>C100002</v>
      </c>
      <c r="F12" s="89" t="str">
        <f>"Border Style"</f>
        <v>Border Style</v>
      </c>
      <c r="G12" s="89"/>
      <c r="H12" s="90" t="str">
        <f>"EA"</f>
        <v>EA</v>
      </c>
      <c r="I12" s="89"/>
      <c r="J12" s="89"/>
      <c r="K12" s="89"/>
      <c r="L12" s="89"/>
      <c r="M12" s="89"/>
      <c r="N12" s="89"/>
      <c r="O12" s="88">
        <f>(SUBTOTAL(9,O13:O15))</f>
        <v>200</v>
      </c>
      <c r="P12" s="88">
        <f>(SUBTOTAL(9,P13:P15))</f>
        <v>-1</v>
      </c>
      <c r="Q12" s="88">
        <f>(SUBTOTAL(9,Q13:Q15))</f>
        <v>0</v>
      </c>
      <c r="R12" s="88">
        <f>(SUBTOTAL(9,R13:R15))</f>
        <v>0</v>
      </c>
      <c r="S12" s="88">
        <f>(SUBTOTAL(9,S13:S15))</f>
        <v>0</v>
      </c>
      <c r="T12" s="88">
        <f>(SUBTOTAL(9,T13:T15))</f>
        <v>0</v>
      </c>
      <c r="U12" s="87">
        <f>SUBTOTAL(9,O13:T15)</f>
        <v>199</v>
      </c>
    </row>
    <row r="13" spans="1:21" ht="17.25" customHeight="1" x14ac:dyDescent="0.3">
      <c r="A13" s="66"/>
      <c r="C13" s="67"/>
      <c r="D13" s="77" t="str">
        <f>D12</f>
        <v>C100002</v>
      </c>
      <c r="E13" s="77"/>
      <c r="F13" s="76"/>
      <c r="G13" s="76" t="str">
        <f>"""NAV Direct"",""CRONUS JetCorp USA"",""32"",""1"",""166419"""</f>
        <v>"NAV Direct","CRONUS JetCorp USA","32","1","166419"</v>
      </c>
      <c r="H13" s="86">
        <v>43466</v>
      </c>
      <c r="I13" s="85">
        <v>166419</v>
      </c>
      <c r="J13" s="84" t="str">
        <f>"Vendor"</f>
        <v>Vendor</v>
      </c>
      <c r="K13" s="84" t="str">
        <f>"V100003"</f>
        <v>V100003</v>
      </c>
      <c r="L13" s="84" t="str">
        <f>IF($J13="Customer",_xll.NL("first",$J13,"Name","No.","@@"&amp;$K13),"")</f>
        <v/>
      </c>
      <c r="M13" s="84" t="str">
        <f>"LogoMasters"</f>
        <v>LogoMasters</v>
      </c>
      <c r="N13" s="84" t="str">
        <f>IF($J13="Item",_xll.NL("first",$J13,"Description","No.","@@"&amp;$K13),"")</f>
        <v/>
      </c>
      <c r="O13" s="83">
        <v>200</v>
      </c>
      <c r="P13" s="83">
        <v>0</v>
      </c>
      <c r="Q13" s="83">
        <v>0</v>
      </c>
      <c r="R13" s="83">
        <v>0</v>
      </c>
      <c r="S13" s="83">
        <v>0</v>
      </c>
      <c r="T13" s="83">
        <v>0</v>
      </c>
      <c r="U13" s="82"/>
    </row>
    <row r="14" spans="1:21" ht="17.25" customHeight="1" x14ac:dyDescent="0.3">
      <c r="A14" s="66" t="s">
        <v>30</v>
      </c>
      <c r="C14" s="67"/>
      <c r="D14" s="77" t="str">
        <f>D13</f>
        <v>C100002</v>
      </c>
      <c r="E14" s="77"/>
      <c r="F14" s="76"/>
      <c r="G14" s="76" t="str">
        <f>"""NAV Direct"",""CRONUS JetCorp USA"",""32"",""1"",""7561"""</f>
        <v>"NAV Direct","CRONUS JetCorp USA","32","1","7561"</v>
      </c>
      <c r="H14" s="86">
        <v>43469</v>
      </c>
      <c r="I14" s="85">
        <v>7561</v>
      </c>
      <c r="J14" s="84" t="str">
        <f>"Customer"</f>
        <v>Customer</v>
      </c>
      <c r="K14" s="84" t="str">
        <f>"C100030"</f>
        <v>C100030</v>
      </c>
      <c r="L14" s="84" t="str">
        <f>IF($J14="Customer",_xll.NL("first",$J14,"Name","No.","@@"&amp;$K14),"")</f>
        <v>Stutringers</v>
      </c>
      <c r="M14" s="84" t="str">
        <f>""</f>
        <v/>
      </c>
      <c r="N14" s="84" t="str">
        <f>IF($J14="Item",_xll.NL("first",$J14,"Description","No.","@@"&amp;$K14),"")</f>
        <v/>
      </c>
      <c r="O14" s="83">
        <v>0</v>
      </c>
      <c r="P14" s="83">
        <v>-1</v>
      </c>
      <c r="Q14" s="83">
        <v>0</v>
      </c>
      <c r="R14" s="83">
        <v>0</v>
      </c>
      <c r="S14" s="83">
        <v>0</v>
      </c>
      <c r="T14" s="83">
        <v>0</v>
      </c>
      <c r="U14" s="82"/>
    </row>
    <row r="15" spans="1:21" ht="17.25" customHeight="1" x14ac:dyDescent="0.3">
      <c r="A15" s="66"/>
      <c r="C15" s="67"/>
      <c r="D15" s="77"/>
      <c r="E15" s="77"/>
      <c r="F15" s="76"/>
      <c r="G15" s="76"/>
      <c r="H15" s="76"/>
      <c r="I15" s="76"/>
      <c r="J15" s="76"/>
      <c r="K15" s="76"/>
      <c r="L15" s="76"/>
      <c r="M15" s="76"/>
      <c r="N15" s="76"/>
      <c r="O15" s="75"/>
      <c r="P15" s="75"/>
      <c r="Q15" s="75"/>
      <c r="R15" s="75"/>
      <c r="S15" s="75"/>
      <c r="T15" s="75"/>
      <c r="U15" s="74"/>
    </row>
    <row r="16" spans="1:21" ht="17.25" customHeight="1" x14ac:dyDescent="0.3">
      <c r="A16" s="66"/>
      <c r="C16" s="67"/>
      <c r="D16" s="77"/>
      <c r="E16" s="77" t="s">
        <v>31</v>
      </c>
      <c r="F16" s="76" t="s">
        <v>31</v>
      </c>
      <c r="G16" s="76" t="s">
        <v>31</v>
      </c>
      <c r="H16" s="76"/>
      <c r="I16" s="76"/>
      <c r="J16" s="76" t="s">
        <v>31</v>
      </c>
      <c r="K16" s="76" t="s">
        <v>31</v>
      </c>
      <c r="L16" s="76" t="s">
        <v>31</v>
      </c>
      <c r="M16" s="76" t="s">
        <v>31</v>
      </c>
      <c r="N16" s="76"/>
      <c r="U16" s="81"/>
    </row>
    <row r="17" spans="1:21" ht="20.25" customHeight="1" x14ac:dyDescent="0.35">
      <c r="A17" s="66" t="s">
        <v>30</v>
      </c>
      <c r="C17" s="67"/>
      <c r="D17" s="92" t="str">
        <f t="shared" ref="D17" si="0">E17</f>
        <v>C100003</v>
      </c>
      <c r="E17" s="91" t="str">
        <f>"C100003"</f>
        <v>C100003</v>
      </c>
      <c r="F17" s="89" t="str">
        <f>"Cherry Finish Frame"</f>
        <v>Cherry Finish Frame</v>
      </c>
      <c r="G17" s="89"/>
      <c r="H17" s="90" t="str">
        <f>"EA"</f>
        <v>EA</v>
      </c>
      <c r="I17" s="89"/>
      <c r="J17" s="89"/>
      <c r="K17" s="89"/>
      <c r="L17" s="89"/>
      <c r="M17" s="89"/>
      <c r="N17" s="89"/>
      <c r="O17" s="88">
        <f>(SUBTOTAL(9,O18:O19))</f>
        <v>600</v>
      </c>
      <c r="P17" s="88">
        <f>(SUBTOTAL(9,P18:P19))</f>
        <v>0</v>
      </c>
      <c r="Q17" s="88">
        <f>(SUBTOTAL(9,Q18:Q19))</f>
        <v>0</v>
      </c>
      <c r="R17" s="88">
        <f>(SUBTOTAL(9,R18:R19))</f>
        <v>0</v>
      </c>
      <c r="S17" s="88">
        <f>(SUBTOTAL(9,S18:S19))</f>
        <v>0</v>
      </c>
      <c r="T17" s="88">
        <f>(SUBTOTAL(9,T18:T19))</f>
        <v>0</v>
      </c>
      <c r="U17" s="87">
        <f t="shared" ref="U17" si="1">SUBTOTAL(9,O18:T19)</f>
        <v>600</v>
      </c>
    </row>
    <row r="18" spans="1:21" ht="17.25" customHeight="1" x14ac:dyDescent="0.3">
      <c r="A18" s="66" t="s">
        <v>30</v>
      </c>
      <c r="C18" s="67"/>
      <c r="D18" s="77" t="str">
        <f t="shared" ref="D18" si="2">D17</f>
        <v>C100003</v>
      </c>
      <c r="E18" s="77"/>
      <c r="F18" s="76"/>
      <c r="G18" s="76" t="str">
        <f>"""NAV Direct"",""CRONUS JetCorp USA"",""32"",""1"",""166418"""</f>
        <v>"NAV Direct","CRONUS JetCorp USA","32","1","166418"</v>
      </c>
      <c r="H18" s="86">
        <v>43466</v>
      </c>
      <c r="I18" s="85">
        <v>166418</v>
      </c>
      <c r="J18" s="84" t="str">
        <f>"Vendor"</f>
        <v>Vendor</v>
      </c>
      <c r="K18" s="84" t="str">
        <f>"V100003"</f>
        <v>V100003</v>
      </c>
      <c r="L18" s="84" t="str">
        <f>IF($J18="Customer",_xll.NL("first",$J18,"Name","No.","@@"&amp;$K18),"")</f>
        <v/>
      </c>
      <c r="M18" s="84" t="str">
        <f>"LogoMasters"</f>
        <v>LogoMasters</v>
      </c>
      <c r="N18" s="84" t="str">
        <f>IF($J18="Item",_xll.NL("first",$J18,"Description","No.","@@"&amp;$K18),"")</f>
        <v/>
      </c>
      <c r="O18" s="83">
        <v>600</v>
      </c>
      <c r="P18" s="83">
        <v>0</v>
      </c>
      <c r="Q18" s="83">
        <v>0</v>
      </c>
      <c r="R18" s="83">
        <v>0</v>
      </c>
      <c r="S18" s="83">
        <v>0</v>
      </c>
      <c r="T18" s="83">
        <v>0</v>
      </c>
      <c r="U18" s="82"/>
    </row>
    <row r="19" spans="1:21" ht="17.25" customHeight="1" x14ac:dyDescent="0.3">
      <c r="A19" s="66" t="s">
        <v>30</v>
      </c>
      <c r="C19" s="67"/>
      <c r="D19" s="77"/>
      <c r="E19" s="77"/>
      <c r="F19" s="76"/>
      <c r="G19" s="76"/>
      <c r="H19" s="76"/>
      <c r="I19" s="76"/>
      <c r="J19" s="76"/>
      <c r="K19" s="76"/>
      <c r="L19" s="76"/>
      <c r="M19" s="76"/>
      <c r="N19" s="76"/>
      <c r="O19" s="75"/>
      <c r="P19" s="75"/>
      <c r="Q19" s="75"/>
      <c r="R19" s="75"/>
      <c r="S19" s="75"/>
      <c r="T19" s="75"/>
      <c r="U19" s="74"/>
    </row>
    <row r="20" spans="1:21" ht="17.25" customHeight="1" x14ac:dyDescent="0.3">
      <c r="A20" s="66" t="s">
        <v>30</v>
      </c>
      <c r="C20" s="67"/>
      <c r="D20" s="77"/>
      <c r="E20" s="77" t="s">
        <v>31</v>
      </c>
      <c r="F20" s="76" t="s">
        <v>31</v>
      </c>
      <c r="G20" s="76" t="s">
        <v>31</v>
      </c>
      <c r="H20" s="76"/>
      <c r="I20" s="76"/>
      <c r="J20" s="76" t="s">
        <v>31</v>
      </c>
      <c r="K20" s="76" t="s">
        <v>31</v>
      </c>
      <c r="L20" s="76" t="s">
        <v>31</v>
      </c>
      <c r="M20" s="76" t="s">
        <v>31</v>
      </c>
      <c r="N20" s="76"/>
      <c r="U20" s="81"/>
    </row>
    <row r="21" spans="1:21" ht="20.25" customHeight="1" x14ac:dyDescent="0.35">
      <c r="A21" s="66" t="s">
        <v>30</v>
      </c>
      <c r="C21" s="67"/>
      <c r="D21" s="92" t="str">
        <f t="shared" ref="D21" si="3">E21</f>
        <v>C100004</v>
      </c>
      <c r="E21" s="91" t="str">
        <f>"C100004"</f>
        <v>C100004</v>
      </c>
      <c r="F21" s="89" t="str">
        <f>"Walnut Medallian Plate"</f>
        <v>Walnut Medallian Plate</v>
      </c>
      <c r="G21" s="89"/>
      <c r="H21" s="90" t="str">
        <f>"EA"</f>
        <v>EA</v>
      </c>
      <c r="I21" s="89"/>
      <c r="J21" s="89"/>
      <c r="K21" s="89"/>
      <c r="L21" s="89"/>
      <c r="M21" s="89"/>
      <c r="N21" s="89"/>
      <c r="O21" s="88">
        <f>(SUBTOTAL(9,O22:O24))</f>
        <v>400</v>
      </c>
      <c r="P21" s="88">
        <f>(SUBTOTAL(9,P22:P24))</f>
        <v>-1</v>
      </c>
      <c r="Q21" s="88">
        <f>(SUBTOTAL(9,Q22:Q24))</f>
        <v>0</v>
      </c>
      <c r="R21" s="88">
        <f>(SUBTOTAL(9,R22:R24))</f>
        <v>0</v>
      </c>
      <c r="S21" s="88">
        <f>(SUBTOTAL(9,S22:S24))</f>
        <v>0</v>
      </c>
      <c r="T21" s="88">
        <f>(SUBTOTAL(9,T22:T24))</f>
        <v>0</v>
      </c>
      <c r="U21" s="87">
        <f t="shared" ref="U21" si="4">SUBTOTAL(9,O22:T24)</f>
        <v>399</v>
      </c>
    </row>
    <row r="22" spans="1:21" ht="17.25" customHeight="1" x14ac:dyDescent="0.3">
      <c r="A22" s="66" t="s">
        <v>30</v>
      </c>
      <c r="C22" s="67"/>
      <c r="D22" s="77" t="str">
        <f t="shared" ref="D22" si="5">D21</f>
        <v>C100004</v>
      </c>
      <c r="E22" s="77"/>
      <c r="F22" s="76"/>
      <c r="G22" s="76" t="str">
        <f>"""NAV Direct"",""CRONUS JetCorp USA"",""32"",""1"",""166417"""</f>
        <v>"NAV Direct","CRONUS JetCorp USA","32","1","166417"</v>
      </c>
      <c r="H22" s="86">
        <v>43466</v>
      </c>
      <c r="I22" s="85">
        <v>166417</v>
      </c>
      <c r="J22" s="84" t="str">
        <f>"Vendor"</f>
        <v>Vendor</v>
      </c>
      <c r="K22" s="84" t="str">
        <f>"V100003"</f>
        <v>V100003</v>
      </c>
      <c r="L22" s="84" t="str">
        <f>IF($J22="Customer",_xll.NL("first",$J22,"Name","No.","@@"&amp;$K22),"")</f>
        <v/>
      </c>
      <c r="M22" s="84" t="str">
        <f>"LogoMasters"</f>
        <v>LogoMasters</v>
      </c>
      <c r="N22" s="84" t="str">
        <f>IF($J22="Item",_xll.NL("first",$J22,"Description","No.","@@"&amp;$K22),"")</f>
        <v/>
      </c>
      <c r="O22" s="83">
        <v>400</v>
      </c>
      <c r="P22" s="83">
        <v>0</v>
      </c>
      <c r="Q22" s="83">
        <v>0</v>
      </c>
      <c r="R22" s="83">
        <v>0</v>
      </c>
      <c r="S22" s="83">
        <v>0</v>
      </c>
      <c r="T22" s="83">
        <v>0</v>
      </c>
      <c r="U22" s="82"/>
    </row>
    <row r="23" spans="1:21" ht="17.25" customHeight="1" x14ac:dyDescent="0.3">
      <c r="A23" s="66" t="s">
        <v>30</v>
      </c>
      <c r="C23" s="67"/>
      <c r="D23" s="77" t="str">
        <f t="shared" ref="D23" si="6">D22</f>
        <v>C100004</v>
      </c>
      <c r="E23" s="77"/>
      <c r="F23" s="76"/>
      <c r="G23" s="76" t="str">
        <f>"""NAV Direct"",""CRONUS JetCorp USA"",""32"",""1"",""114271"""</f>
        <v>"NAV Direct","CRONUS JetCorp USA","32","1","114271"</v>
      </c>
      <c r="H23" s="86">
        <v>43470</v>
      </c>
      <c r="I23" s="85">
        <v>114271</v>
      </c>
      <c r="J23" s="84" t="str">
        <f>"Customer"</f>
        <v>Customer</v>
      </c>
      <c r="K23" s="84" t="str">
        <f>"C100076"</f>
        <v>C100076</v>
      </c>
      <c r="L23" s="84" t="str">
        <f>IF($J23="Customer",_xll.NL("first",$J23,"Name","No.","@@"&amp;$K23),"")</f>
        <v>Showmasters</v>
      </c>
      <c r="M23" s="84" t="str">
        <f>""</f>
        <v/>
      </c>
      <c r="N23" s="84" t="str">
        <f>IF($J23="Item",_xll.NL("first",$J23,"Description","No.","@@"&amp;$K23),"")</f>
        <v/>
      </c>
      <c r="O23" s="83">
        <v>0</v>
      </c>
      <c r="P23" s="83">
        <v>-1</v>
      </c>
      <c r="Q23" s="83">
        <v>0</v>
      </c>
      <c r="R23" s="83">
        <v>0</v>
      </c>
      <c r="S23" s="83">
        <v>0</v>
      </c>
      <c r="T23" s="83">
        <v>0</v>
      </c>
      <c r="U23" s="82"/>
    </row>
    <row r="24" spans="1:21" ht="17.25" customHeight="1" x14ac:dyDescent="0.3">
      <c r="A24" s="66" t="s">
        <v>30</v>
      </c>
      <c r="C24" s="67"/>
      <c r="D24" s="77"/>
      <c r="E24" s="77"/>
      <c r="F24" s="76"/>
      <c r="G24" s="76"/>
      <c r="H24" s="76"/>
      <c r="I24" s="76"/>
      <c r="J24" s="76"/>
      <c r="K24" s="76"/>
      <c r="L24" s="76"/>
      <c r="M24" s="76"/>
      <c r="N24" s="76"/>
      <c r="O24" s="75"/>
      <c r="P24" s="75"/>
      <c r="Q24" s="75"/>
      <c r="R24" s="75"/>
      <c r="S24" s="75"/>
      <c r="T24" s="75"/>
      <c r="U24" s="74"/>
    </row>
    <row r="25" spans="1:21" ht="17.25" customHeight="1" x14ac:dyDescent="0.3">
      <c r="A25" s="66" t="s">
        <v>30</v>
      </c>
      <c r="C25" s="67"/>
      <c r="D25" s="77"/>
      <c r="E25" s="77" t="s">
        <v>31</v>
      </c>
      <c r="F25" s="76" t="s">
        <v>31</v>
      </c>
      <c r="G25" s="76" t="s">
        <v>31</v>
      </c>
      <c r="H25" s="76"/>
      <c r="I25" s="76"/>
      <c r="J25" s="76" t="s">
        <v>31</v>
      </c>
      <c r="K25" s="76" t="s">
        <v>31</v>
      </c>
      <c r="L25" s="76" t="s">
        <v>31</v>
      </c>
      <c r="M25" s="76" t="s">
        <v>31</v>
      </c>
      <c r="N25" s="76"/>
      <c r="U25" s="81"/>
    </row>
    <row r="26" spans="1:21" ht="20.25" customHeight="1" x14ac:dyDescent="0.35">
      <c r="A26" s="66" t="s">
        <v>30</v>
      </c>
      <c r="C26" s="67"/>
      <c r="D26" s="92" t="str">
        <f t="shared" ref="D26" si="7">E26</f>
        <v>C100005</v>
      </c>
      <c r="E26" s="91" t="str">
        <f>"C100005"</f>
        <v>C100005</v>
      </c>
      <c r="F26" s="89" t="str">
        <f>"Cherry Finished Crystal Award"</f>
        <v>Cherry Finished Crystal Award</v>
      </c>
      <c r="G26" s="89"/>
      <c r="H26" s="90" t="str">
        <f>"EA"</f>
        <v>EA</v>
      </c>
      <c r="I26" s="89"/>
      <c r="J26" s="89"/>
      <c r="K26" s="89"/>
      <c r="L26" s="89"/>
      <c r="M26" s="89"/>
      <c r="N26" s="89"/>
      <c r="O26" s="88">
        <f>(SUBTOTAL(9,O27:O30))</f>
        <v>100</v>
      </c>
      <c r="P26" s="88">
        <f>(SUBTOTAL(9,P27:P30))</f>
        <v>-96</v>
      </c>
      <c r="Q26" s="88">
        <f>(SUBTOTAL(9,Q27:Q30))</f>
        <v>0</v>
      </c>
      <c r="R26" s="88">
        <f>(SUBTOTAL(9,R27:R30))</f>
        <v>0</v>
      </c>
      <c r="S26" s="88">
        <f>(SUBTOTAL(9,S27:S30))</f>
        <v>0</v>
      </c>
      <c r="T26" s="88">
        <f>(SUBTOTAL(9,T27:T30))</f>
        <v>0</v>
      </c>
      <c r="U26" s="87">
        <f t="shared" ref="U26" si="8">SUBTOTAL(9,O27:T30)</f>
        <v>4</v>
      </c>
    </row>
    <row r="27" spans="1:21" ht="17.25" customHeight="1" x14ac:dyDescent="0.3">
      <c r="A27" s="66" t="s">
        <v>30</v>
      </c>
      <c r="C27" s="67"/>
      <c r="D27" s="77" t="str">
        <f t="shared" ref="D27" si="9">D26</f>
        <v>C100005</v>
      </c>
      <c r="E27" s="77"/>
      <c r="F27" s="76"/>
      <c r="G27" s="76" t="str">
        <f>"""NAV Direct"",""CRONUS JetCorp USA"",""32"",""1"",""166416"""</f>
        <v>"NAV Direct","CRONUS JetCorp USA","32","1","166416"</v>
      </c>
      <c r="H27" s="86">
        <v>43466</v>
      </c>
      <c r="I27" s="85">
        <v>166416</v>
      </c>
      <c r="J27" s="84" t="str">
        <f>"Vendor"</f>
        <v>Vendor</v>
      </c>
      <c r="K27" s="84" t="str">
        <f>"V100003"</f>
        <v>V100003</v>
      </c>
      <c r="L27" s="84" t="str">
        <f>IF($J27="Customer",_xll.NL("first",$J27,"Name","No.","@@"&amp;$K27),"")</f>
        <v/>
      </c>
      <c r="M27" s="84" t="str">
        <f>"LogoMasters"</f>
        <v>LogoMasters</v>
      </c>
      <c r="N27" s="84" t="str">
        <f>IF($J27="Item",_xll.NL("first",$J27,"Description","No.","@@"&amp;$K27),"")</f>
        <v/>
      </c>
      <c r="O27" s="83">
        <v>100</v>
      </c>
      <c r="P27" s="83">
        <v>0</v>
      </c>
      <c r="Q27" s="83">
        <v>0</v>
      </c>
      <c r="R27" s="83">
        <v>0</v>
      </c>
      <c r="S27" s="83">
        <v>0</v>
      </c>
      <c r="T27" s="83">
        <v>0</v>
      </c>
      <c r="U27" s="82"/>
    </row>
    <row r="28" spans="1:21" ht="17.25" customHeight="1" x14ac:dyDescent="0.3">
      <c r="A28" s="66" t="s">
        <v>30</v>
      </c>
      <c r="C28" s="67"/>
      <c r="D28" s="77" t="str">
        <f t="shared" ref="D28:D29" si="10">D27</f>
        <v>C100005</v>
      </c>
      <c r="E28" s="77"/>
      <c r="F28" s="76"/>
      <c r="G28" s="76" t="str">
        <f>"""NAV Direct"",""CRONUS JetCorp USA"",""32"",""1"",""7583"""</f>
        <v>"NAV Direct","CRONUS JetCorp USA","32","1","7583"</v>
      </c>
      <c r="H28" s="86">
        <v>43476</v>
      </c>
      <c r="I28" s="85">
        <v>7583</v>
      </c>
      <c r="J28" s="84" t="str">
        <f>"Customer"</f>
        <v>Customer</v>
      </c>
      <c r="K28" s="84" t="str">
        <f>"C100030"</f>
        <v>C100030</v>
      </c>
      <c r="L28" s="84" t="str">
        <f>IF($J28="Customer",_xll.NL("first",$J28,"Name","No.","@@"&amp;$K28),"")</f>
        <v>Stutringers</v>
      </c>
      <c r="M28" s="84" t="str">
        <f>""</f>
        <v/>
      </c>
      <c r="N28" s="84" t="str">
        <f>IF($J28="Item",_xll.NL("first",$J28,"Description","No.","@@"&amp;$K28),"")</f>
        <v/>
      </c>
      <c r="O28" s="83">
        <v>0</v>
      </c>
      <c r="P28" s="83">
        <v>-48</v>
      </c>
      <c r="Q28" s="83">
        <v>0</v>
      </c>
      <c r="R28" s="83">
        <v>0</v>
      </c>
      <c r="S28" s="83">
        <v>0</v>
      </c>
      <c r="T28" s="83">
        <v>0</v>
      </c>
      <c r="U28" s="82"/>
    </row>
    <row r="29" spans="1:21" ht="17.25" customHeight="1" x14ac:dyDescent="0.3">
      <c r="A29" s="66" t="s">
        <v>30</v>
      </c>
      <c r="C29" s="67"/>
      <c r="D29" s="77" t="str">
        <f t="shared" si="10"/>
        <v>C100005</v>
      </c>
      <c r="E29" s="77"/>
      <c r="F29" s="76"/>
      <c r="G29" s="76" t="str">
        <f>"""NAV Direct"",""CRONUS JetCorp USA"",""32"",""1"",""7564"""</f>
        <v>"NAV Direct","CRONUS JetCorp USA","32","1","7564"</v>
      </c>
      <c r="H29" s="86">
        <v>43477</v>
      </c>
      <c r="I29" s="85">
        <v>7564</v>
      </c>
      <c r="J29" s="84" t="str">
        <f>"Customer"</f>
        <v>Customer</v>
      </c>
      <c r="K29" s="84" t="str">
        <f>"C100076"</f>
        <v>C100076</v>
      </c>
      <c r="L29" s="84" t="str">
        <f>IF($J29="Customer",_xll.NL("first",$J29,"Name","No.","@@"&amp;$K29),"")</f>
        <v>Showmasters</v>
      </c>
      <c r="M29" s="84" t="str">
        <f>""</f>
        <v/>
      </c>
      <c r="N29" s="84" t="str">
        <f>IF($J29="Item",_xll.NL("first",$J29,"Description","No.","@@"&amp;$K29),"")</f>
        <v/>
      </c>
      <c r="O29" s="83">
        <v>0</v>
      </c>
      <c r="P29" s="83">
        <v>-48</v>
      </c>
      <c r="Q29" s="83">
        <v>0</v>
      </c>
      <c r="R29" s="83">
        <v>0</v>
      </c>
      <c r="S29" s="83">
        <v>0</v>
      </c>
      <c r="T29" s="83">
        <v>0</v>
      </c>
      <c r="U29" s="82"/>
    </row>
    <row r="30" spans="1:21" ht="17.25" customHeight="1" x14ac:dyDescent="0.3">
      <c r="A30" s="66" t="s">
        <v>30</v>
      </c>
      <c r="C30" s="67"/>
      <c r="D30" s="77"/>
      <c r="E30" s="77"/>
      <c r="F30" s="76"/>
      <c r="G30" s="76"/>
      <c r="H30" s="76"/>
      <c r="I30" s="76"/>
      <c r="J30" s="76"/>
      <c r="K30" s="76"/>
      <c r="L30" s="76"/>
      <c r="M30" s="76"/>
      <c r="N30" s="76"/>
      <c r="O30" s="75"/>
      <c r="P30" s="75"/>
      <c r="Q30" s="75"/>
      <c r="R30" s="75"/>
      <c r="S30" s="75"/>
      <c r="T30" s="75"/>
      <c r="U30" s="74"/>
    </row>
    <row r="31" spans="1:21" ht="17.25" customHeight="1" x14ac:dyDescent="0.3">
      <c r="A31" s="66" t="s">
        <v>30</v>
      </c>
      <c r="C31" s="67"/>
      <c r="D31" s="77"/>
      <c r="E31" s="77" t="s">
        <v>31</v>
      </c>
      <c r="F31" s="76" t="s">
        <v>31</v>
      </c>
      <c r="G31" s="76" t="s">
        <v>31</v>
      </c>
      <c r="H31" s="76"/>
      <c r="I31" s="76"/>
      <c r="J31" s="76" t="s">
        <v>31</v>
      </c>
      <c r="K31" s="76" t="s">
        <v>31</v>
      </c>
      <c r="L31" s="76" t="s">
        <v>31</v>
      </c>
      <c r="M31" s="76" t="s">
        <v>31</v>
      </c>
      <c r="N31" s="76"/>
      <c r="U31" s="81"/>
    </row>
    <row r="32" spans="1:21" ht="20.25" customHeight="1" x14ac:dyDescent="0.35">
      <c r="A32" s="66" t="s">
        <v>30</v>
      </c>
      <c r="C32" s="67"/>
      <c r="D32" s="92" t="str">
        <f t="shared" ref="D32" si="11">E32</f>
        <v>C100006</v>
      </c>
      <c r="E32" s="91" t="str">
        <f>"C100006"</f>
        <v>C100006</v>
      </c>
      <c r="F32" s="89" t="str">
        <f>"Cherry Finished Crystal Award- Large"</f>
        <v>Cherry Finished Crystal Award- Large</v>
      </c>
      <c r="G32" s="89"/>
      <c r="H32" s="90" t="str">
        <f>"EA"</f>
        <v>EA</v>
      </c>
      <c r="I32" s="89"/>
      <c r="J32" s="89"/>
      <c r="K32" s="89"/>
      <c r="L32" s="89"/>
      <c r="M32" s="89"/>
      <c r="N32" s="89"/>
      <c r="O32" s="88">
        <f>(SUBTOTAL(9,O33:O37))</f>
        <v>200</v>
      </c>
      <c r="P32" s="88">
        <f>(SUBTOTAL(9,P33:P37))</f>
        <v>-49</v>
      </c>
      <c r="Q32" s="88">
        <f>(SUBTOTAL(9,Q33:Q37))</f>
        <v>0</v>
      </c>
      <c r="R32" s="88">
        <f>(SUBTOTAL(9,R33:R37))</f>
        <v>0</v>
      </c>
      <c r="S32" s="88">
        <f>(SUBTOTAL(9,S33:S37))</f>
        <v>0</v>
      </c>
      <c r="T32" s="88">
        <f>(SUBTOTAL(9,T33:T37))</f>
        <v>0</v>
      </c>
      <c r="U32" s="87">
        <f t="shared" ref="U32" si="12">SUBTOTAL(9,O33:T37)</f>
        <v>151</v>
      </c>
    </row>
    <row r="33" spans="1:21" ht="17.25" customHeight="1" x14ac:dyDescent="0.3">
      <c r="A33" s="66" t="s">
        <v>30</v>
      </c>
      <c r="C33" s="67"/>
      <c r="D33" s="77" t="str">
        <f t="shared" ref="D33" si="13">D32</f>
        <v>C100006</v>
      </c>
      <c r="E33" s="77"/>
      <c r="F33" s="76"/>
      <c r="G33" s="76" t="str">
        <f>"""NAV Direct"",""CRONUS JetCorp USA"",""32"",""1"",""166415"""</f>
        <v>"NAV Direct","CRONUS JetCorp USA","32","1","166415"</v>
      </c>
      <c r="H33" s="86">
        <v>43466</v>
      </c>
      <c r="I33" s="85">
        <v>166415</v>
      </c>
      <c r="J33" s="84" t="str">
        <f>"Vendor"</f>
        <v>Vendor</v>
      </c>
      <c r="K33" s="84" t="str">
        <f>"V100003"</f>
        <v>V100003</v>
      </c>
      <c r="L33" s="84" t="str">
        <f>IF($J33="Customer",_xll.NL("first",$J33,"Name","No.","@@"&amp;$K33),"")</f>
        <v/>
      </c>
      <c r="M33" s="84" t="str">
        <f>"LogoMasters"</f>
        <v>LogoMasters</v>
      </c>
      <c r="N33" s="84" t="str">
        <f>IF($J33="Item",_xll.NL("first",$J33,"Description","No.","@@"&amp;$K33),"")</f>
        <v/>
      </c>
      <c r="O33" s="83">
        <v>200</v>
      </c>
      <c r="P33" s="83">
        <v>0</v>
      </c>
      <c r="Q33" s="83">
        <v>0</v>
      </c>
      <c r="R33" s="83">
        <v>0</v>
      </c>
      <c r="S33" s="83">
        <v>0</v>
      </c>
      <c r="T33" s="83">
        <v>0</v>
      </c>
      <c r="U33" s="82"/>
    </row>
    <row r="34" spans="1:21" ht="17.25" customHeight="1" x14ac:dyDescent="0.3">
      <c r="A34" s="66" t="s">
        <v>30</v>
      </c>
      <c r="C34" s="67"/>
      <c r="D34" s="77" t="str">
        <f t="shared" ref="D34:D36" si="14">D33</f>
        <v>C100006</v>
      </c>
      <c r="E34" s="77"/>
      <c r="F34" s="76"/>
      <c r="G34" s="76" t="str">
        <f>"""NAV Direct"",""CRONUS JetCorp USA"",""32"",""1"",""114275"""</f>
        <v>"NAV Direct","CRONUS JetCorp USA","32","1","114275"</v>
      </c>
      <c r="H34" s="86">
        <v>43474</v>
      </c>
      <c r="I34" s="85">
        <v>114275</v>
      </c>
      <c r="J34" s="84" t="str">
        <f>"Customer"</f>
        <v>Customer</v>
      </c>
      <c r="K34" s="84" t="str">
        <f>"C100076"</f>
        <v>C100076</v>
      </c>
      <c r="L34" s="84" t="str">
        <f>IF($J34="Customer",_xll.NL("first",$J34,"Name","No.","@@"&amp;$K34),"")</f>
        <v>Showmasters</v>
      </c>
      <c r="M34" s="84" t="str">
        <f>""</f>
        <v/>
      </c>
      <c r="N34" s="84" t="str">
        <f>IF($J34="Item",_xll.NL("first",$J34,"Description","No.","@@"&amp;$K34),"")</f>
        <v/>
      </c>
      <c r="O34" s="83">
        <v>0</v>
      </c>
      <c r="P34" s="83">
        <v>-24</v>
      </c>
      <c r="Q34" s="83">
        <v>0</v>
      </c>
      <c r="R34" s="83">
        <v>0</v>
      </c>
      <c r="S34" s="83">
        <v>0</v>
      </c>
      <c r="T34" s="83">
        <v>0</v>
      </c>
      <c r="U34" s="82"/>
    </row>
    <row r="35" spans="1:21" ht="17.25" customHeight="1" x14ac:dyDescent="0.3">
      <c r="A35" s="66" t="s">
        <v>30</v>
      </c>
      <c r="C35" s="67"/>
      <c r="D35" s="77" t="str">
        <f t="shared" si="14"/>
        <v>C100006</v>
      </c>
      <c r="E35" s="77"/>
      <c r="F35" s="76"/>
      <c r="G35" s="76" t="str">
        <f>"""NAV Direct"",""CRONUS JetCorp USA"",""32"",""1"",""7570"""</f>
        <v>"NAV Direct","CRONUS JetCorp USA","32","1","7570"</v>
      </c>
      <c r="H35" s="86">
        <v>43477</v>
      </c>
      <c r="I35" s="85">
        <v>7570</v>
      </c>
      <c r="J35" s="84" t="str">
        <f>"Customer"</f>
        <v>Customer</v>
      </c>
      <c r="K35" s="84" t="str">
        <f>"C100076"</f>
        <v>C100076</v>
      </c>
      <c r="L35" s="84" t="str">
        <f>IF($J35="Customer",_xll.NL("first",$J35,"Name","No.","@@"&amp;$K35),"")</f>
        <v>Showmasters</v>
      </c>
      <c r="M35" s="84" t="str">
        <f>""</f>
        <v/>
      </c>
      <c r="N35" s="84" t="str">
        <f>IF($J35="Item",_xll.NL("first",$J35,"Description","No.","@@"&amp;$K35),"")</f>
        <v/>
      </c>
      <c r="O35" s="83">
        <v>0</v>
      </c>
      <c r="P35" s="83">
        <v>-1</v>
      </c>
      <c r="Q35" s="83">
        <v>0</v>
      </c>
      <c r="R35" s="83">
        <v>0</v>
      </c>
      <c r="S35" s="83">
        <v>0</v>
      </c>
      <c r="T35" s="83">
        <v>0</v>
      </c>
      <c r="U35" s="82"/>
    </row>
    <row r="36" spans="1:21" ht="17.25" customHeight="1" x14ac:dyDescent="0.3">
      <c r="A36" s="66" t="s">
        <v>30</v>
      </c>
      <c r="C36" s="67"/>
      <c r="D36" s="77" t="str">
        <f t="shared" si="14"/>
        <v>C100006</v>
      </c>
      <c r="E36" s="77"/>
      <c r="F36" s="76"/>
      <c r="G36" s="76" t="str">
        <f>"""NAV Direct"",""CRONUS JetCorp USA"",""32"",""1"",""114289"""</f>
        <v>"NAV Direct","CRONUS JetCorp USA","32","1","114289"</v>
      </c>
      <c r="H36" s="86">
        <v>43477</v>
      </c>
      <c r="I36" s="85">
        <v>114289</v>
      </c>
      <c r="J36" s="84" t="str">
        <f>"Customer"</f>
        <v>Customer</v>
      </c>
      <c r="K36" s="84" t="str">
        <f>"C100030"</f>
        <v>C100030</v>
      </c>
      <c r="L36" s="84" t="str">
        <f>IF($J36="Customer",_xll.NL("first",$J36,"Name","No.","@@"&amp;$K36),"")</f>
        <v>Stutringers</v>
      </c>
      <c r="M36" s="84" t="str">
        <f>""</f>
        <v/>
      </c>
      <c r="N36" s="84" t="str">
        <f>IF($J36="Item",_xll.NL("first",$J36,"Description","No.","@@"&amp;$K36),"")</f>
        <v/>
      </c>
      <c r="O36" s="83">
        <v>0</v>
      </c>
      <c r="P36" s="83">
        <v>-24</v>
      </c>
      <c r="Q36" s="83">
        <v>0</v>
      </c>
      <c r="R36" s="83">
        <v>0</v>
      </c>
      <c r="S36" s="83">
        <v>0</v>
      </c>
      <c r="T36" s="83">
        <v>0</v>
      </c>
      <c r="U36" s="82"/>
    </row>
    <row r="37" spans="1:21" ht="17.25" customHeight="1" x14ac:dyDescent="0.3">
      <c r="A37" s="66" t="s">
        <v>30</v>
      </c>
      <c r="C37" s="67"/>
      <c r="D37" s="77"/>
      <c r="E37" s="77"/>
      <c r="F37" s="76"/>
      <c r="G37" s="76"/>
      <c r="H37" s="76"/>
      <c r="I37" s="76"/>
      <c r="J37" s="76"/>
      <c r="K37" s="76"/>
      <c r="L37" s="76"/>
      <c r="M37" s="76"/>
      <c r="N37" s="76"/>
      <c r="O37" s="75"/>
      <c r="P37" s="75"/>
      <c r="Q37" s="75"/>
      <c r="R37" s="75"/>
      <c r="S37" s="75"/>
      <c r="T37" s="75"/>
      <c r="U37" s="74"/>
    </row>
    <row r="38" spans="1:21" ht="17.25" customHeight="1" x14ac:dyDescent="0.3">
      <c r="A38" s="66" t="s">
        <v>30</v>
      </c>
      <c r="C38" s="67"/>
      <c r="D38" s="77"/>
      <c r="E38" s="77" t="s">
        <v>31</v>
      </c>
      <c r="F38" s="76" t="s">
        <v>31</v>
      </c>
      <c r="G38" s="76" t="s">
        <v>31</v>
      </c>
      <c r="H38" s="76"/>
      <c r="I38" s="76"/>
      <c r="J38" s="76" t="s">
        <v>31</v>
      </c>
      <c r="K38" s="76" t="s">
        <v>31</v>
      </c>
      <c r="L38" s="76" t="s">
        <v>31</v>
      </c>
      <c r="M38" s="76" t="s">
        <v>31</v>
      </c>
      <c r="N38" s="76"/>
      <c r="U38" s="81"/>
    </row>
    <row r="39" spans="1:21" ht="20.25" customHeight="1" x14ac:dyDescent="0.35">
      <c r="A39" s="66" t="s">
        <v>30</v>
      </c>
      <c r="C39" s="67"/>
      <c r="D39" s="92" t="str">
        <f t="shared" ref="D39" si="15">E39</f>
        <v>C100007</v>
      </c>
      <c r="E39" s="91" t="str">
        <f>"C100007"</f>
        <v>C100007</v>
      </c>
      <c r="F39" s="89" t="str">
        <f>"7.5'' Bud Vase"</f>
        <v>7.5'' Bud Vase</v>
      </c>
      <c r="G39" s="89"/>
      <c r="H39" s="90" t="str">
        <f>"EA"</f>
        <v>EA</v>
      </c>
      <c r="I39" s="89"/>
      <c r="J39" s="89"/>
      <c r="K39" s="89"/>
      <c r="L39" s="89"/>
      <c r="M39" s="89"/>
      <c r="N39" s="89"/>
      <c r="O39" s="88">
        <f>(SUBTOTAL(9,O40:O44))</f>
        <v>300</v>
      </c>
      <c r="P39" s="88">
        <f>(SUBTOTAL(9,P40:P44))</f>
        <v>-13</v>
      </c>
      <c r="Q39" s="88">
        <f>(SUBTOTAL(9,Q40:Q44))</f>
        <v>0</v>
      </c>
      <c r="R39" s="88">
        <f>(SUBTOTAL(9,R40:R44))</f>
        <v>0</v>
      </c>
      <c r="S39" s="88">
        <f>(SUBTOTAL(9,S40:S44))</f>
        <v>0</v>
      </c>
      <c r="T39" s="88">
        <f>(SUBTOTAL(9,T40:T44))</f>
        <v>0</v>
      </c>
      <c r="U39" s="87">
        <f t="shared" ref="U39" si="16">SUBTOTAL(9,O40:T44)</f>
        <v>287</v>
      </c>
    </row>
    <row r="40" spans="1:21" ht="17.25" customHeight="1" x14ac:dyDescent="0.3">
      <c r="A40" s="66" t="s">
        <v>30</v>
      </c>
      <c r="C40" s="67"/>
      <c r="D40" s="77" t="str">
        <f t="shared" ref="D40" si="17">D39</f>
        <v>C100007</v>
      </c>
      <c r="E40" s="77"/>
      <c r="F40" s="76"/>
      <c r="G40" s="76" t="str">
        <f>"""NAV Direct"",""CRONUS JetCorp USA"",""32"",""1"",""166414"""</f>
        <v>"NAV Direct","CRONUS JetCorp USA","32","1","166414"</v>
      </c>
      <c r="H40" s="86">
        <v>43466</v>
      </c>
      <c r="I40" s="85">
        <v>166414</v>
      </c>
      <c r="J40" s="84" t="str">
        <f>"Vendor"</f>
        <v>Vendor</v>
      </c>
      <c r="K40" s="84" t="str">
        <f>"V100003"</f>
        <v>V100003</v>
      </c>
      <c r="L40" s="84" t="str">
        <f>IF($J40="Customer",_xll.NL("first",$J40,"Name","No.","@@"&amp;$K40),"")</f>
        <v/>
      </c>
      <c r="M40" s="84" t="str">
        <f>"LogoMasters"</f>
        <v>LogoMasters</v>
      </c>
      <c r="N40" s="84" t="str">
        <f>IF($J40="Item",_xll.NL("first",$J40,"Description","No.","@@"&amp;$K40),"")</f>
        <v/>
      </c>
      <c r="O40" s="83">
        <v>300</v>
      </c>
      <c r="P40" s="83">
        <v>0</v>
      </c>
      <c r="Q40" s="83">
        <v>0</v>
      </c>
      <c r="R40" s="83">
        <v>0</v>
      </c>
      <c r="S40" s="83">
        <v>0</v>
      </c>
      <c r="T40" s="83">
        <v>0</v>
      </c>
      <c r="U40" s="82"/>
    </row>
    <row r="41" spans="1:21" ht="17.25" customHeight="1" x14ac:dyDescent="0.3">
      <c r="A41" s="66" t="s">
        <v>30</v>
      </c>
      <c r="C41" s="67"/>
      <c r="D41" s="77" t="str">
        <f t="shared" ref="D41:D43" si="18">D40</f>
        <v>C100007</v>
      </c>
      <c r="E41" s="77"/>
      <c r="F41" s="76"/>
      <c r="G41" s="76" t="str">
        <f>"""NAV Direct"",""CRONUS JetCorp USA"",""32"",""1"",""116376"""</f>
        <v>"NAV Direct","CRONUS JetCorp USA","32","1","116376"</v>
      </c>
      <c r="H41" s="86">
        <v>43472</v>
      </c>
      <c r="I41" s="85">
        <v>116376</v>
      </c>
      <c r="J41" s="84" t="str">
        <f>"Customer"</f>
        <v>Customer</v>
      </c>
      <c r="K41" s="84" t="str">
        <f>"C100054"</f>
        <v>C100054</v>
      </c>
      <c r="L41" s="84" t="str">
        <f>IF($J41="Customer",_xll.NL("first",$J41,"Name","No.","@@"&amp;$K41),"")</f>
        <v>London Candoxy Storage Campus</v>
      </c>
      <c r="M41" s="84" t="str">
        <f>""</f>
        <v/>
      </c>
      <c r="N41" s="84" t="str">
        <f>IF($J41="Item",_xll.NL("first",$J41,"Description","No.","@@"&amp;$K41),"")</f>
        <v/>
      </c>
      <c r="O41" s="83">
        <v>0</v>
      </c>
      <c r="P41" s="83">
        <v>-6</v>
      </c>
      <c r="Q41" s="83">
        <v>0</v>
      </c>
      <c r="R41" s="83">
        <v>0</v>
      </c>
      <c r="S41" s="83">
        <v>0</v>
      </c>
      <c r="T41" s="83">
        <v>0</v>
      </c>
      <c r="U41" s="82"/>
    </row>
    <row r="42" spans="1:21" ht="17.25" customHeight="1" x14ac:dyDescent="0.3">
      <c r="A42" s="66" t="s">
        <v>30</v>
      </c>
      <c r="C42" s="67"/>
      <c r="D42" s="77" t="str">
        <f t="shared" si="18"/>
        <v>C100007</v>
      </c>
      <c r="E42" s="77"/>
      <c r="F42" s="76"/>
      <c r="G42" s="76" t="str">
        <f>"""NAV Direct"",""CRONUS JetCorp USA"",""32"",""1"",""114281"""</f>
        <v>"NAV Direct","CRONUS JetCorp USA","32","1","114281"</v>
      </c>
      <c r="H42" s="86">
        <v>43474</v>
      </c>
      <c r="I42" s="85">
        <v>114281</v>
      </c>
      <c r="J42" s="84" t="str">
        <f>"Customer"</f>
        <v>Customer</v>
      </c>
      <c r="K42" s="84" t="str">
        <f>"C100076"</f>
        <v>C100076</v>
      </c>
      <c r="L42" s="84" t="str">
        <f>IF($J42="Customer",_xll.NL("first",$J42,"Name","No.","@@"&amp;$K42),"")</f>
        <v>Showmasters</v>
      </c>
      <c r="M42" s="84" t="str">
        <f>""</f>
        <v/>
      </c>
      <c r="N42" s="84" t="str">
        <f>IF($J42="Item",_xll.NL("first",$J42,"Description","No.","@@"&amp;$K42),"")</f>
        <v/>
      </c>
      <c r="O42" s="83">
        <v>0</v>
      </c>
      <c r="P42" s="83">
        <v>-1</v>
      </c>
      <c r="Q42" s="83">
        <v>0</v>
      </c>
      <c r="R42" s="83">
        <v>0</v>
      </c>
      <c r="S42" s="83">
        <v>0</v>
      </c>
      <c r="T42" s="83">
        <v>0</v>
      </c>
      <c r="U42" s="82"/>
    </row>
    <row r="43" spans="1:21" ht="17.25" customHeight="1" x14ac:dyDescent="0.3">
      <c r="A43" s="66" t="s">
        <v>30</v>
      </c>
      <c r="C43" s="67"/>
      <c r="D43" s="77" t="str">
        <f t="shared" si="18"/>
        <v>C100007</v>
      </c>
      <c r="E43" s="77"/>
      <c r="F43" s="76"/>
      <c r="G43" s="76" t="str">
        <f>"""NAV Direct"",""CRONUS JetCorp USA"",""32"",""1"",""10234"""</f>
        <v>"NAV Direct","CRONUS JetCorp USA","32","1","10234"</v>
      </c>
      <c r="H43" s="86">
        <v>43477</v>
      </c>
      <c r="I43" s="85">
        <v>10234</v>
      </c>
      <c r="J43" s="84" t="str">
        <f>"Customer"</f>
        <v>Customer</v>
      </c>
      <c r="K43" s="84" t="str">
        <f>"C100054"</f>
        <v>C100054</v>
      </c>
      <c r="L43" s="84" t="str">
        <f>IF($J43="Customer",_xll.NL("first",$J43,"Name","No.","@@"&amp;$K43),"")</f>
        <v>London Candoxy Storage Campus</v>
      </c>
      <c r="M43" s="84" t="str">
        <f>""</f>
        <v/>
      </c>
      <c r="N43" s="84" t="str">
        <f>IF($J43="Item",_xll.NL("first",$J43,"Description","No.","@@"&amp;$K43),"")</f>
        <v/>
      </c>
      <c r="O43" s="83">
        <v>0</v>
      </c>
      <c r="P43" s="83">
        <v>-6</v>
      </c>
      <c r="Q43" s="83">
        <v>0</v>
      </c>
      <c r="R43" s="83">
        <v>0</v>
      </c>
      <c r="S43" s="83">
        <v>0</v>
      </c>
      <c r="T43" s="83">
        <v>0</v>
      </c>
      <c r="U43" s="82"/>
    </row>
    <row r="44" spans="1:21" ht="17.25" customHeight="1" x14ac:dyDescent="0.3">
      <c r="A44" s="66" t="s">
        <v>30</v>
      </c>
      <c r="C44" s="67"/>
      <c r="D44" s="77"/>
      <c r="E44" s="77"/>
      <c r="F44" s="76"/>
      <c r="G44" s="76"/>
      <c r="H44" s="76"/>
      <c r="I44" s="76"/>
      <c r="J44" s="76"/>
      <c r="K44" s="76"/>
      <c r="L44" s="76"/>
      <c r="M44" s="76"/>
      <c r="N44" s="76"/>
      <c r="O44" s="75"/>
      <c r="P44" s="75"/>
      <c r="Q44" s="75"/>
      <c r="R44" s="75"/>
      <c r="S44" s="75"/>
      <c r="T44" s="75"/>
      <c r="U44" s="74"/>
    </row>
    <row r="45" spans="1:21" ht="17.25" customHeight="1" x14ac:dyDescent="0.3">
      <c r="A45" s="66" t="s">
        <v>30</v>
      </c>
      <c r="C45" s="67"/>
      <c r="D45" s="77"/>
      <c r="E45" s="77" t="s">
        <v>31</v>
      </c>
      <c r="F45" s="76" t="s">
        <v>31</v>
      </c>
      <c r="G45" s="76" t="s">
        <v>31</v>
      </c>
      <c r="H45" s="76"/>
      <c r="I45" s="76"/>
      <c r="J45" s="76" t="s">
        <v>31</v>
      </c>
      <c r="K45" s="76" t="s">
        <v>31</v>
      </c>
      <c r="L45" s="76" t="s">
        <v>31</v>
      </c>
      <c r="M45" s="76" t="s">
        <v>31</v>
      </c>
      <c r="N45" s="76"/>
      <c r="U45" s="81"/>
    </row>
    <row r="46" spans="1:21" ht="20.25" customHeight="1" x14ac:dyDescent="0.35">
      <c r="A46" s="66" t="s">
        <v>30</v>
      </c>
      <c r="C46" s="67"/>
      <c r="D46" s="92" t="str">
        <f t="shared" ref="D46" si="19">E46</f>
        <v>C100008</v>
      </c>
      <c r="E46" s="91" t="str">
        <f>"C100008"</f>
        <v>C100008</v>
      </c>
      <c r="F46" s="89" t="str">
        <f>"Glacier Vase"</f>
        <v>Glacier Vase</v>
      </c>
      <c r="G46" s="89"/>
      <c r="H46" s="90" t="str">
        <f>"EA"</f>
        <v>EA</v>
      </c>
      <c r="I46" s="89"/>
      <c r="J46" s="89"/>
      <c r="K46" s="89"/>
      <c r="L46" s="89"/>
      <c r="M46" s="89"/>
      <c r="N46" s="89"/>
      <c r="O46" s="88">
        <f>(SUBTOTAL(9,O47:O52))</f>
        <v>600</v>
      </c>
      <c r="P46" s="88">
        <f>(SUBTOTAL(9,P47:P52))</f>
        <v>-445</v>
      </c>
      <c r="Q46" s="88">
        <f>(SUBTOTAL(9,Q47:Q52))</f>
        <v>0</v>
      </c>
      <c r="R46" s="88">
        <f>(SUBTOTAL(9,R47:R52))</f>
        <v>0</v>
      </c>
      <c r="S46" s="88">
        <f>(SUBTOTAL(9,S47:S52))</f>
        <v>0</v>
      </c>
      <c r="T46" s="88">
        <f>(SUBTOTAL(9,T47:T52))</f>
        <v>0</v>
      </c>
      <c r="U46" s="87">
        <f t="shared" ref="U46" si="20">SUBTOTAL(9,O47:T52)</f>
        <v>155</v>
      </c>
    </row>
    <row r="47" spans="1:21" ht="17.25" customHeight="1" x14ac:dyDescent="0.3">
      <c r="A47" s="66" t="s">
        <v>30</v>
      </c>
      <c r="C47" s="67"/>
      <c r="D47" s="77" t="str">
        <f t="shared" ref="D47" si="21">D46</f>
        <v>C100008</v>
      </c>
      <c r="E47" s="77"/>
      <c r="F47" s="76"/>
      <c r="G47" s="76" t="str">
        <f>"""NAV Direct"",""CRONUS JetCorp USA"",""32"",""1"",""166413"""</f>
        <v>"NAV Direct","CRONUS JetCorp USA","32","1","166413"</v>
      </c>
      <c r="H47" s="86">
        <v>43466</v>
      </c>
      <c r="I47" s="85">
        <v>166413</v>
      </c>
      <c r="J47" s="84" t="str">
        <f>"Vendor"</f>
        <v>Vendor</v>
      </c>
      <c r="K47" s="84" t="str">
        <f>"V100003"</f>
        <v>V100003</v>
      </c>
      <c r="L47" s="84" t="str">
        <f>IF($J47="Customer",_xll.NL("first",$J47,"Name","No.","@@"&amp;$K47),"")</f>
        <v/>
      </c>
      <c r="M47" s="84" t="str">
        <f>"LogoMasters"</f>
        <v>LogoMasters</v>
      </c>
      <c r="N47" s="84" t="str">
        <f>IF($J47="Item",_xll.NL("first",$J47,"Description","No.","@@"&amp;$K47),"")</f>
        <v/>
      </c>
      <c r="O47" s="83">
        <v>600</v>
      </c>
      <c r="P47" s="83">
        <v>0</v>
      </c>
      <c r="Q47" s="83">
        <v>0</v>
      </c>
      <c r="R47" s="83">
        <v>0</v>
      </c>
      <c r="S47" s="83">
        <v>0</v>
      </c>
      <c r="T47" s="83">
        <v>0</v>
      </c>
      <c r="U47" s="82"/>
    </row>
    <row r="48" spans="1:21" ht="17.25" customHeight="1" x14ac:dyDescent="0.3">
      <c r="A48" s="66" t="s">
        <v>30</v>
      </c>
      <c r="C48" s="67"/>
      <c r="D48" s="77" t="str">
        <f t="shared" ref="D48:D51" si="22">D47</f>
        <v>C100008</v>
      </c>
      <c r="E48" s="77"/>
      <c r="F48" s="76"/>
      <c r="G48" s="76" t="str">
        <f>"""NAV Direct"",""CRONUS JetCorp USA"",""32"",""1"",""7562"""</f>
        <v>"NAV Direct","CRONUS JetCorp USA","32","1","7562"</v>
      </c>
      <c r="H48" s="86">
        <v>43469</v>
      </c>
      <c r="I48" s="85">
        <v>7562</v>
      </c>
      <c r="J48" s="84" t="str">
        <f>"Customer"</f>
        <v>Customer</v>
      </c>
      <c r="K48" s="84" t="str">
        <f>"C100030"</f>
        <v>C100030</v>
      </c>
      <c r="L48" s="84" t="str">
        <f>IF($J48="Customer",_xll.NL("first",$J48,"Name","No.","@@"&amp;$K48),"")</f>
        <v>Stutringers</v>
      </c>
      <c r="M48" s="84" t="str">
        <f>""</f>
        <v/>
      </c>
      <c r="N48" s="84" t="str">
        <f>IF($J48="Item",_xll.NL("first",$J48,"Description","No.","@@"&amp;$K48),"")</f>
        <v/>
      </c>
      <c r="O48" s="83">
        <v>0</v>
      </c>
      <c r="P48" s="83">
        <v>-1</v>
      </c>
      <c r="Q48" s="83">
        <v>0</v>
      </c>
      <c r="R48" s="83">
        <v>0</v>
      </c>
      <c r="S48" s="83">
        <v>0</v>
      </c>
      <c r="T48" s="83">
        <v>0</v>
      </c>
      <c r="U48" s="82"/>
    </row>
    <row r="49" spans="1:21" ht="17.25" customHeight="1" x14ac:dyDescent="0.3">
      <c r="A49" s="66" t="s">
        <v>30</v>
      </c>
      <c r="C49" s="67"/>
      <c r="D49" s="77" t="str">
        <f t="shared" si="22"/>
        <v>C100008</v>
      </c>
      <c r="E49" s="77"/>
      <c r="F49" s="76"/>
      <c r="G49" s="76" t="str">
        <f>"""NAV Direct"",""CRONUS JetCorp USA"",""32"",""1"",""114266"""</f>
        <v>"NAV Direct","CRONUS JetCorp USA","32","1","114266"</v>
      </c>
      <c r="H49" s="86">
        <v>43470</v>
      </c>
      <c r="I49" s="85">
        <v>114266</v>
      </c>
      <c r="J49" s="84" t="str">
        <f>"Customer"</f>
        <v>Customer</v>
      </c>
      <c r="K49" s="84" t="str">
        <f>"C100076"</f>
        <v>C100076</v>
      </c>
      <c r="L49" s="84" t="str">
        <f>IF($J49="Customer",_xll.NL("first",$J49,"Name","No.","@@"&amp;$K49),"")</f>
        <v>Showmasters</v>
      </c>
      <c r="M49" s="84" t="str">
        <f>""</f>
        <v/>
      </c>
      <c r="N49" s="84" t="str">
        <f>IF($J49="Item",_xll.NL("first",$J49,"Description","No.","@@"&amp;$K49),"")</f>
        <v/>
      </c>
      <c r="O49" s="83">
        <v>0</v>
      </c>
      <c r="P49" s="83">
        <v>-288</v>
      </c>
      <c r="Q49" s="83">
        <v>0</v>
      </c>
      <c r="R49" s="83">
        <v>0</v>
      </c>
      <c r="S49" s="83">
        <v>0</v>
      </c>
      <c r="T49" s="83">
        <v>0</v>
      </c>
      <c r="U49" s="82"/>
    </row>
    <row r="50" spans="1:21" ht="17.25" customHeight="1" x14ac:dyDescent="0.3">
      <c r="A50" s="66" t="s">
        <v>30</v>
      </c>
      <c r="C50" s="67"/>
      <c r="D50" s="77" t="str">
        <f t="shared" si="22"/>
        <v>C100008</v>
      </c>
      <c r="E50" s="77"/>
      <c r="F50" s="76"/>
      <c r="G50" s="76" t="str">
        <f>"""NAV Direct"",""CRONUS JetCorp USA"",""32"",""1"",""116373"""</f>
        <v>"NAV Direct","CRONUS JetCorp USA","32","1","116373"</v>
      </c>
      <c r="H50" s="86">
        <v>43472</v>
      </c>
      <c r="I50" s="85">
        <v>116373</v>
      </c>
      <c r="J50" s="84" t="str">
        <f>"Customer"</f>
        <v>Customer</v>
      </c>
      <c r="K50" s="84" t="str">
        <f>"C100054"</f>
        <v>C100054</v>
      </c>
      <c r="L50" s="84" t="str">
        <f>IF($J50="Customer",_xll.NL("first",$J50,"Name","No.","@@"&amp;$K50),"")</f>
        <v>London Candoxy Storage Campus</v>
      </c>
      <c r="M50" s="84" t="str">
        <f>""</f>
        <v/>
      </c>
      <c r="N50" s="84" t="str">
        <f>IF($J50="Item",_xll.NL("first",$J50,"Description","No.","@@"&amp;$K50),"")</f>
        <v/>
      </c>
      <c r="O50" s="83">
        <v>0</v>
      </c>
      <c r="P50" s="83">
        <v>-12</v>
      </c>
      <c r="Q50" s="83">
        <v>0</v>
      </c>
      <c r="R50" s="83">
        <v>0</v>
      </c>
      <c r="S50" s="83">
        <v>0</v>
      </c>
      <c r="T50" s="83">
        <v>0</v>
      </c>
      <c r="U50" s="82"/>
    </row>
    <row r="51" spans="1:21" ht="17.25" customHeight="1" x14ac:dyDescent="0.3">
      <c r="A51" s="66" t="s">
        <v>30</v>
      </c>
      <c r="C51" s="67"/>
      <c r="D51" s="77" t="str">
        <f t="shared" si="22"/>
        <v>C100008</v>
      </c>
      <c r="E51" s="77"/>
      <c r="F51" s="76"/>
      <c r="G51" s="76" t="str">
        <f>"""NAV Direct"",""CRONUS JetCorp USA"",""32"",""1"",""7567"""</f>
        <v>"NAV Direct","CRONUS JetCorp USA","32","1","7567"</v>
      </c>
      <c r="H51" s="86">
        <v>43477</v>
      </c>
      <c r="I51" s="85">
        <v>7567</v>
      </c>
      <c r="J51" s="84" t="str">
        <f>"Customer"</f>
        <v>Customer</v>
      </c>
      <c r="K51" s="84" t="str">
        <f>"C100076"</f>
        <v>C100076</v>
      </c>
      <c r="L51" s="84" t="str">
        <f>IF($J51="Customer",_xll.NL("first",$J51,"Name","No.","@@"&amp;$K51),"")</f>
        <v>Showmasters</v>
      </c>
      <c r="M51" s="84" t="str">
        <f>""</f>
        <v/>
      </c>
      <c r="N51" s="84" t="str">
        <f>IF($J51="Item",_xll.NL("first",$J51,"Description","No.","@@"&amp;$K51),"")</f>
        <v/>
      </c>
      <c r="O51" s="83">
        <v>0</v>
      </c>
      <c r="P51" s="83">
        <v>-144</v>
      </c>
      <c r="Q51" s="83">
        <v>0</v>
      </c>
      <c r="R51" s="83">
        <v>0</v>
      </c>
      <c r="S51" s="83">
        <v>0</v>
      </c>
      <c r="T51" s="83">
        <v>0</v>
      </c>
      <c r="U51" s="82"/>
    </row>
    <row r="52" spans="1:21" ht="17.25" customHeight="1" x14ac:dyDescent="0.3">
      <c r="A52" s="66" t="s">
        <v>30</v>
      </c>
      <c r="C52" s="67"/>
      <c r="D52" s="77"/>
      <c r="E52" s="77"/>
      <c r="F52" s="76"/>
      <c r="G52" s="76"/>
      <c r="H52" s="76"/>
      <c r="I52" s="76"/>
      <c r="J52" s="76"/>
      <c r="K52" s="76"/>
      <c r="L52" s="76"/>
      <c r="M52" s="76"/>
      <c r="N52" s="76"/>
      <c r="O52" s="75"/>
      <c r="P52" s="75"/>
      <c r="Q52" s="75"/>
      <c r="R52" s="75"/>
      <c r="S52" s="75"/>
      <c r="T52" s="75"/>
      <c r="U52" s="74"/>
    </row>
    <row r="53" spans="1:21" ht="17.25" customHeight="1" x14ac:dyDescent="0.3">
      <c r="A53" s="66" t="s">
        <v>30</v>
      </c>
      <c r="C53" s="67"/>
      <c r="D53" s="77"/>
      <c r="E53" s="77" t="s">
        <v>31</v>
      </c>
      <c r="F53" s="76" t="s">
        <v>31</v>
      </c>
      <c r="G53" s="76" t="s">
        <v>31</v>
      </c>
      <c r="H53" s="76"/>
      <c r="I53" s="76"/>
      <c r="J53" s="76" t="s">
        <v>31</v>
      </c>
      <c r="K53" s="76" t="s">
        <v>31</v>
      </c>
      <c r="L53" s="76" t="s">
        <v>31</v>
      </c>
      <c r="M53" s="76" t="s">
        <v>31</v>
      </c>
      <c r="N53" s="76"/>
      <c r="U53" s="81"/>
    </row>
    <row r="54" spans="1:21" ht="20.25" customHeight="1" x14ac:dyDescent="0.35">
      <c r="A54" s="66" t="s">
        <v>30</v>
      </c>
      <c r="C54" s="67"/>
      <c r="D54" s="92" t="str">
        <f t="shared" ref="D54" si="23">E54</f>
        <v>C100009</v>
      </c>
      <c r="E54" s="91" t="str">
        <f>"C100009"</f>
        <v>C100009</v>
      </c>
      <c r="F54" s="89" t="str">
        <f>"Normandy Vase"</f>
        <v>Normandy Vase</v>
      </c>
      <c r="G54" s="89"/>
      <c r="H54" s="90" t="str">
        <f>"EA"</f>
        <v>EA</v>
      </c>
      <c r="I54" s="89"/>
      <c r="J54" s="89"/>
      <c r="K54" s="89"/>
      <c r="L54" s="89"/>
      <c r="M54" s="89"/>
      <c r="N54" s="89"/>
      <c r="O54" s="88">
        <f>(SUBTOTAL(9,O55:O57))</f>
        <v>100</v>
      </c>
      <c r="P54" s="88">
        <f>(SUBTOTAL(9,P55:P57))</f>
        <v>-12</v>
      </c>
      <c r="Q54" s="88">
        <f>(SUBTOTAL(9,Q55:Q57))</f>
        <v>0</v>
      </c>
      <c r="R54" s="88">
        <f>(SUBTOTAL(9,R55:R57))</f>
        <v>0</v>
      </c>
      <c r="S54" s="88">
        <f>(SUBTOTAL(9,S55:S57))</f>
        <v>0</v>
      </c>
      <c r="T54" s="88">
        <f>(SUBTOTAL(9,T55:T57))</f>
        <v>0</v>
      </c>
      <c r="U54" s="87">
        <f t="shared" ref="U54" si="24">SUBTOTAL(9,O55:T57)</f>
        <v>88</v>
      </c>
    </row>
    <row r="55" spans="1:21" ht="17.25" customHeight="1" x14ac:dyDescent="0.3">
      <c r="A55" s="66" t="s">
        <v>30</v>
      </c>
      <c r="C55" s="67"/>
      <c r="D55" s="77" t="str">
        <f t="shared" ref="D55" si="25">D54</f>
        <v>C100009</v>
      </c>
      <c r="E55" s="77"/>
      <c r="F55" s="76"/>
      <c r="G55" s="76" t="str">
        <f>"""NAV Direct"",""CRONUS JetCorp USA"",""32"",""1"",""166412"""</f>
        <v>"NAV Direct","CRONUS JetCorp USA","32","1","166412"</v>
      </c>
      <c r="H55" s="86">
        <v>43466</v>
      </c>
      <c r="I55" s="85">
        <v>166412</v>
      </c>
      <c r="J55" s="84" t="str">
        <f>"Vendor"</f>
        <v>Vendor</v>
      </c>
      <c r="K55" s="84" t="str">
        <f>"V100003"</f>
        <v>V100003</v>
      </c>
      <c r="L55" s="84" t="str">
        <f>IF($J55="Customer",_xll.NL("first",$J55,"Name","No.","@@"&amp;$K55),"")</f>
        <v/>
      </c>
      <c r="M55" s="84" t="str">
        <f>"LogoMasters"</f>
        <v>LogoMasters</v>
      </c>
      <c r="N55" s="84" t="str">
        <f>IF($J55="Item",_xll.NL("first",$J55,"Description","No.","@@"&amp;$K55),"")</f>
        <v/>
      </c>
      <c r="O55" s="83">
        <v>100</v>
      </c>
      <c r="P55" s="83">
        <v>0</v>
      </c>
      <c r="Q55" s="83">
        <v>0</v>
      </c>
      <c r="R55" s="83">
        <v>0</v>
      </c>
      <c r="S55" s="83">
        <v>0</v>
      </c>
      <c r="T55" s="83">
        <v>0</v>
      </c>
      <c r="U55" s="82"/>
    </row>
    <row r="56" spans="1:21" ht="17.25" customHeight="1" x14ac:dyDescent="0.3">
      <c r="A56" s="66" t="s">
        <v>30</v>
      </c>
      <c r="C56" s="67"/>
      <c r="D56" s="77" t="str">
        <f t="shared" ref="D56" si="26">D55</f>
        <v>C100009</v>
      </c>
      <c r="E56" s="77"/>
      <c r="F56" s="76"/>
      <c r="G56" s="76" t="str">
        <f>"""NAV Direct"",""CRONUS JetCorp USA"",""32"",""1"",""7568"""</f>
        <v>"NAV Direct","CRONUS JetCorp USA","32","1","7568"</v>
      </c>
      <c r="H56" s="86">
        <v>43477</v>
      </c>
      <c r="I56" s="85">
        <v>7568</v>
      </c>
      <c r="J56" s="84" t="str">
        <f>"Customer"</f>
        <v>Customer</v>
      </c>
      <c r="K56" s="84" t="str">
        <f>"C100076"</f>
        <v>C100076</v>
      </c>
      <c r="L56" s="84" t="str">
        <f>IF($J56="Customer",_xll.NL("first",$J56,"Name","No.","@@"&amp;$K56),"")</f>
        <v>Showmasters</v>
      </c>
      <c r="M56" s="84" t="str">
        <f>""</f>
        <v/>
      </c>
      <c r="N56" s="84" t="str">
        <f>IF($J56="Item",_xll.NL("first",$J56,"Description","No.","@@"&amp;$K56),"")</f>
        <v/>
      </c>
      <c r="O56" s="83">
        <v>0</v>
      </c>
      <c r="P56" s="83">
        <v>-12</v>
      </c>
      <c r="Q56" s="83">
        <v>0</v>
      </c>
      <c r="R56" s="83">
        <v>0</v>
      </c>
      <c r="S56" s="83">
        <v>0</v>
      </c>
      <c r="T56" s="83">
        <v>0</v>
      </c>
      <c r="U56" s="82"/>
    </row>
    <row r="57" spans="1:21" ht="17.25" customHeight="1" x14ac:dyDescent="0.3">
      <c r="A57" s="66" t="s">
        <v>30</v>
      </c>
      <c r="C57" s="67"/>
      <c r="D57" s="77"/>
      <c r="E57" s="77"/>
      <c r="F57" s="76"/>
      <c r="G57" s="76"/>
      <c r="H57" s="76"/>
      <c r="I57" s="76"/>
      <c r="J57" s="76"/>
      <c r="K57" s="76"/>
      <c r="L57" s="76"/>
      <c r="M57" s="76"/>
      <c r="N57" s="76"/>
      <c r="O57" s="75"/>
      <c r="P57" s="75"/>
      <c r="Q57" s="75"/>
      <c r="R57" s="75"/>
      <c r="S57" s="75"/>
      <c r="T57" s="75"/>
      <c r="U57" s="74"/>
    </row>
    <row r="58" spans="1:21" ht="17.25" customHeight="1" x14ac:dyDescent="0.3">
      <c r="A58" s="66" t="s">
        <v>30</v>
      </c>
      <c r="C58" s="67"/>
      <c r="D58" s="77"/>
      <c r="E58" s="77" t="s">
        <v>31</v>
      </c>
      <c r="F58" s="76" t="s">
        <v>31</v>
      </c>
      <c r="G58" s="76" t="s">
        <v>31</v>
      </c>
      <c r="H58" s="76"/>
      <c r="I58" s="76"/>
      <c r="J58" s="76" t="s">
        <v>31</v>
      </c>
      <c r="K58" s="76" t="s">
        <v>31</v>
      </c>
      <c r="L58" s="76" t="s">
        <v>31</v>
      </c>
      <c r="M58" s="76" t="s">
        <v>31</v>
      </c>
      <c r="N58" s="76"/>
      <c r="U58" s="81"/>
    </row>
    <row r="59" spans="1:21" ht="20.25" customHeight="1" x14ac:dyDescent="0.35">
      <c r="A59" s="66" t="s">
        <v>30</v>
      </c>
      <c r="C59" s="67"/>
      <c r="D59" s="92" t="str">
        <f t="shared" ref="D59" si="27">E59</f>
        <v>C100010</v>
      </c>
      <c r="E59" s="91" t="str">
        <f>"C100010"</f>
        <v>C100010</v>
      </c>
      <c r="F59" s="89" t="str">
        <f>"Wisper-Cut Vase"</f>
        <v>Wisper-Cut Vase</v>
      </c>
      <c r="G59" s="89"/>
      <c r="H59" s="90" t="str">
        <f>"EA"</f>
        <v>EA</v>
      </c>
      <c r="I59" s="89"/>
      <c r="J59" s="89"/>
      <c r="K59" s="89"/>
      <c r="L59" s="89"/>
      <c r="M59" s="89"/>
      <c r="N59" s="89"/>
      <c r="O59" s="88">
        <f>(SUBTOTAL(9,O60:O62))</f>
        <v>100</v>
      </c>
      <c r="P59" s="88">
        <f>(SUBTOTAL(9,P60:P62))</f>
        <v>-24</v>
      </c>
      <c r="Q59" s="88">
        <f>(SUBTOTAL(9,Q60:Q62))</f>
        <v>0</v>
      </c>
      <c r="R59" s="88">
        <f>(SUBTOTAL(9,R60:R62))</f>
        <v>0</v>
      </c>
      <c r="S59" s="88">
        <f>(SUBTOTAL(9,S60:S62))</f>
        <v>0</v>
      </c>
      <c r="T59" s="88">
        <f>(SUBTOTAL(9,T60:T62))</f>
        <v>0</v>
      </c>
      <c r="U59" s="87">
        <f t="shared" ref="U59" si="28">SUBTOTAL(9,O60:T62)</f>
        <v>76</v>
      </c>
    </row>
    <row r="60" spans="1:21" ht="17.25" customHeight="1" x14ac:dyDescent="0.3">
      <c r="A60" s="66" t="s">
        <v>30</v>
      </c>
      <c r="C60" s="67"/>
      <c r="D60" s="77" t="str">
        <f t="shared" ref="D60" si="29">D59</f>
        <v>C100010</v>
      </c>
      <c r="E60" s="77"/>
      <c r="F60" s="76"/>
      <c r="G60" s="76" t="str">
        <f>"""NAV Direct"",""CRONUS JetCorp USA"",""32"",""1"",""166411"""</f>
        <v>"NAV Direct","CRONUS JetCorp USA","32","1","166411"</v>
      </c>
      <c r="H60" s="86">
        <v>43466</v>
      </c>
      <c r="I60" s="85">
        <v>166411</v>
      </c>
      <c r="J60" s="84" t="str">
        <f>"Vendor"</f>
        <v>Vendor</v>
      </c>
      <c r="K60" s="84" t="str">
        <f>"V100003"</f>
        <v>V100003</v>
      </c>
      <c r="L60" s="84" t="str">
        <f>IF($J60="Customer",_xll.NL("first",$J60,"Name","No.","@@"&amp;$K60),"")</f>
        <v/>
      </c>
      <c r="M60" s="84" t="str">
        <f>"LogoMasters"</f>
        <v>LogoMasters</v>
      </c>
      <c r="N60" s="84" t="str">
        <f>IF($J60="Item",_xll.NL("first",$J60,"Description","No.","@@"&amp;$K60),"")</f>
        <v/>
      </c>
      <c r="O60" s="83">
        <v>100</v>
      </c>
      <c r="P60" s="83">
        <v>0</v>
      </c>
      <c r="Q60" s="83">
        <v>0</v>
      </c>
      <c r="R60" s="83">
        <v>0</v>
      </c>
      <c r="S60" s="83">
        <v>0</v>
      </c>
      <c r="T60" s="83">
        <v>0</v>
      </c>
      <c r="U60" s="82"/>
    </row>
    <row r="61" spans="1:21" ht="17.25" customHeight="1" x14ac:dyDescent="0.3">
      <c r="A61" s="66" t="s">
        <v>30</v>
      </c>
      <c r="C61" s="67"/>
      <c r="D61" s="77" t="str">
        <f t="shared" ref="D61" si="30">D60</f>
        <v>C100010</v>
      </c>
      <c r="E61" s="77"/>
      <c r="F61" s="76"/>
      <c r="G61" s="76" t="str">
        <f>"""NAV Direct"",""CRONUS JetCorp USA"",""32"",""1"",""10230"""</f>
        <v>"NAV Direct","CRONUS JetCorp USA","32","1","10230"</v>
      </c>
      <c r="H61" s="86">
        <v>43477</v>
      </c>
      <c r="I61" s="85">
        <v>10230</v>
      </c>
      <c r="J61" s="84" t="str">
        <f>"Customer"</f>
        <v>Customer</v>
      </c>
      <c r="K61" s="84" t="str">
        <f>"C100054"</f>
        <v>C100054</v>
      </c>
      <c r="L61" s="84" t="str">
        <f>IF($J61="Customer",_xll.NL("first",$J61,"Name","No.","@@"&amp;$K61),"")</f>
        <v>London Candoxy Storage Campus</v>
      </c>
      <c r="M61" s="84" t="str">
        <f>""</f>
        <v/>
      </c>
      <c r="N61" s="84" t="str">
        <f>IF($J61="Item",_xll.NL("first",$J61,"Description","No.","@@"&amp;$K61),"")</f>
        <v/>
      </c>
      <c r="O61" s="83">
        <v>0</v>
      </c>
      <c r="P61" s="83">
        <v>-24</v>
      </c>
      <c r="Q61" s="83">
        <v>0</v>
      </c>
      <c r="R61" s="83">
        <v>0</v>
      </c>
      <c r="S61" s="83">
        <v>0</v>
      </c>
      <c r="T61" s="83">
        <v>0</v>
      </c>
      <c r="U61" s="82"/>
    </row>
    <row r="62" spans="1:21" ht="17.25" customHeight="1" x14ac:dyDescent="0.3">
      <c r="A62" s="66" t="s">
        <v>30</v>
      </c>
      <c r="C62" s="67"/>
      <c r="D62" s="77"/>
      <c r="E62" s="77"/>
      <c r="F62" s="76"/>
      <c r="G62" s="76"/>
      <c r="H62" s="76"/>
      <c r="I62" s="76"/>
      <c r="J62" s="76"/>
      <c r="K62" s="76"/>
      <c r="L62" s="76"/>
      <c r="M62" s="76"/>
      <c r="N62" s="76"/>
      <c r="O62" s="75"/>
      <c r="P62" s="75"/>
      <c r="Q62" s="75"/>
      <c r="R62" s="75"/>
      <c r="S62" s="75"/>
      <c r="T62" s="75"/>
      <c r="U62" s="74"/>
    </row>
    <row r="63" spans="1:21" ht="17.25" customHeight="1" x14ac:dyDescent="0.3">
      <c r="A63" s="66" t="s">
        <v>30</v>
      </c>
      <c r="C63" s="67"/>
      <c r="D63" s="77"/>
      <c r="E63" s="77" t="s">
        <v>31</v>
      </c>
      <c r="F63" s="76" t="s">
        <v>31</v>
      </c>
      <c r="G63" s="76" t="s">
        <v>31</v>
      </c>
      <c r="H63" s="76"/>
      <c r="I63" s="76"/>
      <c r="J63" s="76" t="s">
        <v>31</v>
      </c>
      <c r="K63" s="76" t="s">
        <v>31</v>
      </c>
      <c r="L63" s="76" t="s">
        <v>31</v>
      </c>
      <c r="M63" s="76" t="s">
        <v>31</v>
      </c>
      <c r="N63" s="76"/>
      <c r="U63" s="81"/>
    </row>
    <row r="64" spans="1:21" ht="20.25" customHeight="1" x14ac:dyDescent="0.35">
      <c r="A64" s="66" t="s">
        <v>30</v>
      </c>
      <c r="C64" s="67"/>
      <c r="D64" s="92" t="str">
        <f t="shared" ref="D64" si="31">E64</f>
        <v>C100011</v>
      </c>
      <c r="E64" s="91" t="str">
        <f>"C100011"</f>
        <v>C100011</v>
      </c>
      <c r="F64" s="89" t="str">
        <f>"Winter Frost Vase"</f>
        <v>Winter Frost Vase</v>
      </c>
      <c r="G64" s="89"/>
      <c r="H64" s="90" t="str">
        <f>"EA"</f>
        <v>EA</v>
      </c>
      <c r="I64" s="89"/>
      <c r="J64" s="89"/>
      <c r="K64" s="89"/>
      <c r="L64" s="89"/>
      <c r="M64" s="89"/>
      <c r="N64" s="89"/>
      <c r="O64" s="88">
        <f>(SUBTOTAL(9,O65:O66))</f>
        <v>0</v>
      </c>
      <c r="P64" s="88">
        <f>(SUBTOTAL(9,P65:P66))</f>
        <v>-48</v>
      </c>
      <c r="Q64" s="88">
        <f>(SUBTOTAL(9,Q65:Q66))</f>
        <v>0</v>
      </c>
      <c r="R64" s="88">
        <f>(SUBTOTAL(9,R65:R66))</f>
        <v>0</v>
      </c>
      <c r="S64" s="88">
        <f>(SUBTOTAL(9,S65:S66))</f>
        <v>0</v>
      </c>
      <c r="T64" s="88">
        <f>(SUBTOTAL(9,T65:T66))</f>
        <v>0</v>
      </c>
      <c r="U64" s="87">
        <f t="shared" ref="U64" si="32">SUBTOTAL(9,O65:T66)</f>
        <v>-48</v>
      </c>
    </row>
    <row r="65" spans="1:21" ht="17.25" customHeight="1" x14ac:dyDescent="0.3">
      <c r="A65" s="66" t="s">
        <v>30</v>
      </c>
      <c r="C65" s="67"/>
      <c r="D65" s="77" t="str">
        <f t="shared" ref="D65" si="33">D64</f>
        <v>C100011</v>
      </c>
      <c r="E65" s="77"/>
      <c r="F65" s="76"/>
      <c r="G65" s="76" t="str">
        <f>"""NAV Direct"",""CRONUS JetCorp USA"",""32"",""1"",""116370"""</f>
        <v>"NAV Direct","CRONUS JetCorp USA","32","1","116370"</v>
      </c>
      <c r="H65" s="86">
        <v>43472</v>
      </c>
      <c r="I65" s="85">
        <v>116370</v>
      </c>
      <c r="J65" s="84" t="str">
        <f>"Customer"</f>
        <v>Customer</v>
      </c>
      <c r="K65" s="84" t="str">
        <f>"C100054"</f>
        <v>C100054</v>
      </c>
      <c r="L65" s="84" t="str">
        <f>IF($J65="Customer",_xll.NL("first",$J65,"Name","No.","@@"&amp;$K65),"")</f>
        <v>London Candoxy Storage Campus</v>
      </c>
      <c r="M65" s="84" t="str">
        <f>""</f>
        <v/>
      </c>
      <c r="N65" s="84" t="str">
        <f>IF($J65="Item",_xll.NL("first",$J65,"Description","No.","@@"&amp;$K65),"")</f>
        <v/>
      </c>
      <c r="O65" s="83">
        <v>0</v>
      </c>
      <c r="P65" s="83">
        <v>-48</v>
      </c>
      <c r="Q65" s="83">
        <v>0</v>
      </c>
      <c r="R65" s="83">
        <v>0</v>
      </c>
      <c r="S65" s="83">
        <v>0</v>
      </c>
      <c r="T65" s="83">
        <v>0</v>
      </c>
      <c r="U65" s="82"/>
    </row>
    <row r="66" spans="1:21" ht="17.25" customHeight="1" x14ac:dyDescent="0.3">
      <c r="A66" s="66" t="s">
        <v>30</v>
      </c>
      <c r="C66" s="67"/>
      <c r="D66" s="77"/>
      <c r="E66" s="77"/>
      <c r="F66" s="76"/>
      <c r="G66" s="76"/>
      <c r="H66" s="76"/>
      <c r="I66" s="76"/>
      <c r="J66" s="76"/>
      <c r="K66" s="76"/>
      <c r="L66" s="76"/>
      <c r="M66" s="76"/>
      <c r="N66" s="76"/>
      <c r="O66" s="75"/>
      <c r="P66" s="75"/>
      <c r="Q66" s="75"/>
      <c r="R66" s="75"/>
      <c r="S66" s="75"/>
      <c r="T66" s="75"/>
      <c r="U66" s="74"/>
    </row>
    <row r="67" spans="1:21" ht="17.25" customHeight="1" x14ac:dyDescent="0.3">
      <c r="A67" s="66" t="s">
        <v>30</v>
      </c>
      <c r="C67" s="67"/>
      <c r="D67" s="77"/>
      <c r="E67" s="77" t="s">
        <v>31</v>
      </c>
      <c r="F67" s="76" t="s">
        <v>31</v>
      </c>
      <c r="G67" s="76" t="s">
        <v>31</v>
      </c>
      <c r="H67" s="76"/>
      <c r="I67" s="76"/>
      <c r="J67" s="76" t="s">
        <v>31</v>
      </c>
      <c r="K67" s="76" t="s">
        <v>31</v>
      </c>
      <c r="L67" s="76" t="s">
        <v>31</v>
      </c>
      <c r="M67" s="76" t="s">
        <v>31</v>
      </c>
      <c r="N67" s="76"/>
      <c r="U67" s="81"/>
    </row>
    <row r="68" spans="1:21" ht="20.25" customHeight="1" x14ac:dyDescent="0.35">
      <c r="A68" s="66" t="s">
        <v>30</v>
      </c>
      <c r="C68" s="67"/>
      <c r="D68" s="92" t="str">
        <f t="shared" ref="D68" si="34">E68</f>
        <v>C100014</v>
      </c>
      <c r="E68" s="91" t="str">
        <f>"C100014"</f>
        <v>C100014</v>
      </c>
      <c r="F68" s="89" t="str">
        <f>"Canvas Field Bag"</f>
        <v>Canvas Field Bag</v>
      </c>
      <c r="G68" s="89"/>
      <c r="H68" s="90" t="str">
        <f>"EA"</f>
        <v>EA</v>
      </c>
      <c r="I68" s="89"/>
      <c r="J68" s="89"/>
      <c r="K68" s="89"/>
      <c r="L68" s="89"/>
      <c r="M68" s="89"/>
      <c r="N68" s="89"/>
      <c r="O68" s="88">
        <f>(SUBTOTAL(9,O69:O71))</f>
        <v>200</v>
      </c>
      <c r="P68" s="88">
        <f>(SUBTOTAL(9,P69:P71))</f>
        <v>-144</v>
      </c>
      <c r="Q68" s="88">
        <f>(SUBTOTAL(9,Q69:Q71))</f>
        <v>0</v>
      </c>
      <c r="R68" s="88">
        <f>(SUBTOTAL(9,R69:R71))</f>
        <v>0</v>
      </c>
      <c r="S68" s="88">
        <f>(SUBTOTAL(9,S69:S71))</f>
        <v>0</v>
      </c>
      <c r="T68" s="88">
        <f>(SUBTOTAL(9,T69:T71))</f>
        <v>0</v>
      </c>
      <c r="U68" s="87">
        <f t="shared" ref="U68" si="35">SUBTOTAL(9,O69:T71)</f>
        <v>56</v>
      </c>
    </row>
    <row r="69" spans="1:21" ht="17.25" customHeight="1" x14ac:dyDescent="0.3">
      <c r="A69" s="66" t="s">
        <v>30</v>
      </c>
      <c r="C69" s="67"/>
      <c r="D69" s="77" t="str">
        <f t="shared" ref="D69" si="36">D68</f>
        <v>C100014</v>
      </c>
      <c r="E69" s="77"/>
      <c r="F69" s="76"/>
      <c r="G69" s="76" t="str">
        <f>"""NAV Direct"",""CRONUS JetCorp USA"",""32"",""1"",""166799"""</f>
        <v>"NAV Direct","CRONUS JetCorp USA","32","1","166799"</v>
      </c>
      <c r="H69" s="86">
        <v>43466</v>
      </c>
      <c r="I69" s="85">
        <v>166799</v>
      </c>
      <c r="J69" s="84" t="str">
        <f>"Vendor"</f>
        <v>Vendor</v>
      </c>
      <c r="K69" s="84" t="str">
        <f>"V100003"</f>
        <v>V100003</v>
      </c>
      <c r="L69" s="84" t="str">
        <f>IF($J69="Customer",_xll.NL("first",$J69,"Name","No.","@@"&amp;$K69),"")</f>
        <v/>
      </c>
      <c r="M69" s="84" t="str">
        <f>"LogoMasters"</f>
        <v>LogoMasters</v>
      </c>
      <c r="N69" s="84" t="str">
        <f>IF($J69="Item",_xll.NL("first",$J69,"Description","No.","@@"&amp;$K69),"")</f>
        <v/>
      </c>
      <c r="O69" s="83">
        <v>200</v>
      </c>
      <c r="P69" s="83">
        <v>0</v>
      </c>
      <c r="Q69" s="83">
        <v>0</v>
      </c>
      <c r="R69" s="83">
        <v>0</v>
      </c>
      <c r="S69" s="83">
        <v>0</v>
      </c>
      <c r="T69" s="83">
        <v>0</v>
      </c>
      <c r="U69" s="82"/>
    </row>
    <row r="70" spans="1:21" ht="17.25" customHeight="1" x14ac:dyDescent="0.3">
      <c r="A70" s="66" t="s">
        <v>30</v>
      </c>
      <c r="C70" s="67"/>
      <c r="D70" s="77" t="str">
        <f t="shared" ref="D70" si="37">D69</f>
        <v>C100014</v>
      </c>
      <c r="E70" s="77"/>
      <c r="F70" s="76"/>
      <c r="G70" s="76" t="str">
        <f>"""NAV Direct"",""CRONUS JetCorp USA"",""32"",""1"",""30106"""</f>
        <v>"NAV Direct","CRONUS JetCorp USA","32","1","30106"</v>
      </c>
      <c r="H70" s="86">
        <v>43475</v>
      </c>
      <c r="I70" s="85">
        <v>30106</v>
      </c>
      <c r="J70" s="84" t="str">
        <f>"Customer"</f>
        <v>Customer</v>
      </c>
      <c r="K70" s="84" t="str">
        <f>"C100012"</f>
        <v>C100012</v>
      </c>
      <c r="L70" s="84" t="str">
        <f>IF($J70="Customer",_xll.NL("first",$J70,"Name","No.","@@"&amp;$K70),"")</f>
        <v>Bainbridges</v>
      </c>
      <c r="M70" s="84" t="str">
        <f>""</f>
        <v/>
      </c>
      <c r="N70" s="84" t="str">
        <f>IF($J70="Item",_xll.NL("first",$J70,"Description","No.","@@"&amp;$K70),"")</f>
        <v/>
      </c>
      <c r="O70" s="83">
        <v>0</v>
      </c>
      <c r="P70" s="83">
        <v>-144</v>
      </c>
      <c r="Q70" s="83">
        <v>0</v>
      </c>
      <c r="R70" s="83">
        <v>0</v>
      </c>
      <c r="S70" s="83">
        <v>0</v>
      </c>
      <c r="T70" s="83">
        <v>0</v>
      </c>
      <c r="U70" s="82"/>
    </row>
    <row r="71" spans="1:21" ht="17.25" customHeight="1" x14ac:dyDescent="0.3">
      <c r="A71" s="66" t="s">
        <v>30</v>
      </c>
      <c r="C71" s="67"/>
      <c r="D71" s="77"/>
      <c r="E71" s="77"/>
      <c r="F71" s="76"/>
      <c r="G71" s="76"/>
      <c r="H71" s="76"/>
      <c r="I71" s="76"/>
      <c r="J71" s="76"/>
      <c r="K71" s="76"/>
      <c r="L71" s="76"/>
      <c r="M71" s="76"/>
      <c r="N71" s="76"/>
      <c r="O71" s="75"/>
      <c r="P71" s="75"/>
      <c r="Q71" s="75"/>
      <c r="R71" s="75"/>
      <c r="S71" s="75"/>
      <c r="T71" s="75"/>
      <c r="U71" s="74"/>
    </row>
    <row r="72" spans="1:21" ht="17.25" customHeight="1" x14ac:dyDescent="0.3">
      <c r="A72" s="66" t="s">
        <v>30</v>
      </c>
      <c r="C72" s="67"/>
      <c r="D72" s="77"/>
      <c r="E72" s="77" t="s">
        <v>31</v>
      </c>
      <c r="F72" s="76" t="s">
        <v>31</v>
      </c>
      <c r="G72" s="76" t="s">
        <v>31</v>
      </c>
      <c r="H72" s="76"/>
      <c r="I72" s="76"/>
      <c r="J72" s="76" t="s">
        <v>31</v>
      </c>
      <c r="K72" s="76" t="s">
        <v>31</v>
      </c>
      <c r="L72" s="76" t="s">
        <v>31</v>
      </c>
      <c r="M72" s="76" t="s">
        <v>31</v>
      </c>
      <c r="N72" s="76"/>
      <c r="U72" s="81"/>
    </row>
    <row r="73" spans="1:21" ht="20.25" customHeight="1" x14ac:dyDescent="0.35">
      <c r="A73" s="66" t="s">
        <v>30</v>
      </c>
      <c r="C73" s="67"/>
      <c r="D73" s="92" t="str">
        <f t="shared" ref="D73" si="38">E73</f>
        <v>C100017</v>
      </c>
      <c r="E73" s="91" t="str">
        <f>"C100017"</f>
        <v>C100017</v>
      </c>
      <c r="F73" s="89" t="str">
        <f>"Wheeled Duffel"</f>
        <v>Wheeled Duffel</v>
      </c>
      <c r="G73" s="89"/>
      <c r="H73" s="90" t="str">
        <f>"EA"</f>
        <v>EA</v>
      </c>
      <c r="I73" s="89"/>
      <c r="J73" s="89"/>
      <c r="K73" s="89"/>
      <c r="L73" s="89"/>
      <c r="M73" s="89"/>
      <c r="N73" s="89"/>
      <c r="O73" s="88">
        <f>(SUBTOTAL(9,O74:O76))</f>
        <v>200</v>
      </c>
      <c r="P73" s="88">
        <f>(SUBTOTAL(9,P74:P76))</f>
        <v>-24</v>
      </c>
      <c r="Q73" s="88">
        <f>(SUBTOTAL(9,Q74:Q76))</f>
        <v>0</v>
      </c>
      <c r="R73" s="88">
        <f>(SUBTOTAL(9,R74:R76))</f>
        <v>0</v>
      </c>
      <c r="S73" s="88">
        <f>(SUBTOTAL(9,S74:S76))</f>
        <v>0</v>
      </c>
      <c r="T73" s="88">
        <f>(SUBTOTAL(9,T74:T76))</f>
        <v>0</v>
      </c>
      <c r="U73" s="87">
        <f t="shared" ref="U73" si="39">SUBTOTAL(9,O74:T76)</f>
        <v>176</v>
      </c>
    </row>
    <row r="74" spans="1:21" ht="17.25" customHeight="1" x14ac:dyDescent="0.3">
      <c r="A74" s="66" t="s">
        <v>30</v>
      </c>
      <c r="C74" s="67"/>
      <c r="D74" s="77" t="str">
        <f t="shared" ref="D74" si="40">D73</f>
        <v>C100017</v>
      </c>
      <c r="E74" s="77"/>
      <c r="F74" s="76"/>
      <c r="G74" s="76" t="str">
        <f>"""NAV Direct"",""CRONUS JetCorp USA"",""32"",""1"",""166798"""</f>
        <v>"NAV Direct","CRONUS JetCorp USA","32","1","166798"</v>
      </c>
      <c r="H74" s="86">
        <v>43466</v>
      </c>
      <c r="I74" s="85">
        <v>166798</v>
      </c>
      <c r="J74" s="84" t="str">
        <f>"Vendor"</f>
        <v>Vendor</v>
      </c>
      <c r="K74" s="84" t="str">
        <f>"V100003"</f>
        <v>V100003</v>
      </c>
      <c r="L74" s="84" t="str">
        <f>IF($J74="Customer",_xll.NL("first",$J74,"Name","No.","@@"&amp;$K74),"")</f>
        <v/>
      </c>
      <c r="M74" s="84" t="str">
        <f>"LogoMasters"</f>
        <v>LogoMasters</v>
      </c>
      <c r="N74" s="84" t="str">
        <f>IF($J74="Item",_xll.NL("first",$J74,"Description","No.","@@"&amp;$K74),"")</f>
        <v/>
      </c>
      <c r="O74" s="83">
        <v>200</v>
      </c>
      <c r="P74" s="83">
        <v>0</v>
      </c>
      <c r="Q74" s="83">
        <v>0</v>
      </c>
      <c r="R74" s="83">
        <v>0</v>
      </c>
      <c r="S74" s="83">
        <v>0</v>
      </c>
      <c r="T74" s="83">
        <v>0</v>
      </c>
      <c r="U74" s="82"/>
    </row>
    <row r="75" spans="1:21" ht="17.25" customHeight="1" x14ac:dyDescent="0.3">
      <c r="A75" s="66" t="s">
        <v>30</v>
      </c>
      <c r="C75" s="67"/>
      <c r="D75" s="77" t="str">
        <f t="shared" ref="D75" si="41">D74</f>
        <v>C100017</v>
      </c>
      <c r="E75" s="77"/>
      <c r="F75" s="76"/>
      <c r="G75" s="76" t="str">
        <f>"""NAV Direct"",""CRONUS JetCorp USA"",""32"",""1"",""30027"""</f>
        <v>"NAV Direct","CRONUS JetCorp USA","32","1","30027"</v>
      </c>
      <c r="H75" s="86">
        <v>43471</v>
      </c>
      <c r="I75" s="85">
        <v>30027</v>
      </c>
      <c r="J75" s="84" t="str">
        <f>"Customer"</f>
        <v>Customer</v>
      </c>
      <c r="K75" s="84" t="str">
        <f>"C100012"</f>
        <v>C100012</v>
      </c>
      <c r="L75" s="84" t="str">
        <f>IF($J75="Customer",_xll.NL("first",$J75,"Name","No.","@@"&amp;$K75),"")</f>
        <v>Bainbridges</v>
      </c>
      <c r="M75" s="84" t="str">
        <f>""</f>
        <v/>
      </c>
      <c r="N75" s="84" t="str">
        <f>IF($J75="Item",_xll.NL("first",$J75,"Description","No.","@@"&amp;$K75),"")</f>
        <v/>
      </c>
      <c r="O75" s="83">
        <v>0</v>
      </c>
      <c r="P75" s="83">
        <v>-24</v>
      </c>
      <c r="Q75" s="83">
        <v>0</v>
      </c>
      <c r="R75" s="83">
        <v>0</v>
      </c>
      <c r="S75" s="83">
        <v>0</v>
      </c>
      <c r="T75" s="83">
        <v>0</v>
      </c>
      <c r="U75" s="82"/>
    </row>
    <row r="76" spans="1:21" ht="17.25" customHeight="1" x14ac:dyDescent="0.3">
      <c r="A76" s="66" t="s">
        <v>30</v>
      </c>
      <c r="C76" s="67"/>
      <c r="D76" s="77"/>
      <c r="E76" s="77"/>
      <c r="F76" s="76"/>
      <c r="G76" s="76"/>
      <c r="H76" s="76"/>
      <c r="I76" s="76"/>
      <c r="J76" s="76"/>
      <c r="K76" s="76"/>
      <c r="L76" s="76"/>
      <c r="M76" s="76"/>
      <c r="N76" s="76"/>
      <c r="O76" s="75"/>
      <c r="P76" s="75"/>
      <c r="Q76" s="75"/>
      <c r="R76" s="75"/>
      <c r="S76" s="75"/>
      <c r="T76" s="75"/>
      <c r="U76" s="74"/>
    </row>
    <row r="77" spans="1:21" ht="17.25" customHeight="1" x14ac:dyDescent="0.3">
      <c r="A77" s="66" t="s">
        <v>30</v>
      </c>
      <c r="C77" s="67"/>
      <c r="D77" s="77"/>
      <c r="E77" s="77" t="s">
        <v>31</v>
      </c>
      <c r="F77" s="76" t="s">
        <v>31</v>
      </c>
      <c r="G77" s="76" t="s">
        <v>31</v>
      </c>
      <c r="H77" s="76"/>
      <c r="I77" s="76"/>
      <c r="J77" s="76" t="s">
        <v>31</v>
      </c>
      <c r="K77" s="76" t="s">
        <v>31</v>
      </c>
      <c r="L77" s="76" t="s">
        <v>31</v>
      </c>
      <c r="M77" s="76" t="s">
        <v>31</v>
      </c>
      <c r="N77" s="76"/>
      <c r="U77" s="81"/>
    </row>
    <row r="78" spans="1:21" ht="20.25" customHeight="1" x14ac:dyDescent="0.35">
      <c r="A78" s="66" t="s">
        <v>30</v>
      </c>
      <c r="C78" s="67"/>
      <c r="D78" s="92" t="str">
        <f t="shared" ref="D78" si="42">E78</f>
        <v>C100018</v>
      </c>
      <c r="E78" s="91" t="str">
        <f>"C100018"</f>
        <v>C100018</v>
      </c>
      <c r="F78" s="89" t="str">
        <f>"Action Sport Duffel"</f>
        <v>Action Sport Duffel</v>
      </c>
      <c r="G78" s="89"/>
      <c r="H78" s="90" t="str">
        <f>"EA"</f>
        <v>EA</v>
      </c>
      <c r="I78" s="89"/>
      <c r="J78" s="89"/>
      <c r="K78" s="89"/>
      <c r="L78" s="89"/>
      <c r="M78" s="89"/>
      <c r="N78" s="89"/>
      <c r="O78" s="88">
        <f>(SUBTOTAL(9,O79:O80))</f>
        <v>0</v>
      </c>
      <c r="P78" s="88">
        <f>(SUBTOTAL(9,P79:P80))</f>
        <v>-6</v>
      </c>
      <c r="Q78" s="88">
        <f>(SUBTOTAL(9,Q79:Q80))</f>
        <v>0</v>
      </c>
      <c r="R78" s="88">
        <f>(SUBTOTAL(9,R79:R80))</f>
        <v>0</v>
      </c>
      <c r="S78" s="88">
        <f>(SUBTOTAL(9,S79:S80))</f>
        <v>0</v>
      </c>
      <c r="T78" s="88">
        <f>(SUBTOTAL(9,T79:T80))</f>
        <v>0</v>
      </c>
      <c r="U78" s="87">
        <f t="shared" ref="U78" si="43">SUBTOTAL(9,O79:T80)</f>
        <v>-6</v>
      </c>
    </row>
    <row r="79" spans="1:21" ht="17.25" customHeight="1" x14ac:dyDescent="0.3">
      <c r="A79" s="66" t="s">
        <v>30</v>
      </c>
      <c r="C79" s="67"/>
      <c r="D79" s="77" t="str">
        <f t="shared" ref="D79" si="44">D78</f>
        <v>C100018</v>
      </c>
      <c r="E79" s="77"/>
      <c r="F79" s="76"/>
      <c r="G79" s="76" t="str">
        <f>"""NAV Direct"",""CRONUS JetCorp USA"",""32"",""1"",""30117"""</f>
        <v>"NAV Direct","CRONUS JetCorp USA","32","1","30117"</v>
      </c>
      <c r="H79" s="86">
        <v>43475</v>
      </c>
      <c r="I79" s="85">
        <v>30117</v>
      </c>
      <c r="J79" s="84" t="str">
        <f>"Customer"</f>
        <v>Customer</v>
      </c>
      <c r="K79" s="84" t="str">
        <f>"C100012"</f>
        <v>C100012</v>
      </c>
      <c r="L79" s="84" t="str">
        <f>IF($J79="Customer",_xll.NL("first",$J79,"Name","No.","@@"&amp;$K79),"")</f>
        <v>Bainbridges</v>
      </c>
      <c r="M79" s="84" t="str">
        <f>""</f>
        <v/>
      </c>
      <c r="N79" s="84" t="str">
        <f>IF($J79="Item",_xll.NL("first",$J79,"Description","No.","@@"&amp;$K79),"")</f>
        <v/>
      </c>
      <c r="O79" s="83">
        <v>0</v>
      </c>
      <c r="P79" s="83">
        <v>-6</v>
      </c>
      <c r="Q79" s="83">
        <v>0</v>
      </c>
      <c r="R79" s="83">
        <v>0</v>
      </c>
      <c r="S79" s="83">
        <v>0</v>
      </c>
      <c r="T79" s="83">
        <v>0</v>
      </c>
      <c r="U79" s="82"/>
    </row>
    <row r="80" spans="1:21" ht="17.25" customHeight="1" x14ac:dyDescent="0.3">
      <c r="A80" s="66" t="s">
        <v>30</v>
      </c>
      <c r="C80" s="67"/>
      <c r="D80" s="77"/>
      <c r="E80" s="77"/>
      <c r="F80" s="76"/>
      <c r="G80" s="76"/>
      <c r="H80" s="76"/>
      <c r="I80" s="76"/>
      <c r="J80" s="76"/>
      <c r="K80" s="76"/>
      <c r="L80" s="76"/>
      <c r="M80" s="76"/>
      <c r="N80" s="76"/>
      <c r="O80" s="75"/>
      <c r="P80" s="75"/>
      <c r="Q80" s="75"/>
      <c r="R80" s="75"/>
      <c r="S80" s="75"/>
      <c r="T80" s="75"/>
      <c r="U80" s="74"/>
    </row>
    <row r="81" spans="1:21" ht="17.25" customHeight="1" x14ac:dyDescent="0.3">
      <c r="A81" s="66" t="s">
        <v>30</v>
      </c>
      <c r="C81" s="67"/>
      <c r="D81" s="77"/>
      <c r="E81" s="77" t="s">
        <v>31</v>
      </c>
      <c r="F81" s="76" t="s">
        <v>31</v>
      </c>
      <c r="G81" s="76" t="s">
        <v>31</v>
      </c>
      <c r="H81" s="76"/>
      <c r="I81" s="76"/>
      <c r="J81" s="76" t="s">
        <v>31</v>
      </c>
      <c r="K81" s="76" t="s">
        <v>31</v>
      </c>
      <c r="L81" s="76" t="s">
        <v>31</v>
      </c>
      <c r="M81" s="76" t="s">
        <v>31</v>
      </c>
      <c r="N81" s="76"/>
      <c r="U81" s="81"/>
    </row>
    <row r="82" spans="1:21" ht="20.25" customHeight="1" x14ac:dyDescent="0.35">
      <c r="A82" s="66" t="s">
        <v>30</v>
      </c>
      <c r="C82" s="67"/>
      <c r="D82" s="92" t="str">
        <f t="shared" ref="D82" si="45">E82</f>
        <v>C100019</v>
      </c>
      <c r="E82" s="91" t="str">
        <f>"C100019"</f>
        <v>C100019</v>
      </c>
      <c r="F82" s="89" t="str">
        <f>"Black Duffel Bag"</f>
        <v>Black Duffel Bag</v>
      </c>
      <c r="G82" s="89"/>
      <c r="H82" s="90" t="str">
        <f>"EA"</f>
        <v>EA</v>
      </c>
      <c r="I82" s="89"/>
      <c r="J82" s="89"/>
      <c r="K82" s="89"/>
      <c r="L82" s="89"/>
      <c r="M82" s="89"/>
      <c r="N82" s="89"/>
      <c r="O82" s="88">
        <f>(SUBTOTAL(9,O83:O85))</f>
        <v>400</v>
      </c>
      <c r="P82" s="88">
        <f>(SUBTOTAL(9,P83:P85))</f>
        <v>-48</v>
      </c>
      <c r="Q82" s="88">
        <f>(SUBTOTAL(9,Q83:Q85))</f>
        <v>0</v>
      </c>
      <c r="R82" s="88">
        <f>(SUBTOTAL(9,R83:R85))</f>
        <v>0</v>
      </c>
      <c r="S82" s="88">
        <f>(SUBTOTAL(9,S83:S85))</f>
        <v>0</v>
      </c>
      <c r="T82" s="88">
        <f>(SUBTOTAL(9,T83:T85))</f>
        <v>0</v>
      </c>
      <c r="U82" s="87">
        <f t="shared" ref="U82" si="46">SUBTOTAL(9,O83:T85)</f>
        <v>352</v>
      </c>
    </row>
    <row r="83" spans="1:21" ht="17.25" customHeight="1" x14ac:dyDescent="0.3">
      <c r="A83" s="66" t="s">
        <v>30</v>
      </c>
      <c r="C83" s="67"/>
      <c r="D83" s="77" t="str">
        <f t="shared" ref="D83" si="47">D82</f>
        <v>C100019</v>
      </c>
      <c r="E83" s="77"/>
      <c r="F83" s="76"/>
      <c r="G83" s="76" t="str">
        <f>"""NAV Direct"",""CRONUS JetCorp USA"",""32"",""1"",""166797"""</f>
        <v>"NAV Direct","CRONUS JetCorp USA","32","1","166797"</v>
      </c>
      <c r="H83" s="86">
        <v>43466</v>
      </c>
      <c r="I83" s="85">
        <v>166797</v>
      </c>
      <c r="J83" s="84" t="str">
        <f>"Vendor"</f>
        <v>Vendor</v>
      </c>
      <c r="K83" s="84" t="str">
        <f>"V100003"</f>
        <v>V100003</v>
      </c>
      <c r="L83" s="84" t="str">
        <f>IF($J83="Customer",_xll.NL("first",$J83,"Name","No.","@@"&amp;$K83),"")</f>
        <v/>
      </c>
      <c r="M83" s="84" t="str">
        <f>"LogoMasters"</f>
        <v>LogoMasters</v>
      </c>
      <c r="N83" s="84" t="str">
        <f>IF($J83="Item",_xll.NL("first",$J83,"Description","No.","@@"&amp;$K83),"")</f>
        <v/>
      </c>
      <c r="O83" s="83">
        <v>400</v>
      </c>
      <c r="P83" s="83">
        <v>0</v>
      </c>
      <c r="Q83" s="83">
        <v>0</v>
      </c>
      <c r="R83" s="83">
        <v>0</v>
      </c>
      <c r="S83" s="83">
        <v>0</v>
      </c>
      <c r="T83" s="83">
        <v>0</v>
      </c>
      <c r="U83" s="82"/>
    </row>
    <row r="84" spans="1:21" ht="17.25" customHeight="1" x14ac:dyDescent="0.3">
      <c r="A84" s="66" t="s">
        <v>30</v>
      </c>
      <c r="C84" s="67"/>
      <c r="D84" s="77" t="str">
        <f t="shared" ref="D84" si="48">D83</f>
        <v>C100019</v>
      </c>
      <c r="E84" s="77"/>
      <c r="F84" s="76"/>
      <c r="G84" s="76" t="str">
        <f>"""NAV Direct"",""CRONUS JetCorp USA"",""32"",""1"",""30101"""</f>
        <v>"NAV Direct","CRONUS JetCorp USA","32","1","30101"</v>
      </c>
      <c r="H84" s="86">
        <v>43475</v>
      </c>
      <c r="I84" s="85">
        <v>30101</v>
      </c>
      <c r="J84" s="84" t="str">
        <f>"Customer"</f>
        <v>Customer</v>
      </c>
      <c r="K84" s="84" t="str">
        <f>"C100012"</f>
        <v>C100012</v>
      </c>
      <c r="L84" s="84" t="str">
        <f>IF($J84="Customer",_xll.NL("first",$J84,"Name","No.","@@"&amp;$K84),"")</f>
        <v>Bainbridges</v>
      </c>
      <c r="M84" s="84" t="str">
        <f>""</f>
        <v/>
      </c>
      <c r="N84" s="84" t="str">
        <f>IF($J84="Item",_xll.NL("first",$J84,"Description","No.","@@"&amp;$K84),"")</f>
        <v/>
      </c>
      <c r="O84" s="83">
        <v>0</v>
      </c>
      <c r="P84" s="83">
        <v>-48</v>
      </c>
      <c r="Q84" s="83">
        <v>0</v>
      </c>
      <c r="R84" s="83">
        <v>0</v>
      </c>
      <c r="S84" s="83">
        <v>0</v>
      </c>
      <c r="T84" s="83">
        <v>0</v>
      </c>
      <c r="U84" s="82"/>
    </row>
    <row r="85" spans="1:21" ht="17.25" customHeight="1" x14ac:dyDescent="0.3">
      <c r="A85" s="66" t="s">
        <v>30</v>
      </c>
      <c r="C85" s="67"/>
      <c r="D85" s="77"/>
      <c r="E85" s="77"/>
      <c r="F85" s="76"/>
      <c r="G85" s="76"/>
      <c r="H85" s="76"/>
      <c r="I85" s="76"/>
      <c r="J85" s="76"/>
      <c r="K85" s="76"/>
      <c r="L85" s="76"/>
      <c r="M85" s="76"/>
      <c r="N85" s="76"/>
      <c r="O85" s="75"/>
      <c r="P85" s="75"/>
      <c r="Q85" s="75"/>
      <c r="R85" s="75"/>
      <c r="S85" s="75"/>
      <c r="T85" s="75"/>
      <c r="U85" s="74"/>
    </row>
    <row r="86" spans="1:21" ht="17.25" customHeight="1" x14ac:dyDescent="0.3">
      <c r="A86" s="66" t="s">
        <v>30</v>
      </c>
      <c r="C86" s="67"/>
      <c r="D86" s="77"/>
      <c r="E86" s="77" t="s">
        <v>31</v>
      </c>
      <c r="F86" s="76" t="s">
        <v>31</v>
      </c>
      <c r="G86" s="76" t="s">
        <v>31</v>
      </c>
      <c r="H86" s="76"/>
      <c r="I86" s="76"/>
      <c r="J86" s="76" t="s">
        <v>31</v>
      </c>
      <c r="K86" s="76" t="s">
        <v>31</v>
      </c>
      <c r="L86" s="76" t="s">
        <v>31</v>
      </c>
      <c r="M86" s="76" t="s">
        <v>31</v>
      </c>
      <c r="N86" s="76"/>
      <c r="U86" s="81"/>
    </row>
    <row r="87" spans="1:21" ht="20.25" customHeight="1" x14ac:dyDescent="0.35">
      <c r="A87" s="66" t="s">
        <v>30</v>
      </c>
      <c r="C87" s="67"/>
      <c r="D87" s="92" t="str">
        <f t="shared" ref="D87" si="49">E87</f>
        <v>C100020</v>
      </c>
      <c r="E87" s="91" t="str">
        <f>"C100020"</f>
        <v>C100020</v>
      </c>
      <c r="F87" s="89" t="str">
        <f>"Gym Locker Bag"</f>
        <v>Gym Locker Bag</v>
      </c>
      <c r="G87" s="89"/>
      <c r="H87" s="90" t="str">
        <f>"EA"</f>
        <v>EA</v>
      </c>
      <c r="I87" s="89"/>
      <c r="J87" s="89"/>
      <c r="K87" s="89"/>
      <c r="L87" s="89"/>
      <c r="M87" s="89"/>
      <c r="N87" s="89"/>
      <c r="O87" s="88">
        <f>(SUBTOTAL(9,O88:O90))</f>
        <v>400</v>
      </c>
      <c r="P87" s="88">
        <f>(SUBTOTAL(9,P88:P90))</f>
        <v>-144</v>
      </c>
      <c r="Q87" s="88">
        <f>(SUBTOTAL(9,Q88:Q90))</f>
        <v>0</v>
      </c>
      <c r="R87" s="88">
        <f>(SUBTOTAL(9,R88:R90))</f>
        <v>0</v>
      </c>
      <c r="S87" s="88">
        <f>(SUBTOTAL(9,S88:S90))</f>
        <v>0</v>
      </c>
      <c r="T87" s="88">
        <f>(SUBTOTAL(9,T88:T90))</f>
        <v>0</v>
      </c>
      <c r="U87" s="87">
        <f t="shared" ref="U87" si="50">SUBTOTAL(9,O88:T90)</f>
        <v>256</v>
      </c>
    </row>
    <row r="88" spans="1:21" ht="17.25" customHeight="1" x14ac:dyDescent="0.3">
      <c r="A88" s="66" t="s">
        <v>30</v>
      </c>
      <c r="C88" s="67"/>
      <c r="D88" s="77" t="str">
        <f t="shared" ref="D88" si="51">D87</f>
        <v>C100020</v>
      </c>
      <c r="E88" s="77"/>
      <c r="F88" s="76"/>
      <c r="G88" s="76" t="str">
        <f>"""NAV Direct"",""CRONUS JetCorp USA"",""32"",""1"",""166796"""</f>
        <v>"NAV Direct","CRONUS JetCorp USA","32","1","166796"</v>
      </c>
      <c r="H88" s="86">
        <v>43466</v>
      </c>
      <c r="I88" s="85">
        <v>166796</v>
      </c>
      <c r="J88" s="84" t="str">
        <f>"Vendor"</f>
        <v>Vendor</v>
      </c>
      <c r="K88" s="84" t="str">
        <f>"V100003"</f>
        <v>V100003</v>
      </c>
      <c r="L88" s="84" t="str">
        <f>IF($J88="Customer",_xll.NL("first",$J88,"Name","No.","@@"&amp;$K88),"")</f>
        <v/>
      </c>
      <c r="M88" s="84" t="str">
        <f>"LogoMasters"</f>
        <v>LogoMasters</v>
      </c>
      <c r="N88" s="84" t="str">
        <f>IF($J88="Item",_xll.NL("first",$J88,"Description","No.","@@"&amp;$K88),"")</f>
        <v/>
      </c>
      <c r="O88" s="83">
        <v>400</v>
      </c>
      <c r="P88" s="83">
        <v>0</v>
      </c>
      <c r="Q88" s="83">
        <v>0</v>
      </c>
      <c r="R88" s="83">
        <v>0</v>
      </c>
      <c r="S88" s="83">
        <v>0</v>
      </c>
      <c r="T88" s="83">
        <v>0</v>
      </c>
      <c r="U88" s="82"/>
    </row>
    <row r="89" spans="1:21" ht="17.25" customHeight="1" x14ac:dyDescent="0.3">
      <c r="A89" s="66" t="s">
        <v>30</v>
      </c>
      <c r="C89" s="67"/>
      <c r="D89" s="77" t="str">
        <f t="shared" ref="D89" si="52">D88</f>
        <v>C100020</v>
      </c>
      <c r="E89" s="77"/>
      <c r="F89" s="76"/>
      <c r="G89" s="76" t="str">
        <f>"""NAV Direct"",""CRONUS JetCorp USA"",""32"",""1"",""30103"""</f>
        <v>"NAV Direct","CRONUS JetCorp USA","32","1","30103"</v>
      </c>
      <c r="H89" s="86">
        <v>43475</v>
      </c>
      <c r="I89" s="85">
        <v>30103</v>
      </c>
      <c r="J89" s="84" t="str">
        <f>"Customer"</f>
        <v>Customer</v>
      </c>
      <c r="K89" s="84" t="str">
        <f>"C100012"</f>
        <v>C100012</v>
      </c>
      <c r="L89" s="84" t="str">
        <f>IF($J89="Customer",_xll.NL("first",$J89,"Name","No.","@@"&amp;$K89),"")</f>
        <v>Bainbridges</v>
      </c>
      <c r="M89" s="84" t="str">
        <f>""</f>
        <v/>
      </c>
      <c r="N89" s="84" t="str">
        <f>IF($J89="Item",_xll.NL("first",$J89,"Description","No.","@@"&amp;$K89),"")</f>
        <v/>
      </c>
      <c r="O89" s="83">
        <v>0</v>
      </c>
      <c r="P89" s="83">
        <v>-144</v>
      </c>
      <c r="Q89" s="83">
        <v>0</v>
      </c>
      <c r="R89" s="83">
        <v>0</v>
      </c>
      <c r="S89" s="83">
        <v>0</v>
      </c>
      <c r="T89" s="83">
        <v>0</v>
      </c>
      <c r="U89" s="82"/>
    </row>
    <row r="90" spans="1:21" ht="17.25" customHeight="1" x14ac:dyDescent="0.3">
      <c r="A90" s="66" t="s">
        <v>30</v>
      </c>
      <c r="C90" s="67"/>
      <c r="D90" s="77"/>
      <c r="E90" s="77"/>
      <c r="F90" s="76"/>
      <c r="G90" s="76"/>
      <c r="H90" s="76"/>
      <c r="I90" s="76"/>
      <c r="J90" s="76"/>
      <c r="K90" s="76"/>
      <c r="L90" s="76"/>
      <c r="M90" s="76"/>
      <c r="N90" s="76"/>
      <c r="O90" s="75"/>
      <c r="P90" s="75"/>
      <c r="Q90" s="75"/>
      <c r="R90" s="75"/>
      <c r="S90" s="75"/>
      <c r="T90" s="75"/>
      <c r="U90" s="74"/>
    </row>
    <row r="91" spans="1:21" ht="17.25" customHeight="1" x14ac:dyDescent="0.3">
      <c r="A91" s="66" t="s">
        <v>30</v>
      </c>
      <c r="C91" s="67"/>
      <c r="D91" s="77"/>
      <c r="E91" s="77" t="s">
        <v>31</v>
      </c>
      <c r="F91" s="76" t="s">
        <v>31</v>
      </c>
      <c r="G91" s="76" t="s">
        <v>31</v>
      </c>
      <c r="H91" s="76"/>
      <c r="I91" s="76"/>
      <c r="J91" s="76" t="s">
        <v>31</v>
      </c>
      <c r="K91" s="76" t="s">
        <v>31</v>
      </c>
      <c r="L91" s="76" t="s">
        <v>31</v>
      </c>
      <c r="M91" s="76" t="s">
        <v>31</v>
      </c>
      <c r="N91" s="76"/>
      <c r="U91" s="81"/>
    </row>
    <row r="92" spans="1:21" ht="20.25" customHeight="1" x14ac:dyDescent="0.35">
      <c r="A92" s="66" t="s">
        <v>30</v>
      </c>
      <c r="C92" s="67"/>
      <c r="D92" s="92" t="str">
        <f t="shared" ref="D92" si="53">E92</f>
        <v>C100021</v>
      </c>
      <c r="E92" s="91" t="str">
        <f>"C100021"</f>
        <v>C100021</v>
      </c>
      <c r="F92" s="89" t="str">
        <f>"Canvas Boat Bag"</f>
        <v>Canvas Boat Bag</v>
      </c>
      <c r="G92" s="89"/>
      <c r="H92" s="90" t="str">
        <f>"EA"</f>
        <v>EA</v>
      </c>
      <c r="I92" s="89"/>
      <c r="J92" s="89"/>
      <c r="K92" s="89"/>
      <c r="L92" s="89"/>
      <c r="M92" s="89"/>
      <c r="N92" s="89"/>
      <c r="O92" s="88">
        <f>(SUBTOTAL(9,O93:O96))</f>
        <v>400</v>
      </c>
      <c r="P92" s="88">
        <f>(SUBTOTAL(9,P93:P96))</f>
        <v>-432</v>
      </c>
      <c r="Q92" s="88">
        <f>(SUBTOTAL(9,Q93:Q96))</f>
        <v>0</v>
      </c>
      <c r="R92" s="88">
        <f>(SUBTOTAL(9,R93:R96))</f>
        <v>0</v>
      </c>
      <c r="S92" s="88">
        <f>(SUBTOTAL(9,S93:S96))</f>
        <v>0</v>
      </c>
      <c r="T92" s="88">
        <f>(SUBTOTAL(9,T93:T96))</f>
        <v>0</v>
      </c>
      <c r="U92" s="87">
        <f t="shared" ref="U92" si="54">SUBTOTAL(9,O93:T96)</f>
        <v>-32</v>
      </c>
    </row>
    <row r="93" spans="1:21" ht="17.25" customHeight="1" x14ac:dyDescent="0.3">
      <c r="A93" s="66" t="s">
        <v>30</v>
      </c>
      <c r="C93" s="67"/>
      <c r="D93" s="77" t="str">
        <f t="shared" ref="D93" si="55">D92</f>
        <v>C100021</v>
      </c>
      <c r="E93" s="77"/>
      <c r="F93" s="76"/>
      <c r="G93" s="76" t="str">
        <f>"""NAV Direct"",""CRONUS JetCorp USA"",""32"",""1"",""166795"""</f>
        <v>"NAV Direct","CRONUS JetCorp USA","32","1","166795"</v>
      </c>
      <c r="H93" s="86">
        <v>43466</v>
      </c>
      <c r="I93" s="85">
        <v>166795</v>
      </c>
      <c r="J93" s="84" t="str">
        <f>"Vendor"</f>
        <v>Vendor</v>
      </c>
      <c r="K93" s="84" t="str">
        <f>"V100003"</f>
        <v>V100003</v>
      </c>
      <c r="L93" s="84" t="str">
        <f>IF($J93="Customer",_xll.NL("first",$J93,"Name","No.","@@"&amp;$K93),"")</f>
        <v/>
      </c>
      <c r="M93" s="84" t="str">
        <f>"LogoMasters"</f>
        <v>LogoMasters</v>
      </c>
      <c r="N93" s="84" t="str">
        <f>IF($J93="Item",_xll.NL("first",$J93,"Description","No.","@@"&amp;$K93),"")</f>
        <v/>
      </c>
      <c r="O93" s="83">
        <v>400</v>
      </c>
      <c r="P93" s="83">
        <v>0</v>
      </c>
      <c r="Q93" s="83">
        <v>0</v>
      </c>
      <c r="R93" s="83">
        <v>0</v>
      </c>
      <c r="S93" s="83">
        <v>0</v>
      </c>
      <c r="T93" s="83">
        <v>0</v>
      </c>
      <c r="U93" s="82"/>
    </row>
    <row r="94" spans="1:21" ht="17.25" customHeight="1" x14ac:dyDescent="0.3">
      <c r="A94" s="66" t="s">
        <v>30</v>
      </c>
      <c r="C94" s="67"/>
      <c r="D94" s="77" t="str">
        <f t="shared" ref="D94:D95" si="56">D93</f>
        <v>C100021</v>
      </c>
      <c r="E94" s="77"/>
      <c r="F94" s="76"/>
      <c r="G94" s="76" t="str">
        <f>"""NAV Direct"",""CRONUS JetCorp USA"",""32"",""1"",""30029"""</f>
        <v>"NAV Direct","CRONUS JetCorp USA","32","1","30029"</v>
      </c>
      <c r="H94" s="86">
        <v>43471</v>
      </c>
      <c r="I94" s="85">
        <v>30029</v>
      </c>
      <c r="J94" s="84" t="str">
        <f>"Customer"</f>
        <v>Customer</v>
      </c>
      <c r="K94" s="84" t="str">
        <f>"C100012"</f>
        <v>C100012</v>
      </c>
      <c r="L94" s="84" t="str">
        <f>IF($J94="Customer",_xll.NL("first",$J94,"Name","No.","@@"&amp;$K94),"")</f>
        <v>Bainbridges</v>
      </c>
      <c r="M94" s="84" t="str">
        <f>""</f>
        <v/>
      </c>
      <c r="N94" s="84" t="str">
        <f>IF($J94="Item",_xll.NL("first",$J94,"Description","No.","@@"&amp;$K94),"")</f>
        <v/>
      </c>
      <c r="O94" s="83">
        <v>0</v>
      </c>
      <c r="P94" s="83">
        <v>-288</v>
      </c>
      <c r="Q94" s="83">
        <v>0</v>
      </c>
      <c r="R94" s="83">
        <v>0</v>
      </c>
      <c r="S94" s="83">
        <v>0</v>
      </c>
      <c r="T94" s="83">
        <v>0</v>
      </c>
      <c r="U94" s="82"/>
    </row>
    <row r="95" spans="1:21" ht="17.25" customHeight="1" x14ac:dyDescent="0.3">
      <c r="A95" s="66" t="s">
        <v>30</v>
      </c>
      <c r="C95" s="67"/>
      <c r="D95" s="77" t="str">
        <f t="shared" si="56"/>
        <v>C100021</v>
      </c>
      <c r="E95" s="77"/>
      <c r="F95" s="76"/>
      <c r="G95" s="76" t="str">
        <f>"""NAV Direct"",""CRONUS JetCorp USA"",""32"",""1"",""30104"""</f>
        <v>"NAV Direct","CRONUS JetCorp USA","32","1","30104"</v>
      </c>
      <c r="H95" s="86">
        <v>43475</v>
      </c>
      <c r="I95" s="85">
        <v>30104</v>
      </c>
      <c r="J95" s="84" t="str">
        <f>"Customer"</f>
        <v>Customer</v>
      </c>
      <c r="K95" s="84" t="str">
        <f>"C100012"</f>
        <v>C100012</v>
      </c>
      <c r="L95" s="84" t="str">
        <f>IF($J95="Customer",_xll.NL("first",$J95,"Name","No.","@@"&amp;$K95),"")</f>
        <v>Bainbridges</v>
      </c>
      <c r="M95" s="84" t="str">
        <f>""</f>
        <v/>
      </c>
      <c r="N95" s="84" t="str">
        <f>IF($J95="Item",_xll.NL("first",$J95,"Description","No.","@@"&amp;$K95),"")</f>
        <v/>
      </c>
      <c r="O95" s="83">
        <v>0</v>
      </c>
      <c r="P95" s="83">
        <v>-144</v>
      </c>
      <c r="Q95" s="83">
        <v>0</v>
      </c>
      <c r="R95" s="83">
        <v>0</v>
      </c>
      <c r="S95" s="83">
        <v>0</v>
      </c>
      <c r="T95" s="83">
        <v>0</v>
      </c>
      <c r="U95" s="82"/>
    </row>
    <row r="96" spans="1:21" ht="17.25" customHeight="1" x14ac:dyDescent="0.3">
      <c r="A96" s="66" t="s">
        <v>30</v>
      </c>
      <c r="C96" s="67"/>
      <c r="D96" s="77"/>
      <c r="E96" s="77"/>
      <c r="F96" s="76"/>
      <c r="G96" s="76"/>
      <c r="H96" s="76"/>
      <c r="I96" s="76"/>
      <c r="J96" s="76"/>
      <c r="K96" s="76"/>
      <c r="L96" s="76"/>
      <c r="M96" s="76"/>
      <c r="N96" s="76"/>
      <c r="O96" s="75"/>
      <c r="P96" s="75"/>
      <c r="Q96" s="75"/>
      <c r="R96" s="75"/>
      <c r="S96" s="75"/>
      <c r="T96" s="75"/>
      <c r="U96" s="74"/>
    </row>
    <row r="97" spans="1:21" ht="17.25" customHeight="1" x14ac:dyDescent="0.3">
      <c r="A97" s="66" t="s">
        <v>30</v>
      </c>
      <c r="C97" s="67"/>
      <c r="D97" s="77"/>
      <c r="E97" s="77" t="s">
        <v>31</v>
      </c>
      <c r="F97" s="76" t="s">
        <v>31</v>
      </c>
      <c r="G97" s="76" t="s">
        <v>31</v>
      </c>
      <c r="H97" s="76"/>
      <c r="I97" s="76"/>
      <c r="J97" s="76" t="s">
        <v>31</v>
      </c>
      <c r="K97" s="76" t="s">
        <v>31</v>
      </c>
      <c r="L97" s="76" t="s">
        <v>31</v>
      </c>
      <c r="M97" s="76" t="s">
        <v>31</v>
      </c>
      <c r="N97" s="76"/>
      <c r="U97" s="81"/>
    </row>
    <row r="98" spans="1:21" ht="20.25" customHeight="1" x14ac:dyDescent="0.35">
      <c r="A98" s="66" t="s">
        <v>30</v>
      </c>
      <c r="C98" s="67"/>
      <c r="D98" s="92" t="str">
        <f t="shared" ref="D98" si="57">E98</f>
        <v>C100022</v>
      </c>
      <c r="E98" s="91" t="str">
        <f>"C100022"</f>
        <v>C100022</v>
      </c>
      <c r="F98" s="89" t="str">
        <f>"Two-Toned Cap"</f>
        <v>Two-Toned Cap</v>
      </c>
      <c r="G98" s="89"/>
      <c r="H98" s="90" t="str">
        <f>"EA"</f>
        <v>EA</v>
      </c>
      <c r="I98" s="89"/>
      <c r="J98" s="89"/>
      <c r="K98" s="89"/>
      <c r="L98" s="89"/>
      <c r="M98" s="89"/>
      <c r="N98" s="89"/>
      <c r="O98" s="88">
        <f>(SUBTOTAL(9,O99:O100))</f>
        <v>400</v>
      </c>
      <c r="P98" s="88">
        <f>(SUBTOTAL(9,P99:P100))</f>
        <v>0</v>
      </c>
      <c r="Q98" s="88">
        <f>(SUBTOTAL(9,Q99:Q100))</f>
        <v>0</v>
      </c>
      <c r="R98" s="88">
        <f>(SUBTOTAL(9,R99:R100))</f>
        <v>0</v>
      </c>
      <c r="S98" s="88">
        <f>(SUBTOTAL(9,S99:S100))</f>
        <v>0</v>
      </c>
      <c r="T98" s="88">
        <f>(SUBTOTAL(9,T99:T100))</f>
        <v>0</v>
      </c>
      <c r="U98" s="87">
        <f t="shared" ref="U98" si="58">SUBTOTAL(9,O99:T100)</f>
        <v>400</v>
      </c>
    </row>
    <row r="99" spans="1:21" ht="17.25" customHeight="1" x14ac:dyDescent="0.3">
      <c r="A99" s="66" t="s">
        <v>30</v>
      </c>
      <c r="C99" s="67"/>
      <c r="D99" s="77" t="str">
        <f t="shared" ref="D99" si="59">D98</f>
        <v>C100022</v>
      </c>
      <c r="E99" s="77"/>
      <c r="F99" s="76"/>
      <c r="G99" s="76" t="str">
        <f>"""NAV Direct"",""CRONUS JetCorp USA"",""32"",""1"",""167168"""</f>
        <v>"NAV Direct","CRONUS JetCorp USA","32","1","167168"</v>
      </c>
      <c r="H99" s="86">
        <v>43466</v>
      </c>
      <c r="I99" s="85">
        <v>167168</v>
      </c>
      <c r="J99" s="84" t="str">
        <f>"Vendor"</f>
        <v>Vendor</v>
      </c>
      <c r="K99" s="84" t="str">
        <f>"V100003"</f>
        <v>V100003</v>
      </c>
      <c r="L99" s="84" t="str">
        <f>IF($J99="Customer",_xll.NL("first",$J99,"Name","No.","@@"&amp;$K99),"")</f>
        <v/>
      </c>
      <c r="M99" s="84" t="str">
        <f>"LogoMasters"</f>
        <v>LogoMasters</v>
      </c>
      <c r="N99" s="84" t="str">
        <f>IF($J99="Item",_xll.NL("first",$J99,"Description","No.","@@"&amp;$K99),"")</f>
        <v/>
      </c>
      <c r="O99" s="83">
        <v>400</v>
      </c>
      <c r="P99" s="83">
        <v>0</v>
      </c>
      <c r="Q99" s="83">
        <v>0</v>
      </c>
      <c r="R99" s="83">
        <v>0</v>
      </c>
      <c r="S99" s="83">
        <v>0</v>
      </c>
      <c r="T99" s="83">
        <v>0</v>
      </c>
      <c r="U99" s="82"/>
    </row>
    <row r="100" spans="1:21" ht="17.25" customHeight="1" x14ac:dyDescent="0.3">
      <c r="A100" s="66" t="s">
        <v>30</v>
      </c>
      <c r="C100" s="67"/>
      <c r="D100" s="77"/>
      <c r="E100" s="77"/>
      <c r="F100" s="76"/>
      <c r="G100" s="76"/>
      <c r="H100" s="76"/>
      <c r="I100" s="76"/>
      <c r="J100" s="76"/>
      <c r="K100" s="76"/>
      <c r="L100" s="76"/>
      <c r="M100" s="76"/>
      <c r="N100" s="76"/>
      <c r="O100" s="75"/>
      <c r="P100" s="75"/>
      <c r="Q100" s="75"/>
      <c r="R100" s="75"/>
      <c r="S100" s="75"/>
      <c r="T100" s="75"/>
      <c r="U100" s="74"/>
    </row>
    <row r="101" spans="1:21" ht="17.25" customHeight="1" x14ac:dyDescent="0.3">
      <c r="A101" s="66" t="s">
        <v>30</v>
      </c>
      <c r="C101" s="67"/>
      <c r="D101" s="77"/>
      <c r="E101" s="77" t="s">
        <v>31</v>
      </c>
      <c r="F101" s="76" t="s">
        <v>31</v>
      </c>
      <c r="G101" s="76" t="s">
        <v>31</v>
      </c>
      <c r="H101" s="76"/>
      <c r="I101" s="76"/>
      <c r="J101" s="76" t="s">
        <v>31</v>
      </c>
      <c r="K101" s="76" t="s">
        <v>31</v>
      </c>
      <c r="L101" s="76" t="s">
        <v>31</v>
      </c>
      <c r="M101" s="76" t="s">
        <v>31</v>
      </c>
      <c r="N101" s="76"/>
      <c r="U101" s="81"/>
    </row>
    <row r="102" spans="1:21" ht="20.25" customHeight="1" x14ac:dyDescent="0.35">
      <c r="A102" s="66" t="s">
        <v>30</v>
      </c>
      <c r="C102" s="67"/>
      <c r="D102" s="92" t="str">
        <f t="shared" ref="D102" si="60">E102</f>
        <v>C100023</v>
      </c>
      <c r="E102" s="91" t="str">
        <f>"C100023"</f>
        <v>C100023</v>
      </c>
      <c r="F102" s="89" t="str">
        <f>"Two-Toned Knit Hat"</f>
        <v>Two-Toned Knit Hat</v>
      </c>
      <c r="G102" s="89"/>
      <c r="H102" s="90" t="str">
        <f>"EA"</f>
        <v>EA</v>
      </c>
      <c r="I102" s="89"/>
      <c r="J102" s="89"/>
      <c r="K102" s="89"/>
      <c r="L102" s="89"/>
      <c r="M102" s="89"/>
      <c r="N102" s="89"/>
      <c r="O102" s="88">
        <f>(SUBTOTAL(9,O103:O104))</f>
        <v>800</v>
      </c>
      <c r="P102" s="88">
        <f>(SUBTOTAL(9,P103:P104))</f>
        <v>0</v>
      </c>
      <c r="Q102" s="88">
        <f>(SUBTOTAL(9,Q103:Q104))</f>
        <v>0</v>
      </c>
      <c r="R102" s="88">
        <f>(SUBTOTAL(9,R103:R104))</f>
        <v>0</v>
      </c>
      <c r="S102" s="88">
        <f>(SUBTOTAL(9,S103:S104))</f>
        <v>0</v>
      </c>
      <c r="T102" s="88">
        <f>(SUBTOTAL(9,T103:T104))</f>
        <v>0</v>
      </c>
      <c r="U102" s="87">
        <f t="shared" ref="U102" si="61">SUBTOTAL(9,O103:T104)</f>
        <v>800</v>
      </c>
    </row>
    <row r="103" spans="1:21" ht="17.25" customHeight="1" x14ac:dyDescent="0.3">
      <c r="A103" s="66" t="s">
        <v>30</v>
      </c>
      <c r="C103" s="67"/>
      <c r="D103" s="77" t="str">
        <f t="shared" ref="D103" si="62">D102</f>
        <v>C100023</v>
      </c>
      <c r="E103" s="77"/>
      <c r="F103" s="76"/>
      <c r="G103" s="76" t="str">
        <f>"""NAV Direct"",""CRONUS JetCorp USA"",""32"",""1"",""167167"""</f>
        <v>"NAV Direct","CRONUS JetCorp USA","32","1","167167"</v>
      </c>
      <c r="H103" s="86">
        <v>43466</v>
      </c>
      <c r="I103" s="85">
        <v>167167</v>
      </c>
      <c r="J103" s="84" t="str">
        <f>"Vendor"</f>
        <v>Vendor</v>
      </c>
      <c r="K103" s="84" t="str">
        <f>"V100003"</f>
        <v>V100003</v>
      </c>
      <c r="L103" s="84" t="str">
        <f>IF($J103="Customer",_xll.NL("first",$J103,"Name","No.","@@"&amp;$K103),"")</f>
        <v/>
      </c>
      <c r="M103" s="84" t="str">
        <f>"LogoMasters"</f>
        <v>LogoMasters</v>
      </c>
      <c r="N103" s="84" t="str">
        <f>IF($J103="Item",_xll.NL("first",$J103,"Description","No.","@@"&amp;$K103),"")</f>
        <v/>
      </c>
      <c r="O103" s="83">
        <v>800</v>
      </c>
      <c r="P103" s="83">
        <v>0</v>
      </c>
      <c r="Q103" s="83">
        <v>0</v>
      </c>
      <c r="R103" s="83">
        <v>0</v>
      </c>
      <c r="S103" s="83">
        <v>0</v>
      </c>
      <c r="T103" s="83">
        <v>0</v>
      </c>
      <c r="U103" s="82"/>
    </row>
    <row r="104" spans="1:21" ht="17.25" customHeight="1" x14ac:dyDescent="0.3">
      <c r="A104" s="66" t="s">
        <v>30</v>
      </c>
      <c r="C104" s="67"/>
      <c r="D104" s="77"/>
      <c r="E104" s="77"/>
      <c r="F104" s="76"/>
      <c r="G104" s="76"/>
      <c r="H104" s="76"/>
      <c r="I104" s="76"/>
      <c r="J104" s="76"/>
      <c r="K104" s="76"/>
      <c r="L104" s="76"/>
      <c r="M104" s="76"/>
      <c r="N104" s="76"/>
      <c r="O104" s="75"/>
      <c r="P104" s="75"/>
      <c r="Q104" s="75"/>
      <c r="R104" s="75"/>
      <c r="S104" s="75"/>
      <c r="T104" s="75"/>
      <c r="U104" s="74"/>
    </row>
    <row r="105" spans="1:21" ht="17.25" customHeight="1" x14ac:dyDescent="0.3">
      <c r="A105" s="66" t="s">
        <v>30</v>
      </c>
      <c r="C105" s="67"/>
      <c r="D105" s="77"/>
      <c r="E105" s="77" t="s">
        <v>31</v>
      </c>
      <c r="F105" s="76" t="s">
        <v>31</v>
      </c>
      <c r="G105" s="76" t="s">
        <v>31</v>
      </c>
      <c r="H105" s="76"/>
      <c r="I105" s="76"/>
      <c r="J105" s="76" t="s">
        <v>31</v>
      </c>
      <c r="K105" s="76" t="s">
        <v>31</v>
      </c>
      <c r="L105" s="76" t="s">
        <v>31</v>
      </c>
      <c r="M105" s="76" t="s">
        <v>31</v>
      </c>
      <c r="N105" s="76"/>
      <c r="U105" s="81"/>
    </row>
    <row r="106" spans="1:21" ht="20.25" customHeight="1" x14ac:dyDescent="0.35">
      <c r="A106" s="66" t="s">
        <v>30</v>
      </c>
      <c r="C106" s="67"/>
      <c r="D106" s="92" t="str">
        <f t="shared" ref="D106" si="63">E106</f>
        <v>C100024</v>
      </c>
      <c r="E106" s="91" t="str">
        <f>"C100024"</f>
        <v>C100024</v>
      </c>
      <c r="F106" s="89" t="str">
        <f>"Knit Hat with Bill"</f>
        <v>Knit Hat with Bill</v>
      </c>
      <c r="G106" s="89"/>
      <c r="H106" s="90" t="str">
        <f>"EA"</f>
        <v>EA</v>
      </c>
      <c r="I106" s="89"/>
      <c r="J106" s="89"/>
      <c r="K106" s="89"/>
      <c r="L106" s="89"/>
      <c r="M106" s="89"/>
      <c r="N106" s="89"/>
      <c r="O106" s="88">
        <f>(SUBTOTAL(9,O107:O109))</f>
        <v>400</v>
      </c>
      <c r="P106" s="88">
        <f>(SUBTOTAL(9,P107:P109))</f>
        <v>-144</v>
      </c>
      <c r="Q106" s="88">
        <f>(SUBTOTAL(9,Q107:Q109))</f>
        <v>0</v>
      </c>
      <c r="R106" s="88">
        <f>(SUBTOTAL(9,R107:R109))</f>
        <v>0</v>
      </c>
      <c r="S106" s="88">
        <f>(SUBTOTAL(9,S107:S109))</f>
        <v>0</v>
      </c>
      <c r="T106" s="88">
        <f>(SUBTOTAL(9,T107:T109))</f>
        <v>0</v>
      </c>
      <c r="U106" s="87">
        <f t="shared" ref="U106" si="64">SUBTOTAL(9,O107:T109)</f>
        <v>256</v>
      </c>
    </row>
    <row r="107" spans="1:21" ht="17.25" customHeight="1" x14ac:dyDescent="0.3">
      <c r="A107" s="66" t="s">
        <v>30</v>
      </c>
      <c r="C107" s="67"/>
      <c r="D107" s="77" t="str">
        <f t="shared" ref="D107" si="65">D106</f>
        <v>C100024</v>
      </c>
      <c r="E107" s="77"/>
      <c r="F107" s="76"/>
      <c r="G107" s="76" t="str">
        <f>"""NAV Direct"",""CRONUS JetCorp USA"",""32"",""1"",""167166"""</f>
        <v>"NAV Direct","CRONUS JetCorp USA","32","1","167166"</v>
      </c>
      <c r="H107" s="86">
        <v>43466</v>
      </c>
      <c r="I107" s="85">
        <v>167166</v>
      </c>
      <c r="J107" s="84" t="str">
        <f>"Vendor"</f>
        <v>Vendor</v>
      </c>
      <c r="K107" s="84" t="str">
        <f>"V100003"</f>
        <v>V100003</v>
      </c>
      <c r="L107" s="84" t="str">
        <f>IF($J107="Customer",_xll.NL("first",$J107,"Name","No.","@@"&amp;$K107),"")</f>
        <v/>
      </c>
      <c r="M107" s="84" t="str">
        <f>"LogoMasters"</f>
        <v>LogoMasters</v>
      </c>
      <c r="N107" s="84" t="str">
        <f>IF($J107="Item",_xll.NL("first",$J107,"Description","No.","@@"&amp;$K107),"")</f>
        <v/>
      </c>
      <c r="O107" s="83">
        <v>400</v>
      </c>
      <c r="P107" s="83">
        <v>0</v>
      </c>
      <c r="Q107" s="83">
        <v>0</v>
      </c>
      <c r="R107" s="83">
        <v>0</v>
      </c>
      <c r="S107" s="83">
        <v>0</v>
      </c>
      <c r="T107" s="83">
        <v>0</v>
      </c>
      <c r="U107" s="82"/>
    </row>
    <row r="108" spans="1:21" ht="17.25" customHeight="1" x14ac:dyDescent="0.3">
      <c r="A108" s="66" t="s">
        <v>30</v>
      </c>
      <c r="C108" s="67"/>
      <c r="D108" s="77" t="str">
        <f t="shared" ref="D108" si="66">D107</f>
        <v>C100024</v>
      </c>
      <c r="E108" s="77"/>
      <c r="F108" s="76"/>
      <c r="G108" s="76" t="str">
        <f>"""NAV Direct"",""CRONUS JetCorp USA"",""32"",""1"",""30110"""</f>
        <v>"NAV Direct","CRONUS JetCorp USA","32","1","30110"</v>
      </c>
      <c r="H108" s="86">
        <v>43475</v>
      </c>
      <c r="I108" s="85">
        <v>30110</v>
      </c>
      <c r="J108" s="84" t="str">
        <f>"Customer"</f>
        <v>Customer</v>
      </c>
      <c r="K108" s="84" t="str">
        <f>"C100012"</f>
        <v>C100012</v>
      </c>
      <c r="L108" s="84" t="str">
        <f>IF($J108="Customer",_xll.NL("first",$J108,"Name","No.","@@"&amp;$K108),"")</f>
        <v>Bainbridges</v>
      </c>
      <c r="M108" s="84" t="str">
        <f>""</f>
        <v/>
      </c>
      <c r="N108" s="84" t="str">
        <f>IF($J108="Item",_xll.NL("first",$J108,"Description","No.","@@"&amp;$K108),"")</f>
        <v/>
      </c>
      <c r="O108" s="83">
        <v>0</v>
      </c>
      <c r="P108" s="83">
        <v>-144</v>
      </c>
      <c r="Q108" s="83">
        <v>0</v>
      </c>
      <c r="R108" s="83">
        <v>0</v>
      </c>
      <c r="S108" s="83">
        <v>0</v>
      </c>
      <c r="T108" s="83">
        <v>0</v>
      </c>
      <c r="U108" s="82"/>
    </row>
    <row r="109" spans="1:21" ht="17.25" customHeight="1" x14ac:dyDescent="0.3">
      <c r="A109" s="66" t="s">
        <v>30</v>
      </c>
      <c r="C109" s="67"/>
      <c r="D109" s="77"/>
      <c r="E109" s="77"/>
      <c r="F109" s="76"/>
      <c r="G109" s="76"/>
      <c r="H109" s="76"/>
      <c r="I109" s="76"/>
      <c r="J109" s="76"/>
      <c r="K109" s="76"/>
      <c r="L109" s="76"/>
      <c r="M109" s="76"/>
      <c r="N109" s="76"/>
      <c r="O109" s="75"/>
      <c r="P109" s="75"/>
      <c r="Q109" s="75"/>
      <c r="R109" s="75"/>
      <c r="S109" s="75"/>
      <c r="T109" s="75"/>
      <c r="U109" s="74"/>
    </row>
    <row r="110" spans="1:21" ht="17.25" customHeight="1" x14ac:dyDescent="0.3">
      <c r="A110" s="66" t="s">
        <v>30</v>
      </c>
      <c r="C110" s="67"/>
      <c r="D110" s="77"/>
      <c r="E110" s="77" t="s">
        <v>31</v>
      </c>
      <c r="F110" s="76" t="s">
        <v>31</v>
      </c>
      <c r="G110" s="76" t="s">
        <v>31</v>
      </c>
      <c r="H110" s="76"/>
      <c r="I110" s="76"/>
      <c r="J110" s="76" t="s">
        <v>31</v>
      </c>
      <c r="K110" s="76" t="s">
        <v>31</v>
      </c>
      <c r="L110" s="76" t="s">
        <v>31</v>
      </c>
      <c r="M110" s="76" t="s">
        <v>31</v>
      </c>
      <c r="N110" s="76"/>
      <c r="U110" s="81"/>
    </row>
    <row r="111" spans="1:21" ht="20.25" customHeight="1" x14ac:dyDescent="0.35">
      <c r="A111" s="66" t="s">
        <v>30</v>
      </c>
      <c r="C111" s="67"/>
      <c r="D111" s="92" t="str">
        <f t="shared" ref="D111" si="67">E111</f>
        <v>C100025</v>
      </c>
      <c r="E111" s="91" t="str">
        <f>"C100025"</f>
        <v>C100025</v>
      </c>
      <c r="F111" s="89" t="str">
        <f>"Striped Knit Hat"</f>
        <v>Striped Knit Hat</v>
      </c>
      <c r="G111" s="89"/>
      <c r="H111" s="90" t="str">
        <f>"EA"</f>
        <v>EA</v>
      </c>
      <c r="I111" s="89"/>
      <c r="J111" s="89"/>
      <c r="K111" s="89"/>
      <c r="L111" s="89"/>
      <c r="M111" s="89"/>
      <c r="N111" s="89"/>
      <c r="O111" s="88">
        <f>(SUBTOTAL(9,O112:O113))</f>
        <v>800</v>
      </c>
      <c r="P111" s="88">
        <f>(SUBTOTAL(9,P112:P113))</f>
        <v>0</v>
      </c>
      <c r="Q111" s="88">
        <f>(SUBTOTAL(9,Q112:Q113))</f>
        <v>0</v>
      </c>
      <c r="R111" s="88">
        <f>(SUBTOTAL(9,R112:R113))</f>
        <v>0</v>
      </c>
      <c r="S111" s="88">
        <f>(SUBTOTAL(9,S112:S113))</f>
        <v>0</v>
      </c>
      <c r="T111" s="88">
        <f>(SUBTOTAL(9,T112:T113))</f>
        <v>0</v>
      </c>
      <c r="U111" s="87">
        <f t="shared" ref="U111" si="68">SUBTOTAL(9,O112:T113)</f>
        <v>800</v>
      </c>
    </row>
    <row r="112" spans="1:21" ht="17.25" customHeight="1" x14ac:dyDescent="0.3">
      <c r="A112" s="66" t="s">
        <v>30</v>
      </c>
      <c r="C112" s="67"/>
      <c r="D112" s="77" t="str">
        <f t="shared" ref="D112" si="69">D111</f>
        <v>C100025</v>
      </c>
      <c r="E112" s="77"/>
      <c r="F112" s="76"/>
      <c r="G112" s="76" t="str">
        <f>"""NAV Direct"",""CRONUS JetCorp USA"",""32"",""1"",""167165"""</f>
        <v>"NAV Direct","CRONUS JetCorp USA","32","1","167165"</v>
      </c>
      <c r="H112" s="86">
        <v>43466</v>
      </c>
      <c r="I112" s="85">
        <v>167165</v>
      </c>
      <c r="J112" s="84" t="str">
        <f>"Vendor"</f>
        <v>Vendor</v>
      </c>
      <c r="K112" s="84" t="str">
        <f>"V100003"</f>
        <v>V100003</v>
      </c>
      <c r="L112" s="84" t="str">
        <f>IF($J112="Customer",_xll.NL("first",$J112,"Name","No.","@@"&amp;$K112),"")</f>
        <v/>
      </c>
      <c r="M112" s="84" t="str">
        <f>"LogoMasters"</f>
        <v>LogoMasters</v>
      </c>
      <c r="N112" s="84" t="str">
        <f>IF($J112="Item",_xll.NL("first",$J112,"Description","No.","@@"&amp;$K112),"")</f>
        <v/>
      </c>
      <c r="O112" s="83">
        <v>800</v>
      </c>
      <c r="P112" s="83">
        <v>0</v>
      </c>
      <c r="Q112" s="83">
        <v>0</v>
      </c>
      <c r="R112" s="83">
        <v>0</v>
      </c>
      <c r="S112" s="83">
        <v>0</v>
      </c>
      <c r="T112" s="83">
        <v>0</v>
      </c>
      <c r="U112" s="82"/>
    </row>
    <row r="113" spans="1:21" ht="17.25" customHeight="1" x14ac:dyDescent="0.3">
      <c r="A113" s="66" t="s">
        <v>30</v>
      </c>
      <c r="C113" s="67"/>
      <c r="D113" s="77"/>
      <c r="E113" s="77"/>
      <c r="F113" s="76"/>
      <c r="G113" s="76"/>
      <c r="H113" s="76"/>
      <c r="I113" s="76"/>
      <c r="J113" s="76"/>
      <c r="K113" s="76"/>
      <c r="L113" s="76"/>
      <c r="M113" s="76"/>
      <c r="N113" s="76"/>
      <c r="O113" s="75"/>
      <c r="P113" s="75"/>
      <c r="Q113" s="75"/>
      <c r="R113" s="75"/>
      <c r="S113" s="75"/>
      <c r="T113" s="75"/>
      <c r="U113" s="74"/>
    </row>
    <row r="114" spans="1:21" ht="17.25" customHeight="1" x14ac:dyDescent="0.3">
      <c r="A114" s="66" t="s">
        <v>30</v>
      </c>
      <c r="C114" s="67"/>
      <c r="D114" s="77"/>
      <c r="E114" s="77" t="s">
        <v>31</v>
      </c>
      <c r="F114" s="76" t="s">
        <v>31</v>
      </c>
      <c r="G114" s="76" t="s">
        <v>31</v>
      </c>
      <c r="H114" s="76"/>
      <c r="I114" s="76"/>
      <c r="J114" s="76" t="s">
        <v>31</v>
      </c>
      <c r="K114" s="76" t="s">
        <v>31</v>
      </c>
      <c r="L114" s="76" t="s">
        <v>31</v>
      </c>
      <c r="M114" s="76" t="s">
        <v>31</v>
      </c>
      <c r="N114" s="76"/>
      <c r="U114" s="81"/>
    </row>
    <row r="115" spans="1:21" ht="20.25" customHeight="1" x14ac:dyDescent="0.35">
      <c r="A115" s="66" t="s">
        <v>30</v>
      </c>
      <c r="C115" s="67"/>
      <c r="D115" s="92" t="str">
        <f t="shared" ref="D115" si="70">E115</f>
        <v>C100026</v>
      </c>
      <c r="E115" s="91" t="str">
        <f>"C100026"</f>
        <v>C100026</v>
      </c>
      <c r="F115" s="89" t="str">
        <f>"Fleece Beanie"</f>
        <v>Fleece Beanie</v>
      </c>
      <c r="G115" s="89"/>
      <c r="H115" s="90" t="str">
        <f>"EA"</f>
        <v>EA</v>
      </c>
      <c r="I115" s="89"/>
      <c r="J115" s="89"/>
      <c r="K115" s="89"/>
      <c r="L115" s="89"/>
      <c r="M115" s="89"/>
      <c r="N115" s="89"/>
      <c r="O115" s="88">
        <f>(SUBTOTAL(9,O116:O118))</f>
        <v>800</v>
      </c>
      <c r="P115" s="88">
        <f>(SUBTOTAL(9,P116:P118))</f>
        <v>-432</v>
      </c>
      <c r="Q115" s="88">
        <f>(SUBTOTAL(9,Q116:Q118))</f>
        <v>0</v>
      </c>
      <c r="R115" s="88">
        <f>(SUBTOTAL(9,R116:R118))</f>
        <v>0</v>
      </c>
      <c r="S115" s="88">
        <f>(SUBTOTAL(9,S116:S118))</f>
        <v>0</v>
      </c>
      <c r="T115" s="88">
        <f>(SUBTOTAL(9,T116:T118))</f>
        <v>0</v>
      </c>
      <c r="U115" s="87">
        <f t="shared" ref="U115" si="71">SUBTOTAL(9,O116:T118)</f>
        <v>368</v>
      </c>
    </row>
    <row r="116" spans="1:21" ht="17.25" customHeight="1" x14ac:dyDescent="0.3">
      <c r="A116" s="66" t="s">
        <v>30</v>
      </c>
      <c r="C116" s="67"/>
      <c r="D116" s="77" t="str">
        <f t="shared" ref="D116" si="72">D115</f>
        <v>C100026</v>
      </c>
      <c r="E116" s="77"/>
      <c r="F116" s="76"/>
      <c r="G116" s="76" t="str">
        <f>"""NAV Direct"",""CRONUS JetCorp USA"",""32"",""1"",""167164"""</f>
        <v>"NAV Direct","CRONUS JetCorp USA","32","1","167164"</v>
      </c>
      <c r="H116" s="86">
        <v>43466</v>
      </c>
      <c r="I116" s="85">
        <v>167164</v>
      </c>
      <c r="J116" s="84" t="str">
        <f>"Vendor"</f>
        <v>Vendor</v>
      </c>
      <c r="K116" s="84" t="str">
        <f>"V100003"</f>
        <v>V100003</v>
      </c>
      <c r="L116" s="84" t="str">
        <f>IF($J116="Customer",_xll.NL("first",$J116,"Name","No.","@@"&amp;$K116),"")</f>
        <v/>
      </c>
      <c r="M116" s="84" t="str">
        <f>"LogoMasters"</f>
        <v>LogoMasters</v>
      </c>
      <c r="N116" s="84" t="str">
        <f>IF($J116="Item",_xll.NL("first",$J116,"Description","No.","@@"&amp;$K116),"")</f>
        <v/>
      </c>
      <c r="O116" s="83">
        <v>800</v>
      </c>
      <c r="P116" s="83">
        <v>0</v>
      </c>
      <c r="Q116" s="83">
        <v>0</v>
      </c>
      <c r="R116" s="83">
        <v>0</v>
      </c>
      <c r="S116" s="83">
        <v>0</v>
      </c>
      <c r="T116" s="83">
        <v>0</v>
      </c>
      <c r="U116" s="82"/>
    </row>
    <row r="117" spans="1:21" ht="17.25" customHeight="1" x14ac:dyDescent="0.3">
      <c r="A117" s="66" t="s">
        <v>30</v>
      </c>
      <c r="C117" s="67"/>
      <c r="D117" s="77" t="str">
        <f t="shared" ref="D117" si="73">D116</f>
        <v>C100026</v>
      </c>
      <c r="E117" s="77"/>
      <c r="F117" s="76"/>
      <c r="G117" s="76" t="str">
        <f>"""NAV Direct"",""CRONUS JetCorp USA"",""32"",""1"",""30105"""</f>
        <v>"NAV Direct","CRONUS JetCorp USA","32","1","30105"</v>
      </c>
      <c r="H117" s="86">
        <v>43475</v>
      </c>
      <c r="I117" s="85">
        <v>30105</v>
      </c>
      <c r="J117" s="84" t="str">
        <f>"Customer"</f>
        <v>Customer</v>
      </c>
      <c r="K117" s="84" t="str">
        <f>"C100012"</f>
        <v>C100012</v>
      </c>
      <c r="L117" s="84" t="str">
        <f>IF($J117="Customer",_xll.NL("first",$J117,"Name","No.","@@"&amp;$K117),"")</f>
        <v>Bainbridges</v>
      </c>
      <c r="M117" s="84" t="str">
        <f>""</f>
        <v/>
      </c>
      <c r="N117" s="84" t="str">
        <f>IF($J117="Item",_xll.NL("first",$J117,"Description","No.","@@"&amp;$K117),"")</f>
        <v/>
      </c>
      <c r="O117" s="83">
        <v>0</v>
      </c>
      <c r="P117" s="83">
        <v>-432</v>
      </c>
      <c r="Q117" s="83">
        <v>0</v>
      </c>
      <c r="R117" s="83">
        <v>0</v>
      </c>
      <c r="S117" s="83">
        <v>0</v>
      </c>
      <c r="T117" s="83">
        <v>0</v>
      </c>
      <c r="U117" s="82"/>
    </row>
    <row r="118" spans="1:21" ht="17.25" customHeight="1" x14ac:dyDescent="0.3">
      <c r="A118" s="66" t="s">
        <v>30</v>
      </c>
      <c r="C118" s="67"/>
      <c r="D118" s="77"/>
      <c r="E118" s="77"/>
      <c r="F118" s="76"/>
      <c r="G118" s="76"/>
      <c r="H118" s="76"/>
      <c r="I118" s="76"/>
      <c r="J118" s="76"/>
      <c r="K118" s="76"/>
      <c r="L118" s="76"/>
      <c r="M118" s="76"/>
      <c r="N118" s="76"/>
      <c r="O118" s="75"/>
      <c r="P118" s="75"/>
      <c r="Q118" s="75"/>
      <c r="R118" s="75"/>
      <c r="S118" s="75"/>
      <c r="T118" s="75"/>
      <c r="U118" s="74"/>
    </row>
    <row r="119" spans="1:21" ht="17.25" customHeight="1" x14ac:dyDescent="0.3">
      <c r="A119" s="66" t="s">
        <v>30</v>
      </c>
      <c r="C119" s="67"/>
      <c r="D119" s="77"/>
      <c r="E119" s="77" t="s">
        <v>31</v>
      </c>
      <c r="F119" s="76" t="s">
        <v>31</v>
      </c>
      <c r="G119" s="76" t="s">
        <v>31</v>
      </c>
      <c r="H119" s="76"/>
      <c r="I119" s="76"/>
      <c r="J119" s="76" t="s">
        <v>31</v>
      </c>
      <c r="K119" s="76" t="s">
        <v>31</v>
      </c>
      <c r="L119" s="76" t="s">
        <v>31</v>
      </c>
      <c r="M119" s="76" t="s">
        <v>31</v>
      </c>
      <c r="N119" s="76"/>
      <c r="U119" s="81"/>
    </row>
    <row r="120" spans="1:21" ht="20.25" customHeight="1" x14ac:dyDescent="0.35">
      <c r="A120" s="66" t="s">
        <v>30</v>
      </c>
      <c r="C120" s="67"/>
      <c r="D120" s="92" t="str">
        <f t="shared" ref="D120" si="74">E120</f>
        <v>C100028</v>
      </c>
      <c r="E120" s="91" t="str">
        <f>"C100028"</f>
        <v>C100028</v>
      </c>
      <c r="F120" s="89" t="str">
        <f>"Twill Visor"</f>
        <v>Twill Visor</v>
      </c>
      <c r="G120" s="89"/>
      <c r="H120" s="90" t="str">
        <f>"EA"</f>
        <v>EA</v>
      </c>
      <c r="I120" s="89"/>
      <c r="J120" s="89"/>
      <c r="K120" s="89"/>
      <c r="L120" s="89"/>
      <c r="M120" s="89"/>
      <c r="N120" s="89"/>
      <c r="O120" s="88">
        <f>(SUBTOTAL(9,O121:O124))</f>
        <v>400</v>
      </c>
      <c r="P120" s="88">
        <f>(SUBTOTAL(9,P121:P124))</f>
        <v>-132</v>
      </c>
      <c r="Q120" s="88">
        <f>(SUBTOTAL(9,Q121:Q124))</f>
        <v>0</v>
      </c>
      <c r="R120" s="88">
        <f>(SUBTOTAL(9,R121:R124))</f>
        <v>0</v>
      </c>
      <c r="S120" s="88">
        <f>(SUBTOTAL(9,S121:S124))</f>
        <v>0</v>
      </c>
      <c r="T120" s="88">
        <f>(SUBTOTAL(9,T121:T124))</f>
        <v>0</v>
      </c>
      <c r="U120" s="87">
        <f t="shared" ref="U120" si="75">SUBTOTAL(9,O121:T124)</f>
        <v>268</v>
      </c>
    </row>
    <row r="121" spans="1:21" ht="17.25" customHeight="1" x14ac:dyDescent="0.3">
      <c r="A121" s="66" t="s">
        <v>30</v>
      </c>
      <c r="C121" s="67"/>
      <c r="D121" s="77" t="str">
        <f t="shared" ref="D121" si="76">D120</f>
        <v>C100028</v>
      </c>
      <c r="E121" s="77"/>
      <c r="F121" s="76"/>
      <c r="G121" s="76" t="str">
        <f>"""NAV Direct"",""CRONUS JetCorp USA"",""32"",""1"",""167163"""</f>
        <v>"NAV Direct","CRONUS JetCorp USA","32","1","167163"</v>
      </c>
      <c r="H121" s="86">
        <v>43466</v>
      </c>
      <c r="I121" s="85">
        <v>167163</v>
      </c>
      <c r="J121" s="84" t="str">
        <f>"Vendor"</f>
        <v>Vendor</v>
      </c>
      <c r="K121" s="84" t="str">
        <f>"V100003"</f>
        <v>V100003</v>
      </c>
      <c r="L121" s="84" t="str">
        <f>IF($J121="Customer",_xll.NL("first",$J121,"Name","No.","@@"&amp;$K121),"")</f>
        <v/>
      </c>
      <c r="M121" s="84" t="str">
        <f>"LogoMasters"</f>
        <v>LogoMasters</v>
      </c>
      <c r="N121" s="84" t="str">
        <f>IF($J121="Item",_xll.NL("first",$J121,"Description","No.","@@"&amp;$K121),"")</f>
        <v/>
      </c>
      <c r="O121" s="83">
        <v>400</v>
      </c>
      <c r="P121" s="83">
        <v>0</v>
      </c>
      <c r="Q121" s="83">
        <v>0</v>
      </c>
      <c r="R121" s="83">
        <v>0</v>
      </c>
      <c r="S121" s="83">
        <v>0</v>
      </c>
      <c r="T121" s="83">
        <v>0</v>
      </c>
      <c r="U121" s="82"/>
    </row>
    <row r="122" spans="1:21" ht="17.25" customHeight="1" x14ac:dyDescent="0.3">
      <c r="A122" s="66" t="s">
        <v>30</v>
      </c>
      <c r="C122" s="67"/>
      <c r="D122" s="77" t="str">
        <f t="shared" ref="D122:D123" si="77">D121</f>
        <v>C100028</v>
      </c>
      <c r="E122" s="77"/>
      <c r="F122" s="76"/>
      <c r="G122" s="76" t="str">
        <f>"""NAV Direct"",""CRONUS JetCorp USA"",""32"",""1"",""158690"""</f>
        <v>"NAV Direct","CRONUS JetCorp USA","32","1","158690"</v>
      </c>
      <c r="H122" s="86">
        <v>43471</v>
      </c>
      <c r="I122" s="85">
        <v>158690</v>
      </c>
      <c r="J122" s="84" t="str">
        <f>"Customer"</f>
        <v>Customer</v>
      </c>
      <c r="K122" s="84" t="str">
        <f>"C100126"</f>
        <v>C100126</v>
      </c>
      <c r="L122" s="84" t="str">
        <f>IF($J122="Customer",_xll.NL("first",$J122,"Name","No.","@@"&amp;$K122),"")</f>
        <v>Moveex</v>
      </c>
      <c r="M122" s="84" t="str">
        <f>""</f>
        <v/>
      </c>
      <c r="N122" s="84" t="str">
        <f>IF($J122="Item",_xll.NL("first",$J122,"Description","No.","@@"&amp;$K122),"")</f>
        <v/>
      </c>
      <c r="O122" s="83">
        <v>0</v>
      </c>
      <c r="P122" s="83">
        <v>12</v>
      </c>
      <c r="Q122" s="83">
        <v>0</v>
      </c>
      <c r="R122" s="83">
        <v>0</v>
      </c>
      <c r="S122" s="83">
        <v>0</v>
      </c>
      <c r="T122" s="83">
        <v>0</v>
      </c>
      <c r="U122" s="82"/>
    </row>
    <row r="123" spans="1:21" ht="17.25" customHeight="1" x14ac:dyDescent="0.3">
      <c r="A123" s="66" t="s">
        <v>30</v>
      </c>
      <c r="C123" s="67"/>
      <c r="D123" s="77" t="str">
        <f t="shared" si="77"/>
        <v>C100028</v>
      </c>
      <c r="E123" s="77"/>
      <c r="F123" s="76"/>
      <c r="G123" s="76" t="str">
        <f>"""NAV Direct"",""CRONUS JetCorp USA"",""32"",""1"",""30111"""</f>
        <v>"NAV Direct","CRONUS JetCorp USA","32","1","30111"</v>
      </c>
      <c r="H123" s="86">
        <v>43475</v>
      </c>
      <c r="I123" s="85">
        <v>30111</v>
      </c>
      <c r="J123" s="84" t="str">
        <f>"Customer"</f>
        <v>Customer</v>
      </c>
      <c r="K123" s="84" t="str">
        <f>"C100012"</f>
        <v>C100012</v>
      </c>
      <c r="L123" s="84" t="str">
        <f>IF($J123="Customer",_xll.NL("first",$J123,"Name","No.","@@"&amp;$K123),"")</f>
        <v>Bainbridges</v>
      </c>
      <c r="M123" s="84" t="str">
        <f>""</f>
        <v/>
      </c>
      <c r="N123" s="84" t="str">
        <f>IF($J123="Item",_xll.NL("first",$J123,"Description","No.","@@"&amp;$K123),"")</f>
        <v/>
      </c>
      <c r="O123" s="83">
        <v>0</v>
      </c>
      <c r="P123" s="83">
        <v>-144</v>
      </c>
      <c r="Q123" s="83">
        <v>0</v>
      </c>
      <c r="R123" s="83">
        <v>0</v>
      </c>
      <c r="S123" s="83">
        <v>0</v>
      </c>
      <c r="T123" s="83">
        <v>0</v>
      </c>
      <c r="U123" s="82"/>
    </row>
    <row r="124" spans="1:21" ht="17.25" customHeight="1" x14ac:dyDescent="0.3">
      <c r="A124" s="66" t="s">
        <v>30</v>
      </c>
      <c r="C124" s="67"/>
      <c r="D124" s="77"/>
      <c r="E124" s="77"/>
      <c r="F124" s="76"/>
      <c r="G124" s="76"/>
      <c r="H124" s="76"/>
      <c r="I124" s="76"/>
      <c r="J124" s="76"/>
      <c r="K124" s="76"/>
      <c r="L124" s="76"/>
      <c r="M124" s="76"/>
      <c r="N124" s="76"/>
      <c r="O124" s="75"/>
      <c r="P124" s="75"/>
      <c r="Q124" s="75"/>
      <c r="R124" s="75"/>
      <c r="S124" s="75"/>
      <c r="T124" s="75"/>
      <c r="U124" s="74"/>
    </row>
    <row r="125" spans="1:21" ht="17.25" customHeight="1" x14ac:dyDescent="0.3">
      <c r="A125" s="66" t="s">
        <v>30</v>
      </c>
      <c r="C125" s="67"/>
      <c r="D125" s="77"/>
      <c r="E125" s="77" t="s">
        <v>31</v>
      </c>
      <c r="F125" s="76" t="s">
        <v>31</v>
      </c>
      <c r="G125" s="76" t="s">
        <v>31</v>
      </c>
      <c r="H125" s="76"/>
      <c r="I125" s="76"/>
      <c r="J125" s="76" t="s">
        <v>31</v>
      </c>
      <c r="K125" s="76" t="s">
        <v>31</v>
      </c>
      <c r="L125" s="76" t="s">
        <v>31</v>
      </c>
      <c r="M125" s="76" t="s">
        <v>31</v>
      </c>
      <c r="N125" s="76"/>
      <c r="U125" s="81"/>
    </row>
    <row r="126" spans="1:21" ht="20.25" customHeight="1" x14ac:dyDescent="0.35">
      <c r="A126" s="66" t="s">
        <v>30</v>
      </c>
      <c r="C126" s="67"/>
      <c r="D126" s="92" t="str">
        <f t="shared" ref="D126" si="78">E126</f>
        <v>C100029</v>
      </c>
      <c r="E126" s="91" t="str">
        <f>"C100029"</f>
        <v>C100029</v>
      </c>
      <c r="F126" s="89" t="str">
        <f>"Distressed Twill Visor"</f>
        <v>Distressed Twill Visor</v>
      </c>
      <c r="G126" s="89"/>
      <c r="H126" s="90" t="str">
        <f>"EA"</f>
        <v>EA</v>
      </c>
      <c r="I126" s="89"/>
      <c r="J126" s="89"/>
      <c r="K126" s="89"/>
      <c r="L126" s="89"/>
      <c r="M126" s="89"/>
      <c r="N126" s="89"/>
      <c r="O126" s="88">
        <f>(SUBTOTAL(9,O127:O130))</f>
        <v>1200</v>
      </c>
      <c r="P126" s="88">
        <f>(SUBTOTAL(9,P127:P130))</f>
        <v>-288</v>
      </c>
      <c r="Q126" s="88">
        <f>(SUBTOTAL(9,Q127:Q130))</f>
        <v>0</v>
      </c>
      <c r="R126" s="88">
        <f>(SUBTOTAL(9,R127:R130))</f>
        <v>0</v>
      </c>
      <c r="S126" s="88">
        <f>(SUBTOTAL(9,S127:S130))</f>
        <v>0</v>
      </c>
      <c r="T126" s="88">
        <f>(SUBTOTAL(9,T127:T130))</f>
        <v>0</v>
      </c>
      <c r="U126" s="87">
        <f t="shared" ref="U126" si="79">SUBTOTAL(9,O127:T130)</f>
        <v>912</v>
      </c>
    </row>
    <row r="127" spans="1:21" ht="17.25" customHeight="1" x14ac:dyDescent="0.3">
      <c r="A127" s="66" t="s">
        <v>30</v>
      </c>
      <c r="C127" s="67"/>
      <c r="D127" s="77" t="str">
        <f t="shared" ref="D127" si="80">D126</f>
        <v>C100029</v>
      </c>
      <c r="E127" s="77"/>
      <c r="F127" s="76"/>
      <c r="G127" s="76" t="str">
        <f>"""NAV Direct"",""CRONUS JetCorp USA"",""32"",""1"",""167162"""</f>
        <v>"NAV Direct","CRONUS JetCorp USA","32","1","167162"</v>
      </c>
      <c r="H127" s="86">
        <v>43466</v>
      </c>
      <c r="I127" s="85">
        <v>167162</v>
      </c>
      <c r="J127" s="84" t="str">
        <f>"Vendor"</f>
        <v>Vendor</v>
      </c>
      <c r="K127" s="84" t="str">
        <f>"V100003"</f>
        <v>V100003</v>
      </c>
      <c r="L127" s="84" t="str">
        <f>IF($J127="Customer",_xll.NL("first",$J127,"Name","No.","@@"&amp;$K127),"")</f>
        <v/>
      </c>
      <c r="M127" s="84" t="str">
        <f>"LogoMasters"</f>
        <v>LogoMasters</v>
      </c>
      <c r="N127" s="84" t="str">
        <f>IF($J127="Item",_xll.NL("first",$J127,"Description","No.","@@"&amp;$K127),"")</f>
        <v/>
      </c>
      <c r="O127" s="83">
        <v>1200</v>
      </c>
      <c r="P127" s="83">
        <v>0</v>
      </c>
      <c r="Q127" s="83">
        <v>0</v>
      </c>
      <c r="R127" s="83">
        <v>0</v>
      </c>
      <c r="S127" s="83">
        <v>0</v>
      </c>
      <c r="T127" s="83">
        <v>0</v>
      </c>
      <c r="U127" s="82"/>
    </row>
    <row r="128" spans="1:21" ht="17.25" customHeight="1" x14ac:dyDescent="0.3">
      <c r="A128" s="66" t="s">
        <v>30</v>
      </c>
      <c r="C128" s="67"/>
      <c r="D128" s="77" t="str">
        <f t="shared" ref="D128:D129" si="81">D127</f>
        <v>C100029</v>
      </c>
      <c r="E128" s="77"/>
      <c r="F128" s="76"/>
      <c r="G128" s="76" t="str">
        <f>"""NAV Direct"",""CRONUS JetCorp USA"",""32"",""1"",""30035"""</f>
        <v>"NAV Direct","CRONUS JetCorp USA","32","1","30035"</v>
      </c>
      <c r="H128" s="86">
        <v>43471</v>
      </c>
      <c r="I128" s="85">
        <v>30035</v>
      </c>
      <c r="J128" s="84" t="str">
        <f>"Customer"</f>
        <v>Customer</v>
      </c>
      <c r="K128" s="84" t="str">
        <f>"C100012"</f>
        <v>C100012</v>
      </c>
      <c r="L128" s="84" t="str">
        <f>IF($J128="Customer",_xll.NL("first",$J128,"Name","No.","@@"&amp;$K128),"")</f>
        <v>Bainbridges</v>
      </c>
      <c r="M128" s="84" t="str">
        <f>""</f>
        <v/>
      </c>
      <c r="N128" s="84" t="str">
        <f>IF($J128="Item",_xll.NL("first",$J128,"Description","No.","@@"&amp;$K128),"")</f>
        <v/>
      </c>
      <c r="O128" s="83">
        <v>0</v>
      </c>
      <c r="P128" s="83">
        <v>-144</v>
      </c>
      <c r="Q128" s="83">
        <v>0</v>
      </c>
      <c r="R128" s="83">
        <v>0</v>
      </c>
      <c r="S128" s="83">
        <v>0</v>
      </c>
      <c r="T128" s="83">
        <v>0</v>
      </c>
      <c r="U128" s="82"/>
    </row>
    <row r="129" spans="1:21" ht="17.25" customHeight="1" x14ac:dyDescent="0.3">
      <c r="A129" s="66" t="s">
        <v>30</v>
      </c>
      <c r="C129" s="67"/>
      <c r="D129" s="77" t="str">
        <f t="shared" si="81"/>
        <v>C100029</v>
      </c>
      <c r="E129" s="77"/>
      <c r="F129" s="76"/>
      <c r="G129" s="76" t="str">
        <f>"""NAV Direct"",""CRONUS JetCorp USA"",""32"",""1"",""30116"""</f>
        <v>"NAV Direct","CRONUS JetCorp USA","32","1","30116"</v>
      </c>
      <c r="H129" s="86">
        <v>43475</v>
      </c>
      <c r="I129" s="85">
        <v>30116</v>
      </c>
      <c r="J129" s="84" t="str">
        <f>"Customer"</f>
        <v>Customer</v>
      </c>
      <c r="K129" s="84" t="str">
        <f>"C100012"</f>
        <v>C100012</v>
      </c>
      <c r="L129" s="84" t="str">
        <f>IF($J129="Customer",_xll.NL("first",$J129,"Name","No.","@@"&amp;$K129),"")</f>
        <v>Bainbridges</v>
      </c>
      <c r="M129" s="84" t="str">
        <f>""</f>
        <v/>
      </c>
      <c r="N129" s="84" t="str">
        <f>IF($J129="Item",_xll.NL("first",$J129,"Description","No.","@@"&amp;$K129),"")</f>
        <v/>
      </c>
      <c r="O129" s="83">
        <v>0</v>
      </c>
      <c r="P129" s="83">
        <v>-144</v>
      </c>
      <c r="Q129" s="83">
        <v>0</v>
      </c>
      <c r="R129" s="83">
        <v>0</v>
      </c>
      <c r="S129" s="83">
        <v>0</v>
      </c>
      <c r="T129" s="83">
        <v>0</v>
      </c>
      <c r="U129" s="82"/>
    </row>
    <row r="130" spans="1:21" ht="17.25" customHeight="1" x14ac:dyDescent="0.3">
      <c r="A130" s="66" t="s">
        <v>30</v>
      </c>
      <c r="C130" s="67"/>
      <c r="D130" s="77"/>
      <c r="E130" s="77"/>
      <c r="F130" s="76"/>
      <c r="G130" s="76"/>
      <c r="H130" s="76"/>
      <c r="I130" s="76"/>
      <c r="J130" s="76"/>
      <c r="K130" s="76"/>
      <c r="L130" s="76"/>
      <c r="M130" s="76"/>
      <c r="N130" s="76"/>
      <c r="O130" s="75"/>
      <c r="P130" s="75"/>
      <c r="Q130" s="75"/>
      <c r="R130" s="75"/>
      <c r="S130" s="75"/>
      <c r="T130" s="75"/>
      <c r="U130" s="74"/>
    </row>
    <row r="131" spans="1:21" ht="17.25" customHeight="1" x14ac:dyDescent="0.3">
      <c r="A131" s="66" t="s">
        <v>30</v>
      </c>
      <c r="C131" s="67"/>
      <c r="D131" s="77"/>
      <c r="E131" s="77" t="s">
        <v>31</v>
      </c>
      <c r="F131" s="76" t="s">
        <v>31</v>
      </c>
      <c r="G131" s="76" t="s">
        <v>31</v>
      </c>
      <c r="H131" s="76"/>
      <c r="I131" s="76"/>
      <c r="J131" s="76" t="s">
        <v>31</v>
      </c>
      <c r="K131" s="76" t="s">
        <v>31</v>
      </c>
      <c r="L131" s="76" t="s">
        <v>31</v>
      </c>
      <c r="M131" s="76" t="s">
        <v>31</v>
      </c>
      <c r="N131" s="76"/>
      <c r="U131" s="81"/>
    </row>
    <row r="132" spans="1:21" ht="20.25" customHeight="1" x14ac:dyDescent="0.35">
      <c r="A132" s="66" t="s">
        <v>30</v>
      </c>
      <c r="C132" s="67"/>
      <c r="D132" s="92" t="str">
        <f t="shared" ref="D132" si="82">E132</f>
        <v>C100030</v>
      </c>
      <c r="E132" s="91" t="str">
        <f>"C100030"</f>
        <v>C100030</v>
      </c>
      <c r="F132" s="89" t="str">
        <f>"Fashion Visor"</f>
        <v>Fashion Visor</v>
      </c>
      <c r="G132" s="89"/>
      <c r="H132" s="90" t="str">
        <f>"EA"</f>
        <v>EA</v>
      </c>
      <c r="I132" s="89"/>
      <c r="J132" s="89"/>
      <c r="K132" s="89"/>
      <c r="L132" s="89"/>
      <c r="M132" s="89"/>
      <c r="N132" s="89"/>
      <c r="O132" s="88">
        <f>(SUBTOTAL(9,O133:O135))</f>
        <v>1200</v>
      </c>
      <c r="P132" s="88">
        <f>(SUBTOTAL(9,P133:P135))</f>
        <v>-288</v>
      </c>
      <c r="Q132" s="88">
        <f>(SUBTOTAL(9,Q133:Q135))</f>
        <v>0</v>
      </c>
      <c r="R132" s="88">
        <f>(SUBTOTAL(9,R133:R135))</f>
        <v>0</v>
      </c>
      <c r="S132" s="88">
        <f>(SUBTOTAL(9,S133:S135))</f>
        <v>0</v>
      </c>
      <c r="T132" s="88">
        <f>(SUBTOTAL(9,T133:T135))</f>
        <v>0</v>
      </c>
      <c r="U132" s="87">
        <f t="shared" ref="U132" si="83">SUBTOTAL(9,O133:T135)</f>
        <v>912</v>
      </c>
    </row>
    <row r="133" spans="1:21" ht="17.25" customHeight="1" x14ac:dyDescent="0.3">
      <c r="A133" s="66" t="s">
        <v>30</v>
      </c>
      <c r="C133" s="67"/>
      <c r="D133" s="77" t="str">
        <f t="shared" ref="D133" si="84">D132</f>
        <v>C100030</v>
      </c>
      <c r="E133" s="77"/>
      <c r="F133" s="76"/>
      <c r="G133" s="76" t="str">
        <f>"""NAV Direct"",""CRONUS JetCorp USA"",""32"",""1"",""167161"""</f>
        <v>"NAV Direct","CRONUS JetCorp USA","32","1","167161"</v>
      </c>
      <c r="H133" s="86">
        <v>43466</v>
      </c>
      <c r="I133" s="85">
        <v>167161</v>
      </c>
      <c r="J133" s="84" t="str">
        <f>"Vendor"</f>
        <v>Vendor</v>
      </c>
      <c r="K133" s="84" t="str">
        <f>"V100003"</f>
        <v>V100003</v>
      </c>
      <c r="L133" s="84" t="str">
        <f>IF($J133="Customer",_xll.NL("first",$J133,"Name","No.","@@"&amp;$K133),"")</f>
        <v/>
      </c>
      <c r="M133" s="84" t="str">
        <f>"LogoMasters"</f>
        <v>LogoMasters</v>
      </c>
      <c r="N133" s="84" t="str">
        <f>IF($J133="Item",_xll.NL("first",$J133,"Description","No.","@@"&amp;$K133),"")</f>
        <v/>
      </c>
      <c r="O133" s="83">
        <v>1200</v>
      </c>
      <c r="P133" s="83">
        <v>0</v>
      </c>
      <c r="Q133" s="83">
        <v>0</v>
      </c>
      <c r="R133" s="83">
        <v>0</v>
      </c>
      <c r="S133" s="83">
        <v>0</v>
      </c>
      <c r="T133" s="83">
        <v>0</v>
      </c>
      <c r="U133" s="82"/>
    </row>
    <row r="134" spans="1:21" ht="17.25" customHeight="1" x14ac:dyDescent="0.3">
      <c r="A134" s="66" t="s">
        <v>30</v>
      </c>
      <c r="C134" s="67"/>
      <c r="D134" s="77" t="str">
        <f t="shared" ref="D134" si="85">D133</f>
        <v>C100030</v>
      </c>
      <c r="E134" s="77"/>
      <c r="F134" s="76"/>
      <c r="G134" s="76" t="str">
        <f>"""NAV Direct"",""CRONUS JetCorp USA"",""32"",""1"",""30032"""</f>
        <v>"NAV Direct","CRONUS JetCorp USA","32","1","30032"</v>
      </c>
      <c r="H134" s="86">
        <v>43471</v>
      </c>
      <c r="I134" s="85">
        <v>30032</v>
      </c>
      <c r="J134" s="84" t="str">
        <f>"Customer"</f>
        <v>Customer</v>
      </c>
      <c r="K134" s="84" t="str">
        <f>"C100012"</f>
        <v>C100012</v>
      </c>
      <c r="L134" s="84" t="str">
        <f>IF($J134="Customer",_xll.NL("first",$J134,"Name","No.","@@"&amp;$K134),"")</f>
        <v>Bainbridges</v>
      </c>
      <c r="M134" s="84" t="str">
        <f>""</f>
        <v/>
      </c>
      <c r="N134" s="84" t="str">
        <f>IF($J134="Item",_xll.NL("first",$J134,"Description","No.","@@"&amp;$K134),"")</f>
        <v/>
      </c>
      <c r="O134" s="83">
        <v>0</v>
      </c>
      <c r="P134" s="83">
        <v>-288</v>
      </c>
      <c r="Q134" s="83">
        <v>0</v>
      </c>
      <c r="R134" s="83">
        <v>0</v>
      </c>
      <c r="S134" s="83">
        <v>0</v>
      </c>
      <c r="T134" s="83">
        <v>0</v>
      </c>
      <c r="U134" s="82"/>
    </row>
    <row r="135" spans="1:21" ht="17.25" customHeight="1" x14ac:dyDescent="0.3">
      <c r="A135" s="66" t="s">
        <v>30</v>
      </c>
      <c r="C135" s="67"/>
      <c r="D135" s="77"/>
      <c r="E135" s="77"/>
      <c r="F135" s="76"/>
      <c r="G135" s="76"/>
      <c r="H135" s="76"/>
      <c r="I135" s="76"/>
      <c r="J135" s="76"/>
      <c r="K135" s="76"/>
      <c r="L135" s="76"/>
      <c r="M135" s="76"/>
      <c r="N135" s="76"/>
      <c r="O135" s="75"/>
      <c r="P135" s="75"/>
      <c r="Q135" s="75"/>
      <c r="R135" s="75"/>
      <c r="S135" s="75"/>
      <c r="T135" s="75"/>
      <c r="U135" s="74"/>
    </row>
    <row r="136" spans="1:21" ht="17.25" customHeight="1" x14ac:dyDescent="0.3">
      <c r="A136" s="66" t="s">
        <v>30</v>
      </c>
      <c r="C136" s="67"/>
      <c r="D136" s="77"/>
      <c r="E136" s="77" t="s">
        <v>31</v>
      </c>
      <c r="F136" s="76" t="s">
        <v>31</v>
      </c>
      <c r="G136" s="76" t="s">
        <v>31</v>
      </c>
      <c r="H136" s="76"/>
      <c r="I136" s="76"/>
      <c r="J136" s="76" t="s">
        <v>31</v>
      </c>
      <c r="K136" s="76" t="s">
        <v>31</v>
      </c>
      <c r="L136" s="76" t="s">
        <v>31</v>
      </c>
      <c r="M136" s="76" t="s">
        <v>31</v>
      </c>
      <c r="N136" s="76"/>
      <c r="U136" s="81"/>
    </row>
    <row r="137" spans="1:21" ht="20.25" customHeight="1" x14ac:dyDescent="0.35">
      <c r="A137" s="66" t="s">
        <v>30</v>
      </c>
      <c r="C137" s="67"/>
      <c r="D137" s="92" t="str">
        <f t="shared" ref="D137" si="86">E137</f>
        <v>C100031</v>
      </c>
      <c r="E137" s="91" t="str">
        <f>"C100031"</f>
        <v>C100031</v>
      </c>
      <c r="F137" s="89" t="str">
        <f>"Carabiner Watch"</f>
        <v>Carabiner Watch</v>
      </c>
      <c r="G137" s="89"/>
      <c r="H137" s="90" t="str">
        <f>"EA"</f>
        <v>EA</v>
      </c>
      <c r="I137" s="89"/>
      <c r="J137" s="89"/>
      <c r="K137" s="89"/>
      <c r="L137" s="89"/>
      <c r="M137" s="89"/>
      <c r="N137" s="89"/>
      <c r="O137" s="88">
        <f>(SUBTOTAL(9,O138:O140))</f>
        <v>400</v>
      </c>
      <c r="P137" s="88">
        <f>(SUBTOTAL(9,P138:P140))</f>
        <v>-289</v>
      </c>
      <c r="Q137" s="88">
        <f>(SUBTOTAL(9,Q138:Q140))</f>
        <v>0</v>
      </c>
      <c r="R137" s="88">
        <f>(SUBTOTAL(9,R138:R140))</f>
        <v>0</v>
      </c>
      <c r="S137" s="88">
        <f>(SUBTOTAL(9,S138:S140))</f>
        <v>0</v>
      </c>
      <c r="T137" s="88">
        <f>(SUBTOTAL(9,T138:T140))</f>
        <v>0</v>
      </c>
      <c r="U137" s="87">
        <f t="shared" ref="U137" si="87">SUBTOTAL(9,O138:T140)</f>
        <v>111</v>
      </c>
    </row>
    <row r="138" spans="1:21" ht="17.25" customHeight="1" x14ac:dyDescent="0.3">
      <c r="A138" s="66" t="s">
        <v>30</v>
      </c>
      <c r="C138" s="67"/>
      <c r="D138" s="77" t="str">
        <f t="shared" ref="D138" si="88">D137</f>
        <v>C100031</v>
      </c>
      <c r="E138" s="77"/>
      <c r="F138" s="76"/>
      <c r="G138" s="76" t="str">
        <f>"""NAV Direct"",""CRONUS JetCorp USA"",""32"",""1"",""167616"""</f>
        <v>"NAV Direct","CRONUS JetCorp USA","32","1","167616"</v>
      </c>
      <c r="H138" s="86">
        <v>43466</v>
      </c>
      <c r="I138" s="85">
        <v>167616</v>
      </c>
      <c r="J138" s="84" t="str">
        <f>"Vendor"</f>
        <v>Vendor</v>
      </c>
      <c r="K138" s="84" t="str">
        <f>"V100003"</f>
        <v>V100003</v>
      </c>
      <c r="L138" s="84" t="str">
        <f>IF($J138="Customer",_xll.NL("first",$J138,"Name","No.","@@"&amp;$K138),"")</f>
        <v/>
      </c>
      <c r="M138" s="84" t="str">
        <f>"LogoMasters"</f>
        <v>LogoMasters</v>
      </c>
      <c r="N138" s="84" t="str">
        <f>IF($J138="Item",_xll.NL("first",$J138,"Description","No.","@@"&amp;$K138),"")</f>
        <v/>
      </c>
      <c r="O138" s="83">
        <v>400</v>
      </c>
      <c r="P138" s="83">
        <v>0</v>
      </c>
      <c r="Q138" s="83">
        <v>0</v>
      </c>
      <c r="R138" s="83">
        <v>0</v>
      </c>
      <c r="S138" s="83">
        <v>0</v>
      </c>
      <c r="T138" s="83">
        <v>0</v>
      </c>
      <c r="U138" s="82"/>
    </row>
    <row r="139" spans="1:21" ht="17.25" customHeight="1" x14ac:dyDescent="0.3">
      <c r="A139" s="66" t="s">
        <v>30</v>
      </c>
      <c r="C139" s="67"/>
      <c r="D139" s="77" t="str">
        <f t="shared" ref="D139" si="89">D138</f>
        <v>C100031</v>
      </c>
      <c r="E139" s="77"/>
      <c r="F139" s="76"/>
      <c r="G139" s="76" t="str">
        <f>"""NAV Direct"",""CRONUS JetCorp USA"",""32"",""1"",""7555"""</f>
        <v>"NAV Direct","CRONUS JetCorp USA","32","1","7555"</v>
      </c>
      <c r="H139" s="86">
        <v>43469</v>
      </c>
      <c r="I139" s="85">
        <v>7555</v>
      </c>
      <c r="J139" s="84" t="str">
        <f>"Customer"</f>
        <v>Customer</v>
      </c>
      <c r="K139" s="84" t="str">
        <f>"C100030"</f>
        <v>C100030</v>
      </c>
      <c r="L139" s="84" t="str">
        <f>IF($J139="Customer",_xll.NL("first",$J139,"Name","No.","@@"&amp;$K139),"")</f>
        <v>Stutringers</v>
      </c>
      <c r="M139" s="84" t="str">
        <f>""</f>
        <v/>
      </c>
      <c r="N139" s="84" t="str">
        <f>IF($J139="Item",_xll.NL("first",$J139,"Description","No.","@@"&amp;$K139),"")</f>
        <v/>
      </c>
      <c r="O139" s="83">
        <v>0</v>
      </c>
      <c r="P139" s="83">
        <v>-289</v>
      </c>
      <c r="Q139" s="83">
        <v>0</v>
      </c>
      <c r="R139" s="83">
        <v>0</v>
      </c>
      <c r="S139" s="83">
        <v>0</v>
      </c>
      <c r="T139" s="83">
        <v>0</v>
      </c>
      <c r="U139" s="82"/>
    </row>
    <row r="140" spans="1:21" ht="17.25" customHeight="1" x14ac:dyDescent="0.3">
      <c r="A140" s="66" t="s">
        <v>30</v>
      </c>
      <c r="C140" s="67"/>
      <c r="D140" s="77"/>
      <c r="E140" s="77"/>
      <c r="F140" s="76"/>
      <c r="G140" s="76"/>
      <c r="H140" s="76"/>
      <c r="I140" s="76"/>
      <c r="J140" s="76"/>
      <c r="K140" s="76"/>
      <c r="L140" s="76"/>
      <c r="M140" s="76"/>
      <c r="N140" s="76"/>
      <c r="O140" s="75"/>
      <c r="P140" s="75"/>
      <c r="Q140" s="75"/>
      <c r="R140" s="75"/>
      <c r="S140" s="75"/>
      <c r="T140" s="75"/>
      <c r="U140" s="74"/>
    </row>
    <row r="141" spans="1:21" ht="17.25" customHeight="1" x14ac:dyDescent="0.3">
      <c r="A141" s="66" t="s">
        <v>30</v>
      </c>
      <c r="C141" s="67"/>
      <c r="D141" s="77"/>
      <c r="E141" s="77" t="s">
        <v>31</v>
      </c>
      <c r="F141" s="76" t="s">
        <v>31</v>
      </c>
      <c r="G141" s="76" t="s">
        <v>31</v>
      </c>
      <c r="H141" s="76"/>
      <c r="I141" s="76"/>
      <c r="J141" s="76" t="s">
        <v>31</v>
      </c>
      <c r="K141" s="76" t="s">
        <v>31</v>
      </c>
      <c r="L141" s="76" t="s">
        <v>31</v>
      </c>
      <c r="M141" s="76" t="s">
        <v>31</v>
      </c>
      <c r="N141" s="76"/>
      <c r="U141" s="81"/>
    </row>
    <row r="142" spans="1:21" ht="20.25" customHeight="1" x14ac:dyDescent="0.35">
      <c r="A142" s="66" t="s">
        <v>30</v>
      </c>
      <c r="C142" s="67"/>
      <c r="D142" s="92" t="str">
        <f t="shared" ref="D142" si="90">E142</f>
        <v>C100032</v>
      </c>
      <c r="E142" s="91" t="str">
        <f>"C100032"</f>
        <v>C100032</v>
      </c>
      <c r="F142" s="89" t="str">
        <f>"Clip-on Clock"</f>
        <v>Clip-on Clock</v>
      </c>
      <c r="G142" s="89"/>
      <c r="H142" s="90" t="str">
        <f>"EA"</f>
        <v>EA</v>
      </c>
      <c r="I142" s="89"/>
      <c r="J142" s="89"/>
      <c r="K142" s="89"/>
      <c r="L142" s="89"/>
      <c r="M142" s="89"/>
      <c r="N142" s="89"/>
      <c r="O142" s="88">
        <f>(SUBTOTAL(9,O143:O147))</f>
        <v>600</v>
      </c>
      <c r="P142" s="88">
        <f>(SUBTOTAL(9,P143:P147))</f>
        <v>-300</v>
      </c>
      <c r="Q142" s="88">
        <f>(SUBTOTAL(9,Q143:Q147))</f>
        <v>0</v>
      </c>
      <c r="R142" s="88">
        <f>(SUBTOTAL(9,R143:R147))</f>
        <v>0</v>
      </c>
      <c r="S142" s="88">
        <f>(SUBTOTAL(9,S143:S147))</f>
        <v>0</v>
      </c>
      <c r="T142" s="88">
        <f>(SUBTOTAL(9,T143:T147))</f>
        <v>0</v>
      </c>
      <c r="U142" s="87">
        <f t="shared" ref="U142" si="91">SUBTOTAL(9,O143:T147)</f>
        <v>300</v>
      </c>
    </row>
    <row r="143" spans="1:21" ht="17.25" customHeight="1" x14ac:dyDescent="0.3">
      <c r="A143" s="66" t="s">
        <v>30</v>
      </c>
      <c r="C143" s="67"/>
      <c r="D143" s="77" t="str">
        <f t="shared" ref="D143" si="92">D142</f>
        <v>C100032</v>
      </c>
      <c r="E143" s="77"/>
      <c r="F143" s="76"/>
      <c r="G143" s="76" t="str">
        <f>"""NAV Direct"",""CRONUS JetCorp USA"",""32"",""1"",""167615"""</f>
        <v>"NAV Direct","CRONUS JetCorp USA","32","1","167615"</v>
      </c>
      <c r="H143" s="86">
        <v>43466</v>
      </c>
      <c r="I143" s="85">
        <v>167615</v>
      </c>
      <c r="J143" s="84" t="str">
        <f>"Vendor"</f>
        <v>Vendor</v>
      </c>
      <c r="K143" s="84" t="str">
        <f>"V100003"</f>
        <v>V100003</v>
      </c>
      <c r="L143" s="84" t="str">
        <f>IF($J143="Customer",_xll.NL("first",$J143,"Name","No.","@@"&amp;$K143),"")</f>
        <v/>
      </c>
      <c r="M143" s="84" t="str">
        <f>"LogoMasters"</f>
        <v>LogoMasters</v>
      </c>
      <c r="N143" s="84" t="str">
        <f>IF($J143="Item",_xll.NL("first",$J143,"Description","No.","@@"&amp;$K143),"")</f>
        <v/>
      </c>
      <c r="O143" s="83">
        <v>600</v>
      </c>
      <c r="P143" s="83">
        <v>0</v>
      </c>
      <c r="Q143" s="83">
        <v>0</v>
      </c>
      <c r="R143" s="83">
        <v>0</v>
      </c>
      <c r="S143" s="83">
        <v>0</v>
      </c>
      <c r="T143" s="83">
        <v>0</v>
      </c>
      <c r="U143" s="82"/>
    </row>
    <row r="144" spans="1:21" ht="17.25" customHeight="1" x14ac:dyDescent="0.3">
      <c r="A144" s="66" t="s">
        <v>30</v>
      </c>
      <c r="C144" s="67"/>
      <c r="D144" s="77" t="str">
        <f t="shared" ref="D144:D146" si="93">D143</f>
        <v>C100032</v>
      </c>
      <c r="E144" s="77"/>
      <c r="F144" s="76"/>
      <c r="G144" s="76" t="str">
        <f>"""NAV Direct"",""CRONUS JetCorp USA"",""32"",""1"",""7559"""</f>
        <v>"NAV Direct","CRONUS JetCorp USA","32","1","7559"</v>
      </c>
      <c r="H144" s="86">
        <v>43469</v>
      </c>
      <c r="I144" s="85">
        <v>7559</v>
      </c>
      <c r="J144" s="84" t="str">
        <f>"Customer"</f>
        <v>Customer</v>
      </c>
      <c r="K144" s="84" t="str">
        <f>"C100030"</f>
        <v>C100030</v>
      </c>
      <c r="L144" s="84" t="str">
        <f>IF($J144="Customer",_xll.NL("first",$J144,"Name","No.","@@"&amp;$K144),"")</f>
        <v>Stutringers</v>
      </c>
      <c r="M144" s="84" t="str">
        <f>""</f>
        <v/>
      </c>
      <c r="N144" s="84" t="str">
        <f>IF($J144="Item",_xll.NL("first",$J144,"Description","No.","@@"&amp;$K144),"")</f>
        <v/>
      </c>
      <c r="O144" s="83">
        <v>0</v>
      </c>
      <c r="P144" s="83">
        <v>-144</v>
      </c>
      <c r="Q144" s="83">
        <v>0</v>
      </c>
      <c r="R144" s="83">
        <v>0</v>
      </c>
      <c r="S144" s="83">
        <v>0</v>
      </c>
      <c r="T144" s="83">
        <v>0</v>
      </c>
      <c r="U144" s="82"/>
    </row>
    <row r="145" spans="1:21" ht="17.25" customHeight="1" x14ac:dyDescent="0.3">
      <c r="A145" s="66" t="s">
        <v>30</v>
      </c>
      <c r="C145" s="67"/>
      <c r="D145" s="77" t="str">
        <f t="shared" si="93"/>
        <v>C100032</v>
      </c>
      <c r="E145" s="77"/>
      <c r="F145" s="76"/>
      <c r="G145" s="76" t="str">
        <f>"""NAV Direct"",""CRONUS JetCorp USA"",""32"",""1"",""30108"""</f>
        <v>"NAV Direct","CRONUS JetCorp USA","32","1","30108"</v>
      </c>
      <c r="H145" s="86">
        <v>43475</v>
      </c>
      <c r="I145" s="85">
        <v>30108</v>
      </c>
      <c r="J145" s="84" t="str">
        <f>"Customer"</f>
        <v>Customer</v>
      </c>
      <c r="K145" s="84" t="str">
        <f>"C100012"</f>
        <v>C100012</v>
      </c>
      <c r="L145" s="84" t="str">
        <f>IF($J145="Customer",_xll.NL("first",$J145,"Name","No.","@@"&amp;$K145),"")</f>
        <v>Bainbridges</v>
      </c>
      <c r="M145" s="84" t="str">
        <f>""</f>
        <v/>
      </c>
      <c r="N145" s="84" t="str">
        <f>IF($J145="Item",_xll.NL("first",$J145,"Description","No.","@@"&amp;$K145),"")</f>
        <v/>
      </c>
      <c r="O145" s="83">
        <v>0</v>
      </c>
      <c r="P145" s="83">
        <v>-144</v>
      </c>
      <c r="Q145" s="83">
        <v>0</v>
      </c>
      <c r="R145" s="83">
        <v>0</v>
      </c>
      <c r="S145" s="83">
        <v>0</v>
      </c>
      <c r="T145" s="83">
        <v>0</v>
      </c>
      <c r="U145" s="82"/>
    </row>
    <row r="146" spans="1:21" ht="17.25" customHeight="1" x14ac:dyDescent="0.3">
      <c r="A146" s="66" t="s">
        <v>30</v>
      </c>
      <c r="C146" s="67"/>
      <c r="D146" s="77" t="str">
        <f t="shared" si="93"/>
        <v>C100032</v>
      </c>
      <c r="E146" s="77"/>
      <c r="F146" s="76"/>
      <c r="G146" s="76" t="str">
        <f>"""NAV Direct"",""CRONUS JetCorp USA"",""32"",""1"",""7589"""</f>
        <v>"NAV Direct","CRONUS JetCorp USA","32","1","7589"</v>
      </c>
      <c r="H146" s="86">
        <v>43476</v>
      </c>
      <c r="I146" s="85">
        <v>7589</v>
      </c>
      <c r="J146" s="84" t="str">
        <f>"Customer"</f>
        <v>Customer</v>
      </c>
      <c r="K146" s="84" t="str">
        <f>"C100030"</f>
        <v>C100030</v>
      </c>
      <c r="L146" s="84" t="str">
        <f>IF($J146="Customer",_xll.NL("first",$J146,"Name","No.","@@"&amp;$K146),"")</f>
        <v>Stutringers</v>
      </c>
      <c r="M146" s="84" t="str">
        <f>""</f>
        <v/>
      </c>
      <c r="N146" s="84" t="str">
        <f>IF($J146="Item",_xll.NL("first",$J146,"Description","No.","@@"&amp;$K146),"")</f>
        <v/>
      </c>
      <c r="O146" s="83">
        <v>0</v>
      </c>
      <c r="P146" s="83">
        <v>-12</v>
      </c>
      <c r="Q146" s="83">
        <v>0</v>
      </c>
      <c r="R146" s="83">
        <v>0</v>
      </c>
      <c r="S146" s="83">
        <v>0</v>
      </c>
      <c r="T146" s="83">
        <v>0</v>
      </c>
      <c r="U146" s="82"/>
    </row>
    <row r="147" spans="1:21" ht="17.25" customHeight="1" x14ac:dyDescent="0.3">
      <c r="A147" s="66" t="s">
        <v>30</v>
      </c>
      <c r="C147" s="67"/>
      <c r="D147" s="77"/>
      <c r="E147" s="77"/>
      <c r="F147" s="76"/>
      <c r="G147" s="76"/>
      <c r="H147" s="76"/>
      <c r="I147" s="76"/>
      <c r="J147" s="76"/>
      <c r="K147" s="76"/>
      <c r="L147" s="76"/>
      <c r="M147" s="76"/>
      <c r="N147" s="76"/>
      <c r="O147" s="75"/>
      <c r="P147" s="75"/>
      <c r="Q147" s="75"/>
      <c r="R147" s="75"/>
      <c r="S147" s="75"/>
      <c r="T147" s="75"/>
      <c r="U147" s="74"/>
    </row>
    <row r="148" spans="1:21" ht="17.25" customHeight="1" x14ac:dyDescent="0.3">
      <c r="A148" s="66" t="s">
        <v>30</v>
      </c>
      <c r="C148" s="67"/>
      <c r="D148" s="77"/>
      <c r="E148" s="77" t="s">
        <v>31</v>
      </c>
      <c r="F148" s="76" t="s">
        <v>31</v>
      </c>
      <c r="G148" s="76" t="s">
        <v>31</v>
      </c>
      <c r="H148" s="76"/>
      <c r="I148" s="76"/>
      <c r="J148" s="76" t="s">
        <v>31</v>
      </c>
      <c r="K148" s="76" t="s">
        <v>31</v>
      </c>
      <c r="L148" s="76" t="s">
        <v>31</v>
      </c>
      <c r="M148" s="76" t="s">
        <v>31</v>
      </c>
      <c r="N148" s="76"/>
      <c r="U148" s="81"/>
    </row>
    <row r="149" spans="1:21" ht="20.25" customHeight="1" x14ac:dyDescent="0.35">
      <c r="A149" s="66" t="s">
        <v>30</v>
      </c>
      <c r="C149" s="67"/>
      <c r="D149" s="92" t="str">
        <f t="shared" ref="D149" si="94">E149</f>
        <v>C100033</v>
      </c>
      <c r="E149" s="91" t="str">
        <f>"C100033"</f>
        <v>C100033</v>
      </c>
      <c r="F149" s="89" t="str">
        <f>"Frames &amp; Clock"</f>
        <v>Frames &amp; Clock</v>
      </c>
      <c r="G149" s="89"/>
      <c r="H149" s="90" t="str">
        <f>"EA"</f>
        <v>EA</v>
      </c>
      <c r="I149" s="89"/>
      <c r="J149" s="89"/>
      <c r="K149" s="89"/>
      <c r="L149" s="89"/>
      <c r="M149" s="89"/>
      <c r="N149" s="89"/>
      <c r="O149" s="88">
        <f>(SUBTOTAL(9,O150:O153))</f>
        <v>1800</v>
      </c>
      <c r="P149" s="88">
        <f>(SUBTOTAL(9,P150:P153))</f>
        <v>-145</v>
      </c>
      <c r="Q149" s="88">
        <f>(SUBTOTAL(9,Q150:Q153))</f>
        <v>0</v>
      </c>
      <c r="R149" s="88">
        <f>(SUBTOTAL(9,R150:R153))</f>
        <v>0</v>
      </c>
      <c r="S149" s="88">
        <f>(SUBTOTAL(9,S150:S153))</f>
        <v>0</v>
      </c>
      <c r="T149" s="88">
        <f>(SUBTOTAL(9,T150:T153))</f>
        <v>0</v>
      </c>
      <c r="U149" s="87">
        <f t="shared" ref="U149" si="95">SUBTOTAL(9,O150:T153)</f>
        <v>1655</v>
      </c>
    </row>
    <row r="150" spans="1:21" ht="17.25" customHeight="1" x14ac:dyDescent="0.3">
      <c r="A150" s="66" t="s">
        <v>30</v>
      </c>
      <c r="C150" s="67"/>
      <c r="D150" s="77" t="str">
        <f t="shared" ref="D150" si="96">D149</f>
        <v>C100033</v>
      </c>
      <c r="E150" s="77"/>
      <c r="F150" s="76"/>
      <c r="G150" s="76" t="str">
        <f>"""NAV Direct"",""CRONUS JetCorp USA"",""32"",""1"",""167614"""</f>
        <v>"NAV Direct","CRONUS JetCorp USA","32","1","167614"</v>
      </c>
      <c r="H150" s="86">
        <v>43466</v>
      </c>
      <c r="I150" s="85">
        <v>167614</v>
      </c>
      <c r="J150" s="84" t="str">
        <f>"Vendor"</f>
        <v>Vendor</v>
      </c>
      <c r="K150" s="84" t="str">
        <f>"V100003"</f>
        <v>V100003</v>
      </c>
      <c r="L150" s="84" t="str">
        <f>IF($J150="Customer",_xll.NL("first",$J150,"Name","No.","@@"&amp;$K150),"")</f>
        <v/>
      </c>
      <c r="M150" s="84" t="str">
        <f>"LogoMasters"</f>
        <v>LogoMasters</v>
      </c>
      <c r="N150" s="84" t="str">
        <f>IF($J150="Item",_xll.NL("first",$J150,"Description","No.","@@"&amp;$K150),"")</f>
        <v/>
      </c>
      <c r="O150" s="83">
        <v>1800</v>
      </c>
      <c r="P150" s="83">
        <v>0</v>
      </c>
      <c r="Q150" s="83">
        <v>0</v>
      </c>
      <c r="R150" s="83">
        <v>0</v>
      </c>
      <c r="S150" s="83">
        <v>0</v>
      </c>
      <c r="T150" s="83">
        <v>0</v>
      </c>
      <c r="U150" s="82"/>
    </row>
    <row r="151" spans="1:21" ht="17.25" customHeight="1" x14ac:dyDescent="0.3">
      <c r="A151" s="66" t="s">
        <v>30</v>
      </c>
      <c r="C151" s="67"/>
      <c r="D151" s="77" t="str">
        <f t="shared" ref="D151:D152" si="97">D150</f>
        <v>C100033</v>
      </c>
      <c r="E151" s="77"/>
      <c r="F151" s="76"/>
      <c r="G151" s="76" t="str">
        <f>"""NAV Direct"",""CRONUS JetCorp USA"",""32"",""1"",""7591"""</f>
        <v>"NAV Direct","CRONUS JetCorp USA","32","1","7591"</v>
      </c>
      <c r="H151" s="86">
        <v>43476</v>
      </c>
      <c r="I151" s="85">
        <v>7591</v>
      </c>
      <c r="J151" s="84" t="str">
        <f>"Customer"</f>
        <v>Customer</v>
      </c>
      <c r="K151" s="84" t="str">
        <f>"C100030"</f>
        <v>C100030</v>
      </c>
      <c r="L151" s="84" t="str">
        <f>IF($J151="Customer",_xll.NL("first",$J151,"Name","No.","@@"&amp;$K151),"")</f>
        <v>Stutringers</v>
      </c>
      <c r="M151" s="84" t="str">
        <f>""</f>
        <v/>
      </c>
      <c r="N151" s="84" t="str">
        <f>IF($J151="Item",_xll.NL("first",$J151,"Description","No.","@@"&amp;$K151),"")</f>
        <v/>
      </c>
      <c r="O151" s="83">
        <v>0</v>
      </c>
      <c r="P151" s="83">
        <v>-1</v>
      </c>
      <c r="Q151" s="83">
        <v>0</v>
      </c>
      <c r="R151" s="83">
        <v>0</v>
      </c>
      <c r="S151" s="83">
        <v>0</v>
      </c>
      <c r="T151" s="83">
        <v>0</v>
      </c>
      <c r="U151" s="82"/>
    </row>
    <row r="152" spans="1:21" ht="17.25" customHeight="1" x14ac:dyDescent="0.3">
      <c r="A152" s="66" t="s">
        <v>30</v>
      </c>
      <c r="C152" s="67"/>
      <c r="D152" s="77" t="str">
        <f t="shared" si="97"/>
        <v>C100033</v>
      </c>
      <c r="E152" s="77"/>
      <c r="F152" s="76"/>
      <c r="G152" s="76" t="str">
        <f>"""NAV Direct"",""CRONUS JetCorp USA"",""32"",""1"",""114293"""</f>
        <v>"NAV Direct","CRONUS JetCorp USA","32","1","114293"</v>
      </c>
      <c r="H152" s="86">
        <v>43477</v>
      </c>
      <c r="I152" s="85">
        <v>114293</v>
      </c>
      <c r="J152" s="84" t="str">
        <f>"Customer"</f>
        <v>Customer</v>
      </c>
      <c r="K152" s="84" t="str">
        <f>"C100030"</f>
        <v>C100030</v>
      </c>
      <c r="L152" s="84" t="str">
        <f>IF($J152="Customer",_xll.NL("first",$J152,"Name","No.","@@"&amp;$K152),"")</f>
        <v>Stutringers</v>
      </c>
      <c r="M152" s="84" t="str">
        <f>""</f>
        <v/>
      </c>
      <c r="N152" s="84" t="str">
        <f>IF($J152="Item",_xll.NL("first",$J152,"Description","No.","@@"&amp;$K152),"")</f>
        <v/>
      </c>
      <c r="O152" s="83">
        <v>0</v>
      </c>
      <c r="P152" s="83">
        <v>-144</v>
      </c>
      <c r="Q152" s="83">
        <v>0</v>
      </c>
      <c r="R152" s="83">
        <v>0</v>
      </c>
      <c r="S152" s="83">
        <v>0</v>
      </c>
      <c r="T152" s="83">
        <v>0</v>
      </c>
      <c r="U152" s="82"/>
    </row>
    <row r="153" spans="1:21" ht="17.25" customHeight="1" x14ac:dyDescent="0.3">
      <c r="A153" s="66" t="s">
        <v>30</v>
      </c>
      <c r="C153" s="67"/>
      <c r="D153" s="77"/>
      <c r="E153" s="77"/>
      <c r="F153" s="76"/>
      <c r="G153" s="76"/>
      <c r="H153" s="76"/>
      <c r="I153" s="76"/>
      <c r="J153" s="76"/>
      <c r="K153" s="76"/>
      <c r="L153" s="76"/>
      <c r="M153" s="76"/>
      <c r="N153" s="76"/>
      <c r="O153" s="75"/>
      <c r="P153" s="75"/>
      <c r="Q153" s="75"/>
      <c r="R153" s="75"/>
      <c r="S153" s="75"/>
      <c r="T153" s="75"/>
      <c r="U153" s="74"/>
    </row>
    <row r="154" spans="1:21" ht="17.25" customHeight="1" x14ac:dyDescent="0.3">
      <c r="A154" s="66" t="s">
        <v>30</v>
      </c>
      <c r="C154" s="67"/>
      <c r="D154" s="77"/>
      <c r="E154" s="77" t="s">
        <v>31</v>
      </c>
      <c r="F154" s="76" t="s">
        <v>31</v>
      </c>
      <c r="G154" s="76" t="s">
        <v>31</v>
      </c>
      <c r="H154" s="76"/>
      <c r="I154" s="76"/>
      <c r="J154" s="76" t="s">
        <v>31</v>
      </c>
      <c r="K154" s="76" t="s">
        <v>31</v>
      </c>
      <c r="L154" s="76" t="s">
        <v>31</v>
      </c>
      <c r="M154" s="76" t="s">
        <v>31</v>
      </c>
      <c r="N154" s="76"/>
      <c r="U154" s="81"/>
    </row>
    <row r="155" spans="1:21" ht="20.25" customHeight="1" x14ac:dyDescent="0.35">
      <c r="A155" s="66" t="s">
        <v>30</v>
      </c>
      <c r="C155" s="67"/>
      <c r="D155" s="92" t="str">
        <f t="shared" ref="D155" si="98">E155</f>
        <v>C100034</v>
      </c>
      <c r="E155" s="91" t="str">
        <f>"C100034"</f>
        <v>C100034</v>
      </c>
      <c r="F155" s="89" t="str">
        <f>"Clock &amp; Pen Holder"</f>
        <v>Clock &amp; Pen Holder</v>
      </c>
      <c r="G155" s="89"/>
      <c r="H155" s="90" t="str">
        <f>"EA"</f>
        <v>EA</v>
      </c>
      <c r="I155" s="89"/>
      <c r="J155" s="89"/>
      <c r="K155" s="89"/>
      <c r="L155" s="89"/>
      <c r="M155" s="89"/>
      <c r="N155" s="89"/>
      <c r="O155" s="88">
        <f>(SUBTOTAL(9,O156:O159))</f>
        <v>600</v>
      </c>
      <c r="P155" s="88">
        <f>(SUBTOTAL(9,P156:P159))</f>
        <v>-145</v>
      </c>
      <c r="Q155" s="88">
        <f>(SUBTOTAL(9,Q156:Q159))</f>
        <v>0</v>
      </c>
      <c r="R155" s="88">
        <f>(SUBTOTAL(9,R156:R159))</f>
        <v>0</v>
      </c>
      <c r="S155" s="88">
        <f>(SUBTOTAL(9,S156:S159))</f>
        <v>0</v>
      </c>
      <c r="T155" s="88">
        <f>(SUBTOTAL(9,T156:T159))</f>
        <v>0</v>
      </c>
      <c r="U155" s="87">
        <f t="shared" ref="U155" si="99">SUBTOTAL(9,O156:T159)</f>
        <v>455</v>
      </c>
    </row>
    <row r="156" spans="1:21" ht="17.25" customHeight="1" x14ac:dyDescent="0.3">
      <c r="A156" s="66" t="s">
        <v>30</v>
      </c>
      <c r="C156" s="67"/>
      <c r="D156" s="77" t="str">
        <f t="shared" ref="D156" si="100">D155</f>
        <v>C100034</v>
      </c>
      <c r="E156" s="77"/>
      <c r="F156" s="76"/>
      <c r="G156" s="76" t="str">
        <f>"""NAV Direct"",""CRONUS JetCorp USA"",""32"",""1"",""167613"""</f>
        <v>"NAV Direct","CRONUS JetCorp USA","32","1","167613"</v>
      </c>
      <c r="H156" s="86">
        <v>43466</v>
      </c>
      <c r="I156" s="85">
        <v>167613</v>
      </c>
      <c r="J156" s="84" t="str">
        <f>"Vendor"</f>
        <v>Vendor</v>
      </c>
      <c r="K156" s="84" t="str">
        <f>"V100003"</f>
        <v>V100003</v>
      </c>
      <c r="L156" s="84" t="str">
        <f>IF($J156="Customer",_xll.NL("first",$J156,"Name","No.","@@"&amp;$K156),"")</f>
        <v/>
      </c>
      <c r="M156" s="84" t="str">
        <f>"LogoMasters"</f>
        <v>LogoMasters</v>
      </c>
      <c r="N156" s="84" t="str">
        <f>IF($J156="Item",_xll.NL("first",$J156,"Description","No.","@@"&amp;$K156),"")</f>
        <v/>
      </c>
      <c r="O156" s="83">
        <v>600</v>
      </c>
      <c r="P156" s="83">
        <v>0</v>
      </c>
      <c r="Q156" s="83">
        <v>0</v>
      </c>
      <c r="R156" s="83">
        <v>0</v>
      </c>
      <c r="S156" s="83">
        <v>0</v>
      </c>
      <c r="T156" s="83">
        <v>0</v>
      </c>
      <c r="U156" s="82"/>
    </row>
    <row r="157" spans="1:21" ht="17.25" customHeight="1" x14ac:dyDescent="0.3">
      <c r="A157" s="66" t="s">
        <v>30</v>
      </c>
      <c r="C157" s="67"/>
      <c r="D157" s="77" t="str">
        <f t="shared" ref="D157:D158" si="101">D156</f>
        <v>C100034</v>
      </c>
      <c r="E157" s="77"/>
      <c r="F157" s="76"/>
      <c r="G157" s="76" t="str">
        <f>"""NAV Direct"",""CRONUS JetCorp USA"",""32"",""1"",""116375"""</f>
        <v>"NAV Direct","CRONUS JetCorp USA","32","1","116375"</v>
      </c>
      <c r="H157" s="86">
        <v>43472</v>
      </c>
      <c r="I157" s="85">
        <v>116375</v>
      </c>
      <c r="J157" s="84" t="str">
        <f>"Customer"</f>
        <v>Customer</v>
      </c>
      <c r="K157" s="84" t="str">
        <f>"C100054"</f>
        <v>C100054</v>
      </c>
      <c r="L157" s="84" t="str">
        <f>IF($J157="Customer",_xll.NL("first",$J157,"Name","No.","@@"&amp;$K157),"")</f>
        <v>London Candoxy Storage Campus</v>
      </c>
      <c r="M157" s="84" t="str">
        <f>""</f>
        <v/>
      </c>
      <c r="N157" s="84" t="str">
        <f>IF($J157="Item",_xll.NL("first",$J157,"Description","No.","@@"&amp;$K157),"")</f>
        <v/>
      </c>
      <c r="O157" s="83">
        <v>0</v>
      </c>
      <c r="P157" s="83">
        <v>-1</v>
      </c>
      <c r="Q157" s="83">
        <v>0</v>
      </c>
      <c r="R157" s="83">
        <v>0</v>
      </c>
      <c r="S157" s="83">
        <v>0</v>
      </c>
      <c r="T157" s="83">
        <v>0</v>
      </c>
      <c r="U157" s="82"/>
    </row>
    <row r="158" spans="1:21" ht="17.25" customHeight="1" x14ac:dyDescent="0.3">
      <c r="A158" s="66" t="s">
        <v>30</v>
      </c>
      <c r="C158" s="67"/>
      <c r="D158" s="77" t="str">
        <f t="shared" si="101"/>
        <v>C100034</v>
      </c>
      <c r="E158" s="77"/>
      <c r="F158" s="76"/>
      <c r="G158" s="76" t="str">
        <f>"""NAV Direct"",""CRONUS JetCorp USA"",""32"",""1"",""114291"""</f>
        <v>"NAV Direct","CRONUS JetCorp USA","32","1","114291"</v>
      </c>
      <c r="H158" s="86">
        <v>43477</v>
      </c>
      <c r="I158" s="85">
        <v>114291</v>
      </c>
      <c r="J158" s="84" t="str">
        <f>"Customer"</f>
        <v>Customer</v>
      </c>
      <c r="K158" s="84" t="str">
        <f>"C100030"</f>
        <v>C100030</v>
      </c>
      <c r="L158" s="84" t="str">
        <f>IF($J158="Customer",_xll.NL("first",$J158,"Name","No.","@@"&amp;$K158),"")</f>
        <v>Stutringers</v>
      </c>
      <c r="M158" s="84" t="str">
        <f>""</f>
        <v/>
      </c>
      <c r="N158" s="84" t="str">
        <f>IF($J158="Item",_xll.NL("first",$J158,"Description","No.","@@"&amp;$K158),"")</f>
        <v/>
      </c>
      <c r="O158" s="83">
        <v>0</v>
      </c>
      <c r="P158" s="83">
        <v>-144</v>
      </c>
      <c r="Q158" s="83">
        <v>0</v>
      </c>
      <c r="R158" s="83">
        <v>0</v>
      </c>
      <c r="S158" s="83">
        <v>0</v>
      </c>
      <c r="T158" s="83">
        <v>0</v>
      </c>
      <c r="U158" s="82"/>
    </row>
    <row r="159" spans="1:21" ht="17.25" customHeight="1" x14ac:dyDescent="0.3">
      <c r="A159" s="66" t="s">
        <v>30</v>
      </c>
      <c r="C159" s="67"/>
      <c r="D159" s="77"/>
      <c r="E159" s="77"/>
      <c r="F159" s="76"/>
      <c r="G159" s="76"/>
      <c r="H159" s="76"/>
      <c r="I159" s="76"/>
      <c r="J159" s="76"/>
      <c r="K159" s="76"/>
      <c r="L159" s="76"/>
      <c r="M159" s="76"/>
      <c r="N159" s="76"/>
      <c r="O159" s="75"/>
      <c r="P159" s="75"/>
      <c r="Q159" s="75"/>
      <c r="R159" s="75"/>
      <c r="S159" s="75"/>
      <c r="T159" s="75"/>
      <c r="U159" s="74"/>
    </row>
    <row r="160" spans="1:21" ht="17.25" customHeight="1" x14ac:dyDescent="0.3">
      <c r="A160" s="66" t="s">
        <v>30</v>
      </c>
      <c r="C160" s="67"/>
      <c r="D160" s="77"/>
      <c r="E160" s="77" t="s">
        <v>31</v>
      </c>
      <c r="F160" s="76" t="s">
        <v>31</v>
      </c>
      <c r="G160" s="76" t="s">
        <v>31</v>
      </c>
      <c r="H160" s="76"/>
      <c r="I160" s="76"/>
      <c r="J160" s="76" t="s">
        <v>31</v>
      </c>
      <c r="K160" s="76" t="s">
        <v>31</v>
      </c>
      <c r="L160" s="76" t="s">
        <v>31</v>
      </c>
      <c r="M160" s="76" t="s">
        <v>31</v>
      </c>
      <c r="N160" s="76"/>
      <c r="U160" s="81"/>
    </row>
    <row r="161" spans="1:21" ht="20.25" customHeight="1" x14ac:dyDescent="0.35">
      <c r="A161" s="66" t="s">
        <v>30</v>
      </c>
      <c r="C161" s="67"/>
      <c r="D161" s="92" t="str">
        <f t="shared" ref="D161" si="102">E161</f>
        <v>C100035</v>
      </c>
      <c r="E161" s="91" t="str">
        <f>"C100035"</f>
        <v>C100035</v>
      </c>
      <c r="F161" s="89" t="str">
        <f>"Calculator &amp; World Time Clock"</f>
        <v>Calculator &amp; World Time Clock</v>
      </c>
      <c r="G161" s="89"/>
      <c r="H161" s="90" t="str">
        <f>"EA"</f>
        <v>EA</v>
      </c>
      <c r="I161" s="89"/>
      <c r="J161" s="89"/>
      <c r="K161" s="89"/>
      <c r="L161" s="89"/>
      <c r="M161" s="89"/>
      <c r="N161" s="89"/>
      <c r="O161" s="88">
        <f>(SUBTOTAL(9,O162:O167))</f>
        <v>1600</v>
      </c>
      <c r="P161" s="88">
        <f>(SUBTOTAL(9,P162:P167))</f>
        <v>-219</v>
      </c>
      <c r="Q161" s="88">
        <f>(SUBTOTAL(9,Q162:Q167))</f>
        <v>0</v>
      </c>
      <c r="R161" s="88">
        <f>(SUBTOTAL(9,R162:R167))</f>
        <v>0</v>
      </c>
      <c r="S161" s="88">
        <f>(SUBTOTAL(9,S162:S167))</f>
        <v>0</v>
      </c>
      <c r="T161" s="88">
        <f>(SUBTOTAL(9,T162:T167))</f>
        <v>0</v>
      </c>
      <c r="U161" s="87">
        <f t="shared" ref="U161" si="103">SUBTOTAL(9,O162:T167)</f>
        <v>1381</v>
      </c>
    </row>
    <row r="162" spans="1:21" ht="17.25" customHeight="1" x14ac:dyDescent="0.3">
      <c r="A162" s="66" t="s">
        <v>30</v>
      </c>
      <c r="C162" s="67"/>
      <c r="D162" s="77" t="str">
        <f t="shared" ref="D162" si="104">D161</f>
        <v>C100035</v>
      </c>
      <c r="E162" s="77"/>
      <c r="F162" s="76"/>
      <c r="G162" s="76" t="str">
        <f>"""NAV Direct"",""CRONUS JetCorp USA"",""32"",""1"",""167612"""</f>
        <v>"NAV Direct","CRONUS JetCorp USA","32","1","167612"</v>
      </c>
      <c r="H162" s="86">
        <v>43466</v>
      </c>
      <c r="I162" s="85">
        <v>167612</v>
      </c>
      <c r="J162" s="84" t="str">
        <f>"Vendor"</f>
        <v>Vendor</v>
      </c>
      <c r="K162" s="84" t="str">
        <f>"V100003"</f>
        <v>V100003</v>
      </c>
      <c r="L162" s="84" t="str">
        <f>IF($J162="Customer",_xll.NL("first",$J162,"Name","No.","@@"&amp;$K162),"")</f>
        <v/>
      </c>
      <c r="M162" s="84" t="str">
        <f>"LogoMasters"</f>
        <v>LogoMasters</v>
      </c>
      <c r="N162" s="84" t="str">
        <f>IF($J162="Item",_xll.NL("first",$J162,"Description","No.","@@"&amp;$K162),"")</f>
        <v/>
      </c>
      <c r="O162" s="83">
        <v>1600</v>
      </c>
      <c r="P162" s="83">
        <v>0</v>
      </c>
      <c r="Q162" s="83">
        <v>0</v>
      </c>
      <c r="R162" s="83">
        <v>0</v>
      </c>
      <c r="S162" s="83">
        <v>0</v>
      </c>
      <c r="T162" s="83">
        <v>0</v>
      </c>
      <c r="U162" s="82"/>
    </row>
    <row r="163" spans="1:21" ht="17.25" customHeight="1" x14ac:dyDescent="0.3">
      <c r="A163" s="66" t="s">
        <v>30</v>
      </c>
      <c r="C163" s="67"/>
      <c r="D163" s="77" t="str">
        <f t="shared" ref="D163:D166" si="105">D162</f>
        <v>C100035</v>
      </c>
      <c r="E163" s="77"/>
      <c r="F163" s="76"/>
      <c r="G163" s="76" t="str">
        <f>"""NAV Direct"",""CRONUS JetCorp USA"",""32"",""1"",""114279"""</f>
        <v>"NAV Direct","CRONUS JetCorp USA","32","1","114279"</v>
      </c>
      <c r="H163" s="86">
        <v>43474</v>
      </c>
      <c r="I163" s="85">
        <v>114279</v>
      </c>
      <c r="J163" s="84" t="str">
        <f>"Customer"</f>
        <v>Customer</v>
      </c>
      <c r="K163" s="84" t="str">
        <f>"C100076"</f>
        <v>C100076</v>
      </c>
      <c r="L163" s="84" t="str">
        <f>IF($J163="Customer",_xll.NL("first",$J163,"Name","No.","@@"&amp;$K163),"")</f>
        <v>Showmasters</v>
      </c>
      <c r="M163" s="84" t="str">
        <f>""</f>
        <v/>
      </c>
      <c r="N163" s="84" t="str">
        <f>IF($J163="Item",_xll.NL("first",$J163,"Description","No.","@@"&amp;$K163),"")</f>
        <v/>
      </c>
      <c r="O163" s="83">
        <v>0</v>
      </c>
      <c r="P163" s="83">
        <v>-168</v>
      </c>
      <c r="Q163" s="83">
        <v>0</v>
      </c>
      <c r="R163" s="83">
        <v>0</v>
      </c>
      <c r="S163" s="83">
        <v>0</v>
      </c>
      <c r="T163" s="83">
        <v>0</v>
      </c>
      <c r="U163" s="82"/>
    </row>
    <row r="164" spans="1:21" ht="17.25" customHeight="1" x14ac:dyDescent="0.3">
      <c r="A164" s="66" t="s">
        <v>30</v>
      </c>
      <c r="C164" s="67"/>
      <c r="D164" s="77" t="str">
        <f t="shared" si="105"/>
        <v>C100035</v>
      </c>
      <c r="E164" s="77"/>
      <c r="F164" s="76"/>
      <c r="G164" s="76" t="str">
        <f>"""NAV Direct"",""CRONUS JetCorp USA"",""32"",""1"",""7588"""</f>
        <v>"NAV Direct","CRONUS JetCorp USA","32","1","7588"</v>
      </c>
      <c r="H164" s="86">
        <v>43476</v>
      </c>
      <c r="I164" s="85">
        <v>7588</v>
      </c>
      <c r="J164" s="84" t="str">
        <f>"Customer"</f>
        <v>Customer</v>
      </c>
      <c r="K164" s="84" t="str">
        <f>"C100030"</f>
        <v>C100030</v>
      </c>
      <c r="L164" s="84" t="str">
        <f>IF($J164="Customer",_xll.NL("first",$J164,"Name","No.","@@"&amp;$K164),"")</f>
        <v>Stutringers</v>
      </c>
      <c r="M164" s="84" t="str">
        <f>""</f>
        <v/>
      </c>
      <c r="N164" s="84" t="str">
        <f>IF($J164="Item",_xll.NL("first",$J164,"Description","No.","@@"&amp;$K164),"")</f>
        <v/>
      </c>
      <c r="O164" s="83">
        <v>0</v>
      </c>
      <c r="P164" s="83">
        <v>-49</v>
      </c>
      <c r="Q164" s="83">
        <v>0</v>
      </c>
      <c r="R164" s="83">
        <v>0</v>
      </c>
      <c r="S164" s="83">
        <v>0</v>
      </c>
      <c r="T164" s="83">
        <v>0</v>
      </c>
      <c r="U164" s="82"/>
    </row>
    <row r="165" spans="1:21" ht="17.25" customHeight="1" x14ac:dyDescent="0.3">
      <c r="A165" s="66" t="s">
        <v>30</v>
      </c>
      <c r="C165" s="67"/>
      <c r="D165" s="77" t="str">
        <f t="shared" si="105"/>
        <v>C100035</v>
      </c>
      <c r="E165" s="77"/>
      <c r="F165" s="76"/>
      <c r="G165" s="76" t="str">
        <f>"""NAV Direct"",""CRONUS JetCorp USA"",""32"",""1"",""10235"""</f>
        <v>"NAV Direct","CRONUS JetCorp USA","32","1","10235"</v>
      </c>
      <c r="H165" s="86">
        <v>43477</v>
      </c>
      <c r="I165" s="85">
        <v>10235</v>
      </c>
      <c r="J165" s="84" t="str">
        <f>"Customer"</f>
        <v>Customer</v>
      </c>
      <c r="K165" s="84" t="str">
        <f>"C100054"</f>
        <v>C100054</v>
      </c>
      <c r="L165" s="84" t="str">
        <f>IF($J165="Customer",_xll.NL("first",$J165,"Name","No.","@@"&amp;$K165),"")</f>
        <v>London Candoxy Storage Campus</v>
      </c>
      <c r="M165" s="84" t="str">
        <f>""</f>
        <v/>
      </c>
      <c r="N165" s="84" t="str">
        <f>IF($J165="Item",_xll.NL("first",$J165,"Description","No.","@@"&amp;$K165),"")</f>
        <v/>
      </c>
      <c r="O165" s="83">
        <v>0</v>
      </c>
      <c r="P165" s="83">
        <v>-1</v>
      </c>
      <c r="Q165" s="83">
        <v>0</v>
      </c>
      <c r="R165" s="83">
        <v>0</v>
      </c>
      <c r="S165" s="83">
        <v>0</v>
      </c>
      <c r="T165" s="83">
        <v>0</v>
      </c>
      <c r="U165" s="82"/>
    </row>
    <row r="166" spans="1:21" ht="17.25" customHeight="1" x14ac:dyDescent="0.3">
      <c r="A166" s="66" t="s">
        <v>30</v>
      </c>
      <c r="C166" s="67"/>
      <c r="D166" s="77" t="str">
        <f t="shared" si="105"/>
        <v>C100035</v>
      </c>
      <c r="E166" s="77"/>
      <c r="F166" s="76"/>
      <c r="G166" s="76" t="str">
        <f>"""NAV Direct"",""CRONUS JetCorp USA"",""32"",""1"",""114295"""</f>
        <v>"NAV Direct","CRONUS JetCorp USA","32","1","114295"</v>
      </c>
      <c r="H166" s="86">
        <v>43477</v>
      </c>
      <c r="I166" s="85">
        <v>114295</v>
      </c>
      <c r="J166" s="84" t="str">
        <f>"Customer"</f>
        <v>Customer</v>
      </c>
      <c r="K166" s="84" t="str">
        <f>"C100030"</f>
        <v>C100030</v>
      </c>
      <c r="L166" s="84" t="str">
        <f>IF($J166="Customer",_xll.NL("first",$J166,"Name","No.","@@"&amp;$K166),"")</f>
        <v>Stutringers</v>
      </c>
      <c r="M166" s="84" t="str">
        <f>""</f>
        <v/>
      </c>
      <c r="N166" s="84" t="str">
        <f>IF($J166="Item",_xll.NL("first",$J166,"Description","No.","@@"&amp;$K166),"")</f>
        <v/>
      </c>
      <c r="O166" s="83">
        <v>0</v>
      </c>
      <c r="P166" s="83">
        <v>-1</v>
      </c>
      <c r="Q166" s="83">
        <v>0</v>
      </c>
      <c r="R166" s="83">
        <v>0</v>
      </c>
      <c r="S166" s="83">
        <v>0</v>
      </c>
      <c r="T166" s="83">
        <v>0</v>
      </c>
      <c r="U166" s="82"/>
    </row>
    <row r="167" spans="1:21" ht="17.25" customHeight="1" x14ac:dyDescent="0.3">
      <c r="A167" s="66" t="s">
        <v>30</v>
      </c>
      <c r="C167" s="67"/>
      <c r="D167" s="77"/>
      <c r="E167" s="77"/>
      <c r="F167" s="76"/>
      <c r="G167" s="76"/>
      <c r="H167" s="76"/>
      <c r="I167" s="76"/>
      <c r="J167" s="76"/>
      <c r="K167" s="76"/>
      <c r="L167" s="76"/>
      <c r="M167" s="76"/>
      <c r="N167" s="76"/>
      <c r="O167" s="75"/>
      <c r="P167" s="75"/>
      <c r="Q167" s="75"/>
      <c r="R167" s="75"/>
      <c r="S167" s="75"/>
      <c r="T167" s="75"/>
      <c r="U167" s="74"/>
    </row>
    <row r="168" spans="1:21" ht="17.25" customHeight="1" x14ac:dyDescent="0.3">
      <c r="A168" s="66" t="s">
        <v>30</v>
      </c>
      <c r="C168" s="67"/>
      <c r="D168" s="77"/>
      <c r="E168" s="77" t="s">
        <v>31</v>
      </c>
      <c r="F168" s="76" t="s">
        <v>31</v>
      </c>
      <c r="G168" s="76" t="s">
        <v>31</v>
      </c>
      <c r="H168" s="76"/>
      <c r="I168" s="76"/>
      <c r="J168" s="76" t="s">
        <v>31</v>
      </c>
      <c r="K168" s="76" t="s">
        <v>31</v>
      </c>
      <c r="L168" s="76" t="s">
        <v>31</v>
      </c>
      <c r="M168" s="76" t="s">
        <v>31</v>
      </c>
      <c r="N168" s="76"/>
      <c r="U168" s="81"/>
    </row>
    <row r="169" spans="1:21" ht="20.25" customHeight="1" x14ac:dyDescent="0.35">
      <c r="A169" s="66" t="s">
        <v>30</v>
      </c>
      <c r="C169" s="67"/>
      <c r="D169" s="92" t="str">
        <f t="shared" ref="D169" si="106">E169</f>
        <v>C100036</v>
      </c>
      <c r="E169" s="91" t="str">
        <f>"C100036"</f>
        <v>C100036</v>
      </c>
      <c r="F169" s="89" t="str">
        <f>"Clock &amp; Business Card Holder"</f>
        <v>Clock &amp; Business Card Holder</v>
      </c>
      <c r="G169" s="89"/>
      <c r="H169" s="90" t="str">
        <f>"EA"</f>
        <v>EA</v>
      </c>
      <c r="I169" s="89"/>
      <c r="J169" s="89"/>
      <c r="K169" s="89"/>
      <c r="L169" s="89"/>
      <c r="M169" s="89"/>
      <c r="N169" s="89"/>
      <c r="O169" s="88">
        <f>(SUBTOTAL(9,O170:O171))</f>
        <v>200</v>
      </c>
      <c r="P169" s="88">
        <f>(SUBTOTAL(9,P170:P171))</f>
        <v>0</v>
      </c>
      <c r="Q169" s="88">
        <f>(SUBTOTAL(9,Q170:Q171))</f>
        <v>0</v>
      </c>
      <c r="R169" s="88">
        <f>(SUBTOTAL(9,R170:R171))</f>
        <v>0</v>
      </c>
      <c r="S169" s="88">
        <f>(SUBTOTAL(9,S170:S171))</f>
        <v>0</v>
      </c>
      <c r="T169" s="88">
        <f>(SUBTOTAL(9,T170:T171))</f>
        <v>0</v>
      </c>
      <c r="U169" s="87">
        <f t="shared" ref="U169" si="107">SUBTOTAL(9,O170:T171)</f>
        <v>200</v>
      </c>
    </row>
    <row r="170" spans="1:21" ht="17.25" customHeight="1" x14ac:dyDescent="0.3">
      <c r="A170" s="66" t="s">
        <v>30</v>
      </c>
      <c r="C170" s="67"/>
      <c r="D170" s="77" t="str">
        <f t="shared" ref="D170" si="108">D169</f>
        <v>C100036</v>
      </c>
      <c r="E170" s="77"/>
      <c r="F170" s="76"/>
      <c r="G170" s="76" t="str">
        <f>"""NAV Direct"",""CRONUS JetCorp USA"",""32"",""1"",""167611"""</f>
        <v>"NAV Direct","CRONUS JetCorp USA","32","1","167611"</v>
      </c>
      <c r="H170" s="86">
        <v>43466</v>
      </c>
      <c r="I170" s="85">
        <v>167611</v>
      </c>
      <c r="J170" s="84" t="str">
        <f>"Vendor"</f>
        <v>Vendor</v>
      </c>
      <c r="K170" s="84" t="str">
        <f>"V100003"</f>
        <v>V100003</v>
      </c>
      <c r="L170" s="84" t="str">
        <f>IF($J170="Customer",_xll.NL("first",$J170,"Name","No.","@@"&amp;$K170),"")</f>
        <v/>
      </c>
      <c r="M170" s="84" t="str">
        <f>"LogoMasters"</f>
        <v>LogoMasters</v>
      </c>
      <c r="N170" s="84" t="str">
        <f>IF($J170="Item",_xll.NL("first",$J170,"Description","No.","@@"&amp;$K170),"")</f>
        <v/>
      </c>
      <c r="O170" s="83">
        <v>200</v>
      </c>
      <c r="P170" s="83">
        <v>0</v>
      </c>
      <c r="Q170" s="83">
        <v>0</v>
      </c>
      <c r="R170" s="83">
        <v>0</v>
      </c>
      <c r="S170" s="83">
        <v>0</v>
      </c>
      <c r="T170" s="83">
        <v>0</v>
      </c>
      <c r="U170" s="82"/>
    </row>
    <row r="171" spans="1:21" ht="17.25" customHeight="1" x14ac:dyDescent="0.3">
      <c r="A171" s="66" t="s">
        <v>30</v>
      </c>
      <c r="C171" s="67"/>
      <c r="D171" s="77"/>
      <c r="E171" s="77"/>
      <c r="F171" s="76"/>
      <c r="G171" s="76"/>
      <c r="H171" s="76"/>
      <c r="I171" s="76"/>
      <c r="J171" s="76"/>
      <c r="K171" s="76"/>
      <c r="L171" s="76"/>
      <c r="M171" s="76"/>
      <c r="N171" s="76"/>
      <c r="O171" s="75"/>
      <c r="P171" s="75"/>
      <c r="Q171" s="75"/>
      <c r="R171" s="75"/>
      <c r="S171" s="75"/>
      <c r="T171" s="75"/>
      <c r="U171" s="74"/>
    </row>
    <row r="172" spans="1:21" ht="17.25" customHeight="1" x14ac:dyDescent="0.3">
      <c r="A172" s="66" t="s">
        <v>30</v>
      </c>
      <c r="C172" s="67"/>
      <c r="D172" s="77"/>
      <c r="E172" s="77" t="s">
        <v>31</v>
      </c>
      <c r="F172" s="76" t="s">
        <v>31</v>
      </c>
      <c r="G172" s="76" t="s">
        <v>31</v>
      </c>
      <c r="H172" s="76"/>
      <c r="I172" s="76"/>
      <c r="J172" s="76" t="s">
        <v>31</v>
      </c>
      <c r="K172" s="76" t="s">
        <v>31</v>
      </c>
      <c r="L172" s="76" t="s">
        <v>31</v>
      </c>
      <c r="M172" s="76" t="s">
        <v>31</v>
      </c>
      <c r="N172" s="76"/>
      <c r="U172" s="81"/>
    </row>
    <row r="173" spans="1:21" ht="20.25" customHeight="1" x14ac:dyDescent="0.35">
      <c r="A173" s="66" t="s">
        <v>30</v>
      </c>
      <c r="C173" s="67"/>
      <c r="D173" s="92" t="str">
        <f t="shared" ref="D173" si="109">E173</f>
        <v>C100037</v>
      </c>
      <c r="E173" s="91" t="str">
        <f>"C100037"</f>
        <v>C100037</v>
      </c>
      <c r="F173" s="89" t="str">
        <f>"World Time Travel Alarm"</f>
        <v>World Time Travel Alarm</v>
      </c>
      <c r="G173" s="89"/>
      <c r="H173" s="90" t="str">
        <f>"EA"</f>
        <v>EA</v>
      </c>
      <c r="I173" s="89"/>
      <c r="J173" s="89"/>
      <c r="K173" s="89"/>
      <c r="L173" s="89"/>
      <c r="M173" s="89"/>
      <c r="N173" s="89"/>
      <c r="O173" s="88">
        <f>(SUBTOTAL(9,O174:O179))</f>
        <v>200</v>
      </c>
      <c r="P173" s="88">
        <f>(SUBTOTAL(9,P174:P179))</f>
        <v>-481</v>
      </c>
      <c r="Q173" s="88">
        <f>(SUBTOTAL(9,Q174:Q179))</f>
        <v>0</v>
      </c>
      <c r="R173" s="88">
        <f>(SUBTOTAL(9,R174:R179))</f>
        <v>0</v>
      </c>
      <c r="S173" s="88">
        <f>(SUBTOTAL(9,S174:S179))</f>
        <v>0</v>
      </c>
      <c r="T173" s="88">
        <f>(SUBTOTAL(9,T174:T179))</f>
        <v>0</v>
      </c>
      <c r="U173" s="87">
        <f t="shared" ref="U173" si="110">SUBTOTAL(9,O174:T179)</f>
        <v>-281</v>
      </c>
    </row>
    <row r="174" spans="1:21" ht="17.25" customHeight="1" x14ac:dyDescent="0.3">
      <c r="A174" s="66" t="s">
        <v>30</v>
      </c>
      <c r="C174" s="67"/>
      <c r="D174" s="77" t="str">
        <f t="shared" ref="D174" si="111">D173</f>
        <v>C100037</v>
      </c>
      <c r="E174" s="77"/>
      <c r="F174" s="76"/>
      <c r="G174" s="76" t="str">
        <f>"""NAV Direct"",""CRONUS JetCorp USA"",""32"",""1"",""167610"""</f>
        <v>"NAV Direct","CRONUS JetCorp USA","32","1","167610"</v>
      </c>
      <c r="H174" s="86">
        <v>43466</v>
      </c>
      <c r="I174" s="85">
        <v>167610</v>
      </c>
      <c r="J174" s="84" t="str">
        <f>"Vendor"</f>
        <v>Vendor</v>
      </c>
      <c r="K174" s="84" t="str">
        <f>"V100003"</f>
        <v>V100003</v>
      </c>
      <c r="L174" s="84" t="str">
        <f>IF($J174="Customer",_xll.NL("first",$J174,"Name","No.","@@"&amp;$K174),"")</f>
        <v/>
      </c>
      <c r="M174" s="84" t="str">
        <f>"LogoMasters"</f>
        <v>LogoMasters</v>
      </c>
      <c r="N174" s="84" t="str">
        <f>IF($J174="Item",_xll.NL("first",$J174,"Description","No.","@@"&amp;$K174),"")</f>
        <v/>
      </c>
      <c r="O174" s="83">
        <v>200</v>
      </c>
      <c r="P174" s="83">
        <v>0</v>
      </c>
      <c r="Q174" s="83">
        <v>0</v>
      </c>
      <c r="R174" s="83">
        <v>0</v>
      </c>
      <c r="S174" s="83">
        <v>0</v>
      </c>
      <c r="T174" s="83">
        <v>0</v>
      </c>
      <c r="U174" s="82"/>
    </row>
    <row r="175" spans="1:21" ht="17.25" customHeight="1" x14ac:dyDescent="0.3">
      <c r="A175" s="66" t="s">
        <v>30</v>
      </c>
      <c r="C175" s="67"/>
      <c r="D175" s="77" t="str">
        <f t="shared" ref="D175:D178" si="112">D174</f>
        <v>C100037</v>
      </c>
      <c r="E175" s="77"/>
      <c r="F175" s="76"/>
      <c r="G175" s="76" t="str">
        <f>"""NAV Direct"",""CRONUS JetCorp USA"",""32"",""1"",""7558"""</f>
        <v>"NAV Direct","CRONUS JetCorp USA","32","1","7558"</v>
      </c>
      <c r="H175" s="86">
        <v>43469</v>
      </c>
      <c r="I175" s="85">
        <v>7558</v>
      </c>
      <c r="J175" s="84" t="str">
        <f>"Customer"</f>
        <v>Customer</v>
      </c>
      <c r="K175" s="84" t="str">
        <f>"C100030"</f>
        <v>C100030</v>
      </c>
      <c r="L175" s="84" t="str">
        <f>IF($J175="Customer",_xll.NL("first",$J175,"Name","No.","@@"&amp;$K175),"")</f>
        <v>Stutringers</v>
      </c>
      <c r="M175" s="84" t="str">
        <f>""</f>
        <v/>
      </c>
      <c r="N175" s="84" t="str">
        <f>IF($J175="Item",_xll.NL("first",$J175,"Description","No.","@@"&amp;$K175),"")</f>
        <v/>
      </c>
      <c r="O175" s="83">
        <v>0</v>
      </c>
      <c r="P175" s="83">
        <v>-144</v>
      </c>
      <c r="Q175" s="83">
        <v>0</v>
      </c>
      <c r="R175" s="83">
        <v>0</v>
      </c>
      <c r="S175" s="83">
        <v>0</v>
      </c>
      <c r="T175" s="83">
        <v>0</v>
      </c>
      <c r="U175" s="82"/>
    </row>
    <row r="176" spans="1:21" ht="17.25" customHeight="1" x14ac:dyDescent="0.3">
      <c r="A176" s="66" t="s">
        <v>30</v>
      </c>
      <c r="C176" s="67"/>
      <c r="D176" s="77" t="str">
        <f t="shared" si="112"/>
        <v>C100037</v>
      </c>
      <c r="E176" s="77"/>
      <c r="F176" s="76"/>
      <c r="G176" s="76" t="str">
        <f>"""NAV Direct"",""CRONUS JetCorp USA"",""32"",""1"",""114274"""</f>
        <v>"NAV Direct","CRONUS JetCorp USA","32","1","114274"</v>
      </c>
      <c r="H176" s="86">
        <v>43470</v>
      </c>
      <c r="I176" s="85">
        <v>114274</v>
      </c>
      <c r="J176" s="84" t="str">
        <f>"Customer"</f>
        <v>Customer</v>
      </c>
      <c r="K176" s="84" t="str">
        <f>"C100076"</f>
        <v>C100076</v>
      </c>
      <c r="L176" s="84" t="str">
        <f>IF($J176="Customer",_xll.NL("first",$J176,"Name","No.","@@"&amp;$K176),"")</f>
        <v>Showmasters</v>
      </c>
      <c r="M176" s="84" t="str">
        <f>""</f>
        <v/>
      </c>
      <c r="N176" s="84" t="str">
        <f>IF($J176="Item",_xll.NL("first",$J176,"Description","No.","@@"&amp;$K176),"")</f>
        <v/>
      </c>
      <c r="O176" s="83">
        <v>0</v>
      </c>
      <c r="P176" s="83">
        <v>-1</v>
      </c>
      <c r="Q176" s="83">
        <v>0</v>
      </c>
      <c r="R176" s="83">
        <v>0</v>
      </c>
      <c r="S176" s="83">
        <v>0</v>
      </c>
      <c r="T176" s="83">
        <v>0</v>
      </c>
      <c r="U176" s="82"/>
    </row>
    <row r="177" spans="1:21" ht="17.25" customHeight="1" x14ac:dyDescent="0.3">
      <c r="A177" s="66" t="s">
        <v>30</v>
      </c>
      <c r="C177" s="67"/>
      <c r="D177" s="77" t="str">
        <f t="shared" si="112"/>
        <v>C100037</v>
      </c>
      <c r="E177" s="77"/>
      <c r="F177" s="76"/>
      <c r="G177" s="76" t="str">
        <f>"""NAV Direct"",""CRONUS JetCorp USA"",""32"",""1"",""10231"""</f>
        <v>"NAV Direct","CRONUS JetCorp USA","32","1","10231"</v>
      </c>
      <c r="H177" s="86">
        <v>43477</v>
      </c>
      <c r="I177" s="85">
        <v>10231</v>
      </c>
      <c r="J177" s="84" t="str">
        <f>"Customer"</f>
        <v>Customer</v>
      </c>
      <c r="K177" s="84" t="str">
        <f>"C100054"</f>
        <v>C100054</v>
      </c>
      <c r="L177" s="84" t="str">
        <f>IF($J177="Customer",_xll.NL("first",$J177,"Name","No.","@@"&amp;$K177),"")</f>
        <v>London Candoxy Storage Campus</v>
      </c>
      <c r="M177" s="84" t="str">
        <f>""</f>
        <v/>
      </c>
      <c r="N177" s="84" t="str">
        <f>IF($J177="Item",_xll.NL("first",$J177,"Description","No.","@@"&amp;$K177),"")</f>
        <v/>
      </c>
      <c r="O177" s="83">
        <v>0</v>
      </c>
      <c r="P177" s="83">
        <v>-48</v>
      </c>
      <c r="Q177" s="83">
        <v>0</v>
      </c>
      <c r="R177" s="83">
        <v>0</v>
      </c>
      <c r="S177" s="83">
        <v>0</v>
      </c>
      <c r="T177" s="83">
        <v>0</v>
      </c>
      <c r="U177" s="82"/>
    </row>
    <row r="178" spans="1:21" ht="17.25" customHeight="1" x14ac:dyDescent="0.3">
      <c r="A178" s="66" t="s">
        <v>30</v>
      </c>
      <c r="C178" s="67"/>
      <c r="D178" s="77" t="str">
        <f t="shared" si="112"/>
        <v>C100037</v>
      </c>
      <c r="E178" s="77"/>
      <c r="F178" s="76"/>
      <c r="G178" s="76" t="str">
        <f>"""NAV Direct"",""CRONUS JetCorp USA"",""32"",""1"",""114290"""</f>
        <v>"NAV Direct","CRONUS JetCorp USA","32","1","114290"</v>
      </c>
      <c r="H178" s="86">
        <v>43477</v>
      </c>
      <c r="I178" s="85">
        <v>114290</v>
      </c>
      <c r="J178" s="84" t="str">
        <f>"Customer"</f>
        <v>Customer</v>
      </c>
      <c r="K178" s="84" t="str">
        <f>"C100030"</f>
        <v>C100030</v>
      </c>
      <c r="L178" s="84" t="str">
        <f>IF($J178="Customer",_xll.NL("first",$J178,"Name","No.","@@"&amp;$K178),"")</f>
        <v>Stutringers</v>
      </c>
      <c r="M178" s="84" t="str">
        <f>""</f>
        <v/>
      </c>
      <c r="N178" s="84" t="str">
        <f>IF($J178="Item",_xll.NL("first",$J178,"Description","No.","@@"&amp;$K178),"")</f>
        <v/>
      </c>
      <c r="O178" s="83">
        <v>0</v>
      </c>
      <c r="P178" s="83">
        <v>-288</v>
      </c>
      <c r="Q178" s="83">
        <v>0</v>
      </c>
      <c r="R178" s="83">
        <v>0</v>
      </c>
      <c r="S178" s="83">
        <v>0</v>
      </c>
      <c r="T178" s="83">
        <v>0</v>
      </c>
      <c r="U178" s="82"/>
    </row>
    <row r="179" spans="1:21" ht="17.25" customHeight="1" x14ac:dyDescent="0.3">
      <c r="A179" s="66" t="s">
        <v>30</v>
      </c>
      <c r="C179" s="67"/>
      <c r="D179" s="77"/>
      <c r="E179" s="77"/>
      <c r="F179" s="76"/>
      <c r="G179" s="76"/>
      <c r="H179" s="76"/>
      <c r="I179" s="76"/>
      <c r="J179" s="76"/>
      <c r="K179" s="76"/>
      <c r="L179" s="76"/>
      <c r="M179" s="76"/>
      <c r="N179" s="76"/>
      <c r="O179" s="75"/>
      <c r="P179" s="75"/>
      <c r="Q179" s="75"/>
      <c r="R179" s="75"/>
      <c r="S179" s="75"/>
      <c r="T179" s="75"/>
      <c r="U179" s="74"/>
    </row>
    <row r="180" spans="1:21" ht="17.25" customHeight="1" x14ac:dyDescent="0.3">
      <c r="A180" s="66" t="s">
        <v>30</v>
      </c>
      <c r="C180" s="67"/>
      <c r="D180" s="77"/>
      <c r="E180" s="77" t="s">
        <v>31</v>
      </c>
      <c r="F180" s="76" t="s">
        <v>31</v>
      </c>
      <c r="G180" s="76" t="s">
        <v>31</v>
      </c>
      <c r="H180" s="76"/>
      <c r="I180" s="76"/>
      <c r="J180" s="76" t="s">
        <v>31</v>
      </c>
      <c r="K180" s="76" t="s">
        <v>31</v>
      </c>
      <c r="L180" s="76" t="s">
        <v>31</v>
      </c>
      <c r="M180" s="76" t="s">
        <v>31</v>
      </c>
      <c r="N180" s="76"/>
      <c r="U180" s="81"/>
    </row>
    <row r="181" spans="1:21" ht="20.25" customHeight="1" x14ac:dyDescent="0.35">
      <c r="A181" s="66" t="s">
        <v>30</v>
      </c>
      <c r="C181" s="67"/>
      <c r="D181" s="92" t="str">
        <f t="shared" ref="D181" si="113">E181</f>
        <v>C100038</v>
      </c>
      <c r="E181" s="91" t="str">
        <f>"C100038"</f>
        <v>C100038</v>
      </c>
      <c r="F181" s="89" t="str">
        <f>"Foldable Travel Speakers"</f>
        <v>Foldable Travel Speakers</v>
      </c>
      <c r="G181" s="89"/>
      <c r="H181" s="90" t="str">
        <f>"EA"</f>
        <v>EA</v>
      </c>
      <c r="I181" s="89"/>
      <c r="J181" s="89"/>
      <c r="K181" s="89"/>
      <c r="L181" s="89"/>
      <c r="M181" s="89"/>
      <c r="N181" s="89"/>
      <c r="O181" s="88">
        <f>(SUBTOTAL(9,O182:O184))</f>
        <v>200</v>
      </c>
      <c r="P181" s="88">
        <f>(SUBTOTAL(9,P182:P184))</f>
        <v>-12</v>
      </c>
      <c r="Q181" s="88">
        <f>(SUBTOTAL(9,Q182:Q184))</f>
        <v>0</v>
      </c>
      <c r="R181" s="88">
        <f>(SUBTOTAL(9,R182:R184))</f>
        <v>0</v>
      </c>
      <c r="S181" s="88">
        <f>(SUBTOTAL(9,S182:S184))</f>
        <v>0</v>
      </c>
      <c r="T181" s="88">
        <f>(SUBTOTAL(9,T182:T184))</f>
        <v>0</v>
      </c>
      <c r="U181" s="87">
        <f t="shared" ref="U181" si="114">SUBTOTAL(9,O182:T184)</f>
        <v>188</v>
      </c>
    </row>
    <row r="182" spans="1:21" ht="17.25" customHeight="1" x14ac:dyDescent="0.3">
      <c r="A182" s="66" t="s">
        <v>30</v>
      </c>
      <c r="C182" s="67"/>
      <c r="D182" s="77" t="str">
        <f t="shared" ref="D182" si="115">D181</f>
        <v>C100038</v>
      </c>
      <c r="E182" s="77"/>
      <c r="F182" s="76"/>
      <c r="G182" s="76" t="str">
        <f>"""NAV Direct"",""CRONUS JetCorp USA"",""32"",""1"",""168056"""</f>
        <v>"NAV Direct","CRONUS JetCorp USA","32","1","168056"</v>
      </c>
      <c r="H182" s="86">
        <v>43466</v>
      </c>
      <c r="I182" s="85">
        <v>168056</v>
      </c>
      <c r="J182" s="84" t="str">
        <f>"Vendor"</f>
        <v>Vendor</v>
      </c>
      <c r="K182" s="84" t="str">
        <f>"V100003"</f>
        <v>V100003</v>
      </c>
      <c r="L182" s="84" t="str">
        <f>IF($J182="Customer",_xll.NL("first",$J182,"Name","No.","@@"&amp;$K182),"")</f>
        <v/>
      </c>
      <c r="M182" s="84" t="str">
        <f>"LogoMasters"</f>
        <v>LogoMasters</v>
      </c>
      <c r="N182" s="84" t="str">
        <f>IF($J182="Item",_xll.NL("first",$J182,"Description","No.","@@"&amp;$K182),"")</f>
        <v/>
      </c>
      <c r="O182" s="83">
        <v>200</v>
      </c>
      <c r="P182" s="83">
        <v>0</v>
      </c>
      <c r="Q182" s="83">
        <v>0</v>
      </c>
      <c r="R182" s="83">
        <v>0</v>
      </c>
      <c r="S182" s="83">
        <v>0</v>
      </c>
      <c r="T182" s="83">
        <v>0</v>
      </c>
      <c r="U182" s="82"/>
    </row>
    <row r="183" spans="1:21" ht="17.25" customHeight="1" x14ac:dyDescent="0.3">
      <c r="A183" s="66" t="s">
        <v>30</v>
      </c>
      <c r="C183" s="67"/>
      <c r="D183" s="77" t="str">
        <f t="shared" ref="D183" si="116">D182</f>
        <v>C100038</v>
      </c>
      <c r="E183" s="77"/>
      <c r="F183" s="76"/>
      <c r="G183" s="76" t="str">
        <f>"""NAV Direct"",""CRONUS JetCorp USA"",""32"",""1"",""114272"""</f>
        <v>"NAV Direct","CRONUS JetCorp USA","32","1","114272"</v>
      </c>
      <c r="H183" s="86">
        <v>43470</v>
      </c>
      <c r="I183" s="85">
        <v>114272</v>
      </c>
      <c r="J183" s="84" t="str">
        <f>"Customer"</f>
        <v>Customer</v>
      </c>
      <c r="K183" s="84" t="str">
        <f>"C100076"</f>
        <v>C100076</v>
      </c>
      <c r="L183" s="84" t="str">
        <f>IF($J183="Customer",_xll.NL("first",$J183,"Name","No.","@@"&amp;$K183),"")</f>
        <v>Showmasters</v>
      </c>
      <c r="M183" s="84" t="str">
        <f>""</f>
        <v/>
      </c>
      <c r="N183" s="84" t="str">
        <f>IF($J183="Item",_xll.NL("first",$J183,"Description","No.","@@"&amp;$K183),"")</f>
        <v/>
      </c>
      <c r="O183" s="83">
        <v>0</v>
      </c>
      <c r="P183" s="83">
        <v>-12</v>
      </c>
      <c r="Q183" s="83">
        <v>0</v>
      </c>
      <c r="R183" s="83">
        <v>0</v>
      </c>
      <c r="S183" s="83">
        <v>0</v>
      </c>
      <c r="T183" s="83">
        <v>0</v>
      </c>
      <c r="U183" s="82"/>
    </row>
    <row r="184" spans="1:21" ht="17.25" customHeight="1" x14ac:dyDescent="0.3">
      <c r="A184" s="66" t="s">
        <v>30</v>
      </c>
      <c r="C184" s="67"/>
      <c r="D184" s="77"/>
      <c r="E184" s="77"/>
      <c r="F184" s="76"/>
      <c r="G184" s="76"/>
      <c r="H184" s="76"/>
      <c r="I184" s="76"/>
      <c r="J184" s="76"/>
      <c r="K184" s="76"/>
      <c r="L184" s="76"/>
      <c r="M184" s="76"/>
      <c r="N184" s="76"/>
      <c r="O184" s="75"/>
      <c r="P184" s="75"/>
      <c r="Q184" s="75"/>
      <c r="R184" s="75"/>
      <c r="S184" s="75"/>
      <c r="T184" s="75"/>
      <c r="U184" s="74"/>
    </row>
    <row r="185" spans="1:21" ht="17.25" customHeight="1" x14ac:dyDescent="0.3">
      <c r="A185" s="66" t="s">
        <v>30</v>
      </c>
      <c r="C185" s="67"/>
      <c r="D185" s="77"/>
      <c r="E185" s="77" t="s">
        <v>31</v>
      </c>
      <c r="F185" s="76" t="s">
        <v>31</v>
      </c>
      <c r="G185" s="76" t="s">
        <v>31</v>
      </c>
      <c r="H185" s="76"/>
      <c r="I185" s="76"/>
      <c r="J185" s="76" t="s">
        <v>31</v>
      </c>
      <c r="K185" s="76" t="s">
        <v>31</v>
      </c>
      <c r="L185" s="76" t="s">
        <v>31</v>
      </c>
      <c r="M185" s="76" t="s">
        <v>31</v>
      </c>
      <c r="N185" s="76"/>
      <c r="U185" s="81"/>
    </row>
    <row r="186" spans="1:21" ht="20.25" customHeight="1" x14ac:dyDescent="0.35">
      <c r="A186" s="66" t="s">
        <v>30</v>
      </c>
      <c r="C186" s="67"/>
      <c r="D186" s="92" t="str">
        <f t="shared" ref="D186" si="117">E186</f>
        <v>C100039</v>
      </c>
      <c r="E186" s="91" t="str">
        <f>"C100039"</f>
        <v>C100039</v>
      </c>
      <c r="F186" s="89" t="str">
        <f>"Portable Speaker &amp; MP3 Dock"</f>
        <v>Portable Speaker &amp; MP3 Dock</v>
      </c>
      <c r="G186" s="89"/>
      <c r="H186" s="90" t="str">
        <f>"EA"</f>
        <v>EA</v>
      </c>
      <c r="I186" s="89"/>
      <c r="J186" s="89"/>
      <c r="K186" s="89"/>
      <c r="L186" s="89"/>
      <c r="M186" s="89"/>
      <c r="N186" s="89"/>
      <c r="O186" s="88">
        <f>(SUBTOTAL(9,O187:O190))</f>
        <v>0</v>
      </c>
      <c r="P186" s="88">
        <f>(SUBTOTAL(9,P187:P190))</f>
        <v>-151</v>
      </c>
      <c r="Q186" s="88">
        <f>(SUBTOTAL(9,Q187:Q190))</f>
        <v>0</v>
      </c>
      <c r="R186" s="88">
        <f>(SUBTOTAL(9,R187:R190))</f>
        <v>0</v>
      </c>
      <c r="S186" s="88">
        <f>(SUBTOTAL(9,S187:S190))</f>
        <v>0</v>
      </c>
      <c r="T186" s="88">
        <f>(SUBTOTAL(9,T187:T190))</f>
        <v>0</v>
      </c>
      <c r="U186" s="87">
        <f t="shared" ref="U186" si="118">SUBTOTAL(9,O187:T190)</f>
        <v>-151</v>
      </c>
    </row>
    <row r="187" spans="1:21" ht="17.25" customHeight="1" x14ac:dyDescent="0.3">
      <c r="A187" s="66" t="s">
        <v>30</v>
      </c>
      <c r="C187" s="67"/>
      <c r="D187" s="77" t="str">
        <f t="shared" ref="D187" si="119">D186</f>
        <v>C100039</v>
      </c>
      <c r="E187" s="77"/>
      <c r="F187" s="76"/>
      <c r="G187" s="76" t="str">
        <f>"""NAV Direct"",""CRONUS JetCorp USA"",""32"",""1"",""7560"""</f>
        <v>"NAV Direct","CRONUS JetCorp USA","32","1","7560"</v>
      </c>
      <c r="H187" s="86">
        <v>43469</v>
      </c>
      <c r="I187" s="85">
        <v>7560</v>
      </c>
      <c r="J187" s="84" t="str">
        <f>"Customer"</f>
        <v>Customer</v>
      </c>
      <c r="K187" s="84" t="str">
        <f>"C100030"</f>
        <v>C100030</v>
      </c>
      <c r="L187" s="84" t="str">
        <f>IF($J187="Customer",_xll.NL("first",$J187,"Name","No.","@@"&amp;$K187),"")</f>
        <v>Stutringers</v>
      </c>
      <c r="M187" s="84" t="str">
        <f>""</f>
        <v/>
      </c>
      <c r="N187" s="84" t="str">
        <f>IF($J187="Item",_xll.NL("first",$J187,"Description","No.","@@"&amp;$K187),"")</f>
        <v/>
      </c>
      <c r="O187" s="83">
        <v>0</v>
      </c>
      <c r="P187" s="83">
        <v>-6</v>
      </c>
      <c r="Q187" s="83">
        <v>0</v>
      </c>
      <c r="R187" s="83">
        <v>0</v>
      </c>
      <c r="S187" s="83">
        <v>0</v>
      </c>
      <c r="T187" s="83">
        <v>0</v>
      </c>
      <c r="U187" s="82"/>
    </row>
    <row r="188" spans="1:21" ht="17.25" customHeight="1" x14ac:dyDescent="0.3">
      <c r="A188" s="66" t="s">
        <v>30</v>
      </c>
      <c r="C188" s="67"/>
      <c r="D188" s="77" t="str">
        <f t="shared" ref="D188:D189" si="120">D187</f>
        <v>C100039</v>
      </c>
      <c r="E188" s="77"/>
      <c r="F188" s="76"/>
      <c r="G188" s="76" t="str">
        <f>"""NAV Direct"",""CRONUS JetCorp USA"",""32"",""1"",""114273"""</f>
        <v>"NAV Direct","CRONUS JetCorp USA","32","1","114273"</v>
      </c>
      <c r="H188" s="86">
        <v>43470</v>
      </c>
      <c r="I188" s="85">
        <v>114273</v>
      </c>
      <c r="J188" s="84" t="str">
        <f>"Customer"</f>
        <v>Customer</v>
      </c>
      <c r="K188" s="84" t="str">
        <f>"C100076"</f>
        <v>C100076</v>
      </c>
      <c r="L188" s="84" t="str">
        <f>IF($J188="Customer",_xll.NL("first",$J188,"Name","No.","@@"&amp;$K188),"")</f>
        <v>Showmasters</v>
      </c>
      <c r="M188" s="84" t="str">
        <f>""</f>
        <v/>
      </c>
      <c r="N188" s="84" t="str">
        <f>IF($J188="Item",_xll.NL("first",$J188,"Description","No.","@@"&amp;$K188),"")</f>
        <v/>
      </c>
      <c r="O188" s="83">
        <v>0</v>
      </c>
      <c r="P188" s="83">
        <v>-1</v>
      </c>
      <c r="Q188" s="83">
        <v>0</v>
      </c>
      <c r="R188" s="83">
        <v>0</v>
      </c>
      <c r="S188" s="83">
        <v>0</v>
      </c>
      <c r="T188" s="83">
        <v>0</v>
      </c>
      <c r="U188" s="82"/>
    </row>
    <row r="189" spans="1:21" ht="17.25" customHeight="1" x14ac:dyDescent="0.3">
      <c r="A189" s="66" t="s">
        <v>30</v>
      </c>
      <c r="C189" s="67"/>
      <c r="D189" s="77" t="str">
        <f t="shared" si="120"/>
        <v>C100039</v>
      </c>
      <c r="E189" s="77"/>
      <c r="F189" s="76"/>
      <c r="G189" s="76" t="str">
        <f>"""NAV Direct"",""CRONUS JetCorp USA"",""32"",""1"",""114292"""</f>
        <v>"NAV Direct","CRONUS JetCorp USA","32","1","114292"</v>
      </c>
      <c r="H189" s="86">
        <v>43477</v>
      </c>
      <c r="I189" s="85">
        <v>114292</v>
      </c>
      <c r="J189" s="84" t="str">
        <f>"Customer"</f>
        <v>Customer</v>
      </c>
      <c r="K189" s="84" t="str">
        <f>"C100030"</f>
        <v>C100030</v>
      </c>
      <c r="L189" s="84" t="str">
        <f>IF($J189="Customer",_xll.NL("first",$J189,"Name","No.","@@"&amp;$K189),"")</f>
        <v>Stutringers</v>
      </c>
      <c r="M189" s="84" t="str">
        <f>""</f>
        <v/>
      </c>
      <c r="N189" s="84" t="str">
        <f>IF($J189="Item",_xll.NL("first",$J189,"Description","No.","@@"&amp;$K189),"")</f>
        <v/>
      </c>
      <c r="O189" s="83">
        <v>0</v>
      </c>
      <c r="P189" s="83">
        <v>-144</v>
      </c>
      <c r="Q189" s="83">
        <v>0</v>
      </c>
      <c r="R189" s="83">
        <v>0</v>
      </c>
      <c r="S189" s="83">
        <v>0</v>
      </c>
      <c r="T189" s="83">
        <v>0</v>
      </c>
      <c r="U189" s="82"/>
    </row>
    <row r="190" spans="1:21" ht="17.25" customHeight="1" x14ac:dyDescent="0.3">
      <c r="A190" s="66" t="s">
        <v>30</v>
      </c>
      <c r="C190" s="67"/>
      <c r="D190" s="77"/>
      <c r="E190" s="77"/>
      <c r="F190" s="76"/>
      <c r="G190" s="76"/>
      <c r="H190" s="76"/>
      <c r="I190" s="76"/>
      <c r="J190" s="76"/>
      <c r="K190" s="76"/>
      <c r="L190" s="76"/>
      <c r="M190" s="76"/>
      <c r="N190" s="76"/>
      <c r="O190" s="75"/>
      <c r="P190" s="75"/>
      <c r="Q190" s="75"/>
      <c r="R190" s="75"/>
      <c r="S190" s="75"/>
      <c r="T190" s="75"/>
      <c r="U190" s="74"/>
    </row>
    <row r="191" spans="1:21" ht="17.25" customHeight="1" x14ac:dyDescent="0.3">
      <c r="A191" s="66" t="s">
        <v>30</v>
      </c>
      <c r="C191" s="67"/>
      <c r="D191" s="77"/>
      <c r="E191" s="77" t="s">
        <v>31</v>
      </c>
      <c r="F191" s="76" t="s">
        <v>31</v>
      </c>
      <c r="G191" s="76" t="s">
        <v>31</v>
      </c>
      <c r="H191" s="76"/>
      <c r="I191" s="76"/>
      <c r="J191" s="76" t="s">
        <v>31</v>
      </c>
      <c r="K191" s="76" t="s">
        <v>31</v>
      </c>
      <c r="L191" s="76" t="s">
        <v>31</v>
      </c>
      <c r="M191" s="76" t="s">
        <v>31</v>
      </c>
      <c r="N191" s="76"/>
      <c r="U191" s="81"/>
    </row>
    <row r="192" spans="1:21" ht="20.25" customHeight="1" x14ac:dyDescent="0.35">
      <c r="A192" s="66" t="s">
        <v>30</v>
      </c>
      <c r="C192" s="67"/>
      <c r="D192" s="92" t="str">
        <f t="shared" ref="D192" si="121">E192</f>
        <v>C100040</v>
      </c>
      <c r="E192" s="91" t="str">
        <f>"C100040"</f>
        <v>C100040</v>
      </c>
      <c r="F192" s="89" t="str">
        <f>"Channel Speaker System"</f>
        <v>Channel Speaker System</v>
      </c>
      <c r="G192" s="89"/>
      <c r="H192" s="90" t="str">
        <f>"EA"</f>
        <v>EA</v>
      </c>
      <c r="I192" s="89"/>
      <c r="J192" s="89"/>
      <c r="K192" s="89"/>
      <c r="L192" s="89"/>
      <c r="M192" s="89"/>
      <c r="N192" s="89"/>
      <c r="O192" s="88">
        <f>(SUBTOTAL(9,O193:O195))</f>
        <v>0</v>
      </c>
      <c r="P192" s="88">
        <f>(SUBTOTAL(9,P193:P195))</f>
        <v>-72</v>
      </c>
      <c r="Q192" s="88">
        <f>(SUBTOTAL(9,Q193:Q195))</f>
        <v>0</v>
      </c>
      <c r="R192" s="88">
        <f>(SUBTOTAL(9,R193:R195))</f>
        <v>0</v>
      </c>
      <c r="S192" s="88">
        <f>(SUBTOTAL(9,S193:S195))</f>
        <v>0</v>
      </c>
      <c r="T192" s="88">
        <f>(SUBTOTAL(9,T193:T195))</f>
        <v>0</v>
      </c>
      <c r="U192" s="87">
        <f t="shared" ref="U192" si="122">SUBTOTAL(9,O193:T195)</f>
        <v>-72</v>
      </c>
    </row>
    <row r="193" spans="1:21" ht="17.25" customHeight="1" x14ac:dyDescent="0.3">
      <c r="A193" s="66" t="s">
        <v>30</v>
      </c>
      <c r="C193" s="67"/>
      <c r="D193" s="77" t="str">
        <f t="shared" ref="D193" si="123">D192</f>
        <v>C100040</v>
      </c>
      <c r="E193" s="77"/>
      <c r="F193" s="76"/>
      <c r="G193" s="76" t="str">
        <f>"""NAV Direct"",""CRONUS JetCorp USA"",""32"",""1"",""114268"""</f>
        <v>"NAV Direct","CRONUS JetCorp USA","32","1","114268"</v>
      </c>
      <c r="H193" s="86">
        <v>43470</v>
      </c>
      <c r="I193" s="85">
        <v>114268</v>
      </c>
      <c r="J193" s="84" t="str">
        <f>"Customer"</f>
        <v>Customer</v>
      </c>
      <c r="K193" s="84" t="str">
        <f>"C100076"</f>
        <v>C100076</v>
      </c>
      <c r="L193" s="84" t="str">
        <f>IF($J193="Customer",_xll.NL("first",$J193,"Name","No.","@@"&amp;$K193),"")</f>
        <v>Showmasters</v>
      </c>
      <c r="M193" s="84" t="str">
        <f>""</f>
        <v/>
      </c>
      <c r="N193" s="84" t="str">
        <f>IF($J193="Item",_xll.NL("first",$J193,"Description","No.","@@"&amp;$K193),"")</f>
        <v/>
      </c>
      <c r="O193" s="83">
        <v>0</v>
      </c>
      <c r="P193" s="83">
        <v>-24</v>
      </c>
      <c r="Q193" s="83">
        <v>0</v>
      </c>
      <c r="R193" s="83">
        <v>0</v>
      </c>
      <c r="S193" s="83">
        <v>0</v>
      </c>
      <c r="T193" s="83">
        <v>0</v>
      </c>
      <c r="U193" s="82"/>
    </row>
    <row r="194" spans="1:21" ht="17.25" customHeight="1" x14ac:dyDescent="0.3">
      <c r="A194" s="66" t="s">
        <v>30</v>
      </c>
      <c r="C194" s="67"/>
      <c r="D194" s="77" t="str">
        <f t="shared" ref="D194" si="124">D193</f>
        <v>C100040</v>
      </c>
      <c r="E194" s="77"/>
      <c r="F194" s="76"/>
      <c r="G194" s="76" t="str">
        <f>"""NAV Direct"",""CRONUS JetCorp USA"",""32"",""1"",""116371"""</f>
        <v>"NAV Direct","CRONUS JetCorp USA","32","1","116371"</v>
      </c>
      <c r="H194" s="86">
        <v>43472</v>
      </c>
      <c r="I194" s="85">
        <v>116371</v>
      </c>
      <c r="J194" s="84" t="str">
        <f>"Customer"</f>
        <v>Customer</v>
      </c>
      <c r="K194" s="84" t="str">
        <f>"C100054"</f>
        <v>C100054</v>
      </c>
      <c r="L194" s="84" t="str">
        <f>IF($J194="Customer",_xll.NL("first",$J194,"Name","No.","@@"&amp;$K194),"")</f>
        <v>London Candoxy Storage Campus</v>
      </c>
      <c r="M194" s="84" t="str">
        <f>""</f>
        <v/>
      </c>
      <c r="N194" s="84" t="str">
        <f>IF($J194="Item",_xll.NL("first",$J194,"Description","No.","@@"&amp;$K194),"")</f>
        <v/>
      </c>
      <c r="O194" s="83">
        <v>0</v>
      </c>
      <c r="P194" s="83">
        <v>-48</v>
      </c>
      <c r="Q194" s="83">
        <v>0</v>
      </c>
      <c r="R194" s="83">
        <v>0</v>
      </c>
      <c r="S194" s="83">
        <v>0</v>
      </c>
      <c r="T194" s="83">
        <v>0</v>
      </c>
      <c r="U194" s="82"/>
    </row>
    <row r="195" spans="1:21" ht="17.25" customHeight="1" x14ac:dyDescent="0.3">
      <c r="A195" s="66" t="s">
        <v>30</v>
      </c>
      <c r="C195" s="67"/>
      <c r="D195" s="77"/>
      <c r="E195" s="77"/>
      <c r="F195" s="76"/>
      <c r="G195" s="76"/>
      <c r="H195" s="76"/>
      <c r="I195" s="76"/>
      <c r="J195" s="76"/>
      <c r="K195" s="76"/>
      <c r="L195" s="76"/>
      <c r="M195" s="76"/>
      <c r="N195" s="76"/>
      <c r="O195" s="75"/>
      <c r="P195" s="75"/>
      <c r="Q195" s="75"/>
      <c r="R195" s="75"/>
      <c r="S195" s="75"/>
      <c r="T195" s="75"/>
      <c r="U195" s="74"/>
    </row>
    <row r="196" spans="1:21" ht="17.25" customHeight="1" x14ac:dyDescent="0.3">
      <c r="A196" s="66" t="s">
        <v>30</v>
      </c>
      <c r="C196" s="67"/>
      <c r="D196" s="77"/>
      <c r="E196" s="77" t="s">
        <v>31</v>
      </c>
      <c r="F196" s="76" t="s">
        <v>31</v>
      </c>
      <c r="G196" s="76" t="s">
        <v>31</v>
      </c>
      <c r="H196" s="76"/>
      <c r="I196" s="76"/>
      <c r="J196" s="76" t="s">
        <v>31</v>
      </c>
      <c r="K196" s="76" t="s">
        <v>31</v>
      </c>
      <c r="L196" s="76" t="s">
        <v>31</v>
      </c>
      <c r="M196" s="76" t="s">
        <v>31</v>
      </c>
      <c r="N196" s="76"/>
      <c r="U196" s="81"/>
    </row>
    <row r="197" spans="1:21" ht="20.25" customHeight="1" x14ac:dyDescent="0.35">
      <c r="A197" s="66" t="s">
        <v>30</v>
      </c>
      <c r="C197" s="67"/>
      <c r="D197" s="92" t="str">
        <f t="shared" ref="D197" si="125">E197</f>
        <v>C100041</v>
      </c>
      <c r="E197" s="91" t="str">
        <f>"C100041"</f>
        <v>C100041</v>
      </c>
      <c r="F197" s="89" t="str">
        <f>"Folding Stereo Speakers"</f>
        <v>Folding Stereo Speakers</v>
      </c>
      <c r="G197" s="89"/>
      <c r="H197" s="90" t="str">
        <f>"EA"</f>
        <v>EA</v>
      </c>
      <c r="I197" s="89"/>
      <c r="J197" s="89"/>
      <c r="K197" s="89"/>
      <c r="L197" s="89"/>
      <c r="M197" s="89"/>
      <c r="N197" s="89"/>
      <c r="O197" s="88">
        <f>(SUBTOTAL(9,O198:O200))</f>
        <v>400</v>
      </c>
      <c r="P197" s="88">
        <f>(SUBTOTAL(9,P198:P200))</f>
        <v>-144</v>
      </c>
      <c r="Q197" s="88">
        <f>(SUBTOTAL(9,Q198:Q200))</f>
        <v>0</v>
      </c>
      <c r="R197" s="88">
        <f>(SUBTOTAL(9,R198:R200))</f>
        <v>0</v>
      </c>
      <c r="S197" s="88">
        <f>(SUBTOTAL(9,S198:S200))</f>
        <v>0</v>
      </c>
      <c r="T197" s="88">
        <f>(SUBTOTAL(9,T198:T200))</f>
        <v>0</v>
      </c>
      <c r="U197" s="87">
        <f t="shared" ref="U197" si="126">SUBTOTAL(9,O198:T200)</f>
        <v>256</v>
      </c>
    </row>
    <row r="198" spans="1:21" ht="17.25" customHeight="1" x14ac:dyDescent="0.3">
      <c r="A198" s="66" t="s">
        <v>30</v>
      </c>
      <c r="C198" s="67"/>
      <c r="D198" s="77" t="str">
        <f t="shared" ref="D198" si="127">D197</f>
        <v>C100041</v>
      </c>
      <c r="E198" s="77"/>
      <c r="F198" s="76"/>
      <c r="G198" s="76" t="str">
        <f>"""NAV Direct"",""CRONUS JetCorp USA"",""32"",""1"",""168055"""</f>
        <v>"NAV Direct","CRONUS JetCorp USA","32","1","168055"</v>
      </c>
      <c r="H198" s="86">
        <v>43466</v>
      </c>
      <c r="I198" s="85">
        <v>168055</v>
      </c>
      <c r="J198" s="84" t="str">
        <f>"Vendor"</f>
        <v>Vendor</v>
      </c>
      <c r="K198" s="84" t="str">
        <f>"V100003"</f>
        <v>V100003</v>
      </c>
      <c r="L198" s="84" t="str">
        <f>IF($J198="Customer",_xll.NL("first",$J198,"Name","No.","@@"&amp;$K198),"")</f>
        <v/>
      </c>
      <c r="M198" s="84" t="str">
        <f>"LogoMasters"</f>
        <v>LogoMasters</v>
      </c>
      <c r="N198" s="84" t="str">
        <f>IF($J198="Item",_xll.NL("first",$J198,"Description","No.","@@"&amp;$K198),"")</f>
        <v/>
      </c>
      <c r="O198" s="83">
        <v>400</v>
      </c>
      <c r="P198" s="83">
        <v>0</v>
      </c>
      <c r="Q198" s="83">
        <v>0</v>
      </c>
      <c r="R198" s="83">
        <v>0</v>
      </c>
      <c r="S198" s="83">
        <v>0</v>
      </c>
      <c r="T198" s="83">
        <v>0</v>
      </c>
      <c r="U198" s="82"/>
    </row>
    <row r="199" spans="1:21" ht="17.25" customHeight="1" x14ac:dyDescent="0.3">
      <c r="A199" s="66" t="s">
        <v>30</v>
      </c>
      <c r="C199" s="67"/>
      <c r="D199" s="77" t="str">
        <f t="shared" ref="D199" si="128">D198</f>
        <v>C100041</v>
      </c>
      <c r="E199" s="77"/>
      <c r="F199" s="76"/>
      <c r="G199" s="76" t="str">
        <f>"""NAV Direct"",""CRONUS JetCorp USA"",""32"",""1"",""7565"""</f>
        <v>"NAV Direct","CRONUS JetCorp USA","32","1","7565"</v>
      </c>
      <c r="H199" s="86">
        <v>43477</v>
      </c>
      <c r="I199" s="85">
        <v>7565</v>
      </c>
      <c r="J199" s="84" t="str">
        <f>"Customer"</f>
        <v>Customer</v>
      </c>
      <c r="K199" s="84" t="str">
        <f>"C100076"</f>
        <v>C100076</v>
      </c>
      <c r="L199" s="84" t="str">
        <f>IF($J199="Customer",_xll.NL("first",$J199,"Name","No.","@@"&amp;$K199),"")</f>
        <v>Showmasters</v>
      </c>
      <c r="M199" s="84" t="str">
        <f>""</f>
        <v/>
      </c>
      <c r="N199" s="84" t="str">
        <f>IF($J199="Item",_xll.NL("first",$J199,"Description","No.","@@"&amp;$K199),"")</f>
        <v/>
      </c>
      <c r="O199" s="83">
        <v>0</v>
      </c>
      <c r="P199" s="83">
        <v>-144</v>
      </c>
      <c r="Q199" s="83">
        <v>0</v>
      </c>
      <c r="R199" s="83">
        <v>0</v>
      </c>
      <c r="S199" s="83">
        <v>0</v>
      </c>
      <c r="T199" s="83">
        <v>0</v>
      </c>
      <c r="U199" s="82"/>
    </row>
    <row r="200" spans="1:21" ht="17.25" customHeight="1" x14ac:dyDescent="0.3">
      <c r="A200" s="66" t="s">
        <v>30</v>
      </c>
      <c r="C200" s="67"/>
      <c r="D200" s="77"/>
      <c r="E200" s="77"/>
      <c r="F200" s="76"/>
      <c r="G200" s="76"/>
      <c r="H200" s="76"/>
      <c r="I200" s="76"/>
      <c r="J200" s="76"/>
      <c r="K200" s="76"/>
      <c r="L200" s="76"/>
      <c r="M200" s="76"/>
      <c r="N200" s="76"/>
      <c r="O200" s="75"/>
      <c r="P200" s="75"/>
      <c r="Q200" s="75"/>
      <c r="R200" s="75"/>
      <c r="S200" s="75"/>
      <c r="T200" s="75"/>
      <c r="U200" s="74"/>
    </row>
    <row r="201" spans="1:21" ht="17.25" customHeight="1" x14ac:dyDescent="0.3">
      <c r="A201" s="66" t="s">
        <v>30</v>
      </c>
      <c r="C201" s="67"/>
      <c r="D201" s="77"/>
      <c r="E201" s="77" t="s">
        <v>31</v>
      </c>
      <c r="F201" s="76" t="s">
        <v>31</v>
      </c>
      <c r="G201" s="76" t="s">
        <v>31</v>
      </c>
      <c r="H201" s="76"/>
      <c r="I201" s="76"/>
      <c r="J201" s="76" t="s">
        <v>31</v>
      </c>
      <c r="K201" s="76" t="s">
        <v>31</v>
      </c>
      <c r="L201" s="76" t="s">
        <v>31</v>
      </c>
      <c r="M201" s="76" t="s">
        <v>31</v>
      </c>
      <c r="N201" s="76"/>
      <c r="U201" s="81"/>
    </row>
    <row r="202" spans="1:21" ht="20.25" customHeight="1" x14ac:dyDescent="0.35">
      <c r="A202" s="66" t="s">
        <v>30</v>
      </c>
      <c r="C202" s="67"/>
      <c r="D202" s="92" t="str">
        <f t="shared" ref="D202" si="129">E202</f>
        <v>C100042</v>
      </c>
      <c r="E202" s="91" t="str">
        <f>"C100042"</f>
        <v>C100042</v>
      </c>
      <c r="F202" s="89" t="str">
        <f>"Retractable Earbuds"</f>
        <v>Retractable Earbuds</v>
      </c>
      <c r="G202" s="89"/>
      <c r="H202" s="90" t="str">
        <f>"EA"</f>
        <v>EA</v>
      </c>
      <c r="I202" s="89"/>
      <c r="J202" s="89"/>
      <c r="K202" s="89"/>
      <c r="L202" s="89"/>
      <c r="M202" s="89"/>
      <c r="N202" s="89"/>
      <c r="O202" s="88">
        <f>(SUBTOTAL(9,O203:O204))</f>
        <v>200</v>
      </c>
      <c r="P202" s="88">
        <f>(SUBTOTAL(9,P203:P204))</f>
        <v>0</v>
      </c>
      <c r="Q202" s="88">
        <f>(SUBTOTAL(9,Q203:Q204))</f>
        <v>0</v>
      </c>
      <c r="R202" s="88">
        <f>(SUBTOTAL(9,R203:R204))</f>
        <v>0</v>
      </c>
      <c r="S202" s="88">
        <f>(SUBTOTAL(9,S203:S204))</f>
        <v>0</v>
      </c>
      <c r="T202" s="88">
        <f>(SUBTOTAL(9,T203:T204))</f>
        <v>0</v>
      </c>
      <c r="U202" s="87">
        <f t="shared" ref="U202" si="130">SUBTOTAL(9,O203:T204)</f>
        <v>200</v>
      </c>
    </row>
    <row r="203" spans="1:21" ht="17.25" customHeight="1" x14ac:dyDescent="0.3">
      <c r="A203" s="66" t="s">
        <v>30</v>
      </c>
      <c r="C203" s="67"/>
      <c r="D203" s="77" t="str">
        <f t="shared" ref="D203" si="131">D202</f>
        <v>C100042</v>
      </c>
      <c r="E203" s="77"/>
      <c r="F203" s="76"/>
      <c r="G203" s="76" t="str">
        <f>"""NAV Direct"",""CRONUS JetCorp USA"",""32"",""1"",""168054"""</f>
        <v>"NAV Direct","CRONUS JetCorp USA","32","1","168054"</v>
      </c>
      <c r="H203" s="86">
        <v>43466</v>
      </c>
      <c r="I203" s="85">
        <v>168054</v>
      </c>
      <c r="J203" s="84" t="str">
        <f>"Vendor"</f>
        <v>Vendor</v>
      </c>
      <c r="K203" s="84" t="str">
        <f>"V100003"</f>
        <v>V100003</v>
      </c>
      <c r="L203" s="84" t="str">
        <f>IF($J203="Customer",_xll.NL("first",$J203,"Name","No.","@@"&amp;$K203),"")</f>
        <v/>
      </c>
      <c r="M203" s="84" t="str">
        <f>"LogoMasters"</f>
        <v>LogoMasters</v>
      </c>
      <c r="N203" s="84" t="str">
        <f>IF($J203="Item",_xll.NL("first",$J203,"Description","No.","@@"&amp;$K203),"")</f>
        <v/>
      </c>
      <c r="O203" s="83">
        <v>200</v>
      </c>
      <c r="P203" s="83">
        <v>0</v>
      </c>
      <c r="Q203" s="83">
        <v>0</v>
      </c>
      <c r="R203" s="83">
        <v>0</v>
      </c>
      <c r="S203" s="83">
        <v>0</v>
      </c>
      <c r="T203" s="83">
        <v>0</v>
      </c>
      <c r="U203" s="82"/>
    </row>
    <row r="204" spans="1:21" ht="17.25" customHeight="1" x14ac:dyDescent="0.3">
      <c r="A204" s="66" t="s">
        <v>30</v>
      </c>
      <c r="C204" s="67"/>
      <c r="D204" s="77"/>
      <c r="E204" s="77"/>
      <c r="F204" s="76"/>
      <c r="G204" s="76"/>
      <c r="H204" s="76"/>
      <c r="I204" s="76"/>
      <c r="J204" s="76"/>
      <c r="K204" s="76"/>
      <c r="L204" s="76"/>
      <c r="M204" s="76"/>
      <c r="N204" s="76"/>
      <c r="O204" s="75"/>
      <c r="P204" s="75"/>
      <c r="Q204" s="75"/>
      <c r="R204" s="75"/>
      <c r="S204" s="75"/>
      <c r="T204" s="75"/>
      <c r="U204" s="74"/>
    </row>
    <row r="205" spans="1:21" ht="17.25" customHeight="1" x14ac:dyDescent="0.3">
      <c r="A205" s="66" t="s">
        <v>30</v>
      </c>
      <c r="C205" s="67"/>
      <c r="D205" s="77"/>
      <c r="E205" s="77" t="s">
        <v>31</v>
      </c>
      <c r="F205" s="76" t="s">
        <v>31</v>
      </c>
      <c r="G205" s="76" t="s">
        <v>31</v>
      </c>
      <c r="H205" s="76"/>
      <c r="I205" s="76"/>
      <c r="J205" s="76" t="s">
        <v>31</v>
      </c>
      <c r="K205" s="76" t="s">
        <v>31</v>
      </c>
      <c r="L205" s="76" t="s">
        <v>31</v>
      </c>
      <c r="M205" s="76" t="s">
        <v>31</v>
      </c>
      <c r="N205" s="76"/>
      <c r="U205" s="81"/>
    </row>
    <row r="206" spans="1:21" ht="20.25" customHeight="1" x14ac:dyDescent="0.35">
      <c r="A206" s="66" t="s">
        <v>30</v>
      </c>
      <c r="C206" s="67"/>
      <c r="D206" s="92" t="str">
        <f t="shared" ref="D206" si="132">E206</f>
        <v>C100043</v>
      </c>
      <c r="E206" s="91" t="str">
        <f>"C100043"</f>
        <v>C100043</v>
      </c>
      <c r="F206" s="89" t="str">
        <f>"Pro-Travel Technology Set"</f>
        <v>Pro-Travel Technology Set</v>
      </c>
      <c r="G206" s="89"/>
      <c r="H206" s="90" t="str">
        <f>"EA"</f>
        <v>EA</v>
      </c>
      <c r="I206" s="89"/>
      <c r="J206" s="89"/>
      <c r="K206" s="89"/>
      <c r="L206" s="89"/>
      <c r="M206" s="89"/>
      <c r="N206" s="89"/>
      <c r="O206" s="88">
        <f>(SUBTOTAL(9,O207:O208))</f>
        <v>100</v>
      </c>
      <c r="P206" s="88">
        <f>(SUBTOTAL(9,P207:P208))</f>
        <v>0</v>
      </c>
      <c r="Q206" s="88">
        <f>(SUBTOTAL(9,Q207:Q208))</f>
        <v>0</v>
      </c>
      <c r="R206" s="88">
        <f>(SUBTOTAL(9,R207:R208))</f>
        <v>0</v>
      </c>
      <c r="S206" s="88">
        <f>(SUBTOTAL(9,S207:S208))</f>
        <v>0</v>
      </c>
      <c r="T206" s="88">
        <f>(SUBTOTAL(9,T207:T208))</f>
        <v>0</v>
      </c>
      <c r="U206" s="87">
        <f t="shared" ref="U206" si="133">SUBTOTAL(9,O207:T208)</f>
        <v>100</v>
      </c>
    </row>
    <row r="207" spans="1:21" ht="17.25" customHeight="1" x14ac:dyDescent="0.3">
      <c r="A207" s="66" t="s">
        <v>30</v>
      </c>
      <c r="C207" s="67"/>
      <c r="D207" s="77" t="str">
        <f t="shared" ref="D207" si="134">D206</f>
        <v>C100043</v>
      </c>
      <c r="E207" s="77"/>
      <c r="F207" s="76"/>
      <c r="G207" s="76" t="str">
        <f>"""NAV Direct"",""CRONUS JetCorp USA"",""32"",""1"",""168053"""</f>
        <v>"NAV Direct","CRONUS JetCorp USA","32","1","168053"</v>
      </c>
      <c r="H207" s="86">
        <v>43466</v>
      </c>
      <c r="I207" s="85">
        <v>168053</v>
      </c>
      <c r="J207" s="84" t="str">
        <f>"Vendor"</f>
        <v>Vendor</v>
      </c>
      <c r="K207" s="84" t="str">
        <f>"V100003"</f>
        <v>V100003</v>
      </c>
      <c r="L207" s="84" t="str">
        <f>IF($J207="Customer",_xll.NL("first",$J207,"Name","No.","@@"&amp;$K207),"")</f>
        <v/>
      </c>
      <c r="M207" s="84" t="str">
        <f>"LogoMasters"</f>
        <v>LogoMasters</v>
      </c>
      <c r="N207" s="84" t="str">
        <f>IF($J207="Item",_xll.NL("first",$J207,"Description","No.","@@"&amp;$K207),"")</f>
        <v/>
      </c>
      <c r="O207" s="83">
        <v>100</v>
      </c>
      <c r="P207" s="83">
        <v>0</v>
      </c>
      <c r="Q207" s="83">
        <v>0</v>
      </c>
      <c r="R207" s="83">
        <v>0</v>
      </c>
      <c r="S207" s="83">
        <v>0</v>
      </c>
      <c r="T207" s="83">
        <v>0</v>
      </c>
      <c r="U207" s="82"/>
    </row>
    <row r="208" spans="1:21" ht="17.25" customHeight="1" x14ac:dyDescent="0.3">
      <c r="A208" s="66" t="s">
        <v>30</v>
      </c>
      <c r="C208" s="67"/>
      <c r="D208" s="77"/>
      <c r="E208" s="77"/>
      <c r="F208" s="76"/>
      <c r="G208" s="76"/>
      <c r="H208" s="76"/>
      <c r="I208" s="76"/>
      <c r="J208" s="76"/>
      <c r="K208" s="76"/>
      <c r="L208" s="76"/>
      <c r="M208" s="76"/>
      <c r="N208" s="76"/>
      <c r="O208" s="75"/>
      <c r="P208" s="75"/>
      <c r="Q208" s="75"/>
      <c r="R208" s="75"/>
      <c r="S208" s="75"/>
      <c r="T208" s="75"/>
      <c r="U208" s="74"/>
    </row>
    <row r="209" spans="1:21" ht="17.25" customHeight="1" x14ac:dyDescent="0.3">
      <c r="A209" s="66" t="s">
        <v>30</v>
      </c>
      <c r="C209" s="67"/>
      <c r="D209" s="77"/>
      <c r="E209" s="77" t="s">
        <v>31</v>
      </c>
      <c r="F209" s="76" t="s">
        <v>31</v>
      </c>
      <c r="G209" s="76" t="s">
        <v>31</v>
      </c>
      <c r="H209" s="76"/>
      <c r="I209" s="76"/>
      <c r="J209" s="76" t="s">
        <v>31</v>
      </c>
      <c r="K209" s="76" t="s">
        <v>31</v>
      </c>
      <c r="L209" s="76" t="s">
        <v>31</v>
      </c>
      <c r="M209" s="76" t="s">
        <v>31</v>
      </c>
      <c r="N209" s="76"/>
      <c r="U209" s="81"/>
    </row>
    <row r="210" spans="1:21" ht="20.25" customHeight="1" x14ac:dyDescent="0.35">
      <c r="A210" s="66" t="s">
        <v>30</v>
      </c>
      <c r="C210" s="67"/>
      <c r="D210" s="92" t="str">
        <f t="shared" ref="D210" si="135">E210</f>
        <v>C100044</v>
      </c>
      <c r="E210" s="91" t="str">
        <f>"C100044"</f>
        <v>C100044</v>
      </c>
      <c r="F210" s="89" t="str">
        <f>"VOIP Headset with Mic"</f>
        <v>VOIP Headset with Mic</v>
      </c>
      <c r="G210" s="89"/>
      <c r="H210" s="90" t="str">
        <f>"EA"</f>
        <v>EA</v>
      </c>
      <c r="I210" s="89"/>
      <c r="J210" s="89"/>
      <c r="K210" s="89"/>
      <c r="L210" s="89"/>
      <c r="M210" s="89"/>
      <c r="N210" s="89"/>
      <c r="O210" s="88">
        <f>(SUBTOTAL(9,O211:O212))</f>
        <v>700</v>
      </c>
      <c r="P210" s="88">
        <f>(SUBTOTAL(9,P211:P212))</f>
        <v>0</v>
      </c>
      <c r="Q210" s="88">
        <f>(SUBTOTAL(9,Q211:Q212))</f>
        <v>0</v>
      </c>
      <c r="R210" s="88">
        <f>(SUBTOTAL(9,R211:R212))</f>
        <v>0</v>
      </c>
      <c r="S210" s="88">
        <f>(SUBTOTAL(9,S211:S212))</f>
        <v>0</v>
      </c>
      <c r="T210" s="88">
        <f>(SUBTOTAL(9,T211:T212))</f>
        <v>0</v>
      </c>
      <c r="U210" s="87">
        <f t="shared" ref="U210" si="136">SUBTOTAL(9,O211:T212)</f>
        <v>700</v>
      </c>
    </row>
    <row r="211" spans="1:21" ht="17.25" customHeight="1" x14ac:dyDescent="0.3">
      <c r="A211" s="66" t="s">
        <v>30</v>
      </c>
      <c r="C211" s="67"/>
      <c r="D211" s="77" t="str">
        <f t="shared" ref="D211" si="137">D210</f>
        <v>C100044</v>
      </c>
      <c r="E211" s="77"/>
      <c r="F211" s="76"/>
      <c r="G211" s="76" t="str">
        <f>"""NAV Direct"",""CRONUS JetCorp USA"",""32"",""1"",""168052"""</f>
        <v>"NAV Direct","CRONUS JetCorp USA","32","1","168052"</v>
      </c>
      <c r="H211" s="86">
        <v>43466</v>
      </c>
      <c r="I211" s="85">
        <v>168052</v>
      </c>
      <c r="J211" s="84" t="str">
        <f>"Vendor"</f>
        <v>Vendor</v>
      </c>
      <c r="K211" s="84" t="str">
        <f>"V100003"</f>
        <v>V100003</v>
      </c>
      <c r="L211" s="84" t="str">
        <f>IF($J211="Customer",_xll.NL("first",$J211,"Name","No.","@@"&amp;$K211),"")</f>
        <v/>
      </c>
      <c r="M211" s="84" t="str">
        <f>"LogoMasters"</f>
        <v>LogoMasters</v>
      </c>
      <c r="N211" s="84" t="str">
        <f>IF($J211="Item",_xll.NL("first",$J211,"Description","No.","@@"&amp;$K211),"")</f>
        <v/>
      </c>
      <c r="O211" s="83">
        <v>700</v>
      </c>
      <c r="P211" s="83">
        <v>0</v>
      </c>
      <c r="Q211" s="83">
        <v>0</v>
      </c>
      <c r="R211" s="83">
        <v>0</v>
      </c>
      <c r="S211" s="83">
        <v>0</v>
      </c>
      <c r="T211" s="83">
        <v>0</v>
      </c>
      <c r="U211" s="82"/>
    </row>
    <row r="212" spans="1:21" ht="17.25" customHeight="1" x14ac:dyDescent="0.3">
      <c r="A212" s="66" t="s">
        <v>30</v>
      </c>
      <c r="C212" s="67"/>
      <c r="D212" s="77"/>
      <c r="E212" s="77"/>
      <c r="F212" s="76"/>
      <c r="G212" s="76"/>
      <c r="H212" s="76"/>
      <c r="I212" s="76"/>
      <c r="J212" s="76"/>
      <c r="K212" s="76"/>
      <c r="L212" s="76"/>
      <c r="M212" s="76"/>
      <c r="N212" s="76"/>
      <c r="O212" s="75"/>
      <c r="P212" s="75"/>
      <c r="Q212" s="75"/>
      <c r="R212" s="75"/>
      <c r="S212" s="75"/>
      <c r="T212" s="75"/>
      <c r="U212" s="74"/>
    </row>
    <row r="213" spans="1:21" ht="17.25" customHeight="1" x14ac:dyDescent="0.3">
      <c r="A213" s="66" t="s">
        <v>30</v>
      </c>
      <c r="C213" s="67"/>
      <c r="D213" s="77"/>
      <c r="E213" s="77" t="s">
        <v>31</v>
      </c>
      <c r="F213" s="76" t="s">
        <v>31</v>
      </c>
      <c r="G213" s="76" t="s">
        <v>31</v>
      </c>
      <c r="H213" s="76"/>
      <c r="I213" s="76"/>
      <c r="J213" s="76" t="s">
        <v>31</v>
      </c>
      <c r="K213" s="76" t="s">
        <v>31</v>
      </c>
      <c r="L213" s="76" t="s">
        <v>31</v>
      </c>
      <c r="M213" s="76" t="s">
        <v>31</v>
      </c>
      <c r="N213" s="76"/>
      <c r="U213" s="81"/>
    </row>
    <row r="214" spans="1:21" ht="20.25" customHeight="1" x14ac:dyDescent="0.35">
      <c r="A214" s="66" t="s">
        <v>30</v>
      </c>
      <c r="C214" s="67"/>
      <c r="D214" s="92" t="str">
        <f t="shared" ref="D214" si="138">E214</f>
        <v>C100046</v>
      </c>
      <c r="E214" s="91" t="str">
        <f>"C100046"</f>
        <v>C100046</v>
      </c>
      <c r="F214" s="89" t="str">
        <f>"1GB MP3 Player"</f>
        <v>1GB MP3 Player</v>
      </c>
      <c r="G214" s="89"/>
      <c r="H214" s="90" t="str">
        <f>"EA"</f>
        <v>EA</v>
      </c>
      <c r="I214" s="89"/>
      <c r="J214" s="89"/>
      <c r="K214" s="89"/>
      <c r="L214" s="89"/>
      <c r="M214" s="89"/>
      <c r="N214" s="89"/>
      <c r="O214" s="88">
        <f>(SUBTOTAL(9,O215:O217))</f>
        <v>0</v>
      </c>
      <c r="P214" s="88">
        <f>(SUBTOTAL(9,P215:P217))</f>
        <v>-289</v>
      </c>
      <c r="Q214" s="88">
        <f>(SUBTOTAL(9,Q215:Q217))</f>
        <v>0</v>
      </c>
      <c r="R214" s="88">
        <f>(SUBTOTAL(9,R215:R217))</f>
        <v>0</v>
      </c>
      <c r="S214" s="88">
        <f>(SUBTOTAL(9,S215:S217))</f>
        <v>0</v>
      </c>
      <c r="T214" s="88">
        <f>(SUBTOTAL(9,T215:T217))</f>
        <v>0</v>
      </c>
      <c r="U214" s="87">
        <f t="shared" ref="U214" si="139">SUBTOTAL(9,O215:T217)</f>
        <v>-289</v>
      </c>
    </row>
    <row r="215" spans="1:21" ht="17.25" customHeight="1" x14ac:dyDescent="0.3">
      <c r="A215" s="66" t="s">
        <v>30</v>
      </c>
      <c r="C215" s="67"/>
      <c r="D215" s="77" t="str">
        <f t="shared" ref="D215" si="140">D214</f>
        <v>C100046</v>
      </c>
      <c r="E215" s="77"/>
      <c r="F215" s="76"/>
      <c r="G215" s="76" t="str">
        <f>"""NAV Direct"",""CRONUS JetCorp USA"",""32"",""1"",""7556"""</f>
        <v>"NAV Direct","CRONUS JetCorp USA","32","1","7556"</v>
      </c>
      <c r="H215" s="86">
        <v>43469</v>
      </c>
      <c r="I215" s="85">
        <v>7556</v>
      </c>
      <c r="J215" s="84" t="str">
        <f>"Customer"</f>
        <v>Customer</v>
      </c>
      <c r="K215" s="84" t="str">
        <f>"C100030"</f>
        <v>C100030</v>
      </c>
      <c r="L215" s="84" t="str">
        <f>IF($J215="Customer",_xll.NL("first",$J215,"Name","No.","@@"&amp;$K215),"")</f>
        <v>Stutringers</v>
      </c>
      <c r="M215" s="84" t="str">
        <f>""</f>
        <v/>
      </c>
      <c r="N215" s="84" t="str">
        <f>IF($J215="Item",_xll.NL("first",$J215,"Description","No.","@@"&amp;$K215),"")</f>
        <v/>
      </c>
      <c r="O215" s="83">
        <v>0</v>
      </c>
      <c r="P215" s="83">
        <v>-144</v>
      </c>
      <c r="Q215" s="83">
        <v>0</v>
      </c>
      <c r="R215" s="83">
        <v>0</v>
      </c>
      <c r="S215" s="83">
        <v>0</v>
      </c>
      <c r="T215" s="83">
        <v>0</v>
      </c>
      <c r="U215" s="82"/>
    </row>
    <row r="216" spans="1:21" ht="17.25" customHeight="1" x14ac:dyDescent="0.3">
      <c r="A216" s="66" t="s">
        <v>30</v>
      </c>
      <c r="C216" s="67"/>
      <c r="D216" s="77" t="str">
        <f t="shared" ref="D216" si="141">D215</f>
        <v>C100046</v>
      </c>
      <c r="E216" s="77"/>
      <c r="F216" s="76"/>
      <c r="G216" s="76" t="str">
        <f>"""NAV Direct"",""CRONUS JetCorp USA"",""32"",""1"",""114277"""</f>
        <v>"NAV Direct","CRONUS JetCorp USA","32","1","114277"</v>
      </c>
      <c r="H216" s="86">
        <v>43474</v>
      </c>
      <c r="I216" s="85">
        <v>114277</v>
      </c>
      <c r="J216" s="84" t="str">
        <f>"Customer"</f>
        <v>Customer</v>
      </c>
      <c r="K216" s="84" t="str">
        <f>"C100076"</f>
        <v>C100076</v>
      </c>
      <c r="L216" s="84" t="str">
        <f>IF($J216="Customer",_xll.NL("first",$J216,"Name","No.","@@"&amp;$K216),"")</f>
        <v>Showmasters</v>
      </c>
      <c r="M216" s="84" t="str">
        <f>""</f>
        <v/>
      </c>
      <c r="N216" s="84" t="str">
        <f>IF($J216="Item",_xll.NL("first",$J216,"Description","No.","@@"&amp;$K216),"")</f>
        <v/>
      </c>
      <c r="O216" s="83">
        <v>0</v>
      </c>
      <c r="P216" s="83">
        <v>-145</v>
      </c>
      <c r="Q216" s="83">
        <v>0</v>
      </c>
      <c r="R216" s="83">
        <v>0</v>
      </c>
      <c r="S216" s="83">
        <v>0</v>
      </c>
      <c r="T216" s="83">
        <v>0</v>
      </c>
      <c r="U216" s="82"/>
    </row>
    <row r="217" spans="1:21" ht="17.25" customHeight="1" x14ac:dyDescent="0.3">
      <c r="A217" s="66" t="s">
        <v>30</v>
      </c>
      <c r="C217" s="67"/>
      <c r="D217" s="77"/>
      <c r="E217" s="77"/>
      <c r="F217" s="76"/>
      <c r="G217" s="76"/>
      <c r="H217" s="76"/>
      <c r="I217" s="76"/>
      <c r="J217" s="76"/>
      <c r="K217" s="76"/>
      <c r="L217" s="76"/>
      <c r="M217" s="76"/>
      <c r="N217" s="76"/>
      <c r="O217" s="75"/>
      <c r="P217" s="75"/>
      <c r="Q217" s="75"/>
      <c r="R217" s="75"/>
      <c r="S217" s="75"/>
      <c r="T217" s="75"/>
      <c r="U217" s="74"/>
    </row>
    <row r="218" spans="1:21" ht="17.25" customHeight="1" x14ac:dyDescent="0.3">
      <c r="A218" s="66" t="s">
        <v>30</v>
      </c>
      <c r="C218" s="67"/>
      <c r="D218" s="77"/>
      <c r="E218" s="77" t="s">
        <v>31</v>
      </c>
      <c r="F218" s="76" t="s">
        <v>31</v>
      </c>
      <c r="G218" s="76" t="s">
        <v>31</v>
      </c>
      <c r="H218" s="76"/>
      <c r="I218" s="76"/>
      <c r="J218" s="76" t="s">
        <v>31</v>
      </c>
      <c r="K218" s="76" t="s">
        <v>31</v>
      </c>
      <c r="L218" s="76" t="s">
        <v>31</v>
      </c>
      <c r="M218" s="76" t="s">
        <v>31</v>
      </c>
      <c r="N218" s="76"/>
      <c r="U218" s="81"/>
    </row>
    <row r="219" spans="1:21" ht="20.25" customHeight="1" x14ac:dyDescent="0.35">
      <c r="A219" s="66" t="s">
        <v>30</v>
      </c>
      <c r="C219" s="67"/>
      <c r="D219" s="92" t="str">
        <f t="shared" ref="D219" si="142">E219</f>
        <v>C100047</v>
      </c>
      <c r="E219" s="91" t="str">
        <f>"C100047"</f>
        <v>C100047</v>
      </c>
      <c r="F219" s="89" t="str">
        <f>"2GB MP3 Player"</f>
        <v>2GB MP3 Player</v>
      </c>
      <c r="G219" s="89"/>
      <c r="H219" s="90" t="str">
        <f>"EA"</f>
        <v>EA</v>
      </c>
      <c r="I219" s="89"/>
      <c r="J219" s="89"/>
      <c r="K219" s="89"/>
      <c r="L219" s="89"/>
      <c r="M219" s="89"/>
      <c r="N219" s="89"/>
      <c r="O219" s="88">
        <f>(SUBTOTAL(9,O220:O222))</f>
        <v>200</v>
      </c>
      <c r="P219" s="88">
        <f>(SUBTOTAL(9,P220:P222))</f>
        <v>-48</v>
      </c>
      <c r="Q219" s="88">
        <f>(SUBTOTAL(9,Q220:Q222))</f>
        <v>0</v>
      </c>
      <c r="R219" s="88">
        <f>(SUBTOTAL(9,R220:R222))</f>
        <v>0</v>
      </c>
      <c r="S219" s="88">
        <f>(SUBTOTAL(9,S220:S222))</f>
        <v>0</v>
      </c>
      <c r="T219" s="88">
        <f>(SUBTOTAL(9,T220:T222))</f>
        <v>0</v>
      </c>
      <c r="U219" s="87">
        <f t="shared" ref="U219" si="143">SUBTOTAL(9,O220:T222)</f>
        <v>152</v>
      </c>
    </row>
    <row r="220" spans="1:21" ht="17.25" customHeight="1" x14ac:dyDescent="0.3">
      <c r="A220" s="66" t="s">
        <v>30</v>
      </c>
      <c r="C220" s="67"/>
      <c r="D220" s="77" t="str">
        <f t="shared" ref="D220" si="144">D219</f>
        <v>C100047</v>
      </c>
      <c r="E220" s="77"/>
      <c r="F220" s="76"/>
      <c r="G220" s="76" t="str">
        <f>"""NAV Direct"",""CRONUS JetCorp USA"",""32"",""1"",""168051"""</f>
        <v>"NAV Direct","CRONUS JetCorp USA","32","1","168051"</v>
      </c>
      <c r="H220" s="86">
        <v>43466</v>
      </c>
      <c r="I220" s="85">
        <v>168051</v>
      </c>
      <c r="J220" s="84" t="str">
        <f>"Vendor"</f>
        <v>Vendor</v>
      </c>
      <c r="K220" s="84" t="str">
        <f>"V100003"</f>
        <v>V100003</v>
      </c>
      <c r="L220" s="84" t="str">
        <f>IF($J220="Customer",_xll.NL("first",$J220,"Name","No.","@@"&amp;$K220),"")</f>
        <v/>
      </c>
      <c r="M220" s="84" t="str">
        <f>"LogoMasters"</f>
        <v>LogoMasters</v>
      </c>
      <c r="N220" s="84" t="str">
        <f>IF($J220="Item",_xll.NL("first",$J220,"Description","No.","@@"&amp;$K220),"")</f>
        <v/>
      </c>
      <c r="O220" s="83">
        <v>200</v>
      </c>
      <c r="P220" s="83">
        <v>0</v>
      </c>
      <c r="Q220" s="83">
        <v>0</v>
      </c>
      <c r="R220" s="83">
        <v>0</v>
      </c>
      <c r="S220" s="83">
        <v>0</v>
      </c>
      <c r="T220" s="83">
        <v>0</v>
      </c>
      <c r="U220" s="82"/>
    </row>
    <row r="221" spans="1:21" ht="17.25" customHeight="1" x14ac:dyDescent="0.3">
      <c r="A221" s="66" t="s">
        <v>30</v>
      </c>
      <c r="C221" s="67"/>
      <c r="D221" s="77" t="str">
        <f t="shared" ref="D221" si="145">D220</f>
        <v>C100047</v>
      </c>
      <c r="E221" s="77"/>
      <c r="F221" s="76"/>
      <c r="G221" s="76" t="str">
        <f>"""NAV Direct"",""CRONUS JetCorp USA"",""32"",""1"",""7566"""</f>
        <v>"NAV Direct","CRONUS JetCorp USA","32","1","7566"</v>
      </c>
      <c r="H221" s="86">
        <v>43477</v>
      </c>
      <c r="I221" s="85">
        <v>7566</v>
      </c>
      <c r="J221" s="84" t="str">
        <f>"Customer"</f>
        <v>Customer</v>
      </c>
      <c r="K221" s="84" t="str">
        <f>"C100076"</f>
        <v>C100076</v>
      </c>
      <c r="L221" s="84" t="str">
        <f>IF($J221="Customer",_xll.NL("first",$J221,"Name","No.","@@"&amp;$K221),"")</f>
        <v>Showmasters</v>
      </c>
      <c r="M221" s="84" t="str">
        <f>""</f>
        <v/>
      </c>
      <c r="N221" s="84" t="str">
        <f>IF($J221="Item",_xll.NL("first",$J221,"Description","No.","@@"&amp;$K221),"")</f>
        <v/>
      </c>
      <c r="O221" s="83">
        <v>0</v>
      </c>
      <c r="P221" s="83">
        <v>-48</v>
      </c>
      <c r="Q221" s="83">
        <v>0</v>
      </c>
      <c r="R221" s="83">
        <v>0</v>
      </c>
      <c r="S221" s="83">
        <v>0</v>
      </c>
      <c r="T221" s="83">
        <v>0</v>
      </c>
      <c r="U221" s="82"/>
    </row>
    <row r="222" spans="1:21" ht="17.25" customHeight="1" x14ac:dyDescent="0.3">
      <c r="A222" s="66" t="s">
        <v>30</v>
      </c>
      <c r="C222" s="67"/>
      <c r="D222" s="77"/>
      <c r="E222" s="77"/>
      <c r="F222" s="76"/>
      <c r="G222" s="76"/>
      <c r="H222" s="76"/>
      <c r="I222" s="76"/>
      <c r="J222" s="76"/>
      <c r="K222" s="76"/>
      <c r="L222" s="76"/>
      <c r="M222" s="76"/>
      <c r="N222" s="76"/>
      <c r="O222" s="75"/>
      <c r="P222" s="75"/>
      <c r="Q222" s="75"/>
      <c r="R222" s="75"/>
      <c r="S222" s="75"/>
      <c r="T222" s="75"/>
      <c r="U222" s="74"/>
    </row>
    <row r="223" spans="1:21" ht="17.25" customHeight="1" x14ac:dyDescent="0.3">
      <c r="A223" s="66" t="s">
        <v>30</v>
      </c>
      <c r="C223" s="67"/>
      <c r="D223" s="77"/>
      <c r="E223" s="77" t="s">
        <v>31</v>
      </c>
      <c r="F223" s="76" t="s">
        <v>31</v>
      </c>
      <c r="G223" s="76" t="s">
        <v>31</v>
      </c>
      <c r="H223" s="76"/>
      <c r="I223" s="76"/>
      <c r="J223" s="76" t="s">
        <v>31</v>
      </c>
      <c r="K223" s="76" t="s">
        <v>31</v>
      </c>
      <c r="L223" s="76" t="s">
        <v>31</v>
      </c>
      <c r="M223" s="76" t="s">
        <v>31</v>
      </c>
      <c r="N223" s="76"/>
      <c r="U223" s="81"/>
    </row>
    <row r="224" spans="1:21" ht="20.25" customHeight="1" x14ac:dyDescent="0.35">
      <c r="A224" s="66" t="s">
        <v>30</v>
      </c>
      <c r="C224" s="67"/>
      <c r="D224" s="92" t="str">
        <f t="shared" ref="D224" si="146">E224</f>
        <v>C100048</v>
      </c>
      <c r="E224" s="91" t="str">
        <f>"C100048"</f>
        <v>C100048</v>
      </c>
      <c r="F224" s="89" t="str">
        <f>"USB MP3 Player"</f>
        <v>USB MP3 Player</v>
      </c>
      <c r="G224" s="89"/>
      <c r="H224" s="90" t="str">
        <f>"EA"</f>
        <v>EA</v>
      </c>
      <c r="I224" s="89"/>
      <c r="J224" s="89"/>
      <c r="K224" s="89"/>
      <c r="L224" s="89"/>
      <c r="M224" s="89"/>
      <c r="N224" s="89"/>
      <c r="O224" s="88">
        <f>(SUBTOTAL(9,O225:O227))</f>
        <v>300</v>
      </c>
      <c r="P224" s="88">
        <f>(SUBTOTAL(9,P225:P227))</f>
        <v>-144</v>
      </c>
      <c r="Q224" s="88">
        <f>(SUBTOTAL(9,Q225:Q227))</f>
        <v>0</v>
      </c>
      <c r="R224" s="88">
        <f>(SUBTOTAL(9,R225:R227))</f>
        <v>0</v>
      </c>
      <c r="S224" s="88">
        <f>(SUBTOTAL(9,S225:S227))</f>
        <v>0</v>
      </c>
      <c r="T224" s="88">
        <f>(SUBTOTAL(9,T225:T227))</f>
        <v>0</v>
      </c>
      <c r="U224" s="87">
        <f t="shared" ref="U224" si="147">SUBTOTAL(9,O225:T227)</f>
        <v>156</v>
      </c>
    </row>
    <row r="225" spans="1:21" ht="17.25" customHeight="1" x14ac:dyDescent="0.3">
      <c r="A225" s="66" t="s">
        <v>30</v>
      </c>
      <c r="C225" s="67"/>
      <c r="D225" s="77" t="str">
        <f t="shared" ref="D225" si="148">D224</f>
        <v>C100048</v>
      </c>
      <c r="E225" s="77"/>
      <c r="F225" s="76"/>
      <c r="G225" s="76" t="str">
        <f>"""NAV Direct"",""CRONUS JetCorp USA"",""32"",""1"",""168050"""</f>
        <v>"NAV Direct","CRONUS JetCorp USA","32","1","168050"</v>
      </c>
      <c r="H225" s="86">
        <v>43466</v>
      </c>
      <c r="I225" s="85">
        <v>168050</v>
      </c>
      <c r="J225" s="84" t="str">
        <f>"Vendor"</f>
        <v>Vendor</v>
      </c>
      <c r="K225" s="84" t="str">
        <f>"V100003"</f>
        <v>V100003</v>
      </c>
      <c r="L225" s="84" t="str">
        <f>IF($J225="Customer",_xll.NL("first",$J225,"Name","No.","@@"&amp;$K225),"")</f>
        <v/>
      </c>
      <c r="M225" s="84" t="str">
        <f>"LogoMasters"</f>
        <v>LogoMasters</v>
      </c>
      <c r="N225" s="84" t="str">
        <f>IF($J225="Item",_xll.NL("first",$J225,"Description","No.","@@"&amp;$K225),"")</f>
        <v/>
      </c>
      <c r="O225" s="83">
        <v>300</v>
      </c>
      <c r="P225" s="83">
        <v>0</v>
      </c>
      <c r="Q225" s="83">
        <v>0</v>
      </c>
      <c r="R225" s="83">
        <v>0</v>
      </c>
      <c r="S225" s="83">
        <v>0</v>
      </c>
      <c r="T225" s="83">
        <v>0</v>
      </c>
      <c r="U225" s="82"/>
    </row>
    <row r="226" spans="1:21" ht="17.25" customHeight="1" x14ac:dyDescent="0.3">
      <c r="A226" s="66" t="s">
        <v>30</v>
      </c>
      <c r="C226" s="67"/>
      <c r="D226" s="77" t="str">
        <f t="shared" ref="D226" si="149">D225</f>
        <v>C100048</v>
      </c>
      <c r="E226" s="77"/>
      <c r="F226" s="76"/>
      <c r="G226" s="76" t="str">
        <f>"""NAV Direct"",""CRONUS JetCorp USA"",""32"",""1"",""7557"""</f>
        <v>"NAV Direct","CRONUS JetCorp USA","32","1","7557"</v>
      </c>
      <c r="H226" s="86">
        <v>43469</v>
      </c>
      <c r="I226" s="85">
        <v>7557</v>
      </c>
      <c r="J226" s="84" t="str">
        <f>"Customer"</f>
        <v>Customer</v>
      </c>
      <c r="K226" s="84" t="str">
        <f>"C100030"</f>
        <v>C100030</v>
      </c>
      <c r="L226" s="84" t="str">
        <f>IF($J226="Customer",_xll.NL("first",$J226,"Name","No.","@@"&amp;$K226),"")</f>
        <v>Stutringers</v>
      </c>
      <c r="M226" s="84" t="str">
        <f>""</f>
        <v/>
      </c>
      <c r="N226" s="84" t="str">
        <f>IF($J226="Item",_xll.NL("first",$J226,"Description","No.","@@"&amp;$K226),"")</f>
        <v/>
      </c>
      <c r="O226" s="83">
        <v>0</v>
      </c>
      <c r="P226" s="83">
        <v>-144</v>
      </c>
      <c r="Q226" s="83">
        <v>0</v>
      </c>
      <c r="R226" s="83">
        <v>0</v>
      </c>
      <c r="S226" s="83">
        <v>0</v>
      </c>
      <c r="T226" s="83">
        <v>0</v>
      </c>
      <c r="U226" s="82"/>
    </row>
    <row r="227" spans="1:21" ht="17.25" customHeight="1" x14ac:dyDescent="0.3">
      <c r="A227" s="66" t="s">
        <v>30</v>
      </c>
      <c r="C227" s="67"/>
      <c r="D227" s="77"/>
      <c r="E227" s="77"/>
      <c r="F227" s="76"/>
      <c r="G227" s="76"/>
      <c r="H227" s="76"/>
      <c r="I227" s="76"/>
      <c r="J227" s="76"/>
      <c r="K227" s="76"/>
      <c r="L227" s="76"/>
      <c r="M227" s="76"/>
      <c r="N227" s="76"/>
      <c r="O227" s="75"/>
      <c r="P227" s="75"/>
      <c r="Q227" s="75"/>
      <c r="R227" s="75"/>
      <c r="S227" s="75"/>
      <c r="T227" s="75"/>
      <c r="U227" s="74"/>
    </row>
    <row r="228" spans="1:21" ht="17.25" customHeight="1" x14ac:dyDescent="0.3">
      <c r="A228" s="66" t="s">
        <v>30</v>
      </c>
      <c r="C228" s="67"/>
      <c r="D228" s="77"/>
      <c r="E228" s="77" t="s">
        <v>31</v>
      </c>
      <c r="F228" s="76" t="s">
        <v>31</v>
      </c>
      <c r="G228" s="76" t="s">
        <v>31</v>
      </c>
      <c r="H228" s="76"/>
      <c r="I228" s="76"/>
      <c r="J228" s="76" t="s">
        <v>31</v>
      </c>
      <c r="K228" s="76" t="s">
        <v>31</v>
      </c>
      <c r="L228" s="76" t="s">
        <v>31</v>
      </c>
      <c r="M228" s="76" t="s">
        <v>31</v>
      </c>
      <c r="N228" s="76"/>
      <c r="U228" s="81"/>
    </row>
    <row r="229" spans="1:21" ht="20.25" customHeight="1" x14ac:dyDescent="0.35">
      <c r="A229" s="66" t="s">
        <v>30</v>
      </c>
      <c r="C229" s="67"/>
      <c r="D229" s="92" t="str">
        <f t="shared" ref="D229" si="150">E229</f>
        <v>C100050</v>
      </c>
      <c r="E229" s="91" t="str">
        <f>"C100050"</f>
        <v>C100050</v>
      </c>
      <c r="F229" s="89" t="str">
        <f>"Clip-on MP3 Player"</f>
        <v>Clip-on MP3 Player</v>
      </c>
      <c r="G229" s="89"/>
      <c r="H229" s="90" t="str">
        <f>"EA"</f>
        <v>EA</v>
      </c>
      <c r="I229" s="89"/>
      <c r="J229" s="89"/>
      <c r="K229" s="89"/>
      <c r="L229" s="89"/>
      <c r="M229" s="89"/>
      <c r="N229" s="89"/>
      <c r="O229" s="88">
        <f>(SUBTOTAL(9,O230:O232))</f>
        <v>100</v>
      </c>
      <c r="P229" s="88">
        <f>(SUBTOTAL(9,P230:P232))</f>
        <v>-1</v>
      </c>
      <c r="Q229" s="88">
        <f>(SUBTOTAL(9,Q230:Q232))</f>
        <v>0</v>
      </c>
      <c r="R229" s="88">
        <f>(SUBTOTAL(9,R230:R232))</f>
        <v>0</v>
      </c>
      <c r="S229" s="88">
        <f>(SUBTOTAL(9,S230:S232))</f>
        <v>0</v>
      </c>
      <c r="T229" s="88">
        <f>(SUBTOTAL(9,T230:T232))</f>
        <v>0</v>
      </c>
      <c r="U229" s="87">
        <f t="shared" ref="U229" si="151">SUBTOTAL(9,O230:T232)</f>
        <v>99</v>
      </c>
    </row>
    <row r="230" spans="1:21" ht="17.25" customHeight="1" x14ac:dyDescent="0.3">
      <c r="A230" s="66" t="s">
        <v>30</v>
      </c>
      <c r="C230" s="67"/>
      <c r="D230" s="77" t="str">
        <f t="shared" ref="D230" si="152">D229</f>
        <v>C100050</v>
      </c>
      <c r="E230" s="77"/>
      <c r="F230" s="76"/>
      <c r="G230" s="76" t="str">
        <f>"""NAV Direct"",""CRONUS JetCorp USA"",""32"",""1"",""168049"""</f>
        <v>"NAV Direct","CRONUS JetCorp USA","32","1","168049"</v>
      </c>
      <c r="H230" s="86">
        <v>43466</v>
      </c>
      <c r="I230" s="85">
        <v>168049</v>
      </c>
      <c r="J230" s="84" t="str">
        <f>"Vendor"</f>
        <v>Vendor</v>
      </c>
      <c r="K230" s="84" t="str">
        <f>"V100003"</f>
        <v>V100003</v>
      </c>
      <c r="L230" s="84" t="str">
        <f>IF($J230="Customer",_xll.NL("first",$J230,"Name","No.","@@"&amp;$K230),"")</f>
        <v/>
      </c>
      <c r="M230" s="84" t="str">
        <f>"LogoMasters"</f>
        <v>LogoMasters</v>
      </c>
      <c r="N230" s="84" t="str">
        <f>IF($J230="Item",_xll.NL("first",$J230,"Description","No.","@@"&amp;$K230),"")</f>
        <v/>
      </c>
      <c r="O230" s="83">
        <v>100</v>
      </c>
      <c r="P230" s="83">
        <v>0</v>
      </c>
      <c r="Q230" s="83">
        <v>0</v>
      </c>
      <c r="R230" s="83">
        <v>0</v>
      </c>
      <c r="S230" s="83">
        <v>0</v>
      </c>
      <c r="T230" s="83">
        <v>0</v>
      </c>
      <c r="U230" s="82"/>
    </row>
    <row r="231" spans="1:21" ht="17.25" customHeight="1" x14ac:dyDescent="0.3">
      <c r="A231" s="66" t="s">
        <v>30</v>
      </c>
      <c r="C231" s="67"/>
      <c r="D231" s="77" t="str">
        <f t="shared" ref="D231" si="153">D230</f>
        <v>C100050</v>
      </c>
      <c r="E231" s="77"/>
      <c r="F231" s="76"/>
      <c r="G231" s="76" t="str">
        <f>"""NAV Direct"",""CRONUS JetCorp USA"",""32"",""1"",""7590"""</f>
        <v>"NAV Direct","CRONUS JetCorp USA","32","1","7590"</v>
      </c>
      <c r="H231" s="86">
        <v>43476</v>
      </c>
      <c r="I231" s="85">
        <v>7590</v>
      </c>
      <c r="J231" s="84" t="str">
        <f>"Customer"</f>
        <v>Customer</v>
      </c>
      <c r="K231" s="84" t="str">
        <f>"C100030"</f>
        <v>C100030</v>
      </c>
      <c r="L231" s="84" t="str">
        <f>IF($J231="Customer",_xll.NL("first",$J231,"Name","No.","@@"&amp;$K231),"")</f>
        <v>Stutringers</v>
      </c>
      <c r="M231" s="84" t="str">
        <f>""</f>
        <v/>
      </c>
      <c r="N231" s="84" t="str">
        <f>IF($J231="Item",_xll.NL("first",$J231,"Description","No.","@@"&amp;$K231),"")</f>
        <v/>
      </c>
      <c r="O231" s="83">
        <v>0</v>
      </c>
      <c r="P231" s="83">
        <v>-1</v>
      </c>
      <c r="Q231" s="83">
        <v>0</v>
      </c>
      <c r="R231" s="83">
        <v>0</v>
      </c>
      <c r="S231" s="83">
        <v>0</v>
      </c>
      <c r="T231" s="83">
        <v>0</v>
      </c>
      <c r="U231" s="82"/>
    </row>
    <row r="232" spans="1:21" ht="17.25" customHeight="1" x14ac:dyDescent="0.3">
      <c r="A232" s="66" t="s">
        <v>30</v>
      </c>
      <c r="C232" s="67"/>
      <c r="D232" s="77"/>
      <c r="E232" s="77"/>
      <c r="F232" s="76"/>
      <c r="G232" s="76"/>
      <c r="H232" s="76"/>
      <c r="I232" s="76"/>
      <c r="J232" s="76"/>
      <c r="K232" s="76"/>
      <c r="L232" s="76"/>
      <c r="M232" s="76"/>
      <c r="N232" s="76"/>
      <c r="O232" s="75"/>
      <c r="P232" s="75"/>
      <c r="Q232" s="75"/>
      <c r="R232" s="75"/>
      <c r="S232" s="75"/>
      <c r="T232" s="75"/>
      <c r="U232" s="74"/>
    </row>
    <row r="233" spans="1:21" ht="17.25" customHeight="1" x14ac:dyDescent="0.3">
      <c r="A233" s="66" t="s">
        <v>30</v>
      </c>
      <c r="C233" s="67"/>
      <c r="D233" s="77"/>
      <c r="E233" s="77" t="s">
        <v>31</v>
      </c>
      <c r="F233" s="76" t="s">
        <v>31</v>
      </c>
      <c r="G233" s="76" t="s">
        <v>31</v>
      </c>
      <c r="H233" s="76"/>
      <c r="I233" s="76"/>
      <c r="J233" s="76" t="s">
        <v>31</v>
      </c>
      <c r="K233" s="76" t="s">
        <v>31</v>
      </c>
      <c r="L233" s="76" t="s">
        <v>31</v>
      </c>
      <c r="M233" s="76" t="s">
        <v>31</v>
      </c>
      <c r="N233" s="76"/>
      <c r="U233" s="81"/>
    </row>
    <row r="234" spans="1:21" ht="20.25" customHeight="1" x14ac:dyDescent="0.35">
      <c r="A234" s="66" t="s">
        <v>30</v>
      </c>
      <c r="C234" s="67"/>
      <c r="D234" s="92" t="str">
        <f t="shared" ref="D234" si="154">E234</f>
        <v>C100051</v>
      </c>
      <c r="E234" s="91" t="str">
        <f>"C100051"</f>
        <v>C100051</v>
      </c>
      <c r="F234" s="89" t="str">
        <f>"Bamboo Digital Picutre Frame"</f>
        <v>Bamboo Digital Picutre Frame</v>
      </c>
      <c r="G234" s="89"/>
      <c r="H234" s="90" t="str">
        <f>"EA"</f>
        <v>EA</v>
      </c>
      <c r="I234" s="89"/>
      <c r="J234" s="89"/>
      <c r="K234" s="89"/>
      <c r="L234" s="89"/>
      <c r="M234" s="89"/>
      <c r="N234" s="89"/>
      <c r="O234" s="88">
        <f>(SUBTOTAL(9,O235:O237))</f>
        <v>600</v>
      </c>
      <c r="P234" s="88">
        <f>(SUBTOTAL(9,P235:P237))</f>
        <v>-144</v>
      </c>
      <c r="Q234" s="88">
        <f>(SUBTOTAL(9,Q235:Q237))</f>
        <v>0</v>
      </c>
      <c r="R234" s="88">
        <f>(SUBTOTAL(9,R235:R237))</f>
        <v>0</v>
      </c>
      <c r="S234" s="88">
        <f>(SUBTOTAL(9,S235:S237))</f>
        <v>0</v>
      </c>
      <c r="T234" s="88">
        <f>(SUBTOTAL(9,T235:T237))</f>
        <v>0</v>
      </c>
      <c r="U234" s="87">
        <f t="shared" ref="U234" si="155">SUBTOTAL(9,O235:T237)</f>
        <v>456</v>
      </c>
    </row>
    <row r="235" spans="1:21" ht="17.25" customHeight="1" x14ac:dyDescent="0.3">
      <c r="A235" s="66" t="s">
        <v>30</v>
      </c>
      <c r="C235" s="67"/>
      <c r="D235" s="77" t="str">
        <f t="shared" ref="D235" si="156">D234</f>
        <v>C100051</v>
      </c>
      <c r="E235" s="77"/>
      <c r="F235" s="76"/>
      <c r="G235" s="76" t="str">
        <f>"""NAV Direct"",""CRONUS JetCorp USA"",""32"",""1"",""168048"""</f>
        <v>"NAV Direct","CRONUS JetCorp USA","32","1","168048"</v>
      </c>
      <c r="H235" s="86">
        <v>43466</v>
      </c>
      <c r="I235" s="85">
        <v>168048</v>
      </c>
      <c r="J235" s="84" t="str">
        <f>"Vendor"</f>
        <v>Vendor</v>
      </c>
      <c r="K235" s="84" t="str">
        <f>"V100003"</f>
        <v>V100003</v>
      </c>
      <c r="L235" s="84" t="str">
        <f>IF($J235="Customer",_xll.NL("first",$J235,"Name","No.","@@"&amp;$K235),"")</f>
        <v/>
      </c>
      <c r="M235" s="84" t="str">
        <f>"LogoMasters"</f>
        <v>LogoMasters</v>
      </c>
      <c r="N235" s="84" t="str">
        <f>IF($J235="Item",_xll.NL("first",$J235,"Description","No.","@@"&amp;$K235),"")</f>
        <v/>
      </c>
      <c r="O235" s="83">
        <v>600</v>
      </c>
      <c r="P235" s="83">
        <v>0</v>
      </c>
      <c r="Q235" s="83">
        <v>0</v>
      </c>
      <c r="R235" s="83">
        <v>0</v>
      </c>
      <c r="S235" s="83">
        <v>0</v>
      </c>
      <c r="T235" s="83">
        <v>0</v>
      </c>
      <c r="U235" s="82"/>
    </row>
    <row r="236" spans="1:21" ht="17.25" customHeight="1" x14ac:dyDescent="0.3">
      <c r="A236" s="66" t="s">
        <v>30</v>
      </c>
      <c r="C236" s="67"/>
      <c r="D236" s="77" t="str">
        <f t="shared" ref="D236" si="157">D235</f>
        <v>C100051</v>
      </c>
      <c r="E236" s="77"/>
      <c r="F236" s="76"/>
      <c r="G236" s="76" t="str">
        <f>"""NAV Direct"",""CRONUS JetCorp USA"",""32"",""1"",""114265"""</f>
        <v>"NAV Direct","CRONUS JetCorp USA","32","1","114265"</v>
      </c>
      <c r="H236" s="86">
        <v>43470</v>
      </c>
      <c r="I236" s="85">
        <v>114265</v>
      </c>
      <c r="J236" s="84" t="str">
        <f>"Customer"</f>
        <v>Customer</v>
      </c>
      <c r="K236" s="84" t="str">
        <f>"C100076"</f>
        <v>C100076</v>
      </c>
      <c r="L236" s="84" t="str">
        <f>IF($J236="Customer",_xll.NL("first",$J236,"Name","No.","@@"&amp;$K236),"")</f>
        <v>Showmasters</v>
      </c>
      <c r="M236" s="84" t="str">
        <f>""</f>
        <v/>
      </c>
      <c r="N236" s="84" t="str">
        <f>IF($J236="Item",_xll.NL("first",$J236,"Description","No.","@@"&amp;$K236),"")</f>
        <v/>
      </c>
      <c r="O236" s="83">
        <v>0</v>
      </c>
      <c r="P236" s="83">
        <v>-144</v>
      </c>
      <c r="Q236" s="83">
        <v>0</v>
      </c>
      <c r="R236" s="83">
        <v>0</v>
      </c>
      <c r="S236" s="83">
        <v>0</v>
      </c>
      <c r="T236" s="83">
        <v>0</v>
      </c>
      <c r="U236" s="82"/>
    </row>
    <row r="237" spans="1:21" ht="17.25" customHeight="1" x14ac:dyDescent="0.3">
      <c r="A237" s="66" t="s">
        <v>30</v>
      </c>
      <c r="C237" s="67"/>
      <c r="D237" s="77"/>
      <c r="E237" s="77"/>
      <c r="F237" s="76"/>
      <c r="G237" s="76"/>
      <c r="H237" s="76"/>
      <c r="I237" s="76"/>
      <c r="J237" s="76"/>
      <c r="K237" s="76"/>
      <c r="L237" s="76"/>
      <c r="M237" s="76"/>
      <c r="N237" s="76"/>
      <c r="O237" s="75"/>
      <c r="P237" s="75"/>
      <c r="Q237" s="75"/>
      <c r="R237" s="75"/>
      <c r="S237" s="75"/>
      <c r="T237" s="75"/>
      <c r="U237" s="74"/>
    </row>
    <row r="238" spans="1:21" ht="17.25" customHeight="1" x14ac:dyDescent="0.3">
      <c r="A238" s="66" t="s">
        <v>30</v>
      </c>
      <c r="C238" s="67"/>
      <c r="D238" s="77"/>
      <c r="E238" s="77" t="s">
        <v>31</v>
      </c>
      <c r="F238" s="76" t="s">
        <v>31</v>
      </c>
      <c r="G238" s="76" t="s">
        <v>31</v>
      </c>
      <c r="H238" s="76"/>
      <c r="I238" s="76"/>
      <c r="J238" s="76" t="s">
        <v>31</v>
      </c>
      <c r="K238" s="76" t="s">
        <v>31</v>
      </c>
      <c r="L238" s="76" t="s">
        <v>31</v>
      </c>
      <c r="M238" s="76" t="s">
        <v>31</v>
      </c>
      <c r="N238" s="76"/>
      <c r="U238" s="81"/>
    </row>
    <row r="239" spans="1:21" ht="20.25" customHeight="1" x14ac:dyDescent="0.35">
      <c r="A239" s="66" t="s">
        <v>30</v>
      </c>
      <c r="C239" s="67"/>
      <c r="D239" s="92" t="str">
        <f t="shared" ref="D239" si="158">E239</f>
        <v>C100052</v>
      </c>
      <c r="E239" s="91" t="str">
        <f>"C100052"</f>
        <v>C100052</v>
      </c>
      <c r="F239" s="89" t="str">
        <f>"Black Digital Picture Frame"</f>
        <v>Black Digital Picture Frame</v>
      </c>
      <c r="G239" s="89"/>
      <c r="H239" s="90" t="str">
        <f>"EA"</f>
        <v>EA</v>
      </c>
      <c r="I239" s="89"/>
      <c r="J239" s="89"/>
      <c r="K239" s="89"/>
      <c r="L239" s="89"/>
      <c r="M239" s="89"/>
      <c r="N239" s="89"/>
      <c r="O239" s="88">
        <f>(SUBTOTAL(9,O240:O241))</f>
        <v>300</v>
      </c>
      <c r="P239" s="88">
        <f>(SUBTOTAL(9,P240:P241))</f>
        <v>0</v>
      </c>
      <c r="Q239" s="88">
        <f>(SUBTOTAL(9,Q240:Q241))</f>
        <v>0</v>
      </c>
      <c r="R239" s="88">
        <f>(SUBTOTAL(9,R240:R241))</f>
        <v>0</v>
      </c>
      <c r="S239" s="88">
        <f>(SUBTOTAL(9,S240:S241))</f>
        <v>0</v>
      </c>
      <c r="T239" s="88">
        <f>(SUBTOTAL(9,T240:T241))</f>
        <v>0</v>
      </c>
      <c r="U239" s="87">
        <f t="shared" ref="U239" si="159">SUBTOTAL(9,O240:T241)</f>
        <v>300</v>
      </c>
    </row>
    <row r="240" spans="1:21" ht="17.25" customHeight="1" x14ac:dyDescent="0.3">
      <c r="A240" s="66" t="s">
        <v>30</v>
      </c>
      <c r="C240" s="67"/>
      <c r="D240" s="77" t="str">
        <f t="shared" ref="D240" si="160">D239</f>
        <v>C100052</v>
      </c>
      <c r="E240" s="77"/>
      <c r="F240" s="76"/>
      <c r="G240" s="76" t="str">
        <f>"""NAV Direct"",""CRONUS JetCorp USA"",""32"",""1"",""168047"""</f>
        <v>"NAV Direct","CRONUS JetCorp USA","32","1","168047"</v>
      </c>
      <c r="H240" s="86">
        <v>43466</v>
      </c>
      <c r="I240" s="85">
        <v>168047</v>
      </c>
      <c r="J240" s="84" t="str">
        <f>"Vendor"</f>
        <v>Vendor</v>
      </c>
      <c r="K240" s="84" t="str">
        <f>"V100003"</f>
        <v>V100003</v>
      </c>
      <c r="L240" s="84" t="str">
        <f>IF($J240="Customer",_xll.NL("first",$J240,"Name","No.","@@"&amp;$K240),"")</f>
        <v/>
      </c>
      <c r="M240" s="84" t="str">
        <f>"LogoMasters"</f>
        <v>LogoMasters</v>
      </c>
      <c r="N240" s="84" t="str">
        <f>IF($J240="Item",_xll.NL("first",$J240,"Description","No.","@@"&amp;$K240),"")</f>
        <v/>
      </c>
      <c r="O240" s="83">
        <v>300</v>
      </c>
      <c r="P240" s="83">
        <v>0</v>
      </c>
      <c r="Q240" s="83">
        <v>0</v>
      </c>
      <c r="R240" s="83">
        <v>0</v>
      </c>
      <c r="S240" s="83">
        <v>0</v>
      </c>
      <c r="T240" s="83">
        <v>0</v>
      </c>
      <c r="U240" s="82"/>
    </row>
    <row r="241" spans="1:21" ht="17.25" customHeight="1" x14ac:dyDescent="0.3">
      <c r="A241" s="66" t="s">
        <v>30</v>
      </c>
      <c r="C241" s="67"/>
      <c r="D241" s="77"/>
      <c r="E241" s="77"/>
      <c r="F241" s="76"/>
      <c r="G241" s="76"/>
      <c r="H241" s="76"/>
      <c r="I241" s="76"/>
      <c r="J241" s="76"/>
      <c r="K241" s="76"/>
      <c r="L241" s="76"/>
      <c r="M241" s="76"/>
      <c r="N241" s="76"/>
      <c r="O241" s="75"/>
      <c r="P241" s="75"/>
      <c r="Q241" s="75"/>
      <c r="R241" s="75"/>
      <c r="S241" s="75"/>
      <c r="T241" s="75"/>
      <c r="U241" s="74"/>
    </row>
    <row r="242" spans="1:21" ht="17.25" customHeight="1" x14ac:dyDescent="0.3">
      <c r="A242" s="66" t="s">
        <v>30</v>
      </c>
      <c r="C242" s="67"/>
      <c r="D242" s="77"/>
      <c r="E242" s="77" t="s">
        <v>31</v>
      </c>
      <c r="F242" s="76" t="s">
        <v>31</v>
      </c>
      <c r="G242" s="76" t="s">
        <v>31</v>
      </c>
      <c r="H242" s="76"/>
      <c r="I242" s="76"/>
      <c r="J242" s="76" t="s">
        <v>31</v>
      </c>
      <c r="K242" s="76" t="s">
        <v>31</v>
      </c>
      <c r="L242" s="76" t="s">
        <v>31</v>
      </c>
      <c r="M242" s="76" t="s">
        <v>31</v>
      </c>
      <c r="N242" s="76"/>
      <c r="U242" s="81"/>
    </row>
    <row r="243" spans="1:21" ht="20.25" customHeight="1" x14ac:dyDescent="0.35">
      <c r="A243" s="66" t="s">
        <v>30</v>
      </c>
      <c r="C243" s="67"/>
      <c r="D243" s="92" t="str">
        <f t="shared" ref="D243" si="161">E243</f>
        <v>C100053</v>
      </c>
      <c r="E243" s="91" t="str">
        <f>"C100053"</f>
        <v>C100053</v>
      </c>
      <c r="F243" s="89" t="str">
        <f>"Book Style Photo Frame &amp; Clock"</f>
        <v>Book Style Photo Frame &amp; Clock</v>
      </c>
      <c r="G243" s="89"/>
      <c r="H243" s="90" t="str">
        <f>"EA"</f>
        <v>EA</v>
      </c>
      <c r="I243" s="89"/>
      <c r="J243" s="89"/>
      <c r="K243" s="89"/>
      <c r="L243" s="89"/>
      <c r="M243" s="89"/>
      <c r="N243" s="89"/>
      <c r="O243" s="88">
        <f>(SUBTOTAL(9,O244:O248))</f>
        <v>400</v>
      </c>
      <c r="P243" s="88">
        <f>(SUBTOTAL(9,P244:P248))</f>
        <v>-312</v>
      </c>
      <c r="Q243" s="88">
        <f>(SUBTOTAL(9,Q244:Q248))</f>
        <v>0</v>
      </c>
      <c r="R243" s="88">
        <f>(SUBTOTAL(9,R244:R248))</f>
        <v>0</v>
      </c>
      <c r="S243" s="88">
        <f>(SUBTOTAL(9,S244:S248))</f>
        <v>0</v>
      </c>
      <c r="T243" s="88">
        <f>(SUBTOTAL(9,T244:T248))</f>
        <v>0</v>
      </c>
      <c r="U243" s="87">
        <f t="shared" ref="U243" si="162">SUBTOTAL(9,O244:T248)</f>
        <v>88</v>
      </c>
    </row>
    <row r="244" spans="1:21" ht="17.25" customHeight="1" x14ac:dyDescent="0.3">
      <c r="A244" s="66" t="s">
        <v>30</v>
      </c>
      <c r="C244" s="67"/>
      <c r="D244" s="77" t="str">
        <f t="shared" ref="D244" si="163">D243</f>
        <v>C100053</v>
      </c>
      <c r="E244" s="77"/>
      <c r="F244" s="76"/>
      <c r="G244" s="76" t="str">
        <f>"""NAV Direct"",""CRONUS JetCorp USA"",""32"",""1"",""168046"""</f>
        <v>"NAV Direct","CRONUS JetCorp USA","32","1","168046"</v>
      </c>
      <c r="H244" s="86">
        <v>43466</v>
      </c>
      <c r="I244" s="85">
        <v>168046</v>
      </c>
      <c r="J244" s="84" t="str">
        <f>"Vendor"</f>
        <v>Vendor</v>
      </c>
      <c r="K244" s="84" t="str">
        <f>"V100003"</f>
        <v>V100003</v>
      </c>
      <c r="L244" s="84" t="str">
        <f>IF($J244="Customer",_xll.NL("first",$J244,"Name","No.","@@"&amp;$K244),"")</f>
        <v/>
      </c>
      <c r="M244" s="84" t="str">
        <f>"LogoMasters"</f>
        <v>LogoMasters</v>
      </c>
      <c r="N244" s="84" t="str">
        <f>IF($J244="Item",_xll.NL("first",$J244,"Description","No.","@@"&amp;$K244),"")</f>
        <v/>
      </c>
      <c r="O244" s="83">
        <v>400</v>
      </c>
      <c r="P244" s="83">
        <v>0</v>
      </c>
      <c r="Q244" s="83">
        <v>0</v>
      </c>
      <c r="R244" s="83">
        <v>0</v>
      </c>
      <c r="S244" s="83">
        <v>0</v>
      </c>
      <c r="T244" s="83">
        <v>0</v>
      </c>
      <c r="U244" s="82"/>
    </row>
    <row r="245" spans="1:21" ht="17.25" customHeight="1" x14ac:dyDescent="0.3">
      <c r="A245" s="66" t="s">
        <v>30</v>
      </c>
      <c r="C245" s="67"/>
      <c r="D245" s="77" t="str">
        <f t="shared" ref="D245:D247" si="164">D244</f>
        <v>C100053</v>
      </c>
      <c r="E245" s="77"/>
      <c r="F245" s="76"/>
      <c r="G245" s="76" t="str">
        <f>"""NAV Direct"",""CRONUS JetCorp USA"",""32"",""1"",""116372"""</f>
        <v>"NAV Direct","CRONUS JetCorp USA","32","1","116372"</v>
      </c>
      <c r="H245" s="86">
        <v>43472</v>
      </c>
      <c r="I245" s="85">
        <v>116372</v>
      </c>
      <c r="J245" s="84" t="str">
        <f>"Customer"</f>
        <v>Customer</v>
      </c>
      <c r="K245" s="84" t="str">
        <f>"C100054"</f>
        <v>C100054</v>
      </c>
      <c r="L245" s="84" t="str">
        <f>IF($J245="Customer",_xll.NL("first",$J245,"Name","No.","@@"&amp;$K245),"")</f>
        <v>London Candoxy Storage Campus</v>
      </c>
      <c r="M245" s="84" t="str">
        <f>""</f>
        <v/>
      </c>
      <c r="N245" s="84" t="str">
        <f>IF($J245="Item",_xll.NL("first",$J245,"Description","No.","@@"&amp;$K245),"")</f>
        <v/>
      </c>
      <c r="O245" s="83">
        <v>0</v>
      </c>
      <c r="P245" s="83">
        <v>-24</v>
      </c>
      <c r="Q245" s="83">
        <v>0</v>
      </c>
      <c r="R245" s="83">
        <v>0</v>
      </c>
      <c r="S245" s="83">
        <v>0</v>
      </c>
      <c r="T245" s="83">
        <v>0</v>
      </c>
      <c r="U245" s="82"/>
    </row>
    <row r="246" spans="1:21" ht="17.25" customHeight="1" x14ac:dyDescent="0.3">
      <c r="A246" s="66" t="s">
        <v>30</v>
      </c>
      <c r="C246" s="67"/>
      <c r="D246" s="77" t="str">
        <f t="shared" si="164"/>
        <v>C100053</v>
      </c>
      <c r="E246" s="77"/>
      <c r="F246" s="76"/>
      <c r="G246" s="76" t="str">
        <f>"""NAV Direct"",""CRONUS JetCorp USA"",""32"",""1"",""7584"""</f>
        <v>"NAV Direct","CRONUS JetCorp USA","32","1","7584"</v>
      </c>
      <c r="H246" s="86">
        <v>43476</v>
      </c>
      <c r="I246" s="85">
        <v>7584</v>
      </c>
      <c r="J246" s="84" t="str">
        <f>"Customer"</f>
        <v>Customer</v>
      </c>
      <c r="K246" s="84" t="str">
        <f>"C100030"</f>
        <v>C100030</v>
      </c>
      <c r="L246" s="84" t="str">
        <f>IF($J246="Customer",_xll.NL("first",$J246,"Name","No.","@@"&amp;$K246),"")</f>
        <v>Stutringers</v>
      </c>
      <c r="M246" s="84" t="str">
        <f>""</f>
        <v/>
      </c>
      <c r="N246" s="84" t="str">
        <f>IF($J246="Item",_xll.NL("first",$J246,"Description","No.","@@"&amp;$K246),"")</f>
        <v/>
      </c>
      <c r="O246" s="83">
        <v>0</v>
      </c>
      <c r="P246" s="83">
        <v>-144</v>
      </c>
      <c r="Q246" s="83">
        <v>0</v>
      </c>
      <c r="R246" s="83">
        <v>0</v>
      </c>
      <c r="S246" s="83">
        <v>0</v>
      </c>
      <c r="T246" s="83">
        <v>0</v>
      </c>
      <c r="U246" s="82"/>
    </row>
    <row r="247" spans="1:21" ht="17.25" customHeight="1" x14ac:dyDescent="0.3">
      <c r="A247" s="66" t="s">
        <v>30</v>
      </c>
      <c r="C247" s="67"/>
      <c r="D247" s="77" t="str">
        <f t="shared" si="164"/>
        <v>C100053</v>
      </c>
      <c r="E247" s="77"/>
      <c r="F247" s="76"/>
      <c r="G247" s="76" t="str">
        <f>"""NAV Direct"",""CRONUS JetCorp USA"",""32"",""1"",""10229"""</f>
        <v>"NAV Direct","CRONUS JetCorp USA","32","1","10229"</v>
      </c>
      <c r="H247" s="86">
        <v>43477</v>
      </c>
      <c r="I247" s="85">
        <v>10229</v>
      </c>
      <c r="J247" s="84" t="str">
        <f>"Customer"</f>
        <v>Customer</v>
      </c>
      <c r="K247" s="84" t="str">
        <f>"C100054"</f>
        <v>C100054</v>
      </c>
      <c r="L247" s="84" t="str">
        <f>IF($J247="Customer",_xll.NL("first",$J247,"Name","No.","@@"&amp;$K247),"")</f>
        <v>London Candoxy Storage Campus</v>
      </c>
      <c r="M247" s="84" t="str">
        <f>""</f>
        <v/>
      </c>
      <c r="N247" s="84" t="str">
        <f>IF($J247="Item",_xll.NL("first",$J247,"Description","No.","@@"&amp;$K247),"")</f>
        <v/>
      </c>
      <c r="O247" s="83">
        <v>0</v>
      </c>
      <c r="P247" s="83">
        <v>-144</v>
      </c>
      <c r="Q247" s="83">
        <v>0</v>
      </c>
      <c r="R247" s="83">
        <v>0</v>
      </c>
      <c r="S247" s="83">
        <v>0</v>
      </c>
      <c r="T247" s="83">
        <v>0</v>
      </c>
      <c r="U247" s="82"/>
    </row>
    <row r="248" spans="1:21" ht="17.25" customHeight="1" x14ac:dyDescent="0.3">
      <c r="A248" s="66" t="s">
        <v>30</v>
      </c>
      <c r="C248" s="67"/>
      <c r="D248" s="77"/>
      <c r="E248" s="77"/>
      <c r="F248" s="76"/>
      <c r="G248" s="76"/>
      <c r="H248" s="76"/>
      <c r="I248" s="76"/>
      <c r="J248" s="76"/>
      <c r="K248" s="76"/>
      <c r="L248" s="76"/>
      <c r="M248" s="76"/>
      <c r="N248" s="76"/>
      <c r="O248" s="75"/>
      <c r="P248" s="75"/>
      <c r="Q248" s="75"/>
      <c r="R248" s="75"/>
      <c r="S248" s="75"/>
      <c r="T248" s="75"/>
      <c r="U248" s="74"/>
    </row>
    <row r="249" spans="1:21" ht="17.25" customHeight="1" x14ac:dyDescent="0.3">
      <c r="A249" s="66" t="s">
        <v>30</v>
      </c>
      <c r="C249" s="67"/>
      <c r="D249" s="77"/>
      <c r="E249" s="77" t="s">
        <v>31</v>
      </c>
      <c r="F249" s="76" t="s">
        <v>31</v>
      </c>
      <c r="G249" s="76" t="s">
        <v>31</v>
      </c>
      <c r="H249" s="76"/>
      <c r="I249" s="76"/>
      <c r="J249" s="76" t="s">
        <v>31</v>
      </c>
      <c r="K249" s="76" t="s">
        <v>31</v>
      </c>
      <c r="L249" s="76" t="s">
        <v>31</v>
      </c>
      <c r="M249" s="76" t="s">
        <v>31</v>
      </c>
      <c r="N249" s="76"/>
      <c r="U249" s="81"/>
    </row>
    <row r="250" spans="1:21" ht="20.25" customHeight="1" x14ac:dyDescent="0.35">
      <c r="A250" s="66" t="s">
        <v>30</v>
      </c>
      <c r="C250" s="67"/>
      <c r="D250" s="92" t="str">
        <f t="shared" ref="D250" si="165">E250</f>
        <v>C100054</v>
      </c>
      <c r="E250" s="91" t="str">
        <f>"C100054"</f>
        <v>C100054</v>
      </c>
      <c r="F250" s="89" t="str">
        <f>"Cherry Finish Photo Frame &amp; Clock"</f>
        <v>Cherry Finish Photo Frame &amp; Clock</v>
      </c>
      <c r="G250" s="89"/>
      <c r="H250" s="90" t="str">
        <f>"EA"</f>
        <v>EA</v>
      </c>
      <c r="I250" s="89"/>
      <c r="J250" s="89"/>
      <c r="K250" s="89"/>
      <c r="L250" s="89"/>
      <c r="M250" s="89"/>
      <c r="N250" s="89"/>
      <c r="O250" s="88">
        <f>(SUBTOTAL(9,O251:O255))</f>
        <v>400</v>
      </c>
      <c r="P250" s="88">
        <f>(SUBTOTAL(9,P251:P255))</f>
        <v>-246</v>
      </c>
      <c r="Q250" s="88">
        <f>(SUBTOTAL(9,Q251:Q255))</f>
        <v>0</v>
      </c>
      <c r="R250" s="88">
        <f>(SUBTOTAL(9,R251:R255))</f>
        <v>0</v>
      </c>
      <c r="S250" s="88">
        <f>(SUBTOTAL(9,S251:S255))</f>
        <v>0</v>
      </c>
      <c r="T250" s="88">
        <f>(SUBTOTAL(9,T251:T255))</f>
        <v>0</v>
      </c>
      <c r="U250" s="87">
        <f t="shared" ref="U250" si="166">SUBTOTAL(9,O251:T255)</f>
        <v>154</v>
      </c>
    </row>
    <row r="251" spans="1:21" ht="17.25" customHeight="1" x14ac:dyDescent="0.3">
      <c r="A251" s="66" t="s">
        <v>30</v>
      </c>
      <c r="C251" s="67"/>
      <c r="D251" s="77" t="str">
        <f t="shared" ref="D251" si="167">D250</f>
        <v>C100054</v>
      </c>
      <c r="E251" s="77"/>
      <c r="F251" s="76"/>
      <c r="G251" s="76" t="str">
        <f>"""NAV Direct"",""CRONUS JetCorp USA"",""32"",""1"",""168045"""</f>
        <v>"NAV Direct","CRONUS JetCorp USA","32","1","168045"</v>
      </c>
      <c r="H251" s="86">
        <v>43466</v>
      </c>
      <c r="I251" s="85">
        <v>168045</v>
      </c>
      <c r="J251" s="84" t="str">
        <f>"Vendor"</f>
        <v>Vendor</v>
      </c>
      <c r="K251" s="84" t="str">
        <f>"V100003"</f>
        <v>V100003</v>
      </c>
      <c r="L251" s="84" t="str">
        <f>IF($J251="Customer",_xll.NL("first",$J251,"Name","No.","@@"&amp;$K251),"")</f>
        <v/>
      </c>
      <c r="M251" s="84" t="str">
        <f>"LogoMasters"</f>
        <v>LogoMasters</v>
      </c>
      <c r="N251" s="84" t="str">
        <f>IF($J251="Item",_xll.NL("first",$J251,"Description","No.","@@"&amp;$K251),"")</f>
        <v/>
      </c>
      <c r="O251" s="83">
        <v>400</v>
      </c>
      <c r="P251" s="83">
        <v>0</v>
      </c>
      <c r="Q251" s="83">
        <v>0</v>
      </c>
      <c r="R251" s="83">
        <v>0</v>
      </c>
      <c r="S251" s="83">
        <v>0</v>
      </c>
      <c r="T251" s="83">
        <v>0</v>
      </c>
      <c r="U251" s="82"/>
    </row>
    <row r="252" spans="1:21" ht="17.25" customHeight="1" x14ac:dyDescent="0.3">
      <c r="A252" s="66" t="s">
        <v>30</v>
      </c>
      <c r="C252" s="67"/>
      <c r="D252" s="77" t="str">
        <f t="shared" ref="D252:D254" si="168">D251</f>
        <v>C100054</v>
      </c>
      <c r="E252" s="77"/>
      <c r="F252" s="76"/>
      <c r="G252" s="76" t="str">
        <f>"""NAV Direct"",""CRONUS JetCorp USA"",""32"",""1"",""114267"""</f>
        <v>"NAV Direct","CRONUS JetCorp USA","32","1","114267"</v>
      </c>
      <c r="H252" s="86">
        <v>43470</v>
      </c>
      <c r="I252" s="85">
        <v>114267</v>
      </c>
      <c r="J252" s="84" t="str">
        <f>"Customer"</f>
        <v>Customer</v>
      </c>
      <c r="K252" s="84" t="str">
        <f>"C100076"</f>
        <v>C100076</v>
      </c>
      <c r="L252" s="84" t="str">
        <f>IF($J252="Customer",_xll.NL("first",$J252,"Name","No.","@@"&amp;$K252),"")</f>
        <v>Showmasters</v>
      </c>
      <c r="M252" s="84" t="str">
        <f>""</f>
        <v/>
      </c>
      <c r="N252" s="84" t="str">
        <f>IF($J252="Item",_xll.NL("first",$J252,"Description","No.","@@"&amp;$K252),"")</f>
        <v/>
      </c>
      <c r="O252" s="83">
        <v>0</v>
      </c>
      <c r="P252" s="83">
        <v>-54</v>
      </c>
      <c r="Q252" s="83">
        <v>0</v>
      </c>
      <c r="R252" s="83">
        <v>0</v>
      </c>
      <c r="S252" s="83">
        <v>0</v>
      </c>
      <c r="T252" s="83">
        <v>0</v>
      </c>
      <c r="U252" s="82"/>
    </row>
    <row r="253" spans="1:21" ht="17.25" customHeight="1" x14ac:dyDescent="0.3">
      <c r="A253" s="66" t="s">
        <v>30</v>
      </c>
      <c r="C253" s="67"/>
      <c r="D253" s="77" t="str">
        <f t="shared" si="168"/>
        <v>C100054</v>
      </c>
      <c r="E253" s="77"/>
      <c r="F253" s="76"/>
      <c r="G253" s="76" t="str">
        <f>"""NAV Direct"",""CRONUS JetCorp USA"",""32"",""1"",""114276"""</f>
        <v>"NAV Direct","CRONUS JetCorp USA","32","1","114276"</v>
      </c>
      <c r="H253" s="86">
        <v>43474</v>
      </c>
      <c r="I253" s="85">
        <v>114276</v>
      </c>
      <c r="J253" s="84" t="str">
        <f>"Customer"</f>
        <v>Customer</v>
      </c>
      <c r="K253" s="84" t="str">
        <f>"C100076"</f>
        <v>C100076</v>
      </c>
      <c r="L253" s="84" t="str">
        <f>IF($J253="Customer",_xll.NL("first",$J253,"Name","No.","@@"&amp;$K253),"")</f>
        <v>Showmasters</v>
      </c>
      <c r="M253" s="84" t="str">
        <f>""</f>
        <v/>
      </c>
      <c r="N253" s="84" t="str">
        <f>IF($J253="Item",_xll.NL("first",$J253,"Description","No.","@@"&amp;$K253),"")</f>
        <v/>
      </c>
      <c r="O253" s="83">
        <v>0</v>
      </c>
      <c r="P253" s="83">
        <v>-144</v>
      </c>
      <c r="Q253" s="83">
        <v>0</v>
      </c>
      <c r="R253" s="83">
        <v>0</v>
      </c>
      <c r="S253" s="83">
        <v>0</v>
      </c>
      <c r="T253" s="83">
        <v>0</v>
      </c>
      <c r="U253" s="82"/>
    </row>
    <row r="254" spans="1:21" ht="17.25" customHeight="1" x14ac:dyDescent="0.3">
      <c r="A254" s="66" t="s">
        <v>30</v>
      </c>
      <c r="C254" s="67"/>
      <c r="D254" s="77" t="str">
        <f t="shared" si="168"/>
        <v>C100054</v>
      </c>
      <c r="E254" s="77"/>
      <c r="F254" s="76"/>
      <c r="G254" s="76" t="str">
        <f>"""NAV Direct"",""CRONUS JetCorp USA"",""32"",""1"",""7586"""</f>
        <v>"NAV Direct","CRONUS JetCorp USA","32","1","7586"</v>
      </c>
      <c r="H254" s="86">
        <v>43476</v>
      </c>
      <c r="I254" s="85">
        <v>7586</v>
      </c>
      <c r="J254" s="84" t="str">
        <f>"Customer"</f>
        <v>Customer</v>
      </c>
      <c r="K254" s="84" t="str">
        <f>"C100030"</f>
        <v>C100030</v>
      </c>
      <c r="L254" s="84" t="str">
        <f>IF($J254="Customer",_xll.NL("first",$J254,"Name","No.","@@"&amp;$K254),"")</f>
        <v>Stutringers</v>
      </c>
      <c r="M254" s="84" t="str">
        <f>""</f>
        <v/>
      </c>
      <c r="N254" s="84" t="str">
        <f>IF($J254="Item",_xll.NL("first",$J254,"Description","No.","@@"&amp;$K254),"")</f>
        <v/>
      </c>
      <c r="O254" s="83">
        <v>0</v>
      </c>
      <c r="P254" s="83">
        <v>-48</v>
      </c>
      <c r="Q254" s="83">
        <v>0</v>
      </c>
      <c r="R254" s="83">
        <v>0</v>
      </c>
      <c r="S254" s="83">
        <v>0</v>
      </c>
      <c r="T254" s="83">
        <v>0</v>
      </c>
      <c r="U254" s="82"/>
    </row>
    <row r="255" spans="1:21" ht="17.25" customHeight="1" x14ac:dyDescent="0.3">
      <c r="A255" s="66" t="s">
        <v>30</v>
      </c>
      <c r="C255" s="67"/>
      <c r="D255" s="77"/>
      <c r="E255" s="77"/>
      <c r="F255" s="76"/>
      <c r="G255" s="76"/>
      <c r="H255" s="76"/>
      <c r="I255" s="76"/>
      <c r="J255" s="76"/>
      <c r="K255" s="76"/>
      <c r="L255" s="76"/>
      <c r="M255" s="76"/>
      <c r="N255" s="76"/>
      <c r="O255" s="75"/>
      <c r="P255" s="75"/>
      <c r="Q255" s="75"/>
      <c r="R255" s="75"/>
      <c r="S255" s="75"/>
      <c r="T255" s="75"/>
      <c r="U255" s="74"/>
    </row>
    <row r="256" spans="1:21" ht="17.25" customHeight="1" x14ac:dyDescent="0.3">
      <c r="A256" s="66" t="s">
        <v>30</v>
      </c>
      <c r="C256" s="67"/>
      <c r="D256" s="77"/>
      <c r="E256" s="77" t="s">
        <v>31</v>
      </c>
      <c r="F256" s="76" t="s">
        <v>31</v>
      </c>
      <c r="G256" s="76" t="s">
        <v>31</v>
      </c>
      <c r="H256" s="76"/>
      <c r="I256" s="76"/>
      <c r="J256" s="76" t="s">
        <v>31</v>
      </c>
      <c r="K256" s="76" t="s">
        <v>31</v>
      </c>
      <c r="L256" s="76" t="s">
        <v>31</v>
      </c>
      <c r="M256" s="76" t="s">
        <v>31</v>
      </c>
      <c r="N256" s="76"/>
      <c r="U256" s="81"/>
    </row>
    <row r="257" spans="1:21" ht="20.25" customHeight="1" x14ac:dyDescent="0.35">
      <c r="A257" s="66" t="s">
        <v>30</v>
      </c>
      <c r="C257" s="67"/>
      <c r="D257" s="92" t="str">
        <f t="shared" ref="D257" si="169">E257</f>
        <v>C100055</v>
      </c>
      <c r="E257" s="91" t="str">
        <f>"C100055"</f>
        <v>C100055</v>
      </c>
      <c r="F257" s="89" t="str">
        <f>"Silver Plated Photo Frame"</f>
        <v>Silver Plated Photo Frame</v>
      </c>
      <c r="G257" s="89"/>
      <c r="H257" s="90" t="str">
        <f>"EA"</f>
        <v>EA</v>
      </c>
      <c r="I257" s="89"/>
      <c r="J257" s="89"/>
      <c r="K257" s="89"/>
      <c r="L257" s="89"/>
      <c r="M257" s="89"/>
      <c r="N257" s="89"/>
      <c r="O257" s="88">
        <f>(SUBTOTAL(9,O258:O261))</f>
        <v>200</v>
      </c>
      <c r="P257" s="88">
        <f>(SUBTOTAL(9,P258:P261))</f>
        <v>-13</v>
      </c>
      <c r="Q257" s="88">
        <f>(SUBTOTAL(9,Q258:Q261))</f>
        <v>0</v>
      </c>
      <c r="R257" s="88">
        <f>(SUBTOTAL(9,R258:R261))</f>
        <v>0</v>
      </c>
      <c r="S257" s="88">
        <f>(SUBTOTAL(9,S258:S261))</f>
        <v>0</v>
      </c>
      <c r="T257" s="88">
        <f>(SUBTOTAL(9,T258:T261))</f>
        <v>0</v>
      </c>
      <c r="U257" s="87">
        <f t="shared" ref="U257" si="170">SUBTOTAL(9,O258:T261)</f>
        <v>187</v>
      </c>
    </row>
    <row r="258" spans="1:21" ht="17.25" customHeight="1" x14ac:dyDescent="0.3">
      <c r="A258" s="66" t="s">
        <v>30</v>
      </c>
      <c r="C258" s="67"/>
      <c r="D258" s="77" t="str">
        <f t="shared" ref="D258" si="171">D257</f>
        <v>C100055</v>
      </c>
      <c r="E258" s="77"/>
      <c r="F258" s="76"/>
      <c r="G258" s="76" t="str">
        <f>"""NAV Direct"",""CRONUS JetCorp USA"",""32"",""1"",""168044"""</f>
        <v>"NAV Direct","CRONUS JetCorp USA","32","1","168044"</v>
      </c>
      <c r="H258" s="86">
        <v>43466</v>
      </c>
      <c r="I258" s="85">
        <v>168044</v>
      </c>
      <c r="J258" s="84" t="str">
        <f>"Vendor"</f>
        <v>Vendor</v>
      </c>
      <c r="K258" s="84" t="str">
        <f>"V100003"</f>
        <v>V100003</v>
      </c>
      <c r="L258" s="84" t="str">
        <f>IF($J258="Customer",_xll.NL("first",$J258,"Name","No.","@@"&amp;$K258),"")</f>
        <v/>
      </c>
      <c r="M258" s="84" t="str">
        <f>"LogoMasters"</f>
        <v>LogoMasters</v>
      </c>
      <c r="N258" s="84" t="str">
        <f>IF($J258="Item",_xll.NL("first",$J258,"Description","No.","@@"&amp;$K258),"")</f>
        <v/>
      </c>
      <c r="O258" s="83">
        <v>200</v>
      </c>
      <c r="P258" s="83">
        <v>0</v>
      </c>
      <c r="Q258" s="83">
        <v>0</v>
      </c>
      <c r="R258" s="83">
        <v>0</v>
      </c>
      <c r="S258" s="83">
        <v>0</v>
      </c>
      <c r="T258" s="83">
        <v>0</v>
      </c>
      <c r="U258" s="82"/>
    </row>
    <row r="259" spans="1:21" ht="17.25" customHeight="1" x14ac:dyDescent="0.3">
      <c r="A259" s="66" t="s">
        <v>30</v>
      </c>
      <c r="C259" s="67"/>
      <c r="D259" s="77" t="str">
        <f t="shared" ref="D259:D260" si="172">D258</f>
        <v>C100055</v>
      </c>
      <c r="E259" s="77"/>
      <c r="F259" s="76"/>
      <c r="G259" s="76" t="str">
        <f>"""NAV Direct"",""CRONUS JetCorp USA"",""32"",""1"",""7587"""</f>
        <v>"NAV Direct","CRONUS JetCorp USA","32","1","7587"</v>
      </c>
      <c r="H259" s="86">
        <v>43476</v>
      </c>
      <c r="I259" s="85">
        <v>7587</v>
      </c>
      <c r="J259" s="84" t="str">
        <f>"Customer"</f>
        <v>Customer</v>
      </c>
      <c r="K259" s="84" t="str">
        <f>"C100030"</f>
        <v>C100030</v>
      </c>
      <c r="L259" s="84" t="str">
        <f>IF($J259="Customer",_xll.NL("first",$J259,"Name","No.","@@"&amp;$K259),"")</f>
        <v>Stutringers</v>
      </c>
      <c r="M259" s="84" t="str">
        <f>""</f>
        <v/>
      </c>
      <c r="N259" s="84" t="str">
        <f>IF($J259="Item",_xll.NL("first",$J259,"Description","No.","@@"&amp;$K259),"")</f>
        <v/>
      </c>
      <c r="O259" s="83">
        <v>0</v>
      </c>
      <c r="P259" s="83">
        <v>-12</v>
      </c>
      <c r="Q259" s="83">
        <v>0</v>
      </c>
      <c r="R259" s="83">
        <v>0</v>
      </c>
      <c r="S259" s="83">
        <v>0</v>
      </c>
      <c r="T259" s="83">
        <v>0</v>
      </c>
      <c r="U259" s="82"/>
    </row>
    <row r="260" spans="1:21" ht="17.25" customHeight="1" x14ac:dyDescent="0.3">
      <c r="A260" s="66" t="s">
        <v>30</v>
      </c>
      <c r="C260" s="67"/>
      <c r="D260" s="77" t="str">
        <f t="shared" si="172"/>
        <v>C100055</v>
      </c>
      <c r="E260" s="77"/>
      <c r="F260" s="76"/>
      <c r="G260" s="76" t="str">
        <f>"""NAV Direct"",""CRONUS JetCorp USA"",""32"",""1"",""10233"""</f>
        <v>"NAV Direct","CRONUS JetCorp USA","32","1","10233"</v>
      </c>
      <c r="H260" s="86">
        <v>43477</v>
      </c>
      <c r="I260" s="85">
        <v>10233</v>
      </c>
      <c r="J260" s="84" t="str">
        <f>"Customer"</f>
        <v>Customer</v>
      </c>
      <c r="K260" s="84" t="str">
        <f>"C100054"</f>
        <v>C100054</v>
      </c>
      <c r="L260" s="84" t="str">
        <f>IF($J260="Customer",_xll.NL("first",$J260,"Name","No.","@@"&amp;$K260),"")</f>
        <v>London Candoxy Storage Campus</v>
      </c>
      <c r="M260" s="84" t="str">
        <f>""</f>
        <v/>
      </c>
      <c r="N260" s="84" t="str">
        <f>IF($J260="Item",_xll.NL("first",$J260,"Description","No.","@@"&amp;$K260),"")</f>
        <v/>
      </c>
      <c r="O260" s="83">
        <v>0</v>
      </c>
      <c r="P260" s="83">
        <v>-1</v>
      </c>
      <c r="Q260" s="83">
        <v>0</v>
      </c>
      <c r="R260" s="83">
        <v>0</v>
      </c>
      <c r="S260" s="83">
        <v>0</v>
      </c>
      <c r="T260" s="83">
        <v>0</v>
      </c>
      <c r="U260" s="82"/>
    </row>
    <row r="261" spans="1:21" ht="17.25" customHeight="1" x14ac:dyDescent="0.3">
      <c r="A261" s="66" t="s">
        <v>30</v>
      </c>
      <c r="C261" s="67"/>
      <c r="D261" s="77"/>
      <c r="E261" s="77"/>
      <c r="F261" s="76"/>
      <c r="G261" s="76"/>
      <c r="H261" s="76"/>
      <c r="I261" s="76"/>
      <c r="J261" s="76"/>
      <c r="K261" s="76"/>
      <c r="L261" s="76"/>
      <c r="M261" s="76"/>
      <c r="N261" s="76"/>
      <c r="O261" s="75"/>
      <c r="P261" s="75"/>
      <c r="Q261" s="75"/>
      <c r="R261" s="75"/>
      <c r="S261" s="75"/>
      <c r="T261" s="75"/>
      <c r="U261" s="74"/>
    </row>
    <row r="262" spans="1:21" ht="17.25" customHeight="1" x14ac:dyDescent="0.3">
      <c r="A262" s="66" t="s">
        <v>30</v>
      </c>
      <c r="C262" s="67"/>
      <c r="D262" s="77"/>
      <c r="E262" s="77" t="s">
        <v>31</v>
      </c>
      <c r="F262" s="76" t="s">
        <v>31</v>
      </c>
      <c r="G262" s="76" t="s">
        <v>31</v>
      </c>
      <c r="H262" s="76"/>
      <c r="I262" s="76"/>
      <c r="J262" s="76" t="s">
        <v>31</v>
      </c>
      <c r="K262" s="76" t="s">
        <v>31</v>
      </c>
      <c r="L262" s="76" t="s">
        <v>31</v>
      </c>
      <c r="M262" s="76" t="s">
        <v>31</v>
      </c>
      <c r="N262" s="76"/>
      <c r="U262" s="81"/>
    </row>
    <row r="263" spans="1:21" ht="20.25" customHeight="1" x14ac:dyDescent="0.35">
      <c r="A263" s="66" t="s">
        <v>30</v>
      </c>
      <c r="C263" s="67"/>
      <c r="D263" s="92" t="str">
        <f t="shared" ref="D263" si="173">E263</f>
        <v>C100056</v>
      </c>
      <c r="E263" s="91" t="str">
        <f>"C100056"</f>
        <v>C100056</v>
      </c>
      <c r="F263" s="89" t="str">
        <f>"Contemporary Desk Calculator"</f>
        <v>Contemporary Desk Calculator</v>
      </c>
      <c r="G263" s="89"/>
      <c r="H263" s="90" t="str">
        <f>"EA"</f>
        <v>EA</v>
      </c>
      <c r="I263" s="89"/>
      <c r="J263" s="89"/>
      <c r="K263" s="89"/>
      <c r="L263" s="89"/>
      <c r="M263" s="89"/>
      <c r="N263" s="89"/>
      <c r="O263" s="88">
        <f>(SUBTOTAL(9,O264:O265))</f>
        <v>1250</v>
      </c>
      <c r="P263" s="88">
        <f>(SUBTOTAL(9,P264:P265))</f>
        <v>0</v>
      </c>
      <c r="Q263" s="88">
        <f>(SUBTOTAL(9,Q264:Q265))</f>
        <v>0</v>
      </c>
      <c r="R263" s="88">
        <f>(SUBTOTAL(9,R264:R265))</f>
        <v>0</v>
      </c>
      <c r="S263" s="88">
        <f>(SUBTOTAL(9,S264:S265))</f>
        <v>0</v>
      </c>
      <c r="T263" s="88">
        <f>(SUBTOTAL(9,T264:T265))</f>
        <v>0</v>
      </c>
      <c r="U263" s="87">
        <f t="shared" ref="U263" si="174">SUBTOTAL(9,O264:T265)</f>
        <v>1250</v>
      </c>
    </row>
    <row r="264" spans="1:21" ht="17.25" customHeight="1" x14ac:dyDescent="0.3">
      <c r="A264" s="66" t="s">
        <v>30</v>
      </c>
      <c r="C264" s="67"/>
      <c r="D264" s="77" t="str">
        <f t="shared" ref="D264" si="175">D263</f>
        <v>C100056</v>
      </c>
      <c r="E264" s="77"/>
      <c r="F264" s="76"/>
      <c r="G264" s="76" t="str">
        <f>"""NAV Direct"",""CRONUS JetCorp USA"",""32"",""1"",""168360"""</f>
        <v>"NAV Direct","CRONUS JetCorp USA","32","1","168360"</v>
      </c>
      <c r="H264" s="86">
        <v>43466</v>
      </c>
      <c r="I264" s="85">
        <v>168360</v>
      </c>
      <c r="J264" s="84" t="str">
        <f>"Vendor"</f>
        <v>Vendor</v>
      </c>
      <c r="K264" s="84" t="str">
        <f>"V100003"</f>
        <v>V100003</v>
      </c>
      <c r="L264" s="84" t="str">
        <f>IF($J264="Customer",_xll.NL("first",$J264,"Name","No.","@@"&amp;$K264),"")</f>
        <v/>
      </c>
      <c r="M264" s="84" t="str">
        <f>"LogoMasters"</f>
        <v>LogoMasters</v>
      </c>
      <c r="N264" s="84" t="str">
        <f>IF($J264="Item",_xll.NL("first",$J264,"Description","No.","@@"&amp;$K264),"")</f>
        <v/>
      </c>
      <c r="O264" s="83">
        <v>1250</v>
      </c>
      <c r="P264" s="83">
        <v>0</v>
      </c>
      <c r="Q264" s="83">
        <v>0</v>
      </c>
      <c r="R264" s="83">
        <v>0</v>
      </c>
      <c r="S264" s="83">
        <v>0</v>
      </c>
      <c r="T264" s="83">
        <v>0</v>
      </c>
      <c r="U264" s="82"/>
    </row>
    <row r="265" spans="1:21" ht="17.25" customHeight="1" x14ac:dyDescent="0.3">
      <c r="A265" s="66" t="s">
        <v>30</v>
      </c>
      <c r="C265" s="67"/>
      <c r="D265" s="77"/>
      <c r="E265" s="77"/>
      <c r="F265" s="76"/>
      <c r="G265" s="76"/>
      <c r="H265" s="76"/>
      <c r="I265" s="76"/>
      <c r="J265" s="76"/>
      <c r="K265" s="76"/>
      <c r="L265" s="76"/>
      <c r="M265" s="76"/>
      <c r="N265" s="76"/>
      <c r="O265" s="75"/>
      <c r="P265" s="75"/>
      <c r="Q265" s="75"/>
      <c r="R265" s="75"/>
      <c r="S265" s="75"/>
      <c r="T265" s="75"/>
      <c r="U265" s="74"/>
    </row>
    <row r="266" spans="1:21" ht="17.25" customHeight="1" x14ac:dyDescent="0.3">
      <c r="A266" s="66" t="s">
        <v>30</v>
      </c>
      <c r="C266" s="67"/>
      <c r="D266" s="77"/>
      <c r="E266" s="77" t="s">
        <v>31</v>
      </c>
      <c r="F266" s="76" t="s">
        <v>31</v>
      </c>
      <c r="G266" s="76" t="s">
        <v>31</v>
      </c>
      <c r="H266" s="76"/>
      <c r="I266" s="76"/>
      <c r="J266" s="76" t="s">
        <v>31</v>
      </c>
      <c r="K266" s="76" t="s">
        <v>31</v>
      </c>
      <c r="L266" s="76" t="s">
        <v>31</v>
      </c>
      <c r="M266" s="76" t="s">
        <v>31</v>
      </c>
      <c r="N266" s="76"/>
      <c r="U266" s="81"/>
    </row>
    <row r="267" spans="1:21" ht="20.25" customHeight="1" x14ac:dyDescent="0.35">
      <c r="A267" s="66" t="s">
        <v>30</v>
      </c>
      <c r="C267" s="67"/>
      <c r="D267" s="92" t="str">
        <f t="shared" ref="D267" si="176">E267</f>
        <v>C100061</v>
      </c>
      <c r="E267" s="91" t="str">
        <f>"C100061"</f>
        <v>C100061</v>
      </c>
      <c r="F267" s="89" t="str">
        <f>"Bistro Mug"</f>
        <v>Bistro Mug</v>
      </c>
      <c r="G267" s="89"/>
      <c r="H267" s="90" t="str">
        <f>"EA"</f>
        <v>EA</v>
      </c>
      <c r="I267" s="89"/>
      <c r="J267" s="89"/>
      <c r="K267" s="89"/>
      <c r="L267" s="89"/>
      <c r="M267" s="89"/>
      <c r="N267" s="89"/>
      <c r="O267" s="88">
        <f>(SUBTOTAL(9,O268:O269))</f>
        <v>750</v>
      </c>
      <c r="P267" s="88">
        <f>(SUBTOTAL(9,P268:P269))</f>
        <v>0</v>
      </c>
      <c r="Q267" s="88">
        <f>(SUBTOTAL(9,Q268:Q269))</f>
        <v>0</v>
      </c>
      <c r="R267" s="88">
        <f>(SUBTOTAL(9,R268:R269))</f>
        <v>0</v>
      </c>
      <c r="S267" s="88">
        <f>(SUBTOTAL(9,S268:S269))</f>
        <v>0</v>
      </c>
      <c r="T267" s="88">
        <f>(SUBTOTAL(9,T268:T269))</f>
        <v>0</v>
      </c>
      <c r="U267" s="87">
        <f t="shared" ref="U267" si="177">SUBTOTAL(9,O268:T269)</f>
        <v>750</v>
      </c>
    </row>
    <row r="268" spans="1:21" ht="17.25" customHeight="1" x14ac:dyDescent="0.3">
      <c r="A268" s="66" t="s">
        <v>30</v>
      </c>
      <c r="C268" s="67"/>
      <c r="D268" s="77" t="str">
        <f t="shared" ref="D268" si="178">D267</f>
        <v>C100061</v>
      </c>
      <c r="E268" s="77"/>
      <c r="F268" s="76"/>
      <c r="G268" s="76" t="str">
        <f>"""NAV Direct"",""CRONUS JetCorp USA"",""32"",""1"",""168670"""</f>
        <v>"NAV Direct","CRONUS JetCorp USA","32","1","168670"</v>
      </c>
      <c r="H268" s="86">
        <v>43466</v>
      </c>
      <c r="I268" s="85">
        <v>168670</v>
      </c>
      <c r="J268" s="84" t="str">
        <f>"Vendor"</f>
        <v>Vendor</v>
      </c>
      <c r="K268" s="84" t="str">
        <f>"V100003"</f>
        <v>V100003</v>
      </c>
      <c r="L268" s="84" t="str">
        <f>IF($J268="Customer",_xll.NL("first",$J268,"Name","No.","@@"&amp;$K268),"")</f>
        <v/>
      </c>
      <c r="M268" s="84" t="str">
        <f>"LogoMasters"</f>
        <v>LogoMasters</v>
      </c>
      <c r="N268" s="84" t="str">
        <f>IF($J268="Item",_xll.NL("first",$J268,"Description","No.","@@"&amp;$K268),"")</f>
        <v/>
      </c>
      <c r="O268" s="83">
        <v>750</v>
      </c>
      <c r="P268" s="83">
        <v>0</v>
      </c>
      <c r="Q268" s="83">
        <v>0</v>
      </c>
      <c r="R268" s="83">
        <v>0</v>
      </c>
      <c r="S268" s="83">
        <v>0</v>
      </c>
      <c r="T268" s="83">
        <v>0</v>
      </c>
      <c r="U268" s="82"/>
    </row>
    <row r="269" spans="1:21" ht="17.25" customHeight="1" x14ac:dyDescent="0.3">
      <c r="A269" s="66" t="s">
        <v>30</v>
      </c>
      <c r="C269" s="67"/>
      <c r="D269" s="77"/>
      <c r="E269" s="77"/>
      <c r="F269" s="76"/>
      <c r="G269" s="76"/>
      <c r="H269" s="76"/>
      <c r="I269" s="76"/>
      <c r="J269" s="76"/>
      <c r="K269" s="76"/>
      <c r="L269" s="76"/>
      <c r="M269" s="76"/>
      <c r="N269" s="76"/>
      <c r="O269" s="75"/>
      <c r="P269" s="75"/>
      <c r="Q269" s="75"/>
      <c r="R269" s="75"/>
      <c r="S269" s="75"/>
      <c r="T269" s="75"/>
      <c r="U269" s="74"/>
    </row>
    <row r="270" spans="1:21" ht="17.25" customHeight="1" x14ac:dyDescent="0.3">
      <c r="A270" s="66" t="s">
        <v>30</v>
      </c>
      <c r="C270" s="67"/>
      <c r="D270" s="77"/>
      <c r="E270" s="77" t="s">
        <v>31</v>
      </c>
      <c r="F270" s="76" t="s">
        <v>31</v>
      </c>
      <c r="G270" s="76" t="s">
        <v>31</v>
      </c>
      <c r="H270" s="76"/>
      <c r="I270" s="76"/>
      <c r="J270" s="76" t="s">
        <v>31</v>
      </c>
      <c r="K270" s="76" t="s">
        <v>31</v>
      </c>
      <c r="L270" s="76" t="s">
        <v>31</v>
      </c>
      <c r="M270" s="76" t="s">
        <v>31</v>
      </c>
      <c r="N270" s="76"/>
      <c r="U270" s="81"/>
    </row>
    <row r="271" spans="1:21" ht="20.25" customHeight="1" x14ac:dyDescent="0.35">
      <c r="A271" s="66" t="s">
        <v>30</v>
      </c>
      <c r="C271" s="67"/>
      <c r="D271" s="92" t="str">
        <f t="shared" ref="D271" si="179">E271</f>
        <v>C100062</v>
      </c>
      <c r="E271" s="91" t="str">
        <f>"C100062"</f>
        <v>C100062</v>
      </c>
      <c r="F271" s="89" t="str">
        <f>"Tall Matte Finish Mug"</f>
        <v>Tall Matte Finish Mug</v>
      </c>
      <c r="G271" s="89"/>
      <c r="H271" s="90" t="str">
        <f>"EA"</f>
        <v>EA</v>
      </c>
      <c r="I271" s="89"/>
      <c r="J271" s="89"/>
      <c r="K271" s="89"/>
      <c r="L271" s="89"/>
      <c r="M271" s="89"/>
      <c r="N271" s="89"/>
      <c r="O271" s="88">
        <f>(SUBTOTAL(9,O272:O273))</f>
        <v>750</v>
      </c>
      <c r="P271" s="88">
        <f>(SUBTOTAL(9,P272:P273))</f>
        <v>0</v>
      </c>
      <c r="Q271" s="88">
        <f>(SUBTOTAL(9,Q272:Q273))</f>
        <v>0</v>
      </c>
      <c r="R271" s="88">
        <f>(SUBTOTAL(9,R272:R273))</f>
        <v>0</v>
      </c>
      <c r="S271" s="88">
        <f>(SUBTOTAL(9,S272:S273))</f>
        <v>0</v>
      </c>
      <c r="T271" s="88">
        <f>(SUBTOTAL(9,T272:T273))</f>
        <v>0</v>
      </c>
      <c r="U271" s="87">
        <f t="shared" ref="U271" si="180">SUBTOTAL(9,O272:T273)</f>
        <v>750</v>
      </c>
    </row>
    <row r="272" spans="1:21" ht="17.25" customHeight="1" x14ac:dyDescent="0.3">
      <c r="A272" s="66" t="s">
        <v>30</v>
      </c>
      <c r="C272" s="67"/>
      <c r="D272" s="77" t="str">
        <f t="shared" ref="D272" si="181">D271</f>
        <v>C100062</v>
      </c>
      <c r="E272" s="77"/>
      <c r="F272" s="76"/>
      <c r="G272" s="76" t="str">
        <f>"""NAV Direct"",""CRONUS JetCorp USA"",""32"",""1"",""168669"""</f>
        <v>"NAV Direct","CRONUS JetCorp USA","32","1","168669"</v>
      </c>
      <c r="H272" s="86">
        <v>43466</v>
      </c>
      <c r="I272" s="85">
        <v>168669</v>
      </c>
      <c r="J272" s="84" t="str">
        <f>"Vendor"</f>
        <v>Vendor</v>
      </c>
      <c r="K272" s="84" t="str">
        <f>"V100003"</f>
        <v>V100003</v>
      </c>
      <c r="L272" s="84" t="str">
        <f>IF($J272="Customer",_xll.NL("first",$J272,"Name","No.","@@"&amp;$K272),"")</f>
        <v/>
      </c>
      <c r="M272" s="84" t="str">
        <f>"LogoMasters"</f>
        <v>LogoMasters</v>
      </c>
      <c r="N272" s="84" t="str">
        <f>IF($J272="Item",_xll.NL("first",$J272,"Description","No.","@@"&amp;$K272),"")</f>
        <v/>
      </c>
      <c r="O272" s="83">
        <v>750</v>
      </c>
      <c r="P272" s="83">
        <v>0</v>
      </c>
      <c r="Q272" s="83">
        <v>0</v>
      </c>
      <c r="R272" s="83">
        <v>0</v>
      </c>
      <c r="S272" s="83">
        <v>0</v>
      </c>
      <c r="T272" s="83">
        <v>0</v>
      </c>
      <c r="U272" s="82"/>
    </row>
    <row r="273" spans="1:21" ht="17.25" customHeight="1" x14ac:dyDescent="0.3">
      <c r="A273" s="66" t="s">
        <v>30</v>
      </c>
      <c r="C273" s="67"/>
      <c r="D273" s="77"/>
      <c r="E273" s="77"/>
      <c r="F273" s="76"/>
      <c r="G273" s="76"/>
      <c r="H273" s="76"/>
      <c r="I273" s="76"/>
      <c r="J273" s="76"/>
      <c r="K273" s="76"/>
      <c r="L273" s="76"/>
      <c r="M273" s="76"/>
      <c r="N273" s="76"/>
      <c r="O273" s="75"/>
      <c r="P273" s="75"/>
      <c r="Q273" s="75"/>
      <c r="R273" s="75"/>
      <c r="S273" s="75"/>
      <c r="T273" s="75"/>
      <c r="U273" s="74"/>
    </row>
    <row r="274" spans="1:21" ht="17.25" customHeight="1" x14ac:dyDescent="0.3">
      <c r="A274" s="66" t="s">
        <v>30</v>
      </c>
      <c r="C274" s="67"/>
      <c r="D274" s="77"/>
      <c r="E274" s="77" t="s">
        <v>31</v>
      </c>
      <c r="F274" s="76" t="s">
        <v>31</v>
      </c>
      <c r="G274" s="76" t="s">
        <v>31</v>
      </c>
      <c r="H274" s="76"/>
      <c r="I274" s="76"/>
      <c r="J274" s="76" t="s">
        <v>31</v>
      </c>
      <c r="K274" s="76" t="s">
        <v>31</v>
      </c>
      <c r="L274" s="76" t="s">
        <v>31</v>
      </c>
      <c r="M274" s="76" t="s">
        <v>31</v>
      </c>
      <c r="N274" s="76"/>
      <c r="U274" s="81"/>
    </row>
    <row r="275" spans="1:21" ht="20.25" customHeight="1" x14ac:dyDescent="0.35">
      <c r="A275" s="66" t="s">
        <v>30</v>
      </c>
      <c r="C275" s="67"/>
      <c r="D275" s="92" t="str">
        <f t="shared" ref="D275" si="182">E275</f>
        <v>C100063</v>
      </c>
      <c r="E275" s="91" t="str">
        <f>"C100063"</f>
        <v>C100063</v>
      </c>
      <c r="F275" s="89" t="str">
        <f>"Soup Mug"</f>
        <v>Soup Mug</v>
      </c>
      <c r="G275" s="89"/>
      <c r="H275" s="90" t="str">
        <f>"EA"</f>
        <v>EA</v>
      </c>
      <c r="I275" s="89"/>
      <c r="J275" s="89"/>
      <c r="K275" s="89"/>
      <c r="L275" s="89"/>
      <c r="M275" s="89"/>
      <c r="N275" s="89"/>
      <c r="O275" s="88">
        <f>(SUBTOTAL(9,O276:O277))</f>
        <v>999.99999999999989</v>
      </c>
      <c r="P275" s="88">
        <f>(SUBTOTAL(9,P276:P277))</f>
        <v>0</v>
      </c>
      <c r="Q275" s="88">
        <f>(SUBTOTAL(9,Q276:Q277))</f>
        <v>0</v>
      </c>
      <c r="R275" s="88">
        <f>(SUBTOTAL(9,R276:R277))</f>
        <v>0</v>
      </c>
      <c r="S275" s="88">
        <f>(SUBTOTAL(9,S276:S277))</f>
        <v>0</v>
      </c>
      <c r="T275" s="88">
        <f>(SUBTOTAL(9,T276:T277))</f>
        <v>0</v>
      </c>
      <c r="U275" s="87">
        <f t="shared" ref="U275" si="183">SUBTOTAL(9,O276:T277)</f>
        <v>999.99999999999989</v>
      </c>
    </row>
    <row r="276" spans="1:21" ht="17.25" customHeight="1" x14ac:dyDescent="0.3">
      <c r="A276" s="66" t="s">
        <v>30</v>
      </c>
      <c r="C276" s="67"/>
      <c r="D276" s="77" t="str">
        <f t="shared" ref="D276" si="184">D275</f>
        <v>C100063</v>
      </c>
      <c r="E276" s="77"/>
      <c r="F276" s="76"/>
      <c r="G276" s="76" t="str">
        <f>"""NAV Direct"",""CRONUS JetCorp USA"",""32"",""1"",""168668"""</f>
        <v>"NAV Direct","CRONUS JetCorp USA","32","1","168668"</v>
      </c>
      <c r="H276" s="86">
        <v>43466</v>
      </c>
      <c r="I276" s="85">
        <v>168668</v>
      </c>
      <c r="J276" s="84" t="str">
        <f>"Vendor"</f>
        <v>Vendor</v>
      </c>
      <c r="K276" s="84" t="str">
        <f>"V100003"</f>
        <v>V100003</v>
      </c>
      <c r="L276" s="84" t="str">
        <f>IF($J276="Customer",_xll.NL("first",$J276,"Name","No.","@@"&amp;$K276),"")</f>
        <v/>
      </c>
      <c r="M276" s="84" t="str">
        <f>"LogoMasters"</f>
        <v>LogoMasters</v>
      </c>
      <c r="N276" s="84" t="str">
        <f>IF($J276="Item",_xll.NL("first",$J276,"Description","No.","@@"&amp;$K276),"")</f>
        <v/>
      </c>
      <c r="O276" s="83">
        <v>999.99999999999989</v>
      </c>
      <c r="P276" s="83">
        <v>0</v>
      </c>
      <c r="Q276" s="83">
        <v>0</v>
      </c>
      <c r="R276" s="83">
        <v>0</v>
      </c>
      <c r="S276" s="83">
        <v>0</v>
      </c>
      <c r="T276" s="83">
        <v>0</v>
      </c>
      <c r="U276" s="82"/>
    </row>
    <row r="277" spans="1:21" ht="17.25" customHeight="1" x14ac:dyDescent="0.3">
      <c r="A277" s="66" t="s">
        <v>30</v>
      </c>
      <c r="C277" s="67"/>
      <c r="D277" s="77"/>
      <c r="E277" s="77"/>
      <c r="F277" s="76"/>
      <c r="G277" s="76"/>
      <c r="H277" s="76"/>
      <c r="I277" s="76"/>
      <c r="J277" s="76"/>
      <c r="K277" s="76"/>
      <c r="L277" s="76"/>
      <c r="M277" s="76"/>
      <c r="N277" s="76"/>
      <c r="O277" s="75"/>
      <c r="P277" s="75"/>
      <c r="Q277" s="75"/>
      <c r="R277" s="75"/>
      <c r="S277" s="75"/>
      <c r="T277" s="75"/>
      <c r="U277" s="74"/>
    </row>
    <row r="278" spans="1:21" ht="17.25" customHeight="1" x14ac:dyDescent="0.3">
      <c r="A278" s="66" t="s">
        <v>30</v>
      </c>
      <c r="C278" s="67"/>
      <c r="D278" s="77"/>
      <c r="E278" s="77" t="s">
        <v>31</v>
      </c>
      <c r="F278" s="76" t="s">
        <v>31</v>
      </c>
      <c r="G278" s="76" t="s">
        <v>31</v>
      </c>
      <c r="H278" s="76"/>
      <c r="I278" s="76"/>
      <c r="J278" s="76" t="s">
        <v>31</v>
      </c>
      <c r="K278" s="76" t="s">
        <v>31</v>
      </c>
      <c r="L278" s="76" t="s">
        <v>31</v>
      </c>
      <c r="M278" s="76" t="s">
        <v>31</v>
      </c>
      <c r="N278" s="76"/>
      <c r="U278" s="81"/>
    </row>
    <row r="279" spans="1:21" ht="20.25" customHeight="1" x14ac:dyDescent="0.35">
      <c r="A279" s="66" t="s">
        <v>30</v>
      </c>
      <c r="C279" s="67"/>
      <c r="D279" s="92" t="str">
        <f t="shared" ref="D279" si="185">E279</f>
        <v>C100066</v>
      </c>
      <c r="E279" s="91" t="str">
        <f>"C100066"</f>
        <v>C100066</v>
      </c>
      <c r="F279" s="89" t="str">
        <f>"Fashion Travel Mug"</f>
        <v>Fashion Travel Mug</v>
      </c>
      <c r="G279" s="89"/>
      <c r="H279" s="90" t="str">
        <f>"EA"</f>
        <v>EA</v>
      </c>
      <c r="I279" s="89"/>
      <c r="J279" s="89"/>
      <c r="K279" s="89"/>
      <c r="L279" s="89"/>
      <c r="M279" s="89"/>
      <c r="N279" s="89"/>
      <c r="O279" s="88">
        <f>(SUBTOTAL(9,O280:O281))</f>
        <v>1250</v>
      </c>
      <c r="P279" s="88">
        <f>(SUBTOTAL(9,P280:P281))</f>
        <v>0</v>
      </c>
      <c r="Q279" s="88">
        <f>(SUBTOTAL(9,Q280:Q281))</f>
        <v>0</v>
      </c>
      <c r="R279" s="88">
        <f>(SUBTOTAL(9,R280:R281))</f>
        <v>0</v>
      </c>
      <c r="S279" s="88">
        <f>(SUBTOTAL(9,S280:S281))</f>
        <v>0</v>
      </c>
      <c r="T279" s="88">
        <f>(SUBTOTAL(9,T280:T281))</f>
        <v>0</v>
      </c>
      <c r="U279" s="87">
        <f t="shared" ref="U279" si="186">SUBTOTAL(9,O280:T281)</f>
        <v>1250</v>
      </c>
    </row>
    <row r="280" spans="1:21" ht="17.25" customHeight="1" x14ac:dyDescent="0.3">
      <c r="A280" s="66" t="s">
        <v>30</v>
      </c>
      <c r="C280" s="67"/>
      <c r="D280" s="77" t="str">
        <f t="shared" ref="D280" si="187">D279</f>
        <v>C100066</v>
      </c>
      <c r="E280" s="77"/>
      <c r="F280" s="76"/>
      <c r="G280" s="76" t="str">
        <f>"""NAV Direct"",""CRONUS JetCorp USA"",""32"",""1"",""168667"""</f>
        <v>"NAV Direct","CRONUS JetCorp USA","32","1","168667"</v>
      </c>
      <c r="H280" s="86">
        <v>43466</v>
      </c>
      <c r="I280" s="85">
        <v>168667</v>
      </c>
      <c r="J280" s="84" t="str">
        <f>"Vendor"</f>
        <v>Vendor</v>
      </c>
      <c r="K280" s="84" t="str">
        <f>"V100003"</f>
        <v>V100003</v>
      </c>
      <c r="L280" s="84" t="str">
        <f>IF($J280="Customer",_xll.NL("first",$J280,"Name","No.","@@"&amp;$K280),"")</f>
        <v/>
      </c>
      <c r="M280" s="84" t="str">
        <f>"LogoMasters"</f>
        <v>LogoMasters</v>
      </c>
      <c r="N280" s="84" t="str">
        <f>IF($J280="Item",_xll.NL("first",$J280,"Description","No.","@@"&amp;$K280),"")</f>
        <v/>
      </c>
      <c r="O280" s="83">
        <v>1250</v>
      </c>
      <c r="P280" s="83">
        <v>0</v>
      </c>
      <c r="Q280" s="83">
        <v>0</v>
      </c>
      <c r="R280" s="83">
        <v>0</v>
      </c>
      <c r="S280" s="83">
        <v>0</v>
      </c>
      <c r="T280" s="83">
        <v>0</v>
      </c>
      <c r="U280" s="82"/>
    </row>
    <row r="281" spans="1:21" ht="17.25" customHeight="1" x14ac:dyDescent="0.3">
      <c r="A281" s="66" t="s">
        <v>30</v>
      </c>
      <c r="C281" s="67"/>
      <c r="D281" s="77"/>
      <c r="E281" s="77"/>
      <c r="F281" s="76"/>
      <c r="G281" s="76"/>
      <c r="H281" s="76"/>
      <c r="I281" s="76"/>
      <c r="J281" s="76"/>
      <c r="K281" s="76"/>
      <c r="L281" s="76"/>
      <c r="M281" s="76"/>
      <c r="N281" s="76"/>
      <c r="O281" s="75"/>
      <c r="P281" s="75"/>
      <c r="Q281" s="75"/>
      <c r="R281" s="75"/>
      <c r="S281" s="75"/>
      <c r="T281" s="75"/>
      <c r="U281" s="74"/>
    </row>
    <row r="282" spans="1:21" ht="17.25" customHeight="1" x14ac:dyDescent="0.3">
      <c r="A282" s="66" t="s">
        <v>30</v>
      </c>
      <c r="C282" s="67"/>
      <c r="D282" s="77"/>
      <c r="E282" s="77" t="s">
        <v>31</v>
      </c>
      <c r="F282" s="76" t="s">
        <v>31</v>
      </c>
      <c r="G282" s="76" t="s">
        <v>31</v>
      </c>
      <c r="H282" s="76"/>
      <c r="I282" s="76"/>
      <c r="J282" s="76" t="s">
        <v>31</v>
      </c>
      <c r="K282" s="76" t="s">
        <v>31</v>
      </c>
      <c r="L282" s="76" t="s">
        <v>31</v>
      </c>
      <c r="M282" s="76" t="s">
        <v>31</v>
      </c>
      <c r="N282" s="76"/>
      <c r="U282" s="81"/>
    </row>
    <row r="283" spans="1:21" ht="20.25" customHeight="1" x14ac:dyDescent="0.35">
      <c r="A283" s="66" t="s">
        <v>30</v>
      </c>
      <c r="C283" s="67"/>
      <c r="D283" s="92" t="str">
        <f t="shared" ref="D283" si="188">E283</f>
        <v>C100067</v>
      </c>
      <c r="E283" s="91" t="str">
        <f>"C100067"</f>
        <v>C100067</v>
      </c>
      <c r="F283" s="89" t="str">
        <f>"Stainless Thermos"</f>
        <v>Stainless Thermos</v>
      </c>
      <c r="G283" s="89"/>
      <c r="H283" s="90" t="str">
        <f>"EA"</f>
        <v>EA</v>
      </c>
      <c r="I283" s="89"/>
      <c r="J283" s="89"/>
      <c r="K283" s="89"/>
      <c r="L283" s="89"/>
      <c r="M283" s="89"/>
      <c r="N283" s="89"/>
      <c r="O283" s="88">
        <f>(SUBTOTAL(9,O284:O285))</f>
        <v>1250</v>
      </c>
      <c r="P283" s="88">
        <f>(SUBTOTAL(9,P284:P285))</f>
        <v>0</v>
      </c>
      <c r="Q283" s="88">
        <f>(SUBTOTAL(9,Q284:Q285))</f>
        <v>0</v>
      </c>
      <c r="R283" s="88">
        <f>(SUBTOTAL(9,R284:R285))</f>
        <v>0</v>
      </c>
      <c r="S283" s="88">
        <f>(SUBTOTAL(9,S284:S285))</f>
        <v>0</v>
      </c>
      <c r="T283" s="88">
        <f>(SUBTOTAL(9,T284:T285))</f>
        <v>0</v>
      </c>
      <c r="U283" s="87">
        <f t="shared" ref="U283" si="189">SUBTOTAL(9,O284:T285)</f>
        <v>1250</v>
      </c>
    </row>
    <row r="284" spans="1:21" ht="17.25" customHeight="1" x14ac:dyDescent="0.3">
      <c r="A284" s="66" t="s">
        <v>30</v>
      </c>
      <c r="C284" s="67"/>
      <c r="D284" s="77" t="str">
        <f t="shared" ref="D284" si="190">D283</f>
        <v>C100067</v>
      </c>
      <c r="E284" s="77"/>
      <c r="F284" s="76"/>
      <c r="G284" s="76" t="str">
        <f>"""NAV Direct"",""CRONUS JetCorp USA"",""32"",""1"",""168666"""</f>
        <v>"NAV Direct","CRONUS JetCorp USA","32","1","168666"</v>
      </c>
      <c r="H284" s="86">
        <v>43466</v>
      </c>
      <c r="I284" s="85">
        <v>168666</v>
      </c>
      <c r="J284" s="84" t="str">
        <f>"Vendor"</f>
        <v>Vendor</v>
      </c>
      <c r="K284" s="84" t="str">
        <f>"V100003"</f>
        <v>V100003</v>
      </c>
      <c r="L284" s="84" t="str">
        <f>IF($J284="Customer",_xll.NL("first",$J284,"Name","No.","@@"&amp;$K284),"")</f>
        <v/>
      </c>
      <c r="M284" s="84" t="str">
        <f>"LogoMasters"</f>
        <v>LogoMasters</v>
      </c>
      <c r="N284" s="84" t="str">
        <f>IF($J284="Item",_xll.NL("first",$J284,"Description","No.","@@"&amp;$K284),"")</f>
        <v/>
      </c>
      <c r="O284" s="83">
        <v>1250</v>
      </c>
      <c r="P284" s="83">
        <v>0</v>
      </c>
      <c r="Q284" s="83">
        <v>0</v>
      </c>
      <c r="R284" s="83">
        <v>0</v>
      </c>
      <c r="S284" s="83">
        <v>0</v>
      </c>
      <c r="T284" s="83">
        <v>0</v>
      </c>
      <c r="U284" s="82"/>
    </row>
    <row r="285" spans="1:21" ht="17.25" customHeight="1" x14ac:dyDescent="0.3">
      <c r="A285" s="66" t="s">
        <v>30</v>
      </c>
      <c r="C285" s="67"/>
      <c r="D285" s="77"/>
      <c r="E285" s="77"/>
      <c r="F285" s="76"/>
      <c r="G285" s="76"/>
      <c r="H285" s="76"/>
      <c r="I285" s="76"/>
      <c r="J285" s="76"/>
      <c r="K285" s="76"/>
      <c r="L285" s="76"/>
      <c r="M285" s="76"/>
      <c r="N285" s="76"/>
      <c r="O285" s="75"/>
      <c r="P285" s="75"/>
      <c r="Q285" s="75"/>
      <c r="R285" s="75"/>
      <c r="S285" s="75"/>
      <c r="T285" s="75"/>
      <c r="U285" s="74"/>
    </row>
    <row r="286" spans="1:21" ht="17.25" customHeight="1" x14ac:dyDescent="0.3">
      <c r="A286" s="66" t="s">
        <v>30</v>
      </c>
      <c r="C286" s="67"/>
      <c r="D286" s="77"/>
      <c r="E286" s="77" t="s">
        <v>31</v>
      </c>
      <c r="F286" s="76" t="s">
        <v>31</v>
      </c>
      <c r="G286" s="76" t="s">
        <v>31</v>
      </c>
      <c r="H286" s="76"/>
      <c r="I286" s="76"/>
      <c r="J286" s="76" t="s">
        <v>31</v>
      </c>
      <c r="K286" s="76" t="s">
        <v>31</v>
      </c>
      <c r="L286" s="76" t="s">
        <v>31</v>
      </c>
      <c r="M286" s="76" t="s">
        <v>31</v>
      </c>
      <c r="N286" s="76"/>
      <c r="U286" s="81"/>
    </row>
    <row r="287" spans="1:21" ht="20.25" customHeight="1" x14ac:dyDescent="0.35">
      <c r="A287" s="66" t="s">
        <v>30</v>
      </c>
      <c r="C287" s="67"/>
      <c r="D287" s="92" t="str">
        <f t="shared" ref="D287" si="191">E287</f>
        <v>E100001</v>
      </c>
      <c r="E287" s="91" t="str">
        <f>"E100001"</f>
        <v>E100001</v>
      </c>
      <c r="F287" s="89" t="str">
        <f>"Sport Bag"</f>
        <v>Sport Bag</v>
      </c>
      <c r="G287" s="89"/>
      <c r="H287" s="90" t="str">
        <f>"EA"</f>
        <v>EA</v>
      </c>
      <c r="I287" s="89"/>
      <c r="J287" s="89"/>
      <c r="K287" s="89"/>
      <c r="L287" s="89"/>
      <c r="M287" s="89"/>
      <c r="N287" s="89"/>
      <c r="O287" s="88">
        <f>(SUBTOTAL(9,O288:O290))</f>
        <v>1400</v>
      </c>
      <c r="P287" s="88">
        <f>(SUBTOTAL(9,P288:P290))</f>
        <v>-1</v>
      </c>
      <c r="Q287" s="88">
        <f>(SUBTOTAL(9,Q288:Q290))</f>
        <v>0</v>
      </c>
      <c r="R287" s="88">
        <f>(SUBTOTAL(9,R288:R290))</f>
        <v>0</v>
      </c>
      <c r="S287" s="88">
        <f>(SUBTOTAL(9,S288:S290))</f>
        <v>0</v>
      </c>
      <c r="T287" s="88">
        <f>(SUBTOTAL(9,T288:T290))</f>
        <v>0</v>
      </c>
      <c r="U287" s="87">
        <f t="shared" ref="U287" si="192">SUBTOTAL(9,O288:T290)</f>
        <v>1399</v>
      </c>
    </row>
    <row r="288" spans="1:21" ht="17.25" customHeight="1" x14ac:dyDescent="0.3">
      <c r="A288" s="66" t="s">
        <v>30</v>
      </c>
      <c r="C288" s="67"/>
      <c r="D288" s="77" t="str">
        <f t="shared" ref="D288" si="193">D287</f>
        <v>E100001</v>
      </c>
      <c r="E288" s="77"/>
      <c r="F288" s="76"/>
      <c r="G288" s="76" t="str">
        <f>"""NAV Direct"",""CRONUS JetCorp USA"",""32"",""1"",""166794"""</f>
        <v>"NAV Direct","CRONUS JetCorp USA","32","1","166794"</v>
      </c>
      <c r="H288" s="86">
        <v>43466</v>
      </c>
      <c r="I288" s="85">
        <v>166794</v>
      </c>
      <c r="J288" s="84" t="str">
        <f>"Vendor"</f>
        <v>Vendor</v>
      </c>
      <c r="K288" s="84" t="str">
        <f>"V100003"</f>
        <v>V100003</v>
      </c>
      <c r="L288" s="84" t="str">
        <f>IF($J288="Customer",_xll.NL("first",$J288,"Name","No.","@@"&amp;$K288),"")</f>
        <v/>
      </c>
      <c r="M288" s="84" t="str">
        <f>"LogoMasters"</f>
        <v>LogoMasters</v>
      </c>
      <c r="N288" s="84" t="str">
        <f>IF($J288="Item",_xll.NL("first",$J288,"Description","No.","@@"&amp;$K288),"")</f>
        <v/>
      </c>
      <c r="O288" s="83">
        <v>1400</v>
      </c>
      <c r="P288" s="83">
        <v>0</v>
      </c>
      <c r="Q288" s="83">
        <v>0</v>
      </c>
      <c r="R288" s="83">
        <v>0</v>
      </c>
      <c r="S288" s="83">
        <v>0</v>
      </c>
      <c r="T288" s="83">
        <v>0</v>
      </c>
      <c r="U288" s="82"/>
    </row>
    <row r="289" spans="1:21" ht="17.25" customHeight="1" x14ac:dyDescent="0.3">
      <c r="A289" s="66" t="s">
        <v>30</v>
      </c>
      <c r="C289" s="67"/>
      <c r="D289" s="77" t="str">
        <f t="shared" ref="D289" si="194">D288</f>
        <v>E100001</v>
      </c>
      <c r="E289" s="77"/>
      <c r="F289" s="76"/>
      <c r="G289" s="76" t="str">
        <f>"""NAV Direct"",""CRONUS JetCorp USA"",""32"",""1"",""30043"""</f>
        <v>"NAV Direct","CRONUS JetCorp USA","32","1","30043"</v>
      </c>
      <c r="H289" s="86">
        <v>43471</v>
      </c>
      <c r="I289" s="85">
        <v>30043</v>
      </c>
      <c r="J289" s="84" t="str">
        <f>"Customer"</f>
        <v>Customer</v>
      </c>
      <c r="K289" s="84" t="str">
        <f>"C100012"</f>
        <v>C100012</v>
      </c>
      <c r="L289" s="84" t="str">
        <f>IF($J289="Customer",_xll.NL("first",$J289,"Name","No.","@@"&amp;$K289),"")</f>
        <v>Bainbridges</v>
      </c>
      <c r="M289" s="84" t="str">
        <f>""</f>
        <v/>
      </c>
      <c r="N289" s="84" t="str">
        <f>IF($J289="Item",_xll.NL("first",$J289,"Description","No.","@@"&amp;$K289),"")</f>
        <v/>
      </c>
      <c r="O289" s="83">
        <v>0</v>
      </c>
      <c r="P289" s="83">
        <v>-1</v>
      </c>
      <c r="Q289" s="83">
        <v>0</v>
      </c>
      <c r="R289" s="83">
        <v>0</v>
      </c>
      <c r="S289" s="83">
        <v>0</v>
      </c>
      <c r="T289" s="83">
        <v>0</v>
      </c>
      <c r="U289" s="82"/>
    </row>
    <row r="290" spans="1:21" ht="17.25" customHeight="1" x14ac:dyDescent="0.3">
      <c r="A290" s="66" t="s">
        <v>30</v>
      </c>
      <c r="C290" s="67"/>
      <c r="D290" s="77"/>
      <c r="E290" s="77"/>
      <c r="F290" s="76"/>
      <c r="G290" s="76"/>
      <c r="H290" s="76"/>
      <c r="I290" s="76"/>
      <c r="J290" s="76"/>
      <c r="K290" s="76"/>
      <c r="L290" s="76"/>
      <c r="M290" s="76"/>
      <c r="N290" s="76"/>
      <c r="O290" s="75"/>
      <c r="P290" s="75"/>
      <c r="Q290" s="75"/>
      <c r="R290" s="75"/>
      <c r="S290" s="75"/>
      <c r="T290" s="75"/>
      <c r="U290" s="74"/>
    </row>
    <row r="291" spans="1:21" ht="17.25" customHeight="1" x14ac:dyDescent="0.3">
      <c r="A291" s="66" t="s">
        <v>30</v>
      </c>
      <c r="C291" s="67"/>
      <c r="D291" s="77"/>
      <c r="E291" s="77" t="s">
        <v>31</v>
      </c>
      <c r="F291" s="76" t="s">
        <v>31</v>
      </c>
      <c r="G291" s="76" t="s">
        <v>31</v>
      </c>
      <c r="H291" s="76"/>
      <c r="I291" s="76"/>
      <c r="J291" s="76" t="s">
        <v>31</v>
      </c>
      <c r="K291" s="76" t="s">
        <v>31</v>
      </c>
      <c r="L291" s="76" t="s">
        <v>31</v>
      </c>
      <c r="M291" s="76" t="s">
        <v>31</v>
      </c>
      <c r="N291" s="76"/>
      <c r="U291" s="81"/>
    </row>
    <row r="292" spans="1:21" ht="20.25" customHeight="1" x14ac:dyDescent="0.35">
      <c r="A292" s="66" t="s">
        <v>30</v>
      </c>
      <c r="C292" s="67"/>
      <c r="D292" s="92" t="str">
        <f t="shared" ref="D292" si="195">E292</f>
        <v>E100002</v>
      </c>
      <c r="E292" s="91" t="str">
        <f>"E100002"</f>
        <v>E100002</v>
      </c>
      <c r="F292" s="89" t="str">
        <f>"Cotton Classic Tote"</f>
        <v>Cotton Classic Tote</v>
      </c>
      <c r="G292" s="89"/>
      <c r="H292" s="90" t="str">
        <f>"EA"</f>
        <v>EA</v>
      </c>
      <c r="I292" s="89"/>
      <c r="J292" s="89"/>
      <c r="K292" s="89"/>
      <c r="L292" s="89"/>
      <c r="M292" s="89"/>
      <c r="N292" s="89"/>
      <c r="O292" s="88">
        <f>(SUBTOTAL(9,O293:O294))</f>
        <v>999.99999999999989</v>
      </c>
      <c r="P292" s="88">
        <f>(SUBTOTAL(9,P293:P294))</f>
        <v>0</v>
      </c>
      <c r="Q292" s="88">
        <f>(SUBTOTAL(9,Q293:Q294))</f>
        <v>0</v>
      </c>
      <c r="R292" s="88">
        <f>(SUBTOTAL(9,R293:R294))</f>
        <v>0</v>
      </c>
      <c r="S292" s="88">
        <f>(SUBTOTAL(9,S293:S294))</f>
        <v>0</v>
      </c>
      <c r="T292" s="88">
        <f>(SUBTOTAL(9,T293:T294))</f>
        <v>0</v>
      </c>
      <c r="U292" s="87">
        <f t="shared" ref="U292" si="196">SUBTOTAL(9,O293:T294)</f>
        <v>999.99999999999989</v>
      </c>
    </row>
    <row r="293" spans="1:21" ht="17.25" customHeight="1" x14ac:dyDescent="0.3">
      <c r="A293" s="66" t="s">
        <v>30</v>
      </c>
      <c r="C293" s="67"/>
      <c r="D293" s="77" t="str">
        <f t="shared" ref="D293" si="197">D292</f>
        <v>E100002</v>
      </c>
      <c r="E293" s="77"/>
      <c r="F293" s="76"/>
      <c r="G293" s="76" t="str">
        <f>"""NAV Direct"",""CRONUS JetCorp USA"",""32"",""1"",""166793"""</f>
        <v>"NAV Direct","CRONUS JetCorp USA","32","1","166793"</v>
      </c>
      <c r="H293" s="86">
        <v>43466</v>
      </c>
      <c r="I293" s="85">
        <v>166793</v>
      </c>
      <c r="J293" s="84" t="str">
        <f>"Vendor"</f>
        <v>Vendor</v>
      </c>
      <c r="K293" s="84" t="str">
        <f>"V100003"</f>
        <v>V100003</v>
      </c>
      <c r="L293" s="84" t="str">
        <f>IF($J293="Customer",_xll.NL("first",$J293,"Name","No.","@@"&amp;$K293),"")</f>
        <v/>
      </c>
      <c r="M293" s="84" t="str">
        <f>"LogoMasters"</f>
        <v>LogoMasters</v>
      </c>
      <c r="N293" s="84" t="str">
        <f>IF($J293="Item",_xll.NL("first",$J293,"Description","No.","@@"&amp;$K293),"")</f>
        <v/>
      </c>
      <c r="O293" s="83">
        <v>999.99999999999989</v>
      </c>
      <c r="P293" s="83">
        <v>0</v>
      </c>
      <c r="Q293" s="83">
        <v>0</v>
      </c>
      <c r="R293" s="83">
        <v>0</v>
      </c>
      <c r="S293" s="83">
        <v>0</v>
      </c>
      <c r="T293" s="83">
        <v>0</v>
      </c>
      <c r="U293" s="82"/>
    </row>
    <row r="294" spans="1:21" ht="17.25" customHeight="1" x14ac:dyDescent="0.3">
      <c r="A294" s="66" t="s">
        <v>30</v>
      </c>
      <c r="C294" s="67"/>
      <c r="D294" s="77"/>
      <c r="E294" s="77"/>
      <c r="F294" s="76"/>
      <c r="G294" s="76"/>
      <c r="H294" s="76"/>
      <c r="I294" s="76"/>
      <c r="J294" s="76"/>
      <c r="K294" s="76"/>
      <c r="L294" s="76"/>
      <c r="M294" s="76"/>
      <c r="N294" s="76"/>
      <c r="O294" s="75"/>
      <c r="P294" s="75"/>
      <c r="Q294" s="75"/>
      <c r="R294" s="75"/>
      <c r="S294" s="75"/>
      <c r="T294" s="75"/>
      <c r="U294" s="74"/>
    </row>
    <row r="295" spans="1:21" ht="17.25" customHeight="1" x14ac:dyDescent="0.3">
      <c r="A295" s="66" t="s">
        <v>30</v>
      </c>
      <c r="C295" s="67"/>
      <c r="D295" s="77"/>
      <c r="E295" s="77" t="s">
        <v>31</v>
      </c>
      <c r="F295" s="76" t="s">
        <v>31</v>
      </c>
      <c r="G295" s="76" t="s">
        <v>31</v>
      </c>
      <c r="H295" s="76"/>
      <c r="I295" s="76"/>
      <c r="J295" s="76" t="s">
        <v>31</v>
      </c>
      <c r="K295" s="76" t="s">
        <v>31</v>
      </c>
      <c r="L295" s="76" t="s">
        <v>31</v>
      </c>
      <c r="M295" s="76" t="s">
        <v>31</v>
      </c>
      <c r="N295" s="76"/>
      <c r="U295" s="81"/>
    </row>
    <row r="296" spans="1:21" ht="20.25" customHeight="1" x14ac:dyDescent="0.35">
      <c r="A296" s="66" t="s">
        <v>30</v>
      </c>
      <c r="C296" s="67"/>
      <c r="D296" s="92" t="str">
        <f t="shared" ref="D296" si="198">E296</f>
        <v>E100003</v>
      </c>
      <c r="E296" s="91" t="str">
        <f>"E100003"</f>
        <v>E100003</v>
      </c>
      <c r="F296" s="89" t="str">
        <f>"Recycled Tote"</f>
        <v>Recycled Tote</v>
      </c>
      <c r="G296" s="89"/>
      <c r="H296" s="90" t="str">
        <f>"EA"</f>
        <v>EA</v>
      </c>
      <c r="I296" s="89"/>
      <c r="J296" s="89"/>
      <c r="K296" s="89"/>
      <c r="L296" s="89"/>
      <c r="M296" s="89"/>
      <c r="N296" s="89"/>
      <c r="O296" s="88">
        <f>(SUBTOTAL(9,O297:O298))</f>
        <v>400</v>
      </c>
      <c r="P296" s="88">
        <f>(SUBTOTAL(9,P297:P298))</f>
        <v>0</v>
      </c>
      <c r="Q296" s="88">
        <f>(SUBTOTAL(9,Q297:Q298))</f>
        <v>0</v>
      </c>
      <c r="R296" s="88">
        <f>(SUBTOTAL(9,R297:R298))</f>
        <v>0</v>
      </c>
      <c r="S296" s="88">
        <f>(SUBTOTAL(9,S297:S298))</f>
        <v>0</v>
      </c>
      <c r="T296" s="88">
        <f>(SUBTOTAL(9,T297:T298))</f>
        <v>0</v>
      </c>
      <c r="U296" s="87">
        <f t="shared" ref="U296" si="199">SUBTOTAL(9,O297:T298)</f>
        <v>400</v>
      </c>
    </row>
    <row r="297" spans="1:21" ht="17.25" customHeight="1" x14ac:dyDescent="0.3">
      <c r="A297" s="66" t="s">
        <v>30</v>
      </c>
      <c r="C297" s="67"/>
      <c r="D297" s="77" t="str">
        <f t="shared" ref="D297" si="200">D296</f>
        <v>E100003</v>
      </c>
      <c r="E297" s="77"/>
      <c r="F297" s="76"/>
      <c r="G297" s="76" t="str">
        <f>"""NAV Direct"",""CRONUS JetCorp USA"",""32"",""1"",""166792"""</f>
        <v>"NAV Direct","CRONUS JetCorp USA","32","1","166792"</v>
      </c>
      <c r="H297" s="86">
        <v>43466</v>
      </c>
      <c r="I297" s="85">
        <v>166792</v>
      </c>
      <c r="J297" s="84" t="str">
        <f>"Vendor"</f>
        <v>Vendor</v>
      </c>
      <c r="K297" s="84" t="str">
        <f>"V100003"</f>
        <v>V100003</v>
      </c>
      <c r="L297" s="84" t="str">
        <f>IF($J297="Customer",_xll.NL("first",$J297,"Name","No.","@@"&amp;$K297),"")</f>
        <v/>
      </c>
      <c r="M297" s="84" t="str">
        <f>"LogoMasters"</f>
        <v>LogoMasters</v>
      </c>
      <c r="N297" s="84" t="str">
        <f>IF($J297="Item",_xll.NL("first",$J297,"Description","No.","@@"&amp;$K297),"")</f>
        <v/>
      </c>
      <c r="O297" s="83">
        <v>400</v>
      </c>
      <c r="P297" s="83">
        <v>0</v>
      </c>
      <c r="Q297" s="83">
        <v>0</v>
      </c>
      <c r="R297" s="83">
        <v>0</v>
      </c>
      <c r="S297" s="83">
        <v>0</v>
      </c>
      <c r="T297" s="83">
        <v>0</v>
      </c>
      <c r="U297" s="82"/>
    </row>
    <row r="298" spans="1:21" ht="17.25" customHeight="1" x14ac:dyDescent="0.3">
      <c r="A298" s="66" t="s">
        <v>30</v>
      </c>
      <c r="C298" s="67"/>
      <c r="D298" s="77"/>
      <c r="E298" s="77"/>
      <c r="F298" s="76"/>
      <c r="G298" s="76"/>
      <c r="H298" s="76"/>
      <c r="I298" s="76"/>
      <c r="J298" s="76"/>
      <c r="K298" s="76"/>
      <c r="L298" s="76"/>
      <c r="M298" s="76"/>
      <c r="N298" s="76"/>
      <c r="O298" s="75"/>
      <c r="P298" s="75"/>
      <c r="Q298" s="75"/>
      <c r="R298" s="75"/>
      <c r="S298" s="75"/>
      <c r="T298" s="75"/>
      <c r="U298" s="74"/>
    </row>
    <row r="299" spans="1:21" ht="17.25" customHeight="1" x14ac:dyDescent="0.3">
      <c r="A299" s="66" t="s">
        <v>30</v>
      </c>
      <c r="C299" s="67"/>
      <c r="D299" s="77"/>
      <c r="E299" s="77" t="s">
        <v>31</v>
      </c>
      <c r="F299" s="76" t="s">
        <v>31</v>
      </c>
      <c r="G299" s="76" t="s">
        <v>31</v>
      </c>
      <c r="H299" s="76"/>
      <c r="I299" s="76"/>
      <c r="J299" s="76" t="s">
        <v>31</v>
      </c>
      <c r="K299" s="76" t="s">
        <v>31</v>
      </c>
      <c r="L299" s="76" t="s">
        <v>31</v>
      </c>
      <c r="M299" s="76" t="s">
        <v>31</v>
      </c>
      <c r="N299" s="76"/>
      <c r="U299" s="81"/>
    </row>
    <row r="300" spans="1:21" ht="20.25" customHeight="1" x14ac:dyDescent="0.35">
      <c r="A300" s="66" t="s">
        <v>30</v>
      </c>
      <c r="C300" s="67"/>
      <c r="D300" s="92" t="str">
        <f t="shared" ref="D300" si="201">E300</f>
        <v>E100004</v>
      </c>
      <c r="E300" s="91" t="str">
        <f>"E100004"</f>
        <v>E100004</v>
      </c>
      <c r="F300" s="89" t="str">
        <f>"Laminated Tote"</f>
        <v>Laminated Tote</v>
      </c>
      <c r="G300" s="89"/>
      <c r="H300" s="90" t="str">
        <f>"EA"</f>
        <v>EA</v>
      </c>
      <c r="I300" s="89"/>
      <c r="J300" s="89"/>
      <c r="K300" s="89"/>
      <c r="L300" s="89"/>
      <c r="M300" s="89"/>
      <c r="N300" s="89"/>
      <c r="O300" s="88">
        <f>(SUBTOTAL(9,O301:O302))</f>
        <v>400</v>
      </c>
      <c r="P300" s="88">
        <f>(SUBTOTAL(9,P301:P302))</f>
        <v>0</v>
      </c>
      <c r="Q300" s="88">
        <f>(SUBTOTAL(9,Q301:Q302))</f>
        <v>0</v>
      </c>
      <c r="R300" s="88">
        <f>(SUBTOTAL(9,R301:R302))</f>
        <v>0</v>
      </c>
      <c r="S300" s="88">
        <f>(SUBTOTAL(9,S301:S302))</f>
        <v>0</v>
      </c>
      <c r="T300" s="88">
        <f>(SUBTOTAL(9,T301:T302))</f>
        <v>0</v>
      </c>
      <c r="U300" s="87">
        <f t="shared" ref="U300" si="202">SUBTOTAL(9,O301:T302)</f>
        <v>400</v>
      </c>
    </row>
    <row r="301" spans="1:21" ht="17.25" customHeight="1" x14ac:dyDescent="0.3">
      <c r="A301" s="66" t="s">
        <v>30</v>
      </c>
      <c r="C301" s="67"/>
      <c r="D301" s="77" t="str">
        <f t="shared" ref="D301" si="203">D300</f>
        <v>E100004</v>
      </c>
      <c r="E301" s="77"/>
      <c r="F301" s="76"/>
      <c r="G301" s="76" t="str">
        <f>"""NAV Direct"",""CRONUS JetCorp USA"",""32"",""1"",""166791"""</f>
        <v>"NAV Direct","CRONUS JetCorp USA","32","1","166791"</v>
      </c>
      <c r="H301" s="86">
        <v>43466</v>
      </c>
      <c r="I301" s="85">
        <v>166791</v>
      </c>
      <c r="J301" s="84" t="str">
        <f>"Vendor"</f>
        <v>Vendor</v>
      </c>
      <c r="K301" s="84" t="str">
        <f>"V100003"</f>
        <v>V100003</v>
      </c>
      <c r="L301" s="84" t="str">
        <f>IF($J301="Customer",_xll.NL("first",$J301,"Name","No.","@@"&amp;$K301),"")</f>
        <v/>
      </c>
      <c r="M301" s="84" t="str">
        <f>"LogoMasters"</f>
        <v>LogoMasters</v>
      </c>
      <c r="N301" s="84" t="str">
        <f>IF($J301="Item",_xll.NL("first",$J301,"Description","No.","@@"&amp;$K301),"")</f>
        <v/>
      </c>
      <c r="O301" s="83">
        <v>400</v>
      </c>
      <c r="P301" s="83">
        <v>0</v>
      </c>
      <c r="Q301" s="83">
        <v>0</v>
      </c>
      <c r="R301" s="83">
        <v>0</v>
      </c>
      <c r="S301" s="83">
        <v>0</v>
      </c>
      <c r="T301" s="83">
        <v>0</v>
      </c>
      <c r="U301" s="82"/>
    </row>
    <row r="302" spans="1:21" ht="17.25" customHeight="1" x14ac:dyDescent="0.3">
      <c r="A302" s="66" t="s">
        <v>30</v>
      </c>
      <c r="C302" s="67"/>
      <c r="D302" s="77"/>
      <c r="E302" s="77"/>
      <c r="F302" s="76"/>
      <c r="G302" s="76"/>
      <c r="H302" s="76"/>
      <c r="I302" s="76"/>
      <c r="J302" s="76"/>
      <c r="K302" s="76"/>
      <c r="L302" s="76"/>
      <c r="M302" s="76"/>
      <c r="N302" s="76"/>
      <c r="O302" s="75"/>
      <c r="P302" s="75"/>
      <c r="Q302" s="75"/>
      <c r="R302" s="75"/>
      <c r="S302" s="75"/>
      <c r="T302" s="75"/>
      <c r="U302" s="74"/>
    </row>
    <row r="303" spans="1:21" ht="17.25" customHeight="1" x14ac:dyDescent="0.3">
      <c r="A303" s="66" t="s">
        <v>30</v>
      </c>
      <c r="C303" s="67"/>
      <c r="D303" s="77"/>
      <c r="E303" s="77" t="s">
        <v>31</v>
      </c>
      <c r="F303" s="76" t="s">
        <v>31</v>
      </c>
      <c r="G303" s="76" t="s">
        <v>31</v>
      </c>
      <c r="H303" s="76"/>
      <c r="I303" s="76"/>
      <c r="J303" s="76" t="s">
        <v>31</v>
      </c>
      <c r="K303" s="76" t="s">
        <v>31</v>
      </c>
      <c r="L303" s="76" t="s">
        <v>31</v>
      </c>
      <c r="M303" s="76" t="s">
        <v>31</v>
      </c>
      <c r="N303" s="76"/>
      <c r="U303" s="81"/>
    </row>
    <row r="304" spans="1:21" ht="20.25" customHeight="1" x14ac:dyDescent="0.35">
      <c r="A304" s="66" t="s">
        <v>30</v>
      </c>
      <c r="C304" s="67"/>
      <c r="D304" s="92" t="str">
        <f t="shared" ref="D304" si="204">E304</f>
        <v>E100006</v>
      </c>
      <c r="E304" s="91" t="str">
        <f>"E100006"</f>
        <v>E100006</v>
      </c>
      <c r="F304" s="89" t="str">
        <f>"Budget Tote Bag"</f>
        <v>Budget Tote Bag</v>
      </c>
      <c r="G304" s="89"/>
      <c r="H304" s="90" t="str">
        <f>"EA"</f>
        <v>EA</v>
      </c>
      <c r="I304" s="89"/>
      <c r="J304" s="89"/>
      <c r="K304" s="89"/>
      <c r="L304" s="89"/>
      <c r="M304" s="89"/>
      <c r="N304" s="89"/>
      <c r="O304" s="88">
        <f>(SUBTOTAL(9,O305:O306))</f>
        <v>400</v>
      </c>
      <c r="P304" s="88">
        <f>(SUBTOTAL(9,P305:P306))</f>
        <v>0</v>
      </c>
      <c r="Q304" s="88">
        <f>(SUBTOTAL(9,Q305:Q306))</f>
        <v>0</v>
      </c>
      <c r="R304" s="88">
        <f>(SUBTOTAL(9,R305:R306))</f>
        <v>0</v>
      </c>
      <c r="S304" s="88">
        <f>(SUBTOTAL(9,S305:S306))</f>
        <v>0</v>
      </c>
      <c r="T304" s="88">
        <f>(SUBTOTAL(9,T305:T306))</f>
        <v>0</v>
      </c>
      <c r="U304" s="87">
        <f t="shared" ref="U304" si="205">SUBTOTAL(9,O305:T306)</f>
        <v>400</v>
      </c>
    </row>
    <row r="305" spans="1:21" ht="17.25" customHeight="1" x14ac:dyDescent="0.3">
      <c r="A305" s="66" t="s">
        <v>30</v>
      </c>
      <c r="C305" s="67"/>
      <c r="D305" s="77" t="str">
        <f t="shared" ref="D305" si="206">D304</f>
        <v>E100006</v>
      </c>
      <c r="E305" s="77"/>
      <c r="F305" s="76"/>
      <c r="G305" s="76" t="str">
        <f>"""NAV Direct"",""CRONUS JetCorp USA"",""32"",""1"",""166790"""</f>
        <v>"NAV Direct","CRONUS JetCorp USA","32","1","166790"</v>
      </c>
      <c r="H305" s="86">
        <v>43466</v>
      </c>
      <c r="I305" s="85">
        <v>166790</v>
      </c>
      <c r="J305" s="84" t="str">
        <f>"Vendor"</f>
        <v>Vendor</v>
      </c>
      <c r="K305" s="84" t="str">
        <f>"V100003"</f>
        <v>V100003</v>
      </c>
      <c r="L305" s="84" t="str">
        <f>IF($J305="Customer",_xll.NL("first",$J305,"Name","No.","@@"&amp;$K305),"")</f>
        <v/>
      </c>
      <c r="M305" s="84" t="str">
        <f>"LogoMasters"</f>
        <v>LogoMasters</v>
      </c>
      <c r="N305" s="84" t="str">
        <f>IF($J305="Item",_xll.NL("first",$J305,"Description","No.","@@"&amp;$K305),"")</f>
        <v/>
      </c>
      <c r="O305" s="83">
        <v>400</v>
      </c>
      <c r="P305" s="83">
        <v>0</v>
      </c>
      <c r="Q305" s="83">
        <v>0</v>
      </c>
      <c r="R305" s="83">
        <v>0</v>
      </c>
      <c r="S305" s="83">
        <v>0</v>
      </c>
      <c r="T305" s="83">
        <v>0</v>
      </c>
      <c r="U305" s="82"/>
    </row>
    <row r="306" spans="1:21" ht="17.25" customHeight="1" x14ac:dyDescent="0.3">
      <c r="A306" s="66" t="s">
        <v>30</v>
      </c>
      <c r="C306" s="67"/>
      <c r="D306" s="77"/>
      <c r="E306" s="77"/>
      <c r="F306" s="76"/>
      <c r="G306" s="76"/>
      <c r="H306" s="76"/>
      <c r="I306" s="76"/>
      <c r="J306" s="76"/>
      <c r="K306" s="76"/>
      <c r="L306" s="76"/>
      <c r="M306" s="76"/>
      <c r="N306" s="76"/>
      <c r="O306" s="75"/>
      <c r="P306" s="75"/>
      <c r="Q306" s="75"/>
      <c r="R306" s="75"/>
      <c r="S306" s="75"/>
      <c r="T306" s="75"/>
      <c r="U306" s="74"/>
    </row>
    <row r="307" spans="1:21" ht="17.25" customHeight="1" x14ac:dyDescent="0.3">
      <c r="A307" s="66" t="s">
        <v>30</v>
      </c>
      <c r="C307" s="67"/>
      <c r="D307" s="77"/>
      <c r="E307" s="77" t="s">
        <v>31</v>
      </c>
      <c r="F307" s="76" t="s">
        <v>31</v>
      </c>
      <c r="G307" s="76" t="s">
        <v>31</v>
      </c>
      <c r="H307" s="76"/>
      <c r="I307" s="76"/>
      <c r="J307" s="76" t="s">
        <v>31</v>
      </c>
      <c r="K307" s="76" t="s">
        <v>31</v>
      </c>
      <c r="L307" s="76" t="s">
        <v>31</v>
      </c>
      <c r="M307" s="76" t="s">
        <v>31</v>
      </c>
      <c r="N307" s="76"/>
      <c r="U307" s="81"/>
    </row>
    <row r="308" spans="1:21" ht="20.25" customHeight="1" x14ac:dyDescent="0.35">
      <c r="A308" s="66" t="s">
        <v>30</v>
      </c>
      <c r="C308" s="67"/>
      <c r="D308" s="92" t="str">
        <f t="shared" ref="D308" si="207">E308</f>
        <v>E100007</v>
      </c>
      <c r="E308" s="91" t="str">
        <f>"E100007"</f>
        <v>E100007</v>
      </c>
      <c r="F308" s="89" t="str">
        <f>"Plastic Handle Bag"</f>
        <v>Plastic Handle Bag</v>
      </c>
      <c r="G308" s="89"/>
      <c r="H308" s="90" t="str">
        <f>"EA"</f>
        <v>EA</v>
      </c>
      <c r="I308" s="89"/>
      <c r="J308" s="89"/>
      <c r="K308" s="89"/>
      <c r="L308" s="89"/>
      <c r="M308" s="89"/>
      <c r="N308" s="89"/>
      <c r="O308" s="88">
        <f>(SUBTOTAL(9,O309:O310))</f>
        <v>400</v>
      </c>
      <c r="P308" s="88">
        <f>(SUBTOTAL(9,P309:P310))</f>
        <v>0</v>
      </c>
      <c r="Q308" s="88">
        <f>(SUBTOTAL(9,Q309:Q310))</f>
        <v>0</v>
      </c>
      <c r="R308" s="88">
        <f>(SUBTOTAL(9,R309:R310))</f>
        <v>0</v>
      </c>
      <c r="S308" s="88">
        <f>(SUBTOTAL(9,S309:S310))</f>
        <v>0</v>
      </c>
      <c r="T308" s="88">
        <f>(SUBTOTAL(9,T309:T310))</f>
        <v>0</v>
      </c>
      <c r="U308" s="87">
        <f t="shared" ref="U308" si="208">SUBTOTAL(9,O309:T310)</f>
        <v>400</v>
      </c>
    </row>
    <row r="309" spans="1:21" ht="17.25" customHeight="1" x14ac:dyDescent="0.3">
      <c r="A309" s="66" t="s">
        <v>30</v>
      </c>
      <c r="C309" s="67"/>
      <c r="D309" s="77" t="str">
        <f t="shared" ref="D309" si="209">D308</f>
        <v>E100007</v>
      </c>
      <c r="E309" s="77"/>
      <c r="F309" s="76"/>
      <c r="G309" s="76" t="str">
        <f>"""NAV Direct"",""CRONUS JetCorp USA"",""32"",""1"",""166789"""</f>
        <v>"NAV Direct","CRONUS JetCorp USA","32","1","166789"</v>
      </c>
      <c r="H309" s="86">
        <v>43466</v>
      </c>
      <c r="I309" s="85">
        <v>166789</v>
      </c>
      <c r="J309" s="84" t="str">
        <f>"Vendor"</f>
        <v>Vendor</v>
      </c>
      <c r="K309" s="84" t="str">
        <f>"V100003"</f>
        <v>V100003</v>
      </c>
      <c r="L309" s="84" t="str">
        <f>IF($J309="Customer",_xll.NL("first",$J309,"Name","No.","@@"&amp;$K309),"")</f>
        <v/>
      </c>
      <c r="M309" s="84" t="str">
        <f>"LogoMasters"</f>
        <v>LogoMasters</v>
      </c>
      <c r="N309" s="84" t="str">
        <f>IF($J309="Item",_xll.NL("first",$J309,"Description","No.","@@"&amp;$K309),"")</f>
        <v/>
      </c>
      <c r="O309" s="83">
        <v>400</v>
      </c>
      <c r="P309" s="83">
        <v>0</v>
      </c>
      <c r="Q309" s="83">
        <v>0</v>
      </c>
      <c r="R309" s="83">
        <v>0</v>
      </c>
      <c r="S309" s="83">
        <v>0</v>
      </c>
      <c r="T309" s="83">
        <v>0</v>
      </c>
      <c r="U309" s="82"/>
    </row>
    <row r="310" spans="1:21" ht="17.25" customHeight="1" x14ac:dyDescent="0.3">
      <c r="A310" s="66" t="s">
        <v>30</v>
      </c>
      <c r="C310" s="67"/>
      <c r="D310" s="77"/>
      <c r="E310" s="77"/>
      <c r="F310" s="76"/>
      <c r="G310" s="76"/>
      <c r="H310" s="76"/>
      <c r="I310" s="76"/>
      <c r="J310" s="76"/>
      <c r="K310" s="76"/>
      <c r="L310" s="76"/>
      <c r="M310" s="76"/>
      <c r="N310" s="76"/>
      <c r="O310" s="75"/>
      <c r="P310" s="75"/>
      <c r="Q310" s="75"/>
      <c r="R310" s="75"/>
      <c r="S310" s="75"/>
      <c r="T310" s="75"/>
      <c r="U310" s="74"/>
    </row>
    <row r="311" spans="1:21" ht="17.25" customHeight="1" x14ac:dyDescent="0.3">
      <c r="A311" s="66" t="s">
        <v>30</v>
      </c>
      <c r="C311" s="67"/>
      <c r="D311" s="77"/>
      <c r="E311" s="77" t="s">
        <v>31</v>
      </c>
      <c r="F311" s="76" t="s">
        <v>31</v>
      </c>
      <c r="G311" s="76" t="s">
        <v>31</v>
      </c>
      <c r="H311" s="76"/>
      <c r="I311" s="76"/>
      <c r="J311" s="76" t="s">
        <v>31</v>
      </c>
      <c r="K311" s="76" t="s">
        <v>31</v>
      </c>
      <c r="L311" s="76" t="s">
        <v>31</v>
      </c>
      <c r="M311" s="76" t="s">
        <v>31</v>
      </c>
      <c r="N311" s="76"/>
      <c r="U311" s="81"/>
    </row>
    <row r="312" spans="1:21" ht="20.25" customHeight="1" x14ac:dyDescent="0.35">
      <c r="A312" s="66" t="s">
        <v>30</v>
      </c>
      <c r="C312" s="67"/>
      <c r="D312" s="92" t="str">
        <f t="shared" ref="D312" si="210">E312</f>
        <v>E100008</v>
      </c>
      <c r="E312" s="91" t="str">
        <f>"E100008"</f>
        <v>E100008</v>
      </c>
      <c r="F312" s="89" t="str">
        <f>"Super Shopper"</f>
        <v>Super Shopper</v>
      </c>
      <c r="G312" s="89"/>
      <c r="H312" s="90" t="str">
        <f>"EA"</f>
        <v>EA</v>
      </c>
      <c r="I312" s="89"/>
      <c r="J312" s="89"/>
      <c r="K312" s="89"/>
      <c r="L312" s="89"/>
      <c r="M312" s="89"/>
      <c r="N312" s="89"/>
      <c r="O312" s="88">
        <f>(SUBTOTAL(9,O313:O314))</f>
        <v>400</v>
      </c>
      <c r="P312" s="88">
        <f>(SUBTOTAL(9,P313:P314))</f>
        <v>0</v>
      </c>
      <c r="Q312" s="88">
        <f>(SUBTOTAL(9,Q313:Q314))</f>
        <v>0</v>
      </c>
      <c r="R312" s="88">
        <f>(SUBTOTAL(9,R313:R314))</f>
        <v>0</v>
      </c>
      <c r="S312" s="88">
        <f>(SUBTOTAL(9,S313:S314))</f>
        <v>0</v>
      </c>
      <c r="T312" s="88">
        <f>(SUBTOTAL(9,T313:T314))</f>
        <v>0</v>
      </c>
      <c r="U312" s="87">
        <f t="shared" ref="U312" si="211">SUBTOTAL(9,O313:T314)</f>
        <v>400</v>
      </c>
    </row>
    <row r="313" spans="1:21" ht="17.25" customHeight="1" x14ac:dyDescent="0.3">
      <c r="A313" s="66" t="s">
        <v>30</v>
      </c>
      <c r="C313" s="67"/>
      <c r="D313" s="77" t="str">
        <f t="shared" ref="D313" si="212">D312</f>
        <v>E100008</v>
      </c>
      <c r="E313" s="77"/>
      <c r="F313" s="76"/>
      <c r="G313" s="76" t="str">
        <f>"""NAV Direct"",""CRONUS JetCorp USA"",""32"",""1"",""166788"""</f>
        <v>"NAV Direct","CRONUS JetCorp USA","32","1","166788"</v>
      </c>
      <c r="H313" s="86">
        <v>43466</v>
      </c>
      <c r="I313" s="85">
        <v>166788</v>
      </c>
      <c r="J313" s="84" t="str">
        <f>"Vendor"</f>
        <v>Vendor</v>
      </c>
      <c r="K313" s="84" t="str">
        <f>"V100003"</f>
        <v>V100003</v>
      </c>
      <c r="L313" s="84" t="str">
        <f>IF($J313="Customer",_xll.NL("first",$J313,"Name","No.","@@"&amp;$K313),"")</f>
        <v/>
      </c>
      <c r="M313" s="84" t="str">
        <f>"LogoMasters"</f>
        <v>LogoMasters</v>
      </c>
      <c r="N313" s="84" t="str">
        <f>IF($J313="Item",_xll.NL("first",$J313,"Description","No.","@@"&amp;$K313),"")</f>
        <v/>
      </c>
      <c r="O313" s="83">
        <v>400</v>
      </c>
      <c r="P313" s="83">
        <v>0</v>
      </c>
      <c r="Q313" s="83">
        <v>0</v>
      </c>
      <c r="R313" s="83">
        <v>0</v>
      </c>
      <c r="S313" s="83">
        <v>0</v>
      </c>
      <c r="T313" s="83">
        <v>0</v>
      </c>
      <c r="U313" s="82"/>
    </row>
    <row r="314" spans="1:21" ht="17.25" customHeight="1" x14ac:dyDescent="0.3">
      <c r="A314" s="66" t="s">
        <v>30</v>
      </c>
      <c r="C314" s="67"/>
      <c r="D314" s="77"/>
      <c r="E314" s="77"/>
      <c r="F314" s="76"/>
      <c r="G314" s="76"/>
      <c r="H314" s="76"/>
      <c r="I314" s="76"/>
      <c r="J314" s="76"/>
      <c r="K314" s="76"/>
      <c r="L314" s="76"/>
      <c r="M314" s="76"/>
      <c r="N314" s="76"/>
      <c r="O314" s="75"/>
      <c r="P314" s="75"/>
      <c r="Q314" s="75"/>
      <c r="R314" s="75"/>
      <c r="S314" s="75"/>
      <c r="T314" s="75"/>
      <c r="U314" s="74"/>
    </row>
    <row r="315" spans="1:21" ht="17.25" customHeight="1" x14ac:dyDescent="0.3">
      <c r="A315" s="66" t="s">
        <v>30</v>
      </c>
      <c r="C315" s="67"/>
      <c r="D315" s="77"/>
      <c r="E315" s="77" t="s">
        <v>31</v>
      </c>
      <c r="F315" s="76" t="s">
        <v>31</v>
      </c>
      <c r="G315" s="76" t="s">
        <v>31</v>
      </c>
      <c r="H315" s="76"/>
      <c r="I315" s="76"/>
      <c r="J315" s="76" t="s">
        <v>31</v>
      </c>
      <c r="K315" s="76" t="s">
        <v>31</v>
      </c>
      <c r="L315" s="76" t="s">
        <v>31</v>
      </c>
      <c r="M315" s="76" t="s">
        <v>31</v>
      </c>
      <c r="N315" s="76"/>
      <c r="U315" s="81"/>
    </row>
    <row r="316" spans="1:21" ht="20.25" customHeight="1" x14ac:dyDescent="0.35">
      <c r="A316" s="66" t="s">
        <v>30</v>
      </c>
      <c r="C316" s="67"/>
      <c r="D316" s="92" t="str">
        <f t="shared" ref="D316" si="213">E316</f>
        <v>E100009</v>
      </c>
      <c r="E316" s="91" t="str">
        <f>"E100009"</f>
        <v>E100009</v>
      </c>
      <c r="F316" s="89" t="str">
        <f>"Die-Cut Tote"</f>
        <v>Die-Cut Tote</v>
      </c>
      <c r="G316" s="89"/>
      <c r="H316" s="90" t="str">
        <f>"EA"</f>
        <v>EA</v>
      </c>
      <c r="I316" s="89"/>
      <c r="J316" s="89"/>
      <c r="K316" s="89"/>
      <c r="L316" s="89"/>
      <c r="M316" s="89"/>
      <c r="N316" s="89"/>
      <c r="O316" s="88">
        <f>(SUBTOTAL(9,O317:O318))</f>
        <v>400</v>
      </c>
      <c r="P316" s="88">
        <f>(SUBTOTAL(9,P317:P318))</f>
        <v>0</v>
      </c>
      <c r="Q316" s="88">
        <f>(SUBTOTAL(9,Q317:Q318))</f>
        <v>0</v>
      </c>
      <c r="R316" s="88">
        <f>(SUBTOTAL(9,R317:R318))</f>
        <v>0</v>
      </c>
      <c r="S316" s="88">
        <f>(SUBTOTAL(9,S317:S318))</f>
        <v>0</v>
      </c>
      <c r="T316" s="88">
        <f>(SUBTOTAL(9,T317:T318))</f>
        <v>0</v>
      </c>
      <c r="U316" s="87">
        <f t="shared" ref="U316" si="214">SUBTOTAL(9,O317:T318)</f>
        <v>400</v>
      </c>
    </row>
    <row r="317" spans="1:21" ht="17.25" customHeight="1" x14ac:dyDescent="0.3">
      <c r="A317" s="66" t="s">
        <v>30</v>
      </c>
      <c r="C317" s="67"/>
      <c r="D317" s="77" t="str">
        <f t="shared" ref="D317" si="215">D316</f>
        <v>E100009</v>
      </c>
      <c r="E317" s="77"/>
      <c r="F317" s="76"/>
      <c r="G317" s="76" t="str">
        <f>"""NAV Direct"",""CRONUS JetCorp USA"",""32"",""1"",""166787"""</f>
        <v>"NAV Direct","CRONUS JetCorp USA","32","1","166787"</v>
      </c>
      <c r="H317" s="86">
        <v>43466</v>
      </c>
      <c r="I317" s="85">
        <v>166787</v>
      </c>
      <c r="J317" s="84" t="str">
        <f>"Vendor"</f>
        <v>Vendor</v>
      </c>
      <c r="K317" s="84" t="str">
        <f>"V100003"</f>
        <v>V100003</v>
      </c>
      <c r="L317" s="84" t="str">
        <f>IF($J317="Customer",_xll.NL("first",$J317,"Name","No.","@@"&amp;$K317),"")</f>
        <v/>
      </c>
      <c r="M317" s="84" t="str">
        <f>"LogoMasters"</f>
        <v>LogoMasters</v>
      </c>
      <c r="N317" s="84" t="str">
        <f>IF($J317="Item",_xll.NL("first",$J317,"Description","No.","@@"&amp;$K317),"")</f>
        <v/>
      </c>
      <c r="O317" s="83">
        <v>400</v>
      </c>
      <c r="P317" s="83">
        <v>0</v>
      </c>
      <c r="Q317" s="83">
        <v>0</v>
      </c>
      <c r="R317" s="83">
        <v>0</v>
      </c>
      <c r="S317" s="83">
        <v>0</v>
      </c>
      <c r="T317" s="83">
        <v>0</v>
      </c>
      <c r="U317" s="82"/>
    </row>
    <row r="318" spans="1:21" ht="17.25" customHeight="1" x14ac:dyDescent="0.3">
      <c r="A318" s="66" t="s">
        <v>30</v>
      </c>
      <c r="C318" s="67"/>
      <c r="D318" s="77"/>
      <c r="E318" s="77"/>
      <c r="F318" s="76"/>
      <c r="G318" s="76"/>
      <c r="H318" s="76"/>
      <c r="I318" s="76"/>
      <c r="J318" s="76"/>
      <c r="K318" s="76"/>
      <c r="L318" s="76"/>
      <c r="M318" s="76"/>
      <c r="N318" s="76"/>
      <c r="O318" s="75"/>
      <c r="P318" s="75"/>
      <c r="Q318" s="75"/>
      <c r="R318" s="75"/>
      <c r="S318" s="75"/>
      <c r="T318" s="75"/>
      <c r="U318" s="74"/>
    </row>
    <row r="319" spans="1:21" ht="17.25" customHeight="1" x14ac:dyDescent="0.3">
      <c r="A319" s="66" t="s">
        <v>30</v>
      </c>
      <c r="C319" s="67"/>
      <c r="D319" s="77"/>
      <c r="E319" s="77" t="s">
        <v>31</v>
      </c>
      <c r="F319" s="76" t="s">
        <v>31</v>
      </c>
      <c r="G319" s="76" t="s">
        <v>31</v>
      </c>
      <c r="H319" s="76"/>
      <c r="I319" s="76"/>
      <c r="J319" s="76" t="s">
        <v>31</v>
      </c>
      <c r="K319" s="76" t="s">
        <v>31</v>
      </c>
      <c r="L319" s="76" t="s">
        <v>31</v>
      </c>
      <c r="M319" s="76" t="s">
        <v>31</v>
      </c>
      <c r="N319" s="76"/>
      <c r="U319" s="81"/>
    </row>
    <row r="320" spans="1:21" ht="20.25" customHeight="1" x14ac:dyDescent="0.35">
      <c r="A320" s="66" t="s">
        <v>30</v>
      </c>
      <c r="C320" s="67"/>
      <c r="D320" s="92" t="str">
        <f t="shared" ref="D320" si="216">E320</f>
        <v>E100010</v>
      </c>
      <c r="E320" s="91" t="str">
        <f>"E100010"</f>
        <v>E100010</v>
      </c>
      <c r="F320" s="89" t="str">
        <f>"Vinyl Tote"</f>
        <v>Vinyl Tote</v>
      </c>
      <c r="G320" s="89"/>
      <c r="H320" s="90" t="str">
        <f>"EA"</f>
        <v>EA</v>
      </c>
      <c r="I320" s="89"/>
      <c r="J320" s="89"/>
      <c r="K320" s="89"/>
      <c r="L320" s="89"/>
      <c r="M320" s="89"/>
      <c r="N320" s="89"/>
      <c r="O320" s="88">
        <f>(SUBTOTAL(9,O321:O322))</f>
        <v>800</v>
      </c>
      <c r="P320" s="88">
        <f>(SUBTOTAL(9,P321:P322))</f>
        <v>0</v>
      </c>
      <c r="Q320" s="88">
        <f>(SUBTOTAL(9,Q321:Q322))</f>
        <v>0</v>
      </c>
      <c r="R320" s="88">
        <f>(SUBTOTAL(9,R321:R322))</f>
        <v>0</v>
      </c>
      <c r="S320" s="88">
        <f>(SUBTOTAL(9,S321:S322))</f>
        <v>0</v>
      </c>
      <c r="T320" s="88">
        <f>(SUBTOTAL(9,T321:T322))</f>
        <v>0</v>
      </c>
      <c r="U320" s="87">
        <f t="shared" ref="U320" si="217">SUBTOTAL(9,O321:T322)</f>
        <v>800</v>
      </c>
    </row>
    <row r="321" spans="1:21" ht="17.25" customHeight="1" x14ac:dyDescent="0.3">
      <c r="A321" s="66" t="s">
        <v>30</v>
      </c>
      <c r="C321" s="67"/>
      <c r="D321" s="77" t="str">
        <f t="shared" ref="D321" si="218">D320</f>
        <v>E100010</v>
      </c>
      <c r="E321" s="77"/>
      <c r="F321" s="76"/>
      <c r="G321" s="76" t="str">
        <f>"""NAV Direct"",""CRONUS JetCorp USA"",""32"",""1"",""166786"""</f>
        <v>"NAV Direct","CRONUS JetCorp USA","32","1","166786"</v>
      </c>
      <c r="H321" s="86">
        <v>43466</v>
      </c>
      <c r="I321" s="85">
        <v>166786</v>
      </c>
      <c r="J321" s="84" t="str">
        <f>"Vendor"</f>
        <v>Vendor</v>
      </c>
      <c r="K321" s="84" t="str">
        <f>"V100003"</f>
        <v>V100003</v>
      </c>
      <c r="L321" s="84" t="str">
        <f>IF($J321="Customer",_xll.NL("first",$J321,"Name","No.","@@"&amp;$K321),"")</f>
        <v/>
      </c>
      <c r="M321" s="84" t="str">
        <f>"LogoMasters"</f>
        <v>LogoMasters</v>
      </c>
      <c r="N321" s="84" t="str">
        <f>IF($J321="Item",_xll.NL("first",$J321,"Description","No.","@@"&amp;$K321),"")</f>
        <v/>
      </c>
      <c r="O321" s="83">
        <v>800</v>
      </c>
      <c r="P321" s="83">
        <v>0</v>
      </c>
      <c r="Q321" s="83">
        <v>0</v>
      </c>
      <c r="R321" s="83">
        <v>0</v>
      </c>
      <c r="S321" s="83">
        <v>0</v>
      </c>
      <c r="T321" s="83">
        <v>0</v>
      </c>
      <c r="U321" s="82"/>
    </row>
    <row r="322" spans="1:21" ht="17.25" customHeight="1" x14ac:dyDescent="0.3">
      <c r="A322" s="66" t="s">
        <v>30</v>
      </c>
      <c r="C322" s="67"/>
      <c r="D322" s="77"/>
      <c r="E322" s="77"/>
      <c r="F322" s="76"/>
      <c r="G322" s="76"/>
      <c r="H322" s="76"/>
      <c r="I322" s="76"/>
      <c r="J322" s="76"/>
      <c r="K322" s="76"/>
      <c r="L322" s="76"/>
      <c r="M322" s="76"/>
      <c r="N322" s="76"/>
      <c r="O322" s="75"/>
      <c r="P322" s="75"/>
      <c r="Q322" s="75"/>
      <c r="R322" s="75"/>
      <c r="S322" s="75"/>
      <c r="T322" s="75"/>
      <c r="U322" s="74"/>
    </row>
    <row r="323" spans="1:21" ht="17.25" customHeight="1" x14ac:dyDescent="0.3">
      <c r="A323" s="66" t="s">
        <v>30</v>
      </c>
      <c r="C323" s="67"/>
      <c r="D323" s="77"/>
      <c r="E323" s="77" t="s">
        <v>31</v>
      </c>
      <c r="F323" s="76" t="s">
        <v>31</v>
      </c>
      <c r="G323" s="76" t="s">
        <v>31</v>
      </c>
      <c r="H323" s="76"/>
      <c r="I323" s="76"/>
      <c r="J323" s="76" t="s">
        <v>31</v>
      </c>
      <c r="K323" s="76" t="s">
        <v>31</v>
      </c>
      <c r="L323" s="76" t="s">
        <v>31</v>
      </c>
      <c r="M323" s="76" t="s">
        <v>31</v>
      </c>
      <c r="N323" s="76"/>
      <c r="U323" s="81"/>
    </row>
    <row r="324" spans="1:21" ht="20.25" customHeight="1" x14ac:dyDescent="0.35">
      <c r="A324" s="66" t="s">
        <v>30</v>
      </c>
      <c r="C324" s="67"/>
      <c r="D324" s="92" t="str">
        <f t="shared" ref="D324" si="219">E324</f>
        <v>E100011</v>
      </c>
      <c r="E324" s="91" t="str">
        <f>"E100011"</f>
        <v>E100011</v>
      </c>
      <c r="F324" s="89" t="str">
        <f>"Plastic Sun Visor"</f>
        <v>Plastic Sun Visor</v>
      </c>
      <c r="G324" s="89"/>
      <c r="H324" s="90" t="str">
        <f>"EA"</f>
        <v>EA</v>
      </c>
      <c r="I324" s="89"/>
      <c r="J324" s="89"/>
      <c r="K324" s="89"/>
      <c r="L324" s="89"/>
      <c r="M324" s="89"/>
      <c r="N324" s="89"/>
      <c r="O324" s="88">
        <f>(SUBTOTAL(9,O325:O327))</f>
        <v>1600</v>
      </c>
      <c r="P324" s="88">
        <f>(SUBTOTAL(9,P325:P327))</f>
        <v>-289</v>
      </c>
      <c r="Q324" s="88">
        <f>(SUBTOTAL(9,Q325:Q327))</f>
        <v>0</v>
      </c>
      <c r="R324" s="88">
        <f>(SUBTOTAL(9,R325:R327))</f>
        <v>0</v>
      </c>
      <c r="S324" s="88">
        <f>(SUBTOTAL(9,S325:S327))</f>
        <v>0</v>
      </c>
      <c r="T324" s="88">
        <f>(SUBTOTAL(9,T325:T327))</f>
        <v>0</v>
      </c>
      <c r="U324" s="87">
        <f t="shared" ref="U324" si="220">SUBTOTAL(9,O325:T327)</f>
        <v>1311</v>
      </c>
    </row>
    <row r="325" spans="1:21" ht="17.25" customHeight="1" x14ac:dyDescent="0.3">
      <c r="A325" s="66" t="s">
        <v>30</v>
      </c>
      <c r="C325" s="67"/>
      <c r="D325" s="77" t="str">
        <f t="shared" ref="D325" si="221">D324</f>
        <v>E100011</v>
      </c>
      <c r="E325" s="77"/>
      <c r="F325" s="76"/>
      <c r="G325" s="76" t="str">
        <f>"""NAV Direct"",""CRONUS JetCorp USA"",""32"",""1"",""167160"""</f>
        <v>"NAV Direct","CRONUS JetCorp USA","32","1","167160"</v>
      </c>
      <c r="H325" s="86">
        <v>43466</v>
      </c>
      <c r="I325" s="85">
        <v>167160</v>
      </c>
      <c r="J325" s="84" t="str">
        <f>"Vendor"</f>
        <v>Vendor</v>
      </c>
      <c r="K325" s="84" t="str">
        <f>"V100003"</f>
        <v>V100003</v>
      </c>
      <c r="L325" s="84" t="str">
        <f>IF($J325="Customer",_xll.NL("first",$J325,"Name","No.","@@"&amp;$K325),"")</f>
        <v/>
      </c>
      <c r="M325" s="84" t="str">
        <f>"LogoMasters"</f>
        <v>LogoMasters</v>
      </c>
      <c r="N325" s="84" t="str">
        <f>IF($J325="Item",_xll.NL("first",$J325,"Description","No.","@@"&amp;$K325),"")</f>
        <v/>
      </c>
      <c r="O325" s="83">
        <v>1600</v>
      </c>
      <c r="P325" s="83">
        <v>0</v>
      </c>
      <c r="Q325" s="83">
        <v>0</v>
      </c>
      <c r="R325" s="83">
        <v>0</v>
      </c>
      <c r="S325" s="83">
        <v>0</v>
      </c>
      <c r="T325" s="83">
        <v>0</v>
      </c>
      <c r="U325" s="82"/>
    </row>
    <row r="326" spans="1:21" ht="17.25" customHeight="1" x14ac:dyDescent="0.3">
      <c r="A326" s="66" t="s">
        <v>30</v>
      </c>
      <c r="C326" s="67"/>
      <c r="D326" s="77" t="str">
        <f t="shared" ref="D326" si="222">D325</f>
        <v>E100011</v>
      </c>
      <c r="E326" s="77"/>
      <c r="F326" s="76"/>
      <c r="G326" s="76" t="str">
        <f>"""NAV Direct"",""CRONUS JetCorp USA"",""32"",""1"",""30039"""</f>
        <v>"NAV Direct","CRONUS JetCorp USA","32","1","30039"</v>
      </c>
      <c r="H326" s="86">
        <v>43471</v>
      </c>
      <c r="I326" s="85">
        <v>30039</v>
      </c>
      <c r="J326" s="84" t="str">
        <f>"Customer"</f>
        <v>Customer</v>
      </c>
      <c r="K326" s="84" t="str">
        <f>"C100012"</f>
        <v>C100012</v>
      </c>
      <c r="L326" s="84" t="str">
        <f>IF($J326="Customer",_xll.NL("first",$J326,"Name","No.","@@"&amp;$K326),"")</f>
        <v>Bainbridges</v>
      </c>
      <c r="M326" s="84" t="str">
        <f>""</f>
        <v/>
      </c>
      <c r="N326" s="84" t="str">
        <f>IF($J326="Item",_xll.NL("first",$J326,"Description","No.","@@"&amp;$K326),"")</f>
        <v/>
      </c>
      <c r="O326" s="83">
        <v>0</v>
      </c>
      <c r="P326" s="83">
        <v>-289</v>
      </c>
      <c r="Q326" s="83">
        <v>0</v>
      </c>
      <c r="R326" s="83">
        <v>0</v>
      </c>
      <c r="S326" s="83">
        <v>0</v>
      </c>
      <c r="T326" s="83">
        <v>0</v>
      </c>
      <c r="U326" s="82"/>
    </row>
    <row r="327" spans="1:21" ht="17.25" customHeight="1" x14ac:dyDescent="0.3">
      <c r="A327" s="66" t="s">
        <v>30</v>
      </c>
      <c r="C327" s="67"/>
      <c r="D327" s="77"/>
      <c r="E327" s="77"/>
      <c r="F327" s="76"/>
      <c r="G327" s="76"/>
      <c r="H327" s="76"/>
      <c r="I327" s="76"/>
      <c r="J327" s="76"/>
      <c r="K327" s="76"/>
      <c r="L327" s="76"/>
      <c r="M327" s="76"/>
      <c r="N327" s="76"/>
      <c r="O327" s="75"/>
      <c r="P327" s="75"/>
      <c r="Q327" s="75"/>
      <c r="R327" s="75"/>
      <c r="S327" s="75"/>
      <c r="T327" s="75"/>
      <c r="U327" s="74"/>
    </row>
    <row r="328" spans="1:21" ht="17.25" customHeight="1" x14ac:dyDescent="0.3">
      <c r="A328" s="66" t="s">
        <v>30</v>
      </c>
      <c r="C328" s="67"/>
      <c r="D328" s="77"/>
      <c r="E328" s="77" t="s">
        <v>31</v>
      </c>
      <c r="F328" s="76" t="s">
        <v>31</v>
      </c>
      <c r="G328" s="76" t="s">
        <v>31</v>
      </c>
      <c r="H328" s="76"/>
      <c r="I328" s="76"/>
      <c r="J328" s="76" t="s">
        <v>31</v>
      </c>
      <c r="K328" s="76" t="s">
        <v>31</v>
      </c>
      <c r="L328" s="76" t="s">
        <v>31</v>
      </c>
      <c r="M328" s="76" t="s">
        <v>31</v>
      </c>
      <c r="N328" s="76"/>
      <c r="U328" s="81"/>
    </row>
    <row r="329" spans="1:21" ht="20.25" customHeight="1" x14ac:dyDescent="0.35">
      <c r="A329" s="66" t="s">
        <v>30</v>
      </c>
      <c r="C329" s="67"/>
      <c r="D329" s="92" t="str">
        <f t="shared" ref="D329" si="223">E329</f>
        <v>E100012</v>
      </c>
      <c r="E329" s="91" t="str">
        <f>"E100012"</f>
        <v>E100012</v>
      </c>
      <c r="F329" s="89" t="str">
        <f>"Canvas Stopwatch"</f>
        <v>Canvas Stopwatch</v>
      </c>
      <c r="G329" s="89"/>
      <c r="H329" s="90" t="str">
        <f>"EA"</f>
        <v>EA</v>
      </c>
      <c r="I329" s="89"/>
      <c r="J329" s="89"/>
      <c r="K329" s="89"/>
      <c r="L329" s="89"/>
      <c r="M329" s="89"/>
      <c r="N329" s="89"/>
      <c r="O329" s="88">
        <f>(SUBTOTAL(9,O330:O332))</f>
        <v>1400</v>
      </c>
      <c r="P329" s="88">
        <f>(SUBTOTAL(9,P330:P332))</f>
        <v>-144</v>
      </c>
      <c r="Q329" s="88">
        <f>(SUBTOTAL(9,Q330:Q332))</f>
        <v>0</v>
      </c>
      <c r="R329" s="88">
        <f>(SUBTOTAL(9,R330:R332))</f>
        <v>0</v>
      </c>
      <c r="S329" s="88">
        <f>(SUBTOTAL(9,S330:S332))</f>
        <v>0</v>
      </c>
      <c r="T329" s="88">
        <f>(SUBTOTAL(9,T330:T332))</f>
        <v>0</v>
      </c>
      <c r="U329" s="87">
        <f t="shared" ref="U329" si="224">SUBTOTAL(9,O330:T332)</f>
        <v>1256</v>
      </c>
    </row>
    <row r="330" spans="1:21" ht="17.25" customHeight="1" x14ac:dyDescent="0.3">
      <c r="A330" s="66" t="s">
        <v>30</v>
      </c>
      <c r="C330" s="67"/>
      <c r="D330" s="77" t="str">
        <f t="shared" ref="D330" si="225">D329</f>
        <v>E100012</v>
      </c>
      <c r="E330" s="77"/>
      <c r="F330" s="76"/>
      <c r="G330" s="76" t="str">
        <f>"""NAV Direct"",""CRONUS JetCorp USA"",""32"",""1"",""167609"""</f>
        <v>"NAV Direct","CRONUS JetCorp USA","32","1","167609"</v>
      </c>
      <c r="H330" s="86">
        <v>43466</v>
      </c>
      <c r="I330" s="85">
        <v>167609</v>
      </c>
      <c r="J330" s="84" t="str">
        <f>"Vendor"</f>
        <v>Vendor</v>
      </c>
      <c r="K330" s="84" t="str">
        <f>"V100003"</f>
        <v>V100003</v>
      </c>
      <c r="L330" s="84" t="str">
        <f>IF($J330="Customer",_xll.NL("first",$J330,"Name","No.","@@"&amp;$K330),"")</f>
        <v/>
      </c>
      <c r="M330" s="84" t="str">
        <f>"LogoMasters"</f>
        <v>LogoMasters</v>
      </c>
      <c r="N330" s="84" t="str">
        <f>IF($J330="Item",_xll.NL("first",$J330,"Description","No.","@@"&amp;$K330),"")</f>
        <v/>
      </c>
      <c r="O330" s="83">
        <v>1400</v>
      </c>
      <c r="P330" s="83">
        <v>0</v>
      </c>
      <c r="Q330" s="83">
        <v>0</v>
      </c>
      <c r="R330" s="83">
        <v>0</v>
      </c>
      <c r="S330" s="83">
        <v>0</v>
      </c>
      <c r="T330" s="83">
        <v>0</v>
      </c>
      <c r="U330" s="82"/>
    </row>
    <row r="331" spans="1:21" ht="17.25" customHeight="1" x14ac:dyDescent="0.3">
      <c r="A331" s="66" t="s">
        <v>30</v>
      </c>
      <c r="C331" s="67"/>
      <c r="D331" s="77" t="str">
        <f t="shared" ref="D331" si="226">D330</f>
        <v>E100012</v>
      </c>
      <c r="E331" s="77"/>
      <c r="F331" s="76"/>
      <c r="G331" s="76" t="str">
        <f>"""NAV Direct"",""CRONUS JetCorp USA"",""32"",""1"",""30115"""</f>
        <v>"NAV Direct","CRONUS JetCorp USA","32","1","30115"</v>
      </c>
      <c r="H331" s="86">
        <v>43475</v>
      </c>
      <c r="I331" s="85">
        <v>30115</v>
      </c>
      <c r="J331" s="84" t="str">
        <f>"Customer"</f>
        <v>Customer</v>
      </c>
      <c r="K331" s="84" t="str">
        <f>"C100012"</f>
        <v>C100012</v>
      </c>
      <c r="L331" s="84" t="str">
        <f>IF($J331="Customer",_xll.NL("first",$J331,"Name","No.","@@"&amp;$K331),"")</f>
        <v>Bainbridges</v>
      </c>
      <c r="M331" s="84" t="str">
        <f>""</f>
        <v/>
      </c>
      <c r="N331" s="84" t="str">
        <f>IF($J331="Item",_xll.NL("first",$J331,"Description","No.","@@"&amp;$K331),"")</f>
        <v/>
      </c>
      <c r="O331" s="83">
        <v>0</v>
      </c>
      <c r="P331" s="83">
        <v>-144</v>
      </c>
      <c r="Q331" s="83">
        <v>0</v>
      </c>
      <c r="R331" s="83">
        <v>0</v>
      </c>
      <c r="S331" s="83">
        <v>0</v>
      </c>
      <c r="T331" s="83">
        <v>0</v>
      </c>
      <c r="U331" s="82"/>
    </row>
    <row r="332" spans="1:21" ht="17.25" customHeight="1" x14ac:dyDescent="0.3">
      <c r="A332" s="66" t="s">
        <v>30</v>
      </c>
      <c r="C332" s="67"/>
      <c r="D332" s="77"/>
      <c r="E332" s="77"/>
      <c r="F332" s="76"/>
      <c r="G332" s="76"/>
      <c r="H332" s="76"/>
      <c r="I332" s="76"/>
      <c r="J332" s="76"/>
      <c r="K332" s="76"/>
      <c r="L332" s="76"/>
      <c r="M332" s="76"/>
      <c r="N332" s="76"/>
      <c r="O332" s="75"/>
      <c r="P332" s="75"/>
      <c r="Q332" s="75"/>
      <c r="R332" s="75"/>
      <c r="S332" s="75"/>
      <c r="T332" s="75"/>
      <c r="U332" s="74"/>
    </row>
    <row r="333" spans="1:21" ht="17.25" customHeight="1" x14ac:dyDescent="0.3">
      <c r="A333" s="66" t="s">
        <v>30</v>
      </c>
      <c r="C333" s="67"/>
      <c r="D333" s="77"/>
      <c r="E333" s="77" t="s">
        <v>31</v>
      </c>
      <c r="F333" s="76" t="s">
        <v>31</v>
      </c>
      <c r="G333" s="76" t="s">
        <v>31</v>
      </c>
      <c r="H333" s="76"/>
      <c r="I333" s="76"/>
      <c r="J333" s="76" t="s">
        <v>31</v>
      </c>
      <c r="K333" s="76" t="s">
        <v>31</v>
      </c>
      <c r="L333" s="76" t="s">
        <v>31</v>
      </c>
      <c r="M333" s="76" t="s">
        <v>31</v>
      </c>
      <c r="N333" s="76"/>
      <c r="U333" s="81"/>
    </row>
    <row r="334" spans="1:21" ht="20.25" customHeight="1" x14ac:dyDescent="0.35">
      <c r="A334" s="66" t="s">
        <v>30</v>
      </c>
      <c r="C334" s="67"/>
      <c r="D334" s="92" t="str">
        <f t="shared" ref="D334" si="227">E334</f>
        <v>E100013</v>
      </c>
      <c r="E334" s="91" t="str">
        <f>"E100013"</f>
        <v>E100013</v>
      </c>
      <c r="F334" s="89" t="str">
        <f>"Clip-on Stopwatch"</f>
        <v>Clip-on Stopwatch</v>
      </c>
      <c r="G334" s="89"/>
      <c r="H334" s="90" t="str">
        <f>"EA"</f>
        <v>EA</v>
      </c>
      <c r="I334" s="89"/>
      <c r="J334" s="89"/>
      <c r="K334" s="89"/>
      <c r="L334" s="89"/>
      <c r="M334" s="89"/>
      <c r="N334" s="89"/>
      <c r="O334" s="88">
        <f>(SUBTOTAL(9,O335:O336))</f>
        <v>999.99999999999989</v>
      </c>
      <c r="P334" s="88">
        <f>(SUBTOTAL(9,P335:P336))</f>
        <v>0</v>
      </c>
      <c r="Q334" s="88">
        <f>(SUBTOTAL(9,Q335:Q336))</f>
        <v>0</v>
      </c>
      <c r="R334" s="88">
        <f>(SUBTOTAL(9,R335:R336))</f>
        <v>0</v>
      </c>
      <c r="S334" s="88">
        <f>(SUBTOTAL(9,S335:S336))</f>
        <v>0</v>
      </c>
      <c r="T334" s="88">
        <f>(SUBTOTAL(9,T335:T336))</f>
        <v>0</v>
      </c>
      <c r="U334" s="87">
        <f t="shared" ref="U334" si="228">SUBTOTAL(9,O335:T336)</f>
        <v>999.99999999999989</v>
      </c>
    </row>
    <row r="335" spans="1:21" ht="17.25" customHeight="1" x14ac:dyDescent="0.3">
      <c r="A335" s="66" t="s">
        <v>30</v>
      </c>
      <c r="C335" s="67"/>
      <c r="D335" s="77" t="str">
        <f t="shared" ref="D335" si="229">D334</f>
        <v>E100013</v>
      </c>
      <c r="E335" s="77"/>
      <c r="F335" s="76"/>
      <c r="G335" s="76" t="str">
        <f>"""NAV Direct"",""CRONUS JetCorp USA"",""32"",""1"",""167608"""</f>
        <v>"NAV Direct","CRONUS JetCorp USA","32","1","167608"</v>
      </c>
      <c r="H335" s="86">
        <v>43466</v>
      </c>
      <c r="I335" s="85">
        <v>167608</v>
      </c>
      <c r="J335" s="84" t="str">
        <f>"Vendor"</f>
        <v>Vendor</v>
      </c>
      <c r="K335" s="84" t="str">
        <f>"V100003"</f>
        <v>V100003</v>
      </c>
      <c r="L335" s="84" t="str">
        <f>IF($J335="Customer",_xll.NL("first",$J335,"Name","No.","@@"&amp;$K335),"")</f>
        <v/>
      </c>
      <c r="M335" s="84" t="str">
        <f>"LogoMasters"</f>
        <v>LogoMasters</v>
      </c>
      <c r="N335" s="84" t="str">
        <f>IF($J335="Item",_xll.NL("first",$J335,"Description","No.","@@"&amp;$K335),"")</f>
        <v/>
      </c>
      <c r="O335" s="83">
        <v>999.99999999999989</v>
      </c>
      <c r="P335" s="83">
        <v>0</v>
      </c>
      <c r="Q335" s="83">
        <v>0</v>
      </c>
      <c r="R335" s="83">
        <v>0</v>
      </c>
      <c r="S335" s="83">
        <v>0</v>
      </c>
      <c r="T335" s="83">
        <v>0</v>
      </c>
      <c r="U335" s="82"/>
    </row>
    <row r="336" spans="1:21" ht="17.25" customHeight="1" x14ac:dyDescent="0.3">
      <c r="A336" s="66" t="s">
        <v>30</v>
      </c>
      <c r="C336" s="67"/>
      <c r="D336" s="77"/>
      <c r="E336" s="77"/>
      <c r="F336" s="76"/>
      <c r="G336" s="76"/>
      <c r="H336" s="76"/>
      <c r="I336" s="76"/>
      <c r="J336" s="76"/>
      <c r="K336" s="76"/>
      <c r="L336" s="76"/>
      <c r="M336" s="76"/>
      <c r="N336" s="76"/>
      <c r="O336" s="75"/>
      <c r="P336" s="75"/>
      <c r="Q336" s="75"/>
      <c r="R336" s="75"/>
      <c r="S336" s="75"/>
      <c r="T336" s="75"/>
      <c r="U336" s="74"/>
    </row>
    <row r="337" spans="1:21" ht="17.25" customHeight="1" x14ac:dyDescent="0.3">
      <c r="A337" s="66" t="s">
        <v>30</v>
      </c>
      <c r="C337" s="67"/>
      <c r="D337" s="77"/>
      <c r="E337" s="77" t="s">
        <v>31</v>
      </c>
      <c r="F337" s="76" t="s">
        <v>31</v>
      </c>
      <c r="G337" s="76" t="s">
        <v>31</v>
      </c>
      <c r="H337" s="76"/>
      <c r="I337" s="76"/>
      <c r="J337" s="76" t="s">
        <v>31</v>
      </c>
      <c r="K337" s="76" t="s">
        <v>31</v>
      </c>
      <c r="L337" s="76" t="s">
        <v>31</v>
      </c>
      <c r="M337" s="76" t="s">
        <v>31</v>
      </c>
      <c r="N337" s="76"/>
      <c r="U337" s="81"/>
    </row>
    <row r="338" spans="1:21" ht="20.25" customHeight="1" x14ac:dyDescent="0.35">
      <c r="A338" s="66" t="s">
        <v>30</v>
      </c>
      <c r="C338" s="67"/>
      <c r="D338" s="92" t="str">
        <f t="shared" ref="D338" si="230">E338</f>
        <v>E100014</v>
      </c>
      <c r="E338" s="91" t="str">
        <f>"E100014"</f>
        <v>E100014</v>
      </c>
      <c r="F338" s="89" t="str">
        <f>"Stopwatch with Neck Rope"</f>
        <v>Stopwatch with Neck Rope</v>
      </c>
      <c r="G338" s="89"/>
      <c r="H338" s="90" t="str">
        <f>"EA"</f>
        <v>EA</v>
      </c>
      <c r="I338" s="89"/>
      <c r="J338" s="89"/>
      <c r="K338" s="89"/>
      <c r="L338" s="89"/>
      <c r="M338" s="89"/>
      <c r="N338" s="89"/>
      <c r="O338" s="88">
        <f>(SUBTOTAL(9,O339:O341))</f>
        <v>999.99999999999989</v>
      </c>
      <c r="P338" s="88">
        <f>(SUBTOTAL(9,P339:P341))</f>
        <v>-144</v>
      </c>
      <c r="Q338" s="88">
        <f>(SUBTOTAL(9,Q339:Q341))</f>
        <v>0</v>
      </c>
      <c r="R338" s="88">
        <f>(SUBTOTAL(9,R339:R341))</f>
        <v>0</v>
      </c>
      <c r="S338" s="88">
        <f>(SUBTOTAL(9,S339:S341))</f>
        <v>0</v>
      </c>
      <c r="T338" s="88">
        <f>(SUBTOTAL(9,T339:T341))</f>
        <v>0</v>
      </c>
      <c r="U338" s="87">
        <f t="shared" ref="U338" si="231">SUBTOTAL(9,O339:T341)</f>
        <v>855.99999999999989</v>
      </c>
    </row>
    <row r="339" spans="1:21" ht="17.25" customHeight="1" x14ac:dyDescent="0.3">
      <c r="A339" s="66" t="s">
        <v>30</v>
      </c>
      <c r="C339" s="67"/>
      <c r="D339" s="77" t="str">
        <f t="shared" ref="D339" si="232">D338</f>
        <v>E100014</v>
      </c>
      <c r="E339" s="77"/>
      <c r="F339" s="76"/>
      <c r="G339" s="76" t="str">
        <f>"""NAV Direct"",""CRONUS JetCorp USA"",""32"",""1"",""167607"""</f>
        <v>"NAV Direct","CRONUS JetCorp USA","32","1","167607"</v>
      </c>
      <c r="H339" s="86">
        <v>43466</v>
      </c>
      <c r="I339" s="85">
        <v>167607</v>
      </c>
      <c r="J339" s="84" t="str">
        <f>"Vendor"</f>
        <v>Vendor</v>
      </c>
      <c r="K339" s="84" t="str">
        <f>"V100003"</f>
        <v>V100003</v>
      </c>
      <c r="L339" s="84" t="str">
        <f>IF($J339="Customer",_xll.NL("first",$J339,"Name","No.","@@"&amp;$K339),"")</f>
        <v/>
      </c>
      <c r="M339" s="84" t="str">
        <f>"LogoMasters"</f>
        <v>LogoMasters</v>
      </c>
      <c r="N339" s="84" t="str">
        <f>IF($J339="Item",_xll.NL("first",$J339,"Description","No.","@@"&amp;$K339),"")</f>
        <v/>
      </c>
      <c r="O339" s="83">
        <v>999.99999999999989</v>
      </c>
      <c r="P339" s="83">
        <v>0</v>
      </c>
      <c r="Q339" s="83">
        <v>0</v>
      </c>
      <c r="R339" s="83">
        <v>0</v>
      </c>
      <c r="S339" s="83">
        <v>0</v>
      </c>
      <c r="T339" s="83">
        <v>0</v>
      </c>
      <c r="U339" s="82"/>
    </row>
    <row r="340" spans="1:21" ht="17.25" customHeight="1" x14ac:dyDescent="0.3">
      <c r="A340" s="66" t="s">
        <v>30</v>
      </c>
      <c r="C340" s="67"/>
      <c r="D340" s="77" t="str">
        <f t="shared" ref="D340" si="233">D339</f>
        <v>E100014</v>
      </c>
      <c r="E340" s="77"/>
      <c r="F340" s="76"/>
      <c r="G340" s="76" t="str">
        <f>"""NAV Direct"",""CRONUS JetCorp USA"",""32"",""1"",""30037"""</f>
        <v>"NAV Direct","CRONUS JetCorp USA","32","1","30037"</v>
      </c>
      <c r="H340" s="86">
        <v>43471</v>
      </c>
      <c r="I340" s="85">
        <v>30037</v>
      </c>
      <c r="J340" s="84" t="str">
        <f>"Customer"</f>
        <v>Customer</v>
      </c>
      <c r="K340" s="84" t="str">
        <f>"C100012"</f>
        <v>C100012</v>
      </c>
      <c r="L340" s="84" t="str">
        <f>IF($J340="Customer",_xll.NL("first",$J340,"Name","No.","@@"&amp;$K340),"")</f>
        <v>Bainbridges</v>
      </c>
      <c r="M340" s="84" t="str">
        <f>""</f>
        <v/>
      </c>
      <c r="N340" s="84" t="str">
        <f>IF($J340="Item",_xll.NL("first",$J340,"Description","No.","@@"&amp;$K340),"")</f>
        <v/>
      </c>
      <c r="O340" s="83">
        <v>0</v>
      </c>
      <c r="P340" s="83">
        <v>-144</v>
      </c>
      <c r="Q340" s="83">
        <v>0</v>
      </c>
      <c r="R340" s="83">
        <v>0</v>
      </c>
      <c r="S340" s="83">
        <v>0</v>
      </c>
      <c r="T340" s="83">
        <v>0</v>
      </c>
      <c r="U340" s="82"/>
    </row>
    <row r="341" spans="1:21" ht="17.25" customHeight="1" x14ac:dyDescent="0.3">
      <c r="A341" s="66" t="s">
        <v>30</v>
      </c>
      <c r="C341" s="67"/>
      <c r="D341" s="77"/>
      <c r="E341" s="77"/>
      <c r="F341" s="76"/>
      <c r="G341" s="76"/>
      <c r="H341" s="76"/>
      <c r="I341" s="76"/>
      <c r="J341" s="76"/>
      <c r="K341" s="76"/>
      <c r="L341" s="76"/>
      <c r="M341" s="76"/>
      <c r="N341" s="76"/>
      <c r="O341" s="75"/>
      <c r="P341" s="75"/>
      <c r="Q341" s="75"/>
      <c r="R341" s="75"/>
      <c r="S341" s="75"/>
      <c r="T341" s="75"/>
      <c r="U341" s="74"/>
    </row>
    <row r="342" spans="1:21" ht="17.25" customHeight="1" x14ac:dyDescent="0.3">
      <c r="A342" s="66" t="s">
        <v>30</v>
      </c>
      <c r="C342" s="67"/>
      <c r="D342" s="77"/>
      <c r="E342" s="77" t="s">
        <v>31</v>
      </c>
      <c r="F342" s="76" t="s">
        <v>31</v>
      </c>
      <c r="G342" s="76" t="s">
        <v>31</v>
      </c>
      <c r="H342" s="76"/>
      <c r="I342" s="76"/>
      <c r="J342" s="76" t="s">
        <v>31</v>
      </c>
      <c r="K342" s="76" t="s">
        <v>31</v>
      </c>
      <c r="L342" s="76" t="s">
        <v>31</v>
      </c>
      <c r="M342" s="76" t="s">
        <v>31</v>
      </c>
      <c r="N342" s="76"/>
      <c r="U342" s="81"/>
    </row>
    <row r="343" spans="1:21" ht="20.25" customHeight="1" x14ac:dyDescent="0.35">
      <c r="A343" s="66" t="s">
        <v>30</v>
      </c>
      <c r="C343" s="67"/>
      <c r="D343" s="92" t="str">
        <f t="shared" ref="D343" si="234">E343</f>
        <v>E100015</v>
      </c>
      <c r="E343" s="91" t="str">
        <f>"E100015"</f>
        <v>E100015</v>
      </c>
      <c r="F343" s="89" t="str">
        <f>"360 Clip Watch"</f>
        <v>360 Clip Watch</v>
      </c>
      <c r="G343" s="89"/>
      <c r="H343" s="90" t="str">
        <f>"EA"</f>
        <v>EA</v>
      </c>
      <c r="I343" s="89"/>
      <c r="J343" s="89"/>
      <c r="K343" s="89"/>
      <c r="L343" s="89"/>
      <c r="M343" s="89"/>
      <c r="N343" s="89"/>
      <c r="O343" s="88">
        <f>(SUBTOTAL(9,O344:O345))</f>
        <v>400</v>
      </c>
      <c r="P343" s="88">
        <f>(SUBTOTAL(9,P344:P345))</f>
        <v>0</v>
      </c>
      <c r="Q343" s="88">
        <f>(SUBTOTAL(9,Q344:Q345))</f>
        <v>0</v>
      </c>
      <c r="R343" s="88">
        <f>(SUBTOTAL(9,R344:R345))</f>
        <v>0</v>
      </c>
      <c r="S343" s="88">
        <f>(SUBTOTAL(9,S344:S345))</f>
        <v>0</v>
      </c>
      <c r="T343" s="88">
        <f>(SUBTOTAL(9,T344:T345))</f>
        <v>0</v>
      </c>
      <c r="U343" s="87">
        <f t="shared" ref="U343" si="235">SUBTOTAL(9,O344:T345)</f>
        <v>400</v>
      </c>
    </row>
    <row r="344" spans="1:21" ht="17.25" customHeight="1" x14ac:dyDescent="0.3">
      <c r="A344" s="66" t="s">
        <v>30</v>
      </c>
      <c r="C344" s="67"/>
      <c r="D344" s="77" t="str">
        <f t="shared" ref="D344" si="236">D343</f>
        <v>E100015</v>
      </c>
      <c r="E344" s="77"/>
      <c r="F344" s="76"/>
      <c r="G344" s="76" t="str">
        <f>"""NAV Direct"",""CRONUS JetCorp USA"",""32"",""1"",""167606"""</f>
        <v>"NAV Direct","CRONUS JetCorp USA","32","1","167606"</v>
      </c>
      <c r="H344" s="86">
        <v>43466</v>
      </c>
      <c r="I344" s="85">
        <v>167606</v>
      </c>
      <c r="J344" s="84" t="str">
        <f>"Vendor"</f>
        <v>Vendor</v>
      </c>
      <c r="K344" s="84" t="str">
        <f>"V100003"</f>
        <v>V100003</v>
      </c>
      <c r="L344" s="84" t="str">
        <f>IF($J344="Customer",_xll.NL("first",$J344,"Name","No.","@@"&amp;$K344),"")</f>
        <v/>
      </c>
      <c r="M344" s="84" t="str">
        <f>"LogoMasters"</f>
        <v>LogoMasters</v>
      </c>
      <c r="N344" s="84" t="str">
        <f>IF($J344="Item",_xll.NL("first",$J344,"Description","No.","@@"&amp;$K344),"")</f>
        <v/>
      </c>
      <c r="O344" s="83">
        <v>400</v>
      </c>
      <c r="P344" s="83">
        <v>0</v>
      </c>
      <c r="Q344" s="83">
        <v>0</v>
      </c>
      <c r="R344" s="83">
        <v>0</v>
      </c>
      <c r="S344" s="83">
        <v>0</v>
      </c>
      <c r="T344" s="83">
        <v>0</v>
      </c>
      <c r="U344" s="82"/>
    </row>
    <row r="345" spans="1:21" ht="17.25" customHeight="1" x14ac:dyDescent="0.3">
      <c r="A345" s="66" t="s">
        <v>30</v>
      </c>
      <c r="C345" s="67"/>
      <c r="D345" s="77"/>
      <c r="E345" s="77"/>
      <c r="F345" s="76"/>
      <c r="G345" s="76"/>
      <c r="H345" s="76"/>
      <c r="I345" s="76"/>
      <c r="J345" s="76"/>
      <c r="K345" s="76"/>
      <c r="L345" s="76"/>
      <c r="M345" s="76"/>
      <c r="N345" s="76"/>
      <c r="O345" s="75"/>
      <c r="P345" s="75"/>
      <c r="Q345" s="75"/>
      <c r="R345" s="75"/>
      <c r="S345" s="75"/>
      <c r="T345" s="75"/>
      <c r="U345" s="74"/>
    </row>
    <row r="346" spans="1:21" ht="17.25" customHeight="1" x14ac:dyDescent="0.3">
      <c r="A346" s="66" t="s">
        <v>30</v>
      </c>
      <c r="C346" s="67"/>
      <c r="D346" s="77"/>
      <c r="E346" s="77" t="s">
        <v>31</v>
      </c>
      <c r="F346" s="76" t="s">
        <v>31</v>
      </c>
      <c r="G346" s="76" t="s">
        <v>31</v>
      </c>
      <c r="H346" s="76"/>
      <c r="I346" s="76"/>
      <c r="J346" s="76" t="s">
        <v>31</v>
      </c>
      <c r="K346" s="76" t="s">
        <v>31</v>
      </c>
      <c r="L346" s="76" t="s">
        <v>31</v>
      </c>
      <c r="M346" s="76" t="s">
        <v>31</v>
      </c>
      <c r="N346" s="76"/>
      <c r="U346" s="81"/>
    </row>
    <row r="347" spans="1:21" ht="20.25" customHeight="1" x14ac:dyDescent="0.35">
      <c r="A347" s="66" t="s">
        <v>30</v>
      </c>
      <c r="C347" s="67"/>
      <c r="D347" s="92" t="str">
        <f t="shared" ref="D347" si="237">E347</f>
        <v>E100016</v>
      </c>
      <c r="E347" s="91" t="str">
        <f>"E100016"</f>
        <v>E100016</v>
      </c>
      <c r="F347" s="89" t="str">
        <f>"4 Function Rotating Carabiner Watch"</f>
        <v>4 Function Rotating Carabiner Watch</v>
      </c>
      <c r="G347" s="89"/>
      <c r="H347" s="90" t="str">
        <f>"EA"</f>
        <v>EA</v>
      </c>
      <c r="I347" s="89"/>
      <c r="J347" s="89"/>
      <c r="K347" s="89"/>
      <c r="L347" s="89"/>
      <c r="M347" s="89"/>
      <c r="N347" s="89"/>
      <c r="O347" s="88">
        <f>(SUBTOTAL(9,O348:O350))</f>
        <v>800</v>
      </c>
      <c r="P347" s="88">
        <f>(SUBTOTAL(9,P348:P350))</f>
        <v>-144</v>
      </c>
      <c r="Q347" s="88">
        <f>(SUBTOTAL(9,Q348:Q350))</f>
        <v>0</v>
      </c>
      <c r="R347" s="88">
        <f>(SUBTOTAL(9,R348:R350))</f>
        <v>0</v>
      </c>
      <c r="S347" s="88">
        <f>(SUBTOTAL(9,S348:S350))</f>
        <v>0</v>
      </c>
      <c r="T347" s="88">
        <f>(SUBTOTAL(9,T348:T350))</f>
        <v>0</v>
      </c>
      <c r="U347" s="87">
        <f t="shared" ref="U347" si="238">SUBTOTAL(9,O348:T350)</f>
        <v>656</v>
      </c>
    </row>
    <row r="348" spans="1:21" ht="17.25" customHeight="1" x14ac:dyDescent="0.3">
      <c r="A348" s="66" t="s">
        <v>30</v>
      </c>
      <c r="C348" s="67"/>
      <c r="D348" s="77" t="str">
        <f t="shared" ref="D348" si="239">D347</f>
        <v>E100016</v>
      </c>
      <c r="E348" s="77"/>
      <c r="F348" s="76"/>
      <c r="G348" s="76" t="str">
        <f>"""NAV Direct"",""CRONUS JetCorp USA"",""32"",""1"",""167605"""</f>
        <v>"NAV Direct","CRONUS JetCorp USA","32","1","167605"</v>
      </c>
      <c r="H348" s="86">
        <v>43466</v>
      </c>
      <c r="I348" s="85">
        <v>167605</v>
      </c>
      <c r="J348" s="84" t="str">
        <f>"Vendor"</f>
        <v>Vendor</v>
      </c>
      <c r="K348" s="84" t="str">
        <f>"V100003"</f>
        <v>V100003</v>
      </c>
      <c r="L348" s="84" t="str">
        <f>IF($J348="Customer",_xll.NL("first",$J348,"Name","No.","@@"&amp;$K348),"")</f>
        <v/>
      </c>
      <c r="M348" s="84" t="str">
        <f>"LogoMasters"</f>
        <v>LogoMasters</v>
      </c>
      <c r="N348" s="84" t="str">
        <f>IF($J348="Item",_xll.NL("first",$J348,"Description","No.","@@"&amp;$K348),"")</f>
        <v/>
      </c>
      <c r="O348" s="83">
        <v>800</v>
      </c>
      <c r="P348" s="83">
        <v>0</v>
      </c>
      <c r="Q348" s="83">
        <v>0</v>
      </c>
      <c r="R348" s="83">
        <v>0</v>
      </c>
      <c r="S348" s="83">
        <v>0</v>
      </c>
      <c r="T348" s="83">
        <v>0</v>
      </c>
      <c r="U348" s="82"/>
    </row>
    <row r="349" spans="1:21" ht="17.25" customHeight="1" x14ac:dyDescent="0.3">
      <c r="A349" s="66" t="s">
        <v>30</v>
      </c>
      <c r="C349" s="67"/>
      <c r="D349" s="77" t="str">
        <f t="shared" ref="D349" si="240">D348</f>
        <v>E100016</v>
      </c>
      <c r="E349" s="77"/>
      <c r="F349" s="76"/>
      <c r="G349" s="76" t="str">
        <f>"""NAV Direct"",""CRONUS JetCorp USA"",""32"",""1"",""30036"""</f>
        <v>"NAV Direct","CRONUS JetCorp USA","32","1","30036"</v>
      </c>
      <c r="H349" s="86">
        <v>43471</v>
      </c>
      <c r="I349" s="85">
        <v>30036</v>
      </c>
      <c r="J349" s="84" t="str">
        <f>"Customer"</f>
        <v>Customer</v>
      </c>
      <c r="K349" s="84" t="str">
        <f>"C100012"</f>
        <v>C100012</v>
      </c>
      <c r="L349" s="84" t="str">
        <f>IF($J349="Customer",_xll.NL("first",$J349,"Name","No.","@@"&amp;$K349),"")</f>
        <v>Bainbridges</v>
      </c>
      <c r="M349" s="84" t="str">
        <f>""</f>
        <v/>
      </c>
      <c r="N349" s="84" t="str">
        <f>IF($J349="Item",_xll.NL("first",$J349,"Description","No.","@@"&amp;$K349),"")</f>
        <v/>
      </c>
      <c r="O349" s="83">
        <v>0</v>
      </c>
      <c r="P349" s="83">
        <v>-144</v>
      </c>
      <c r="Q349" s="83">
        <v>0</v>
      </c>
      <c r="R349" s="83">
        <v>0</v>
      </c>
      <c r="S349" s="83">
        <v>0</v>
      </c>
      <c r="T349" s="83">
        <v>0</v>
      </c>
      <c r="U349" s="82"/>
    </row>
    <row r="350" spans="1:21" ht="17.25" customHeight="1" x14ac:dyDescent="0.3">
      <c r="A350" s="66" t="s">
        <v>30</v>
      </c>
      <c r="C350" s="67"/>
      <c r="D350" s="77"/>
      <c r="E350" s="77"/>
      <c r="F350" s="76"/>
      <c r="G350" s="76"/>
      <c r="H350" s="76"/>
      <c r="I350" s="76"/>
      <c r="J350" s="76"/>
      <c r="K350" s="76"/>
      <c r="L350" s="76"/>
      <c r="M350" s="76"/>
      <c r="N350" s="76"/>
      <c r="O350" s="75"/>
      <c r="P350" s="75"/>
      <c r="Q350" s="75"/>
      <c r="R350" s="75"/>
      <c r="S350" s="75"/>
      <c r="T350" s="75"/>
      <c r="U350" s="74"/>
    </row>
    <row r="351" spans="1:21" ht="17.25" customHeight="1" x14ac:dyDescent="0.3">
      <c r="A351" s="66" t="s">
        <v>30</v>
      </c>
      <c r="C351" s="67"/>
      <c r="D351" s="77"/>
      <c r="E351" s="77" t="s">
        <v>31</v>
      </c>
      <c r="F351" s="76" t="s">
        <v>31</v>
      </c>
      <c r="G351" s="76" t="s">
        <v>31</v>
      </c>
      <c r="H351" s="76"/>
      <c r="I351" s="76"/>
      <c r="J351" s="76" t="s">
        <v>31</v>
      </c>
      <c r="K351" s="76" t="s">
        <v>31</v>
      </c>
      <c r="L351" s="76" t="s">
        <v>31</v>
      </c>
      <c r="M351" s="76" t="s">
        <v>31</v>
      </c>
      <c r="N351" s="76"/>
      <c r="U351" s="81"/>
    </row>
    <row r="352" spans="1:21" ht="20.25" customHeight="1" x14ac:dyDescent="0.35">
      <c r="A352" s="66" t="s">
        <v>30</v>
      </c>
      <c r="C352" s="67"/>
      <c r="D352" s="92" t="str">
        <f t="shared" ref="D352" si="241">E352</f>
        <v>E100017</v>
      </c>
      <c r="E352" s="91" t="str">
        <f>"E100017"</f>
        <v>E100017</v>
      </c>
      <c r="F352" s="89" t="str">
        <f>"Clip-on Clock with Compass"</f>
        <v>Clip-on Clock with Compass</v>
      </c>
      <c r="G352" s="89"/>
      <c r="H352" s="90" t="str">
        <f>"EA"</f>
        <v>EA</v>
      </c>
      <c r="I352" s="89"/>
      <c r="J352" s="89"/>
      <c r="K352" s="89"/>
      <c r="L352" s="89"/>
      <c r="M352" s="89"/>
      <c r="N352" s="89"/>
      <c r="O352" s="88">
        <f>(SUBTOTAL(9,O353:O355))</f>
        <v>1800</v>
      </c>
      <c r="P352" s="88">
        <f>(SUBTOTAL(9,P353:P355))</f>
        <v>-48</v>
      </c>
      <c r="Q352" s="88">
        <f>(SUBTOTAL(9,Q353:Q355))</f>
        <v>0</v>
      </c>
      <c r="R352" s="88">
        <f>(SUBTOTAL(9,R353:R355))</f>
        <v>0</v>
      </c>
      <c r="S352" s="88">
        <f>(SUBTOTAL(9,S353:S355))</f>
        <v>0</v>
      </c>
      <c r="T352" s="88">
        <f>(SUBTOTAL(9,T353:T355))</f>
        <v>0</v>
      </c>
      <c r="U352" s="87">
        <f t="shared" ref="U352" si="242">SUBTOTAL(9,O353:T355)</f>
        <v>1752</v>
      </c>
    </row>
    <row r="353" spans="1:21" ht="17.25" customHeight="1" x14ac:dyDescent="0.3">
      <c r="A353" s="66" t="s">
        <v>30</v>
      </c>
      <c r="C353" s="67"/>
      <c r="D353" s="77" t="str">
        <f t="shared" ref="D353" si="243">D352</f>
        <v>E100017</v>
      </c>
      <c r="E353" s="77"/>
      <c r="F353" s="76"/>
      <c r="G353" s="76" t="str">
        <f>"""NAV Direct"",""CRONUS JetCorp USA"",""32"",""1"",""167604"""</f>
        <v>"NAV Direct","CRONUS JetCorp USA","32","1","167604"</v>
      </c>
      <c r="H353" s="86">
        <v>43466</v>
      </c>
      <c r="I353" s="85">
        <v>167604</v>
      </c>
      <c r="J353" s="84" t="str">
        <f>"Vendor"</f>
        <v>Vendor</v>
      </c>
      <c r="K353" s="84" t="str">
        <f>"V100003"</f>
        <v>V100003</v>
      </c>
      <c r="L353" s="84" t="str">
        <f>IF($J353="Customer",_xll.NL("first",$J353,"Name","No.","@@"&amp;$K353),"")</f>
        <v/>
      </c>
      <c r="M353" s="84" t="str">
        <f>"LogoMasters"</f>
        <v>LogoMasters</v>
      </c>
      <c r="N353" s="84" t="str">
        <f>IF($J353="Item",_xll.NL("first",$J353,"Description","No.","@@"&amp;$K353),"")</f>
        <v/>
      </c>
      <c r="O353" s="83">
        <v>1800</v>
      </c>
      <c r="P353" s="83">
        <v>0</v>
      </c>
      <c r="Q353" s="83">
        <v>0</v>
      </c>
      <c r="R353" s="83">
        <v>0</v>
      </c>
      <c r="S353" s="83">
        <v>0</v>
      </c>
      <c r="T353" s="83">
        <v>0</v>
      </c>
      <c r="U353" s="82"/>
    </row>
    <row r="354" spans="1:21" ht="17.25" customHeight="1" x14ac:dyDescent="0.3">
      <c r="A354" s="66" t="s">
        <v>30</v>
      </c>
      <c r="C354" s="67"/>
      <c r="D354" s="77" t="str">
        <f t="shared" ref="D354" si="244">D353</f>
        <v>E100017</v>
      </c>
      <c r="E354" s="77"/>
      <c r="F354" s="76"/>
      <c r="G354" s="76" t="str">
        <f>"""NAV Direct"",""CRONUS JetCorp USA"",""32"",""1"",""30041"""</f>
        <v>"NAV Direct","CRONUS JetCorp USA","32","1","30041"</v>
      </c>
      <c r="H354" s="86">
        <v>43471</v>
      </c>
      <c r="I354" s="85">
        <v>30041</v>
      </c>
      <c r="J354" s="84" t="str">
        <f>"Customer"</f>
        <v>Customer</v>
      </c>
      <c r="K354" s="84" t="str">
        <f>"C100012"</f>
        <v>C100012</v>
      </c>
      <c r="L354" s="84" t="str">
        <f>IF($J354="Customer",_xll.NL("first",$J354,"Name","No.","@@"&amp;$K354),"")</f>
        <v>Bainbridges</v>
      </c>
      <c r="M354" s="84" t="str">
        <f>""</f>
        <v/>
      </c>
      <c r="N354" s="84" t="str">
        <f>IF($J354="Item",_xll.NL("first",$J354,"Description","No.","@@"&amp;$K354),"")</f>
        <v/>
      </c>
      <c r="O354" s="83">
        <v>0</v>
      </c>
      <c r="P354" s="83">
        <v>-48</v>
      </c>
      <c r="Q354" s="83">
        <v>0</v>
      </c>
      <c r="R354" s="83">
        <v>0</v>
      </c>
      <c r="S354" s="83">
        <v>0</v>
      </c>
      <c r="T354" s="83">
        <v>0</v>
      </c>
      <c r="U354" s="82"/>
    </row>
    <row r="355" spans="1:21" ht="17.25" customHeight="1" x14ac:dyDescent="0.3">
      <c r="A355" s="66" t="s">
        <v>30</v>
      </c>
      <c r="C355" s="67"/>
      <c r="D355" s="77"/>
      <c r="E355" s="77"/>
      <c r="F355" s="76"/>
      <c r="G355" s="76"/>
      <c r="H355" s="76"/>
      <c r="I355" s="76"/>
      <c r="J355" s="76"/>
      <c r="K355" s="76"/>
      <c r="L355" s="76"/>
      <c r="M355" s="76"/>
      <c r="N355" s="76"/>
      <c r="O355" s="75"/>
      <c r="P355" s="75"/>
      <c r="Q355" s="75"/>
      <c r="R355" s="75"/>
      <c r="S355" s="75"/>
      <c r="T355" s="75"/>
      <c r="U355" s="74"/>
    </row>
    <row r="356" spans="1:21" ht="17.25" customHeight="1" x14ac:dyDescent="0.3">
      <c r="A356" s="66" t="s">
        <v>30</v>
      </c>
      <c r="C356" s="67"/>
      <c r="D356" s="77"/>
      <c r="E356" s="77" t="s">
        <v>31</v>
      </c>
      <c r="F356" s="76" t="s">
        <v>31</v>
      </c>
      <c r="G356" s="76" t="s">
        <v>31</v>
      </c>
      <c r="H356" s="76"/>
      <c r="I356" s="76"/>
      <c r="J356" s="76" t="s">
        <v>31</v>
      </c>
      <c r="K356" s="76" t="s">
        <v>31</v>
      </c>
      <c r="L356" s="76" t="s">
        <v>31</v>
      </c>
      <c r="M356" s="76" t="s">
        <v>31</v>
      </c>
      <c r="N356" s="76"/>
      <c r="U356" s="81"/>
    </row>
    <row r="357" spans="1:21" ht="20.25" customHeight="1" x14ac:dyDescent="0.35">
      <c r="A357" s="66" t="s">
        <v>30</v>
      </c>
      <c r="C357" s="67"/>
      <c r="D357" s="92" t="str">
        <f t="shared" ref="D357" si="245">E357</f>
        <v>E100018</v>
      </c>
      <c r="E357" s="91" t="str">
        <f>"E100018"</f>
        <v>E100018</v>
      </c>
      <c r="F357" s="89" t="str">
        <f>"Flexi-Clock &amp; Clip"</f>
        <v>Flexi-Clock &amp; Clip</v>
      </c>
      <c r="G357" s="89"/>
      <c r="H357" s="90" t="str">
        <f>"EA"</f>
        <v>EA</v>
      </c>
      <c r="I357" s="89"/>
      <c r="J357" s="89"/>
      <c r="K357" s="89"/>
      <c r="L357" s="89"/>
      <c r="M357" s="89"/>
      <c r="N357" s="89"/>
      <c r="O357" s="88">
        <f>(SUBTOTAL(9,O358:O364))</f>
        <v>800</v>
      </c>
      <c r="P357" s="88">
        <f>(SUBTOTAL(9,P358:P364))</f>
        <v>-201</v>
      </c>
      <c r="Q357" s="88">
        <f>(SUBTOTAL(9,Q358:Q364))</f>
        <v>0</v>
      </c>
      <c r="R357" s="88">
        <f>(SUBTOTAL(9,R358:R364))</f>
        <v>0</v>
      </c>
      <c r="S357" s="88">
        <f>(SUBTOTAL(9,S358:S364))</f>
        <v>0</v>
      </c>
      <c r="T357" s="88">
        <f>(SUBTOTAL(9,T358:T364))</f>
        <v>0</v>
      </c>
      <c r="U357" s="87">
        <f t="shared" ref="U357" si="246">SUBTOTAL(9,O358:T364)</f>
        <v>599</v>
      </c>
    </row>
    <row r="358" spans="1:21" ht="17.25" customHeight="1" x14ac:dyDescent="0.3">
      <c r="A358" s="66" t="s">
        <v>30</v>
      </c>
      <c r="C358" s="67"/>
      <c r="D358" s="77" t="str">
        <f t="shared" ref="D358" si="247">D357</f>
        <v>E100018</v>
      </c>
      <c r="E358" s="77"/>
      <c r="F358" s="76"/>
      <c r="G358" s="76" t="str">
        <f>"""NAV Direct"",""CRONUS JetCorp USA"",""32"",""1"",""167603"""</f>
        <v>"NAV Direct","CRONUS JetCorp USA","32","1","167603"</v>
      </c>
      <c r="H358" s="86">
        <v>43466</v>
      </c>
      <c r="I358" s="85">
        <v>167603</v>
      </c>
      <c r="J358" s="84" t="str">
        <f>"Vendor"</f>
        <v>Vendor</v>
      </c>
      <c r="K358" s="84" t="str">
        <f>"V100003"</f>
        <v>V100003</v>
      </c>
      <c r="L358" s="84" t="str">
        <f>IF($J358="Customer",_xll.NL("first",$J358,"Name","No.","@@"&amp;$K358),"")</f>
        <v/>
      </c>
      <c r="M358" s="84" t="str">
        <f>"LogoMasters"</f>
        <v>LogoMasters</v>
      </c>
      <c r="N358" s="84" t="str">
        <f>IF($J358="Item",_xll.NL("first",$J358,"Description","No.","@@"&amp;$K358),"")</f>
        <v/>
      </c>
      <c r="O358" s="83">
        <v>800</v>
      </c>
      <c r="P358" s="83">
        <v>0</v>
      </c>
      <c r="Q358" s="83">
        <v>0</v>
      </c>
      <c r="R358" s="83">
        <v>0</v>
      </c>
      <c r="S358" s="83">
        <v>0</v>
      </c>
      <c r="T358" s="83">
        <v>0</v>
      </c>
      <c r="U358" s="82"/>
    </row>
    <row r="359" spans="1:21" ht="17.25" customHeight="1" x14ac:dyDescent="0.3">
      <c r="A359" s="66" t="s">
        <v>30</v>
      </c>
      <c r="C359" s="67"/>
      <c r="D359" s="77" t="str">
        <f t="shared" ref="D359:D363" si="248">D358</f>
        <v>E100018</v>
      </c>
      <c r="E359" s="77"/>
      <c r="F359" s="76"/>
      <c r="G359" s="76" t="str">
        <f>"""NAV Direct"",""CRONUS JetCorp USA"",""32"",""1"",""30040"""</f>
        <v>"NAV Direct","CRONUS JetCorp USA","32","1","30040"</v>
      </c>
      <c r="H359" s="86">
        <v>43471</v>
      </c>
      <c r="I359" s="85">
        <v>30040</v>
      </c>
      <c r="J359" s="84" t="str">
        <f>"Customer"</f>
        <v>Customer</v>
      </c>
      <c r="K359" s="84" t="str">
        <f>"C100012"</f>
        <v>C100012</v>
      </c>
      <c r="L359" s="84" t="str">
        <f>IF($J359="Customer",_xll.NL("first",$J359,"Name","No.","@@"&amp;$K359),"")</f>
        <v>Bainbridges</v>
      </c>
      <c r="M359" s="84" t="str">
        <f>""</f>
        <v/>
      </c>
      <c r="N359" s="84" t="str">
        <f>IF($J359="Item",_xll.NL("first",$J359,"Description","No.","@@"&amp;$K359),"")</f>
        <v/>
      </c>
      <c r="O359" s="83">
        <v>0</v>
      </c>
      <c r="P359" s="83">
        <v>-144</v>
      </c>
      <c r="Q359" s="83">
        <v>0</v>
      </c>
      <c r="R359" s="83">
        <v>0</v>
      </c>
      <c r="S359" s="83">
        <v>0</v>
      </c>
      <c r="T359" s="83">
        <v>0</v>
      </c>
      <c r="U359" s="82"/>
    </row>
    <row r="360" spans="1:21" ht="17.25" customHeight="1" x14ac:dyDescent="0.3">
      <c r="A360" s="66" t="s">
        <v>30</v>
      </c>
      <c r="C360" s="67"/>
      <c r="D360" s="77" t="str">
        <f t="shared" si="248"/>
        <v>E100018</v>
      </c>
      <c r="E360" s="77"/>
      <c r="F360" s="76"/>
      <c r="G360" s="76" t="str">
        <f>"""NAV Direct"",""CRONUS JetCorp USA"",""32"",""1"",""116374"""</f>
        <v>"NAV Direct","CRONUS JetCorp USA","32","1","116374"</v>
      </c>
      <c r="H360" s="86">
        <v>43472</v>
      </c>
      <c r="I360" s="85">
        <v>116374</v>
      </c>
      <c r="J360" s="84" t="str">
        <f>"Customer"</f>
        <v>Customer</v>
      </c>
      <c r="K360" s="84" t="str">
        <f>"C100054"</f>
        <v>C100054</v>
      </c>
      <c r="L360" s="84" t="str">
        <f>IF($J360="Customer",_xll.NL("first",$J360,"Name","No.","@@"&amp;$K360),"")</f>
        <v>London Candoxy Storage Campus</v>
      </c>
      <c r="M360" s="84" t="str">
        <f>""</f>
        <v/>
      </c>
      <c r="N360" s="84" t="str">
        <f>IF($J360="Item",_xll.NL("first",$J360,"Description","No.","@@"&amp;$K360),"")</f>
        <v/>
      </c>
      <c r="O360" s="83">
        <v>0</v>
      </c>
      <c r="P360" s="83">
        <v>-48</v>
      </c>
      <c r="Q360" s="83">
        <v>0</v>
      </c>
      <c r="R360" s="83">
        <v>0</v>
      </c>
      <c r="S360" s="83">
        <v>0</v>
      </c>
      <c r="T360" s="83">
        <v>0</v>
      </c>
      <c r="U360" s="82"/>
    </row>
    <row r="361" spans="1:21" ht="17.25" customHeight="1" x14ac:dyDescent="0.3">
      <c r="A361" s="66" t="s">
        <v>30</v>
      </c>
      <c r="C361" s="67"/>
      <c r="D361" s="77" t="str">
        <f t="shared" si="248"/>
        <v>E100018</v>
      </c>
      <c r="E361" s="77"/>
      <c r="F361" s="76"/>
      <c r="G361" s="76" t="str">
        <f>"""NAV Direct"",""CRONUS JetCorp USA"",""32"",""1"",""30119"""</f>
        <v>"NAV Direct","CRONUS JetCorp USA","32","1","30119"</v>
      </c>
      <c r="H361" s="86">
        <v>43475</v>
      </c>
      <c r="I361" s="85">
        <v>30119</v>
      </c>
      <c r="J361" s="84" t="str">
        <f>"Customer"</f>
        <v>Customer</v>
      </c>
      <c r="K361" s="84" t="str">
        <f>"C100012"</f>
        <v>C100012</v>
      </c>
      <c r="L361" s="84" t="str">
        <f>IF($J361="Customer",_xll.NL("first",$J361,"Name","No.","@@"&amp;$K361),"")</f>
        <v>Bainbridges</v>
      </c>
      <c r="M361" s="84" t="str">
        <f>""</f>
        <v/>
      </c>
      <c r="N361" s="84" t="str">
        <f>IF($J361="Item",_xll.NL("first",$J361,"Description","No.","@@"&amp;$K361),"")</f>
        <v/>
      </c>
      <c r="O361" s="83">
        <v>0</v>
      </c>
      <c r="P361" s="83">
        <v>-1</v>
      </c>
      <c r="Q361" s="83">
        <v>0</v>
      </c>
      <c r="R361" s="83">
        <v>0</v>
      </c>
      <c r="S361" s="83">
        <v>0</v>
      </c>
      <c r="T361" s="83">
        <v>0</v>
      </c>
      <c r="U361" s="82"/>
    </row>
    <row r="362" spans="1:21" ht="17.25" customHeight="1" x14ac:dyDescent="0.3">
      <c r="A362" s="66" t="s">
        <v>30</v>
      </c>
      <c r="C362" s="67"/>
      <c r="D362" s="77" t="str">
        <f t="shared" si="248"/>
        <v>E100018</v>
      </c>
      <c r="E362" s="77"/>
      <c r="F362" s="76"/>
      <c r="G362" s="76" t="str">
        <f>"""NAV Direct"",""CRONUS JetCorp USA"",""32"",""1"",""7592"""</f>
        <v>"NAV Direct","CRONUS JetCorp USA","32","1","7592"</v>
      </c>
      <c r="H362" s="86">
        <v>43476</v>
      </c>
      <c r="I362" s="85">
        <v>7592</v>
      </c>
      <c r="J362" s="84" t="str">
        <f>"Customer"</f>
        <v>Customer</v>
      </c>
      <c r="K362" s="84" t="str">
        <f>"C100030"</f>
        <v>C100030</v>
      </c>
      <c r="L362" s="84" t="str">
        <f>IF($J362="Customer",_xll.NL("first",$J362,"Name","No.","@@"&amp;$K362),"")</f>
        <v>Stutringers</v>
      </c>
      <c r="M362" s="84" t="str">
        <f>""</f>
        <v/>
      </c>
      <c r="N362" s="84" t="str">
        <f>IF($J362="Item",_xll.NL("first",$J362,"Description","No.","@@"&amp;$K362),"")</f>
        <v/>
      </c>
      <c r="O362" s="83">
        <v>0</v>
      </c>
      <c r="P362" s="83">
        <v>-2</v>
      </c>
      <c r="Q362" s="83">
        <v>0</v>
      </c>
      <c r="R362" s="83">
        <v>0</v>
      </c>
      <c r="S362" s="83">
        <v>0</v>
      </c>
      <c r="T362" s="83">
        <v>0</v>
      </c>
      <c r="U362" s="82"/>
    </row>
    <row r="363" spans="1:21" ht="17.25" customHeight="1" x14ac:dyDescent="0.3">
      <c r="A363" s="66" t="s">
        <v>30</v>
      </c>
      <c r="C363" s="67"/>
      <c r="D363" s="77" t="str">
        <f t="shared" si="248"/>
        <v>E100018</v>
      </c>
      <c r="E363" s="77"/>
      <c r="F363" s="76"/>
      <c r="G363" s="76" t="str">
        <f>"""NAV Direct"",""CRONUS JetCorp USA"",""32"",""1"",""7572"""</f>
        <v>"NAV Direct","CRONUS JetCorp USA","32","1","7572"</v>
      </c>
      <c r="H363" s="86">
        <v>43477</v>
      </c>
      <c r="I363" s="85">
        <v>7572</v>
      </c>
      <c r="J363" s="84" t="str">
        <f>"Customer"</f>
        <v>Customer</v>
      </c>
      <c r="K363" s="84" t="str">
        <f>"C100076"</f>
        <v>C100076</v>
      </c>
      <c r="L363" s="84" t="str">
        <f>IF($J363="Customer",_xll.NL("first",$J363,"Name","No.","@@"&amp;$K363),"")</f>
        <v>Showmasters</v>
      </c>
      <c r="M363" s="84" t="str">
        <f>""</f>
        <v/>
      </c>
      <c r="N363" s="84" t="str">
        <f>IF($J363="Item",_xll.NL("first",$J363,"Description","No.","@@"&amp;$K363),"")</f>
        <v/>
      </c>
      <c r="O363" s="83">
        <v>0</v>
      </c>
      <c r="P363" s="83">
        <v>-6</v>
      </c>
      <c r="Q363" s="83">
        <v>0</v>
      </c>
      <c r="R363" s="83">
        <v>0</v>
      </c>
      <c r="S363" s="83">
        <v>0</v>
      </c>
      <c r="T363" s="83">
        <v>0</v>
      </c>
      <c r="U363" s="82"/>
    </row>
    <row r="364" spans="1:21" ht="17.25" customHeight="1" x14ac:dyDescent="0.3">
      <c r="A364" s="66" t="s">
        <v>30</v>
      </c>
      <c r="C364" s="67"/>
      <c r="D364" s="77"/>
      <c r="E364" s="77"/>
      <c r="F364" s="76"/>
      <c r="G364" s="76"/>
      <c r="H364" s="76"/>
      <c r="I364" s="76"/>
      <c r="J364" s="76"/>
      <c r="K364" s="76"/>
      <c r="L364" s="76"/>
      <c r="M364" s="76"/>
      <c r="N364" s="76"/>
      <c r="O364" s="75"/>
      <c r="P364" s="75"/>
      <c r="Q364" s="75"/>
      <c r="R364" s="75"/>
      <c r="S364" s="75"/>
      <c r="T364" s="75"/>
      <c r="U364" s="74"/>
    </row>
    <row r="365" spans="1:21" ht="17.25" customHeight="1" x14ac:dyDescent="0.3">
      <c r="A365" s="66" t="s">
        <v>30</v>
      </c>
      <c r="C365" s="67"/>
      <c r="D365" s="77"/>
      <c r="E365" s="77" t="s">
        <v>31</v>
      </c>
      <c r="F365" s="76" t="s">
        <v>31</v>
      </c>
      <c r="G365" s="76" t="s">
        <v>31</v>
      </c>
      <c r="H365" s="76"/>
      <c r="I365" s="76"/>
      <c r="J365" s="76" t="s">
        <v>31</v>
      </c>
      <c r="K365" s="76" t="s">
        <v>31</v>
      </c>
      <c r="L365" s="76" t="s">
        <v>31</v>
      </c>
      <c r="M365" s="76" t="s">
        <v>31</v>
      </c>
      <c r="N365" s="76"/>
      <c r="U365" s="81"/>
    </row>
    <row r="366" spans="1:21" ht="20.25" customHeight="1" x14ac:dyDescent="0.35">
      <c r="A366" s="66" t="s">
        <v>30</v>
      </c>
      <c r="C366" s="67"/>
      <c r="D366" s="92" t="str">
        <f t="shared" ref="D366" si="249">E366</f>
        <v>E100019</v>
      </c>
      <c r="E366" s="91" t="str">
        <f>"E100019"</f>
        <v>E100019</v>
      </c>
      <c r="F366" s="89" t="str">
        <f>"Mini Travel Alarm"</f>
        <v>Mini Travel Alarm</v>
      </c>
      <c r="G366" s="89"/>
      <c r="H366" s="90" t="str">
        <f>"EA"</f>
        <v>EA</v>
      </c>
      <c r="I366" s="89"/>
      <c r="J366" s="89"/>
      <c r="K366" s="89"/>
      <c r="L366" s="89"/>
      <c r="M366" s="89"/>
      <c r="N366" s="89"/>
      <c r="O366" s="88">
        <f>(SUBTOTAL(9,O367:O369))</f>
        <v>999.99999999999989</v>
      </c>
      <c r="P366" s="88">
        <f>(SUBTOTAL(9,P367:P369))</f>
        <v>-144</v>
      </c>
      <c r="Q366" s="88">
        <f>(SUBTOTAL(9,Q367:Q369))</f>
        <v>0</v>
      </c>
      <c r="R366" s="88">
        <f>(SUBTOTAL(9,R367:R369))</f>
        <v>0</v>
      </c>
      <c r="S366" s="88">
        <f>(SUBTOTAL(9,S367:S369))</f>
        <v>0</v>
      </c>
      <c r="T366" s="88">
        <f>(SUBTOTAL(9,T367:T369))</f>
        <v>0</v>
      </c>
      <c r="U366" s="87">
        <f t="shared" ref="U366" si="250">SUBTOTAL(9,O367:T369)</f>
        <v>855.99999999999989</v>
      </c>
    </row>
    <row r="367" spans="1:21" ht="17.25" customHeight="1" x14ac:dyDescent="0.3">
      <c r="A367" s="66" t="s">
        <v>30</v>
      </c>
      <c r="C367" s="67"/>
      <c r="D367" s="77" t="str">
        <f t="shared" ref="D367" si="251">D366</f>
        <v>E100019</v>
      </c>
      <c r="E367" s="77"/>
      <c r="F367" s="76"/>
      <c r="G367" s="76" t="str">
        <f>"""NAV Direct"",""CRONUS JetCorp USA"",""32"",""1"",""167602"""</f>
        <v>"NAV Direct","CRONUS JetCorp USA","32","1","167602"</v>
      </c>
      <c r="H367" s="86">
        <v>43466</v>
      </c>
      <c r="I367" s="85">
        <v>167602</v>
      </c>
      <c r="J367" s="84" t="str">
        <f>"Vendor"</f>
        <v>Vendor</v>
      </c>
      <c r="K367" s="84" t="str">
        <f>"V100003"</f>
        <v>V100003</v>
      </c>
      <c r="L367" s="84" t="str">
        <f>IF($J367="Customer",_xll.NL("first",$J367,"Name","No.","@@"&amp;$K367),"")</f>
        <v/>
      </c>
      <c r="M367" s="84" t="str">
        <f>"LogoMasters"</f>
        <v>LogoMasters</v>
      </c>
      <c r="N367" s="84" t="str">
        <f>IF($J367="Item",_xll.NL("first",$J367,"Description","No.","@@"&amp;$K367),"")</f>
        <v/>
      </c>
      <c r="O367" s="83">
        <v>999.99999999999989</v>
      </c>
      <c r="P367" s="83">
        <v>0</v>
      </c>
      <c r="Q367" s="83">
        <v>0</v>
      </c>
      <c r="R367" s="83">
        <v>0</v>
      </c>
      <c r="S367" s="83">
        <v>0</v>
      </c>
      <c r="T367" s="83">
        <v>0</v>
      </c>
      <c r="U367" s="82"/>
    </row>
    <row r="368" spans="1:21" ht="17.25" customHeight="1" x14ac:dyDescent="0.3">
      <c r="A368" s="66" t="s">
        <v>30</v>
      </c>
      <c r="C368" s="67"/>
      <c r="D368" s="77" t="str">
        <f t="shared" ref="D368" si="252">D367</f>
        <v>E100019</v>
      </c>
      <c r="E368" s="77"/>
      <c r="F368" s="76"/>
      <c r="G368" s="76" t="str">
        <f>"""NAV Direct"",""CRONUS JetCorp USA"",""32"",""1"",""114269"""</f>
        <v>"NAV Direct","CRONUS JetCorp USA","32","1","114269"</v>
      </c>
      <c r="H368" s="86">
        <v>43470</v>
      </c>
      <c r="I368" s="85">
        <v>114269</v>
      </c>
      <c r="J368" s="84" t="str">
        <f>"Customer"</f>
        <v>Customer</v>
      </c>
      <c r="K368" s="84" t="str">
        <f>"C100076"</f>
        <v>C100076</v>
      </c>
      <c r="L368" s="84" t="str">
        <f>IF($J368="Customer",_xll.NL("first",$J368,"Name","No.","@@"&amp;$K368),"")</f>
        <v>Showmasters</v>
      </c>
      <c r="M368" s="84" t="str">
        <f>""</f>
        <v/>
      </c>
      <c r="N368" s="84" t="str">
        <f>IF($J368="Item",_xll.NL("first",$J368,"Description","No.","@@"&amp;$K368),"")</f>
        <v/>
      </c>
      <c r="O368" s="83">
        <v>0</v>
      </c>
      <c r="P368" s="83">
        <v>-144</v>
      </c>
      <c r="Q368" s="83">
        <v>0</v>
      </c>
      <c r="R368" s="83">
        <v>0</v>
      </c>
      <c r="S368" s="83">
        <v>0</v>
      </c>
      <c r="T368" s="83">
        <v>0</v>
      </c>
      <c r="U368" s="82"/>
    </row>
    <row r="369" spans="1:21" ht="17.25" customHeight="1" x14ac:dyDescent="0.3">
      <c r="A369" s="66" t="s">
        <v>30</v>
      </c>
      <c r="C369" s="67"/>
      <c r="D369" s="77"/>
      <c r="E369" s="77"/>
      <c r="F369" s="76"/>
      <c r="G369" s="76"/>
      <c r="H369" s="76"/>
      <c r="I369" s="76"/>
      <c r="J369" s="76"/>
      <c r="K369" s="76"/>
      <c r="L369" s="76"/>
      <c r="M369" s="76"/>
      <c r="N369" s="76"/>
      <c r="O369" s="75"/>
      <c r="P369" s="75"/>
      <c r="Q369" s="75"/>
      <c r="R369" s="75"/>
      <c r="S369" s="75"/>
      <c r="T369" s="75"/>
      <c r="U369" s="74"/>
    </row>
    <row r="370" spans="1:21" ht="17.25" customHeight="1" x14ac:dyDescent="0.3">
      <c r="A370" s="66" t="s">
        <v>30</v>
      </c>
      <c r="C370" s="67"/>
      <c r="D370" s="77"/>
      <c r="E370" s="77" t="s">
        <v>31</v>
      </c>
      <c r="F370" s="76" t="s">
        <v>31</v>
      </c>
      <c r="G370" s="76" t="s">
        <v>31</v>
      </c>
      <c r="H370" s="76"/>
      <c r="I370" s="76"/>
      <c r="J370" s="76" t="s">
        <v>31</v>
      </c>
      <c r="K370" s="76" t="s">
        <v>31</v>
      </c>
      <c r="L370" s="76" t="s">
        <v>31</v>
      </c>
      <c r="M370" s="76" t="s">
        <v>31</v>
      </c>
      <c r="N370" s="76"/>
      <c r="U370" s="81"/>
    </row>
    <row r="371" spans="1:21" ht="20.25" customHeight="1" x14ac:dyDescent="0.35">
      <c r="A371" s="66" t="s">
        <v>30</v>
      </c>
      <c r="C371" s="67"/>
      <c r="D371" s="92" t="str">
        <f t="shared" ref="D371" si="253">E371</f>
        <v>E100020</v>
      </c>
      <c r="E371" s="91" t="str">
        <f>"E100020"</f>
        <v>E100020</v>
      </c>
      <c r="F371" s="89" t="str">
        <f>"Flip-up Travel Alarm"</f>
        <v>Flip-up Travel Alarm</v>
      </c>
      <c r="G371" s="89"/>
      <c r="H371" s="90" t="str">
        <f>"EA"</f>
        <v>EA</v>
      </c>
      <c r="I371" s="89"/>
      <c r="J371" s="89"/>
      <c r="K371" s="89"/>
      <c r="L371" s="89"/>
      <c r="M371" s="89"/>
      <c r="N371" s="89"/>
      <c r="O371" s="88">
        <f>(SUBTOTAL(9,O372:O375))</f>
        <v>600</v>
      </c>
      <c r="P371" s="88">
        <f>(SUBTOTAL(9,P372:P375))</f>
        <v>-288</v>
      </c>
      <c r="Q371" s="88">
        <f>(SUBTOTAL(9,Q372:Q375))</f>
        <v>0</v>
      </c>
      <c r="R371" s="88">
        <f>(SUBTOTAL(9,R372:R375))</f>
        <v>0</v>
      </c>
      <c r="S371" s="88">
        <f>(SUBTOTAL(9,S372:S375))</f>
        <v>0</v>
      </c>
      <c r="T371" s="88">
        <f>(SUBTOTAL(9,T372:T375))</f>
        <v>0</v>
      </c>
      <c r="U371" s="87">
        <f t="shared" ref="U371" si="254">SUBTOTAL(9,O372:T375)</f>
        <v>312</v>
      </c>
    </row>
    <row r="372" spans="1:21" ht="17.25" customHeight="1" x14ac:dyDescent="0.3">
      <c r="A372" s="66" t="s">
        <v>30</v>
      </c>
      <c r="C372" s="67"/>
      <c r="D372" s="77" t="str">
        <f t="shared" ref="D372" si="255">D371</f>
        <v>E100020</v>
      </c>
      <c r="E372" s="77"/>
      <c r="F372" s="76"/>
      <c r="G372" s="76" t="str">
        <f>"""NAV Direct"",""CRONUS JetCorp USA"",""32"",""1"",""167601"""</f>
        <v>"NAV Direct","CRONUS JetCorp USA","32","1","167601"</v>
      </c>
      <c r="H372" s="86">
        <v>43466</v>
      </c>
      <c r="I372" s="85">
        <v>167601</v>
      </c>
      <c r="J372" s="84" t="str">
        <f>"Vendor"</f>
        <v>Vendor</v>
      </c>
      <c r="K372" s="84" t="str">
        <f>"V100003"</f>
        <v>V100003</v>
      </c>
      <c r="L372" s="84" t="str">
        <f>IF($J372="Customer",_xll.NL("first",$J372,"Name","No.","@@"&amp;$K372),"")</f>
        <v/>
      </c>
      <c r="M372" s="84" t="str">
        <f>"LogoMasters"</f>
        <v>LogoMasters</v>
      </c>
      <c r="N372" s="84" t="str">
        <f>IF($J372="Item",_xll.NL("first",$J372,"Description","No.","@@"&amp;$K372),"")</f>
        <v/>
      </c>
      <c r="O372" s="83">
        <v>600</v>
      </c>
      <c r="P372" s="83">
        <v>0</v>
      </c>
      <c r="Q372" s="83">
        <v>0</v>
      </c>
      <c r="R372" s="83">
        <v>0</v>
      </c>
      <c r="S372" s="83">
        <v>0</v>
      </c>
      <c r="T372" s="83">
        <v>0</v>
      </c>
      <c r="U372" s="82"/>
    </row>
    <row r="373" spans="1:21" ht="17.25" customHeight="1" x14ac:dyDescent="0.3">
      <c r="A373" s="66" t="s">
        <v>30</v>
      </c>
      <c r="C373" s="67"/>
      <c r="D373" s="77" t="str">
        <f t="shared" ref="D373:D374" si="256">D372</f>
        <v>E100020</v>
      </c>
      <c r="E373" s="77"/>
      <c r="F373" s="76"/>
      <c r="G373" s="76" t="str">
        <f>"""NAV Direct"",""CRONUS JetCorp USA"",""32"",""1"",""114278"""</f>
        <v>"NAV Direct","CRONUS JetCorp USA","32","1","114278"</v>
      </c>
      <c r="H373" s="86">
        <v>43474</v>
      </c>
      <c r="I373" s="85">
        <v>114278</v>
      </c>
      <c r="J373" s="84" t="str">
        <f>"Customer"</f>
        <v>Customer</v>
      </c>
      <c r="K373" s="84" t="str">
        <f>"C100076"</f>
        <v>C100076</v>
      </c>
      <c r="L373" s="84" t="str">
        <f>IF($J373="Customer",_xll.NL("first",$J373,"Name","No.","@@"&amp;$K373),"")</f>
        <v>Showmasters</v>
      </c>
      <c r="M373" s="84" t="str">
        <f>""</f>
        <v/>
      </c>
      <c r="N373" s="84" t="str">
        <f>IF($J373="Item",_xll.NL("first",$J373,"Description","No.","@@"&amp;$K373),"")</f>
        <v/>
      </c>
      <c r="O373" s="83">
        <v>0</v>
      </c>
      <c r="P373" s="83">
        <v>-144</v>
      </c>
      <c r="Q373" s="83">
        <v>0</v>
      </c>
      <c r="R373" s="83">
        <v>0</v>
      </c>
      <c r="S373" s="83">
        <v>0</v>
      </c>
      <c r="T373" s="83">
        <v>0</v>
      </c>
      <c r="U373" s="82"/>
    </row>
    <row r="374" spans="1:21" ht="17.25" customHeight="1" x14ac:dyDescent="0.3">
      <c r="A374" s="66" t="s">
        <v>30</v>
      </c>
      <c r="C374" s="67"/>
      <c r="D374" s="77" t="str">
        <f t="shared" si="256"/>
        <v>E100020</v>
      </c>
      <c r="E374" s="77"/>
      <c r="F374" s="76"/>
      <c r="G374" s="76" t="str">
        <f>"""NAV Direct"",""CRONUS JetCorp USA"",""32"",""1"",""7585"""</f>
        <v>"NAV Direct","CRONUS JetCorp USA","32","1","7585"</v>
      </c>
      <c r="H374" s="86">
        <v>43476</v>
      </c>
      <c r="I374" s="85">
        <v>7585</v>
      </c>
      <c r="J374" s="84" t="str">
        <f>"Customer"</f>
        <v>Customer</v>
      </c>
      <c r="K374" s="84" t="str">
        <f>"C100030"</f>
        <v>C100030</v>
      </c>
      <c r="L374" s="84" t="str">
        <f>IF($J374="Customer",_xll.NL("first",$J374,"Name","No.","@@"&amp;$K374),"")</f>
        <v>Stutringers</v>
      </c>
      <c r="M374" s="84" t="str">
        <f>""</f>
        <v/>
      </c>
      <c r="N374" s="84" t="str">
        <f>IF($J374="Item",_xll.NL("first",$J374,"Description","No.","@@"&amp;$K374),"")</f>
        <v/>
      </c>
      <c r="O374" s="83">
        <v>0</v>
      </c>
      <c r="P374" s="83">
        <v>-144</v>
      </c>
      <c r="Q374" s="83">
        <v>0</v>
      </c>
      <c r="R374" s="83">
        <v>0</v>
      </c>
      <c r="S374" s="83">
        <v>0</v>
      </c>
      <c r="T374" s="83">
        <v>0</v>
      </c>
      <c r="U374" s="82"/>
    </row>
    <row r="375" spans="1:21" ht="17.25" customHeight="1" x14ac:dyDescent="0.3">
      <c r="A375" s="66" t="s">
        <v>30</v>
      </c>
      <c r="C375" s="67"/>
      <c r="D375" s="77"/>
      <c r="E375" s="77"/>
      <c r="F375" s="76"/>
      <c r="G375" s="76"/>
      <c r="H375" s="76"/>
      <c r="I375" s="76"/>
      <c r="J375" s="76"/>
      <c r="K375" s="76"/>
      <c r="L375" s="76"/>
      <c r="M375" s="76"/>
      <c r="N375" s="76"/>
      <c r="O375" s="75"/>
      <c r="P375" s="75"/>
      <c r="Q375" s="75"/>
      <c r="R375" s="75"/>
      <c r="S375" s="75"/>
      <c r="T375" s="75"/>
      <c r="U375" s="74"/>
    </row>
    <row r="376" spans="1:21" ht="17.25" customHeight="1" x14ac:dyDescent="0.3">
      <c r="A376" s="66" t="s">
        <v>30</v>
      </c>
      <c r="C376" s="67"/>
      <c r="D376" s="77"/>
      <c r="E376" s="77" t="s">
        <v>31</v>
      </c>
      <c r="F376" s="76" t="s">
        <v>31</v>
      </c>
      <c r="G376" s="76" t="s">
        <v>31</v>
      </c>
      <c r="H376" s="76"/>
      <c r="I376" s="76"/>
      <c r="J376" s="76" t="s">
        <v>31</v>
      </c>
      <c r="K376" s="76" t="s">
        <v>31</v>
      </c>
      <c r="L376" s="76" t="s">
        <v>31</v>
      </c>
      <c r="M376" s="76" t="s">
        <v>31</v>
      </c>
      <c r="N376" s="76"/>
      <c r="U376" s="81"/>
    </row>
    <row r="377" spans="1:21" ht="20.25" customHeight="1" x14ac:dyDescent="0.35">
      <c r="A377" s="66" t="s">
        <v>30</v>
      </c>
      <c r="C377" s="67"/>
      <c r="D377" s="92" t="str">
        <f t="shared" ref="D377" si="257">E377</f>
        <v>E100021</v>
      </c>
      <c r="E377" s="91" t="str">
        <f>"E100021"</f>
        <v>E100021</v>
      </c>
      <c r="F377" s="89" t="str">
        <f>"Slim Travel Alarm"</f>
        <v>Slim Travel Alarm</v>
      </c>
      <c r="G377" s="89"/>
      <c r="H377" s="90" t="str">
        <f>"EA"</f>
        <v>EA</v>
      </c>
      <c r="I377" s="89"/>
      <c r="J377" s="89"/>
      <c r="K377" s="89"/>
      <c r="L377" s="89"/>
      <c r="M377" s="89"/>
      <c r="N377" s="89"/>
      <c r="O377" s="88">
        <f>(SUBTOTAL(9,O378:O384))</f>
        <v>999.99999999999989</v>
      </c>
      <c r="P377" s="88">
        <f>(SUBTOTAL(9,P378:P384))</f>
        <v>-200</v>
      </c>
      <c r="Q377" s="88">
        <f>(SUBTOTAL(9,Q378:Q384))</f>
        <v>0</v>
      </c>
      <c r="R377" s="88">
        <f>(SUBTOTAL(9,R378:R384))</f>
        <v>0</v>
      </c>
      <c r="S377" s="88">
        <f>(SUBTOTAL(9,S378:S384))</f>
        <v>0</v>
      </c>
      <c r="T377" s="88">
        <f>(SUBTOTAL(9,T378:T384))</f>
        <v>0</v>
      </c>
      <c r="U377" s="87">
        <f t="shared" ref="U377" si="258">SUBTOTAL(9,O378:T384)</f>
        <v>799.99999999999989</v>
      </c>
    </row>
    <row r="378" spans="1:21" ht="17.25" customHeight="1" x14ac:dyDescent="0.3">
      <c r="A378" s="66" t="s">
        <v>30</v>
      </c>
      <c r="C378" s="67"/>
      <c r="D378" s="77" t="str">
        <f t="shared" ref="D378" si="259">D377</f>
        <v>E100021</v>
      </c>
      <c r="E378" s="77"/>
      <c r="F378" s="76"/>
      <c r="G378" s="76" t="str">
        <f>"""NAV Direct"",""CRONUS JetCorp USA"",""32"",""1"",""167600"""</f>
        <v>"NAV Direct","CRONUS JetCorp USA","32","1","167600"</v>
      </c>
      <c r="H378" s="86">
        <v>43466</v>
      </c>
      <c r="I378" s="85">
        <v>167600</v>
      </c>
      <c r="J378" s="84" t="str">
        <f>"Vendor"</f>
        <v>Vendor</v>
      </c>
      <c r="K378" s="84" t="str">
        <f>"V100003"</f>
        <v>V100003</v>
      </c>
      <c r="L378" s="84" t="str">
        <f>IF($J378="Customer",_xll.NL("first",$J378,"Name","No.","@@"&amp;$K378),"")</f>
        <v/>
      </c>
      <c r="M378" s="84" t="str">
        <f>"LogoMasters"</f>
        <v>LogoMasters</v>
      </c>
      <c r="N378" s="84" t="str">
        <f>IF($J378="Item",_xll.NL("first",$J378,"Description","No.","@@"&amp;$K378),"")</f>
        <v/>
      </c>
      <c r="O378" s="83">
        <v>999.99999999999989</v>
      </c>
      <c r="P378" s="83">
        <v>0</v>
      </c>
      <c r="Q378" s="83">
        <v>0</v>
      </c>
      <c r="R378" s="83">
        <v>0</v>
      </c>
      <c r="S378" s="83">
        <v>0</v>
      </c>
      <c r="T378" s="83">
        <v>0</v>
      </c>
      <c r="U378" s="82"/>
    </row>
    <row r="379" spans="1:21" ht="17.25" customHeight="1" x14ac:dyDescent="0.3">
      <c r="A379" s="66" t="s">
        <v>30</v>
      </c>
      <c r="C379" s="67"/>
      <c r="D379" s="77" t="str">
        <f t="shared" ref="D379:D383" si="260">D378</f>
        <v>E100021</v>
      </c>
      <c r="E379" s="77"/>
      <c r="F379" s="76"/>
      <c r="G379" s="76" t="str">
        <f>"""NAV Direct"",""CRONUS JetCorp USA"",""32"",""1"",""7563"""</f>
        <v>"NAV Direct","CRONUS JetCorp USA","32","1","7563"</v>
      </c>
      <c r="H379" s="86">
        <v>43469</v>
      </c>
      <c r="I379" s="85">
        <v>7563</v>
      </c>
      <c r="J379" s="84" t="str">
        <f>"Customer"</f>
        <v>Customer</v>
      </c>
      <c r="K379" s="84" t="str">
        <f>"C100030"</f>
        <v>C100030</v>
      </c>
      <c r="L379" s="84" t="str">
        <f>IF($J379="Customer",_xll.NL("first",$J379,"Name","No.","@@"&amp;$K379),"")</f>
        <v>Stutringers</v>
      </c>
      <c r="M379" s="84" t="str">
        <f>""</f>
        <v/>
      </c>
      <c r="N379" s="84" t="str">
        <f>IF($J379="Item",_xll.NL("first",$J379,"Description","No.","@@"&amp;$K379),"")</f>
        <v/>
      </c>
      <c r="O379" s="83">
        <v>0</v>
      </c>
      <c r="P379" s="83">
        <v>-1</v>
      </c>
      <c r="Q379" s="83">
        <v>0</v>
      </c>
      <c r="R379" s="83">
        <v>0</v>
      </c>
      <c r="S379" s="83">
        <v>0</v>
      </c>
      <c r="T379" s="83">
        <v>0</v>
      </c>
      <c r="U379" s="82"/>
    </row>
    <row r="380" spans="1:21" ht="17.25" customHeight="1" x14ac:dyDescent="0.3">
      <c r="A380" s="66" t="s">
        <v>30</v>
      </c>
      <c r="C380" s="67"/>
      <c r="D380" s="77" t="str">
        <f t="shared" si="260"/>
        <v>E100021</v>
      </c>
      <c r="E380" s="77"/>
      <c r="F380" s="76"/>
      <c r="G380" s="76" t="str">
        <f>"""NAV Direct"",""CRONUS JetCorp USA"",""32"",""1"",""114270"""</f>
        <v>"NAV Direct","CRONUS JetCorp USA","32","1","114270"</v>
      </c>
      <c r="H380" s="86">
        <v>43470</v>
      </c>
      <c r="I380" s="85">
        <v>114270</v>
      </c>
      <c r="J380" s="84" t="str">
        <f>"Customer"</f>
        <v>Customer</v>
      </c>
      <c r="K380" s="84" t="str">
        <f>"C100076"</f>
        <v>C100076</v>
      </c>
      <c r="L380" s="84" t="str">
        <f>IF($J380="Customer",_xll.NL("first",$J380,"Name","No.","@@"&amp;$K380),"")</f>
        <v>Showmasters</v>
      </c>
      <c r="M380" s="84" t="str">
        <f>""</f>
        <v/>
      </c>
      <c r="N380" s="84" t="str">
        <f>IF($J380="Item",_xll.NL("first",$J380,"Description","No.","@@"&amp;$K380),"")</f>
        <v/>
      </c>
      <c r="O380" s="83">
        <v>0</v>
      </c>
      <c r="P380" s="83">
        <v>-48</v>
      </c>
      <c r="Q380" s="83">
        <v>0</v>
      </c>
      <c r="R380" s="83">
        <v>0</v>
      </c>
      <c r="S380" s="83">
        <v>0</v>
      </c>
      <c r="T380" s="83">
        <v>0</v>
      </c>
      <c r="U380" s="82"/>
    </row>
    <row r="381" spans="1:21" ht="17.25" customHeight="1" x14ac:dyDescent="0.3">
      <c r="A381" s="66" t="s">
        <v>30</v>
      </c>
      <c r="C381" s="67"/>
      <c r="D381" s="77" t="str">
        <f t="shared" si="260"/>
        <v>E100021</v>
      </c>
      <c r="E381" s="77"/>
      <c r="F381" s="76"/>
      <c r="G381" s="76" t="str">
        <f>"""NAV Direct"",""CRONUS JetCorp USA"",""32"",""1"",""114280"""</f>
        <v>"NAV Direct","CRONUS JetCorp USA","32","1","114280"</v>
      </c>
      <c r="H381" s="86">
        <v>43474</v>
      </c>
      <c r="I381" s="85">
        <v>114280</v>
      </c>
      <c r="J381" s="84" t="str">
        <f>"Customer"</f>
        <v>Customer</v>
      </c>
      <c r="K381" s="84" t="str">
        <f>"C100076"</f>
        <v>C100076</v>
      </c>
      <c r="L381" s="84" t="str">
        <f>IF($J381="Customer",_xll.NL("first",$J381,"Name","No.","@@"&amp;$K381),"")</f>
        <v>Showmasters</v>
      </c>
      <c r="M381" s="84" t="str">
        <f>""</f>
        <v/>
      </c>
      <c r="N381" s="84" t="str">
        <f>IF($J381="Item",_xll.NL("first",$J381,"Description","No.","@@"&amp;$K381),"")</f>
        <v/>
      </c>
      <c r="O381" s="83">
        <v>0</v>
      </c>
      <c r="P381" s="83">
        <v>-6</v>
      </c>
      <c r="Q381" s="83">
        <v>0</v>
      </c>
      <c r="R381" s="83">
        <v>0</v>
      </c>
      <c r="S381" s="83">
        <v>0</v>
      </c>
      <c r="T381" s="83">
        <v>0</v>
      </c>
      <c r="U381" s="82"/>
    </row>
    <row r="382" spans="1:21" ht="17.25" customHeight="1" x14ac:dyDescent="0.3">
      <c r="A382" s="66" t="s">
        <v>30</v>
      </c>
      <c r="C382" s="67"/>
      <c r="D382" s="77" t="str">
        <f t="shared" si="260"/>
        <v>E100021</v>
      </c>
      <c r="E382" s="77"/>
      <c r="F382" s="76"/>
      <c r="G382" s="76" t="str">
        <f>"""NAV Direct"",""CRONUS JetCorp USA"",""32"",""1"",""7569"""</f>
        <v>"NAV Direct","CRONUS JetCorp USA","32","1","7569"</v>
      </c>
      <c r="H382" s="86">
        <v>43477</v>
      </c>
      <c r="I382" s="85">
        <v>7569</v>
      </c>
      <c r="J382" s="84" t="str">
        <f>"Customer"</f>
        <v>Customer</v>
      </c>
      <c r="K382" s="84" t="str">
        <f>"C100076"</f>
        <v>C100076</v>
      </c>
      <c r="L382" s="84" t="str">
        <f>IF($J382="Customer",_xll.NL("first",$J382,"Name","No.","@@"&amp;$K382),"")</f>
        <v>Showmasters</v>
      </c>
      <c r="M382" s="84" t="str">
        <f>""</f>
        <v/>
      </c>
      <c r="N382" s="84" t="str">
        <f>IF($J382="Item",_xll.NL("first",$J382,"Description","No.","@@"&amp;$K382),"")</f>
        <v/>
      </c>
      <c r="O382" s="83">
        <v>0</v>
      </c>
      <c r="P382" s="83">
        <v>-144</v>
      </c>
      <c r="Q382" s="83">
        <v>0</v>
      </c>
      <c r="R382" s="83">
        <v>0</v>
      </c>
      <c r="S382" s="83">
        <v>0</v>
      </c>
      <c r="T382" s="83">
        <v>0</v>
      </c>
      <c r="U382" s="82"/>
    </row>
    <row r="383" spans="1:21" ht="17.25" customHeight="1" x14ac:dyDescent="0.3">
      <c r="A383" s="66" t="s">
        <v>30</v>
      </c>
      <c r="C383" s="67"/>
      <c r="D383" s="77" t="str">
        <f t="shared" si="260"/>
        <v>E100021</v>
      </c>
      <c r="E383" s="77"/>
      <c r="F383" s="76"/>
      <c r="G383" s="76" t="str">
        <f>"""NAV Direct"",""CRONUS JetCorp USA"",""32"",""1"",""10236"""</f>
        <v>"NAV Direct","CRONUS JetCorp USA","32","1","10236"</v>
      </c>
      <c r="H383" s="86">
        <v>43477</v>
      </c>
      <c r="I383" s="85">
        <v>10236</v>
      </c>
      <c r="J383" s="84" t="str">
        <f>"Customer"</f>
        <v>Customer</v>
      </c>
      <c r="K383" s="84" t="str">
        <f>"C100054"</f>
        <v>C100054</v>
      </c>
      <c r="L383" s="84" t="str">
        <f>IF($J383="Customer",_xll.NL("first",$J383,"Name","No.","@@"&amp;$K383),"")</f>
        <v>London Candoxy Storage Campus</v>
      </c>
      <c r="M383" s="84" t="str">
        <f>""</f>
        <v/>
      </c>
      <c r="N383" s="84" t="str">
        <f>IF($J383="Item",_xll.NL("first",$J383,"Description","No.","@@"&amp;$K383),"")</f>
        <v/>
      </c>
      <c r="O383" s="83">
        <v>0</v>
      </c>
      <c r="P383" s="83">
        <v>-1</v>
      </c>
      <c r="Q383" s="83">
        <v>0</v>
      </c>
      <c r="R383" s="83">
        <v>0</v>
      </c>
      <c r="S383" s="83">
        <v>0</v>
      </c>
      <c r="T383" s="83">
        <v>0</v>
      </c>
      <c r="U383" s="82"/>
    </row>
    <row r="384" spans="1:21" ht="17.25" customHeight="1" x14ac:dyDescent="0.3">
      <c r="A384" s="66" t="s">
        <v>30</v>
      </c>
      <c r="C384" s="67"/>
      <c r="D384" s="77"/>
      <c r="E384" s="77"/>
      <c r="F384" s="76"/>
      <c r="G384" s="76"/>
      <c r="H384" s="76"/>
      <c r="I384" s="76"/>
      <c r="J384" s="76"/>
      <c r="K384" s="76"/>
      <c r="L384" s="76"/>
      <c r="M384" s="76"/>
      <c r="N384" s="76"/>
      <c r="O384" s="75"/>
      <c r="P384" s="75"/>
      <c r="Q384" s="75"/>
      <c r="R384" s="75"/>
      <c r="S384" s="75"/>
      <c r="T384" s="75"/>
      <c r="U384" s="74"/>
    </row>
    <row r="385" spans="1:21" ht="17.25" customHeight="1" x14ac:dyDescent="0.3">
      <c r="A385" s="66" t="s">
        <v>30</v>
      </c>
      <c r="C385" s="67"/>
      <c r="D385" s="77"/>
      <c r="E385" s="77" t="s">
        <v>31</v>
      </c>
      <c r="F385" s="76" t="s">
        <v>31</v>
      </c>
      <c r="G385" s="76" t="s">
        <v>31</v>
      </c>
      <c r="H385" s="76"/>
      <c r="I385" s="76"/>
      <c r="J385" s="76" t="s">
        <v>31</v>
      </c>
      <c r="K385" s="76" t="s">
        <v>31</v>
      </c>
      <c r="L385" s="76" t="s">
        <v>31</v>
      </c>
      <c r="M385" s="76" t="s">
        <v>31</v>
      </c>
      <c r="N385" s="76"/>
      <c r="U385" s="81"/>
    </row>
    <row r="386" spans="1:21" ht="20.25" customHeight="1" x14ac:dyDescent="0.35">
      <c r="A386" s="66" t="s">
        <v>30</v>
      </c>
      <c r="C386" s="67"/>
      <c r="D386" s="92" t="str">
        <f t="shared" ref="D386" si="261">E386</f>
        <v>E100022</v>
      </c>
      <c r="E386" s="91" t="str">
        <f>"E100022"</f>
        <v>E100022</v>
      </c>
      <c r="F386" s="89" t="str">
        <f>"Wide Screen Alarm Clock"</f>
        <v>Wide Screen Alarm Clock</v>
      </c>
      <c r="G386" s="89"/>
      <c r="H386" s="90" t="str">
        <f>"EA"</f>
        <v>EA</v>
      </c>
      <c r="I386" s="89"/>
      <c r="J386" s="89"/>
      <c r="K386" s="89"/>
      <c r="L386" s="89"/>
      <c r="M386" s="89"/>
      <c r="N386" s="89"/>
      <c r="O386" s="88">
        <f>(SUBTOTAL(9,O387:O392))</f>
        <v>1800</v>
      </c>
      <c r="P386" s="88">
        <f>(SUBTOTAL(9,P387:P392))</f>
        <v>-102</v>
      </c>
      <c r="Q386" s="88">
        <f>(SUBTOTAL(9,Q387:Q392))</f>
        <v>0</v>
      </c>
      <c r="R386" s="88">
        <f>(SUBTOTAL(9,R387:R392))</f>
        <v>0</v>
      </c>
      <c r="S386" s="88">
        <f>(SUBTOTAL(9,S387:S392))</f>
        <v>0</v>
      </c>
      <c r="T386" s="88">
        <f>(SUBTOTAL(9,T387:T392))</f>
        <v>0</v>
      </c>
      <c r="U386" s="87">
        <f t="shared" ref="U386" si="262">SUBTOTAL(9,O387:T392)</f>
        <v>1698</v>
      </c>
    </row>
    <row r="387" spans="1:21" ht="17.25" customHeight="1" x14ac:dyDescent="0.3">
      <c r="A387" s="66" t="s">
        <v>30</v>
      </c>
      <c r="C387" s="67"/>
      <c r="D387" s="77" t="str">
        <f t="shared" ref="D387" si="263">D386</f>
        <v>E100022</v>
      </c>
      <c r="E387" s="77"/>
      <c r="F387" s="76"/>
      <c r="G387" s="76" t="str">
        <f>"""NAV Direct"",""CRONUS JetCorp USA"",""32"",""1"",""167599"""</f>
        <v>"NAV Direct","CRONUS JetCorp USA","32","1","167599"</v>
      </c>
      <c r="H387" s="86">
        <v>43466</v>
      </c>
      <c r="I387" s="85">
        <v>167599</v>
      </c>
      <c r="J387" s="84" t="str">
        <f>"Vendor"</f>
        <v>Vendor</v>
      </c>
      <c r="K387" s="84" t="str">
        <f>"V100003"</f>
        <v>V100003</v>
      </c>
      <c r="L387" s="84" t="str">
        <f>IF($J387="Customer",_xll.NL("first",$J387,"Name","No.","@@"&amp;$K387),"")</f>
        <v/>
      </c>
      <c r="M387" s="84" t="str">
        <f>"LogoMasters"</f>
        <v>LogoMasters</v>
      </c>
      <c r="N387" s="84" t="str">
        <f>IF($J387="Item",_xll.NL("first",$J387,"Description","No.","@@"&amp;$K387),"")</f>
        <v/>
      </c>
      <c r="O387" s="83">
        <v>1800</v>
      </c>
      <c r="P387" s="83">
        <v>0</v>
      </c>
      <c r="Q387" s="83">
        <v>0</v>
      </c>
      <c r="R387" s="83">
        <v>0</v>
      </c>
      <c r="S387" s="83">
        <v>0</v>
      </c>
      <c r="T387" s="83">
        <v>0</v>
      </c>
      <c r="U387" s="82"/>
    </row>
    <row r="388" spans="1:21" ht="17.25" customHeight="1" x14ac:dyDescent="0.3">
      <c r="A388" s="66" t="s">
        <v>30</v>
      </c>
      <c r="C388" s="67"/>
      <c r="D388" s="77" t="str">
        <f t="shared" ref="D388:D391" si="264">D387</f>
        <v>E100022</v>
      </c>
      <c r="E388" s="77"/>
      <c r="F388" s="76"/>
      <c r="G388" s="76" t="str">
        <f>"""NAV Direct"",""CRONUS JetCorp USA"",""32"",""1"",""7593"""</f>
        <v>"NAV Direct","CRONUS JetCorp USA","32","1","7593"</v>
      </c>
      <c r="H388" s="86">
        <v>43476</v>
      </c>
      <c r="I388" s="85">
        <v>7593</v>
      </c>
      <c r="J388" s="84" t="str">
        <f>"Customer"</f>
        <v>Customer</v>
      </c>
      <c r="K388" s="84" t="str">
        <f>"C100030"</f>
        <v>C100030</v>
      </c>
      <c r="L388" s="84" t="str">
        <f>IF($J388="Customer",_xll.NL("first",$J388,"Name","No.","@@"&amp;$K388),"")</f>
        <v>Stutringers</v>
      </c>
      <c r="M388" s="84" t="str">
        <f>""</f>
        <v/>
      </c>
      <c r="N388" s="84" t="str">
        <f>IF($J388="Item",_xll.NL("first",$J388,"Description","No.","@@"&amp;$K388),"")</f>
        <v/>
      </c>
      <c r="O388" s="83">
        <v>0</v>
      </c>
      <c r="P388" s="83">
        <v>-1</v>
      </c>
      <c r="Q388" s="83">
        <v>0</v>
      </c>
      <c r="R388" s="83">
        <v>0</v>
      </c>
      <c r="S388" s="83">
        <v>0</v>
      </c>
      <c r="T388" s="83">
        <v>0</v>
      </c>
      <c r="U388" s="82"/>
    </row>
    <row r="389" spans="1:21" ht="17.25" customHeight="1" x14ac:dyDescent="0.3">
      <c r="A389" s="66" t="s">
        <v>30</v>
      </c>
      <c r="C389" s="67"/>
      <c r="D389" s="77" t="str">
        <f t="shared" si="264"/>
        <v>E100022</v>
      </c>
      <c r="E389" s="77"/>
      <c r="F389" s="76"/>
      <c r="G389" s="76" t="str">
        <f>"""NAV Direct"",""CRONUS JetCorp USA"",""32"",""1"",""7571"""</f>
        <v>"NAV Direct","CRONUS JetCorp USA","32","1","7571"</v>
      </c>
      <c r="H389" s="86">
        <v>43477</v>
      </c>
      <c r="I389" s="85">
        <v>7571</v>
      </c>
      <c r="J389" s="84" t="str">
        <f>"Customer"</f>
        <v>Customer</v>
      </c>
      <c r="K389" s="84" t="str">
        <f>"C100076"</f>
        <v>C100076</v>
      </c>
      <c r="L389" s="84" t="str">
        <f>IF($J389="Customer",_xll.NL("first",$J389,"Name","No.","@@"&amp;$K389),"")</f>
        <v>Showmasters</v>
      </c>
      <c r="M389" s="84" t="str">
        <f>""</f>
        <v/>
      </c>
      <c r="N389" s="84" t="str">
        <f>IF($J389="Item",_xll.NL("first",$J389,"Description","No.","@@"&amp;$K389),"")</f>
        <v/>
      </c>
      <c r="O389" s="83">
        <v>0</v>
      </c>
      <c r="P389" s="83">
        <v>-48</v>
      </c>
      <c r="Q389" s="83">
        <v>0</v>
      </c>
      <c r="R389" s="83">
        <v>0</v>
      </c>
      <c r="S389" s="83">
        <v>0</v>
      </c>
      <c r="T389" s="83">
        <v>0</v>
      </c>
      <c r="U389" s="82"/>
    </row>
    <row r="390" spans="1:21" ht="17.25" customHeight="1" x14ac:dyDescent="0.3">
      <c r="A390" s="66" t="s">
        <v>30</v>
      </c>
      <c r="C390" s="67"/>
      <c r="D390" s="77" t="str">
        <f t="shared" si="264"/>
        <v>E100022</v>
      </c>
      <c r="E390" s="77"/>
      <c r="F390" s="76"/>
      <c r="G390" s="76" t="str">
        <f>"""NAV Direct"",""CRONUS JetCorp USA"",""32"",""1"",""10232"""</f>
        <v>"NAV Direct","CRONUS JetCorp USA","32","1","10232"</v>
      </c>
      <c r="H390" s="86">
        <v>43477</v>
      </c>
      <c r="I390" s="85">
        <v>10232</v>
      </c>
      <c r="J390" s="84" t="str">
        <f>"Customer"</f>
        <v>Customer</v>
      </c>
      <c r="K390" s="84" t="str">
        <f>"C100054"</f>
        <v>C100054</v>
      </c>
      <c r="L390" s="84" t="str">
        <f>IF($J390="Customer",_xll.NL("first",$J390,"Name","No.","@@"&amp;$K390),"")</f>
        <v>London Candoxy Storage Campus</v>
      </c>
      <c r="M390" s="84" t="str">
        <f>""</f>
        <v/>
      </c>
      <c r="N390" s="84" t="str">
        <f>IF($J390="Item",_xll.NL("first",$J390,"Description","No.","@@"&amp;$K390),"")</f>
        <v/>
      </c>
      <c r="O390" s="83">
        <v>0</v>
      </c>
      <c r="P390" s="83">
        <v>-49</v>
      </c>
      <c r="Q390" s="83">
        <v>0</v>
      </c>
      <c r="R390" s="83">
        <v>0</v>
      </c>
      <c r="S390" s="83">
        <v>0</v>
      </c>
      <c r="T390" s="83">
        <v>0</v>
      </c>
      <c r="U390" s="82"/>
    </row>
    <row r="391" spans="1:21" ht="17.25" customHeight="1" x14ac:dyDescent="0.3">
      <c r="A391" s="66" t="s">
        <v>30</v>
      </c>
      <c r="C391" s="67"/>
      <c r="D391" s="77" t="str">
        <f t="shared" si="264"/>
        <v>E100022</v>
      </c>
      <c r="E391" s="77"/>
      <c r="F391" s="76"/>
      <c r="G391" s="76" t="str">
        <f>"""NAV Direct"",""CRONUS JetCorp USA"",""32"",""1"",""114294"""</f>
        <v>"NAV Direct","CRONUS JetCorp USA","32","1","114294"</v>
      </c>
      <c r="H391" s="86">
        <v>43477</v>
      </c>
      <c r="I391" s="85">
        <v>114294</v>
      </c>
      <c r="J391" s="84" t="str">
        <f>"Customer"</f>
        <v>Customer</v>
      </c>
      <c r="K391" s="84" t="str">
        <f>"C100030"</f>
        <v>C100030</v>
      </c>
      <c r="L391" s="84" t="str">
        <f>IF($J391="Customer",_xll.NL("first",$J391,"Name","No.","@@"&amp;$K391),"")</f>
        <v>Stutringers</v>
      </c>
      <c r="M391" s="84" t="str">
        <f>""</f>
        <v/>
      </c>
      <c r="N391" s="84" t="str">
        <f>IF($J391="Item",_xll.NL("first",$J391,"Description","No.","@@"&amp;$K391),"")</f>
        <v/>
      </c>
      <c r="O391" s="83">
        <v>0</v>
      </c>
      <c r="P391" s="83">
        <v>-4</v>
      </c>
      <c r="Q391" s="83">
        <v>0</v>
      </c>
      <c r="R391" s="83">
        <v>0</v>
      </c>
      <c r="S391" s="83">
        <v>0</v>
      </c>
      <c r="T391" s="83">
        <v>0</v>
      </c>
      <c r="U391" s="82"/>
    </row>
    <row r="392" spans="1:21" ht="17.25" customHeight="1" x14ac:dyDescent="0.3">
      <c r="A392" s="66" t="s">
        <v>30</v>
      </c>
      <c r="C392" s="67"/>
      <c r="D392" s="77"/>
      <c r="E392" s="77"/>
      <c r="F392" s="76"/>
      <c r="G392" s="76"/>
      <c r="H392" s="76"/>
      <c r="I392" s="76"/>
      <c r="J392" s="76"/>
      <c r="K392" s="76"/>
      <c r="L392" s="76"/>
      <c r="M392" s="76"/>
      <c r="N392" s="76"/>
      <c r="O392" s="75"/>
      <c r="P392" s="75"/>
      <c r="Q392" s="75"/>
      <c r="R392" s="75"/>
      <c r="S392" s="75"/>
      <c r="T392" s="75"/>
      <c r="U392" s="74"/>
    </row>
    <row r="393" spans="1:21" ht="17.25" customHeight="1" x14ac:dyDescent="0.3">
      <c r="A393" s="66" t="s">
        <v>30</v>
      </c>
      <c r="C393" s="67"/>
      <c r="D393" s="77"/>
      <c r="E393" s="77" t="s">
        <v>31</v>
      </c>
      <c r="F393" s="76" t="s">
        <v>31</v>
      </c>
      <c r="G393" s="76" t="s">
        <v>31</v>
      </c>
      <c r="H393" s="76"/>
      <c r="I393" s="76"/>
      <c r="J393" s="76" t="s">
        <v>31</v>
      </c>
      <c r="K393" s="76" t="s">
        <v>31</v>
      </c>
      <c r="L393" s="76" t="s">
        <v>31</v>
      </c>
      <c r="M393" s="76" t="s">
        <v>31</v>
      </c>
      <c r="N393" s="76"/>
      <c r="U393" s="81"/>
    </row>
    <row r="394" spans="1:21" ht="20.25" customHeight="1" x14ac:dyDescent="0.35">
      <c r="A394" s="66" t="s">
        <v>30</v>
      </c>
      <c r="C394" s="67"/>
      <c r="D394" s="92" t="str">
        <f t="shared" ref="D394" si="265">E394</f>
        <v>E100023</v>
      </c>
      <c r="E394" s="91" t="str">
        <f>"E100023"</f>
        <v>E100023</v>
      </c>
      <c r="F394" s="89" t="str">
        <f>"Sport Earbuds"</f>
        <v>Sport Earbuds</v>
      </c>
      <c r="G394" s="89"/>
      <c r="H394" s="90" t="str">
        <f>"EA"</f>
        <v>EA</v>
      </c>
      <c r="I394" s="89"/>
      <c r="J394" s="89"/>
      <c r="K394" s="89"/>
      <c r="L394" s="89"/>
      <c r="M394" s="89"/>
      <c r="N394" s="89"/>
      <c r="O394" s="88">
        <f>(SUBTOTAL(9,O395:O396))</f>
        <v>700</v>
      </c>
      <c r="P394" s="88">
        <f>(SUBTOTAL(9,P395:P396))</f>
        <v>0</v>
      </c>
      <c r="Q394" s="88">
        <f>(SUBTOTAL(9,Q395:Q396))</f>
        <v>0</v>
      </c>
      <c r="R394" s="88">
        <f>(SUBTOTAL(9,R395:R396))</f>
        <v>0</v>
      </c>
      <c r="S394" s="88">
        <f>(SUBTOTAL(9,S395:S396))</f>
        <v>0</v>
      </c>
      <c r="T394" s="88">
        <f>(SUBTOTAL(9,T395:T396))</f>
        <v>0</v>
      </c>
      <c r="U394" s="87">
        <f t="shared" ref="U394" si="266">SUBTOTAL(9,O395:T396)</f>
        <v>700</v>
      </c>
    </row>
    <row r="395" spans="1:21" ht="17.25" customHeight="1" x14ac:dyDescent="0.3">
      <c r="A395" s="66" t="s">
        <v>30</v>
      </c>
      <c r="C395" s="67"/>
      <c r="D395" s="77" t="str">
        <f t="shared" ref="D395" si="267">D394</f>
        <v>E100023</v>
      </c>
      <c r="E395" s="77"/>
      <c r="F395" s="76"/>
      <c r="G395" s="76" t="str">
        <f>"""NAV Direct"",""CRONUS JetCorp USA"",""32"",""1"",""168043"""</f>
        <v>"NAV Direct","CRONUS JetCorp USA","32","1","168043"</v>
      </c>
      <c r="H395" s="86">
        <v>43466</v>
      </c>
      <c r="I395" s="85">
        <v>168043</v>
      </c>
      <c r="J395" s="84" t="str">
        <f>"Vendor"</f>
        <v>Vendor</v>
      </c>
      <c r="K395" s="84" t="str">
        <f>"V100003"</f>
        <v>V100003</v>
      </c>
      <c r="L395" s="84" t="str">
        <f>IF($J395="Customer",_xll.NL("first",$J395,"Name","No.","@@"&amp;$K395),"")</f>
        <v/>
      </c>
      <c r="M395" s="84" t="str">
        <f>"LogoMasters"</f>
        <v>LogoMasters</v>
      </c>
      <c r="N395" s="84" t="str">
        <f>IF($J395="Item",_xll.NL("first",$J395,"Description","No.","@@"&amp;$K395),"")</f>
        <v/>
      </c>
      <c r="O395" s="83">
        <v>700</v>
      </c>
      <c r="P395" s="83">
        <v>0</v>
      </c>
      <c r="Q395" s="83">
        <v>0</v>
      </c>
      <c r="R395" s="83">
        <v>0</v>
      </c>
      <c r="S395" s="83">
        <v>0</v>
      </c>
      <c r="T395" s="83">
        <v>0</v>
      </c>
      <c r="U395" s="82"/>
    </row>
    <row r="396" spans="1:21" ht="17.25" customHeight="1" x14ac:dyDescent="0.3">
      <c r="A396" s="66" t="s">
        <v>30</v>
      </c>
      <c r="C396" s="67"/>
      <c r="D396" s="77"/>
      <c r="E396" s="77"/>
      <c r="F396" s="76"/>
      <c r="G396" s="76"/>
      <c r="H396" s="76"/>
      <c r="I396" s="76"/>
      <c r="J396" s="76"/>
      <c r="K396" s="76"/>
      <c r="L396" s="76"/>
      <c r="M396" s="76"/>
      <c r="N396" s="76"/>
      <c r="O396" s="75"/>
      <c r="P396" s="75"/>
      <c r="Q396" s="75"/>
      <c r="R396" s="75"/>
      <c r="S396" s="75"/>
      <c r="T396" s="75"/>
      <c r="U396" s="74"/>
    </row>
    <row r="397" spans="1:21" ht="17.25" customHeight="1" x14ac:dyDescent="0.3">
      <c r="A397" s="66" t="s">
        <v>30</v>
      </c>
      <c r="C397" s="67"/>
      <c r="D397" s="77"/>
      <c r="E397" s="77" t="s">
        <v>31</v>
      </c>
      <c r="F397" s="76" t="s">
        <v>31</v>
      </c>
      <c r="G397" s="76" t="s">
        <v>31</v>
      </c>
      <c r="H397" s="76"/>
      <c r="I397" s="76"/>
      <c r="J397" s="76" t="s">
        <v>31</v>
      </c>
      <c r="K397" s="76" t="s">
        <v>31</v>
      </c>
      <c r="L397" s="76" t="s">
        <v>31</v>
      </c>
      <c r="M397" s="76" t="s">
        <v>31</v>
      </c>
      <c r="N397" s="76"/>
      <c r="U397" s="81"/>
    </row>
    <row r="398" spans="1:21" ht="20.25" customHeight="1" x14ac:dyDescent="0.35">
      <c r="A398" s="66" t="s">
        <v>30</v>
      </c>
      <c r="C398" s="67"/>
      <c r="D398" s="92" t="str">
        <f t="shared" ref="D398" si="268">E398</f>
        <v>E100024</v>
      </c>
      <c r="E398" s="91" t="str">
        <f>"E100024"</f>
        <v>E100024</v>
      </c>
      <c r="F398" s="89" t="str">
        <f>"Arch Calculator"</f>
        <v>Arch Calculator</v>
      </c>
      <c r="G398" s="89"/>
      <c r="H398" s="90" t="str">
        <f>"EA"</f>
        <v>EA</v>
      </c>
      <c r="I398" s="89"/>
      <c r="J398" s="89"/>
      <c r="K398" s="89"/>
      <c r="L398" s="89"/>
      <c r="M398" s="89"/>
      <c r="N398" s="89"/>
      <c r="O398" s="88">
        <f>(SUBTOTAL(9,O399:O401))</f>
        <v>249.99999999999997</v>
      </c>
      <c r="P398" s="88">
        <f>(SUBTOTAL(9,P399:P401))</f>
        <v>12</v>
      </c>
      <c r="Q398" s="88">
        <f>(SUBTOTAL(9,Q399:Q401))</f>
        <v>0</v>
      </c>
      <c r="R398" s="88">
        <f>(SUBTOTAL(9,R399:R401))</f>
        <v>0</v>
      </c>
      <c r="S398" s="88">
        <f>(SUBTOTAL(9,S399:S401))</f>
        <v>0</v>
      </c>
      <c r="T398" s="88">
        <f>(SUBTOTAL(9,T399:T401))</f>
        <v>0</v>
      </c>
      <c r="U398" s="87">
        <f t="shared" ref="U398" si="269">SUBTOTAL(9,O399:T401)</f>
        <v>262</v>
      </c>
    </row>
    <row r="399" spans="1:21" ht="17.25" customHeight="1" x14ac:dyDescent="0.3">
      <c r="A399" s="66" t="s">
        <v>30</v>
      </c>
      <c r="C399" s="67"/>
      <c r="D399" s="77" t="str">
        <f t="shared" ref="D399" si="270">D398</f>
        <v>E100024</v>
      </c>
      <c r="E399" s="77"/>
      <c r="F399" s="76"/>
      <c r="G399" s="76" t="str">
        <f>"""NAV Direct"",""CRONUS JetCorp USA"",""32"",""1"",""168359"""</f>
        <v>"NAV Direct","CRONUS JetCorp USA","32","1","168359"</v>
      </c>
      <c r="H399" s="86">
        <v>43466</v>
      </c>
      <c r="I399" s="85">
        <v>168359</v>
      </c>
      <c r="J399" s="84" t="str">
        <f>"Vendor"</f>
        <v>Vendor</v>
      </c>
      <c r="K399" s="84" t="str">
        <f>"V100003"</f>
        <v>V100003</v>
      </c>
      <c r="L399" s="84" t="str">
        <f>IF($J399="Customer",_xll.NL("first",$J399,"Name","No.","@@"&amp;$K399),"")</f>
        <v/>
      </c>
      <c r="M399" s="84" t="str">
        <f>"LogoMasters"</f>
        <v>LogoMasters</v>
      </c>
      <c r="N399" s="84" t="str">
        <f>IF($J399="Item",_xll.NL("first",$J399,"Description","No.","@@"&amp;$K399),"")</f>
        <v/>
      </c>
      <c r="O399" s="83">
        <v>249.99999999999997</v>
      </c>
      <c r="P399" s="83">
        <v>0</v>
      </c>
      <c r="Q399" s="83">
        <v>0</v>
      </c>
      <c r="R399" s="83">
        <v>0</v>
      </c>
      <c r="S399" s="83">
        <v>0</v>
      </c>
      <c r="T399" s="83">
        <v>0</v>
      </c>
      <c r="U399" s="82"/>
    </row>
    <row r="400" spans="1:21" ht="17.25" customHeight="1" x14ac:dyDescent="0.3">
      <c r="A400" s="66" t="s">
        <v>30</v>
      </c>
      <c r="C400" s="67"/>
      <c r="D400" s="77" t="str">
        <f t="shared" ref="D400" si="271">D399</f>
        <v>E100024</v>
      </c>
      <c r="E400" s="77"/>
      <c r="F400" s="76"/>
      <c r="G400" s="76" t="str">
        <f>"""NAV Direct"",""CRONUS JetCorp USA"",""32"",""1"",""158691"""</f>
        <v>"NAV Direct","CRONUS JetCorp USA","32","1","158691"</v>
      </c>
      <c r="H400" s="86">
        <v>43471</v>
      </c>
      <c r="I400" s="85">
        <v>158691</v>
      </c>
      <c r="J400" s="84" t="str">
        <f>"Customer"</f>
        <v>Customer</v>
      </c>
      <c r="K400" s="84" t="str">
        <f>"C100126"</f>
        <v>C100126</v>
      </c>
      <c r="L400" s="84" t="str">
        <f>IF($J400="Customer",_xll.NL("first",$J400,"Name","No.","@@"&amp;$K400),"")</f>
        <v>Moveex</v>
      </c>
      <c r="M400" s="84" t="str">
        <f>""</f>
        <v/>
      </c>
      <c r="N400" s="84" t="str">
        <f>IF($J400="Item",_xll.NL("first",$J400,"Description","No.","@@"&amp;$K400),"")</f>
        <v/>
      </c>
      <c r="O400" s="83">
        <v>0</v>
      </c>
      <c r="P400" s="83">
        <v>12</v>
      </c>
      <c r="Q400" s="83">
        <v>0</v>
      </c>
      <c r="R400" s="83">
        <v>0</v>
      </c>
      <c r="S400" s="83">
        <v>0</v>
      </c>
      <c r="T400" s="83">
        <v>0</v>
      </c>
      <c r="U400" s="82"/>
    </row>
    <row r="401" spans="1:21" ht="17.25" customHeight="1" x14ac:dyDescent="0.3">
      <c r="A401" s="66" t="s">
        <v>30</v>
      </c>
      <c r="C401" s="67"/>
      <c r="D401" s="77"/>
      <c r="E401" s="77"/>
      <c r="F401" s="76"/>
      <c r="G401" s="76"/>
      <c r="H401" s="76"/>
      <c r="I401" s="76"/>
      <c r="J401" s="76"/>
      <c r="K401" s="76"/>
      <c r="L401" s="76"/>
      <c r="M401" s="76"/>
      <c r="N401" s="76"/>
      <c r="O401" s="75"/>
      <c r="P401" s="75"/>
      <c r="Q401" s="75"/>
      <c r="R401" s="75"/>
      <c r="S401" s="75"/>
      <c r="T401" s="75"/>
      <c r="U401" s="74"/>
    </row>
    <row r="402" spans="1:21" ht="17.25" customHeight="1" x14ac:dyDescent="0.3">
      <c r="A402" s="66" t="s">
        <v>30</v>
      </c>
      <c r="C402" s="67"/>
      <c r="D402" s="77"/>
      <c r="E402" s="77" t="s">
        <v>31</v>
      </c>
      <c r="F402" s="76" t="s">
        <v>31</v>
      </c>
      <c r="G402" s="76" t="s">
        <v>31</v>
      </c>
      <c r="H402" s="76"/>
      <c r="I402" s="76"/>
      <c r="J402" s="76" t="s">
        <v>31</v>
      </c>
      <c r="K402" s="76" t="s">
        <v>31</v>
      </c>
      <c r="L402" s="76" t="s">
        <v>31</v>
      </c>
      <c r="M402" s="76" t="s">
        <v>31</v>
      </c>
      <c r="N402" s="76"/>
      <c r="U402" s="81"/>
    </row>
    <row r="403" spans="1:21" ht="20.25" customHeight="1" x14ac:dyDescent="0.35">
      <c r="A403" s="66" t="s">
        <v>30</v>
      </c>
      <c r="C403" s="67"/>
      <c r="D403" s="92" t="str">
        <f t="shared" ref="D403" si="272">E403</f>
        <v>E100025</v>
      </c>
      <c r="E403" s="91" t="str">
        <f>"E100025"</f>
        <v>E100025</v>
      </c>
      <c r="F403" s="89" t="str">
        <f>"Calc-U-Note"</f>
        <v>Calc-U-Note</v>
      </c>
      <c r="G403" s="89"/>
      <c r="H403" s="90" t="str">
        <f>"EA"</f>
        <v>EA</v>
      </c>
      <c r="I403" s="89"/>
      <c r="J403" s="89"/>
      <c r="K403" s="89"/>
      <c r="L403" s="89"/>
      <c r="M403" s="89"/>
      <c r="N403" s="89"/>
      <c r="O403" s="88">
        <f>(SUBTOTAL(9,O404:O405))</f>
        <v>1250</v>
      </c>
      <c r="P403" s="88">
        <f>(SUBTOTAL(9,P404:P405))</f>
        <v>0</v>
      </c>
      <c r="Q403" s="88">
        <f>(SUBTOTAL(9,Q404:Q405))</f>
        <v>0</v>
      </c>
      <c r="R403" s="88">
        <f>(SUBTOTAL(9,R404:R405))</f>
        <v>0</v>
      </c>
      <c r="S403" s="88">
        <f>(SUBTOTAL(9,S404:S405))</f>
        <v>0</v>
      </c>
      <c r="T403" s="88">
        <f>(SUBTOTAL(9,T404:T405))</f>
        <v>0</v>
      </c>
      <c r="U403" s="87">
        <f t="shared" ref="U403" si="273">SUBTOTAL(9,O404:T405)</f>
        <v>1250</v>
      </c>
    </row>
    <row r="404" spans="1:21" ht="17.25" customHeight="1" x14ac:dyDescent="0.3">
      <c r="A404" s="66" t="s">
        <v>30</v>
      </c>
      <c r="C404" s="67"/>
      <c r="D404" s="77" t="str">
        <f t="shared" ref="D404" si="274">D403</f>
        <v>E100025</v>
      </c>
      <c r="E404" s="77"/>
      <c r="F404" s="76"/>
      <c r="G404" s="76" t="str">
        <f>"""NAV Direct"",""CRONUS JetCorp USA"",""32"",""1"",""168358"""</f>
        <v>"NAV Direct","CRONUS JetCorp USA","32","1","168358"</v>
      </c>
      <c r="H404" s="86">
        <v>43466</v>
      </c>
      <c r="I404" s="85">
        <v>168358</v>
      </c>
      <c r="J404" s="84" t="str">
        <f>"Vendor"</f>
        <v>Vendor</v>
      </c>
      <c r="K404" s="84" t="str">
        <f>"V100003"</f>
        <v>V100003</v>
      </c>
      <c r="L404" s="84" t="str">
        <f>IF($J404="Customer",_xll.NL("first",$J404,"Name","No.","@@"&amp;$K404),"")</f>
        <v/>
      </c>
      <c r="M404" s="84" t="str">
        <f>"LogoMasters"</f>
        <v>LogoMasters</v>
      </c>
      <c r="N404" s="84" t="str">
        <f>IF($J404="Item",_xll.NL("first",$J404,"Description","No.","@@"&amp;$K404),"")</f>
        <v/>
      </c>
      <c r="O404" s="83">
        <v>1250</v>
      </c>
      <c r="P404" s="83">
        <v>0</v>
      </c>
      <c r="Q404" s="83">
        <v>0</v>
      </c>
      <c r="R404" s="83">
        <v>0</v>
      </c>
      <c r="S404" s="83">
        <v>0</v>
      </c>
      <c r="T404" s="83">
        <v>0</v>
      </c>
      <c r="U404" s="82"/>
    </row>
    <row r="405" spans="1:21" ht="17.25" customHeight="1" x14ac:dyDescent="0.3">
      <c r="A405" s="66" t="s">
        <v>30</v>
      </c>
      <c r="C405" s="67"/>
      <c r="D405" s="77"/>
      <c r="E405" s="77"/>
      <c r="F405" s="76"/>
      <c r="G405" s="76"/>
      <c r="H405" s="76"/>
      <c r="I405" s="76"/>
      <c r="J405" s="76"/>
      <c r="K405" s="76"/>
      <c r="L405" s="76"/>
      <c r="M405" s="76"/>
      <c r="N405" s="76"/>
      <c r="O405" s="75"/>
      <c r="P405" s="75"/>
      <c r="Q405" s="75"/>
      <c r="R405" s="75"/>
      <c r="S405" s="75"/>
      <c r="T405" s="75"/>
      <c r="U405" s="74"/>
    </row>
    <row r="406" spans="1:21" ht="17.25" customHeight="1" x14ac:dyDescent="0.3">
      <c r="A406" s="66" t="s">
        <v>30</v>
      </c>
      <c r="C406" s="67"/>
      <c r="D406" s="77"/>
      <c r="E406" s="77" t="s">
        <v>31</v>
      </c>
      <c r="F406" s="76" t="s">
        <v>31</v>
      </c>
      <c r="G406" s="76" t="s">
        <v>31</v>
      </c>
      <c r="H406" s="76"/>
      <c r="I406" s="76"/>
      <c r="J406" s="76" t="s">
        <v>31</v>
      </c>
      <c r="K406" s="76" t="s">
        <v>31</v>
      </c>
      <c r="L406" s="76" t="s">
        <v>31</v>
      </c>
      <c r="M406" s="76" t="s">
        <v>31</v>
      </c>
      <c r="N406" s="76"/>
      <c r="U406" s="81"/>
    </row>
    <row r="407" spans="1:21" ht="20.25" customHeight="1" x14ac:dyDescent="0.35">
      <c r="A407" s="66" t="s">
        <v>30</v>
      </c>
      <c r="C407" s="67"/>
      <c r="D407" s="92" t="str">
        <f t="shared" ref="D407" si="275">E407</f>
        <v>E100026</v>
      </c>
      <c r="E407" s="91" t="str">
        <f>"E100026"</f>
        <v>E100026</v>
      </c>
      <c r="F407" s="89" t="str">
        <f>"Desk Calculator"</f>
        <v>Desk Calculator</v>
      </c>
      <c r="G407" s="89"/>
      <c r="H407" s="90" t="str">
        <f>"EA"</f>
        <v>EA</v>
      </c>
      <c r="I407" s="89"/>
      <c r="J407" s="89"/>
      <c r="K407" s="89"/>
      <c r="L407" s="89"/>
      <c r="M407" s="89"/>
      <c r="N407" s="89"/>
      <c r="O407" s="88">
        <f>(SUBTOTAL(9,O408:O409))</f>
        <v>499.99999999999994</v>
      </c>
      <c r="P407" s="88">
        <f>(SUBTOTAL(9,P408:P409))</f>
        <v>0</v>
      </c>
      <c r="Q407" s="88">
        <f>(SUBTOTAL(9,Q408:Q409))</f>
        <v>0</v>
      </c>
      <c r="R407" s="88">
        <f>(SUBTOTAL(9,R408:R409))</f>
        <v>0</v>
      </c>
      <c r="S407" s="88">
        <f>(SUBTOTAL(9,S408:S409))</f>
        <v>0</v>
      </c>
      <c r="T407" s="88">
        <f>(SUBTOTAL(9,T408:T409))</f>
        <v>0</v>
      </c>
      <c r="U407" s="87">
        <f t="shared" ref="U407" si="276">SUBTOTAL(9,O408:T409)</f>
        <v>499.99999999999994</v>
      </c>
    </row>
    <row r="408" spans="1:21" ht="17.25" customHeight="1" x14ac:dyDescent="0.3">
      <c r="A408" s="66" t="s">
        <v>30</v>
      </c>
      <c r="C408" s="67"/>
      <c r="D408" s="77" t="str">
        <f t="shared" ref="D408" si="277">D407</f>
        <v>E100026</v>
      </c>
      <c r="E408" s="77"/>
      <c r="F408" s="76"/>
      <c r="G408" s="76" t="str">
        <f>"""NAV Direct"",""CRONUS JetCorp USA"",""32"",""1"",""168357"""</f>
        <v>"NAV Direct","CRONUS JetCorp USA","32","1","168357"</v>
      </c>
      <c r="H408" s="86">
        <v>43466</v>
      </c>
      <c r="I408" s="85">
        <v>168357</v>
      </c>
      <c r="J408" s="84" t="str">
        <f>"Vendor"</f>
        <v>Vendor</v>
      </c>
      <c r="K408" s="84" t="str">
        <f>"V100003"</f>
        <v>V100003</v>
      </c>
      <c r="L408" s="84" t="str">
        <f>IF($J408="Customer",_xll.NL("first",$J408,"Name","No.","@@"&amp;$K408),"")</f>
        <v/>
      </c>
      <c r="M408" s="84" t="str">
        <f>"LogoMasters"</f>
        <v>LogoMasters</v>
      </c>
      <c r="N408" s="84" t="str">
        <f>IF($J408="Item",_xll.NL("first",$J408,"Description","No.","@@"&amp;$K408),"")</f>
        <v/>
      </c>
      <c r="O408" s="83">
        <v>499.99999999999994</v>
      </c>
      <c r="P408" s="83">
        <v>0</v>
      </c>
      <c r="Q408" s="83">
        <v>0</v>
      </c>
      <c r="R408" s="83">
        <v>0</v>
      </c>
      <c r="S408" s="83">
        <v>0</v>
      </c>
      <c r="T408" s="83">
        <v>0</v>
      </c>
      <c r="U408" s="82"/>
    </row>
    <row r="409" spans="1:21" ht="17.25" customHeight="1" x14ac:dyDescent="0.3">
      <c r="A409" s="66" t="s">
        <v>30</v>
      </c>
      <c r="C409" s="67"/>
      <c r="D409" s="77"/>
      <c r="E409" s="77"/>
      <c r="F409" s="76"/>
      <c r="G409" s="76"/>
      <c r="H409" s="76"/>
      <c r="I409" s="76"/>
      <c r="J409" s="76"/>
      <c r="K409" s="76"/>
      <c r="L409" s="76"/>
      <c r="M409" s="76"/>
      <c r="N409" s="76"/>
      <c r="O409" s="75"/>
      <c r="P409" s="75"/>
      <c r="Q409" s="75"/>
      <c r="R409" s="75"/>
      <c r="S409" s="75"/>
      <c r="T409" s="75"/>
      <c r="U409" s="74"/>
    </row>
    <row r="410" spans="1:21" ht="17.25" customHeight="1" x14ac:dyDescent="0.3">
      <c r="A410" s="66" t="s">
        <v>30</v>
      </c>
      <c r="C410" s="67"/>
      <c r="D410" s="77"/>
      <c r="E410" s="77" t="s">
        <v>31</v>
      </c>
      <c r="F410" s="76" t="s">
        <v>31</v>
      </c>
      <c r="G410" s="76" t="s">
        <v>31</v>
      </c>
      <c r="H410" s="76"/>
      <c r="I410" s="76"/>
      <c r="J410" s="76" t="s">
        <v>31</v>
      </c>
      <c r="K410" s="76" t="s">
        <v>31</v>
      </c>
      <c r="L410" s="76" t="s">
        <v>31</v>
      </c>
      <c r="M410" s="76" t="s">
        <v>31</v>
      </c>
      <c r="N410" s="76"/>
      <c r="U410" s="81"/>
    </row>
    <row r="411" spans="1:21" ht="20.25" customHeight="1" x14ac:dyDescent="0.35">
      <c r="A411" s="66" t="s">
        <v>30</v>
      </c>
      <c r="C411" s="67"/>
      <c r="D411" s="92" t="str">
        <f t="shared" ref="D411" si="278">E411</f>
        <v>E100027</v>
      </c>
      <c r="E411" s="91" t="str">
        <f>"E100027"</f>
        <v>E100027</v>
      </c>
      <c r="F411" s="89" t="str">
        <f>"Ergo-Calculator"</f>
        <v>Ergo-Calculator</v>
      </c>
      <c r="G411" s="89"/>
      <c r="H411" s="90" t="str">
        <f>"EA"</f>
        <v>EA</v>
      </c>
      <c r="I411" s="89"/>
      <c r="J411" s="89"/>
      <c r="K411" s="89"/>
      <c r="L411" s="89"/>
      <c r="M411" s="89"/>
      <c r="N411" s="89"/>
      <c r="O411" s="88">
        <f>(SUBTOTAL(9,O412:O413))</f>
        <v>750</v>
      </c>
      <c r="P411" s="88">
        <f>(SUBTOTAL(9,P412:P413))</f>
        <v>0</v>
      </c>
      <c r="Q411" s="88">
        <f>(SUBTOTAL(9,Q412:Q413))</f>
        <v>0</v>
      </c>
      <c r="R411" s="88">
        <f>(SUBTOTAL(9,R412:R413))</f>
        <v>0</v>
      </c>
      <c r="S411" s="88">
        <f>(SUBTOTAL(9,S412:S413))</f>
        <v>0</v>
      </c>
      <c r="T411" s="88">
        <f>(SUBTOTAL(9,T412:T413))</f>
        <v>0</v>
      </c>
      <c r="U411" s="87">
        <f t="shared" ref="U411" si="279">SUBTOTAL(9,O412:T413)</f>
        <v>750</v>
      </c>
    </row>
    <row r="412" spans="1:21" ht="17.25" customHeight="1" x14ac:dyDescent="0.3">
      <c r="A412" s="66" t="s">
        <v>30</v>
      </c>
      <c r="C412" s="67"/>
      <c r="D412" s="77" t="str">
        <f t="shared" ref="D412" si="280">D411</f>
        <v>E100027</v>
      </c>
      <c r="E412" s="77"/>
      <c r="F412" s="76"/>
      <c r="G412" s="76" t="str">
        <f>"""NAV Direct"",""CRONUS JetCorp USA"",""32"",""1"",""168356"""</f>
        <v>"NAV Direct","CRONUS JetCorp USA","32","1","168356"</v>
      </c>
      <c r="H412" s="86">
        <v>43466</v>
      </c>
      <c r="I412" s="85">
        <v>168356</v>
      </c>
      <c r="J412" s="84" t="str">
        <f>"Vendor"</f>
        <v>Vendor</v>
      </c>
      <c r="K412" s="84" t="str">
        <f>"V100003"</f>
        <v>V100003</v>
      </c>
      <c r="L412" s="84" t="str">
        <f>IF($J412="Customer",_xll.NL("first",$J412,"Name","No.","@@"&amp;$K412),"")</f>
        <v/>
      </c>
      <c r="M412" s="84" t="str">
        <f>"LogoMasters"</f>
        <v>LogoMasters</v>
      </c>
      <c r="N412" s="84" t="str">
        <f>IF($J412="Item",_xll.NL("first",$J412,"Description","No.","@@"&amp;$K412),"")</f>
        <v/>
      </c>
      <c r="O412" s="83">
        <v>750</v>
      </c>
      <c r="P412" s="83">
        <v>0</v>
      </c>
      <c r="Q412" s="83">
        <v>0</v>
      </c>
      <c r="R412" s="83">
        <v>0</v>
      </c>
      <c r="S412" s="83">
        <v>0</v>
      </c>
      <c r="T412" s="83">
        <v>0</v>
      </c>
      <c r="U412" s="82"/>
    </row>
    <row r="413" spans="1:21" ht="17.25" customHeight="1" x14ac:dyDescent="0.3">
      <c r="A413" s="66" t="s">
        <v>30</v>
      </c>
      <c r="C413" s="67"/>
      <c r="D413" s="77"/>
      <c r="E413" s="77"/>
      <c r="F413" s="76"/>
      <c r="G413" s="76"/>
      <c r="H413" s="76"/>
      <c r="I413" s="76"/>
      <c r="J413" s="76"/>
      <c r="K413" s="76"/>
      <c r="L413" s="76"/>
      <c r="M413" s="76"/>
      <c r="N413" s="76"/>
      <c r="O413" s="75"/>
      <c r="P413" s="75"/>
      <c r="Q413" s="75"/>
      <c r="R413" s="75"/>
      <c r="S413" s="75"/>
      <c r="T413" s="75"/>
      <c r="U413" s="74"/>
    </row>
    <row r="414" spans="1:21" ht="17.25" customHeight="1" x14ac:dyDescent="0.3">
      <c r="A414" s="66" t="s">
        <v>30</v>
      </c>
      <c r="C414" s="67"/>
      <c r="D414" s="77"/>
      <c r="E414" s="77" t="s">
        <v>31</v>
      </c>
      <c r="F414" s="76" t="s">
        <v>31</v>
      </c>
      <c r="G414" s="76" t="s">
        <v>31</v>
      </c>
      <c r="H414" s="76"/>
      <c r="I414" s="76"/>
      <c r="J414" s="76" t="s">
        <v>31</v>
      </c>
      <c r="K414" s="76" t="s">
        <v>31</v>
      </c>
      <c r="L414" s="76" t="s">
        <v>31</v>
      </c>
      <c r="M414" s="76" t="s">
        <v>31</v>
      </c>
      <c r="N414" s="76"/>
      <c r="U414" s="81"/>
    </row>
    <row r="415" spans="1:21" ht="20.25" customHeight="1" x14ac:dyDescent="0.35">
      <c r="A415" s="66" t="s">
        <v>30</v>
      </c>
      <c r="C415" s="67"/>
      <c r="D415" s="92" t="str">
        <f t="shared" ref="D415" si="281">E415</f>
        <v>E100028</v>
      </c>
      <c r="E415" s="91" t="str">
        <f>"E100028"</f>
        <v>E100028</v>
      </c>
      <c r="F415" s="89" t="str">
        <f>"USB 4-Port Hub"</f>
        <v>USB 4-Port Hub</v>
      </c>
      <c r="G415" s="89"/>
      <c r="H415" s="90" t="str">
        <f>"EA"</f>
        <v>EA</v>
      </c>
      <c r="I415" s="89"/>
      <c r="J415" s="89"/>
      <c r="K415" s="89"/>
      <c r="L415" s="89"/>
      <c r="M415" s="89"/>
      <c r="N415" s="89"/>
      <c r="O415" s="88">
        <f>(SUBTOTAL(9,O416:O417))</f>
        <v>499.99999999999994</v>
      </c>
      <c r="P415" s="88">
        <f>(SUBTOTAL(9,P416:P417))</f>
        <v>0</v>
      </c>
      <c r="Q415" s="88">
        <f>(SUBTOTAL(9,Q416:Q417))</f>
        <v>0</v>
      </c>
      <c r="R415" s="88">
        <f>(SUBTOTAL(9,R416:R417))</f>
        <v>0</v>
      </c>
      <c r="S415" s="88">
        <f>(SUBTOTAL(9,S416:S417))</f>
        <v>0</v>
      </c>
      <c r="T415" s="88">
        <f>(SUBTOTAL(9,T416:T417))</f>
        <v>0</v>
      </c>
      <c r="U415" s="87">
        <f t="shared" ref="U415" si="282">SUBTOTAL(9,O416:T417)</f>
        <v>499.99999999999994</v>
      </c>
    </row>
    <row r="416" spans="1:21" ht="17.25" customHeight="1" x14ac:dyDescent="0.3">
      <c r="A416" s="66" t="s">
        <v>30</v>
      </c>
      <c r="C416" s="67"/>
      <c r="D416" s="77" t="str">
        <f t="shared" ref="D416" si="283">D415</f>
        <v>E100028</v>
      </c>
      <c r="E416" s="77"/>
      <c r="F416" s="76"/>
      <c r="G416" s="76" t="str">
        <f>"""NAV Direct"",""CRONUS JetCorp USA"",""32"",""1"",""168355"""</f>
        <v>"NAV Direct","CRONUS JetCorp USA","32","1","168355"</v>
      </c>
      <c r="H416" s="86">
        <v>43466</v>
      </c>
      <c r="I416" s="85">
        <v>168355</v>
      </c>
      <c r="J416" s="84" t="str">
        <f>"Vendor"</f>
        <v>Vendor</v>
      </c>
      <c r="K416" s="84" t="str">
        <f>"V100003"</f>
        <v>V100003</v>
      </c>
      <c r="L416" s="84" t="str">
        <f>IF($J416="Customer",_xll.NL("first",$J416,"Name","No.","@@"&amp;$K416),"")</f>
        <v/>
      </c>
      <c r="M416" s="84" t="str">
        <f>"LogoMasters"</f>
        <v>LogoMasters</v>
      </c>
      <c r="N416" s="84" t="str">
        <f>IF($J416="Item",_xll.NL("first",$J416,"Description","No.","@@"&amp;$K416),"")</f>
        <v/>
      </c>
      <c r="O416" s="83">
        <v>499.99999999999994</v>
      </c>
      <c r="P416" s="83">
        <v>0</v>
      </c>
      <c r="Q416" s="83">
        <v>0</v>
      </c>
      <c r="R416" s="83">
        <v>0</v>
      </c>
      <c r="S416" s="83">
        <v>0</v>
      </c>
      <c r="T416" s="83">
        <v>0</v>
      </c>
      <c r="U416" s="82"/>
    </row>
    <row r="417" spans="1:21" ht="17.25" customHeight="1" x14ac:dyDescent="0.3">
      <c r="A417" s="66" t="s">
        <v>30</v>
      </c>
      <c r="C417" s="67"/>
      <c r="D417" s="77"/>
      <c r="E417" s="77"/>
      <c r="F417" s="76"/>
      <c r="G417" s="76"/>
      <c r="H417" s="76"/>
      <c r="I417" s="76"/>
      <c r="J417" s="76"/>
      <c r="K417" s="76"/>
      <c r="L417" s="76"/>
      <c r="M417" s="76"/>
      <c r="N417" s="76"/>
      <c r="O417" s="75"/>
      <c r="P417" s="75"/>
      <c r="Q417" s="75"/>
      <c r="R417" s="75"/>
      <c r="S417" s="75"/>
      <c r="T417" s="75"/>
      <c r="U417" s="74"/>
    </row>
    <row r="418" spans="1:21" ht="17.25" customHeight="1" x14ac:dyDescent="0.3">
      <c r="A418" s="66" t="s">
        <v>30</v>
      </c>
      <c r="C418" s="67"/>
      <c r="D418" s="77"/>
      <c r="E418" s="77" t="s">
        <v>31</v>
      </c>
      <c r="F418" s="76" t="s">
        <v>31</v>
      </c>
      <c r="G418" s="76" t="s">
        <v>31</v>
      </c>
      <c r="H418" s="76"/>
      <c r="I418" s="76"/>
      <c r="J418" s="76" t="s">
        <v>31</v>
      </c>
      <c r="K418" s="76" t="s">
        <v>31</v>
      </c>
      <c r="L418" s="76" t="s">
        <v>31</v>
      </c>
      <c r="M418" s="76" t="s">
        <v>31</v>
      </c>
      <c r="N418" s="76"/>
      <c r="U418" s="81"/>
    </row>
    <row r="419" spans="1:21" ht="20.25" customHeight="1" x14ac:dyDescent="0.35">
      <c r="A419" s="66" t="s">
        <v>30</v>
      </c>
      <c r="C419" s="67"/>
      <c r="D419" s="92" t="str">
        <f t="shared" ref="D419" si="284">E419</f>
        <v>E100029</v>
      </c>
      <c r="E419" s="91" t="str">
        <f>"E100029"</f>
        <v>E100029</v>
      </c>
      <c r="F419" s="89" t="str">
        <f>"LED Flex Light"</f>
        <v>LED Flex Light</v>
      </c>
      <c r="G419" s="89"/>
      <c r="H419" s="90" t="str">
        <f>"EA"</f>
        <v>EA</v>
      </c>
      <c r="I419" s="89"/>
      <c r="J419" s="89"/>
      <c r="K419" s="89"/>
      <c r="L419" s="89"/>
      <c r="M419" s="89"/>
      <c r="N419" s="89"/>
      <c r="O419" s="88">
        <f>(SUBTOTAL(9,O420:O421))</f>
        <v>1250</v>
      </c>
      <c r="P419" s="88">
        <f>(SUBTOTAL(9,P420:P421))</f>
        <v>0</v>
      </c>
      <c r="Q419" s="88">
        <f>(SUBTOTAL(9,Q420:Q421))</f>
        <v>0</v>
      </c>
      <c r="R419" s="88">
        <f>(SUBTOTAL(9,R420:R421))</f>
        <v>0</v>
      </c>
      <c r="S419" s="88">
        <f>(SUBTOTAL(9,S420:S421))</f>
        <v>0</v>
      </c>
      <c r="T419" s="88">
        <f>(SUBTOTAL(9,T420:T421))</f>
        <v>0</v>
      </c>
      <c r="U419" s="87">
        <f t="shared" ref="U419" si="285">SUBTOTAL(9,O420:T421)</f>
        <v>1250</v>
      </c>
    </row>
    <row r="420" spans="1:21" ht="17.25" customHeight="1" x14ac:dyDescent="0.3">
      <c r="A420" s="66" t="s">
        <v>30</v>
      </c>
      <c r="C420" s="67"/>
      <c r="D420" s="77" t="str">
        <f t="shared" ref="D420" si="286">D419</f>
        <v>E100029</v>
      </c>
      <c r="E420" s="77"/>
      <c r="F420" s="76"/>
      <c r="G420" s="76" t="str">
        <f>"""NAV Direct"",""CRONUS JetCorp USA"",""32"",""1"",""168354"""</f>
        <v>"NAV Direct","CRONUS JetCorp USA","32","1","168354"</v>
      </c>
      <c r="H420" s="86">
        <v>43466</v>
      </c>
      <c r="I420" s="85">
        <v>168354</v>
      </c>
      <c r="J420" s="84" t="str">
        <f>"Vendor"</f>
        <v>Vendor</v>
      </c>
      <c r="K420" s="84" t="str">
        <f>"V100003"</f>
        <v>V100003</v>
      </c>
      <c r="L420" s="84" t="str">
        <f>IF($J420="Customer",_xll.NL("first",$J420,"Name","No.","@@"&amp;$K420),"")</f>
        <v/>
      </c>
      <c r="M420" s="84" t="str">
        <f>"LogoMasters"</f>
        <v>LogoMasters</v>
      </c>
      <c r="N420" s="84" t="str">
        <f>IF($J420="Item",_xll.NL("first",$J420,"Description","No.","@@"&amp;$K420),"")</f>
        <v/>
      </c>
      <c r="O420" s="83">
        <v>1250</v>
      </c>
      <c r="P420" s="83">
        <v>0</v>
      </c>
      <c r="Q420" s="83">
        <v>0</v>
      </c>
      <c r="R420" s="83">
        <v>0</v>
      </c>
      <c r="S420" s="83">
        <v>0</v>
      </c>
      <c r="T420" s="83">
        <v>0</v>
      </c>
      <c r="U420" s="82"/>
    </row>
    <row r="421" spans="1:21" ht="17.25" customHeight="1" x14ac:dyDescent="0.3">
      <c r="A421" s="66" t="s">
        <v>30</v>
      </c>
      <c r="C421" s="67"/>
      <c r="D421" s="77"/>
      <c r="E421" s="77"/>
      <c r="F421" s="76"/>
      <c r="G421" s="76"/>
      <c r="H421" s="76"/>
      <c r="I421" s="76"/>
      <c r="J421" s="76"/>
      <c r="K421" s="76"/>
      <c r="L421" s="76"/>
      <c r="M421" s="76"/>
      <c r="N421" s="76"/>
      <c r="O421" s="75"/>
      <c r="P421" s="75"/>
      <c r="Q421" s="75"/>
      <c r="R421" s="75"/>
      <c r="S421" s="75"/>
      <c r="T421" s="75"/>
      <c r="U421" s="74"/>
    </row>
    <row r="422" spans="1:21" ht="17.25" customHeight="1" x14ac:dyDescent="0.3">
      <c r="A422" s="66" t="s">
        <v>30</v>
      </c>
      <c r="C422" s="67"/>
      <c r="D422" s="77"/>
      <c r="E422" s="77" t="s">
        <v>31</v>
      </c>
      <c r="F422" s="76" t="s">
        <v>31</v>
      </c>
      <c r="G422" s="76" t="s">
        <v>31</v>
      </c>
      <c r="H422" s="76"/>
      <c r="I422" s="76"/>
      <c r="J422" s="76" t="s">
        <v>31</v>
      </c>
      <c r="K422" s="76" t="s">
        <v>31</v>
      </c>
      <c r="L422" s="76" t="s">
        <v>31</v>
      </c>
      <c r="M422" s="76" t="s">
        <v>31</v>
      </c>
      <c r="N422" s="76"/>
      <c r="U422" s="81"/>
    </row>
    <row r="423" spans="1:21" ht="20.25" customHeight="1" x14ac:dyDescent="0.35">
      <c r="A423" s="66" t="s">
        <v>30</v>
      </c>
      <c r="C423" s="67"/>
      <c r="D423" s="92" t="str">
        <f t="shared" ref="D423" si="287">E423</f>
        <v>E100030</v>
      </c>
      <c r="E423" s="91" t="str">
        <f>"E100030"</f>
        <v>E100030</v>
      </c>
      <c r="F423" s="89" t="str">
        <f>"LED Keychain"</f>
        <v>LED Keychain</v>
      </c>
      <c r="G423" s="89"/>
      <c r="H423" s="90" t="str">
        <f>"EA"</f>
        <v>EA</v>
      </c>
      <c r="I423" s="89"/>
      <c r="J423" s="89"/>
      <c r="K423" s="89"/>
      <c r="L423" s="89"/>
      <c r="M423" s="89"/>
      <c r="N423" s="89"/>
      <c r="O423" s="88">
        <f>(SUBTOTAL(9,O424:O425))</f>
        <v>499.99999999999994</v>
      </c>
      <c r="P423" s="88">
        <f>(SUBTOTAL(9,P424:P425))</f>
        <v>0</v>
      </c>
      <c r="Q423" s="88">
        <f>(SUBTOTAL(9,Q424:Q425))</f>
        <v>0</v>
      </c>
      <c r="R423" s="88">
        <f>(SUBTOTAL(9,R424:R425))</f>
        <v>0</v>
      </c>
      <c r="S423" s="88">
        <f>(SUBTOTAL(9,S424:S425))</f>
        <v>0</v>
      </c>
      <c r="T423" s="88">
        <f>(SUBTOTAL(9,T424:T425))</f>
        <v>0</v>
      </c>
      <c r="U423" s="87">
        <f t="shared" ref="U423" si="288">SUBTOTAL(9,O424:T425)</f>
        <v>499.99999999999994</v>
      </c>
    </row>
    <row r="424" spans="1:21" ht="17.25" customHeight="1" x14ac:dyDescent="0.3">
      <c r="A424" s="66" t="s">
        <v>30</v>
      </c>
      <c r="C424" s="67"/>
      <c r="D424" s="77" t="str">
        <f t="shared" ref="D424" si="289">D423</f>
        <v>E100030</v>
      </c>
      <c r="E424" s="77"/>
      <c r="F424" s="76"/>
      <c r="G424" s="76" t="str">
        <f>"""NAV Direct"",""CRONUS JetCorp USA"",""32"",""1"",""168353"""</f>
        <v>"NAV Direct","CRONUS JetCorp USA","32","1","168353"</v>
      </c>
      <c r="H424" s="86">
        <v>43466</v>
      </c>
      <c r="I424" s="85">
        <v>168353</v>
      </c>
      <c r="J424" s="84" t="str">
        <f>"Vendor"</f>
        <v>Vendor</v>
      </c>
      <c r="K424" s="84" t="str">
        <f>"V100003"</f>
        <v>V100003</v>
      </c>
      <c r="L424" s="84" t="str">
        <f>IF($J424="Customer",_xll.NL("first",$J424,"Name","No.","@@"&amp;$K424),"")</f>
        <v/>
      </c>
      <c r="M424" s="84" t="str">
        <f>"LogoMasters"</f>
        <v>LogoMasters</v>
      </c>
      <c r="N424" s="84" t="str">
        <f>IF($J424="Item",_xll.NL("first",$J424,"Description","No.","@@"&amp;$K424),"")</f>
        <v/>
      </c>
      <c r="O424" s="83">
        <v>499.99999999999994</v>
      </c>
      <c r="P424" s="83">
        <v>0</v>
      </c>
      <c r="Q424" s="83">
        <v>0</v>
      </c>
      <c r="R424" s="83">
        <v>0</v>
      </c>
      <c r="S424" s="83">
        <v>0</v>
      </c>
      <c r="T424" s="83">
        <v>0</v>
      </c>
      <c r="U424" s="82"/>
    </row>
    <row r="425" spans="1:21" ht="17.25" customHeight="1" x14ac:dyDescent="0.3">
      <c r="A425" s="66" t="s">
        <v>30</v>
      </c>
      <c r="C425" s="67"/>
      <c r="D425" s="77"/>
      <c r="E425" s="77"/>
      <c r="F425" s="76"/>
      <c r="G425" s="76"/>
      <c r="H425" s="76"/>
      <c r="I425" s="76"/>
      <c r="J425" s="76"/>
      <c r="K425" s="76"/>
      <c r="L425" s="76"/>
      <c r="M425" s="76"/>
      <c r="N425" s="76"/>
      <c r="O425" s="75"/>
      <c r="P425" s="75"/>
      <c r="Q425" s="75"/>
      <c r="R425" s="75"/>
      <c r="S425" s="75"/>
      <c r="T425" s="75"/>
      <c r="U425" s="74"/>
    </row>
    <row r="426" spans="1:21" ht="17.25" customHeight="1" x14ac:dyDescent="0.3">
      <c r="A426" s="66" t="s">
        <v>30</v>
      </c>
      <c r="C426" s="67"/>
      <c r="D426" s="77"/>
      <c r="E426" s="77" t="s">
        <v>31</v>
      </c>
      <c r="F426" s="76" t="s">
        <v>31</v>
      </c>
      <c r="G426" s="76" t="s">
        <v>31</v>
      </c>
      <c r="H426" s="76"/>
      <c r="I426" s="76"/>
      <c r="J426" s="76" t="s">
        <v>31</v>
      </c>
      <c r="K426" s="76" t="s">
        <v>31</v>
      </c>
      <c r="L426" s="76" t="s">
        <v>31</v>
      </c>
      <c r="M426" s="76" t="s">
        <v>31</v>
      </c>
      <c r="N426" s="76"/>
      <c r="U426" s="81"/>
    </row>
    <row r="427" spans="1:21" ht="20.25" customHeight="1" x14ac:dyDescent="0.35">
      <c r="A427" s="66" t="s">
        <v>30</v>
      </c>
      <c r="C427" s="67"/>
      <c r="D427" s="92" t="str">
        <f t="shared" ref="D427" si="290">E427</f>
        <v>E100031</v>
      </c>
      <c r="E427" s="91" t="str">
        <f>"E100031"</f>
        <v>E100031</v>
      </c>
      <c r="F427" s="89" t="str">
        <f>"Ad Torch"</f>
        <v>Ad Torch</v>
      </c>
      <c r="G427" s="89"/>
      <c r="H427" s="90" t="str">
        <f>"EA"</f>
        <v>EA</v>
      </c>
      <c r="I427" s="89"/>
      <c r="J427" s="89"/>
      <c r="K427" s="89"/>
      <c r="L427" s="89"/>
      <c r="M427" s="89"/>
      <c r="N427" s="89"/>
      <c r="O427" s="88">
        <f>(SUBTOTAL(9,O428:O429))</f>
        <v>750</v>
      </c>
      <c r="P427" s="88">
        <f>(SUBTOTAL(9,P428:P429))</f>
        <v>0</v>
      </c>
      <c r="Q427" s="88">
        <f>(SUBTOTAL(9,Q428:Q429))</f>
        <v>0</v>
      </c>
      <c r="R427" s="88">
        <f>(SUBTOTAL(9,R428:R429))</f>
        <v>0</v>
      </c>
      <c r="S427" s="88">
        <f>(SUBTOTAL(9,S428:S429))</f>
        <v>0</v>
      </c>
      <c r="T427" s="88">
        <f>(SUBTOTAL(9,T428:T429))</f>
        <v>0</v>
      </c>
      <c r="U427" s="87">
        <f t="shared" ref="U427" si="291">SUBTOTAL(9,O428:T429)</f>
        <v>750</v>
      </c>
    </row>
    <row r="428" spans="1:21" ht="17.25" customHeight="1" x14ac:dyDescent="0.3">
      <c r="A428" s="66" t="s">
        <v>30</v>
      </c>
      <c r="C428" s="67"/>
      <c r="D428" s="77" t="str">
        <f t="shared" ref="D428" si="292">D427</f>
        <v>E100031</v>
      </c>
      <c r="E428" s="77"/>
      <c r="F428" s="76"/>
      <c r="G428" s="76" t="str">
        <f>"""NAV Direct"",""CRONUS JetCorp USA"",""32"",""1"",""168352"""</f>
        <v>"NAV Direct","CRONUS JetCorp USA","32","1","168352"</v>
      </c>
      <c r="H428" s="86">
        <v>43466</v>
      </c>
      <c r="I428" s="85">
        <v>168352</v>
      </c>
      <c r="J428" s="84" t="str">
        <f>"Vendor"</f>
        <v>Vendor</v>
      </c>
      <c r="K428" s="84" t="str">
        <f>"V100003"</f>
        <v>V100003</v>
      </c>
      <c r="L428" s="84" t="str">
        <f>IF($J428="Customer",_xll.NL("first",$J428,"Name","No.","@@"&amp;$K428),"")</f>
        <v/>
      </c>
      <c r="M428" s="84" t="str">
        <f>"LogoMasters"</f>
        <v>LogoMasters</v>
      </c>
      <c r="N428" s="84" t="str">
        <f>IF($J428="Item",_xll.NL("first",$J428,"Description","No.","@@"&amp;$K428),"")</f>
        <v/>
      </c>
      <c r="O428" s="83">
        <v>750</v>
      </c>
      <c r="P428" s="83">
        <v>0</v>
      </c>
      <c r="Q428" s="83">
        <v>0</v>
      </c>
      <c r="R428" s="83">
        <v>0</v>
      </c>
      <c r="S428" s="83">
        <v>0</v>
      </c>
      <c r="T428" s="83">
        <v>0</v>
      </c>
      <c r="U428" s="82"/>
    </row>
    <row r="429" spans="1:21" ht="17.25" customHeight="1" x14ac:dyDescent="0.3">
      <c r="A429" s="66" t="s">
        <v>30</v>
      </c>
      <c r="C429" s="67"/>
      <c r="D429" s="77"/>
      <c r="E429" s="77"/>
      <c r="F429" s="76"/>
      <c r="G429" s="76"/>
      <c r="H429" s="76"/>
      <c r="I429" s="76"/>
      <c r="J429" s="76"/>
      <c r="K429" s="76"/>
      <c r="L429" s="76"/>
      <c r="M429" s="76"/>
      <c r="N429" s="76"/>
      <c r="O429" s="75"/>
      <c r="P429" s="75"/>
      <c r="Q429" s="75"/>
      <c r="R429" s="75"/>
      <c r="S429" s="75"/>
      <c r="T429" s="75"/>
      <c r="U429" s="74"/>
    </row>
    <row r="430" spans="1:21" ht="17.25" customHeight="1" x14ac:dyDescent="0.3">
      <c r="A430" s="66" t="s">
        <v>30</v>
      </c>
      <c r="C430" s="67"/>
      <c r="D430" s="77"/>
      <c r="E430" s="77" t="s">
        <v>31</v>
      </c>
      <c r="F430" s="76" t="s">
        <v>31</v>
      </c>
      <c r="G430" s="76" t="s">
        <v>31</v>
      </c>
      <c r="H430" s="76"/>
      <c r="I430" s="76"/>
      <c r="J430" s="76" t="s">
        <v>31</v>
      </c>
      <c r="K430" s="76" t="s">
        <v>31</v>
      </c>
      <c r="L430" s="76" t="s">
        <v>31</v>
      </c>
      <c r="M430" s="76" t="s">
        <v>31</v>
      </c>
      <c r="N430" s="76"/>
      <c r="U430" s="81"/>
    </row>
    <row r="431" spans="1:21" ht="20.25" customHeight="1" x14ac:dyDescent="0.35">
      <c r="A431" s="66" t="s">
        <v>30</v>
      </c>
      <c r="C431" s="67"/>
      <c r="D431" s="92" t="str">
        <f t="shared" ref="D431" si="293">E431</f>
        <v>E100032</v>
      </c>
      <c r="E431" s="91" t="str">
        <f>"E100032"</f>
        <v>E100032</v>
      </c>
      <c r="F431" s="89" t="str">
        <f>"Button Key-Light"</f>
        <v>Button Key-Light</v>
      </c>
      <c r="G431" s="89"/>
      <c r="H431" s="90" t="str">
        <f>"EA"</f>
        <v>EA</v>
      </c>
      <c r="I431" s="89"/>
      <c r="J431" s="89"/>
      <c r="K431" s="89"/>
      <c r="L431" s="89"/>
      <c r="M431" s="89"/>
      <c r="N431" s="89"/>
      <c r="O431" s="88">
        <f>(SUBTOTAL(9,O432:O434))</f>
        <v>750</v>
      </c>
      <c r="P431" s="88">
        <f>(SUBTOTAL(9,P432:P434))</f>
        <v>1</v>
      </c>
      <c r="Q431" s="88">
        <f>(SUBTOTAL(9,Q432:Q434))</f>
        <v>0</v>
      </c>
      <c r="R431" s="88">
        <f>(SUBTOTAL(9,R432:R434))</f>
        <v>0</v>
      </c>
      <c r="S431" s="88">
        <f>(SUBTOTAL(9,S432:S434))</f>
        <v>0</v>
      </c>
      <c r="T431" s="88">
        <f>(SUBTOTAL(9,T432:T434))</f>
        <v>0</v>
      </c>
      <c r="U431" s="87">
        <f t="shared" ref="U431" si="294">SUBTOTAL(9,O432:T434)</f>
        <v>751</v>
      </c>
    </row>
    <row r="432" spans="1:21" ht="17.25" customHeight="1" x14ac:dyDescent="0.3">
      <c r="A432" s="66" t="s">
        <v>30</v>
      </c>
      <c r="C432" s="67"/>
      <c r="D432" s="77" t="str">
        <f t="shared" ref="D432" si="295">D431</f>
        <v>E100032</v>
      </c>
      <c r="E432" s="77"/>
      <c r="F432" s="76"/>
      <c r="G432" s="76" t="str">
        <f>"""NAV Direct"",""CRONUS JetCorp USA"",""32"",""1"",""168351"""</f>
        <v>"NAV Direct","CRONUS JetCorp USA","32","1","168351"</v>
      </c>
      <c r="H432" s="86">
        <v>43466</v>
      </c>
      <c r="I432" s="85">
        <v>168351</v>
      </c>
      <c r="J432" s="84" t="str">
        <f>"Vendor"</f>
        <v>Vendor</v>
      </c>
      <c r="K432" s="84" t="str">
        <f>"V100003"</f>
        <v>V100003</v>
      </c>
      <c r="L432" s="84" t="str">
        <f>IF($J432="Customer",_xll.NL("first",$J432,"Name","No.","@@"&amp;$K432),"")</f>
        <v/>
      </c>
      <c r="M432" s="84" t="str">
        <f>"LogoMasters"</f>
        <v>LogoMasters</v>
      </c>
      <c r="N432" s="84" t="str">
        <f>IF($J432="Item",_xll.NL("first",$J432,"Description","No.","@@"&amp;$K432),"")</f>
        <v/>
      </c>
      <c r="O432" s="83">
        <v>750</v>
      </c>
      <c r="P432" s="83">
        <v>0</v>
      </c>
      <c r="Q432" s="83">
        <v>0</v>
      </c>
      <c r="R432" s="83">
        <v>0</v>
      </c>
      <c r="S432" s="83">
        <v>0</v>
      </c>
      <c r="T432" s="83">
        <v>0</v>
      </c>
      <c r="U432" s="82"/>
    </row>
    <row r="433" spans="1:21" ht="17.25" customHeight="1" x14ac:dyDescent="0.3">
      <c r="A433" s="66" t="s">
        <v>30</v>
      </c>
      <c r="C433" s="67"/>
      <c r="D433" s="77" t="str">
        <f t="shared" ref="D433" si="296">D432</f>
        <v>E100032</v>
      </c>
      <c r="E433" s="77"/>
      <c r="F433" s="76"/>
      <c r="G433" s="76" t="str">
        <f>"""NAV Direct"",""CRONUS JetCorp USA"",""32"",""1"",""158694"""</f>
        <v>"NAV Direct","CRONUS JetCorp USA","32","1","158694"</v>
      </c>
      <c r="H433" s="86">
        <v>43471</v>
      </c>
      <c r="I433" s="85">
        <v>158694</v>
      </c>
      <c r="J433" s="84" t="str">
        <f>"Customer"</f>
        <v>Customer</v>
      </c>
      <c r="K433" s="84" t="str">
        <f>"C100126"</f>
        <v>C100126</v>
      </c>
      <c r="L433" s="84" t="str">
        <f>IF($J433="Customer",_xll.NL("first",$J433,"Name","No.","@@"&amp;$K433),"")</f>
        <v>Moveex</v>
      </c>
      <c r="M433" s="84" t="str">
        <f>""</f>
        <v/>
      </c>
      <c r="N433" s="84" t="str">
        <f>IF($J433="Item",_xll.NL("first",$J433,"Description","No.","@@"&amp;$K433),"")</f>
        <v/>
      </c>
      <c r="O433" s="83">
        <v>0</v>
      </c>
      <c r="P433" s="83">
        <v>1</v>
      </c>
      <c r="Q433" s="83">
        <v>0</v>
      </c>
      <c r="R433" s="83">
        <v>0</v>
      </c>
      <c r="S433" s="83">
        <v>0</v>
      </c>
      <c r="T433" s="83">
        <v>0</v>
      </c>
      <c r="U433" s="82"/>
    </row>
    <row r="434" spans="1:21" ht="17.25" customHeight="1" x14ac:dyDescent="0.3">
      <c r="A434" s="66" t="s">
        <v>30</v>
      </c>
      <c r="C434" s="67"/>
      <c r="D434" s="77"/>
      <c r="E434" s="77"/>
      <c r="F434" s="76"/>
      <c r="G434" s="76"/>
      <c r="H434" s="76"/>
      <c r="I434" s="76"/>
      <c r="J434" s="76"/>
      <c r="K434" s="76"/>
      <c r="L434" s="76"/>
      <c r="M434" s="76"/>
      <c r="N434" s="76"/>
      <c r="O434" s="75"/>
      <c r="P434" s="75"/>
      <c r="Q434" s="75"/>
      <c r="R434" s="75"/>
      <c r="S434" s="75"/>
      <c r="T434" s="75"/>
      <c r="U434" s="74"/>
    </row>
    <row r="435" spans="1:21" ht="17.25" customHeight="1" x14ac:dyDescent="0.3">
      <c r="A435" s="66" t="s">
        <v>30</v>
      </c>
      <c r="C435" s="67"/>
      <c r="D435" s="77"/>
      <c r="E435" s="77" t="s">
        <v>31</v>
      </c>
      <c r="F435" s="76" t="s">
        <v>31</v>
      </c>
      <c r="G435" s="76" t="s">
        <v>31</v>
      </c>
      <c r="H435" s="76"/>
      <c r="I435" s="76"/>
      <c r="J435" s="76" t="s">
        <v>31</v>
      </c>
      <c r="K435" s="76" t="s">
        <v>31</v>
      </c>
      <c r="L435" s="76" t="s">
        <v>31</v>
      </c>
      <c r="M435" s="76" t="s">
        <v>31</v>
      </c>
      <c r="N435" s="76"/>
      <c r="U435" s="81"/>
    </row>
    <row r="436" spans="1:21" ht="20.25" customHeight="1" x14ac:dyDescent="0.35">
      <c r="A436" s="66" t="s">
        <v>30</v>
      </c>
      <c r="C436" s="67"/>
      <c r="D436" s="92" t="str">
        <f t="shared" ref="D436" si="297">E436</f>
        <v>E100033</v>
      </c>
      <c r="E436" s="91" t="str">
        <f>"E100033"</f>
        <v>E100033</v>
      </c>
      <c r="F436" s="89" t="str">
        <f>"Dual Source Flashlight"</f>
        <v>Dual Source Flashlight</v>
      </c>
      <c r="G436" s="89"/>
      <c r="H436" s="90" t="str">
        <f>"EA"</f>
        <v>EA</v>
      </c>
      <c r="I436" s="89"/>
      <c r="J436" s="89"/>
      <c r="K436" s="89"/>
      <c r="L436" s="89"/>
      <c r="M436" s="89"/>
      <c r="N436" s="89"/>
      <c r="O436" s="88">
        <f>(SUBTOTAL(9,O437:O438))</f>
        <v>999.99999999999989</v>
      </c>
      <c r="P436" s="88">
        <f>(SUBTOTAL(9,P437:P438))</f>
        <v>0</v>
      </c>
      <c r="Q436" s="88">
        <f>(SUBTOTAL(9,Q437:Q438))</f>
        <v>0</v>
      </c>
      <c r="R436" s="88">
        <f>(SUBTOTAL(9,R437:R438))</f>
        <v>0</v>
      </c>
      <c r="S436" s="88">
        <f>(SUBTOTAL(9,S437:S438))</f>
        <v>0</v>
      </c>
      <c r="T436" s="88">
        <f>(SUBTOTAL(9,T437:T438))</f>
        <v>0</v>
      </c>
      <c r="U436" s="87">
        <f t="shared" ref="U436" si="298">SUBTOTAL(9,O437:T438)</f>
        <v>999.99999999999989</v>
      </c>
    </row>
    <row r="437" spans="1:21" ht="17.25" customHeight="1" x14ac:dyDescent="0.3">
      <c r="A437" s="66" t="s">
        <v>30</v>
      </c>
      <c r="C437" s="67"/>
      <c r="D437" s="77" t="str">
        <f t="shared" ref="D437" si="299">D436</f>
        <v>E100033</v>
      </c>
      <c r="E437" s="77"/>
      <c r="F437" s="76"/>
      <c r="G437" s="76" t="str">
        <f>"""NAV Direct"",""CRONUS JetCorp USA"",""32"",""1"",""168350"""</f>
        <v>"NAV Direct","CRONUS JetCorp USA","32","1","168350"</v>
      </c>
      <c r="H437" s="86">
        <v>43466</v>
      </c>
      <c r="I437" s="85">
        <v>168350</v>
      </c>
      <c r="J437" s="84" t="str">
        <f>"Vendor"</f>
        <v>Vendor</v>
      </c>
      <c r="K437" s="84" t="str">
        <f>"V100003"</f>
        <v>V100003</v>
      </c>
      <c r="L437" s="84" t="str">
        <f>IF($J437="Customer",_xll.NL("first",$J437,"Name","No.","@@"&amp;$K437),"")</f>
        <v/>
      </c>
      <c r="M437" s="84" t="str">
        <f>"LogoMasters"</f>
        <v>LogoMasters</v>
      </c>
      <c r="N437" s="84" t="str">
        <f>IF($J437="Item",_xll.NL("first",$J437,"Description","No.","@@"&amp;$K437),"")</f>
        <v/>
      </c>
      <c r="O437" s="83">
        <v>999.99999999999989</v>
      </c>
      <c r="P437" s="83">
        <v>0</v>
      </c>
      <c r="Q437" s="83">
        <v>0</v>
      </c>
      <c r="R437" s="83">
        <v>0</v>
      </c>
      <c r="S437" s="83">
        <v>0</v>
      </c>
      <c r="T437" s="83">
        <v>0</v>
      </c>
      <c r="U437" s="82"/>
    </row>
    <row r="438" spans="1:21" ht="17.25" customHeight="1" x14ac:dyDescent="0.3">
      <c r="A438" s="66" t="s">
        <v>30</v>
      </c>
      <c r="C438" s="67"/>
      <c r="D438" s="77"/>
      <c r="E438" s="77"/>
      <c r="F438" s="76"/>
      <c r="G438" s="76"/>
      <c r="H438" s="76"/>
      <c r="I438" s="76"/>
      <c r="J438" s="76"/>
      <c r="K438" s="76"/>
      <c r="L438" s="76"/>
      <c r="M438" s="76"/>
      <c r="N438" s="76"/>
      <c r="O438" s="75"/>
      <c r="P438" s="75"/>
      <c r="Q438" s="75"/>
      <c r="R438" s="75"/>
      <c r="S438" s="75"/>
      <c r="T438" s="75"/>
      <c r="U438" s="74"/>
    </row>
    <row r="439" spans="1:21" ht="17.25" customHeight="1" x14ac:dyDescent="0.3">
      <c r="A439" s="66" t="s">
        <v>30</v>
      </c>
      <c r="C439" s="67"/>
      <c r="D439" s="77"/>
      <c r="E439" s="77" t="s">
        <v>31</v>
      </c>
      <c r="F439" s="76" t="s">
        <v>31</v>
      </c>
      <c r="G439" s="76" t="s">
        <v>31</v>
      </c>
      <c r="H439" s="76"/>
      <c r="I439" s="76"/>
      <c r="J439" s="76" t="s">
        <v>31</v>
      </c>
      <c r="K439" s="76" t="s">
        <v>31</v>
      </c>
      <c r="L439" s="76" t="s">
        <v>31</v>
      </c>
      <c r="M439" s="76" t="s">
        <v>31</v>
      </c>
      <c r="N439" s="76"/>
      <c r="U439" s="81"/>
    </row>
    <row r="440" spans="1:21" ht="20.25" customHeight="1" x14ac:dyDescent="0.35">
      <c r="A440" s="66" t="s">
        <v>30</v>
      </c>
      <c r="C440" s="67"/>
      <c r="D440" s="92" t="str">
        <f t="shared" ref="D440" si="300">E440</f>
        <v>E100034</v>
      </c>
      <c r="E440" s="91" t="str">
        <f>"E100034"</f>
        <v>E100034</v>
      </c>
      <c r="F440" s="89" t="str">
        <f>"Bamboo 1GB USB Flash Drive"</f>
        <v>Bamboo 1GB USB Flash Drive</v>
      </c>
      <c r="G440" s="89"/>
      <c r="H440" s="90" t="str">
        <f>"EA"</f>
        <v>EA</v>
      </c>
      <c r="I440" s="89"/>
      <c r="J440" s="89"/>
      <c r="K440" s="89"/>
      <c r="L440" s="89"/>
      <c r="M440" s="89"/>
      <c r="N440" s="89"/>
      <c r="O440" s="88">
        <f>(SUBTOTAL(9,O441:O443))</f>
        <v>999.99999999999989</v>
      </c>
      <c r="P440" s="88">
        <f>(SUBTOTAL(9,P441:P443))</f>
        <v>1</v>
      </c>
      <c r="Q440" s="88">
        <f>(SUBTOTAL(9,Q441:Q443))</f>
        <v>0</v>
      </c>
      <c r="R440" s="88">
        <f>(SUBTOTAL(9,R441:R443))</f>
        <v>0</v>
      </c>
      <c r="S440" s="88">
        <f>(SUBTOTAL(9,S441:S443))</f>
        <v>0</v>
      </c>
      <c r="T440" s="88">
        <f>(SUBTOTAL(9,T441:T443))</f>
        <v>0</v>
      </c>
      <c r="U440" s="87">
        <f t="shared" ref="U440" si="301">SUBTOTAL(9,O441:T443)</f>
        <v>1000.9999999999999</v>
      </c>
    </row>
    <row r="441" spans="1:21" ht="17.25" customHeight="1" x14ac:dyDescent="0.3">
      <c r="A441" s="66" t="s">
        <v>30</v>
      </c>
      <c r="C441" s="67"/>
      <c r="D441" s="77" t="str">
        <f t="shared" ref="D441" si="302">D440</f>
        <v>E100034</v>
      </c>
      <c r="E441" s="77"/>
      <c r="F441" s="76"/>
      <c r="G441" s="76" t="str">
        <f>"""NAV Direct"",""CRONUS JetCorp USA"",""32"",""1"",""168349"""</f>
        <v>"NAV Direct","CRONUS JetCorp USA","32","1","168349"</v>
      </c>
      <c r="H441" s="86">
        <v>43466</v>
      </c>
      <c r="I441" s="85">
        <v>168349</v>
      </c>
      <c r="J441" s="84" t="str">
        <f>"Vendor"</f>
        <v>Vendor</v>
      </c>
      <c r="K441" s="84" t="str">
        <f>"V100003"</f>
        <v>V100003</v>
      </c>
      <c r="L441" s="84" t="str">
        <f>IF($J441="Customer",_xll.NL("first",$J441,"Name","No.","@@"&amp;$K441),"")</f>
        <v/>
      </c>
      <c r="M441" s="84" t="str">
        <f>"LogoMasters"</f>
        <v>LogoMasters</v>
      </c>
      <c r="N441" s="84" t="str">
        <f>IF($J441="Item",_xll.NL("first",$J441,"Description","No.","@@"&amp;$K441),"")</f>
        <v/>
      </c>
      <c r="O441" s="83">
        <v>999.99999999999989</v>
      </c>
      <c r="P441" s="83">
        <v>0</v>
      </c>
      <c r="Q441" s="83">
        <v>0</v>
      </c>
      <c r="R441" s="83">
        <v>0</v>
      </c>
      <c r="S441" s="83">
        <v>0</v>
      </c>
      <c r="T441" s="83">
        <v>0</v>
      </c>
      <c r="U441" s="82"/>
    </row>
    <row r="442" spans="1:21" ht="17.25" customHeight="1" x14ac:dyDescent="0.3">
      <c r="A442" s="66" t="s">
        <v>30</v>
      </c>
      <c r="C442" s="67"/>
      <c r="D442" s="77" t="str">
        <f t="shared" ref="D442" si="303">D441</f>
        <v>E100034</v>
      </c>
      <c r="E442" s="77"/>
      <c r="F442" s="76"/>
      <c r="G442" s="76" t="str">
        <f>"""NAV Direct"",""CRONUS JetCorp USA"",""32"",""1"",""158692"""</f>
        <v>"NAV Direct","CRONUS JetCorp USA","32","1","158692"</v>
      </c>
      <c r="H442" s="86">
        <v>43471</v>
      </c>
      <c r="I442" s="85">
        <v>158692</v>
      </c>
      <c r="J442" s="84" t="str">
        <f>"Customer"</f>
        <v>Customer</v>
      </c>
      <c r="K442" s="84" t="str">
        <f>"C100126"</f>
        <v>C100126</v>
      </c>
      <c r="L442" s="84" t="str">
        <f>IF($J442="Customer",_xll.NL("first",$J442,"Name","No.","@@"&amp;$K442),"")</f>
        <v>Moveex</v>
      </c>
      <c r="M442" s="84" t="str">
        <f>""</f>
        <v/>
      </c>
      <c r="N442" s="84" t="str">
        <f>IF($J442="Item",_xll.NL("first",$J442,"Description","No.","@@"&amp;$K442),"")</f>
        <v/>
      </c>
      <c r="O442" s="83">
        <v>0</v>
      </c>
      <c r="P442" s="83">
        <v>1</v>
      </c>
      <c r="Q442" s="83">
        <v>0</v>
      </c>
      <c r="R442" s="83">
        <v>0</v>
      </c>
      <c r="S442" s="83">
        <v>0</v>
      </c>
      <c r="T442" s="83">
        <v>0</v>
      </c>
      <c r="U442" s="82"/>
    </row>
    <row r="443" spans="1:21" ht="17.25" customHeight="1" x14ac:dyDescent="0.3">
      <c r="A443" s="66" t="s">
        <v>30</v>
      </c>
      <c r="C443" s="67"/>
      <c r="D443" s="77"/>
      <c r="E443" s="77"/>
      <c r="F443" s="76"/>
      <c r="G443" s="76"/>
      <c r="H443" s="76"/>
      <c r="I443" s="76"/>
      <c r="J443" s="76"/>
      <c r="K443" s="76"/>
      <c r="L443" s="76"/>
      <c r="M443" s="76"/>
      <c r="N443" s="76"/>
      <c r="O443" s="75"/>
      <c r="P443" s="75"/>
      <c r="Q443" s="75"/>
      <c r="R443" s="75"/>
      <c r="S443" s="75"/>
      <c r="T443" s="75"/>
      <c r="U443" s="74"/>
    </row>
    <row r="444" spans="1:21" ht="17.25" customHeight="1" x14ac:dyDescent="0.3">
      <c r="A444" s="66" t="s">
        <v>30</v>
      </c>
      <c r="C444" s="67"/>
      <c r="D444" s="77"/>
      <c r="E444" s="77" t="s">
        <v>31</v>
      </c>
      <c r="F444" s="76" t="s">
        <v>31</v>
      </c>
      <c r="G444" s="76" t="s">
        <v>31</v>
      </c>
      <c r="H444" s="76"/>
      <c r="I444" s="76"/>
      <c r="J444" s="76" t="s">
        <v>31</v>
      </c>
      <c r="K444" s="76" t="s">
        <v>31</v>
      </c>
      <c r="L444" s="76" t="s">
        <v>31</v>
      </c>
      <c r="M444" s="76" t="s">
        <v>31</v>
      </c>
      <c r="N444" s="76"/>
      <c r="U444" s="81"/>
    </row>
    <row r="445" spans="1:21" ht="20.25" customHeight="1" x14ac:dyDescent="0.35">
      <c r="A445" s="66" t="s">
        <v>30</v>
      </c>
      <c r="C445" s="67"/>
      <c r="D445" s="92" t="str">
        <f t="shared" ref="D445" si="304">E445</f>
        <v>E100035</v>
      </c>
      <c r="E445" s="91" t="str">
        <f>"E100035"</f>
        <v>E100035</v>
      </c>
      <c r="F445" s="89" t="str">
        <f>"2GB Foldout USB Flash Drive"</f>
        <v>2GB Foldout USB Flash Drive</v>
      </c>
      <c r="G445" s="89"/>
      <c r="H445" s="90" t="str">
        <f>"EA"</f>
        <v>EA</v>
      </c>
      <c r="I445" s="89"/>
      <c r="J445" s="89"/>
      <c r="K445" s="89"/>
      <c r="L445" s="89"/>
      <c r="M445" s="89"/>
      <c r="N445" s="89"/>
      <c r="O445" s="88">
        <f>(SUBTOTAL(9,O446:O447))</f>
        <v>750</v>
      </c>
      <c r="P445" s="88">
        <f>(SUBTOTAL(9,P446:P447))</f>
        <v>0</v>
      </c>
      <c r="Q445" s="88">
        <f>(SUBTOTAL(9,Q446:Q447))</f>
        <v>0</v>
      </c>
      <c r="R445" s="88">
        <f>(SUBTOTAL(9,R446:R447))</f>
        <v>0</v>
      </c>
      <c r="S445" s="88">
        <f>(SUBTOTAL(9,S446:S447))</f>
        <v>0</v>
      </c>
      <c r="T445" s="88">
        <f>(SUBTOTAL(9,T446:T447))</f>
        <v>0</v>
      </c>
      <c r="U445" s="87">
        <f t="shared" ref="U445" si="305">SUBTOTAL(9,O446:T447)</f>
        <v>750</v>
      </c>
    </row>
    <row r="446" spans="1:21" ht="17.25" customHeight="1" x14ac:dyDescent="0.3">
      <c r="A446" s="66" t="s">
        <v>30</v>
      </c>
      <c r="C446" s="67"/>
      <c r="D446" s="77" t="str">
        <f t="shared" ref="D446" si="306">D445</f>
        <v>E100035</v>
      </c>
      <c r="E446" s="77"/>
      <c r="F446" s="76"/>
      <c r="G446" s="76" t="str">
        <f>"""NAV Direct"",""CRONUS JetCorp USA"",""32"",""1"",""168348"""</f>
        <v>"NAV Direct","CRONUS JetCorp USA","32","1","168348"</v>
      </c>
      <c r="H446" s="86">
        <v>43466</v>
      </c>
      <c r="I446" s="85">
        <v>168348</v>
      </c>
      <c r="J446" s="84" t="str">
        <f>"Vendor"</f>
        <v>Vendor</v>
      </c>
      <c r="K446" s="84" t="str">
        <f>"V100003"</f>
        <v>V100003</v>
      </c>
      <c r="L446" s="84" t="str">
        <f>IF($J446="Customer",_xll.NL("first",$J446,"Name","No.","@@"&amp;$K446),"")</f>
        <v/>
      </c>
      <c r="M446" s="84" t="str">
        <f>"LogoMasters"</f>
        <v>LogoMasters</v>
      </c>
      <c r="N446" s="84" t="str">
        <f>IF($J446="Item",_xll.NL("first",$J446,"Description","No.","@@"&amp;$K446),"")</f>
        <v/>
      </c>
      <c r="O446" s="83">
        <v>750</v>
      </c>
      <c r="P446" s="83">
        <v>0</v>
      </c>
      <c r="Q446" s="83">
        <v>0</v>
      </c>
      <c r="R446" s="83">
        <v>0</v>
      </c>
      <c r="S446" s="83">
        <v>0</v>
      </c>
      <c r="T446" s="83">
        <v>0</v>
      </c>
      <c r="U446" s="82"/>
    </row>
    <row r="447" spans="1:21" ht="17.25" customHeight="1" x14ac:dyDescent="0.3">
      <c r="A447" s="66" t="s">
        <v>30</v>
      </c>
      <c r="C447" s="67"/>
      <c r="D447" s="77"/>
      <c r="E447" s="77"/>
      <c r="F447" s="76"/>
      <c r="G447" s="76"/>
      <c r="H447" s="76"/>
      <c r="I447" s="76"/>
      <c r="J447" s="76"/>
      <c r="K447" s="76"/>
      <c r="L447" s="76"/>
      <c r="M447" s="76"/>
      <c r="N447" s="76"/>
      <c r="O447" s="75"/>
      <c r="P447" s="75"/>
      <c r="Q447" s="75"/>
      <c r="R447" s="75"/>
      <c r="S447" s="75"/>
      <c r="T447" s="75"/>
      <c r="U447" s="74"/>
    </row>
    <row r="448" spans="1:21" ht="17.25" customHeight="1" x14ac:dyDescent="0.3">
      <c r="A448" s="66" t="s">
        <v>30</v>
      </c>
      <c r="C448" s="67"/>
      <c r="D448" s="77"/>
      <c r="E448" s="77" t="s">
        <v>31</v>
      </c>
      <c r="F448" s="76" t="s">
        <v>31</v>
      </c>
      <c r="G448" s="76" t="s">
        <v>31</v>
      </c>
      <c r="H448" s="76"/>
      <c r="I448" s="76"/>
      <c r="J448" s="76" t="s">
        <v>31</v>
      </c>
      <c r="K448" s="76" t="s">
        <v>31</v>
      </c>
      <c r="L448" s="76" t="s">
        <v>31</v>
      </c>
      <c r="M448" s="76" t="s">
        <v>31</v>
      </c>
      <c r="N448" s="76"/>
      <c r="U448" s="81"/>
    </row>
    <row r="449" spans="1:21" ht="20.25" customHeight="1" x14ac:dyDescent="0.35">
      <c r="A449" s="66" t="s">
        <v>30</v>
      </c>
      <c r="C449" s="67"/>
      <c r="D449" s="92" t="str">
        <f t="shared" ref="D449" si="307">E449</f>
        <v>E100038</v>
      </c>
      <c r="E449" s="91" t="str">
        <f>"E100038"</f>
        <v>E100038</v>
      </c>
      <c r="F449" s="89" t="str">
        <f>"1GB USB Flash Drive Pen"</f>
        <v>1GB USB Flash Drive Pen</v>
      </c>
      <c r="G449" s="89"/>
      <c r="H449" s="90" t="str">
        <f>"EA"</f>
        <v>EA</v>
      </c>
      <c r="I449" s="89"/>
      <c r="J449" s="89"/>
      <c r="K449" s="89"/>
      <c r="L449" s="89"/>
      <c r="M449" s="89"/>
      <c r="N449" s="89"/>
      <c r="O449" s="88">
        <f>(SUBTOTAL(9,O450:O451))</f>
        <v>249.99999999999997</v>
      </c>
      <c r="P449" s="88">
        <f>(SUBTOTAL(9,P450:P451))</f>
        <v>0</v>
      </c>
      <c r="Q449" s="88">
        <f>(SUBTOTAL(9,Q450:Q451))</f>
        <v>0</v>
      </c>
      <c r="R449" s="88">
        <f>(SUBTOTAL(9,R450:R451))</f>
        <v>0</v>
      </c>
      <c r="S449" s="88">
        <f>(SUBTOTAL(9,S450:S451))</f>
        <v>0</v>
      </c>
      <c r="T449" s="88">
        <f>(SUBTOTAL(9,T450:T451))</f>
        <v>0</v>
      </c>
      <c r="U449" s="87">
        <f t="shared" ref="U449" si="308">SUBTOTAL(9,O450:T451)</f>
        <v>249.99999999999997</v>
      </c>
    </row>
    <row r="450" spans="1:21" ht="17.25" customHeight="1" x14ac:dyDescent="0.3">
      <c r="A450" s="66" t="s">
        <v>30</v>
      </c>
      <c r="C450" s="67"/>
      <c r="D450" s="77" t="str">
        <f t="shared" ref="D450" si="309">D449</f>
        <v>E100038</v>
      </c>
      <c r="E450" s="77"/>
      <c r="F450" s="76"/>
      <c r="G450" s="76" t="str">
        <f>"""NAV Direct"",""CRONUS JetCorp USA"",""32"",""1"",""168347"""</f>
        <v>"NAV Direct","CRONUS JetCorp USA","32","1","168347"</v>
      </c>
      <c r="H450" s="86">
        <v>43466</v>
      </c>
      <c r="I450" s="85">
        <v>168347</v>
      </c>
      <c r="J450" s="84" t="str">
        <f>"Vendor"</f>
        <v>Vendor</v>
      </c>
      <c r="K450" s="84" t="str">
        <f>"V100003"</f>
        <v>V100003</v>
      </c>
      <c r="L450" s="84" t="str">
        <f>IF($J450="Customer",_xll.NL("first",$J450,"Name","No.","@@"&amp;$K450),"")</f>
        <v/>
      </c>
      <c r="M450" s="84" t="str">
        <f>"LogoMasters"</f>
        <v>LogoMasters</v>
      </c>
      <c r="N450" s="84" t="str">
        <f>IF($J450="Item",_xll.NL("first",$J450,"Description","No.","@@"&amp;$K450),"")</f>
        <v/>
      </c>
      <c r="O450" s="83">
        <v>249.99999999999997</v>
      </c>
      <c r="P450" s="83">
        <v>0</v>
      </c>
      <c r="Q450" s="83">
        <v>0</v>
      </c>
      <c r="R450" s="83">
        <v>0</v>
      </c>
      <c r="S450" s="83">
        <v>0</v>
      </c>
      <c r="T450" s="83">
        <v>0</v>
      </c>
      <c r="U450" s="82"/>
    </row>
    <row r="451" spans="1:21" ht="17.25" customHeight="1" x14ac:dyDescent="0.3">
      <c r="A451" s="66" t="s">
        <v>30</v>
      </c>
      <c r="C451" s="67"/>
      <c r="D451" s="77"/>
      <c r="E451" s="77"/>
      <c r="F451" s="76"/>
      <c r="G451" s="76"/>
      <c r="H451" s="76"/>
      <c r="I451" s="76"/>
      <c r="J451" s="76"/>
      <c r="K451" s="76"/>
      <c r="L451" s="76"/>
      <c r="M451" s="76"/>
      <c r="N451" s="76"/>
      <c r="O451" s="75"/>
      <c r="P451" s="75"/>
      <c r="Q451" s="75"/>
      <c r="R451" s="75"/>
      <c r="S451" s="75"/>
      <c r="T451" s="75"/>
      <c r="U451" s="74"/>
    </row>
    <row r="452" spans="1:21" ht="17.25" customHeight="1" x14ac:dyDescent="0.3">
      <c r="A452" s="66" t="s">
        <v>30</v>
      </c>
      <c r="C452" s="67"/>
      <c r="D452" s="77"/>
      <c r="E452" s="77" t="s">
        <v>31</v>
      </c>
      <c r="F452" s="76" t="s">
        <v>31</v>
      </c>
      <c r="G452" s="76" t="s">
        <v>31</v>
      </c>
      <c r="H452" s="76"/>
      <c r="I452" s="76"/>
      <c r="J452" s="76" t="s">
        <v>31</v>
      </c>
      <c r="K452" s="76" t="s">
        <v>31</v>
      </c>
      <c r="L452" s="76" t="s">
        <v>31</v>
      </c>
      <c r="M452" s="76" t="s">
        <v>31</v>
      </c>
      <c r="N452" s="76"/>
      <c r="U452" s="81"/>
    </row>
    <row r="453" spans="1:21" ht="20.25" customHeight="1" x14ac:dyDescent="0.35">
      <c r="A453" s="66" t="s">
        <v>30</v>
      </c>
      <c r="C453" s="67"/>
      <c r="D453" s="92" t="str">
        <f t="shared" ref="D453" si="310">E453</f>
        <v>E100039</v>
      </c>
      <c r="E453" s="91" t="str">
        <f>"E100039"</f>
        <v>E100039</v>
      </c>
      <c r="F453" s="89" t="str">
        <f>"Campfire Mug"</f>
        <v>Campfire Mug</v>
      </c>
      <c r="G453" s="89"/>
      <c r="H453" s="90" t="str">
        <f>"EA"</f>
        <v>EA</v>
      </c>
      <c r="I453" s="89"/>
      <c r="J453" s="89"/>
      <c r="K453" s="89"/>
      <c r="L453" s="89"/>
      <c r="M453" s="89"/>
      <c r="N453" s="89"/>
      <c r="O453" s="88">
        <f>(SUBTOTAL(9,O454:O455))</f>
        <v>499.99999999999994</v>
      </c>
      <c r="P453" s="88">
        <f>(SUBTOTAL(9,P454:P455))</f>
        <v>0</v>
      </c>
      <c r="Q453" s="88">
        <f>(SUBTOTAL(9,Q454:Q455))</f>
        <v>0</v>
      </c>
      <c r="R453" s="88">
        <f>(SUBTOTAL(9,R454:R455))</f>
        <v>0</v>
      </c>
      <c r="S453" s="88">
        <f>(SUBTOTAL(9,S454:S455))</f>
        <v>0</v>
      </c>
      <c r="T453" s="88">
        <f>(SUBTOTAL(9,T454:T455))</f>
        <v>0</v>
      </c>
      <c r="U453" s="87">
        <f t="shared" ref="U453" si="311">SUBTOTAL(9,O454:T455)</f>
        <v>499.99999999999994</v>
      </c>
    </row>
    <row r="454" spans="1:21" ht="17.25" customHeight="1" x14ac:dyDescent="0.3">
      <c r="A454" s="66" t="s">
        <v>30</v>
      </c>
      <c r="C454" s="67"/>
      <c r="D454" s="77" t="str">
        <f t="shared" ref="D454" si="312">D453</f>
        <v>E100039</v>
      </c>
      <c r="E454" s="77"/>
      <c r="F454" s="76"/>
      <c r="G454" s="76" t="str">
        <f>"""NAV Direct"",""CRONUS JetCorp USA"",""32"",""1"",""168665"""</f>
        <v>"NAV Direct","CRONUS JetCorp USA","32","1","168665"</v>
      </c>
      <c r="H454" s="86">
        <v>43466</v>
      </c>
      <c r="I454" s="85">
        <v>168665</v>
      </c>
      <c r="J454" s="84" t="str">
        <f>"Vendor"</f>
        <v>Vendor</v>
      </c>
      <c r="K454" s="84" t="str">
        <f>"V100003"</f>
        <v>V100003</v>
      </c>
      <c r="L454" s="84" t="str">
        <f>IF($J454="Customer",_xll.NL("first",$J454,"Name","No.","@@"&amp;$K454),"")</f>
        <v/>
      </c>
      <c r="M454" s="84" t="str">
        <f>"LogoMasters"</f>
        <v>LogoMasters</v>
      </c>
      <c r="N454" s="84" t="str">
        <f>IF($J454="Item",_xll.NL("first",$J454,"Description","No.","@@"&amp;$K454),"")</f>
        <v/>
      </c>
      <c r="O454" s="83">
        <v>499.99999999999994</v>
      </c>
      <c r="P454" s="83">
        <v>0</v>
      </c>
      <c r="Q454" s="83">
        <v>0</v>
      </c>
      <c r="R454" s="83">
        <v>0</v>
      </c>
      <c r="S454" s="83">
        <v>0</v>
      </c>
      <c r="T454" s="83">
        <v>0</v>
      </c>
      <c r="U454" s="82"/>
    </row>
    <row r="455" spans="1:21" ht="17.25" customHeight="1" x14ac:dyDescent="0.3">
      <c r="A455" s="66" t="s">
        <v>30</v>
      </c>
      <c r="C455" s="67"/>
      <c r="D455" s="77"/>
      <c r="E455" s="77"/>
      <c r="F455" s="76"/>
      <c r="G455" s="76"/>
      <c r="H455" s="76"/>
      <c r="I455" s="76"/>
      <c r="J455" s="76"/>
      <c r="K455" s="76"/>
      <c r="L455" s="76"/>
      <c r="M455" s="76"/>
      <c r="N455" s="76"/>
      <c r="O455" s="75"/>
      <c r="P455" s="75"/>
      <c r="Q455" s="75"/>
      <c r="R455" s="75"/>
      <c r="S455" s="75"/>
      <c r="T455" s="75"/>
      <c r="U455" s="74"/>
    </row>
    <row r="456" spans="1:21" ht="17.25" customHeight="1" x14ac:dyDescent="0.3">
      <c r="A456" s="66" t="s">
        <v>30</v>
      </c>
      <c r="C456" s="67"/>
      <c r="D456" s="77"/>
      <c r="E456" s="77" t="s">
        <v>31</v>
      </c>
      <c r="F456" s="76" t="s">
        <v>31</v>
      </c>
      <c r="G456" s="76" t="s">
        <v>31</v>
      </c>
      <c r="H456" s="76"/>
      <c r="I456" s="76"/>
      <c r="J456" s="76" t="s">
        <v>31</v>
      </c>
      <c r="K456" s="76" t="s">
        <v>31</v>
      </c>
      <c r="L456" s="76" t="s">
        <v>31</v>
      </c>
      <c r="M456" s="76" t="s">
        <v>31</v>
      </c>
      <c r="N456" s="76"/>
      <c r="U456" s="81"/>
    </row>
    <row r="457" spans="1:21" ht="20.25" customHeight="1" x14ac:dyDescent="0.35">
      <c r="A457" s="66" t="s">
        <v>30</v>
      </c>
      <c r="C457" s="67"/>
      <c r="D457" s="92" t="str">
        <f t="shared" ref="D457" si="313">E457</f>
        <v>E100040</v>
      </c>
      <c r="E457" s="91" t="str">
        <f>"E100040"</f>
        <v>E100040</v>
      </c>
      <c r="F457" s="89" t="str">
        <f>"Wave Mug"</f>
        <v>Wave Mug</v>
      </c>
      <c r="G457" s="89"/>
      <c r="H457" s="90" t="str">
        <f>"EA"</f>
        <v>EA</v>
      </c>
      <c r="I457" s="89"/>
      <c r="J457" s="89"/>
      <c r="K457" s="89"/>
      <c r="L457" s="89"/>
      <c r="M457" s="89"/>
      <c r="N457" s="89"/>
      <c r="O457" s="88">
        <f>(SUBTOTAL(9,O458:O459))</f>
        <v>750</v>
      </c>
      <c r="P457" s="88">
        <f>(SUBTOTAL(9,P458:P459))</f>
        <v>0</v>
      </c>
      <c r="Q457" s="88">
        <f>(SUBTOTAL(9,Q458:Q459))</f>
        <v>0</v>
      </c>
      <c r="R457" s="88">
        <f>(SUBTOTAL(9,R458:R459))</f>
        <v>0</v>
      </c>
      <c r="S457" s="88">
        <f>(SUBTOTAL(9,S458:S459))</f>
        <v>0</v>
      </c>
      <c r="T457" s="88">
        <f>(SUBTOTAL(9,T458:T459))</f>
        <v>0</v>
      </c>
      <c r="U457" s="87">
        <f t="shared" ref="U457" si="314">SUBTOTAL(9,O458:T459)</f>
        <v>750</v>
      </c>
    </row>
    <row r="458" spans="1:21" ht="17.25" customHeight="1" x14ac:dyDescent="0.3">
      <c r="A458" s="66" t="s">
        <v>30</v>
      </c>
      <c r="C458" s="67"/>
      <c r="D458" s="77" t="str">
        <f t="shared" ref="D458" si="315">D457</f>
        <v>E100040</v>
      </c>
      <c r="E458" s="77"/>
      <c r="F458" s="76"/>
      <c r="G458" s="76" t="str">
        <f>"""NAV Direct"",""CRONUS JetCorp USA"",""32"",""1"",""168664"""</f>
        <v>"NAV Direct","CRONUS JetCorp USA","32","1","168664"</v>
      </c>
      <c r="H458" s="86">
        <v>43466</v>
      </c>
      <c r="I458" s="85">
        <v>168664</v>
      </c>
      <c r="J458" s="84" t="str">
        <f>"Vendor"</f>
        <v>Vendor</v>
      </c>
      <c r="K458" s="84" t="str">
        <f>"V100003"</f>
        <v>V100003</v>
      </c>
      <c r="L458" s="84" t="str">
        <f>IF($J458="Customer",_xll.NL("first",$J458,"Name","No.","@@"&amp;$K458),"")</f>
        <v/>
      </c>
      <c r="M458" s="84" t="str">
        <f>"LogoMasters"</f>
        <v>LogoMasters</v>
      </c>
      <c r="N458" s="84" t="str">
        <f>IF($J458="Item",_xll.NL("first",$J458,"Description","No.","@@"&amp;$K458),"")</f>
        <v/>
      </c>
      <c r="O458" s="83">
        <v>750</v>
      </c>
      <c r="P458" s="83">
        <v>0</v>
      </c>
      <c r="Q458" s="83">
        <v>0</v>
      </c>
      <c r="R458" s="83">
        <v>0</v>
      </c>
      <c r="S458" s="83">
        <v>0</v>
      </c>
      <c r="T458" s="83">
        <v>0</v>
      </c>
      <c r="U458" s="82"/>
    </row>
    <row r="459" spans="1:21" ht="17.25" customHeight="1" x14ac:dyDescent="0.3">
      <c r="A459" s="66" t="s">
        <v>30</v>
      </c>
      <c r="C459" s="67"/>
      <c r="D459" s="77"/>
      <c r="E459" s="77"/>
      <c r="F459" s="76"/>
      <c r="G459" s="76"/>
      <c r="H459" s="76"/>
      <c r="I459" s="76"/>
      <c r="J459" s="76"/>
      <c r="K459" s="76"/>
      <c r="L459" s="76"/>
      <c r="M459" s="76"/>
      <c r="N459" s="76"/>
      <c r="O459" s="75"/>
      <c r="P459" s="75"/>
      <c r="Q459" s="75"/>
      <c r="R459" s="75"/>
      <c r="S459" s="75"/>
      <c r="T459" s="75"/>
      <c r="U459" s="74"/>
    </row>
    <row r="460" spans="1:21" ht="17.25" customHeight="1" x14ac:dyDescent="0.3">
      <c r="A460" s="66" t="s">
        <v>30</v>
      </c>
      <c r="C460" s="67"/>
      <c r="D460" s="77"/>
      <c r="E460" s="77" t="s">
        <v>31</v>
      </c>
      <c r="F460" s="76" t="s">
        <v>31</v>
      </c>
      <c r="G460" s="76" t="s">
        <v>31</v>
      </c>
      <c r="H460" s="76"/>
      <c r="I460" s="76"/>
      <c r="J460" s="76" t="s">
        <v>31</v>
      </c>
      <c r="K460" s="76" t="s">
        <v>31</v>
      </c>
      <c r="L460" s="76" t="s">
        <v>31</v>
      </c>
      <c r="M460" s="76" t="s">
        <v>31</v>
      </c>
      <c r="N460" s="76"/>
      <c r="U460" s="81"/>
    </row>
    <row r="461" spans="1:21" ht="20.25" customHeight="1" x14ac:dyDescent="0.35">
      <c r="A461" s="66" t="s">
        <v>30</v>
      </c>
      <c r="C461" s="67"/>
      <c r="D461" s="92" t="str">
        <f t="shared" ref="D461" si="316">E461</f>
        <v>E100041</v>
      </c>
      <c r="E461" s="91" t="str">
        <f>"E100041"</f>
        <v>E100041</v>
      </c>
      <c r="F461" s="89" t="str">
        <f>"Biodegradable Colored SPORT BOT"</f>
        <v>Biodegradable Colored SPORT BOT</v>
      </c>
      <c r="G461" s="89"/>
      <c r="H461" s="90" t="str">
        <f>"EA"</f>
        <v>EA</v>
      </c>
      <c r="I461" s="89"/>
      <c r="J461" s="89"/>
      <c r="K461" s="89"/>
      <c r="L461" s="89"/>
      <c r="M461" s="89"/>
      <c r="N461" s="89"/>
      <c r="O461" s="88">
        <f>(SUBTOTAL(9,O462:O463))</f>
        <v>1250</v>
      </c>
      <c r="P461" s="88">
        <f>(SUBTOTAL(9,P462:P463))</f>
        <v>0</v>
      </c>
      <c r="Q461" s="88">
        <f>(SUBTOTAL(9,Q462:Q463))</f>
        <v>0</v>
      </c>
      <c r="R461" s="88">
        <f>(SUBTOTAL(9,R462:R463))</f>
        <v>0</v>
      </c>
      <c r="S461" s="88">
        <f>(SUBTOTAL(9,S462:S463))</f>
        <v>0</v>
      </c>
      <c r="T461" s="88">
        <f>(SUBTOTAL(9,T462:T463))</f>
        <v>0</v>
      </c>
      <c r="U461" s="87">
        <f t="shared" ref="U461" si="317">SUBTOTAL(9,O462:T463)</f>
        <v>1250</v>
      </c>
    </row>
    <row r="462" spans="1:21" ht="17.25" customHeight="1" x14ac:dyDescent="0.3">
      <c r="A462" s="66" t="s">
        <v>30</v>
      </c>
      <c r="C462" s="67"/>
      <c r="D462" s="77" t="str">
        <f t="shared" ref="D462" si="318">D461</f>
        <v>E100041</v>
      </c>
      <c r="E462" s="77"/>
      <c r="F462" s="76"/>
      <c r="G462" s="76" t="str">
        <f>"""NAV Direct"",""CRONUS JetCorp USA"",""32"",""1"",""168663"""</f>
        <v>"NAV Direct","CRONUS JetCorp USA","32","1","168663"</v>
      </c>
      <c r="H462" s="86">
        <v>43466</v>
      </c>
      <c r="I462" s="85">
        <v>168663</v>
      </c>
      <c r="J462" s="84" t="str">
        <f>"Vendor"</f>
        <v>Vendor</v>
      </c>
      <c r="K462" s="84" t="str">
        <f>"V100003"</f>
        <v>V100003</v>
      </c>
      <c r="L462" s="84" t="str">
        <f>IF($J462="Customer",_xll.NL("first",$J462,"Name","No.","@@"&amp;$K462),"")</f>
        <v/>
      </c>
      <c r="M462" s="84" t="str">
        <f>"LogoMasters"</f>
        <v>LogoMasters</v>
      </c>
      <c r="N462" s="84" t="str">
        <f>IF($J462="Item",_xll.NL("first",$J462,"Description","No.","@@"&amp;$K462),"")</f>
        <v/>
      </c>
      <c r="O462" s="83">
        <v>1250</v>
      </c>
      <c r="P462" s="83">
        <v>0</v>
      </c>
      <c r="Q462" s="83">
        <v>0</v>
      </c>
      <c r="R462" s="83">
        <v>0</v>
      </c>
      <c r="S462" s="83">
        <v>0</v>
      </c>
      <c r="T462" s="83">
        <v>0</v>
      </c>
      <c r="U462" s="82"/>
    </row>
    <row r="463" spans="1:21" ht="17.25" customHeight="1" x14ac:dyDescent="0.3">
      <c r="A463" s="66" t="s">
        <v>30</v>
      </c>
      <c r="C463" s="67"/>
      <c r="D463" s="77"/>
      <c r="E463" s="77"/>
      <c r="F463" s="76"/>
      <c r="G463" s="76"/>
      <c r="H463" s="76"/>
      <c r="I463" s="76"/>
      <c r="J463" s="76"/>
      <c r="K463" s="76"/>
      <c r="L463" s="76"/>
      <c r="M463" s="76"/>
      <c r="N463" s="76"/>
      <c r="O463" s="75"/>
      <c r="P463" s="75"/>
      <c r="Q463" s="75"/>
      <c r="R463" s="75"/>
      <c r="S463" s="75"/>
      <c r="T463" s="75"/>
      <c r="U463" s="74"/>
    </row>
    <row r="464" spans="1:21" ht="17.25" customHeight="1" x14ac:dyDescent="0.3">
      <c r="A464" s="66" t="s">
        <v>30</v>
      </c>
      <c r="C464" s="67"/>
      <c r="D464" s="77"/>
      <c r="E464" s="77" t="s">
        <v>31</v>
      </c>
      <c r="F464" s="76" t="s">
        <v>31</v>
      </c>
      <c r="G464" s="76" t="s">
        <v>31</v>
      </c>
      <c r="H464" s="76"/>
      <c r="I464" s="76"/>
      <c r="J464" s="76" t="s">
        <v>31</v>
      </c>
      <c r="K464" s="76" t="s">
        <v>31</v>
      </c>
      <c r="L464" s="76" t="s">
        <v>31</v>
      </c>
      <c r="M464" s="76" t="s">
        <v>31</v>
      </c>
      <c r="N464" s="76"/>
      <c r="U464" s="81"/>
    </row>
    <row r="465" spans="1:21" ht="20.25" customHeight="1" x14ac:dyDescent="0.35">
      <c r="A465" s="66" t="s">
        <v>30</v>
      </c>
      <c r="C465" s="67"/>
      <c r="D465" s="92" t="str">
        <f t="shared" ref="D465" si="319">E465</f>
        <v>E100042</v>
      </c>
      <c r="E465" s="91" t="str">
        <f>"E100042"</f>
        <v>E100042</v>
      </c>
      <c r="F465" s="89" t="str">
        <f>"Soft Touch Travel Mug"</f>
        <v>Soft Touch Travel Mug</v>
      </c>
      <c r="G465" s="89"/>
      <c r="H465" s="90" t="str">
        <f>"EA"</f>
        <v>EA</v>
      </c>
      <c r="I465" s="89"/>
      <c r="J465" s="89"/>
      <c r="K465" s="89"/>
      <c r="L465" s="89"/>
      <c r="M465" s="89"/>
      <c r="N465" s="89"/>
      <c r="O465" s="88">
        <f>(SUBTOTAL(9,O466:O467))</f>
        <v>1250</v>
      </c>
      <c r="P465" s="88">
        <f>(SUBTOTAL(9,P466:P467))</f>
        <v>0</v>
      </c>
      <c r="Q465" s="88">
        <f>(SUBTOTAL(9,Q466:Q467))</f>
        <v>0</v>
      </c>
      <c r="R465" s="88">
        <f>(SUBTOTAL(9,R466:R467))</f>
        <v>0</v>
      </c>
      <c r="S465" s="88">
        <f>(SUBTOTAL(9,S466:S467))</f>
        <v>0</v>
      </c>
      <c r="T465" s="88">
        <f>(SUBTOTAL(9,T466:T467))</f>
        <v>0</v>
      </c>
      <c r="U465" s="87">
        <f t="shared" ref="U465" si="320">SUBTOTAL(9,O466:T467)</f>
        <v>1250</v>
      </c>
    </row>
    <row r="466" spans="1:21" ht="17.25" customHeight="1" x14ac:dyDescent="0.3">
      <c r="A466" s="66" t="s">
        <v>30</v>
      </c>
      <c r="C466" s="67"/>
      <c r="D466" s="77" t="str">
        <f t="shared" ref="D466" si="321">D465</f>
        <v>E100042</v>
      </c>
      <c r="E466" s="77"/>
      <c r="F466" s="76"/>
      <c r="G466" s="76" t="str">
        <f>"""NAV Direct"",""CRONUS JetCorp USA"",""32"",""1"",""168662"""</f>
        <v>"NAV Direct","CRONUS JetCorp USA","32","1","168662"</v>
      </c>
      <c r="H466" s="86">
        <v>43466</v>
      </c>
      <c r="I466" s="85">
        <v>168662</v>
      </c>
      <c r="J466" s="84" t="str">
        <f>"Vendor"</f>
        <v>Vendor</v>
      </c>
      <c r="K466" s="84" t="str">
        <f>"V100003"</f>
        <v>V100003</v>
      </c>
      <c r="L466" s="84" t="str">
        <f>IF($J466="Customer",_xll.NL("first",$J466,"Name","No.","@@"&amp;$K466),"")</f>
        <v/>
      </c>
      <c r="M466" s="84" t="str">
        <f>"LogoMasters"</f>
        <v>LogoMasters</v>
      </c>
      <c r="N466" s="84" t="str">
        <f>IF($J466="Item",_xll.NL("first",$J466,"Description","No.","@@"&amp;$K466),"")</f>
        <v/>
      </c>
      <c r="O466" s="83">
        <v>1250</v>
      </c>
      <c r="P466" s="83">
        <v>0</v>
      </c>
      <c r="Q466" s="83">
        <v>0</v>
      </c>
      <c r="R466" s="83">
        <v>0</v>
      </c>
      <c r="S466" s="83">
        <v>0</v>
      </c>
      <c r="T466" s="83">
        <v>0</v>
      </c>
      <c r="U466" s="82"/>
    </row>
    <row r="467" spans="1:21" ht="17.25" customHeight="1" x14ac:dyDescent="0.3">
      <c r="A467" s="66" t="s">
        <v>30</v>
      </c>
      <c r="C467" s="67"/>
      <c r="D467" s="77"/>
      <c r="E467" s="77"/>
      <c r="F467" s="76"/>
      <c r="G467" s="76"/>
      <c r="H467" s="76"/>
      <c r="I467" s="76"/>
      <c r="J467" s="76"/>
      <c r="K467" s="76"/>
      <c r="L467" s="76"/>
      <c r="M467" s="76"/>
      <c r="N467" s="76"/>
      <c r="O467" s="75"/>
      <c r="P467" s="75"/>
      <c r="Q467" s="75"/>
      <c r="R467" s="75"/>
      <c r="S467" s="75"/>
      <c r="T467" s="75"/>
      <c r="U467" s="74"/>
    </row>
    <row r="468" spans="1:21" ht="17.25" customHeight="1" x14ac:dyDescent="0.3">
      <c r="A468" s="66" t="s">
        <v>30</v>
      </c>
      <c r="C468" s="67"/>
      <c r="D468" s="77"/>
      <c r="E468" s="77" t="s">
        <v>31</v>
      </c>
      <c r="F468" s="76" t="s">
        <v>31</v>
      </c>
      <c r="G468" s="76" t="s">
        <v>31</v>
      </c>
      <c r="H468" s="76"/>
      <c r="I468" s="76"/>
      <c r="J468" s="76" t="s">
        <v>31</v>
      </c>
      <c r="K468" s="76" t="s">
        <v>31</v>
      </c>
      <c r="L468" s="76" t="s">
        <v>31</v>
      </c>
      <c r="M468" s="76" t="s">
        <v>31</v>
      </c>
      <c r="N468" s="76"/>
      <c r="U468" s="81"/>
    </row>
    <row r="469" spans="1:21" ht="20.25" customHeight="1" x14ac:dyDescent="0.35">
      <c r="A469" s="66" t="s">
        <v>30</v>
      </c>
      <c r="C469" s="67"/>
      <c r="D469" s="92" t="str">
        <f t="shared" ref="D469" si="322">E469</f>
        <v>E100043</v>
      </c>
      <c r="E469" s="91" t="str">
        <f>"E100043"</f>
        <v>E100043</v>
      </c>
      <c r="F469" s="89" t="str">
        <f>"Pub Glass"</f>
        <v>Pub Glass</v>
      </c>
      <c r="G469" s="89"/>
      <c r="H469" s="90" t="str">
        <f>"EA"</f>
        <v>EA</v>
      </c>
      <c r="I469" s="89"/>
      <c r="J469" s="89"/>
      <c r="K469" s="89"/>
      <c r="L469" s="89"/>
      <c r="M469" s="89"/>
      <c r="N469" s="89"/>
      <c r="O469" s="88">
        <f>(SUBTOTAL(9,O470:O471))</f>
        <v>999.99999999999989</v>
      </c>
      <c r="P469" s="88">
        <f>(SUBTOTAL(9,P470:P471))</f>
        <v>0</v>
      </c>
      <c r="Q469" s="88">
        <f>(SUBTOTAL(9,Q470:Q471))</f>
        <v>0</v>
      </c>
      <c r="R469" s="88">
        <f>(SUBTOTAL(9,R470:R471))</f>
        <v>0</v>
      </c>
      <c r="S469" s="88">
        <f>(SUBTOTAL(9,S470:S471))</f>
        <v>0</v>
      </c>
      <c r="T469" s="88">
        <f>(SUBTOTAL(9,T470:T471))</f>
        <v>0</v>
      </c>
      <c r="U469" s="87">
        <f t="shared" ref="U469" si="323">SUBTOTAL(9,O470:T471)</f>
        <v>999.99999999999989</v>
      </c>
    </row>
    <row r="470" spans="1:21" ht="17.25" customHeight="1" x14ac:dyDescent="0.3">
      <c r="A470" s="66" t="s">
        <v>30</v>
      </c>
      <c r="C470" s="67"/>
      <c r="D470" s="77" t="str">
        <f t="shared" ref="D470" si="324">D469</f>
        <v>E100043</v>
      </c>
      <c r="E470" s="77"/>
      <c r="F470" s="76"/>
      <c r="G470" s="76" t="str">
        <f>"""NAV Direct"",""CRONUS JetCorp USA"",""32"",""1"",""168661"""</f>
        <v>"NAV Direct","CRONUS JetCorp USA","32","1","168661"</v>
      </c>
      <c r="H470" s="86">
        <v>43466</v>
      </c>
      <c r="I470" s="85">
        <v>168661</v>
      </c>
      <c r="J470" s="84" t="str">
        <f>"Vendor"</f>
        <v>Vendor</v>
      </c>
      <c r="K470" s="84" t="str">
        <f>"V100003"</f>
        <v>V100003</v>
      </c>
      <c r="L470" s="84" t="str">
        <f>IF($J470="Customer",_xll.NL("first",$J470,"Name","No.","@@"&amp;$K470),"")</f>
        <v/>
      </c>
      <c r="M470" s="84" t="str">
        <f>"LogoMasters"</f>
        <v>LogoMasters</v>
      </c>
      <c r="N470" s="84" t="str">
        <f>IF($J470="Item",_xll.NL("first",$J470,"Description","No.","@@"&amp;$K470),"")</f>
        <v/>
      </c>
      <c r="O470" s="83">
        <v>999.99999999999989</v>
      </c>
      <c r="P470" s="83">
        <v>0</v>
      </c>
      <c r="Q470" s="83">
        <v>0</v>
      </c>
      <c r="R470" s="83">
        <v>0</v>
      </c>
      <c r="S470" s="83">
        <v>0</v>
      </c>
      <c r="T470" s="83">
        <v>0</v>
      </c>
      <c r="U470" s="82"/>
    </row>
    <row r="471" spans="1:21" ht="17.25" customHeight="1" x14ac:dyDescent="0.3">
      <c r="A471" s="66" t="s">
        <v>30</v>
      </c>
      <c r="C471" s="67"/>
      <c r="D471" s="77"/>
      <c r="E471" s="77"/>
      <c r="F471" s="76"/>
      <c r="G471" s="76"/>
      <c r="H471" s="76"/>
      <c r="I471" s="76"/>
      <c r="J471" s="76"/>
      <c r="K471" s="76"/>
      <c r="L471" s="76"/>
      <c r="M471" s="76"/>
      <c r="N471" s="76"/>
      <c r="O471" s="75"/>
      <c r="P471" s="75"/>
      <c r="Q471" s="75"/>
      <c r="R471" s="75"/>
      <c r="S471" s="75"/>
      <c r="T471" s="75"/>
      <c r="U471" s="74"/>
    </row>
    <row r="472" spans="1:21" ht="17.25" customHeight="1" x14ac:dyDescent="0.3">
      <c r="A472" s="66" t="s">
        <v>30</v>
      </c>
      <c r="C472" s="67"/>
      <c r="D472" s="77"/>
      <c r="E472" s="77" t="s">
        <v>31</v>
      </c>
      <c r="F472" s="76" t="s">
        <v>31</v>
      </c>
      <c r="G472" s="76" t="s">
        <v>31</v>
      </c>
      <c r="H472" s="76"/>
      <c r="I472" s="76"/>
      <c r="J472" s="76" t="s">
        <v>31</v>
      </c>
      <c r="K472" s="76" t="s">
        <v>31</v>
      </c>
      <c r="L472" s="76" t="s">
        <v>31</v>
      </c>
      <c r="M472" s="76" t="s">
        <v>31</v>
      </c>
      <c r="N472" s="76"/>
      <c r="U472" s="81"/>
    </row>
    <row r="473" spans="1:21" ht="20.25" customHeight="1" x14ac:dyDescent="0.35">
      <c r="A473" s="66" t="s">
        <v>30</v>
      </c>
      <c r="C473" s="67"/>
      <c r="D473" s="92" t="str">
        <f t="shared" ref="D473" si="325">E473</f>
        <v>E100044</v>
      </c>
      <c r="E473" s="91" t="str">
        <f>"E100044"</f>
        <v>E100044</v>
      </c>
      <c r="F473" s="89" t="str">
        <f>"Juice Glass"</f>
        <v>Juice Glass</v>
      </c>
      <c r="G473" s="89"/>
      <c r="H473" s="90" t="str">
        <f>"EA"</f>
        <v>EA</v>
      </c>
      <c r="I473" s="89"/>
      <c r="J473" s="89"/>
      <c r="K473" s="89"/>
      <c r="L473" s="89"/>
      <c r="M473" s="89"/>
      <c r="N473" s="89"/>
      <c r="O473" s="88">
        <f>(SUBTOTAL(9,O474:O475))</f>
        <v>1500</v>
      </c>
      <c r="P473" s="88">
        <f>(SUBTOTAL(9,P474:P475))</f>
        <v>0</v>
      </c>
      <c r="Q473" s="88">
        <f>(SUBTOTAL(9,Q474:Q475))</f>
        <v>0</v>
      </c>
      <c r="R473" s="88">
        <f>(SUBTOTAL(9,R474:R475))</f>
        <v>0</v>
      </c>
      <c r="S473" s="88">
        <f>(SUBTOTAL(9,S474:S475))</f>
        <v>0</v>
      </c>
      <c r="T473" s="88">
        <f>(SUBTOTAL(9,T474:T475))</f>
        <v>0</v>
      </c>
      <c r="U473" s="87">
        <f t="shared" ref="U473" si="326">SUBTOTAL(9,O474:T475)</f>
        <v>1500</v>
      </c>
    </row>
    <row r="474" spans="1:21" ht="17.25" customHeight="1" x14ac:dyDescent="0.3">
      <c r="A474" s="66" t="s">
        <v>30</v>
      </c>
      <c r="C474" s="67"/>
      <c r="D474" s="77" t="str">
        <f t="shared" ref="D474" si="327">D473</f>
        <v>E100044</v>
      </c>
      <c r="E474" s="77"/>
      <c r="F474" s="76"/>
      <c r="G474" s="76" t="str">
        <f>"""NAV Direct"",""CRONUS JetCorp USA"",""32"",""1"",""168660"""</f>
        <v>"NAV Direct","CRONUS JetCorp USA","32","1","168660"</v>
      </c>
      <c r="H474" s="86">
        <v>43466</v>
      </c>
      <c r="I474" s="85">
        <v>168660</v>
      </c>
      <c r="J474" s="84" t="str">
        <f>"Vendor"</f>
        <v>Vendor</v>
      </c>
      <c r="K474" s="84" t="str">
        <f>"V100003"</f>
        <v>V100003</v>
      </c>
      <c r="L474" s="84" t="str">
        <f>IF($J474="Customer",_xll.NL("first",$J474,"Name","No.","@@"&amp;$K474),"")</f>
        <v/>
      </c>
      <c r="M474" s="84" t="str">
        <f>"LogoMasters"</f>
        <v>LogoMasters</v>
      </c>
      <c r="N474" s="84" t="str">
        <f>IF($J474="Item",_xll.NL("first",$J474,"Description","No.","@@"&amp;$K474),"")</f>
        <v/>
      </c>
      <c r="O474" s="83">
        <v>1500</v>
      </c>
      <c r="P474" s="83">
        <v>0</v>
      </c>
      <c r="Q474" s="83">
        <v>0</v>
      </c>
      <c r="R474" s="83">
        <v>0</v>
      </c>
      <c r="S474" s="83">
        <v>0</v>
      </c>
      <c r="T474" s="83">
        <v>0</v>
      </c>
      <c r="U474" s="82"/>
    </row>
    <row r="475" spans="1:21" ht="17.25" customHeight="1" x14ac:dyDescent="0.3">
      <c r="A475" s="66" t="s">
        <v>30</v>
      </c>
      <c r="C475" s="67"/>
      <c r="D475" s="77"/>
      <c r="E475" s="77"/>
      <c r="F475" s="76"/>
      <c r="G475" s="76"/>
      <c r="H475" s="76"/>
      <c r="I475" s="76"/>
      <c r="J475" s="76"/>
      <c r="K475" s="76"/>
      <c r="L475" s="76"/>
      <c r="M475" s="76"/>
      <c r="N475" s="76"/>
      <c r="O475" s="75"/>
      <c r="P475" s="75"/>
      <c r="Q475" s="75"/>
      <c r="R475" s="75"/>
      <c r="S475" s="75"/>
      <c r="T475" s="75"/>
      <c r="U475" s="74"/>
    </row>
    <row r="476" spans="1:21" ht="17.25" customHeight="1" x14ac:dyDescent="0.3">
      <c r="A476" s="66" t="s">
        <v>30</v>
      </c>
      <c r="C476" s="67"/>
      <c r="D476" s="77"/>
      <c r="E476" s="77" t="s">
        <v>31</v>
      </c>
      <c r="F476" s="76" t="s">
        <v>31</v>
      </c>
      <c r="G476" s="76" t="s">
        <v>31</v>
      </c>
      <c r="H476" s="76"/>
      <c r="I476" s="76"/>
      <c r="J476" s="76" t="s">
        <v>31</v>
      </c>
      <c r="K476" s="76" t="s">
        <v>31</v>
      </c>
      <c r="L476" s="76" t="s">
        <v>31</v>
      </c>
      <c r="M476" s="76" t="s">
        <v>31</v>
      </c>
      <c r="N476" s="76"/>
      <c r="U476" s="81"/>
    </row>
    <row r="477" spans="1:21" ht="20.25" customHeight="1" x14ac:dyDescent="0.35">
      <c r="A477" s="66" t="s">
        <v>30</v>
      </c>
      <c r="C477" s="67"/>
      <c r="D477" s="92" t="str">
        <f t="shared" ref="D477" si="328">E477</f>
        <v>E100045</v>
      </c>
      <c r="E477" s="91" t="str">
        <f>"E100045"</f>
        <v>E100045</v>
      </c>
      <c r="F477" s="89" t="str">
        <f>"Flute"</f>
        <v>Flute</v>
      </c>
      <c r="G477" s="89"/>
      <c r="H477" s="90" t="str">
        <f>"EA"</f>
        <v>EA</v>
      </c>
      <c r="I477" s="89"/>
      <c r="J477" s="89"/>
      <c r="K477" s="89"/>
      <c r="L477" s="89"/>
      <c r="M477" s="89"/>
      <c r="N477" s="89"/>
      <c r="O477" s="88">
        <f>(SUBTOTAL(9,O478:O479))</f>
        <v>1500</v>
      </c>
      <c r="P477" s="88">
        <f>(SUBTOTAL(9,P478:P479))</f>
        <v>0</v>
      </c>
      <c r="Q477" s="88">
        <f>(SUBTOTAL(9,Q478:Q479))</f>
        <v>0</v>
      </c>
      <c r="R477" s="88">
        <f>(SUBTOTAL(9,R478:R479))</f>
        <v>0</v>
      </c>
      <c r="S477" s="88">
        <f>(SUBTOTAL(9,S478:S479))</f>
        <v>0</v>
      </c>
      <c r="T477" s="88">
        <f>(SUBTOTAL(9,T478:T479))</f>
        <v>0</v>
      </c>
      <c r="U477" s="87">
        <f t="shared" ref="U477" si="329">SUBTOTAL(9,O478:T479)</f>
        <v>1500</v>
      </c>
    </row>
    <row r="478" spans="1:21" ht="17.25" customHeight="1" x14ac:dyDescent="0.3">
      <c r="A478" s="66" t="s">
        <v>30</v>
      </c>
      <c r="C478" s="67"/>
      <c r="D478" s="77" t="str">
        <f t="shared" ref="D478" si="330">D477</f>
        <v>E100045</v>
      </c>
      <c r="E478" s="77"/>
      <c r="F478" s="76"/>
      <c r="G478" s="76" t="str">
        <f>"""NAV Direct"",""CRONUS JetCorp USA"",""32"",""1"",""168659"""</f>
        <v>"NAV Direct","CRONUS JetCorp USA","32","1","168659"</v>
      </c>
      <c r="H478" s="86">
        <v>43466</v>
      </c>
      <c r="I478" s="85">
        <v>168659</v>
      </c>
      <c r="J478" s="84" t="str">
        <f>"Vendor"</f>
        <v>Vendor</v>
      </c>
      <c r="K478" s="84" t="str">
        <f>"V100003"</f>
        <v>V100003</v>
      </c>
      <c r="L478" s="84" t="str">
        <f>IF($J478="Customer",_xll.NL("first",$J478,"Name","No.","@@"&amp;$K478),"")</f>
        <v/>
      </c>
      <c r="M478" s="84" t="str">
        <f>"LogoMasters"</f>
        <v>LogoMasters</v>
      </c>
      <c r="N478" s="84" t="str">
        <f>IF($J478="Item",_xll.NL("first",$J478,"Description","No.","@@"&amp;$K478),"")</f>
        <v/>
      </c>
      <c r="O478" s="83">
        <v>1500</v>
      </c>
      <c r="P478" s="83">
        <v>0</v>
      </c>
      <c r="Q478" s="83">
        <v>0</v>
      </c>
      <c r="R478" s="83">
        <v>0</v>
      </c>
      <c r="S478" s="83">
        <v>0</v>
      </c>
      <c r="T478" s="83">
        <v>0</v>
      </c>
      <c r="U478" s="82"/>
    </row>
    <row r="479" spans="1:21" ht="17.25" customHeight="1" x14ac:dyDescent="0.3">
      <c r="A479" s="66" t="s">
        <v>30</v>
      </c>
      <c r="C479" s="67"/>
      <c r="D479" s="77"/>
      <c r="E479" s="77"/>
      <c r="F479" s="76"/>
      <c r="G479" s="76"/>
      <c r="H479" s="76"/>
      <c r="I479" s="76"/>
      <c r="J479" s="76"/>
      <c r="K479" s="76"/>
      <c r="L479" s="76"/>
      <c r="M479" s="76"/>
      <c r="N479" s="76"/>
      <c r="O479" s="75"/>
      <c r="P479" s="75"/>
      <c r="Q479" s="75"/>
      <c r="R479" s="75"/>
      <c r="S479" s="75"/>
      <c r="T479" s="75"/>
      <c r="U479" s="74"/>
    </row>
    <row r="480" spans="1:21" ht="17.25" customHeight="1" x14ac:dyDescent="0.3">
      <c r="A480" s="66" t="s">
        <v>30</v>
      </c>
      <c r="C480" s="67"/>
      <c r="D480" s="77"/>
      <c r="E480" s="77" t="s">
        <v>31</v>
      </c>
      <c r="F480" s="76" t="s">
        <v>31</v>
      </c>
      <c r="G480" s="76" t="s">
        <v>31</v>
      </c>
      <c r="H480" s="76"/>
      <c r="I480" s="76"/>
      <c r="J480" s="76" t="s">
        <v>31</v>
      </c>
      <c r="K480" s="76" t="s">
        <v>31</v>
      </c>
      <c r="L480" s="76" t="s">
        <v>31</v>
      </c>
      <c r="M480" s="76" t="s">
        <v>31</v>
      </c>
      <c r="N480" s="76"/>
      <c r="U480" s="81"/>
    </row>
    <row r="481" spans="1:21" ht="20.25" customHeight="1" x14ac:dyDescent="0.35">
      <c r="A481" s="66" t="s">
        <v>30</v>
      </c>
      <c r="C481" s="67"/>
      <c r="D481" s="92" t="str">
        <f t="shared" ref="D481" si="331">E481</f>
        <v>E100046</v>
      </c>
      <c r="E481" s="91" t="str">
        <f>"E100046"</f>
        <v>E100046</v>
      </c>
      <c r="F481" s="89" t="str">
        <f>"Milk Bottle"</f>
        <v>Milk Bottle</v>
      </c>
      <c r="G481" s="89"/>
      <c r="H481" s="90" t="str">
        <f>"EA"</f>
        <v>EA</v>
      </c>
      <c r="I481" s="89"/>
      <c r="J481" s="89"/>
      <c r="K481" s="89"/>
      <c r="L481" s="89"/>
      <c r="M481" s="89"/>
      <c r="N481" s="89"/>
      <c r="O481" s="88">
        <f>(SUBTOTAL(9,O482:O483))</f>
        <v>499.99999999999994</v>
      </c>
      <c r="P481" s="88">
        <f>(SUBTOTAL(9,P482:P483))</f>
        <v>0</v>
      </c>
      <c r="Q481" s="88">
        <f>(SUBTOTAL(9,Q482:Q483))</f>
        <v>0</v>
      </c>
      <c r="R481" s="88">
        <f>(SUBTOTAL(9,R482:R483))</f>
        <v>0</v>
      </c>
      <c r="S481" s="88">
        <f>(SUBTOTAL(9,S482:S483))</f>
        <v>0</v>
      </c>
      <c r="T481" s="88">
        <f>(SUBTOTAL(9,T482:T483))</f>
        <v>0</v>
      </c>
      <c r="U481" s="87">
        <f t="shared" ref="U481" si="332">SUBTOTAL(9,O482:T483)</f>
        <v>499.99999999999994</v>
      </c>
    </row>
    <row r="482" spans="1:21" ht="17.25" customHeight="1" x14ac:dyDescent="0.3">
      <c r="A482" s="66" t="s">
        <v>30</v>
      </c>
      <c r="C482" s="67"/>
      <c r="D482" s="77" t="str">
        <f t="shared" ref="D482" si="333">D481</f>
        <v>E100046</v>
      </c>
      <c r="E482" s="77"/>
      <c r="F482" s="76"/>
      <c r="G482" s="76" t="str">
        <f>"""NAV Direct"",""CRONUS JetCorp USA"",""32"",""1"",""168658"""</f>
        <v>"NAV Direct","CRONUS JetCorp USA","32","1","168658"</v>
      </c>
      <c r="H482" s="86">
        <v>43466</v>
      </c>
      <c r="I482" s="85">
        <v>168658</v>
      </c>
      <c r="J482" s="84" t="str">
        <f>"Vendor"</f>
        <v>Vendor</v>
      </c>
      <c r="K482" s="84" t="str">
        <f>"V100003"</f>
        <v>V100003</v>
      </c>
      <c r="L482" s="84" t="str">
        <f>IF($J482="Customer",_xll.NL("first",$J482,"Name","No.","@@"&amp;$K482),"")</f>
        <v/>
      </c>
      <c r="M482" s="84" t="str">
        <f>"LogoMasters"</f>
        <v>LogoMasters</v>
      </c>
      <c r="N482" s="84" t="str">
        <f>IF($J482="Item",_xll.NL("first",$J482,"Description","No.","@@"&amp;$K482),"")</f>
        <v/>
      </c>
      <c r="O482" s="83">
        <v>499.99999999999994</v>
      </c>
      <c r="P482" s="83">
        <v>0</v>
      </c>
      <c r="Q482" s="83">
        <v>0</v>
      </c>
      <c r="R482" s="83">
        <v>0</v>
      </c>
      <c r="S482" s="83">
        <v>0</v>
      </c>
      <c r="T482" s="83">
        <v>0</v>
      </c>
      <c r="U482" s="82"/>
    </row>
    <row r="483" spans="1:21" ht="17.25" customHeight="1" x14ac:dyDescent="0.3">
      <c r="A483" s="66" t="s">
        <v>30</v>
      </c>
      <c r="C483" s="67"/>
      <c r="D483" s="77"/>
      <c r="E483" s="77"/>
      <c r="F483" s="76"/>
      <c r="G483" s="76"/>
      <c r="H483" s="76"/>
      <c r="I483" s="76"/>
      <c r="J483" s="76"/>
      <c r="K483" s="76"/>
      <c r="L483" s="76"/>
      <c r="M483" s="76"/>
      <c r="N483" s="76"/>
      <c r="O483" s="75"/>
      <c r="P483" s="75"/>
      <c r="Q483" s="75"/>
      <c r="R483" s="75"/>
      <c r="S483" s="75"/>
      <c r="T483" s="75"/>
      <c r="U483" s="74"/>
    </row>
    <row r="484" spans="1:21" ht="17.25" customHeight="1" x14ac:dyDescent="0.3">
      <c r="A484" s="66" t="s">
        <v>30</v>
      </c>
      <c r="C484" s="67"/>
      <c r="D484" s="77"/>
      <c r="E484" s="77" t="s">
        <v>31</v>
      </c>
      <c r="F484" s="76" t="s">
        <v>31</v>
      </c>
      <c r="G484" s="76" t="s">
        <v>31</v>
      </c>
      <c r="H484" s="76"/>
      <c r="I484" s="76"/>
      <c r="J484" s="76" t="s">
        <v>31</v>
      </c>
      <c r="K484" s="76" t="s">
        <v>31</v>
      </c>
      <c r="L484" s="76" t="s">
        <v>31</v>
      </c>
      <c r="M484" s="76" t="s">
        <v>31</v>
      </c>
      <c r="N484" s="76"/>
      <c r="U484" s="81"/>
    </row>
    <row r="485" spans="1:21" ht="20.25" customHeight="1" x14ac:dyDescent="0.35">
      <c r="A485" s="66" t="s">
        <v>30</v>
      </c>
      <c r="C485" s="67"/>
      <c r="D485" s="92" t="str">
        <f t="shared" ref="D485" si="334">E485</f>
        <v>E100047</v>
      </c>
      <c r="E485" s="91" t="str">
        <f>"E100047"</f>
        <v>E100047</v>
      </c>
      <c r="F485" s="89" t="str">
        <f>"Chardonnay Glass"</f>
        <v>Chardonnay Glass</v>
      </c>
      <c r="G485" s="89"/>
      <c r="H485" s="90" t="str">
        <f>"EA"</f>
        <v>EA</v>
      </c>
      <c r="I485" s="89"/>
      <c r="J485" s="89"/>
      <c r="K485" s="89"/>
      <c r="L485" s="89"/>
      <c r="M485" s="89"/>
      <c r="N485" s="89"/>
      <c r="O485" s="88">
        <f>(SUBTOTAL(9,O486:O487))</f>
        <v>1250</v>
      </c>
      <c r="P485" s="88">
        <f>(SUBTOTAL(9,P486:P487))</f>
        <v>0</v>
      </c>
      <c r="Q485" s="88">
        <f>(SUBTOTAL(9,Q486:Q487))</f>
        <v>0</v>
      </c>
      <c r="R485" s="88">
        <f>(SUBTOTAL(9,R486:R487))</f>
        <v>0</v>
      </c>
      <c r="S485" s="88">
        <f>(SUBTOTAL(9,S486:S487))</f>
        <v>0</v>
      </c>
      <c r="T485" s="88">
        <f>(SUBTOTAL(9,T486:T487))</f>
        <v>0</v>
      </c>
      <c r="U485" s="87">
        <f t="shared" ref="U485" si="335">SUBTOTAL(9,O486:T487)</f>
        <v>1250</v>
      </c>
    </row>
    <row r="486" spans="1:21" ht="17.25" customHeight="1" x14ac:dyDescent="0.3">
      <c r="A486" s="66" t="s">
        <v>30</v>
      </c>
      <c r="C486" s="67"/>
      <c r="D486" s="77" t="str">
        <f t="shared" ref="D486" si="336">D485</f>
        <v>E100047</v>
      </c>
      <c r="E486" s="77"/>
      <c r="F486" s="76"/>
      <c r="G486" s="76" t="str">
        <f>"""NAV Direct"",""CRONUS JetCorp USA"",""32"",""1"",""168657"""</f>
        <v>"NAV Direct","CRONUS JetCorp USA","32","1","168657"</v>
      </c>
      <c r="H486" s="86">
        <v>43466</v>
      </c>
      <c r="I486" s="85">
        <v>168657</v>
      </c>
      <c r="J486" s="84" t="str">
        <f>"Vendor"</f>
        <v>Vendor</v>
      </c>
      <c r="K486" s="84" t="str">
        <f>"V100003"</f>
        <v>V100003</v>
      </c>
      <c r="L486" s="84" t="str">
        <f>IF($J486="Customer",_xll.NL("first",$J486,"Name","No.","@@"&amp;$K486),"")</f>
        <v/>
      </c>
      <c r="M486" s="84" t="str">
        <f>"LogoMasters"</f>
        <v>LogoMasters</v>
      </c>
      <c r="N486" s="84" t="str">
        <f>IF($J486="Item",_xll.NL("first",$J486,"Description","No.","@@"&amp;$K486),"")</f>
        <v/>
      </c>
      <c r="O486" s="83">
        <v>1250</v>
      </c>
      <c r="P486" s="83">
        <v>0</v>
      </c>
      <c r="Q486" s="83">
        <v>0</v>
      </c>
      <c r="R486" s="83">
        <v>0</v>
      </c>
      <c r="S486" s="83">
        <v>0</v>
      </c>
      <c r="T486" s="83">
        <v>0</v>
      </c>
      <c r="U486" s="82"/>
    </row>
    <row r="487" spans="1:21" ht="17.25" customHeight="1" x14ac:dyDescent="0.3">
      <c r="A487" s="66" t="s">
        <v>30</v>
      </c>
      <c r="C487" s="67"/>
      <c r="D487" s="77"/>
      <c r="E487" s="77"/>
      <c r="F487" s="76"/>
      <c r="G487" s="76"/>
      <c r="H487" s="76"/>
      <c r="I487" s="76"/>
      <c r="J487" s="76"/>
      <c r="K487" s="76"/>
      <c r="L487" s="76"/>
      <c r="M487" s="76"/>
      <c r="N487" s="76"/>
      <c r="O487" s="75"/>
      <c r="P487" s="75"/>
      <c r="Q487" s="75"/>
      <c r="R487" s="75"/>
      <c r="S487" s="75"/>
      <c r="T487" s="75"/>
      <c r="U487" s="74"/>
    </row>
    <row r="488" spans="1:21" ht="17.25" customHeight="1" x14ac:dyDescent="0.3">
      <c r="A488" s="66" t="s">
        <v>30</v>
      </c>
      <c r="C488" s="67"/>
      <c r="D488" s="77"/>
      <c r="E488" s="77" t="s">
        <v>31</v>
      </c>
      <c r="F488" s="76" t="s">
        <v>31</v>
      </c>
      <c r="G488" s="76" t="s">
        <v>31</v>
      </c>
      <c r="H488" s="76"/>
      <c r="I488" s="76"/>
      <c r="J488" s="76" t="s">
        <v>31</v>
      </c>
      <c r="K488" s="76" t="s">
        <v>31</v>
      </c>
      <c r="L488" s="76" t="s">
        <v>31</v>
      </c>
      <c r="M488" s="76" t="s">
        <v>31</v>
      </c>
      <c r="N488" s="76"/>
      <c r="U488" s="81"/>
    </row>
    <row r="489" spans="1:21" ht="20.25" customHeight="1" x14ac:dyDescent="0.35">
      <c r="A489" s="66" t="s">
        <v>30</v>
      </c>
      <c r="C489" s="67"/>
      <c r="D489" s="92" t="str">
        <f t="shared" ref="D489" si="337">E489</f>
        <v>S100001</v>
      </c>
      <c r="E489" s="91" t="str">
        <f>"S100001"</f>
        <v>S100001</v>
      </c>
      <c r="F489" s="89" t="str">
        <f>"Basketball Graphic Plaque"</f>
        <v>Basketball Graphic Plaque</v>
      </c>
      <c r="G489" s="89"/>
      <c r="H489" s="90" t="str">
        <f>"EA"</f>
        <v>EA</v>
      </c>
      <c r="I489" s="89"/>
      <c r="J489" s="89"/>
      <c r="K489" s="89"/>
      <c r="L489" s="89"/>
      <c r="M489" s="89"/>
      <c r="N489" s="89"/>
      <c r="O489" s="88">
        <f>(SUBTOTAL(9,O490:O492))</f>
        <v>100</v>
      </c>
      <c r="P489" s="88">
        <f>(SUBTOTAL(9,P490:P492))</f>
        <v>-144</v>
      </c>
      <c r="Q489" s="88">
        <f>(SUBTOTAL(9,Q490:Q492))</f>
        <v>0</v>
      </c>
      <c r="R489" s="88">
        <f>(SUBTOTAL(9,R490:R492))</f>
        <v>0</v>
      </c>
      <c r="S489" s="88">
        <f>(SUBTOTAL(9,S490:S492))</f>
        <v>0</v>
      </c>
      <c r="T489" s="88">
        <f>(SUBTOTAL(9,T490:T492))</f>
        <v>0</v>
      </c>
      <c r="U489" s="87">
        <f t="shared" ref="U489" si="338">SUBTOTAL(9,O490:T492)</f>
        <v>-44</v>
      </c>
    </row>
    <row r="490" spans="1:21" ht="17.25" customHeight="1" x14ac:dyDescent="0.3">
      <c r="A490" s="66" t="s">
        <v>30</v>
      </c>
      <c r="C490" s="67"/>
      <c r="D490" s="77" t="str">
        <f t="shared" ref="D490" si="339">D489</f>
        <v>S100001</v>
      </c>
      <c r="E490" s="77"/>
      <c r="F490" s="76"/>
      <c r="G490" s="76" t="str">
        <f>"""NAV Direct"",""CRONUS JetCorp USA"",""32"",""1"",""166410"""</f>
        <v>"NAV Direct","CRONUS JetCorp USA","32","1","166410"</v>
      </c>
      <c r="H490" s="86">
        <v>43466</v>
      </c>
      <c r="I490" s="85">
        <v>166410</v>
      </c>
      <c r="J490" s="84" t="str">
        <f>"Vendor"</f>
        <v>Vendor</v>
      </c>
      <c r="K490" s="84" t="str">
        <f>"V100003"</f>
        <v>V100003</v>
      </c>
      <c r="L490" s="84" t="str">
        <f>IF($J490="Customer",_xll.NL("first",$J490,"Name","No.","@@"&amp;$K490),"")</f>
        <v/>
      </c>
      <c r="M490" s="84" t="str">
        <f>"LogoMasters"</f>
        <v>LogoMasters</v>
      </c>
      <c r="N490" s="84" t="str">
        <f>IF($J490="Item",_xll.NL("first",$J490,"Description","No.","@@"&amp;$K490),"")</f>
        <v/>
      </c>
      <c r="O490" s="83">
        <v>100</v>
      </c>
      <c r="P490" s="83">
        <v>0</v>
      </c>
      <c r="Q490" s="83">
        <v>0</v>
      </c>
      <c r="R490" s="83">
        <v>0</v>
      </c>
      <c r="S490" s="83">
        <v>0</v>
      </c>
      <c r="T490" s="83">
        <v>0</v>
      </c>
      <c r="U490" s="82"/>
    </row>
    <row r="491" spans="1:21" ht="17.25" customHeight="1" x14ac:dyDescent="0.3">
      <c r="A491" s="66" t="s">
        <v>30</v>
      </c>
      <c r="C491" s="67"/>
      <c r="D491" s="77" t="str">
        <f t="shared" ref="D491" si="340">D490</f>
        <v>S100001</v>
      </c>
      <c r="E491" s="77"/>
      <c r="F491" s="76"/>
      <c r="G491" s="76" t="str">
        <f>"""NAV Direct"",""CRONUS JetCorp USA"",""32"",""1"",""30030"""</f>
        <v>"NAV Direct","CRONUS JetCorp USA","32","1","30030"</v>
      </c>
      <c r="H491" s="86">
        <v>43471</v>
      </c>
      <c r="I491" s="85">
        <v>30030</v>
      </c>
      <c r="J491" s="84" t="str">
        <f>"Customer"</f>
        <v>Customer</v>
      </c>
      <c r="K491" s="84" t="str">
        <f>"C100012"</f>
        <v>C100012</v>
      </c>
      <c r="L491" s="84" t="str">
        <f>IF($J491="Customer",_xll.NL("first",$J491,"Name","No.","@@"&amp;$K491),"")</f>
        <v>Bainbridges</v>
      </c>
      <c r="M491" s="84" t="str">
        <f>""</f>
        <v/>
      </c>
      <c r="N491" s="84" t="str">
        <f>IF($J491="Item",_xll.NL("first",$J491,"Description","No.","@@"&amp;$K491),"")</f>
        <v/>
      </c>
      <c r="O491" s="83">
        <v>0</v>
      </c>
      <c r="P491" s="83">
        <v>-144</v>
      </c>
      <c r="Q491" s="83">
        <v>0</v>
      </c>
      <c r="R491" s="83">
        <v>0</v>
      </c>
      <c r="S491" s="83">
        <v>0</v>
      </c>
      <c r="T491" s="83">
        <v>0</v>
      </c>
      <c r="U491" s="82"/>
    </row>
    <row r="492" spans="1:21" ht="17.25" customHeight="1" x14ac:dyDescent="0.3">
      <c r="A492" s="66" t="s">
        <v>30</v>
      </c>
      <c r="C492" s="67"/>
      <c r="D492" s="77"/>
      <c r="E492" s="77"/>
      <c r="F492" s="76"/>
      <c r="G492" s="76"/>
      <c r="H492" s="76"/>
      <c r="I492" s="76"/>
      <c r="J492" s="76"/>
      <c r="K492" s="76"/>
      <c r="L492" s="76"/>
      <c r="M492" s="76"/>
      <c r="N492" s="76"/>
      <c r="O492" s="75"/>
      <c r="P492" s="75"/>
      <c r="Q492" s="75"/>
      <c r="R492" s="75"/>
      <c r="S492" s="75"/>
      <c r="T492" s="75"/>
      <c r="U492" s="74"/>
    </row>
    <row r="493" spans="1:21" ht="17.25" customHeight="1" x14ac:dyDescent="0.3">
      <c r="A493" s="66" t="s">
        <v>30</v>
      </c>
      <c r="C493" s="67"/>
      <c r="D493" s="77"/>
      <c r="E493" s="77" t="s">
        <v>31</v>
      </c>
      <c r="F493" s="76" t="s">
        <v>31</v>
      </c>
      <c r="G493" s="76" t="s">
        <v>31</v>
      </c>
      <c r="H493" s="76"/>
      <c r="I493" s="76"/>
      <c r="J493" s="76" t="s">
        <v>31</v>
      </c>
      <c r="K493" s="76" t="s">
        <v>31</v>
      </c>
      <c r="L493" s="76" t="s">
        <v>31</v>
      </c>
      <c r="M493" s="76" t="s">
        <v>31</v>
      </c>
      <c r="N493" s="76"/>
      <c r="U493" s="81"/>
    </row>
    <row r="494" spans="1:21" ht="20.25" customHeight="1" x14ac:dyDescent="0.35">
      <c r="A494" s="66" t="s">
        <v>30</v>
      </c>
      <c r="C494" s="67"/>
      <c r="D494" s="92" t="str">
        <f t="shared" ref="D494" si="341">E494</f>
        <v>S100002</v>
      </c>
      <c r="E494" s="91" t="str">
        <f>"S100002"</f>
        <v>S100002</v>
      </c>
      <c r="F494" s="89" t="str">
        <f>"Football Graphic Plaque"</f>
        <v>Football Graphic Plaque</v>
      </c>
      <c r="G494" s="89"/>
      <c r="H494" s="90" t="str">
        <f>"EA"</f>
        <v>EA</v>
      </c>
      <c r="I494" s="89"/>
      <c r="J494" s="89"/>
      <c r="K494" s="89"/>
      <c r="L494" s="89"/>
      <c r="M494" s="89"/>
      <c r="N494" s="89"/>
      <c r="O494" s="88">
        <f>(SUBTOTAL(9,O495:O497))</f>
        <v>200</v>
      </c>
      <c r="P494" s="88">
        <f>(SUBTOTAL(9,P495:P497))</f>
        <v>-144</v>
      </c>
      <c r="Q494" s="88">
        <f>(SUBTOTAL(9,Q495:Q497))</f>
        <v>0</v>
      </c>
      <c r="R494" s="88">
        <f>(SUBTOTAL(9,R495:R497))</f>
        <v>0</v>
      </c>
      <c r="S494" s="88">
        <f>(SUBTOTAL(9,S495:S497))</f>
        <v>0</v>
      </c>
      <c r="T494" s="88">
        <f>(SUBTOTAL(9,T495:T497))</f>
        <v>0</v>
      </c>
      <c r="U494" s="87">
        <f t="shared" ref="U494" si="342">SUBTOTAL(9,O495:T497)</f>
        <v>56</v>
      </c>
    </row>
    <row r="495" spans="1:21" ht="17.25" customHeight="1" x14ac:dyDescent="0.3">
      <c r="A495" s="66" t="s">
        <v>30</v>
      </c>
      <c r="C495" s="67"/>
      <c r="D495" s="77" t="str">
        <f t="shared" ref="D495" si="343">D494</f>
        <v>S100002</v>
      </c>
      <c r="E495" s="77"/>
      <c r="F495" s="76"/>
      <c r="G495" s="76" t="str">
        <f>"""NAV Direct"",""CRONUS JetCorp USA"",""32"",""1"",""166409"""</f>
        <v>"NAV Direct","CRONUS JetCorp USA","32","1","166409"</v>
      </c>
      <c r="H495" s="86">
        <v>43466</v>
      </c>
      <c r="I495" s="85">
        <v>166409</v>
      </c>
      <c r="J495" s="84" t="str">
        <f>"Vendor"</f>
        <v>Vendor</v>
      </c>
      <c r="K495" s="84" t="str">
        <f>"V100003"</f>
        <v>V100003</v>
      </c>
      <c r="L495" s="84" t="str">
        <f>IF($J495="Customer",_xll.NL("first",$J495,"Name","No.","@@"&amp;$K495),"")</f>
        <v/>
      </c>
      <c r="M495" s="84" t="str">
        <f>"LogoMasters"</f>
        <v>LogoMasters</v>
      </c>
      <c r="N495" s="84" t="str">
        <f>IF($J495="Item",_xll.NL("first",$J495,"Description","No.","@@"&amp;$K495),"")</f>
        <v/>
      </c>
      <c r="O495" s="83">
        <v>200</v>
      </c>
      <c r="P495" s="83">
        <v>0</v>
      </c>
      <c r="Q495" s="83">
        <v>0</v>
      </c>
      <c r="R495" s="83">
        <v>0</v>
      </c>
      <c r="S495" s="83">
        <v>0</v>
      </c>
      <c r="T495" s="83">
        <v>0</v>
      </c>
      <c r="U495" s="82"/>
    </row>
    <row r="496" spans="1:21" ht="17.25" customHeight="1" x14ac:dyDescent="0.3">
      <c r="A496" s="66" t="s">
        <v>30</v>
      </c>
      <c r="C496" s="67"/>
      <c r="D496" s="77" t="str">
        <f t="shared" ref="D496" si="344">D495</f>
        <v>S100002</v>
      </c>
      <c r="E496" s="77"/>
      <c r="F496" s="76"/>
      <c r="G496" s="76" t="str">
        <f>"""NAV Direct"",""CRONUS JetCorp USA"",""32"",""1"",""30028"""</f>
        <v>"NAV Direct","CRONUS JetCorp USA","32","1","30028"</v>
      </c>
      <c r="H496" s="86">
        <v>43471</v>
      </c>
      <c r="I496" s="85">
        <v>30028</v>
      </c>
      <c r="J496" s="84" t="str">
        <f>"Customer"</f>
        <v>Customer</v>
      </c>
      <c r="K496" s="84" t="str">
        <f>"C100012"</f>
        <v>C100012</v>
      </c>
      <c r="L496" s="84" t="str">
        <f>IF($J496="Customer",_xll.NL("first",$J496,"Name","No.","@@"&amp;$K496),"")</f>
        <v>Bainbridges</v>
      </c>
      <c r="M496" s="84" t="str">
        <f>""</f>
        <v/>
      </c>
      <c r="N496" s="84" t="str">
        <f>IF($J496="Item",_xll.NL("first",$J496,"Description","No.","@@"&amp;$K496),"")</f>
        <v/>
      </c>
      <c r="O496" s="83">
        <v>0</v>
      </c>
      <c r="P496" s="83">
        <v>-144</v>
      </c>
      <c r="Q496" s="83">
        <v>0</v>
      </c>
      <c r="R496" s="83">
        <v>0</v>
      </c>
      <c r="S496" s="83">
        <v>0</v>
      </c>
      <c r="T496" s="83">
        <v>0</v>
      </c>
      <c r="U496" s="82"/>
    </row>
    <row r="497" spans="1:21" ht="17.25" customHeight="1" x14ac:dyDescent="0.3">
      <c r="A497" s="66" t="s">
        <v>30</v>
      </c>
      <c r="C497" s="67"/>
      <c r="D497" s="77"/>
      <c r="E497" s="77"/>
      <c r="F497" s="76"/>
      <c r="G497" s="76"/>
      <c r="H497" s="76"/>
      <c r="I497" s="76"/>
      <c r="J497" s="76"/>
      <c r="K497" s="76"/>
      <c r="L497" s="76"/>
      <c r="M497" s="76"/>
      <c r="N497" s="76"/>
      <c r="O497" s="75"/>
      <c r="P497" s="75"/>
      <c r="Q497" s="75"/>
      <c r="R497" s="75"/>
      <c r="S497" s="75"/>
      <c r="T497" s="75"/>
      <c r="U497" s="74"/>
    </row>
    <row r="498" spans="1:21" ht="17.25" customHeight="1" x14ac:dyDescent="0.3">
      <c r="A498" s="66" t="s">
        <v>30</v>
      </c>
      <c r="C498" s="67"/>
      <c r="D498" s="77"/>
      <c r="E498" s="77" t="s">
        <v>31</v>
      </c>
      <c r="F498" s="76" t="s">
        <v>31</v>
      </c>
      <c r="G498" s="76" t="s">
        <v>31</v>
      </c>
      <c r="H498" s="76"/>
      <c r="I498" s="76"/>
      <c r="J498" s="76" t="s">
        <v>31</v>
      </c>
      <c r="K498" s="76" t="s">
        <v>31</v>
      </c>
      <c r="L498" s="76" t="s">
        <v>31</v>
      </c>
      <c r="M498" s="76" t="s">
        <v>31</v>
      </c>
      <c r="N498" s="76"/>
      <c r="U498" s="81"/>
    </row>
    <row r="499" spans="1:21" ht="20.25" customHeight="1" x14ac:dyDescent="0.35">
      <c r="A499" s="66" t="s">
        <v>30</v>
      </c>
      <c r="C499" s="67"/>
      <c r="D499" s="92" t="str">
        <f t="shared" ref="D499" si="345">E499</f>
        <v>S100003</v>
      </c>
      <c r="E499" s="91" t="str">
        <f>"S100003"</f>
        <v>S100003</v>
      </c>
      <c r="F499" s="89" t="str">
        <f>"Soccer #1 Pin"</f>
        <v>Soccer #1 Pin</v>
      </c>
      <c r="G499" s="89"/>
      <c r="H499" s="90" t="str">
        <f>"EA"</f>
        <v>EA</v>
      </c>
      <c r="I499" s="89"/>
      <c r="J499" s="89"/>
      <c r="K499" s="89"/>
      <c r="L499" s="89"/>
      <c r="M499" s="89"/>
      <c r="N499" s="89"/>
      <c r="O499" s="88">
        <f>(SUBTOTAL(9,O500:O501))</f>
        <v>1500</v>
      </c>
      <c r="P499" s="88">
        <f>(SUBTOTAL(9,P500:P501))</f>
        <v>0</v>
      </c>
      <c r="Q499" s="88">
        <f>(SUBTOTAL(9,Q500:Q501))</f>
        <v>0</v>
      </c>
      <c r="R499" s="88">
        <f>(SUBTOTAL(9,R500:R501))</f>
        <v>0</v>
      </c>
      <c r="S499" s="88">
        <f>(SUBTOTAL(9,S500:S501))</f>
        <v>0</v>
      </c>
      <c r="T499" s="88">
        <f>(SUBTOTAL(9,T500:T501))</f>
        <v>0</v>
      </c>
      <c r="U499" s="87">
        <f t="shared" ref="U499" si="346">SUBTOTAL(9,O500:T501)</f>
        <v>1500</v>
      </c>
    </row>
    <row r="500" spans="1:21" ht="17.25" customHeight="1" x14ac:dyDescent="0.3">
      <c r="A500" s="66" t="s">
        <v>30</v>
      </c>
      <c r="C500" s="67"/>
      <c r="D500" s="77" t="str">
        <f t="shared" ref="D500" si="347">D499</f>
        <v>S100003</v>
      </c>
      <c r="E500" s="77"/>
      <c r="F500" s="76"/>
      <c r="G500" s="76" t="str">
        <f>"""NAV Direct"",""CRONUS JetCorp USA"",""32"",""1"",""166408"""</f>
        <v>"NAV Direct","CRONUS JetCorp USA","32","1","166408"</v>
      </c>
      <c r="H500" s="86">
        <v>43466</v>
      </c>
      <c r="I500" s="85">
        <v>166408</v>
      </c>
      <c r="J500" s="84" t="str">
        <f>"Vendor"</f>
        <v>Vendor</v>
      </c>
      <c r="K500" s="84" t="str">
        <f>"V100003"</f>
        <v>V100003</v>
      </c>
      <c r="L500" s="84" t="str">
        <f>IF($J500="Customer",_xll.NL("first",$J500,"Name","No.","@@"&amp;$K500),"")</f>
        <v/>
      </c>
      <c r="M500" s="84" t="str">
        <f>"LogoMasters"</f>
        <v>LogoMasters</v>
      </c>
      <c r="N500" s="84" t="str">
        <f>IF($J500="Item",_xll.NL("first",$J500,"Description","No.","@@"&amp;$K500),"")</f>
        <v/>
      </c>
      <c r="O500" s="83">
        <v>1500</v>
      </c>
      <c r="P500" s="83">
        <v>0</v>
      </c>
      <c r="Q500" s="83">
        <v>0</v>
      </c>
      <c r="R500" s="83">
        <v>0</v>
      </c>
      <c r="S500" s="83">
        <v>0</v>
      </c>
      <c r="T500" s="83">
        <v>0</v>
      </c>
      <c r="U500" s="82"/>
    </row>
    <row r="501" spans="1:21" ht="17.25" customHeight="1" x14ac:dyDescent="0.3">
      <c r="A501" s="66" t="s">
        <v>30</v>
      </c>
      <c r="C501" s="67"/>
      <c r="D501" s="77"/>
      <c r="E501" s="77"/>
      <c r="F501" s="76"/>
      <c r="G501" s="76"/>
      <c r="H501" s="76"/>
      <c r="I501" s="76"/>
      <c r="J501" s="76"/>
      <c r="K501" s="76"/>
      <c r="L501" s="76"/>
      <c r="M501" s="76"/>
      <c r="N501" s="76"/>
      <c r="O501" s="75"/>
      <c r="P501" s="75"/>
      <c r="Q501" s="75"/>
      <c r="R501" s="75"/>
      <c r="S501" s="75"/>
      <c r="T501" s="75"/>
      <c r="U501" s="74"/>
    </row>
    <row r="502" spans="1:21" ht="17.25" customHeight="1" x14ac:dyDescent="0.3">
      <c r="A502" s="66" t="s">
        <v>30</v>
      </c>
      <c r="C502" s="67"/>
      <c r="D502" s="77"/>
      <c r="E502" s="77" t="s">
        <v>31</v>
      </c>
      <c r="F502" s="76" t="s">
        <v>31</v>
      </c>
      <c r="G502" s="76" t="s">
        <v>31</v>
      </c>
      <c r="H502" s="76"/>
      <c r="I502" s="76"/>
      <c r="J502" s="76" t="s">
        <v>31</v>
      </c>
      <c r="K502" s="76" t="s">
        <v>31</v>
      </c>
      <c r="L502" s="76" t="s">
        <v>31</v>
      </c>
      <c r="M502" s="76" t="s">
        <v>31</v>
      </c>
      <c r="N502" s="76"/>
      <c r="U502" s="81"/>
    </row>
    <row r="503" spans="1:21" ht="20.25" customHeight="1" x14ac:dyDescent="0.35">
      <c r="A503" s="66" t="s">
        <v>30</v>
      </c>
      <c r="C503" s="67"/>
      <c r="D503" s="92" t="str">
        <f t="shared" ref="D503" si="348">E503</f>
        <v>S100004</v>
      </c>
      <c r="E503" s="91" t="str">
        <f>"S100004"</f>
        <v>S100004</v>
      </c>
      <c r="F503" s="89" t="str">
        <f>"Award Medallian - 2''"</f>
        <v>Award Medallian - 2''</v>
      </c>
      <c r="G503" s="89"/>
      <c r="H503" s="90" t="str">
        <f>"EA"</f>
        <v>EA</v>
      </c>
      <c r="I503" s="89"/>
      <c r="J503" s="89"/>
      <c r="K503" s="89"/>
      <c r="L503" s="89"/>
      <c r="M503" s="89"/>
      <c r="N503" s="89"/>
      <c r="O503" s="88">
        <f>(SUBTOTAL(9,O504:O506))</f>
        <v>600</v>
      </c>
      <c r="P503" s="88">
        <f>(SUBTOTAL(9,P504:P506))</f>
        <v>-145</v>
      </c>
      <c r="Q503" s="88">
        <f>(SUBTOTAL(9,Q504:Q506))</f>
        <v>0</v>
      </c>
      <c r="R503" s="88">
        <f>(SUBTOTAL(9,R504:R506))</f>
        <v>0</v>
      </c>
      <c r="S503" s="88">
        <f>(SUBTOTAL(9,S504:S506))</f>
        <v>0</v>
      </c>
      <c r="T503" s="88">
        <f>(SUBTOTAL(9,T504:T506))</f>
        <v>0</v>
      </c>
      <c r="U503" s="87">
        <f t="shared" ref="U503" si="349">SUBTOTAL(9,O504:T506)</f>
        <v>455</v>
      </c>
    </row>
    <row r="504" spans="1:21" ht="17.25" customHeight="1" x14ac:dyDescent="0.3">
      <c r="A504" s="66" t="s">
        <v>30</v>
      </c>
      <c r="C504" s="67"/>
      <c r="D504" s="77" t="str">
        <f t="shared" ref="D504" si="350">D503</f>
        <v>S100004</v>
      </c>
      <c r="E504" s="77"/>
      <c r="F504" s="76"/>
      <c r="G504" s="76" t="str">
        <f>"""NAV Direct"",""CRONUS JetCorp USA"",""32"",""1"",""166407"""</f>
        <v>"NAV Direct","CRONUS JetCorp USA","32","1","166407"</v>
      </c>
      <c r="H504" s="86">
        <v>43466</v>
      </c>
      <c r="I504" s="85">
        <v>166407</v>
      </c>
      <c r="J504" s="84" t="str">
        <f>"Vendor"</f>
        <v>Vendor</v>
      </c>
      <c r="K504" s="84" t="str">
        <f>"V100003"</f>
        <v>V100003</v>
      </c>
      <c r="L504" s="84" t="str">
        <f>IF($J504="Customer",_xll.NL("first",$J504,"Name","No.","@@"&amp;$K504),"")</f>
        <v/>
      </c>
      <c r="M504" s="84" t="str">
        <f>"LogoMasters"</f>
        <v>LogoMasters</v>
      </c>
      <c r="N504" s="84" t="str">
        <f>IF($J504="Item",_xll.NL("first",$J504,"Description","No.","@@"&amp;$K504),"")</f>
        <v/>
      </c>
      <c r="O504" s="83">
        <v>600</v>
      </c>
      <c r="P504" s="83">
        <v>0</v>
      </c>
      <c r="Q504" s="83">
        <v>0</v>
      </c>
      <c r="R504" s="83">
        <v>0</v>
      </c>
      <c r="S504" s="83">
        <v>0</v>
      </c>
      <c r="T504" s="83">
        <v>0</v>
      </c>
      <c r="U504" s="82"/>
    </row>
    <row r="505" spans="1:21" ht="17.25" customHeight="1" x14ac:dyDescent="0.3">
      <c r="A505" s="66" t="s">
        <v>30</v>
      </c>
      <c r="C505" s="67"/>
      <c r="D505" s="77" t="str">
        <f t="shared" ref="D505" si="351">D504</f>
        <v>S100004</v>
      </c>
      <c r="E505" s="77"/>
      <c r="F505" s="76"/>
      <c r="G505" s="76" t="str">
        <f>"""NAV Direct"",""CRONUS JetCorp USA"",""32"",""1"",""30031"""</f>
        <v>"NAV Direct","CRONUS JetCorp USA","32","1","30031"</v>
      </c>
      <c r="H505" s="86">
        <v>43471</v>
      </c>
      <c r="I505" s="85">
        <v>30031</v>
      </c>
      <c r="J505" s="84" t="str">
        <f>"Customer"</f>
        <v>Customer</v>
      </c>
      <c r="K505" s="84" t="str">
        <f>"C100012"</f>
        <v>C100012</v>
      </c>
      <c r="L505" s="84" t="str">
        <f>IF($J505="Customer",_xll.NL("first",$J505,"Name","No.","@@"&amp;$K505),"")</f>
        <v>Bainbridges</v>
      </c>
      <c r="M505" s="84" t="str">
        <f>""</f>
        <v/>
      </c>
      <c r="N505" s="84" t="str">
        <f>IF($J505="Item",_xll.NL("first",$J505,"Description","No.","@@"&amp;$K505),"")</f>
        <v/>
      </c>
      <c r="O505" s="83">
        <v>0</v>
      </c>
      <c r="P505" s="83">
        <v>-145</v>
      </c>
      <c r="Q505" s="83">
        <v>0</v>
      </c>
      <c r="R505" s="83">
        <v>0</v>
      </c>
      <c r="S505" s="83">
        <v>0</v>
      </c>
      <c r="T505" s="83">
        <v>0</v>
      </c>
      <c r="U505" s="82"/>
    </row>
    <row r="506" spans="1:21" ht="17.25" customHeight="1" x14ac:dyDescent="0.3">
      <c r="A506" s="66" t="s">
        <v>30</v>
      </c>
      <c r="C506" s="67"/>
      <c r="D506" s="77"/>
      <c r="E506" s="77"/>
      <c r="F506" s="76"/>
      <c r="G506" s="76"/>
      <c r="H506" s="76"/>
      <c r="I506" s="76"/>
      <c r="J506" s="76"/>
      <c r="K506" s="76"/>
      <c r="L506" s="76"/>
      <c r="M506" s="76"/>
      <c r="N506" s="76"/>
      <c r="O506" s="75"/>
      <c r="P506" s="75"/>
      <c r="Q506" s="75"/>
      <c r="R506" s="75"/>
      <c r="S506" s="75"/>
      <c r="T506" s="75"/>
      <c r="U506" s="74"/>
    </row>
    <row r="507" spans="1:21" ht="17.25" customHeight="1" x14ac:dyDescent="0.3">
      <c r="A507" s="66" t="s">
        <v>30</v>
      </c>
      <c r="C507" s="67"/>
      <c r="D507" s="77"/>
      <c r="E507" s="77" t="s">
        <v>31</v>
      </c>
      <c r="F507" s="76" t="s">
        <v>31</v>
      </c>
      <c r="G507" s="76" t="s">
        <v>31</v>
      </c>
      <c r="H507" s="76"/>
      <c r="I507" s="76"/>
      <c r="J507" s="76" t="s">
        <v>31</v>
      </c>
      <c r="K507" s="76" t="s">
        <v>31</v>
      </c>
      <c r="L507" s="76" t="s">
        <v>31</v>
      </c>
      <c r="M507" s="76" t="s">
        <v>31</v>
      </c>
      <c r="N507" s="76"/>
      <c r="U507" s="81"/>
    </row>
    <row r="508" spans="1:21" ht="20.25" customHeight="1" x14ac:dyDescent="0.35">
      <c r="A508" s="66" t="s">
        <v>30</v>
      </c>
      <c r="C508" s="67"/>
      <c r="D508" s="92" t="str">
        <f t="shared" ref="D508" si="352">E508</f>
        <v>S100005</v>
      </c>
      <c r="E508" s="91" t="str">
        <f>"S100005"</f>
        <v>S100005</v>
      </c>
      <c r="F508" s="89" t="str">
        <f>"Award Medallian - 2.5''"</f>
        <v>Award Medallian - 2.5''</v>
      </c>
      <c r="G508" s="89"/>
      <c r="H508" s="90" t="str">
        <f>"EA"</f>
        <v>EA</v>
      </c>
      <c r="I508" s="89"/>
      <c r="J508" s="89"/>
      <c r="K508" s="89"/>
      <c r="L508" s="89"/>
      <c r="M508" s="89"/>
      <c r="N508" s="89"/>
      <c r="O508" s="88">
        <f>(SUBTOTAL(9,O509:O511))</f>
        <v>300</v>
      </c>
      <c r="P508" s="88">
        <f>(SUBTOTAL(9,P509:P511))</f>
        <v>-144</v>
      </c>
      <c r="Q508" s="88">
        <f>(SUBTOTAL(9,Q509:Q511))</f>
        <v>0</v>
      </c>
      <c r="R508" s="88">
        <f>(SUBTOTAL(9,R509:R511))</f>
        <v>0</v>
      </c>
      <c r="S508" s="88">
        <f>(SUBTOTAL(9,S509:S511))</f>
        <v>0</v>
      </c>
      <c r="T508" s="88">
        <f>(SUBTOTAL(9,T509:T511))</f>
        <v>0</v>
      </c>
      <c r="U508" s="87">
        <f t="shared" ref="U508" si="353">SUBTOTAL(9,O509:T511)</f>
        <v>156</v>
      </c>
    </row>
    <row r="509" spans="1:21" ht="17.25" customHeight="1" x14ac:dyDescent="0.3">
      <c r="A509" s="66" t="s">
        <v>30</v>
      </c>
      <c r="C509" s="67"/>
      <c r="D509" s="77" t="str">
        <f t="shared" ref="D509" si="354">D508</f>
        <v>S100005</v>
      </c>
      <c r="E509" s="77"/>
      <c r="F509" s="76"/>
      <c r="G509" s="76" t="str">
        <f>"""NAV Direct"",""CRONUS JetCorp USA"",""32"",""1"",""166406"""</f>
        <v>"NAV Direct","CRONUS JetCorp USA","32","1","166406"</v>
      </c>
      <c r="H509" s="86">
        <v>43466</v>
      </c>
      <c r="I509" s="85">
        <v>166406</v>
      </c>
      <c r="J509" s="84" t="str">
        <f>"Vendor"</f>
        <v>Vendor</v>
      </c>
      <c r="K509" s="84" t="str">
        <f>"V100003"</f>
        <v>V100003</v>
      </c>
      <c r="L509" s="84" t="str">
        <f>IF($J509="Customer",_xll.NL("first",$J509,"Name","No.","@@"&amp;$K509),"")</f>
        <v/>
      </c>
      <c r="M509" s="84" t="str">
        <f>"LogoMasters"</f>
        <v>LogoMasters</v>
      </c>
      <c r="N509" s="84" t="str">
        <f>IF($J509="Item",_xll.NL("first",$J509,"Description","No.","@@"&amp;$K509),"")</f>
        <v/>
      </c>
      <c r="O509" s="83">
        <v>300</v>
      </c>
      <c r="P509" s="83">
        <v>0</v>
      </c>
      <c r="Q509" s="83">
        <v>0</v>
      </c>
      <c r="R509" s="83">
        <v>0</v>
      </c>
      <c r="S509" s="83">
        <v>0</v>
      </c>
      <c r="T509" s="83">
        <v>0</v>
      </c>
      <c r="U509" s="82"/>
    </row>
    <row r="510" spans="1:21" ht="17.25" customHeight="1" x14ac:dyDescent="0.3">
      <c r="A510" s="66" t="s">
        <v>30</v>
      </c>
      <c r="C510" s="67"/>
      <c r="D510" s="77" t="str">
        <f t="shared" ref="D510" si="355">D509</f>
        <v>S100005</v>
      </c>
      <c r="E510" s="77"/>
      <c r="F510" s="76"/>
      <c r="G510" s="76" t="str">
        <f>"""NAV Direct"",""CRONUS JetCorp USA"",""32"",""1"",""30107"""</f>
        <v>"NAV Direct","CRONUS JetCorp USA","32","1","30107"</v>
      </c>
      <c r="H510" s="86">
        <v>43475</v>
      </c>
      <c r="I510" s="85">
        <v>30107</v>
      </c>
      <c r="J510" s="84" t="str">
        <f>"Customer"</f>
        <v>Customer</v>
      </c>
      <c r="K510" s="84" t="str">
        <f>"C100012"</f>
        <v>C100012</v>
      </c>
      <c r="L510" s="84" t="str">
        <f>IF($J510="Customer",_xll.NL("first",$J510,"Name","No.","@@"&amp;$K510),"")</f>
        <v>Bainbridges</v>
      </c>
      <c r="M510" s="84" t="str">
        <f>""</f>
        <v/>
      </c>
      <c r="N510" s="84" t="str">
        <f>IF($J510="Item",_xll.NL("first",$J510,"Description","No.","@@"&amp;$K510),"")</f>
        <v/>
      </c>
      <c r="O510" s="83">
        <v>0</v>
      </c>
      <c r="P510" s="83">
        <v>-144</v>
      </c>
      <c r="Q510" s="83">
        <v>0</v>
      </c>
      <c r="R510" s="83">
        <v>0</v>
      </c>
      <c r="S510" s="83">
        <v>0</v>
      </c>
      <c r="T510" s="83">
        <v>0</v>
      </c>
      <c r="U510" s="82"/>
    </row>
    <row r="511" spans="1:21" ht="17.25" customHeight="1" x14ac:dyDescent="0.3">
      <c r="A511" s="66" t="s">
        <v>30</v>
      </c>
      <c r="C511" s="67"/>
      <c r="D511" s="77"/>
      <c r="E511" s="77"/>
      <c r="F511" s="76"/>
      <c r="G511" s="76"/>
      <c r="H511" s="76"/>
      <c r="I511" s="76"/>
      <c r="J511" s="76"/>
      <c r="K511" s="76"/>
      <c r="L511" s="76"/>
      <c r="M511" s="76"/>
      <c r="N511" s="76"/>
      <c r="O511" s="75"/>
      <c r="P511" s="75"/>
      <c r="Q511" s="75"/>
      <c r="R511" s="75"/>
      <c r="S511" s="75"/>
      <c r="T511" s="75"/>
      <c r="U511" s="74"/>
    </row>
    <row r="512" spans="1:21" ht="17.25" customHeight="1" x14ac:dyDescent="0.3">
      <c r="A512" s="66" t="s">
        <v>30</v>
      </c>
      <c r="C512" s="67"/>
      <c r="D512" s="77"/>
      <c r="E512" s="77" t="s">
        <v>31</v>
      </c>
      <c r="F512" s="76" t="s">
        <v>31</v>
      </c>
      <c r="G512" s="76" t="s">
        <v>31</v>
      </c>
      <c r="H512" s="76"/>
      <c r="I512" s="76"/>
      <c r="J512" s="76" t="s">
        <v>31</v>
      </c>
      <c r="K512" s="76" t="s">
        <v>31</v>
      </c>
      <c r="L512" s="76" t="s">
        <v>31</v>
      </c>
      <c r="M512" s="76" t="s">
        <v>31</v>
      </c>
      <c r="N512" s="76"/>
      <c r="U512" s="81"/>
    </row>
    <row r="513" spans="1:21" ht="20.25" customHeight="1" x14ac:dyDescent="0.35">
      <c r="A513" s="66" t="s">
        <v>30</v>
      </c>
      <c r="C513" s="67"/>
      <c r="D513" s="92" t="str">
        <f t="shared" ref="D513" si="356">E513</f>
        <v>S100006</v>
      </c>
      <c r="E513" s="91" t="str">
        <f>"S100006"</f>
        <v>S100006</v>
      </c>
      <c r="F513" s="89" t="str">
        <f>"Award Medallian - 3''"</f>
        <v>Award Medallian - 3''</v>
      </c>
      <c r="G513" s="89"/>
      <c r="H513" s="90" t="str">
        <f>"EA"</f>
        <v>EA</v>
      </c>
      <c r="I513" s="89"/>
      <c r="J513" s="89"/>
      <c r="K513" s="89"/>
      <c r="L513" s="89"/>
      <c r="M513" s="89"/>
      <c r="N513" s="89"/>
      <c r="O513" s="88">
        <f>(SUBTOTAL(9,O514:O515))</f>
        <v>400</v>
      </c>
      <c r="P513" s="88">
        <f>(SUBTOTAL(9,P514:P515))</f>
        <v>0</v>
      </c>
      <c r="Q513" s="88">
        <f>(SUBTOTAL(9,Q514:Q515))</f>
        <v>0</v>
      </c>
      <c r="R513" s="88">
        <f>(SUBTOTAL(9,R514:R515))</f>
        <v>0</v>
      </c>
      <c r="S513" s="88">
        <f>(SUBTOTAL(9,S514:S515))</f>
        <v>0</v>
      </c>
      <c r="T513" s="88">
        <f>(SUBTOTAL(9,T514:T515))</f>
        <v>0</v>
      </c>
      <c r="U513" s="87">
        <f t="shared" ref="U513" si="357">SUBTOTAL(9,O514:T515)</f>
        <v>400</v>
      </c>
    </row>
    <row r="514" spans="1:21" ht="17.25" customHeight="1" x14ac:dyDescent="0.3">
      <c r="A514" s="66" t="s">
        <v>30</v>
      </c>
      <c r="C514" s="67"/>
      <c r="D514" s="77" t="str">
        <f t="shared" ref="D514" si="358">D513</f>
        <v>S100006</v>
      </c>
      <c r="E514" s="77"/>
      <c r="F514" s="76"/>
      <c r="G514" s="76" t="str">
        <f>"""NAV Direct"",""CRONUS JetCorp USA"",""32"",""1"",""166405"""</f>
        <v>"NAV Direct","CRONUS JetCorp USA","32","1","166405"</v>
      </c>
      <c r="H514" s="86">
        <v>43466</v>
      </c>
      <c r="I514" s="85">
        <v>166405</v>
      </c>
      <c r="J514" s="84" t="str">
        <f>"Vendor"</f>
        <v>Vendor</v>
      </c>
      <c r="K514" s="84" t="str">
        <f>"V100003"</f>
        <v>V100003</v>
      </c>
      <c r="L514" s="84" t="str">
        <f>IF($J514="Customer",_xll.NL("first",$J514,"Name","No.","@@"&amp;$K514),"")</f>
        <v/>
      </c>
      <c r="M514" s="84" t="str">
        <f>"LogoMasters"</f>
        <v>LogoMasters</v>
      </c>
      <c r="N514" s="84" t="str">
        <f>IF($J514="Item",_xll.NL("first",$J514,"Description","No.","@@"&amp;$K514),"")</f>
        <v/>
      </c>
      <c r="O514" s="83">
        <v>400</v>
      </c>
      <c r="P514" s="83">
        <v>0</v>
      </c>
      <c r="Q514" s="83">
        <v>0</v>
      </c>
      <c r="R514" s="83">
        <v>0</v>
      </c>
      <c r="S514" s="83">
        <v>0</v>
      </c>
      <c r="T514" s="83">
        <v>0</v>
      </c>
      <c r="U514" s="82"/>
    </row>
    <row r="515" spans="1:21" ht="17.25" customHeight="1" x14ac:dyDescent="0.3">
      <c r="A515" s="66" t="s">
        <v>30</v>
      </c>
      <c r="C515" s="67"/>
      <c r="D515" s="77"/>
      <c r="E515" s="77"/>
      <c r="F515" s="76"/>
      <c r="G515" s="76"/>
      <c r="H515" s="76"/>
      <c r="I515" s="76"/>
      <c r="J515" s="76"/>
      <c r="K515" s="76"/>
      <c r="L515" s="76"/>
      <c r="M515" s="76"/>
      <c r="N515" s="76"/>
      <c r="O515" s="75"/>
      <c r="P515" s="75"/>
      <c r="Q515" s="75"/>
      <c r="R515" s="75"/>
      <c r="S515" s="75"/>
      <c r="T515" s="75"/>
      <c r="U515" s="74"/>
    </row>
    <row r="516" spans="1:21" ht="17.25" customHeight="1" x14ac:dyDescent="0.3">
      <c r="A516" s="66" t="s">
        <v>30</v>
      </c>
      <c r="C516" s="67"/>
      <c r="D516" s="77"/>
      <c r="E516" s="77" t="s">
        <v>31</v>
      </c>
      <c r="F516" s="76" t="s">
        <v>31</v>
      </c>
      <c r="G516" s="76" t="s">
        <v>31</v>
      </c>
      <c r="H516" s="76"/>
      <c r="I516" s="76"/>
      <c r="J516" s="76" t="s">
        <v>31</v>
      </c>
      <c r="K516" s="76" t="s">
        <v>31</v>
      </c>
      <c r="L516" s="76" t="s">
        <v>31</v>
      </c>
      <c r="M516" s="76" t="s">
        <v>31</v>
      </c>
      <c r="N516" s="76"/>
      <c r="U516" s="81"/>
    </row>
    <row r="517" spans="1:21" ht="20.25" customHeight="1" x14ac:dyDescent="0.35">
      <c r="A517" s="66" t="s">
        <v>30</v>
      </c>
      <c r="C517" s="67"/>
      <c r="D517" s="92" t="str">
        <f t="shared" ref="D517" si="359">E517</f>
        <v>S100007</v>
      </c>
      <c r="E517" s="91" t="str">
        <f>"S100007"</f>
        <v>S100007</v>
      </c>
      <c r="F517" s="89" t="str">
        <f>"Baseball Figure Trophy"</f>
        <v>Baseball Figure Trophy</v>
      </c>
      <c r="G517" s="89"/>
      <c r="H517" s="90" t="str">
        <f>"EA"</f>
        <v>EA</v>
      </c>
      <c r="I517" s="89"/>
      <c r="J517" s="89"/>
      <c r="K517" s="89"/>
      <c r="L517" s="89"/>
      <c r="M517" s="89"/>
      <c r="N517" s="89"/>
      <c r="O517" s="88">
        <f>(SUBTOTAL(9,O518:O519))</f>
        <v>100</v>
      </c>
      <c r="P517" s="88">
        <f>(SUBTOTAL(9,P518:P519))</f>
        <v>0</v>
      </c>
      <c r="Q517" s="88">
        <f>(SUBTOTAL(9,Q518:Q519))</f>
        <v>0</v>
      </c>
      <c r="R517" s="88">
        <f>(SUBTOTAL(9,R518:R519))</f>
        <v>0</v>
      </c>
      <c r="S517" s="88">
        <f>(SUBTOTAL(9,S518:S519))</f>
        <v>0</v>
      </c>
      <c r="T517" s="88">
        <f>(SUBTOTAL(9,T518:T519))</f>
        <v>0</v>
      </c>
      <c r="U517" s="87">
        <f t="shared" ref="U517" si="360">SUBTOTAL(9,O518:T519)</f>
        <v>100</v>
      </c>
    </row>
    <row r="518" spans="1:21" ht="17.25" customHeight="1" x14ac:dyDescent="0.3">
      <c r="A518" s="66" t="s">
        <v>30</v>
      </c>
      <c r="C518" s="67"/>
      <c r="D518" s="77" t="str">
        <f t="shared" ref="D518" si="361">D517</f>
        <v>S100007</v>
      </c>
      <c r="E518" s="77"/>
      <c r="F518" s="76"/>
      <c r="G518" s="76" t="str">
        <f>"""NAV Direct"",""CRONUS JetCorp USA"",""32"",""1"",""166404"""</f>
        <v>"NAV Direct","CRONUS JetCorp USA","32","1","166404"</v>
      </c>
      <c r="H518" s="86">
        <v>43466</v>
      </c>
      <c r="I518" s="85">
        <v>166404</v>
      </c>
      <c r="J518" s="84" t="str">
        <f>"Vendor"</f>
        <v>Vendor</v>
      </c>
      <c r="K518" s="84" t="str">
        <f>"V100003"</f>
        <v>V100003</v>
      </c>
      <c r="L518" s="84" t="str">
        <f>IF($J518="Customer",_xll.NL("first",$J518,"Name","No.","@@"&amp;$K518),"")</f>
        <v/>
      </c>
      <c r="M518" s="84" t="str">
        <f>"LogoMasters"</f>
        <v>LogoMasters</v>
      </c>
      <c r="N518" s="84" t="str">
        <f>IF($J518="Item",_xll.NL("first",$J518,"Description","No.","@@"&amp;$K518),"")</f>
        <v/>
      </c>
      <c r="O518" s="83">
        <v>100</v>
      </c>
      <c r="P518" s="83">
        <v>0</v>
      </c>
      <c r="Q518" s="83">
        <v>0</v>
      </c>
      <c r="R518" s="83">
        <v>0</v>
      </c>
      <c r="S518" s="83">
        <v>0</v>
      </c>
      <c r="T518" s="83">
        <v>0</v>
      </c>
      <c r="U518" s="82"/>
    </row>
    <row r="519" spans="1:21" ht="17.25" customHeight="1" x14ac:dyDescent="0.3">
      <c r="A519" s="66" t="s">
        <v>30</v>
      </c>
      <c r="C519" s="67"/>
      <c r="D519" s="77"/>
      <c r="E519" s="77"/>
      <c r="F519" s="76"/>
      <c r="G519" s="76"/>
      <c r="H519" s="76"/>
      <c r="I519" s="76"/>
      <c r="J519" s="76"/>
      <c r="K519" s="76"/>
      <c r="L519" s="76"/>
      <c r="M519" s="76"/>
      <c r="N519" s="76"/>
      <c r="O519" s="75"/>
      <c r="P519" s="75"/>
      <c r="Q519" s="75"/>
      <c r="R519" s="75"/>
      <c r="S519" s="75"/>
      <c r="T519" s="75"/>
      <c r="U519" s="74"/>
    </row>
    <row r="520" spans="1:21" ht="17.25" customHeight="1" x14ac:dyDescent="0.3">
      <c r="A520" s="66" t="s">
        <v>30</v>
      </c>
      <c r="C520" s="67"/>
      <c r="D520" s="77"/>
      <c r="E520" s="77" t="s">
        <v>31</v>
      </c>
      <c r="F520" s="76" t="s">
        <v>31</v>
      </c>
      <c r="G520" s="76" t="s">
        <v>31</v>
      </c>
      <c r="H520" s="76"/>
      <c r="I520" s="76"/>
      <c r="J520" s="76" t="s">
        <v>31</v>
      </c>
      <c r="K520" s="76" t="s">
        <v>31</v>
      </c>
      <c r="L520" s="76" t="s">
        <v>31</v>
      </c>
      <c r="M520" s="76" t="s">
        <v>31</v>
      </c>
      <c r="N520" s="76"/>
      <c r="U520" s="81"/>
    </row>
    <row r="521" spans="1:21" ht="20.25" customHeight="1" x14ac:dyDescent="0.35">
      <c r="A521" s="66" t="s">
        <v>30</v>
      </c>
      <c r="C521" s="67"/>
      <c r="D521" s="92" t="str">
        <f t="shared" ref="D521" si="362">E521</f>
        <v>S100008</v>
      </c>
      <c r="E521" s="91" t="str">
        <f>"S100008"</f>
        <v>S100008</v>
      </c>
      <c r="F521" s="89" t="str">
        <f>"Soccer Figure Trophy"</f>
        <v>Soccer Figure Trophy</v>
      </c>
      <c r="G521" s="89"/>
      <c r="H521" s="90" t="str">
        <f>"EA"</f>
        <v>EA</v>
      </c>
      <c r="I521" s="89"/>
      <c r="J521" s="89"/>
      <c r="K521" s="89"/>
      <c r="L521" s="89"/>
      <c r="M521" s="89"/>
      <c r="N521" s="89"/>
      <c r="O521" s="88">
        <f>(SUBTOTAL(9,O522:O524))</f>
        <v>300</v>
      </c>
      <c r="P521" s="88">
        <f>(SUBTOTAL(9,P522:P524))</f>
        <v>-144</v>
      </c>
      <c r="Q521" s="88">
        <f>(SUBTOTAL(9,Q522:Q524))</f>
        <v>0</v>
      </c>
      <c r="R521" s="88">
        <f>(SUBTOTAL(9,R522:R524))</f>
        <v>0</v>
      </c>
      <c r="S521" s="88">
        <f>(SUBTOTAL(9,S522:S524))</f>
        <v>0</v>
      </c>
      <c r="T521" s="88">
        <f>(SUBTOTAL(9,T522:T524))</f>
        <v>0</v>
      </c>
      <c r="U521" s="87">
        <f t="shared" ref="U521" si="363">SUBTOTAL(9,O522:T524)</f>
        <v>156</v>
      </c>
    </row>
    <row r="522" spans="1:21" ht="17.25" customHeight="1" x14ac:dyDescent="0.3">
      <c r="A522" s="66" t="s">
        <v>30</v>
      </c>
      <c r="C522" s="67"/>
      <c r="D522" s="77" t="str">
        <f t="shared" ref="D522" si="364">D521</f>
        <v>S100008</v>
      </c>
      <c r="E522" s="77"/>
      <c r="F522" s="76"/>
      <c r="G522" s="76" t="str">
        <f>"""NAV Direct"",""CRONUS JetCorp USA"",""32"",""1"",""166403"""</f>
        <v>"NAV Direct","CRONUS JetCorp USA","32","1","166403"</v>
      </c>
      <c r="H522" s="86">
        <v>43466</v>
      </c>
      <c r="I522" s="85">
        <v>166403</v>
      </c>
      <c r="J522" s="84" t="str">
        <f>"Vendor"</f>
        <v>Vendor</v>
      </c>
      <c r="K522" s="84" t="str">
        <f>"V100003"</f>
        <v>V100003</v>
      </c>
      <c r="L522" s="84" t="str">
        <f>IF($J522="Customer",_xll.NL("first",$J522,"Name","No.","@@"&amp;$K522),"")</f>
        <v/>
      </c>
      <c r="M522" s="84" t="str">
        <f>"LogoMasters"</f>
        <v>LogoMasters</v>
      </c>
      <c r="N522" s="84" t="str">
        <f>IF($J522="Item",_xll.NL("first",$J522,"Description","No.","@@"&amp;$K522),"")</f>
        <v/>
      </c>
      <c r="O522" s="83">
        <v>300</v>
      </c>
      <c r="P522" s="83">
        <v>0</v>
      </c>
      <c r="Q522" s="83">
        <v>0</v>
      </c>
      <c r="R522" s="83">
        <v>0</v>
      </c>
      <c r="S522" s="83">
        <v>0</v>
      </c>
      <c r="T522" s="83">
        <v>0</v>
      </c>
      <c r="U522" s="82"/>
    </row>
    <row r="523" spans="1:21" ht="17.25" customHeight="1" x14ac:dyDescent="0.3">
      <c r="A523" s="66" t="s">
        <v>30</v>
      </c>
      <c r="C523" s="67"/>
      <c r="D523" s="77" t="str">
        <f t="shared" ref="D523" si="365">D522</f>
        <v>S100008</v>
      </c>
      <c r="E523" s="77"/>
      <c r="F523" s="76"/>
      <c r="G523" s="76" t="str">
        <f>"""NAV Direct"",""CRONUS JetCorp USA"",""32"",""1"",""30033"""</f>
        <v>"NAV Direct","CRONUS JetCorp USA","32","1","30033"</v>
      </c>
      <c r="H523" s="86">
        <v>43471</v>
      </c>
      <c r="I523" s="85">
        <v>30033</v>
      </c>
      <c r="J523" s="84" t="str">
        <f>"Customer"</f>
        <v>Customer</v>
      </c>
      <c r="K523" s="84" t="str">
        <f>"C100012"</f>
        <v>C100012</v>
      </c>
      <c r="L523" s="84" t="str">
        <f>IF($J523="Customer",_xll.NL("first",$J523,"Name","No.","@@"&amp;$K523),"")</f>
        <v>Bainbridges</v>
      </c>
      <c r="M523" s="84" t="str">
        <f>""</f>
        <v/>
      </c>
      <c r="N523" s="84" t="str">
        <f>IF($J523="Item",_xll.NL("first",$J523,"Description","No.","@@"&amp;$K523),"")</f>
        <v/>
      </c>
      <c r="O523" s="83">
        <v>0</v>
      </c>
      <c r="P523" s="83">
        <v>-144</v>
      </c>
      <c r="Q523" s="83">
        <v>0</v>
      </c>
      <c r="R523" s="83">
        <v>0</v>
      </c>
      <c r="S523" s="83">
        <v>0</v>
      </c>
      <c r="T523" s="83">
        <v>0</v>
      </c>
      <c r="U523" s="82"/>
    </row>
    <row r="524" spans="1:21" ht="17.25" customHeight="1" x14ac:dyDescent="0.3">
      <c r="A524" s="66" t="s">
        <v>30</v>
      </c>
      <c r="C524" s="67"/>
      <c r="D524" s="77"/>
      <c r="E524" s="77"/>
      <c r="F524" s="76"/>
      <c r="G524" s="76"/>
      <c r="H524" s="76"/>
      <c r="I524" s="76"/>
      <c r="J524" s="76"/>
      <c r="K524" s="76"/>
      <c r="L524" s="76"/>
      <c r="M524" s="76"/>
      <c r="N524" s="76"/>
      <c r="O524" s="75"/>
      <c r="P524" s="75"/>
      <c r="Q524" s="75"/>
      <c r="R524" s="75"/>
      <c r="S524" s="75"/>
      <c r="T524" s="75"/>
      <c r="U524" s="74"/>
    </row>
    <row r="525" spans="1:21" ht="17.25" customHeight="1" x14ac:dyDescent="0.3">
      <c r="A525" s="66" t="s">
        <v>30</v>
      </c>
      <c r="C525" s="67"/>
      <c r="D525" s="77"/>
      <c r="E525" s="77" t="s">
        <v>31</v>
      </c>
      <c r="F525" s="76" t="s">
        <v>31</v>
      </c>
      <c r="G525" s="76" t="s">
        <v>31</v>
      </c>
      <c r="H525" s="76"/>
      <c r="I525" s="76"/>
      <c r="J525" s="76" t="s">
        <v>31</v>
      </c>
      <c r="K525" s="76" t="s">
        <v>31</v>
      </c>
      <c r="L525" s="76" t="s">
        <v>31</v>
      </c>
      <c r="M525" s="76" t="s">
        <v>31</v>
      </c>
      <c r="N525" s="76"/>
      <c r="U525" s="81"/>
    </row>
    <row r="526" spans="1:21" ht="20.25" customHeight="1" x14ac:dyDescent="0.35">
      <c r="A526" s="66" t="s">
        <v>30</v>
      </c>
      <c r="C526" s="67"/>
      <c r="D526" s="92" t="str">
        <f t="shared" ref="D526" si="366">E526</f>
        <v>S100009</v>
      </c>
      <c r="E526" s="91" t="str">
        <f>"S100009"</f>
        <v>S100009</v>
      </c>
      <c r="F526" s="89" t="str">
        <f>"Engraved Basketball Award"</f>
        <v>Engraved Basketball Award</v>
      </c>
      <c r="G526" s="89"/>
      <c r="H526" s="90" t="str">
        <f>"EA"</f>
        <v>EA</v>
      </c>
      <c r="I526" s="89"/>
      <c r="J526" s="89"/>
      <c r="K526" s="89"/>
      <c r="L526" s="89"/>
      <c r="M526" s="89"/>
      <c r="N526" s="89"/>
      <c r="O526" s="88">
        <f>(SUBTOTAL(9,O527:O528))</f>
        <v>100</v>
      </c>
      <c r="P526" s="88">
        <f>(SUBTOTAL(9,P527:P528))</f>
        <v>0</v>
      </c>
      <c r="Q526" s="88">
        <f>(SUBTOTAL(9,Q527:Q528))</f>
        <v>0</v>
      </c>
      <c r="R526" s="88">
        <f>(SUBTOTAL(9,R527:R528))</f>
        <v>0</v>
      </c>
      <c r="S526" s="88">
        <f>(SUBTOTAL(9,S527:S528))</f>
        <v>0</v>
      </c>
      <c r="T526" s="88">
        <f>(SUBTOTAL(9,T527:T528))</f>
        <v>0</v>
      </c>
      <c r="U526" s="87">
        <f t="shared" ref="U526" si="367">SUBTOTAL(9,O527:T528)</f>
        <v>100</v>
      </c>
    </row>
    <row r="527" spans="1:21" ht="17.25" customHeight="1" x14ac:dyDescent="0.3">
      <c r="A527" s="66" t="s">
        <v>30</v>
      </c>
      <c r="C527" s="67"/>
      <c r="D527" s="77" t="str">
        <f t="shared" ref="D527" si="368">D526</f>
        <v>S100009</v>
      </c>
      <c r="E527" s="77"/>
      <c r="F527" s="76"/>
      <c r="G527" s="76" t="str">
        <f>"""NAV Direct"",""CRONUS JetCorp USA"",""32"",""1"",""166402"""</f>
        <v>"NAV Direct","CRONUS JetCorp USA","32","1","166402"</v>
      </c>
      <c r="H527" s="86">
        <v>43466</v>
      </c>
      <c r="I527" s="85">
        <v>166402</v>
      </c>
      <c r="J527" s="84" t="str">
        <f>"Vendor"</f>
        <v>Vendor</v>
      </c>
      <c r="K527" s="84" t="str">
        <f>"V100003"</f>
        <v>V100003</v>
      </c>
      <c r="L527" s="84" t="str">
        <f>IF($J527="Customer",_xll.NL("first",$J527,"Name","No.","@@"&amp;$K527),"")</f>
        <v/>
      </c>
      <c r="M527" s="84" t="str">
        <f>"LogoMasters"</f>
        <v>LogoMasters</v>
      </c>
      <c r="N527" s="84" t="str">
        <f>IF($J527="Item",_xll.NL("first",$J527,"Description","No.","@@"&amp;$K527),"")</f>
        <v/>
      </c>
      <c r="O527" s="83">
        <v>100</v>
      </c>
      <c r="P527" s="83">
        <v>0</v>
      </c>
      <c r="Q527" s="83">
        <v>0</v>
      </c>
      <c r="R527" s="83">
        <v>0</v>
      </c>
      <c r="S527" s="83">
        <v>0</v>
      </c>
      <c r="T527" s="83">
        <v>0</v>
      </c>
      <c r="U527" s="82"/>
    </row>
    <row r="528" spans="1:21" ht="17.25" customHeight="1" x14ac:dyDescent="0.3">
      <c r="A528" s="66" t="s">
        <v>30</v>
      </c>
      <c r="C528" s="67"/>
      <c r="D528" s="77"/>
      <c r="E528" s="77"/>
      <c r="F528" s="76"/>
      <c r="G528" s="76"/>
      <c r="H528" s="76"/>
      <c r="I528" s="76"/>
      <c r="J528" s="76"/>
      <c r="K528" s="76"/>
      <c r="L528" s="76"/>
      <c r="M528" s="76"/>
      <c r="N528" s="76"/>
      <c r="O528" s="75"/>
      <c r="P528" s="75"/>
      <c r="Q528" s="75"/>
      <c r="R528" s="75"/>
      <c r="S528" s="75"/>
      <c r="T528" s="75"/>
      <c r="U528" s="74"/>
    </row>
    <row r="529" spans="1:21" ht="17.25" customHeight="1" x14ac:dyDescent="0.3">
      <c r="A529" s="66" t="s">
        <v>30</v>
      </c>
      <c r="C529" s="67"/>
      <c r="D529" s="77"/>
      <c r="E529" s="77" t="s">
        <v>31</v>
      </c>
      <c r="F529" s="76" t="s">
        <v>31</v>
      </c>
      <c r="G529" s="76" t="s">
        <v>31</v>
      </c>
      <c r="H529" s="76"/>
      <c r="I529" s="76"/>
      <c r="J529" s="76" t="s">
        <v>31</v>
      </c>
      <c r="K529" s="76" t="s">
        <v>31</v>
      </c>
      <c r="L529" s="76" t="s">
        <v>31</v>
      </c>
      <c r="M529" s="76" t="s">
        <v>31</v>
      </c>
      <c r="N529" s="76"/>
      <c r="U529" s="81"/>
    </row>
    <row r="530" spans="1:21" ht="20.25" customHeight="1" x14ac:dyDescent="0.35">
      <c r="A530" s="66" t="s">
        <v>30</v>
      </c>
      <c r="C530" s="67"/>
      <c r="D530" s="92" t="str">
        <f t="shared" ref="D530" si="369">E530</f>
        <v>S100010</v>
      </c>
      <c r="E530" s="91" t="str">
        <f>"S100010"</f>
        <v>S100010</v>
      </c>
      <c r="F530" s="89" t="str">
        <f>"Golf Relaxed Cap"</f>
        <v>Golf Relaxed Cap</v>
      </c>
      <c r="G530" s="89"/>
      <c r="H530" s="90" t="str">
        <f>"EA"</f>
        <v>EA</v>
      </c>
      <c r="I530" s="89"/>
      <c r="J530" s="89"/>
      <c r="K530" s="89"/>
      <c r="L530" s="89"/>
      <c r="M530" s="89"/>
      <c r="N530" s="89"/>
      <c r="O530" s="88">
        <f>(SUBTOTAL(9,O531:O533))</f>
        <v>400</v>
      </c>
      <c r="P530" s="88">
        <f>(SUBTOTAL(9,P531:P533))</f>
        <v>-1</v>
      </c>
      <c r="Q530" s="88">
        <f>(SUBTOTAL(9,Q531:Q533))</f>
        <v>0</v>
      </c>
      <c r="R530" s="88">
        <f>(SUBTOTAL(9,R531:R533))</f>
        <v>0</v>
      </c>
      <c r="S530" s="88">
        <f>(SUBTOTAL(9,S531:S533))</f>
        <v>0</v>
      </c>
      <c r="T530" s="88">
        <f>(SUBTOTAL(9,T531:T533))</f>
        <v>0</v>
      </c>
      <c r="U530" s="87">
        <f t="shared" ref="U530" si="370">SUBTOTAL(9,O531:T533)</f>
        <v>399</v>
      </c>
    </row>
    <row r="531" spans="1:21" ht="17.25" customHeight="1" x14ac:dyDescent="0.3">
      <c r="A531" s="66" t="s">
        <v>30</v>
      </c>
      <c r="C531" s="67"/>
      <c r="D531" s="77" t="str">
        <f t="shared" ref="D531" si="371">D530</f>
        <v>S100010</v>
      </c>
      <c r="E531" s="77"/>
      <c r="F531" s="76"/>
      <c r="G531" s="76" t="str">
        <f>"""NAV Direct"",""CRONUS JetCorp USA"",""32"",""1"",""167159"""</f>
        <v>"NAV Direct","CRONUS JetCorp USA","32","1","167159"</v>
      </c>
      <c r="H531" s="86">
        <v>43466</v>
      </c>
      <c r="I531" s="85">
        <v>167159</v>
      </c>
      <c r="J531" s="84" t="str">
        <f>"Vendor"</f>
        <v>Vendor</v>
      </c>
      <c r="K531" s="84" t="str">
        <f>"V100003"</f>
        <v>V100003</v>
      </c>
      <c r="L531" s="84" t="str">
        <f>IF($J531="Customer",_xll.NL("first",$J531,"Name","No.","@@"&amp;$K531),"")</f>
        <v/>
      </c>
      <c r="M531" s="84" t="str">
        <f>"LogoMasters"</f>
        <v>LogoMasters</v>
      </c>
      <c r="N531" s="84" t="str">
        <f>IF($J531="Item",_xll.NL("first",$J531,"Description","No.","@@"&amp;$K531),"")</f>
        <v/>
      </c>
      <c r="O531" s="83">
        <v>400</v>
      </c>
      <c r="P531" s="83">
        <v>0</v>
      </c>
      <c r="Q531" s="83">
        <v>0</v>
      </c>
      <c r="R531" s="83">
        <v>0</v>
      </c>
      <c r="S531" s="83">
        <v>0</v>
      </c>
      <c r="T531" s="83">
        <v>0</v>
      </c>
      <c r="U531" s="82"/>
    </row>
    <row r="532" spans="1:21" ht="17.25" customHeight="1" x14ac:dyDescent="0.3">
      <c r="A532" s="66" t="s">
        <v>30</v>
      </c>
      <c r="C532" s="67"/>
      <c r="D532" s="77" t="str">
        <f t="shared" ref="D532" si="372">D531</f>
        <v>S100010</v>
      </c>
      <c r="E532" s="77"/>
      <c r="F532" s="76"/>
      <c r="G532" s="76" t="str">
        <f>"""NAV Direct"",""CRONUS JetCorp USA"",""32"",""1"",""30118"""</f>
        <v>"NAV Direct","CRONUS JetCorp USA","32","1","30118"</v>
      </c>
      <c r="H532" s="86">
        <v>43475</v>
      </c>
      <c r="I532" s="85">
        <v>30118</v>
      </c>
      <c r="J532" s="84" t="str">
        <f>"Customer"</f>
        <v>Customer</v>
      </c>
      <c r="K532" s="84" t="str">
        <f>"C100012"</f>
        <v>C100012</v>
      </c>
      <c r="L532" s="84" t="str">
        <f>IF($J532="Customer",_xll.NL("first",$J532,"Name","No.","@@"&amp;$K532),"")</f>
        <v>Bainbridges</v>
      </c>
      <c r="M532" s="84" t="str">
        <f>""</f>
        <v/>
      </c>
      <c r="N532" s="84" t="str">
        <f>IF($J532="Item",_xll.NL("first",$J532,"Description","No.","@@"&amp;$K532),"")</f>
        <v/>
      </c>
      <c r="O532" s="83">
        <v>0</v>
      </c>
      <c r="P532" s="83">
        <v>-1</v>
      </c>
      <c r="Q532" s="83">
        <v>0</v>
      </c>
      <c r="R532" s="83">
        <v>0</v>
      </c>
      <c r="S532" s="83">
        <v>0</v>
      </c>
      <c r="T532" s="83">
        <v>0</v>
      </c>
      <c r="U532" s="82"/>
    </row>
    <row r="533" spans="1:21" ht="17.25" customHeight="1" x14ac:dyDescent="0.3">
      <c r="A533" s="66" t="s">
        <v>30</v>
      </c>
      <c r="C533" s="67"/>
      <c r="D533" s="77"/>
      <c r="E533" s="77"/>
      <c r="F533" s="76"/>
      <c r="G533" s="76"/>
      <c r="H533" s="76"/>
      <c r="I533" s="76"/>
      <c r="J533" s="76"/>
      <c r="K533" s="76"/>
      <c r="L533" s="76"/>
      <c r="M533" s="76"/>
      <c r="N533" s="76"/>
      <c r="O533" s="75"/>
      <c r="P533" s="75"/>
      <c r="Q533" s="75"/>
      <c r="R533" s="75"/>
      <c r="S533" s="75"/>
      <c r="T533" s="75"/>
      <c r="U533" s="74"/>
    </row>
    <row r="534" spans="1:21" ht="17.25" customHeight="1" x14ac:dyDescent="0.3">
      <c r="A534" s="66" t="s">
        <v>30</v>
      </c>
      <c r="C534" s="67"/>
      <c r="D534" s="77"/>
      <c r="E534" s="77" t="s">
        <v>31</v>
      </c>
      <c r="F534" s="76" t="s">
        <v>31</v>
      </c>
      <c r="G534" s="76" t="s">
        <v>31</v>
      </c>
      <c r="H534" s="76"/>
      <c r="I534" s="76"/>
      <c r="J534" s="76" t="s">
        <v>31</v>
      </c>
      <c r="K534" s="76" t="s">
        <v>31</v>
      </c>
      <c r="L534" s="76" t="s">
        <v>31</v>
      </c>
      <c r="M534" s="76" t="s">
        <v>31</v>
      </c>
      <c r="N534" s="76"/>
      <c r="U534" s="81"/>
    </row>
    <row r="535" spans="1:21" ht="20.25" customHeight="1" x14ac:dyDescent="0.35">
      <c r="A535" s="66" t="s">
        <v>30</v>
      </c>
      <c r="C535" s="67"/>
      <c r="D535" s="92" t="str">
        <f t="shared" ref="D535" si="373">E535</f>
        <v>S100011</v>
      </c>
      <c r="E535" s="91" t="str">
        <f>"S100011"</f>
        <v>S100011</v>
      </c>
      <c r="F535" s="89" t="str">
        <f>"All Star Cap"</f>
        <v>All Star Cap</v>
      </c>
      <c r="G535" s="89"/>
      <c r="H535" s="90" t="str">
        <f>"EA"</f>
        <v>EA</v>
      </c>
      <c r="I535" s="89"/>
      <c r="J535" s="89"/>
      <c r="K535" s="89"/>
      <c r="L535" s="89"/>
      <c r="M535" s="89"/>
      <c r="N535" s="89"/>
      <c r="O535" s="88">
        <f>(SUBTOTAL(9,O536:O537))</f>
        <v>1600</v>
      </c>
      <c r="P535" s="88">
        <f>(SUBTOTAL(9,P536:P537))</f>
        <v>0</v>
      </c>
      <c r="Q535" s="88">
        <f>(SUBTOTAL(9,Q536:Q537))</f>
        <v>0</v>
      </c>
      <c r="R535" s="88">
        <f>(SUBTOTAL(9,R536:R537))</f>
        <v>0</v>
      </c>
      <c r="S535" s="88">
        <f>(SUBTOTAL(9,S536:S537))</f>
        <v>0</v>
      </c>
      <c r="T535" s="88">
        <f>(SUBTOTAL(9,T536:T537))</f>
        <v>0</v>
      </c>
      <c r="U535" s="87">
        <f t="shared" ref="U535" si="374">SUBTOTAL(9,O536:T537)</f>
        <v>1600</v>
      </c>
    </row>
    <row r="536" spans="1:21" ht="17.25" customHeight="1" x14ac:dyDescent="0.3">
      <c r="A536" s="66" t="s">
        <v>30</v>
      </c>
      <c r="C536" s="67"/>
      <c r="D536" s="77" t="str">
        <f t="shared" ref="D536" si="375">D535</f>
        <v>S100011</v>
      </c>
      <c r="E536" s="77"/>
      <c r="F536" s="76"/>
      <c r="G536" s="76" t="str">
        <f>"""NAV Direct"",""CRONUS JetCorp USA"",""32"",""1"",""167158"""</f>
        <v>"NAV Direct","CRONUS JetCorp USA","32","1","167158"</v>
      </c>
      <c r="H536" s="86">
        <v>43466</v>
      </c>
      <c r="I536" s="85">
        <v>167158</v>
      </c>
      <c r="J536" s="84" t="str">
        <f>"Vendor"</f>
        <v>Vendor</v>
      </c>
      <c r="K536" s="84" t="str">
        <f>"V100003"</f>
        <v>V100003</v>
      </c>
      <c r="L536" s="84" t="str">
        <f>IF($J536="Customer",_xll.NL("first",$J536,"Name","No.","@@"&amp;$K536),"")</f>
        <v/>
      </c>
      <c r="M536" s="84" t="str">
        <f>"LogoMasters"</f>
        <v>LogoMasters</v>
      </c>
      <c r="N536" s="84" t="str">
        <f>IF($J536="Item",_xll.NL("first",$J536,"Description","No.","@@"&amp;$K536),"")</f>
        <v/>
      </c>
      <c r="O536" s="83">
        <v>1600</v>
      </c>
      <c r="P536" s="83">
        <v>0</v>
      </c>
      <c r="Q536" s="83">
        <v>0</v>
      </c>
      <c r="R536" s="83">
        <v>0</v>
      </c>
      <c r="S536" s="83">
        <v>0</v>
      </c>
      <c r="T536" s="83">
        <v>0</v>
      </c>
      <c r="U536" s="82"/>
    </row>
    <row r="537" spans="1:21" ht="17.25" customHeight="1" x14ac:dyDescent="0.3">
      <c r="A537" s="66" t="s">
        <v>30</v>
      </c>
      <c r="C537" s="67"/>
      <c r="D537" s="77"/>
      <c r="E537" s="77"/>
      <c r="F537" s="76"/>
      <c r="G537" s="76"/>
      <c r="H537" s="76"/>
      <c r="I537" s="76"/>
      <c r="J537" s="76"/>
      <c r="K537" s="76"/>
      <c r="L537" s="76"/>
      <c r="M537" s="76"/>
      <c r="N537" s="76"/>
      <c r="O537" s="75"/>
      <c r="P537" s="75"/>
      <c r="Q537" s="75"/>
      <c r="R537" s="75"/>
      <c r="S537" s="75"/>
      <c r="T537" s="75"/>
      <c r="U537" s="74"/>
    </row>
    <row r="538" spans="1:21" ht="17.25" customHeight="1" x14ac:dyDescent="0.3">
      <c r="A538" s="66" t="s">
        <v>30</v>
      </c>
      <c r="C538" s="67"/>
      <c r="D538" s="77"/>
      <c r="E538" s="77" t="s">
        <v>31</v>
      </c>
      <c r="F538" s="76" t="s">
        <v>31</v>
      </c>
      <c r="G538" s="76" t="s">
        <v>31</v>
      </c>
      <c r="H538" s="76"/>
      <c r="I538" s="76"/>
      <c r="J538" s="76" t="s">
        <v>31</v>
      </c>
      <c r="K538" s="76" t="s">
        <v>31</v>
      </c>
      <c r="L538" s="76" t="s">
        <v>31</v>
      </c>
      <c r="M538" s="76" t="s">
        <v>31</v>
      </c>
      <c r="N538" s="76"/>
      <c r="U538" s="81"/>
    </row>
    <row r="539" spans="1:21" ht="20.25" customHeight="1" x14ac:dyDescent="0.35">
      <c r="A539" s="66" t="s">
        <v>30</v>
      </c>
      <c r="C539" s="67"/>
      <c r="D539" s="92" t="str">
        <f t="shared" ref="D539" si="376">E539</f>
        <v>S100012</v>
      </c>
      <c r="E539" s="91" t="str">
        <f>"S100012"</f>
        <v>S100012</v>
      </c>
      <c r="F539" s="89" t="str">
        <f>"Raw-Edge Patch BALL CAP"</f>
        <v>Raw-Edge Patch BALL CAP</v>
      </c>
      <c r="G539" s="89"/>
      <c r="H539" s="90" t="str">
        <f>"EA"</f>
        <v>EA</v>
      </c>
      <c r="I539" s="89"/>
      <c r="J539" s="89"/>
      <c r="K539" s="89"/>
      <c r="L539" s="89"/>
      <c r="M539" s="89"/>
      <c r="N539" s="89"/>
      <c r="O539" s="88">
        <f>(SUBTOTAL(9,O540:O542))</f>
        <v>400</v>
      </c>
      <c r="P539" s="88">
        <f>(SUBTOTAL(9,P540:P542))</f>
        <v>-288</v>
      </c>
      <c r="Q539" s="88">
        <f>(SUBTOTAL(9,Q540:Q542))</f>
        <v>0</v>
      </c>
      <c r="R539" s="88">
        <f>(SUBTOTAL(9,R540:R542))</f>
        <v>0</v>
      </c>
      <c r="S539" s="88">
        <f>(SUBTOTAL(9,S540:S542))</f>
        <v>0</v>
      </c>
      <c r="T539" s="88">
        <f>(SUBTOTAL(9,T540:T542))</f>
        <v>0</v>
      </c>
      <c r="U539" s="87">
        <f t="shared" ref="U539" si="377">SUBTOTAL(9,O540:T542)</f>
        <v>112</v>
      </c>
    </row>
    <row r="540" spans="1:21" ht="17.25" customHeight="1" x14ac:dyDescent="0.3">
      <c r="A540" s="66" t="s">
        <v>30</v>
      </c>
      <c r="C540" s="67"/>
      <c r="D540" s="77" t="str">
        <f t="shared" ref="D540" si="378">D539</f>
        <v>S100012</v>
      </c>
      <c r="E540" s="77"/>
      <c r="F540" s="76"/>
      <c r="G540" s="76" t="str">
        <f>"""NAV Direct"",""CRONUS JetCorp USA"",""32"",""1"",""167157"""</f>
        <v>"NAV Direct","CRONUS JetCorp USA","32","1","167157"</v>
      </c>
      <c r="H540" s="86">
        <v>43466</v>
      </c>
      <c r="I540" s="85">
        <v>167157</v>
      </c>
      <c r="J540" s="84" t="str">
        <f>"Vendor"</f>
        <v>Vendor</v>
      </c>
      <c r="K540" s="84" t="str">
        <f>"V100003"</f>
        <v>V100003</v>
      </c>
      <c r="L540" s="84" t="str">
        <f>IF($J540="Customer",_xll.NL("first",$J540,"Name","No.","@@"&amp;$K540),"")</f>
        <v/>
      </c>
      <c r="M540" s="84" t="str">
        <f>"LogoMasters"</f>
        <v>LogoMasters</v>
      </c>
      <c r="N540" s="84" t="str">
        <f>IF($J540="Item",_xll.NL("first",$J540,"Description","No.","@@"&amp;$K540),"")</f>
        <v/>
      </c>
      <c r="O540" s="83">
        <v>400</v>
      </c>
      <c r="P540" s="83">
        <v>0</v>
      </c>
      <c r="Q540" s="83">
        <v>0</v>
      </c>
      <c r="R540" s="83">
        <v>0</v>
      </c>
      <c r="S540" s="83">
        <v>0</v>
      </c>
      <c r="T540" s="83">
        <v>0</v>
      </c>
      <c r="U540" s="82"/>
    </row>
    <row r="541" spans="1:21" ht="17.25" customHeight="1" x14ac:dyDescent="0.3">
      <c r="A541" s="66" t="s">
        <v>30</v>
      </c>
      <c r="C541" s="67"/>
      <c r="D541" s="77" t="str">
        <f t="shared" ref="D541" si="379">D540</f>
        <v>S100012</v>
      </c>
      <c r="E541" s="77"/>
      <c r="F541" s="76"/>
      <c r="G541" s="76" t="str">
        <f>"""NAV Direct"",""CRONUS JetCorp USA"",""32"",""1"",""30102"""</f>
        <v>"NAV Direct","CRONUS JetCorp USA","32","1","30102"</v>
      </c>
      <c r="H541" s="86">
        <v>43475</v>
      </c>
      <c r="I541" s="85">
        <v>30102</v>
      </c>
      <c r="J541" s="84" t="str">
        <f>"Customer"</f>
        <v>Customer</v>
      </c>
      <c r="K541" s="84" t="str">
        <f>"C100012"</f>
        <v>C100012</v>
      </c>
      <c r="L541" s="84" t="str">
        <f>IF($J541="Customer",_xll.NL("first",$J541,"Name","No.","@@"&amp;$K541),"")</f>
        <v>Bainbridges</v>
      </c>
      <c r="M541" s="84" t="str">
        <f>""</f>
        <v/>
      </c>
      <c r="N541" s="84" t="str">
        <f>IF($J541="Item",_xll.NL("first",$J541,"Description","No.","@@"&amp;$K541),"")</f>
        <v/>
      </c>
      <c r="O541" s="83">
        <v>0</v>
      </c>
      <c r="P541" s="83">
        <v>-288</v>
      </c>
      <c r="Q541" s="83">
        <v>0</v>
      </c>
      <c r="R541" s="83">
        <v>0</v>
      </c>
      <c r="S541" s="83">
        <v>0</v>
      </c>
      <c r="T541" s="83">
        <v>0</v>
      </c>
      <c r="U541" s="82"/>
    </row>
    <row r="542" spans="1:21" ht="17.25" customHeight="1" x14ac:dyDescent="0.3">
      <c r="A542" s="66" t="s">
        <v>30</v>
      </c>
      <c r="C542" s="67"/>
      <c r="D542" s="77"/>
      <c r="E542" s="77"/>
      <c r="F542" s="76"/>
      <c r="G542" s="76"/>
      <c r="H542" s="76"/>
      <c r="I542" s="76"/>
      <c r="J542" s="76"/>
      <c r="K542" s="76"/>
      <c r="L542" s="76"/>
      <c r="M542" s="76"/>
      <c r="N542" s="76"/>
      <c r="O542" s="75"/>
      <c r="P542" s="75"/>
      <c r="Q542" s="75"/>
      <c r="R542" s="75"/>
      <c r="S542" s="75"/>
      <c r="T542" s="75"/>
      <c r="U542" s="74"/>
    </row>
    <row r="543" spans="1:21" ht="17.25" customHeight="1" x14ac:dyDescent="0.3">
      <c r="A543" s="66" t="s">
        <v>30</v>
      </c>
      <c r="C543" s="67"/>
      <c r="D543" s="77"/>
      <c r="E543" s="77" t="s">
        <v>31</v>
      </c>
      <c r="F543" s="76" t="s">
        <v>31</v>
      </c>
      <c r="G543" s="76" t="s">
        <v>31</v>
      </c>
      <c r="H543" s="76"/>
      <c r="I543" s="76"/>
      <c r="J543" s="76" t="s">
        <v>31</v>
      </c>
      <c r="K543" s="76" t="s">
        <v>31</v>
      </c>
      <c r="L543" s="76" t="s">
        <v>31</v>
      </c>
      <c r="M543" s="76" t="s">
        <v>31</v>
      </c>
      <c r="N543" s="76"/>
      <c r="U543" s="81"/>
    </row>
    <row r="544" spans="1:21" ht="20.25" customHeight="1" x14ac:dyDescent="0.35">
      <c r="A544" s="66" t="s">
        <v>30</v>
      </c>
      <c r="C544" s="67"/>
      <c r="D544" s="92" t="str">
        <f t="shared" ref="D544" si="380">E544</f>
        <v>S100015</v>
      </c>
      <c r="E544" s="91" t="str">
        <f>"S100015"</f>
        <v>S100015</v>
      </c>
      <c r="F544" s="89" t="str">
        <f>"Raw-Edge Bucket Hat"</f>
        <v>Raw-Edge Bucket Hat</v>
      </c>
      <c r="G544" s="89"/>
      <c r="H544" s="90" t="str">
        <f>"EA"</f>
        <v>EA</v>
      </c>
      <c r="I544" s="89"/>
      <c r="J544" s="89"/>
      <c r="K544" s="89"/>
      <c r="L544" s="89"/>
      <c r="M544" s="89"/>
      <c r="N544" s="89"/>
      <c r="O544" s="88">
        <f>(SUBTOTAL(9,O545:O547))</f>
        <v>400</v>
      </c>
      <c r="P544" s="88">
        <f>(SUBTOTAL(9,P545:P547))</f>
        <v>-144</v>
      </c>
      <c r="Q544" s="88">
        <f>(SUBTOTAL(9,Q545:Q547))</f>
        <v>0</v>
      </c>
      <c r="R544" s="88">
        <f>(SUBTOTAL(9,R545:R547))</f>
        <v>0</v>
      </c>
      <c r="S544" s="88">
        <f>(SUBTOTAL(9,S545:S547))</f>
        <v>0</v>
      </c>
      <c r="T544" s="88">
        <f>(SUBTOTAL(9,T545:T547))</f>
        <v>0</v>
      </c>
      <c r="U544" s="87">
        <f t="shared" ref="U544" si="381">SUBTOTAL(9,O545:T547)</f>
        <v>256</v>
      </c>
    </row>
    <row r="545" spans="1:21" ht="17.25" customHeight="1" x14ac:dyDescent="0.3">
      <c r="A545" s="66" t="s">
        <v>30</v>
      </c>
      <c r="C545" s="67"/>
      <c r="D545" s="77" t="str">
        <f t="shared" ref="D545" si="382">D544</f>
        <v>S100015</v>
      </c>
      <c r="E545" s="77"/>
      <c r="F545" s="76"/>
      <c r="G545" s="76" t="str">
        <f>"""NAV Direct"",""CRONUS JetCorp USA"",""32"",""1"",""167156"""</f>
        <v>"NAV Direct","CRONUS JetCorp USA","32","1","167156"</v>
      </c>
      <c r="H545" s="86">
        <v>43466</v>
      </c>
      <c r="I545" s="85">
        <v>167156</v>
      </c>
      <c r="J545" s="84" t="str">
        <f>"Vendor"</f>
        <v>Vendor</v>
      </c>
      <c r="K545" s="84" t="str">
        <f>"V100003"</f>
        <v>V100003</v>
      </c>
      <c r="L545" s="84" t="str">
        <f>IF($J545="Customer",_xll.NL("first",$J545,"Name","No.","@@"&amp;$K545),"")</f>
        <v/>
      </c>
      <c r="M545" s="84" t="str">
        <f>"LogoMasters"</f>
        <v>LogoMasters</v>
      </c>
      <c r="N545" s="84" t="str">
        <f>IF($J545="Item",_xll.NL("first",$J545,"Description","No.","@@"&amp;$K545),"")</f>
        <v/>
      </c>
      <c r="O545" s="83">
        <v>400</v>
      </c>
      <c r="P545" s="83">
        <v>0</v>
      </c>
      <c r="Q545" s="83">
        <v>0</v>
      </c>
      <c r="R545" s="83">
        <v>0</v>
      </c>
      <c r="S545" s="83">
        <v>0</v>
      </c>
      <c r="T545" s="83">
        <v>0</v>
      </c>
      <c r="U545" s="82"/>
    </row>
    <row r="546" spans="1:21" ht="17.25" customHeight="1" x14ac:dyDescent="0.3">
      <c r="A546" s="66" t="s">
        <v>30</v>
      </c>
      <c r="C546" s="67"/>
      <c r="D546" s="77" t="str">
        <f t="shared" ref="D546" si="383">D545</f>
        <v>S100015</v>
      </c>
      <c r="E546" s="77"/>
      <c r="F546" s="76"/>
      <c r="G546" s="76" t="str">
        <f>"""NAV Direct"",""CRONUS JetCorp USA"",""32"",""1"",""30109"""</f>
        <v>"NAV Direct","CRONUS JetCorp USA","32","1","30109"</v>
      </c>
      <c r="H546" s="86">
        <v>43475</v>
      </c>
      <c r="I546" s="85">
        <v>30109</v>
      </c>
      <c r="J546" s="84" t="str">
        <f>"Customer"</f>
        <v>Customer</v>
      </c>
      <c r="K546" s="84" t="str">
        <f>"C100012"</f>
        <v>C100012</v>
      </c>
      <c r="L546" s="84" t="str">
        <f>IF($J546="Customer",_xll.NL("first",$J546,"Name","No.","@@"&amp;$K546),"")</f>
        <v>Bainbridges</v>
      </c>
      <c r="M546" s="84" t="str">
        <f>""</f>
        <v/>
      </c>
      <c r="N546" s="84" t="str">
        <f>IF($J546="Item",_xll.NL("first",$J546,"Description","No.","@@"&amp;$K546),"")</f>
        <v/>
      </c>
      <c r="O546" s="83">
        <v>0</v>
      </c>
      <c r="P546" s="83">
        <v>-144</v>
      </c>
      <c r="Q546" s="83">
        <v>0</v>
      </c>
      <c r="R546" s="83">
        <v>0</v>
      </c>
      <c r="S546" s="83">
        <v>0</v>
      </c>
      <c r="T546" s="83">
        <v>0</v>
      </c>
      <c r="U546" s="82"/>
    </row>
    <row r="547" spans="1:21" ht="17.25" customHeight="1" x14ac:dyDescent="0.3">
      <c r="A547" s="66" t="s">
        <v>30</v>
      </c>
      <c r="C547" s="67"/>
      <c r="D547" s="77"/>
      <c r="E547" s="77"/>
      <c r="F547" s="76"/>
      <c r="G547" s="76"/>
      <c r="H547" s="76"/>
      <c r="I547" s="76"/>
      <c r="J547" s="76"/>
      <c r="K547" s="76"/>
      <c r="L547" s="76"/>
      <c r="M547" s="76"/>
      <c r="N547" s="76"/>
      <c r="O547" s="75"/>
      <c r="P547" s="75"/>
      <c r="Q547" s="75"/>
      <c r="R547" s="75"/>
      <c r="S547" s="75"/>
      <c r="T547" s="75"/>
      <c r="U547" s="74"/>
    </row>
    <row r="548" spans="1:21" ht="17.25" customHeight="1" x14ac:dyDescent="0.3">
      <c r="A548" s="66" t="s">
        <v>30</v>
      </c>
      <c r="C548" s="67"/>
      <c r="D548" s="77"/>
      <c r="E548" s="77" t="s">
        <v>31</v>
      </c>
      <c r="F548" s="76" t="s">
        <v>31</v>
      </c>
      <c r="G548" s="76" t="s">
        <v>31</v>
      </c>
      <c r="H548" s="76"/>
      <c r="I548" s="76"/>
      <c r="J548" s="76" t="s">
        <v>31</v>
      </c>
      <c r="K548" s="76" t="s">
        <v>31</v>
      </c>
      <c r="L548" s="76" t="s">
        <v>31</v>
      </c>
      <c r="M548" s="76" t="s">
        <v>31</v>
      </c>
      <c r="N548" s="76"/>
      <c r="U548" s="81"/>
    </row>
    <row r="549" spans="1:21" ht="20.25" customHeight="1" x14ac:dyDescent="0.35">
      <c r="A549" s="66" t="s">
        <v>30</v>
      </c>
      <c r="C549" s="67"/>
      <c r="D549" s="92" t="str">
        <f t="shared" ref="D549" si="384">E549</f>
        <v>S100016</v>
      </c>
      <c r="E549" s="91" t="str">
        <f>"S100016"</f>
        <v>S100016</v>
      </c>
      <c r="F549" s="89" t="str">
        <f>"Mesh Bucket Hat"</f>
        <v>Mesh Bucket Hat</v>
      </c>
      <c r="G549" s="89"/>
      <c r="H549" s="90" t="str">
        <f>"EA"</f>
        <v>EA</v>
      </c>
      <c r="I549" s="89"/>
      <c r="J549" s="89"/>
      <c r="K549" s="89"/>
      <c r="L549" s="89"/>
      <c r="M549" s="89"/>
      <c r="N549" s="89"/>
      <c r="O549" s="88">
        <f>(SUBTOTAL(9,O550:O553))</f>
        <v>800</v>
      </c>
      <c r="P549" s="88">
        <f>(SUBTOTAL(9,P550:P553))</f>
        <v>-143</v>
      </c>
      <c r="Q549" s="88">
        <f>(SUBTOTAL(9,Q550:Q553))</f>
        <v>0</v>
      </c>
      <c r="R549" s="88">
        <f>(SUBTOTAL(9,R550:R553))</f>
        <v>0</v>
      </c>
      <c r="S549" s="88">
        <f>(SUBTOTAL(9,S550:S553))</f>
        <v>0</v>
      </c>
      <c r="T549" s="88">
        <f>(SUBTOTAL(9,T550:T553))</f>
        <v>0</v>
      </c>
      <c r="U549" s="87">
        <f t="shared" ref="U549" si="385">SUBTOTAL(9,O550:T553)</f>
        <v>657</v>
      </c>
    </row>
    <row r="550" spans="1:21" ht="17.25" customHeight="1" x14ac:dyDescent="0.3">
      <c r="A550" s="66" t="s">
        <v>30</v>
      </c>
      <c r="C550" s="67"/>
      <c r="D550" s="77" t="str">
        <f t="shared" ref="D550" si="386">D549</f>
        <v>S100016</v>
      </c>
      <c r="E550" s="77"/>
      <c r="F550" s="76"/>
      <c r="G550" s="76" t="str">
        <f>"""NAV Direct"",""CRONUS JetCorp USA"",""32"",""1"",""167155"""</f>
        <v>"NAV Direct","CRONUS JetCorp USA","32","1","167155"</v>
      </c>
      <c r="H550" s="86">
        <v>43466</v>
      </c>
      <c r="I550" s="85">
        <v>167155</v>
      </c>
      <c r="J550" s="84" t="str">
        <f>"Vendor"</f>
        <v>Vendor</v>
      </c>
      <c r="K550" s="84" t="str">
        <f>"V100003"</f>
        <v>V100003</v>
      </c>
      <c r="L550" s="84" t="str">
        <f>IF($J550="Customer",_xll.NL("first",$J550,"Name","No.","@@"&amp;$K550),"")</f>
        <v/>
      </c>
      <c r="M550" s="84" t="str">
        <f>"LogoMasters"</f>
        <v>LogoMasters</v>
      </c>
      <c r="N550" s="84" t="str">
        <f>IF($J550="Item",_xll.NL("first",$J550,"Description","No.","@@"&amp;$K550),"")</f>
        <v/>
      </c>
      <c r="O550" s="83">
        <v>800</v>
      </c>
      <c r="P550" s="83">
        <v>0</v>
      </c>
      <c r="Q550" s="83">
        <v>0</v>
      </c>
      <c r="R550" s="83">
        <v>0</v>
      </c>
      <c r="S550" s="83">
        <v>0</v>
      </c>
      <c r="T550" s="83">
        <v>0</v>
      </c>
      <c r="U550" s="82"/>
    </row>
    <row r="551" spans="1:21" ht="17.25" customHeight="1" x14ac:dyDescent="0.3">
      <c r="A551" s="66" t="s">
        <v>30</v>
      </c>
      <c r="C551" s="67"/>
      <c r="D551" s="77" t="str">
        <f t="shared" ref="D551:D552" si="387">D550</f>
        <v>S100016</v>
      </c>
      <c r="E551" s="77"/>
      <c r="F551" s="76"/>
      <c r="G551" s="76" t="str">
        <f>"""NAV Direct"",""CRONUS JetCorp USA"",""32"",""1"",""30034"""</f>
        <v>"NAV Direct","CRONUS JetCorp USA","32","1","30034"</v>
      </c>
      <c r="H551" s="86">
        <v>43471</v>
      </c>
      <c r="I551" s="85">
        <v>30034</v>
      </c>
      <c r="J551" s="84" t="str">
        <f>"Customer"</f>
        <v>Customer</v>
      </c>
      <c r="K551" s="84" t="str">
        <f>"C100012"</f>
        <v>C100012</v>
      </c>
      <c r="L551" s="84" t="str">
        <f>IF($J551="Customer",_xll.NL("first",$J551,"Name","No.","@@"&amp;$K551),"")</f>
        <v>Bainbridges</v>
      </c>
      <c r="M551" s="84" t="str">
        <f>""</f>
        <v/>
      </c>
      <c r="N551" s="84" t="str">
        <f>IF($J551="Item",_xll.NL("first",$J551,"Description","No.","@@"&amp;$K551),"")</f>
        <v/>
      </c>
      <c r="O551" s="83">
        <v>0</v>
      </c>
      <c r="P551" s="83">
        <v>-144</v>
      </c>
      <c r="Q551" s="83">
        <v>0</v>
      </c>
      <c r="R551" s="83">
        <v>0</v>
      </c>
      <c r="S551" s="83">
        <v>0</v>
      </c>
      <c r="T551" s="83">
        <v>0</v>
      </c>
      <c r="U551" s="82"/>
    </row>
    <row r="552" spans="1:21" ht="17.25" customHeight="1" x14ac:dyDescent="0.3">
      <c r="A552" s="66" t="s">
        <v>30</v>
      </c>
      <c r="C552" s="67"/>
      <c r="D552" s="77" t="str">
        <f t="shared" si="387"/>
        <v>S100016</v>
      </c>
      <c r="E552" s="77"/>
      <c r="F552" s="76"/>
      <c r="G552" s="76" t="str">
        <f>"""NAV Direct"",""CRONUS JetCorp USA"",""32"",""1"",""158693"""</f>
        <v>"NAV Direct","CRONUS JetCorp USA","32","1","158693"</v>
      </c>
      <c r="H552" s="86">
        <v>43471</v>
      </c>
      <c r="I552" s="85">
        <v>158693</v>
      </c>
      <c r="J552" s="84" t="str">
        <f>"Customer"</f>
        <v>Customer</v>
      </c>
      <c r="K552" s="84" t="str">
        <f>"C100126"</f>
        <v>C100126</v>
      </c>
      <c r="L552" s="84" t="str">
        <f>IF($J552="Customer",_xll.NL("first",$J552,"Name","No.","@@"&amp;$K552),"")</f>
        <v>Moveex</v>
      </c>
      <c r="M552" s="84" t="str">
        <f>""</f>
        <v/>
      </c>
      <c r="N552" s="84" t="str">
        <f>IF($J552="Item",_xll.NL("first",$J552,"Description","No.","@@"&amp;$K552),"")</f>
        <v/>
      </c>
      <c r="O552" s="83">
        <v>0</v>
      </c>
      <c r="P552" s="83">
        <v>1</v>
      </c>
      <c r="Q552" s="83">
        <v>0</v>
      </c>
      <c r="R552" s="83">
        <v>0</v>
      </c>
      <c r="S552" s="83">
        <v>0</v>
      </c>
      <c r="T552" s="83">
        <v>0</v>
      </c>
      <c r="U552" s="82"/>
    </row>
    <row r="553" spans="1:21" ht="17.25" customHeight="1" x14ac:dyDescent="0.3">
      <c r="A553" s="66" t="s">
        <v>30</v>
      </c>
      <c r="C553" s="67"/>
      <c r="D553" s="77"/>
      <c r="E553" s="77"/>
      <c r="F553" s="76"/>
      <c r="G553" s="76"/>
      <c r="H553" s="76"/>
      <c r="I553" s="76"/>
      <c r="J553" s="76"/>
      <c r="K553" s="76"/>
      <c r="L553" s="76"/>
      <c r="M553" s="76"/>
      <c r="N553" s="76"/>
      <c r="O553" s="75"/>
      <c r="P553" s="75"/>
      <c r="Q553" s="75"/>
      <c r="R553" s="75"/>
      <c r="S553" s="75"/>
      <c r="T553" s="75"/>
      <c r="U553" s="74"/>
    </row>
    <row r="554" spans="1:21" ht="17.25" customHeight="1" x14ac:dyDescent="0.3">
      <c r="A554" s="66" t="s">
        <v>30</v>
      </c>
      <c r="C554" s="67"/>
      <c r="D554" s="77"/>
      <c r="E554" s="77" t="s">
        <v>31</v>
      </c>
      <c r="F554" s="76" t="s">
        <v>31</v>
      </c>
      <c r="G554" s="76" t="s">
        <v>31</v>
      </c>
      <c r="H554" s="76"/>
      <c r="I554" s="76"/>
      <c r="J554" s="76" t="s">
        <v>31</v>
      </c>
      <c r="K554" s="76" t="s">
        <v>31</v>
      </c>
      <c r="L554" s="76" t="s">
        <v>31</v>
      </c>
      <c r="M554" s="76" t="s">
        <v>31</v>
      </c>
      <c r="N554" s="76"/>
      <c r="U554" s="81"/>
    </row>
    <row r="555" spans="1:21" ht="20.25" customHeight="1" x14ac:dyDescent="0.35">
      <c r="A555" s="66" t="s">
        <v>30</v>
      </c>
      <c r="C555" s="67"/>
      <c r="D555" s="92" t="str">
        <f t="shared" ref="D555" si="388">E555</f>
        <v>S100017</v>
      </c>
      <c r="E555" s="91" t="str">
        <f>"S100017"</f>
        <v>S100017</v>
      </c>
      <c r="F555" s="89" t="str">
        <f>"Microfiber Bucket Hat"</f>
        <v>Microfiber Bucket Hat</v>
      </c>
      <c r="G555" s="89"/>
      <c r="H555" s="90" t="str">
        <f>"EA"</f>
        <v>EA</v>
      </c>
      <c r="I555" s="89"/>
      <c r="J555" s="89"/>
      <c r="K555" s="89"/>
      <c r="L555" s="89"/>
      <c r="M555" s="89"/>
      <c r="N555" s="89"/>
      <c r="O555" s="88">
        <f>(SUBTOTAL(9,O556:O557))</f>
        <v>400</v>
      </c>
      <c r="P555" s="88">
        <f>(SUBTOTAL(9,P556:P557))</f>
        <v>0</v>
      </c>
      <c r="Q555" s="88">
        <f>(SUBTOTAL(9,Q556:Q557))</f>
        <v>0</v>
      </c>
      <c r="R555" s="88">
        <f>(SUBTOTAL(9,R556:R557))</f>
        <v>0</v>
      </c>
      <c r="S555" s="88">
        <f>(SUBTOTAL(9,S556:S557))</f>
        <v>0</v>
      </c>
      <c r="T555" s="88">
        <f>(SUBTOTAL(9,T556:T557))</f>
        <v>0</v>
      </c>
      <c r="U555" s="87">
        <f t="shared" ref="U555" si="389">SUBTOTAL(9,O556:T557)</f>
        <v>400</v>
      </c>
    </row>
    <row r="556" spans="1:21" ht="17.25" customHeight="1" x14ac:dyDescent="0.3">
      <c r="A556" s="66" t="s">
        <v>30</v>
      </c>
      <c r="C556" s="67"/>
      <c r="D556" s="77" t="str">
        <f t="shared" ref="D556" si="390">D555</f>
        <v>S100017</v>
      </c>
      <c r="E556" s="77"/>
      <c r="F556" s="76"/>
      <c r="G556" s="76" t="str">
        <f>"""NAV Direct"",""CRONUS JetCorp USA"",""32"",""1"",""167154"""</f>
        <v>"NAV Direct","CRONUS JetCorp USA","32","1","167154"</v>
      </c>
      <c r="H556" s="86">
        <v>43466</v>
      </c>
      <c r="I556" s="85">
        <v>167154</v>
      </c>
      <c r="J556" s="84" t="str">
        <f>"Vendor"</f>
        <v>Vendor</v>
      </c>
      <c r="K556" s="84" t="str">
        <f>"V100003"</f>
        <v>V100003</v>
      </c>
      <c r="L556" s="84" t="str">
        <f>IF($J556="Customer",_xll.NL("first",$J556,"Name","No.","@@"&amp;$K556),"")</f>
        <v/>
      </c>
      <c r="M556" s="84" t="str">
        <f>"LogoMasters"</f>
        <v>LogoMasters</v>
      </c>
      <c r="N556" s="84" t="str">
        <f>IF($J556="Item",_xll.NL("first",$J556,"Description","No.","@@"&amp;$K556),"")</f>
        <v/>
      </c>
      <c r="O556" s="83">
        <v>400</v>
      </c>
      <c r="P556" s="83">
        <v>0</v>
      </c>
      <c r="Q556" s="83">
        <v>0</v>
      </c>
      <c r="R556" s="83">
        <v>0</v>
      </c>
      <c r="S556" s="83">
        <v>0</v>
      </c>
      <c r="T556" s="83">
        <v>0</v>
      </c>
      <c r="U556" s="82"/>
    </row>
    <row r="557" spans="1:21" ht="17.25" customHeight="1" x14ac:dyDescent="0.3">
      <c r="A557" s="66" t="s">
        <v>30</v>
      </c>
      <c r="C557" s="67"/>
      <c r="D557" s="77"/>
      <c r="E557" s="77"/>
      <c r="F557" s="76"/>
      <c r="G557" s="76"/>
      <c r="H557" s="76"/>
      <c r="I557" s="76"/>
      <c r="J557" s="76"/>
      <c r="K557" s="76"/>
      <c r="L557" s="76"/>
      <c r="M557" s="76"/>
      <c r="N557" s="76"/>
      <c r="O557" s="75"/>
      <c r="P557" s="75"/>
      <c r="Q557" s="75"/>
      <c r="R557" s="75"/>
      <c r="S557" s="75"/>
      <c r="T557" s="75"/>
      <c r="U557" s="74"/>
    </row>
    <row r="558" spans="1:21" ht="17.25" customHeight="1" x14ac:dyDescent="0.3">
      <c r="A558" s="66" t="s">
        <v>30</v>
      </c>
      <c r="C558" s="67"/>
      <c r="D558" s="77"/>
      <c r="E558" s="77" t="s">
        <v>31</v>
      </c>
      <c r="F558" s="76" t="s">
        <v>31</v>
      </c>
      <c r="G558" s="76" t="s">
        <v>31</v>
      </c>
      <c r="H558" s="76"/>
      <c r="I558" s="76"/>
      <c r="J558" s="76" t="s">
        <v>31</v>
      </c>
      <c r="K558" s="76" t="s">
        <v>31</v>
      </c>
      <c r="L558" s="76" t="s">
        <v>31</v>
      </c>
      <c r="M558" s="76" t="s">
        <v>31</v>
      </c>
      <c r="N558" s="76"/>
      <c r="U558" s="81"/>
    </row>
    <row r="559" spans="1:21" ht="20.25" customHeight="1" x14ac:dyDescent="0.35">
      <c r="A559" s="66" t="s">
        <v>30</v>
      </c>
      <c r="C559" s="67"/>
      <c r="D559" s="92" t="str">
        <f t="shared" ref="D559" si="391">E559</f>
        <v>S100019</v>
      </c>
      <c r="E559" s="91" t="str">
        <f>"S100019"</f>
        <v>S100019</v>
      </c>
      <c r="F559" s="89" t="str">
        <f>"Sportsman Bucket Hat"</f>
        <v>Sportsman Bucket Hat</v>
      </c>
      <c r="G559" s="89"/>
      <c r="H559" s="90" t="str">
        <f>"EA"</f>
        <v>EA</v>
      </c>
      <c r="I559" s="89"/>
      <c r="J559" s="89"/>
      <c r="K559" s="89"/>
      <c r="L559" s="89"/>
      <c r="M559" s="89"/>
      <c r="N559" s="89"/>
      <c r="O559" s="88">
        <f>(SUBTOTAL(9,O560:O563))</f>
        <v>1200</v>
      </c>
      <c r="P559" s="88">
        <f>(SUBTOTAL(9,P560:P563))</f>
        <v>-145</v>
      </c>
      <c r="Q559" s="88">
        <f>(SUBTOTAL(9,Q560:Q563))</f>
        <v>0</v>
      </c>
      <c r="R559" s="88">
        <f>(SUBTOTAL(9,R560:R563))</f>
        <v>0</v>
      </c>
      <c r="S559" s="88">
        <f>(SUBTOTAL(9,S560:S563))</f>
        <v>0</v>
      </c>
      <c r="T559" s="88">
        <f>(SUBTOTAL(9,T560:T563))</f>
        <v>0</v>
      </c>
      <c r="U559" s="87">
        <f t="shared" ref="U559" si="392">SUBTOTAL(9,O560:T563)</f>
        <v>1055</v>
      </c>
    </row>
    <row r="560" spans="1:21" ht="17.25" customHeight="1" x14ac:dyDescent="0.3">
      <c r="A560" s="66" t="s">
        <v>30</v>
      </c>
      <c r="C560" s="67"/>
      <c r="D560" s="77" t="str">
        <f t="shared" ref="D560" si="393">D559</f>
        <v>S100019</v>
      </c>
      <c r="E560" s="77"/>
      <c r="F560" s="76"/>
      <c r="G560" s="76" t="str">
        <f>"""NAV Direct"",""CRONUS JetCorp USA"",""32"",""1"",""167153"""</f>
        <v>"NAV Direct","CRONUS JetCorp USA","32","1","167153"</v>
      </c>
      <c r="H560" s="86">
        <v>43466</v>
      </c>
      <c r="I560" s="85">
        <v>167153</v>
      </c>
      <c r="J560" s="84" t="str">
        <f>"Vendor"</f>
        <v>Vendor</v>
      </c>
      <c r="K560" s="84" t="str">
        <f>"V100003"</f>
        <v>V100003</v>
      </c>
      <c r="L560" s="84" t="str">
        <f>IF($J560="Customer",_xll.NL("first",$J560,"Name","No.","@@"&amp;$K560),"")</f>
        <v/>
      </c>
      <c r="M560" s="84" t="str">
        <f>"LogoMasters"</f>
        <v>LogoMasters</v>
      </c>
      <c r="N560" s="84" t="str">
        <f>IF($J560="Item",_xll.NL("first",$J560,"Description","No.","@@"&amp;$K560),"")</f>
        <v/>
      </c>
      <c r="O560" s="83">
        <v>1200</v>
      </c>
      <c r="P560" s="83">
        <v>0</v>
      </c>
      <c r="Q560" s="83">
        <v>0</v>
      </c>
      <c r="R560" s="83">
        <v>0</v>
      </c>
      <c r="S560" s="83">
        <v>0</v>
      </c>
      <c r="T560" s="83">
        <v>0</v>
      </c>
      <c r="U560" s="82"/>
    </row>
    <row r="561" spans="1:21" ht="17.25" customHeight="1" x14ac:dyDescent="0.3">
      <c r="A561" s="66" t="s">
        <v>30</v>
      </c>
      <c r="C561" s="67"/>
      <c r="D561" s="77" t="str">
        <f t="shared" ref="D561:D562" si="394">D560</f>
        <v>S100019</v>
      </c>
      <c r="E561" s="77"/>
      <c r="F561" s="76"/>
      <c r="G561" s="76" t="str">
        <f>"""NAV Direct"",""CRONUS JetCorp USA"",""32"",""1"",""30042"""</f>
        <v>"NAV Direct","CRONUS JetCorp USA","32","1","30042"</v>
      </c>
      <c r="H561" s="86">
        <v>43471</v>
      </c>
      <c r="I561" s="85">
        <v>30042</v>
      </c>
      <c r="J561" s="84" t="str">
        <f>"Customer"</f>
        <v>Customer</v>
      </c>
      <c r="K561" s="84" t="str">
        <f>"C100012"</f>
        <v>C100012</v>
      </c>
      <c r="L561" s="84" t="str">
        <f>IF($J561="Customer",_xll.NL("first",$J561,"Name","No.","@@"&amp;$K561),"")</f>
        <v>Bainbridges</v>
      </c>
      <c r="M561" s="84" t="str">
        <f>""</f>
        <v/>
      </c>
      <c r="N561" s="84" t="str">
        <f>IF($J561="Item",_xll.NL("first",$J561,"Description","No.","@@"&amp;$K561),"")</f>
        <v/>
      </c>
      <c r="O561" s="83">
        <v>0</v>
      </c>
      <c r="P561" s="83">
        <v>-1</v>
      </c>
      <c r="Q561" s="83">
        <v>0</v>
      </c>
      <c r="R561" s="83">
        <v>0</v>
      </c>
      <c r="S561" s="83">
        <v>0</v>
      </c>
      <c r="T561" s="83">
        <v>0</v>
      </c>
      <c r="U561" s="82"/>
    </row>
    <row r="562" spans="1:21" ht="17.25" customHeight="1" x14ac:dyDescent="0.3">
      <c r="A562" s="66" t="s">
        <v>30</v>
      </c>
      <c r="C562" s="67"/>
      <c r="D562" s="77" t="str">
        <f t="shared" si="394"/>
        <v>S100019</v>
      </c>
      <c r="E562" s="77"/>
      <c r="F562" s="76"/>
      <c r="G562" s="76" t="str">
        <f>"""NAV Direct"",""CRONUS JetCorp USA"",""32"",""1"",""30112"""</f>
        <v>"NAV Direct","CRONUS JetCorp USA","32","1","30112"</v>
      </c>
      <c r="H562" s="86">
        <v>43475</v>
      </c>
      <c r="I562" s="85">
        <v>30112</v>
      </c>
      <c r="J562" s="84" t="str">
        <f>"Customer"</f>
        <v>Customer</v>
      </c>
      <c r="K562" s="84" t="str">
        <f>"C100012"</f>
        <v>C100012</v>
      </c>
      <c r="L562" s="84" t="str">
        <f>IF($J562="Customer",_xll.NL("first",$J562,"Name","No.","@@"&amp;$K562),"")</f>
        <v>Bainbridges</v>
      </c>
      <c r="M562" s="84" t="str">
        <f>""</f>
        <v/>
      </c>
      <c r="N562" s="84" t="str">
        <f>IF($J562="Item",_xll.NL("first",$J562,"Description","No.","@@"&amp;$K562),"")</f>
        <v/>
      </c>
      <c r="O562" s="83">
        <v>0</v>
      </c>
      <c r="P562" s="83">
        <v>-144</v>
      </c>
      <c r="Q562" s="83">
        <v>0</v>
      </c>
      <c r="R562" s="83">
        <v>0</v>
      </c>
      <c r="S562" s="83">
        <v>0</v>
      </c>
      <c r="T562" s="83">
        <v>0</v>
      </c>
      <c r="U562" s="82"/>
    </row>
    <row r="563" spans="1:21" ht="17.25" customHeight="1" x14ac:dyDescent="0.3">
      <c r="A563" s="66" t="s">
        <v>30</v>
      </c>
      <c r="C563" s="67"/>
      <c r="D563" s="77"/>
      <c r="E563" s="77"/>
      <c r="F563" s="76"/>
      <c r="G563" s="76"/>
      <c r="H563" s="76"/>
      <c r="I563" s="76"/>
      <c r="J563" s="76"/>
      <c r="K563" s="76"/>
      <c r="L563" s="76"/>
      <c r="M563" s="76"/>
      <c r="N563" s="76"/>
      <c r="O563" s="75"/>
      <c r="P563" s="75"/>
      <c r="Q563" s="75"/>
      <c r="R563" s="75"/>
      <c r="S563" s="75"/>
      <c r="T563" s="75"/>
      <c r="U563" s="74"/>
    </row>
    <row r="564" spans="1:21" ht="17.25" customHeight="1" x14ac:dyDescent="0.3">
      <c r="A564" s="66" t="s">
        <v>30</v>
      </c>
      <c r="C564" s="67"/>
      <c r="D564" s="77"/>
      <c r="E564" s="77" t="s">
        <v>31</v>
      </c>
      <c r="F564" s="76" t="s">
        <v>31</v>
      </c>
      <c r="G564" s="76" t="s">
        <v>31</v>
      </c>
      <c r="H564" s="76"/>
      <c r="I564" s="76"/>
      <c r="J564" s="76" t="s">
        <v>31</v>
      </c>
      <c r="K564" s="76" t="s">
        <v>31</v>
      </c>
      <c r="L564" s="76" t="s">
        <v>31</v>
      </c>
      <c r="M564" s="76" t="s">
        <v>31</v>
      </c>
      <c r="N564" s="76"/>
      <c r="U564" s="81"/>
    </row>
    <row r="565" spans="1:21" ht="20.25" customHeight="1" x14ac:dyDescent="0.35">
      <c r="A565" s="66" t="s">
        <v>30</v>
      </c>
      <c r="C565" s="67"/>
      <c r="D565" s="92" t="str">
        <f t="shared" ref="D565" si="395">E565</f>
        <v>S100020</v>
      </c>
      <c r="E565" s="91" t="str">
        <f>"S100020"</f>
        <v>S100020</v>
      </c>
      <c r="F565" s="89" t="str">
        <f>"Super Sport Stopwatch"</f>
        <v>Super Sport Stopwatch</v>
      </c>
      <c r="G565" s="89"/>
      <c r="H565" s="90" t="str">
        <f>"EA"</f>
        <v>EA</v>
      </c>
      <c r="I565" s="89"/>
      <c r="J565" s="89"/>
      <c r="K565" s="89"/>
      <c r="L565" s="89"/>
      <c r="M565" s="89"/>
      <c r="N565" s="89"/>
      <c r="O565" s="88">
        <f>(SUBTOTAL(9,O566:O569))</f>
        <v>1800</v>
      </c>
      <c r="P565" s="88">
        <f>(SUBTOTAL(9,P566:P569))</f>
        <v>-438</v>
      </c>
      <c r="Q565" s="88">
        <f>(SUBTOTAL(9,Q566:Q569))</f>
        <v>0</v>
      </c>
      <c r="R565" s="88">
        <f>(SUBTOTAL(9,R566:R569))</f>
        <v>0</v>
      </c>
      <c r="S565" s="88">
        <f>(SUBTOTAL(9,S566:S569))</f>
        <v>0</v>
      </c>
      <c r="T565" s="88">
        <f>(SUBTOTAL(9,T566:T569))</f>
        <v>0</v>
      </c>
      <c r="U565" s="87">
        <f t="shared" ref="U565" si="396">SUBTOTAL(9,O566:T569)</f>
        <v>1362</v>
      </c>
    </row>
    <row r="566" spans="1:21" ht="17.25" customHeight="1" x14ac:dyDescent="0.3">
      <c r="A566" s="66" t="s">
        <v>30</v>
      </c>
      <c r="C566" s="67"/>
      <c r="D566" s="77" t="str">
        <f t="shared" ref="D566" si="397">D565</f>
        <v>S100020</v>
      </c>
      <c r="E566" s="77"/>
      <c r="F566" s="76"/>
      <c r="G566" s="76" t="str">
        <f>"""NAV Direct"",""CRONUS JetCorp USA"",""32"",""1"",""167598"""</f>
        <v>"NAV Direct","CRONUS JetCorp USA","32","1","167598"</v>
      </c>
      <c r="H566" s="86">
        <v>43466</v>
      </c>
      <c r="I566" s="85">
        <v>167598</v>
      </c>
      <c r="J566" s="84" t="str">
        <f>"Vendor"</f>
        <v>Vendor</v>
      </c>
      <c r="K566" s="84" t="str">
        <f>"V100003"</f>
        <v>V100003</v>
      </c>
      <c r="L566" s="84" t="str">
        <f>IF($J566="Customer",_xll.NL("first",$J566,"Name","No.","@@"&amp;$K566),"")</f>
        <v/>
      </c>
      <c r="M566" s="84" t="str">
        <f>"LogoMasters"</f>
        <v>LogoMasters</v>
      </c>
      <c r="N566" s="84" t="str">
        <f>IF($J566="Item",_xll.NL("first",$J566,"Description","No.","@@"&amp;$K566),"")</f>
        <v/>
      </c>
      <c r="O566" s="83">
        <v>1800</v>
      </c>
      <c r="P566" s="83">
        <v>0</v>
      </c>
      <c r="Q566" s="83">
        <v>0</v>
      </c>
      <c r="R566" s="83">
        <v>0</v>
      </c>
      <c r="S566" s="83">
        <v>0</v>
      </c>
      <c r="T566" s="83">
        <v>0</v>
      </c>
      <c r="U566" s="82"/>
    </row>
    <row r="567" spans="1:21" ht="17.25" customHeight="1" x14ac:dyDescent="0.3">
      <c r="A567" s="66" t="s">
        <v>30</v>
      </c>
      <c r="C567" s="67"/>
      <c r="D567" s="77" t="str">
        <f t="shared" ref="D567:D568" si="398">D566</f>
        <v>S100020</v>
      </c>
      <c r="E567" s="77"/>
      <c r="F567" s="76"/>
      <c r="G567" s="76" t="str">
        <f>"""NAV Direct"",""CRONUS JetCorp USA"",""32"",""1"",""30038"""</f>
        <v>"NAV Direct","CRONUS JetCorp USA","32","1","30038"</v>
      </c>
      <c r="H567" s="86">
        <v>43471</v>
      </c>
      <c r="I567" s="85">
        <v>30038</v>
      </c>
      <c r="J567" s="84" t="str">
        <f>"Customer"</f>
        <v>Customer</v>
      </c>
      <c r="K567" s="84" t="str">
        <f>"C100012"</f>
        <v>C100012</v>
      </c>
      <c r="L567" s="84" t="str">
        <f>IF($J567="Customer",_xll.NL("first",$J567,"Name","No.","@@"&amp;$K567),"")</f>
        <v>Bainbridges</v>
      </c>
      <c r="M567" s="84" t="str">
        <f>""</f>
        <v/>
      </c>
      <c r="N567" s="84" t="str">
        <f>IF($J567="Item",_xll.NL("first",$J567,"Description","No.","@@"&amp;$K567),"")</f>
        <v/>
      </c>
      <c r="O567" s="83">
        <v>0</v>
      </c>
      <c r="P567" s="83">
        <v>-150</v>
      </c>
      <c r="Q567" s="83">
        <v>0</v>
      </c>
      <c r="R567" s="83">
        <v>0</v>
      </c>
      <c r="S567" s="83">
        <v>0</v>
      </c>
      <c r="T567" s="83">
        <v>0</v>
      </c>
      <c r="U567" s="82"/>
    </row>
    <row r="568" spans="1:21" ht="17.25" customHeight="1" x14ac:dyDescent="0.3">
      <c r="A568" s="66" t="s">
        <v>30</v>
      </c>
      <c r="C568" s="67"/>
      <c r="D568" s="77" t="str">
        <f t="shared" si="398"/>
        <v>S100020</v>
      </c>
      <c r="E568" s="77"/>
      <c r="F568" s="76"/>
      <c r="G568" s="76" t="str">
        <f>"""NAV Direct"",""CRONUS JetCorp USA"",""32"",""1"",""30113"""</f>
        <v>"NAV Direct","CRONUS JetCorp USA","32","1","30113"</v>
      </c>
      <c r="H568" s="86">
        <v>43475</v>
      </c>
      <c r="I568" s="85">
        <v>30113</v>
      </c>
      <c r="J568" s="84" t="str">
        <f>"Customer"</f>
        <v>Customer</v>
      </c>
      <c r="K568" s="84" t="str">
        <f>"C100012"</f>
        <v>C100012</v>
      </c>
      <c r="L568" s="84" t="str">
        <f>IF($J568="Customer",_xll.NL("first",$J568,"Name","No.","@@"&amp;$K568),"")</f>
        <v>Bainbridges</v>
      </c>
      <c r="M568" s="84" t="str">
        <f>""</f>
        <v/>
      </c>
      <c r="N568" s="84" t="str">
        <f>IF($J568="Item",_xll.NL("first",$J568,"Description","No.","@@"&amp;$K568),"")</f>
        <v/>
      </c>
      <c r="O568" s="83">
        <v>0</v>
      </c>
      <c r="P568" s="83">
        <v>-288</v>
      </c>
      <c r="Q568" s="83">
        <v>0</v>
      </c>
      <c r="R568" s="83">
        <v>0</v>
      </c>
      <c r="S568" s="83">
        <v>0</v>
      </c>
      <c r="T568" s="83">
        <v>0</v>
      </c>
      <c r="U568" s="82"/>
    </row>
    <row r="569" spans="1:21" ht="17.25" customHeight="1" x14ac:dyDescent="0.3">
      <c r="A569" s="66" t="s">
        <v>30</v>
      </c>
      <c r="C569" s="67"/>
      <c r="D569" s="77"/>
      <c r="E569" s="77"/>
      <c r="F569" s="76"/>
      <c r="G569" s="76"/>
      <c r="H569" s="76"/>
      <c r="I569" s="76"/>
      <c r="J569" s="76"/>
      <c r="K569" s="76"/>
      <c r="L569" s="76"/>
      <c r="M569" s="76"/>
      <c r="N569" s="76"/>
      <c r="O569" s="75"/>
      <c r="P569" s="75"/>
      <c r="Q569" s="75"/>
      <c r="R569" s="75"/>
      <c r="S569" s="75"/>
      <c r="T569" s="75"/>
      <c r="U569" s="74"/>
    </row>
    <row r="570" spans="1:21" ht="17.25" customHeight="1" x14ac:dyDescent="0.3">
      <c r="A570" s="66" t="s">
        <v>30</v>
      </c>
      <c r="C570" s="67"/>
      <c r="D570" s="77"/>
      <c r="E570" s="77" t="s">
        <v>31</v>
      </c>
      <c r="F570" s="76" t="s">
        <v>31</v>
      </c>
      <c r="G570" s="76" t="s">
        <v>31</v>
      </c>
      <c r="H570" s="76"/>
      <c r="I570" s="76"/>
      <c r="J570" s="76" t="s">
        <v>31</v>
      </c>
      <c r="K570" s="76" t="s">
        <v>31</v>
      </c>
      <c r="L570" s="76" t="s">
        <v>31</v>
      </c>
      <c r="M570" s="76" t="s">
        <v>31</v>
      </c>
      <c r="N570" s="76"/>
      <c r="U570" s="81"/>
    </row>
    <row r="571" spans="1:21" ht="20.25" customHeight="1" x14ac:dyDescent="0.35">
      <c r="A571" s="66" t="s">
        <v>30</v>
      </c>
      <c r="C571" s="67"/>
      <c r="D571" s="92" t="str">
        <f t="shared" ref="D571" si="399">E571</f>
        <v>S100021</v>
      </c>
      <c r="E571" s="91" t="str">
        <f>"S100021"</f>
        <v>S100021</v>
      </c>
      <c r="F571" s="89" t="str">
        <f>"Translucent Stopwatch"</f>
        <v>Translucent Stopwatch</v>
      </c>
      <c r="G571" s="89"/>
      <c r="H571" s="90" t="str">
        <f>"EA"</f>
        <v>EA</v>
      </c>
      <c r="I571" s="89"/>
      <c r="J571" s="89"/>
      <c r="K571" s="89"/>
      <c r="L571" s="89"/>
      <c r="M571" s="89"/>
      <c r="N571" s="89"/>
      <c r="O571" s="88">
        <f>(SUBTOTAL(9,O572:O574))</f>
        <v>999.99999999999989</v>
      </c>
      <c r="P571" s="88">
        <f>(SUBTOTAL(9,P572:P574))</f>
        <v>-144</v>
      </c>
      <c r="Q571" s="88">
        <f>(SUBTOTAL(9,Q572:Q574))</f>
        <v>0</v>
      </c>
      <c r="R571" s="88">
        <f>(SUBTOTAL(9,R572:R574))</f>
        <v>0</v>
      </c>
      <c r="S571" s="88">
        <f>(SUBTOTAL(9,S572:S574))</f>
        <v>0</v>
      </c>
      <c r="T571" s="88">
        <f>(SUBTOTAL(9,T572:T574))</f>
        <v>0</v>
      </c>
      <c r="U571" s="87">
        <f t="shared" ref="U571" si="400">SUBTOTAL(9,O572:T574)</f>
        <v>855.99999999999989</v>
      </c>
    </row>
    <row r="572" spans="1:21" ht="17.25" customHeight="1" x14ac:dyDescent="0.3">
      <c r="A572" s="66" t="s">
        <v>30</v>
      </c>
      <c r="C572" s="67"/>
      <c r="D572" s="77" t="str">
        <f t="shared" ref="D572" si="401">D571</f>
        <v>S100021</v>
      </c>
      <c r="E572" s="77"/>
      <c r="F572" s="76"/>
      <c r="G572" s="76" t="str">
        <f>"""NAV Direct"",""CRONUS JetCorp USA"",""32"",""1"",""167597"""</f>
        <v>"NAV Direct","CRONUS JetCorp USA","32","1","167597"</v>
      </c>
      <c r="H572" s="86">
        <v>43466</v>
      </c>
      <c r="I572" s="85">
        <v>167597</v>
      </c>
      <c r="J572" s="84" t="str">
        <f>"Vendor"</f>
        <v>Vendor</v>
      </c>
      <c r="K572" s="84" t="str">
        <f>"V100003"</f>
        <v>V100003</v>
      </c>
      <c r="L572" s="84" t="str">
        <f>IF($J572="Customer",_xll.NL("first",$J572,"Name","No.","@@"&amp;$K572),"")</f>
        <v/>
      </c>
      <c r="M572" s="84" t="str">
        <f>"LogoMasters"</f>
        <v>LogoMasters</v>
      </c>
      <c r="N572" s="84" t="str">
        <f>IF($J572="Item",_xll.NL("first",$J572,"Description","No.","@@"&amp;$K572),"")</f>
        <v/>
      </c>
      <c r="O572" s="83">
        <v>999.99999999999989</v>
      </c>
      <c r="P572" s="83">
        <v>0</v>
      </c>
      <c r="Q572" s="83">
        <v>0</v>
      </c>
      <c r="R572" s="83">
        <v>0</v>
      </c>
      <c r="S572" s="83">
        <v>0</v>
      </c>
      <c r="T572" s="83">
        <v>0</v>
      </c>
      <c r="U572" s="82"/>
    </row>
    <row r="573" spans="1:21" ht="17.25" customHeight="1" x14ac:dyDescent="0.3">
      <c r="A573" s="66" t="s">
        <v>30</v>
      </c>
      <c r="C573" s="67"/>
      <c r="D573" s="77" t="str">
        <f t="shared" ref="D573" si="402">D572</f>
        <v>S100021</v>
      </c>
      <c r="E573" s="77"/>
      <c r="F573" s="76"/>
      <c r="G573" s="76" t="str">
        <f>"""NAV Direct"",""CRONUS JetCorp USA"",""32"",""1"",""30114"""</f>
        <v>"NAV Direct","CRONUS JetCorp USA","32","1","30114"</v>
      </c>
      <c r="H573" s="86">
        <v>43475</v>
      </c>
      <c r="I573" s="85">
        <v>30114</v>
      </c>
      <c r="J573" s="84" t="str">
        <f>"Customer"</f>
        <v>Customer</v>
      </c>
      <c r="K573" s="84" t="str">
        <f>"C100012"</f>
        <v>C100012</v>
      </c>
      <c r="L573" s="84" t="str">
        <f>IF($J573="Customer",_xll.NL("first",$J573,"Name","No.","@@"&amp;$K573),"")</f>
        <v>Bainbridges</v>
      </c>
      <c r="M573" s="84" t="str">
        <f>""</f>
        <v/>
      </c>
      <c r="N573" s="84" t="str">
        <f>IF($J573="Item",_xll.NL("first",$J573,"Description","No.","@@"&amp;$K573),"")</f>
        <v/>
      </c>
      <c r="O573" s="83">
        <v>0</v>
      </c>
      <c r="P573" s="83">
        <v>-144</v>
      </c>
      <c r="Q573" s="83">
        <v>0</v>
      </c>
      <c r="R573" s="83">
        <v>0</v>
      </c>
      <c r="S573" s="83">
        <v>0</v>
      </c>
      <c r="T573" s="83">
        <v>0</v>
      </c>
      <c r="U573" s="82"/>
    </row>
    <row r="574" spans="1:21" ht="17.25" customHeight="1" x14ac:dyDescent="0.3">
      <c r="A574" s="66" t="s">
        <v>30</v>
      </c>
      <c r="C574" s="67"/>
      <c r="D574" s="77"/>
      <c r="E574" s="77"/>
      <c r="F574" s="76"/>
      <c r="G574" s="76"/>
      <c r="H574" s="76"/>
      <c r="I574" s="76"/>
      <c r="J574" s="76"/>
      <c r="K574" s="76"/>
      <c r="L574" s="76"/>
      <c r="M574" s="76"/>
      <c r="N574" s="76"/>
      <c r="O574" s="75"/>
      <c r="P574" s="75"/>
      <c r="Q574" s="75"/>
      <c r="R574" s="75"/>
      <c r="S574" s="75"/>
      <c r="T574" s="75"/>
      <c r="U574" s="74"/>
    </row>
    <row r="575" spans="1:21" ht="17.25" customHeight="1" x14ac:dyDescent="0.3">
      <c r="A575" s="66" t="s">
        <v>30</v>
      </c>
      <c r="C575" s="67"/>
      <c r="D575" s="77"/>
      <c r="E575" s="77" t="s">
        <v>31</v>
      </c>
      <c r="F575" s="76" t="s">
        <v>31</v>
      </c>
      <c r="G575" s="76" t="s">
        <v>31</v>
      </c>
      <c r="H575" s="76"/>
      <c r="I575" s="76"/>
      <c r="J575" s="76" t="s">
        <v>31</v>
      </c>
      <c r="K575" s="76" t="s">
        <v>31</v>
      </c>
      <c r="L575" s="76" t="s">
        <v>31</v>
      </c>
      <c r="M575" s="76" t="s">
        <v>31</v>
      </c>
      <c r="N575" s="76"/>
      <c r="U575" s="81"/>
    </row>
    <row r="576" spans="1:21" ht="20.25" customHeight="1" x14ac:dyDescent="0.35">
      <c r="A576" s="66" t="s">
        <v>30</v>
      </c>
      <c r="C576" s="67"/>
      <c r="D576" s="92" t="str">
        <f t="shared" ref="D576" si="403">E576</f>
        <v>S100023</v>
      </c>
      <c r="E576" s="91" t="str">
        <f>"S100023"</f>
        <v>S100023</v>
      </c>
      <c r="F576" s="89" t="str">
        <f>"Gripper SPORT BOT"</f>
        <v>Gripper SPORT BOT</v>
      </c>
      <c r="G576" s="89"/>
      <c r="H576" s="90" t="str">
        <f>"EA"</f>
        <v>EA</v>
      </c>
      <c r="I576" s="89"/>
      <c r="J576" s="89"/>
      <c r="K576" s="89"/>
      <c r="L576" s="89"/>
      <c r="M576" s="89"/>
      <c r="N576" s="89"/>
      <c r="O576" s="88">
        <f>(SUBTOTAL(9,O577:O578))</f>
        <v>999.99999999999989</v>
      </c>
      <c r="P576" s="88">
        <f>(SUBTOTAL(9,P577:P578))</f>
        <v>0</v>
      </c>
      <c r="Q576" s="88">
        <f>(SUBTOTAL(9,Q577:Q578))</f>
        <v>0</v>
      </c>
      <c r="R576" s="88">
        <f>(SUBTOTAL(9,R577:R578))</f>
        <v>0</v>
      </c>
      <c r="S576" s="88">
        <f>(SUBTOTAL(9,S577:S578))</f>
        <v>0</v>
      </c>
      <c r="T576" s="88">
        <f>(SUBTOTAL(9,T577:T578))</f>
        <v>0</v>
      </c>
      <c r="U576" s="87">
        <f t="shared" ref="U576" si="404">SUBTOTAL(9,O577:T578)</f>
        <v>999.99999999999989</v>
      </c>
    </row>
    <row r="577" spans="1:21" ht="17.25" customHeight="1" x14ac:dyDescent="0.3">
      <c r="A577" s="66" t="s">
        <v>30</v>
      </c>
      <c r="C577" s="67"/>
      <c r="D577" s="77" t="str">
        <f t="shared" ref="D577:D615" si="405">D576</f>
        <v>S100023</v>
      </c>
      <c r="E577" s="77"/>
      <c r="F577" s="76"/>
      <c r="G577" s="76" t="str">
        <f>"""NAV Direct"",""CRONUS JetCorp USA"",""32"",""1"",""168656"""</f>
        <v>"NAV Direct","CRONUS JetCorp USA","32","1","168656"</v>
      </c>
      <c r="H577" s="86">
        <v>43466</v>
      </c>
      <c r="I577" s="85">
        <v>168656</v>
      </c>
      <c r="J577" s="84" t="str">
        <f>"Vendor"</f>
        <v>Vendor</v>
      </c>
      <c r="K577" s="84" t="str">
        <f>"V100003"</f>
        <v>V100003</v>
      </c>
      <c r="L577" s="84" t="str">
        <f>IF($J577="Customer",_xll.NL("first",$J577,"Name","No.","@@"&amp;$K577),"")</f>
        <v/>
      </c>
      <c r="M577" s="84" t="str">
        <f>"LogoMasters"</f>
        <v>LogoMasters</v>
      </c>
      <c r="N577" s="84" t="str">
        <f>IF($J577="Item",_xll.NL("first",$J577,"Description","No.","@@"&amp;$K577),"")</f>
        <v/>
      </c>
      <c r="O577" s="83">
        <v>999.99999999999989</v>
      </c>
      <c r="P577" s="83">
        <v>0</v>
      </c>
      <c r="Q577" s="83">
        <v>0</v>
      </c>
      <c r="R577" s="83">
        <v>0</v>
      </c>
      <c r="S577" s="83">
        <v>0</v>
      </c>
      <c r="T577" s="83">
        <v>0</v>
      </c>
      <c r="U577" s="82"/>
    </row>
    <row r="578" spans="1:21" ht="17.25" customHeight="1" x14ac:dyDescent="0.3">
      <c r="A578" s="66" t="s">
        <v>30</v>
      </c>
      <c r="C578" s="67"/>
      <c r="D578" s="77"/>
      <c r="E578" s="77"/>
      <c r="F578" s="76"/>
      <c r="G578" s="76"/>
      <c r="H578" s="76"/>
      <c r="I578" s="76"/>
      <c r="J578" s="76"/>
      <c r="K578" s="76"/>
      <c r="L578" s="76"/>
      <c r="M578" s="76"/>
      <c r="N578" s="76"/>
      <c r="O578" s="75"/>
      <c r="P578" s="75"/>
      <c r="Q578" s="75"/>
      <c r="R578" s="75"/>
      <c r="S578" s="75"/>
      <c r="T578" s="75"/>
      <c r="U578" s="74"/>
    </row>
    <row r="579" spans="1:21" ht="17.25" customHeight="1" x14ac:dyDescent="0.3">
      <c r="A579" s="66" t="s">
        <v>30</v>
      </c>
      <c r="C579" s="67"/>
      <c r="D579" s="77"/>
      <c r="E579" s="77" t="s">
        <v>31</v>
      </c>
      <c r="F579" s="76" t="s">
        <v>31</v>
      </c>
      <c r="G579" s="76" t="s">
        <v>31</v>
      </c>
      <c r="H579" s="76"/>
      <c r="I579" s="76"/>
      <c r="J579" s="76" t="s">
        <v>31</v>
      </c>
      <c r="K579" s="76" t="s">
        <v>31</v>
      </c>
      <c r="L579" s="76" t="s">
        <v>31</v>
      </c>
      <c r="M579" s="76" t="s">
        <v>31</v>
      </c>
      <c r="N579" s="76"/>
      <c r="U579" s="81"/>
    </row>
    <row r="580" spans="1:21" ht="20.25" customHeight="1" x14ac:dyDescent="0.35">
      <c r="A580" s="66" t="s">
        <v>30</v>
      </c>
      <c r="C580" s="67"/>
      <c r="D580" s="92" t="str">
        <f t="shared" ref="D580" si="406">E580</f>
        <v>S100024</v>
      </c>
      <c r="E580" s="91" t="str">
        <f>"S100024"</f>
        <v>S100024</v>
      </c>
      <c r="F580" s="89" t="str">
        <f>"Aluminum SPORT BOT"</f>
        <v>Aluminum SPORT BOT</v>
      </c>
      <c r="G580" s="89"/>
      <c r="H580" s="90" t="str">
        <f>"EA"</f>
        <v>EA</v>
      </c>
      <c r="I580" s="89"/>
      <c r="J580" s="89"/>
      <c r="K580" s="89"/>
      <c r="L580" s="89"/>
      <c r="M580" s="89"/>
      <c r="N580" s="89"/>
      <c r="O580" s="88">
        <f>(SUBTOTAL(9,O581:O582))</f>
        <v>999.99999999999989</v>
      </c>
      <c r="P580" s="88">
        <f>(SUBTOTAL(9,P581:P582))</f>
        <v>0</v>
      </c>
      <c r="Q580" s="88">
        <f>(SUBTOTAL(9,Q581:Q582))</f>
        <v>0</v>
      </c>
      <c r="R580" s="88">
        <f>(SUBTOTAL(9,R581:R582))</f>
        <v>0</v>
      </c>
      <c r="S580" s="88">
        <f>(SUBTOTAL(9,S581:S582))</f>
        <v>0</v>
      </c>
      <c r="T580" s="88">
        <f>(SUBTOTAL(9,T581:T582))</f>
        <v>0</v>
      </c>
      <c r="U580" s="87">
        <f t="shared" ref="U580" si="407">SUBTOTAL(9,O581:T582)</f>
        <v>999.99999999999989</v>
      </c>
    </row>
    <row r="581" spans="1:21" ht="17.25" customHeight="1" x14ac:dyDescent="0.3">
      <c r="A581" s="66" t="s">
        <v>30</v>
      </c>
      <c r="C581" s="67"/>
      <c r="D581" s="77" t="str">
        <f t="shared" ref="D581:D615" si="408">D580</f>
        <v>S100024</v>
      </c>
      <c r="E581" s="77"/>
      <c r="F581" s="76"/>
      <c r="G581" s="76" t="str">
        <f>"""NAV Direct"",""CRONUS JetCorp USA"",""32"",""1"",""168655"""</f>
        <v>"NAV Direct","CRONUS JetCorp USA","32","1","168655"</v>
      </c>
      <c r="H581" s="86">
        <v>43466</v>
      </c>
      <c r="I581" s="85">
        <v>168655</v>
      </c>
      <c r="J581" s="84" t="str">
        <f>"Vendor"</f>
        <v>Vendor</v>
      </c>
      <c r="K581" s="84" t="str">
        <f>"V100003"</f>
        <v>V100003</v>
      </c>
      <c r="L581" s="84" t="str">
        <f>IF($J581="Customer",_xll.NL("first",$J581,"Name","No.","@@"&amp;$K581),"")</f>
        <v/>
      </c>
      <c r="M581" s="84" t="str">
        <f>"LogoMasters"</f>
        <v>LogoMasters</v>
      </c>
      <c r="N581" s="84" t="str">
        <f>IF($J581="Item",_xll.NL("first",$J581,"Description","No.","@@"&amp;$K581),"")</f>
        <v/>
      </c>
      <c r="O581" s="83">
        <v>999.99999999999989</v>
      </c>
      <c r="P581" s="83">
        <v>0</v>
      </c>
      <c r="Q581" s="83">
        <v>0</v>
      </c>
      <c r="R581" s="83">
        <v>0</v>
      </c>
      <c r="S581" s="83">
        <v>0</v>
      </c>
      <c r="T581" s="83">
        <v>0</v>
      </c>
      <c r="U581" s="82"/>
    </row>
    <row r="582" spans="1:21" ht="17.25" customHeight="1" x14ac:dyDescent="0.3">
      <c r="A582" s="66" t="s">
        <v>30</v>
      </c>
      <c r="C582" s="67"/>
      <c r="D582" s="77"/>
      <c r="E582" s="77"/>
      <c r="F582" s="76"/>
      <c r="G582" s="76"/>
      <c r="H582" s="76"/>
      <c r="I582" s="76"/>
      <c r="J582" s="76"/>
      <c r="K582" s="76"/>
      <c r="L582" s="76"/>
      <c r="M582" s="76"/>
      <c r="N582" s="76"/>
      <c r="O582" s="75"/>
      <c r="P582" s="75"/>
      <c r="Q582" s="75"/>
      <c r="R582" s="75"/>
      <c r="S582" s="75"/>
      <c r="T582" s="75"/>
      <c r="U582" s="74"/>
    </row>
    <row r="583" spans="1:21" ht="17.25" customHeight="1" x14ac:dyDescent="0.3">
      <c r="A583" s="66" t="s">
        <v>30</v>
      </c>
      <c r="C583" s="67"/>
      <c r="D583" s="77"/>
      <c r="E583" s="77" t="s">
        <v>31</v>
      </c>
      <c r="F583" s="76" t="s">
        <v>31</v>
      </c>
      <c r="G583" s="76" t="s">
        <v>31</v>
      </c>
      <c r="H583" s="76"/>
      <c r="I583" s="76"/>
      <c r="J583" s="76" t="s">
        <v>31</v>
      </c>
      <c r="K583" s="76" t="s">
        <v>31</v>
      </c>
      <c r="L583" s="76" t="s">
        <v>31</v>
      </c>
      <c r="M583" s="76" t="s">
        <v>31</v>
      </c>
      <c r="N583" s="76"/>
      <c r="U583" s="81"/>
    </row>
    <row r="584" spans="1:21" ht="20.25" customHeight="1" x14ac:dyDescent="0.35">
      <c r="A584" s="66" t="s">
        <v>30</v>
      </c>
      <c r="C584" s="67"/>
      <c r="D584" s="92" t="str">
        <f t="shared" ref="D584" si="409">E584</f>
        <v>S100025</v>
      </c>
      <c r="E584" s="91" t="str">
        <f>"S100025"</f>
        <v>S100025</v>
      </c>
      <c r="F584" s="89" t="str">
        <f>"SPORT BOT with Pop Lid"</f>
        <v>SPORT BOT with Pop Lid</v>
      </c>
      <c r="G584" s="89"/>
      <c r="H584" s="90" t="str">
        <f>"EA"</f>
        <v>EA</v>
      </c>
      <c r="I584" s="89"/>
      <c r="J584" s="89"/>
      <c r="K584" s="89"/>
      <c r="L584" s="89"/>
      <c r="M584" s="89"/>
      <c r="N584" s="89"/>
      <c r="O584" s="88">
        <f>(SUBTOTAL(9,O585:O586))</f>
        <v>999.99999999999989</v>
      </c>
      <c r="P584" s="88">
        <f>(SUBTOTAL(9,P585:P586))</f>
        <v>0</v>
      </c>
      <c r="Q584" s="88">
        <f>(SUBTOTAL(9,Q585:Q586))</f>
        <v>0</v>
      </c>
      <c r="R584" s="88">
        <f>(SUBTOTAL(9,R585:R586))</f>
        <v>0</v>
      </c>
      <c r="S584" s="88">
        <f>(SUBTOTAL(9,S585:S586))</f>
        <v>0</v>
      </c>
      <c r="T584" s="88">
        <f>(SUBTOTAL(9,T585:T586))</f>
        <v>0</v>
      </c>
      <c r="U584" s="87">
        <f t="shared" ref="U584" si="410">SUBTOTAL(9,O585:T586)</f>
        <v>999.99999999999989</v>
      </c>
    </row>
    <row r="585" spans="1:21" ht="17.25" customHeight="1" x14ac:dyDescent="0.3">
      <c r="A585" s="66" t="s">
        <v>30</v>
      </c>
      <c r="C585" s="67"/>
      <c r="D585" s="77" t="str">
        <f t="shared" ref="D585:D615" si="411">D584</f>
        <v>S100025</v>
      </c>
      <c r="E585" s="77"/>
      <c r="F585" s="76"/>
      <c r="G585" s="76" t="str">
        <f>"""NAV Direct"",""CRONUS JetCorp USA"",""32"",""1"",""168654"""</f>
        <v>"NAV Direct","CRONUS JetCorp USA","32","1","168654"</v>
      </c>
      <c r="H585" s="86">
        <v>43466</v>
      </c>
      <c r="I585" s="85">
        <v>168654</v>
      </c>
      <c r="J585" s="84" t="str">
        <f>"Vendor"</f>
        <v>Vendor</v>
      </c>
      <c r="K585" s="84" t="str">
        <f>"V100003"</f>
        <v>V100003</v>
      </c>
      <c r="L585" s="84" t="str">
        <f>IF($J585="Customer",_xll.NL("first",$J585,"Name","No.","@@"&amp;$K585),"")</f>
        <v/>
      </c>
      <c r="M585" s="84" t="str">
        <f>"LogoMasters"</f>
        <v>LogoMasters</v>
      </c>
      <c r="N585" s="84" t="str">
        <f>IF($J585="Item",_xll.NL("first",$J585,"Description","No.","@@"&amp;$K585),"")</f>
        <v/>
      </c>
      <c r="O585" s="83">
        <v>999.99999999999989</v>
      </c>
      <c r="P585" s="83">
        <v>0</v>
      </c>
      <c r="Q585" s="83">
        <v>0</v>
      </c>
      <c r="R585" s="83">
        <v>0</v>
      </c>
      <c r="S585" s="83">
        <v>0</v>
      </c>
      <c r="T585" s="83">
        <v>0</v>
      </c>
      <c r="U585" s="82"/>
    </row>
    <row r="586" spans="1:21" ht="17.25" customHeight="1" x14ac:dyDescent="0.3">
      <c r="A586" s="66" t="s">
        <v>30</v>
      </c>
      <c r="C586" s="67"/>
      <c r="D586" s="77"/>
      <c r="E586" s="77"/>
      <c r="F586" s="76"/>
      <c r="G586" s="76"/>
      <c r="H586" s="76"/>
      <c r="I586" s="76"/>
      <c r="J586" s="76"/>
      <c r="K586" s="76"/>
      <c r="L586" s="76"/>
      <c r="M586" s="76"/>
      <c r="N586" s="76"/>
      <c r="O586" s="75"/>
      <c r="P586" s="75"/>
      <c r="Q586" s="75"/>
      <c r="R586" s="75"/>
      <c r="S586" s="75"/>
      <c r="T586" s="75"/>
      <c r="U586" s="74"/>
    </row>
    <row r="587" spans="1:21" ht="17.25" customHeight="1" x14ac:dyDescent="0.3">
      <c r="A587" s="66" t="s">
        <v>30</v>
      </c>
      <c r="C587" s="67"/>
      <c r="D587" s="77"/>
      <c r="E587" s="77" t="s">
        <v>31</v>
      </c>
      <c r="F587" s="76" t="s">
        <v>31</v>
      </c>
      <c r="G587" s="76" t="s">
        <v>31</v>
      </c>
      <c r="H587" s="76"/>
      <c r="I587" s="76"/>
      <c r="J587" s="76" t="s">
        <v>31</v>
      </c>
      <c r="K587" s="76" t="s">
        <v>31</v>
      </c>
      <c r="L587" s="76" t="s">
        <v>31</v>
      </c>
      <c r="M587" s="76" t="s">
        <v>31</v>
      </c>
      <c r="N587" s="76"/>
      <c r="U587" s="81"/>
    </row>
    <row r="588" spans="1:21" ht="20.25" customHeight="1" x14ac:dyDescent="0.35">
      <c r="A588" s="66" t="s">
        <v>30</v>
      </c>
      <c r="C588" s="67"/>
      <c r="D588" s="92" t="str">
        <f t="shared" ref="D588" si="412">E588</f>
        <v>S100026</v>
      </c>
      <c r="E588" s="91" t="str">
        <f>"S100026"</f>
        <v>S100026</v>
      </c>
      <c r="F588" s="89" t="str">
        <f>"Wide SPORT BOT"</f>
        <v>Wide SPORT BOT</v>
      </c>
      <c r="G588" s="89"/>
      <c r="H588" s="90" t="str">
        <f>"EA"</f>
        <v>EA</v>
      </c>
      <c r="I588" s="89"/>
      <c r="J588" s="89"/>
      <c r="K588" s="89"/>
      <c r="L588" s="89"/>
      <c r="M588" s="89"/>
      <c r="N588" s="89"/>
      <c r="O588" s="88">
        <f>(SUBTOTAL(9,O589:O590))</f>
        <v>1999.9999999999998</v>
      </c>
      <c r="P588" s="88">
        <f>(SUBTOTAL(9,P589:P590))</f>
        <v>0</v>
      </c>
      <c r="Q588" s="88">
        <f>(SUBTOTAL(9,Q589:Q590))</f>
        <v>0</v>
      </c>
      <c r="R588" s="88">
        <f>(SUBTOTAL(9,R589:R590))</f>
        <v>0</v>
      </c>
      <c r="S588" s="88">
        <f>(SUBTOTAL(9,S589:S590))</f>
        <v>0</v>
      </c>
      <c r="T588" s="88">
        <f>(SUBTOTAL(9,T589:T590))</f>
        <v>0</v>
      </c>
      <c r="U588" s="87">
        <f t="shared" ref="U588" si="413">SUBTOTAL(9,O589:T590)</f>
        <v>1999.9999999999998</v>
      </c>
    </row>
    <row r="589" spans="1:21" ht="17.25" customHeight="1" x14ac:dyDescent="0.3">
      <c r="A589" s="66" t="s">
        <v>30</v>
      </c>
      <c r="C589" s="67"/>
      <c r="D589" s="77" t="str">
        <f t="shared" ref="D589:D615" si="414">D588</f>
        <v>S100026</v>
      </c>
      <c r="E589" s="77"/>
      <c r="F589" s="76"/>
      <c r="G589" s="76" t="str">
        <f>"""NAV Direct"",""CRONUS JetCorp USA"",""32"",""1"",""168653"""</f>
        <v>"NAV Direct","CRONUS JetCorp USA","32","1","168653"</v>
      </c>
      <c r="H589" s="86">
        <v>43466</v>
      </c>
      <c r="I589" s="85">
        <v>168653</v>
      </c>
      <c r="J589" s="84" t="str">
        <f>"Vendor"</f>
        <v>Vendor</v>
      </c>
      <c r="K589" s="84" t="str">
        <f>"V100003"</f>
        <v>V100003</v>
      </c>
      <c r="L589" s="84" t="str">
        <f>IF($J589="Customer",_xll.NL("first",$J589,"Name","No.","@@"&amp;$K589),"")</f>
        <v/>
      </c>
      <c r="M589" s="84" t="str">
        <f>"LogoMasters"</f>
        <v>LogoMasters</v>
      </c>
      <c r="N589" s="84" t="str">
        <f>IF($J589="Item",_xll.NL("first",$J589,"Description","No.","@@"&amp;$K589),"")</f>
        <v/>
      </c>
      <c r="O589" s="83">
        <v>1999.9999999999998</v>
      </c>
      <c r="P589" s="83">
        <v>0</v>
      </c>
      <c r="Q589" s="83">
        <v>0</v>
      </c>
      <c r="R589" s="83">
        <v>0</v>
      </c>
      <c r="S589" s="83">
        <v>0</v>
      </c>
      <c r="T589" s="83">
        <v>0</v>
      </c>
      <c r="U589" s="82"/>
    </row>
    <row r="590" spans="1:21" ht="17.25" customHeight="1" x14ac:dyDescent="0.3">
      <c r="A590" s="66" t="s">
        <v>30</v>
      </c>
      <c r="C590" s="67"/>
      <c r="D590" s="77"/>
      <c r="E590" s="77"/>
      <c r="F590" s="76"/>
      <c r="G590" s="76"/>
      <c r="H590" s="76"/>
      <c r="I590" s="76"/>
      <c r="J590" s="76"/>
      <c r="K590" s="76"/>
      <c r="L590" s="76"/>
      <c r="M590" s="76"/>
      <c r="N590" s="76"/>
      <c r="O590" s="75"/>
      <c r="P590" s="75"/>
      <c r="Q590" s="75"/>
      <c r="R590" s="75"/>
      <c r="S590" s="75"/>
      <c r="T590" s="75"/>
      <c r="U590" s="74"/>
    </row>
    <row r="591" spans="1:21" ht="17.25" customHeight="1" x14ac:dyDescent="0.3">
      <c r="A591" s="66" t="s">
        <v>30</v>
      </c>
      <c r="C591" s="67"/>
      <c r="D591" s="77"/>
      <c r="E591" s="77" t="s">
        <v>31</v>
      </c>
      <c r="F591" s="76" t="s">
        <v>31</v>
      </c>
      <c r="G591" s="76" t="s">
        <v>31</v>
      </c>
      <c r="H591" s="76"/>
      <c r="I591" s="76"/>
      <c r="J591" s="76" t="s">
        <v>31</v>
      </c>
      <c r="K591" s="76" t="s">
        <v>31</v>
      </c>
      <c r="L591" s="76" t="s">
        <v>31</v>
      </c>
      <c r="M591" s="76" t="s">
        <v>31</v>
      </c>
      <c r="N591" s="76"/>
      <c r="U591" s="81"/>
    </row>
    <row r="592" spans="1:21" ht="20.25" customHeight="1" x14ac:dyDescent="0.35">
      <c r="A592" s="66" t="s">
        <v>30</v>
      </c>
      <c r="C592" s="67"/>
      <c r="D592" s="92" t="str">
        <f t="shared" ref="D592" si="415">E592</f>
        <v>S200005</v>
      </c>
      <c r="E592" s="91" t="str">
        <f>"S200005"</f>
        <v>S200005</v>
      </c>
      <c r="F592" s="89" t="str">
        <f>"4.75"" Spelling B Trophy"</f>
        <v>4.75" Spelling B Trophy</v>
      </c>
      <c r="G592" s="89"/>
      <c r="H592" s="90" t="str">
        <f>"EA"</f>
        <v>EA</v>
      </c>
      <c r="I592" s="89"/>
      <c r="J592" s="89"/>
      <c r="K592" s="89"/>
      <c r="L592" s="89"/>
      <c r="M592" s="89"/>
      <c r="N592" s="89"/>
      <c r="O592" s="88">
        <f>(SUBTOTAL(9,O593:O594))</f>
        <v>249.99999999999997</v>
      </c>
      <c r="P592" s="88">
        <f>(SUBTOTAL(9,P593:P594))</f>
        <v>0</v>
      </c>
      <c r="Q592" s="88">
        <f>(SUBTOTAL(9,Q593:Q594))</f>
        <v>0</v>
      </c>
      <c r="R592" s="88">
        <f>(SUBTOTAL(9,R593:R594))</f>
        <v>0</v>
      </c>
      <c r="S592" s="88">
        <f>(SUBTOTAL(9,S593:S594))</f>
        <v>0</v>
      </c>
      <c r="T592" s="88">
        <f>(SUBTOTAL(9,T593:T594))</f>
        <v>0</v>
      </c>
      <c r="U592" s="87">
        <f t="shared" ref="U592" si="416">SUBTOTAL(9,O593:T594)</f>
        <v>249.99999999999997</v>
      </c>
    </row>
    <row r="593" spans="1:21" ht="17.25" customHeight="1" x14ac:dyDescent="0.3">
      <c r="A593" s="66" t="s">
        <v>30</v>
      </c>
      <c r="C593" s="67"/>
      <c r="D593" s="77" t="str">
        <f t="shared" ref="D593:D615" si="417">D592</f>
        <v>S200005</v>
      </c>
      <c r="E593" s="77"/>
      <c r="F593" s="76"/>
      <c r="G593" s="76" t="str">
        <f>"""NAV Direct"",""CRONUS JetCorp USA"",""32"",""1"",""169246"""</f>
        <v>"NAV Direct","CRONUS JetCorp USA","32","1","169246"</v>
      </c>
      <c r="H593" s="86">
        <v>43466</v>
      </c>
      <c r="I593" s="85">
        <v>169246</v>
      </c>
      <c r="J593" s="84" t="str">
        <f>"Vendor"</f>
        <v>Vendor</v>
      </c>
      <c r="K593" s="84" t="str">
        <f>"V100003"</f>
        <v>V100003</v>
      </c>
      <c r="L593" s="84" t="str">
        <f>IF($J593="Customer",_xll.NL("first",$J593,"Name","No.","@@"&amp;$K593),"")</f>
        <v/>
      </c>
      <c r="M593" s="84" t="str">
        <f>"LogoMasters"</f>
        <v>LogoMasters</v>
      </c>
      <c r="N593" s="84" t="str">
        <f>IF($J593="Item",_xll.NL("first",$J593,"Description","No.","@@"&amp;$K593),"")</f>
        <v/>
      </c>
      <c r="O593" s="83">
        <v>249.99999999999997</v>
      </c>
      <c r="P593" s="83">
        <v>0</v>
      </c>
      <c r="Q593" s="83">
        <v>0</v>
      </c>
      <c r="R593" s="83">
        <v>0</v>
      </c>
      <c r="S593" s="83">
        <v>0</v>
      </c>
      <c r="T593" s="83">
        <v>0</v>
      </c>
      <c r="U593" s="82"/>
    </row>
    <row r="594" spans="1:21" ht="17.25" customHeight="1" x14ac:dyDescent="0.3">
      <c r="A594" s="66" t="s">
        <v>30</v>
      </c>
      <c r="C594" s="67"/>
      <c r="D594" s="77"/>
      <c r="E594" s="77"/>
      <c r="F594" s="76"/>
      <c r="G594" s="76"/>
      <c r="H594" s="76"/>
      <c r="I594" s="76"/>
      <c r="J594" s="76"/>
      <c r="K594" s="76"/>
      <c r="L594" s="76"/>
      <c r="M594" s="76"/>
      <c r="N594" s="76"/>
      <c r="O594" s="75"/>
      <c r="P594" s="75"/>
      <c r="Q594" s="75"/>
      <c r="R594" s="75"/>
      <c r="S594" s="75"/>
      <c r="T594" s="75"/>
      <c r="U594" s="74"/>
    </row>
    <row r="595" spans="1:21" ht="17.25" customHeight="1" x14ac:dyDescent="0.3">
      <c r="A595" s="66" t="s">
        <v>30</v>
      </c>
      <c r="C595" s="67"/>
      <c r="D595" s="77"/>
      <c r="E595" s="77" t="s">
        <v>31</v>
      </c>
      <c r="F595" s="76" t="s">
        <v>31</v>
      </c>
      <c r="G595" s="76" t="s">
        <v>31</v>
      </c>
      <c r="H595" s="76"/>
      <c r="I595" s="76"/>
      <c r="J595" s="76" t="s">
        <v>31</v>
      </c>
      <c r="K595" s="76" t="s">
        <v>31</v>
      </c>
      <c r="L595" s="76" t="s">
        <v>31</v>
      </c>
      <c r="M595" s="76" t="s">
        <v>31</v>
      </c>
      <c r="N595" s="76"/>
      <c r="U595" s="81"/>
    </row>
    <row r="596" spans="1:21" ht="20.25" customHeight="1" x14ac:dyDescent="0.35">
      <c r="A596" s="66" t="s">
        <v>30</v>
      </c>
      <c r="C596" s="67"/>
      <c r="D596" s="92" t="str">
        <f t="shared" ref="D596" si="418">E596</f>
        <v>S200013</v>
      </c>
      <c r="E596" s="91" t="str">
        <f>"S200013"</f>
        <v>S200013</v>
      </c>
      <c r="F596" s="89" t="str">
        <f>"10.75"" Star Riser Soccer Trophy"</f>
        <v>10.75" Star Riser Soccer Trophy</v>
      </c>
      <c r="G596" s="89"/>
      <c r="H596" s="90" t="str">
        <f>"EA"</f>
        <v>EA</v>
      </c>
      <c r="I596" s="89"/>
      <c r="J596" s="89"/>
      <c r="K596" s="89"/>
      <c r="L596" s="89"/>
      <c r="M596" s="89"/>
      <c r="N596" s="89"/>
      <c r="O596" s="88">
        <f>(SUBTOTAL(9,O597:O598))</f>
        <v>249.99999999999997</v>
      </c>
      <c r="P596" s="88">
        <f>(SUBTOTAL(9,P597:P598))</f>
        <v>0</v>
      </c>
      <c r="Q596" s="88">
        <f>(SUBTOTAL(9,Q597:Q598))</f>
        <v>0</v>
      </c>
      <c r="R596" s="88">
        <f>(SUBTOTAL(9,R597:R598))</f>
        <v>0</v>
      </c>
      <c r="S596" s="88">
        <f>(SUBTOTAL(9,S597:S598))</f>
        <v>0</v>
      </c>
      <c r="T596" s="88">
        <f>(SUBTOTAL(9,T597:T598))</f>
        <v>0</v>
      </c>
      <c r="U596" s="87">
        <f t="shared" ref="U596" si="419">SUBTOTAL(9,O597:T598)</f>
        <v>249.99999999999997</v>
      </c>
    </row>
    <row r="597" spans="1:21" ht="17.25" customHeight="1" x14ac:dyDescent="0.3">
      <c r="A597" s="66" t="s">
        <v>30</v>
      </c>
      <c r="C597" s="67"/>
      <c r="D597" s="77" t="str">
        <f t="shared" ref="D597:D615" si="420">D596</f>
        <v>S200013</v>
      </c>
      <c r="E597" s="77"/>
      <c r="F597" s="76"/>
      <c r="G597" s="76" t="str">
        <f>"""NAV Direct"",""CRONUS JetCorp USA"",""32"",""1"",""169245"""</f>
        <v>"NAV Direct","CRONUS JetCorp USA","32","1","169245"</v>
      </c>
      <c r="H597" s="86">
        <v>43466</v>
      </c>
      <c r="I597" s="85">
        <v>169245</v>
      </c>
      <c r="J597" s="84" t="str">
        <f>"Vendor"</f>
        <v>Vendor</v>
      </c>
      <c r="K597" s="84" t="str">
        <f>"V100003"</f>
        <v>V100003</v>
      </c>
      <c r="L597" s="84" t="str">
        <f>IF($J597="Customer",_xll.NL("first",$J597,"Name","No.","@@"&amp;$K597),"")</f>
        <v/>
      </c>
      <c r="M597" s="84" t="str">
        <f>"LogoMasters"</f>
        <v>LogoMasters</v>
      </c>
      <c r="N597" s="84" t="str">
        <f>IF($J597="Item",_xll.NL("first",$J597,"Description","No.","@@"&amp;$K597),"")</f>
        <v/>
      </c>
      <c r="O597" s="83">
        <v>249.99999999999997</v>
      </c>
      <c r="P597" s="83">
        <v>0</v>
      </c>
      <c r="Q597" s="83">
        <v>0</v>
      </c>
      <c r="R597" s="83">
        <v>0</v>
      </c>
      <c r="S597" s="83">
        <v>0</v>
      </c>
      <c r="T597" s="83">
        <v>0</v>
      </c>
      <c r="U597" s="82"/>
    </row>
    <row r="598" spans="1:21" ht="17.25" customHeight="1" x14ac:dyDescent="0.3">
      <c r="A598" s="66" t="s">
        <v>30</v>
      </c>
      <c r="C598" s="67"/>
      <c r="D598" s="77"/>
      <c r="E598" s="77"/>
      <c r="F598" s="76"/>
      <c r="G598" s="76"/>
      <c r="H598" s="76"/>
      <c r="I598" s="76"/>
      <c r="J598" s="76"/>
      <c r="K598" s="76"/>
      <c r="L598" s="76"/>
      <c r="M598" s="76"/>
      <c r="N598" s="76"/>
      <c r="O598" s="75"/>
      <c r="P598" s="75"/>
      <c r="Q598" s="75"/>
      <c r="R598" s="75"/>
      <c r="S598" s="75"/>
      <c r="T598" s="75"/>
      <c r="U598" s="74"/>
    </row>
    <row r="599" spans="1:21" ht="17.25" customHeight="1" x14ac:dyDescent="0.3">
      <c r="A599" s="66" t="s">
        <v>30</v>
      </c>
      <c r="C599" s="67"/>
      <c r="D599" s="77"/>
      <c r="E599" s="77" t="s">
        <v>31</v>
      </c>
      <c r="F599" s="76" t="s">
        <v>31</v>
      </c>
      <c r="G599" s="76" t="s">
        <v>31</v>
      </c>
      <c r="H599" s="76"/>
      <c r="I599" s="76"/>
      <c r="J599" s="76" t="s">
        <v>31</v>
      </c>
      <c r="K599" s="76" t="s">
        <v>31</v>
      </c>
      <c r="L599" s="76" t="s">
        <v>31</v>
      </c>
      <c r="M599" s="76" t="s">
        <v>31</v>
      </c>
      <c r="N599" s="76"/>
      <c r="U599" s="81"/>
    </row>
    <row r="600" spans="1:21" ht="20.25" customHeight="1" x14ac:dyDescent="0.35">
      <c r="A600" s="66" t="s">
        <v>30</v>
      </c>
      <c r="C600" s="67"/>
      <c r="D600" s="92" t="str">
        <f t="shared" ref="D600" si="421">E600</f>
        <v>S200016</v>
      </c>
      <c r="E600" s="91" t="str">
        <f>"S200016"</f>
        <v>S200016</v>
      </c>
      <c r="F600" s="89" t="str">
        <f>"10.75"" Star Riser Volleyball Trophy"</f>
        <v>10.75" Star Riser Volleyball Trophy</v>
      </c>
      <c r="G600" s="89"/>
      <c r="H600" s="90" t="str">
        <f>"EA"</f>
        <v>EA</v>
      </c>
      <c r="I600" s="89"/>
      <c r="J600" s="89"/>
      <c r="K600" s="89"/>
      <c r="L600" s="89"/>
      <c r="M600" s="89"/>
      <c r="N600" s="89"/>
      <c r="O600" s="88">
        <f>(SUBTOTAL(9,O601:O602))</f>
        <v>499.99999999999994</v>
      </c>
      <c r="P600" s="88">
        <f>(SUBTOTAL(9,P601:P602))</f>
        <v>0</v>
      </c>
      <c r="Q600" s="88">
        <f>(SUBTOTAL(9,Q601:Q602))</f>
        <v>0</v>
      </c>
      <c r="R600" s="88">
        <f>(SUBTOTAL(9,R601:R602))</f>
        <v>0</v>
      </c>
      <c r="S600" s="88">
        <f>(SUBTOTAL(9,S601:S602))</f>
        <v>0</v>
      </c>
      <c r="T600" s="88">
        <f>(SUBTOTAL(9,T601:T602))</f>
        <v>0</v>
      </c>
      <c r="U600" s="87">
        <f t="shared" ref="U600" si="422">SUBTOTAL(9,O601:T602)</f>
        <v>499.99999999999994</v>
      </c>
    </row>
    <row r="601" spans="1:21" ht="17.25" customHeight="1" x14ac:dyDescent="0.3">
      <c r="A601" s="66" t="s">
        <v>30</v>
      </c>
      <c r="C601" s="67"/>
      <c r="D601" s="77" t="str">
        <f t="shared" ref="D601:D615" si="423">D600</f>
        <v>S200016</v>
      </c>
      <c r="E601" s="77"/>
      <c r="F601" s="76"/>
      <c r="G601" s="76" t="str">
        <f>"""NAV Direct"",""CRONUS JetCorp USA"",""32"",""1"",""169244"""</f>
        <v>"NAV Direct","CRONUS JetCorp USA","32","1","169244"</v>
      </c>
      <c r="H601" s="86">
        <v>43466</v>
      </c>
      <c r="I601" s="85">
        <v>169244</v>
      </c>
      <c r="J601" s="84" t="str">
        <f>"Vendor"</f>
        <v>Vendor</v>
      </c>
      <c r="K601" s="84" t="str">
        <f>"V100003"</f>
        <v>V100003</v>
      </c>
      <c r="L601" s="84" t="str">
        <f>IF($J601="Customer",_xll.NL("first",$J601,"Name","No.","@@"&amp;$K601),"")</f>
        <v/>
      </c>
      <c r="M601" s="84" t="str">
        <f>"LogoMasters"</f>
        <v>LogoMasters</v>
      </c>
      <c r="N601" s="84" t="str">
        <f>IF($J601="Item",_xll.NL("first",$J601,"Description","No.","@@"&amp;$K601),"")</f>
        <v/>
      </c>
      <c r="O601" s="83">
        <v>499.99999999999994</v>
      </c>
      <c r="P601" s="83">
        <v>0</v>
      </c>
      <c r="Q601" s="83">
        <v>0</v>
      </c>
      <c r="R601" s="83">
        <v>0</v>
      </c>
      <c r="S601" s="83">
        <v>0</v>
      </c>
      <c r="T601" s="83">
        <v>0</v>
      </c>
      <c r="U601" s="82"/>
    </row>
    <row r="602" spans="1:21" ht="17.25" customHeight="1" x14ac:dyDescent="0.3">
      <c r="A602" s="66" t="s">
        <v>30</v>
      </c>
      <c r="C602" s="67"/>
      <c r="D602" s="77"/>
      <c r="E602" s="77"/>
      <c r="F602" s="76"/>
      <c r="G602" s="76"/>
      <c r="H602" s="76"/>
      <c r="I602" s="76"/>
      <c r="J602" s="76"/>
      <c r="K602" s="76"/>
      <c r="L602" s="76"/>
      <c r="M602" s="76"/>
      <c r="N602" s="76"/>
      <c r="O602" s="75"/>
      <c r="P602" s="75"/>
      <c r="Q602" s="75"/>
      <c r="R602" s="75"/>
      <c r="S602" s="75"/>
      <c r="T602" s="75"/>
      <c r="U602" s="74"/>
    </row>
    <row r="603" spans="1:21" ht="17.25" customHeight="1" x14ac:dyDescent="0.3">
      <c r="A603" s="66" t="s">
        <v>30</v>
      </c>
      <c r="C603" s="67"/>
      <c r="D603" s="77"/>
      <c r="E603" s="77" t="s">
        <v>31</v>
      </c>
      <c r="F603" s="76" t="s">
        <v>31</v>
      </c>
      <c r="G603" s="76" t="s">
        <v>31</v>
      </c>
      <c r="H603" s="76"/>
      <c r="I603" s="76"/>
      <c r="J603" s="76" t="s">
        <v>31</v>
      </c>
      <c r="K603" s="76" t="s">
        <v>31</v>
      </c>
      <c r="L603" s="76" t="s">
        <v>31</v>
      </c>
      <c r="M603" s="76" t="s">
        <v>31</v>
      </c>
      <c r="N603" s="76"/>
      <c r="U603" s="81"/>
    </row>
    <row r="604" spans="1:21" ht="20.25" customHeight="1" x14ac:dyDescent="0.35">
      <c r="A604" s="66" t="s">
        <v>30</v>
      </c>
      <c r="C604" s="67"/>
      <c r="D604" s="92" t="str">
        <f t="shared" ref="D604" si="424">E604</f>
        <v>S200019</v>
      </c>
      <c r="E604" s="91" t="str">
        <f>"S200019"</f>
        <v>S200019</v>
      </c>
      <c r="F604" s="89" t="str">
        <f>"10.75"" Tourch Riser Apple Trophy"</f>
        <v>10.75" Tourch Riser Apple Trophy</v>
      </c>
      <c r="G604" s="89"/>
      <c r="H604" s="90" t="str">
        <f>"EA"</f>
        <v>EA</v>
      </c>
      <c r="I604" s="89"/>
      <c r="J604" s="89"/>
      <c r="K604" s="89"/>
      <c r="L604" s="89"/>
      <c r="M604" s="89"/>
      <c r="N604" s="89"/>
      <c r="O604" s="88">
        <f>(SUBTOTAL(9,O605:O606))</f>
        <v>499.99999999999994</v>
      </c>
      <c r="P604" s="88">
        <f>(SUBTOTAL(9,P605:P606))</f>
        <v>0</v>
      </c>
      <c r="Q604" s="88">
        <f>(SUBTOTAL(9,Q605:Q606))</f>
        <v>0</v>
      </c>
      <c r="R604" s="88">
        <f>(SUBTOTAL(9,R605:R606))</f>
        <v>0</v>
      </c>
      <c r="S604" s="88">
        <f>(SUBTOTAL(9,S605:S606))</f>
        <v>0</v>
      </c>
      <c r="T604" s="88">
        <f>(SUBTOTAL(9,T605:T606))</f>
        <v>0</v>
      </c>
      <c r="U604" s="87">
        <f t="shared" ref="U604" si="425">SUBTOTAL(9,O605:T606)</f>
        <v>499.99999999999994</v>
      </c>
    </row>
    <row r="605" spans="1:21" ht="17.25" customHeight="1" x14ac:dyDescent="0.3">
      <c r="A605" s="66" t="s">
        <v>30</v>
      </c>
      <c r="C605" s="67"/>
      <c r="D605" s="77" t="str">
        <f t="shared" ref="D605:D615" si="426">D604</f>
        <v>S200019</v>
      </c>
      <c r="E605" s="77"/>
      <c r="F605" s="76"/>
      <c r="G605" s="76" t="str">
        <f>"""NAV Direct"",""CRONUS JetCorp USA"",""32"",""1"",""169243"""</f>
        <v>"NAV Direct","CRONUS JetCorp USA","32","1","169243"</v>
      </c>
      <c r="H605" s="86">
        <v>43466</v>
      </c>
      <c r="I605" s="85">
        <v>169243</v>
      </c>
      <c r="J605" s="84" t="str">
        <f>"Vendor"</f>
        <v>Vendor</v>
      </c>
      <c r="K605" s="84" t="str">
        <f>"V100003"</f>
        <v>V100003</v>
      </c>
      <c r="L605" s="84" t="str">
        <f>IF($J605="Customer",_xll.NL("first",$J605,"Name","No.","@@"&amp;$K605),"")</f>
        <v/>
      </c>
      <c r="M605" s="84" t="str">
        <f>"LogoMasters"</f>
        <v>LogoMasters</v>
      </c>
      <c r="N605" s="84" t="str">
        <f>IF($J605="Item",_xll.NL("first",$J605,"Description","No.","@@"&amp;$K605),"")</f>
        <v/>
      </c>
      <c r="O605" s="83">
        <v>499.99999999999994</v>
      </c>
      <c r="P605" s="83">
        <v>0</v>
      </c>
      <c r="Q605" s="83">
        <v>0</v>
      </c>
      <c r="R605" s="83">
        <v>0</v>
      </c>
      <c r="S605" s="83">
        <v>0</v>
      </c>
      <c r="T605" s="83">
        <v>0</v>
      </c>
      <c r="U605" s="82"/>
    </row>
    <row r="606" spans="1:21" ht="17.25" customHeight="1" x14ac:dyDescent="0.3">
      <c r="A606" s="66" t="s">
        <v>30</v>
      </c>
      <c r="C606" s="67"/>
      <c r="D606" s="77"/>
      <c r="E606" s="77"/>
      <c r="F606" s="76"/>
      <c r="G606" s="76"/>
      <c r="H606" s="76"/>
      <c r="I606" s="76"/>
      <c r="J606" s="76"/>
      <c r="K606" s="76"/>
      <c r="L606" s="76"/>
      <c r="M606" s="76"/>
      <c r="N606" s="76"/>
      <c r="O606" s="75"/>
      <c r="P606" s="75"/>
      <c r="Q606" s="75"/>
      <c r="R606" s="75"/>
      <c r="S606" s="75"/>
      <c r="T606" s="75"/>
      <c r="U606" s="74"/>
    </row>
    <row r="607" spans="1:21" ht="17.25" customHeight="1" x14ac:dyDescent="0.3">
      <c r="A607" s="66" t="s">
        <v>30</v>
      </c>
      <c r="C607" s="67"/>
      <c r="D607" s="77"/>
      <c r="E607" s="77" t="s">
        <v>31</v>
      </c>
      <c r="F607" s="76" t="s">
        <v>31</v>
      </c>
      <c r="G607" s="76" t="s">
        <v>31</v>
      </c>
      <c r="H607" s="76"/>
      <c r="I607" s="76"/>
      <c r="J607" s="76" t="s">
        <v>31</v>
      </c>
      <c r="K607" s="76" t="s">
        <v>31</v>
      </c>
      <c r="L607" s="76" t="s">
        <v>31</v>
      </c>
      <c r="M607" s="76" t="s">
        <v>31</v>
      </c>
      <c r="N607" s="76"/>
      <c r="U607" s="81"/>
    </row>
    <row r="608" spans="1:21" ht="20.25" customHeight="1" x14ac:dyDescent="0.35">
      <c r="A608" s="66" t="s">
        <v>30</v>
      </c>
      <c r="C608" s="67"/>
      <c r="D608" s="92" t="str">
        <f t="shared" ref="D608" si="427">E608</f>
        <v>S200023</v>
      </c>
      <c r="E608" s="91" t="str">
        <f>"S200023"</f>
        <v>S200023</v>
      </c>
      <c r="F608" s="89" t="str">
        <f>"10.75"" Tourch Riser Volleyball Trophy"</f>
        <v>10.75" Tourch Riser Volleyball Trophy</v>
      </c>
      <c r="G608" s="89"/>
      <c r="H608" s="90" t="str">
        <f>"EA"</f>
        <v>EA</v>
      </c>
      <c r="I608" s="89"/>
      <c r="J608" s="89"/>
      <c r="K608" s="89"/>
      <c r="L608" s="89"/>
      <c r="M608" s="89"/>
      <c r="N608" s="89"/>
      <c r="O608" s="88">
        <f>(SUBTOTAL(9,O609:O610))</f>
        <v>249.99999999999997</v>
      </c>
      <c r="P608" s="88">
        <f>(SUBTOTAL(9,P609:P610))</f>
        <v>0</v>
      </c>
      <c r="Q608" s="88">
        <f>(SUBTOTAL(9,Q609:Q610))</f>
        <v>0</v>
      </c>
      <c r="R608" s="88">
        <f>(SUBTOTAL(9,R609:R610))</f>
        <v>0</v>
      </c>
      <c r="S608" s="88">
        <f>(SUBTOTAL(9,S609:S610))</f>
        <v>0</v>
      </c>
      <c r="T608" s="88">
        <f>(SUBTOTAL(9,T609:T610))</f>
        <v>0</v>
      </c>
      <c r="U608" s="87">
        <f t="shared" ref="U608" si="428">SUBTOTAL(9,O609:T610)</f>
        <v>249.99999999999997</v>
      </c>
    </row>
    <row r="609" spans="1:21" ht="17.25" customHeight="1" x14ac:dyDescent="0.3">
      <c r="A609" s="66" t="s">
        <v>30</v>
      </c>
      <c r="C609" s="67"/>
      <c r="D609" s="77" t="str">
        <f t="shared" ref="D609:D615" si="429">D608</f>
        <v>S200023</v>
      </c>
      <c r="E609" s="77"/>
      <c r="F609" s="76"/>
      <c r="G609" s="76" t="str">
        <f>"""NAV Direct"",""CRONUS JetCorp USA"",""32"",""1"",""169242"""</f>
        <v>"NAV Direct","CRONUS JetCorp USA","32","1","169242"</v>
      </c>
      <c r="H609" s="86">
        <v>43466</v>
      </c>
      <c r="I609" s="85">
        <v>169242</v>
      </c>
      <c r="J609" s="84" t="str">
        <f>"Vendor"</f>
        <v>Vendor</v>
      </c>
      <c r="K609" s="84" t="str">
        <f>"V100003"</f>
        <v>V100003</v>
      </c>
      <c r="L609" s="84" t="str">
        <f>IF($J609="Customer",_xll.NL("first",$J609,"Name","No.","@@"&amp;$K609),"")</f>
        <v/>
      </c>
      <c r="M609" s="84" t="str">
        <f>"LogoMasters"</f>
        <v>LogoMasters</v>
      </c>
      <c r="N609" s="84" t="str">
        <f>IF($J609="Item",_xll.NL("first",$J609,"Description","No.","@@"&amp;$K609),"")</f>
        <v/>
      </c>
      <c r="O609" s="83">
        <v>249.99999999999997</v>
      </c>
      <c r="P609" s="83">
        <v>0</v>
      </c>
      <c r="Q609" s="83">
        <v>0</v>
      </c>
      <c r="R609" s="83">
        <v>0</v>
      </c>
      <c r="S609" s="83">
        <v>0</v>
      </c>
      <c r="T609" s="83">
        <v>0</v>
      </c>
      <c r="U609" s="82"/>
    </row>
    <row r="610" spans="1:21" ht="17.25" customHeight="1" x14ac:dyDescent="0.3">
      <c r="A610" s="66" t="s">
        <v>30</v>
      </c>
      <c r="C610" s="67"/>
      <c r="D610" s="77"/>
      <c r="E610" s="77"/>
      <c r="F610" s="76"/>
      <c r="G610" s="76"/>
      <c r="H610" s="76"/>
      <c r="I610" s="76"/>
      <c r="J610" s="76"/>
      <c r="K610" s="76"/>
      <c r="L610" s="76"/>
      <c r="M610" s="76"/>
      <c r="N610" s="76"/>
      <c r="O610" s="75"/>
      <c r="P610" s="75"/>
      <c r="Q610" s="75"/>
      <c r="R610" s="75"/>
      <c r="S610" s="75"/>
      <c r="T610" s="75"/>
      <c r="U610" s="74"/>
    </row>
    <row r="611" spans="1:21" ht="17.25" customHeight="1" x14ac:dyDescent="0.3">
      <c r="A611" s="66" t="s">
        <v>30</v>
      </c>
      <c r="C611" s="67"/>
      <c r="D611" s="77"/>
      <c r="E611" s="77" t="s">
        <v>31</v>
      </c>
      <c r="F611" s="76" t="s">
        <v>31</v>
      </c>
      <c r="G611" s="76" t="s">
        <v>31</v>
      </c>
      <c r="H611" s="76"/>
      <c r="I611" s="76"/>
      <c r="J611" s="76" t="s">
        <v>31</v>
      </c>
      <c r="K611" s="76" t="s">
        <v>31</v>
      </c>
      <c r="L611" s="76" t="s">
        <v>31</v>
      </c>
      <c r="M611" s="76" t="s">
        <v>31</v>
      </c>
      <c r="N611" s="76"/>
      <c r="U611" s="81"/>
    </row>
    <row r="612" spans="1:21" ht="20.25" customHeight="1" x14ac:dyDescent="0.35">
      <c r="A612" s="66" t="s">
        <v>30</v>
      </c>
      <c r="C612" s="67"/>
      <c r="D612" s="92" t="str">
        <f t="shared" ref="D612" si="430">E612</f>
        <v>S200024</v>
      </c>
      <c r="E612" s="91" t="str">
        <f>"S200024"</f>
        <v>S200024</v>
      </c>
      <c r="F612" s="89" t="str">
        <f>"10.75"" Tourch Riser Wrestling Trophy"</f>
        <v>10.75" Tourch Riser Wrestling Trophy</v>
      </c>
      <c r="G612" s="89"/>
      <c r="H612" s="90" t="str">
        <f>"EA"</f>
        <v>EA</v>
      </c>
      <c r="I612" s="89"/>
      <c r="J612" s="89"/>
      <c r="K612" s="89"/>
      <c r="L612" s="89"/>
      <c r="M612" s="89"/>
      <c r="N612" s="89"/>
      <c r="O612" s="88">
        <f>(SUBTOTAL(9,O613:O614))</f>
        <v>750</v>
      </c>
      <c r="P612" s="88">
        <f>(SUBTOTAL(9,P613:P614))</f>
        <v>0</v>
      </c>
      <c r="Q612" s="88">
        <f>(SUBTOTAL(9,Q613:Q614))</f>
        <v>0</v>
      </c>
      <c r="R612" s="88">
        <f>(SUBTOTAL(9,R613:R614))</f>
        <v>0</v>
      </c>
      <c r="S612" s="88">
        <f>(SUBTOTAL(9,S613:S614))</f>
        <v>0</v>
      </c>
      <c r="T612" s="88">
        <f>(SUBTOTAL(9,T613:T614))</f>
        <v>0</v>
      </c>
      <c r="U612" s="87">
        <f t="shared" ref="U612" si="431">SUBTOTAL(9,O613:T614)</f>
        <v>750</v>
      </c>
    </row>
    <row r="613" spans="1:21" ht="17.25" customHeight="1" x14ac:dyDescent="0.3">
      <c r="A613" s="66" t="s">
        <v>30</v>
      </c>
      <c r="C613" s="67"/>
      <c r="D613" s="77" t="str">
        <f t="shared" ref="D613:D615" si="432">D612</f>
        <v>S200024</v>
      </c>
      <c r="E613" s="77"/>
      <c r="F613" s="76"/>
      <c r="G613" s="76" t="str">
        <f>"""NAV Direct"",""CRONUS JetCorp USA"",""32"",""1"",""169241"""</f>
        <v>"NAV Direct","CRONUS JetCorp USA","32","1","169241"</v>
      </c>
      <c r="H613" s="86">
        <v>43466</v>
      </c>
      <c r="I613" s="85">
        <v>169241</v>
      </c>
      <c r="J613" s="84" t="str">
        <f>"Vendor"</f>
        <v>Vendor</v>
      </c>
      <c r="K613" s="84" t="str">
        <f>"V100003"</f>
        <v>V100003</v>
      </c>
      <c r="L613" s="84" t="str">
        <f>IF($J613="Customer",_xll.NL("first",$J613,"Name","No.","@@"&amp;$K613),"")</f>
        <v/>
      </c>
      <c r="M613" s="84" t="str">
        <f>"LogoMasters"</f>
        <v>LogoMasters</v>
      </c>
      <c r="N613" s="84" t="str">
        <f>IF($J613="Item",_xll.NL("first",$J613,"Description","No.","@@"&amp;$K613),"")</f>
        <v/>
      </c>
      <c r="O613" s="83">
        <v>750</v>
      </c>
      <c r="P613" s="83">
        <v>0</v>
      </c>
      <c r="Q613" s="83">
        <v>0</v>
      </c>
      <c r="R613" s="83">
        <v>0</v>
      </c>
      <c r="S613" s="83">
        <v>0</v>
      </c>
      <c r="T613" s="83">
        <v>0</v>
      </c>
      <c r="U613" s="82"/>
    </row>
    <row r="614" spans="1:21" ht="17.25" customHeight="1" x14ac:dyDescent="0.3">
      <c r="A614" s="66" t="s">
        <v>30</v>
      </c>
      <c r="C614" s="67"/>
      <c r="D614" s="77"/>
      <c r="E614" s="77"/>
      <c r="F614" s="76"/>
      <c r="G614" s="76"/>
      <c r="H614" s="76"/>
      <c r="I614" s="76"/>
      <c r="J614" s="76"/>
      <c r="K614" s="76"/>
      <c r="L614" s="76"/>
      <c r="M614" s="76"/>
      <c r="N614" s="76"/>
      <c r="O614" s="75"/>
      <c r="P614" s="75"/>
      <c r="Q614" s="75"/>
      <c r="R614" s="75"/>
      <c r="S614" s="75"/>
      <c r="T614" s="75"/>
      <c r="U614" s="74"/>
    </row>
    <row r="615" spans="1:21" ht="17.25" customHeight="1" x14ac:dyDescent="0.3">
      <c r="A615" s="66" t="s">
        <v>30</v>
      </c>
      <c r="C615" s="67"/>
      <c r="D615" s="77"/>
      <c r="E615" s="77" t="s">
        <v>31</v>
      </c>
      <c r="F615" s="76" t="s">
        <v>31</v>
      </c>
      <c r="G615" s="76" t="s">
        <v>31</v>
      </c>
      <c r="H615" s="76"/>
      <c r="I615" s="76"/>
      <c r="J615" s="76" t="s">
        <v>31</v>
      </c>
      <c r="K615" s="76" t="s">
        <v>31</v>
      </c>
      <c r="L615" s="76" t="s">
        <v>31</v>
      </c>
      <c r="M615" s="76" t="s">
        <v>31</v>
      </c>
      <c r="N615" s="76"/>
      <c r="U615" s="81"/>
    </row>
    <row r="616" spans="1:21" ht="17.25" customHeight="1" x14ac:dyDescent="0.3">
      <c r="A616" s="66"/>
      <c r="C616" s="67"/>
      <c r="D616" s="77"/>
      <c r="E616" s="77"/>
      <c r="F616" s="76"/>
      <c r="G616" s="76"/>
      <c r="H616" s="76"/>
      <c r="I616" s="76"/>
      <c r="J616" s="76"/>
      <c r="K616" s="76"/>
      <c r="L616" s="76"/>
      <c r="M616" s="76"/>
      <c r="N616" s="76"/>
      <c r="O616" s="75"/>
      <c r="P616" s="75"/>
      <c r="Q616" s="75"/>
      <c r="R616" s="75"/>
      <c r="S616" s="75"/>
      <c r="T616" s="75"/>
      <c r="U616" s="74"/>
    </row>
    <row r="617" spans="1:21" ht="20.25" customHeight="1" thickBot="1" x14ac:dyDescent="0.4">
      <c r="A617" s="66"/>
      <c r="C617" s="67"/>
      <c r="D617" s="77"/>
      <c r="E617" s="77"/>
      <c r="F617" s="76"/>
      <c r="G617" s="76"/>
      <c r="H617" s="76"/>
      <c r="I617" s="76"/>
      <c r="J617" s="76"/>
      <c r="K617" s="76"/>
      <c r="L617" s="76"/>
      <c r="M617" s="76"/>
      <c r="N617" s="80" t="s">
        <v>32</v>
      </c>
      <c r="O617" s="79">
        <f>SUBTOTAL(9,O13:O616)</f>
        <v>83550</v>
      </c>
      <c r="P617" s="79">
        <f>SUBTOTAL(9,P13:P616)</f>
        <v>-9641</v>
      </c>
      <c r="Q617" s="79">
        <f>SUBTOTAL(9,Q13:Q616)</f>
        <v>0</v>
      </c>
      <c r="R617" s="79">
        <f>SUBTOTAL(9,R13:R616)</f>
        <v>0</v>
      </c>
      <c r="S617" s="79">
        <f>SUBTOTAL(9,S13:S616)</f>
        <v>0</v>
      </c>
      <c r="T617" s="79">
        <f>SUBTOTAL(9,T13:T616)</f>
        <v>0</v>
      </c>
      <c r="U617" s="78">
        <f>SUM(U12:U616)</f>
        <v>73909</v>
      </c>
    </row>
    <row r="618" spans="1:21" ht="17.25" customHeight="1" x14ac:dyDescent="0.3">
      <c r="A618" s="66"/>
      <c r="C618" s="67"/>
      <c r="D618" s="77"/>
      <c r="E618" s="77"/>
      <c r="F618" s="76"/>
      <c r="G618" s="76"/>
      <c r="H618" s="76"/>
      <c r="I618" s="76"/>
      <c r="J618" s="76"/>
      <c r="K618" s="76"/>
      <c r="L618" s="76"/>
      <c r="M618" s="76"/>
      <c r="N618" s="76"/>
      <c r="O618" s="75"/>
      <c r="P618" s="75"/>
      <c r="Q618" s="75"/>
      <c r="R618" s="75"/>
      <c r="S618" s="75"/>
      <c r="T618" s="75"/>
      <c r="U618" s="74"/>
    </row>
    <row r="619" spans="1:21" ht="17.25" customHeight="1" x14ac:dyDescent="0.3">
      <c r="A619" s="66"/>
      <c r="C619" s="67"/>
      <c r="D619" s="73"/>
      <c r="E619" s="73"/>
      <c r="F619" s="72"/>
      <c r="G619" s="72"/>
      <c r="H619" s="72"/>
      <c r="I619" s="72"/>
      <c r="J619" s="72"/>
      <c r="K619" s="72"/>
      <c r="L619" s="72"/>
      <c r="M619" s="72"/>
      <c r="N619" s="71"/>
      <c r="O619" s="70"/>
      <c r="P619" s="70"/>
      <c r="Q619" s="70"/>
      <c r="R619" s="70"/>
      <c r="S619" s="70"/>
      <c r="T619" s="70"/>
      <c r="U619" s="69"/>
    </row>
    <row r="620" spans="1:21" ht="17.25" customHeight="1" x14ac:dyDescent="0.3">
      <c r="A620" s="66"/>
      <c r="C620" s="67"/>
      <c r="D620" s="68"/>
      <c r="E620" s="68"/>
      <c r="F620" s="68"/>
      <c r="G620" s="68"/>
      <c r="H620" s="68"/>
      <c r="I620" s="68"/>
      <c r="J620" s="68"/>
      <c r="K620" s="68"/>
      <c r="L620" s="68"/>
      <c r="M620" s="68"/>
      <c r="N620" s="68"/>
      <c r="O620" s="68"/>
      <c r="P620" s="68"/>
      <c r="Q620" s="68"/>
      <c r="R620" s="68"/>
      <c r="S620" s="68"/>
      <c r="T620" s="68"/>
      <c r="U620" s="68"/>
    </row>
    <row r="621" spans="1:21" ht="17.25" customHeight="1" x14ac:dyDescent="0.3">
      <c r="A621" s="66"/>
      <c r="C621" s="67"/>
      <c r="D621" s="68"/>
      <c r="E621" s="68"/>
      <c r="F621" s="68"/>
      <c r="G621" s="68"/>
      <c r="H621" s="68"/>
      <c r="I621" s="68"/>
      <c r="J621" s="68"/>
      <c r="K621" s="68"/>
      <c r="L621" s="68"/>
      <c r="M621" s="68"/>
      <c r="N621" s="68"/>
      <c r="O621" s="68"/>
      <c r="P621" s="68"/>
      <c r="Q621" s="68"/>
      <c r="R621" s="68"/>
      <c r="S621" s="68"/>
      <c r="T621" s="68"/>
      <c r="U621" s="68"/>
    </row>
    <row r="622" spans="1:21" ht="17.25" customHeight="1" x14ac:dyDescent="0.3">
      <c r="A622" s="66"/>
      <c r="C622" s="67"/>
      <c r="D622" s="68"/>
      <c r="E622" s="68"/>
      <c r="F622" s="68"/>
      <c r="G622" s="68"/>
      <c r="H622" s="68"/>
      <c r="I622" s="68"/>
      <c r="J622" s="68"/>
      <c r="K622" s="68"/>
      <c r="L622" s="68"/>
      <c r="M622" s="68"/>
      <c r="N622" s="68"/>
      <c r="O622" s="68"/>
      <c r="P622" s="68"/>
      <c r="Q622" s="68"/>
      <c r="R622" s="68"/>
      <c r="S622" s="68"/>
      <c r="T622" s="68"/>
      <c r="U622" s="68"/>
    </row>
    <row r="623" spans="1:21" ht="17.25" customHeight="1" x14ac:dyDescent="0.3">
      <c r="A623" s="66"/>
      <c r="C623" s="67"/>
      <c r="D623" s="68"/>
      <c r="E623" s="68"/>
      <c r="F623" s="68"/>
      <c r="G623" s="68"/>
      <c r="H623" s="68"/>
      <c r="I623" s="68"/>
      <c r="J623" s="68"/>
      <c r="K623" s="68"/>
      <c r="L623" s="68"/>
      <c r="M623" s="68"/>
      <c r="N623" s="68"/>
      <c r="O623" s="68"/>
      <c r="P623" s="68"/>
      <c r="Q623" s="68"/>
      <c r="R623" s="68"/>
      <c r="S623" s="68"/>
      <c r="T623" s="68"/>
      <c r="U623" s="68"/>
    </row>
    <row r="624" spans="1:21" ht="17.25" customHeight="1" x14ac:dyDescent="0.3">
      <c r="A624" s="66"/>
      <c r="C624" s="67"/>
      <c r="D624" s="68"/>
      <c r="E624" s="68"/>
      <c r="F624" s="68"/>
      <c r="G624" s="68"/>
      <c r="H624" s="68"/>
      <c r="I624" s="68"/>
      <c r="J624" s="68"/>
      <c r="K624" s="68"/>
      <c r="L624" s="68"/>
      <c r="M624" s="68"/>
      <c r="N624" s="68"/>
      <c r="O624" s="68"/>
      <c r="P624" s="68"/>
      <c r="Q624" s="68"/>
      <c r="R624" s="68"/>
      <c r="S624" s="68"/>
      <c r="T624" s="68"/>
      <c r="U624" s="68"/>
    </row>
    <row r="625" spans="1:21" ht="17.25" customHeight="1" x14ac:dyDescent="0.3">
      <c r="A625" s="66"/>
      <c r="C625" s="67"/>
      <c r="D625" s="68"/>
      <c r="E625" s="68"/>
      <c r="F625" s="68"/>
      <c r="G625" s="68"/>
      <c r="H625" s="68"/>
      <c r="I625" s="68"/>
      <c r="J625" s="68"/>
      <c r="K625" s="68"/>
      <c r="L625" s="68"/>
      <c r="M625" s="68"/>
      <c r="N625" s="68"/>
      <c r="O625" s="68"/>
      <c r="P625" s="68"/>
      <c r="Q625" s="68"/>
      <c r="R625" s="68"/>
      <c r="S625" s="68"/>
      <c r="T625" s="68"/>
      <c r="U625" s="68"/>
    </row>
    <row r="626" spans="1:21" ht="17.25" customHeight="1" x14ac:dyDescent="0.3">
      <c r="A626" s="66"/>
      <c r="C626" s="67"/>
      <c r="D626" s="68"/>
      <c r="E626" s="68"/>
      <c r="F626" s="68"/>
      <c r="G626" s="68"/>
      <c r="H626" s="68"/>
      <c r="I626" s="68"/>
      <c r="J626" s="68"/>
      <c r="K626" s="68"/>
      <c r="L626" s="68"/>
      <c r="M626" s="68"/>
      <c r="N626" s="68"/>
      <c r="O626" s="68"/>
      <c r="P626" s="68"/>
      <c r="Q626" s="68"/>
      <c r="R626" s="68"/>
      <c r="S626" s="68"/>
      <c r="T626" s="68"/>
      <c r="U626" s="68"/>
    </row>
    <row r="627" spans="1:21" ht="17.25" customHeight="1" x14ac:dyDescent="0.3">
      <c r="A627" s="66"/>
      <c r="C627" s="67"/>
      <c r="D627" s="68"/>
      <c r="E627" s="68"/>
      <c r="F627" s="68"/>
      <c r="G627" s="68"/>
      <c r="H627" s="68"/>
      <c r="I627" s="68"/>
      <c r="J627" s="68"/>
      <c r="K627" s="68"/>
      <c r="L627" s="68"/>
      <c r="M627" s="68"/>
      <c r="N627" s="68"/>
      <c r="O627" s="68"/>
      <c r="P627" s="68"/>
      <c r="Q627" s="68"/>
      <c r="R627" s="68"/>
      <c r="S627" s="68"/>
      <c r="T627" s="68"/>
      <c r="U627" s="68"/>
    </row>
    <row r="628" spans="1:21" ht="17.25" customHeight="1" x14ac:dyDescent="0.3">
      <c r="A628" s="66"/>
      <c r="C628" s="67"/>
      <c r="D628" s="67"/>
      <c r="E628" s="67"/>
      <c r="F628" s="67"/>
      <c r="G628" s="67"/>
      <c r="H628" s="67"/>
      <c r="I628" s="67"/>
      <c r="J628" s="67"/>
      <c r="K628" s="67"/>
      <c r="L628" s="67"/>
      <c r="M628" s="67"/>
      <c r="N628" s="67"/>
      <c r="O628" s="67"/>
      <c r="P628" s="67"/>
      <c r="Q628" s="67"/>
      <c r="R628" s="67"/>
      <c r="S628" s="67"/>
      <c r="T628" s="67"/>
      <c r="U628" s="67"/>
    </row>
    <row r="629" spans="1:21" ht="17.25" customHeight="1" x14ac:dyDescent="0.3">
      <c r="A629" s="66"/>
      <c r="C629" s="67"/>
      <c r="D629" s="67"/>
      <c r="E629" s="67"/>
      <c r="F629" s="67"/>
      <c r="G629" s="67"/>
      <c r="H629" s="67"/>
      <c r="I629" s="67"/>
      <c r="J629" s="67"/>
      <c r="K629" s="67"/>
      <c r="L629" s="67"/>
      <c r="M629" s="67"/>
      <c r="N629" s="67"/>
      <c r="O629" s="67"/>
      <c r="P629" s="67"/>
      <c r="Q629" s="67"/>
      <c r="R629" s="67"/>
      <c r="S629" s="67"/>
      <c r="T629" s="67"/>
      <c r="U629" s="67"/>
    </row>
    <row r="630" spans="1:21" ht="14.25" customHeight="1" x14ac:dyDescent="0.25">
      <c r="A630" s="66"/>
    </row>
    <row r="631" spans="1:21" ht="14.25" customHeight="1" x14ac:dyDescent="0.25">
      <c r="A631" s="66"/>
    </row>
    <row r="632" spans="1:21" ht="14.25" customHeight="1" x14ac:dyDescent="0.25">
      <c r="A632" s="66"/>
    </row>
    <row r="633" spans="1:21" ht="14.25" customHeight="1" x14ac:dyDescent="0.25">
      <c r="A633" s="66"/>
    </row>
    <row r="634" spans="1:21" ht="14.25" customHeight="1" x14ac:dyDescent="0.25">
      <c r="A634" s="66"/>
    </row>
    <row r="635" spans="1:21" ht="14.25" customHeight="1" x14ac:dyDescent="0.25">
      <c r="A635" s="66"/>
    </row>
    <row r="636" spans="1:21" ht="14.25" customHeight="1" x14ac:dyDescent="0.25">
      <c r="A636" s="66"/>
    </row>
    <row r="637" spans="1:21" ht="14.25" customHeight="1" x14ac:dyDescent="0.25">
      <c r="A637" s="66"/>
    </row>
    <row r="638" spans="1:21" ht="14.25" customHeight="1" x14ac:dyDescent="0.25">
      <c r="A638" s="66"/>
    </row>
  </sheetData>
  <mergeCells count="1">
    <mergeCell ref="E3:F3"/>
  </mergeCells>
  <pageMargins left="0.25" right="0.25" top="0.75" bottom="0.75" header="0.3" footer="0.3"/>
  <pageSetup scale="35"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365"/>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19.5703125" style="65" bestFit="1" customWidth="1"/>
    <col min="6" max="6" width="60.7109375"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21.7109375" style="65" bestFit="1" customWidth="1"/>
    <col min="13" max="13" width="14.5703125" style="65" bestFit="1" customWidth="1"/>
    <col min="14" max="14" width="26.7109375" style="65" customWidth="1"/>
    <col min="15" max="15" width="15" style="65" bestFit="1" customWidth="1"/>
    <col min="16" max="16" width="10.8554687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39090</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"NY-WHSE2"</f>
        <v>NY-WHSE2</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C100003</v>
      </c>
      <c r="E12" s="91" t="str">
        <f>"C100003"</f>
        <v>C100003</v>
      </c>
      <c r="F12" s="89" t="str">
        <f>"Cherry Finish Frame"</f>
        <v>Cherry Finish Frame</v>
      </c>
      <c r="G12" s="89"/>
      <c r="H12" s="90" t="str">
        <f>"EA"</f>
        <v>EA</v>
      </c>
      <c r="I12" s="89"/>
      <c r="J12" s="89"/>
      <c r="K12" s="89"/>
      <c r="L12" s="89"/>
      <c r="M12" s="89"/>
      <c r="N12" s="89"/>
      <c r="O12" s="88">
        <f>(SUBTOTAL(9,O13:O14))</f>
        <v>0</v>
      </c>
      <c r="P12" s="88">
        <f>(SUBTOTAL(9,P13:P14))</f>
        <v>-12</v>
      </c>
      <c r="Q12" s="88">
        <f>(SUBTOTAL(9,Q13:Q14))</f>
        <v>0</v>
      </c>
      <c r="R12" s="88">
        <f>(SUBTOTAL(9,R13:R14))</f>
        <v>0</v>
      </c>
      <c r="S12" s="88">
        <f>(SUBTOTAL(9,S13:S14))</f>
        <v>0</v>
      </c>
      <c r="T12" s="88">
        <f>(SUBTOTAL(9,T13:T14))</f>
        <v>0</v>
      </c>
      <c r="U12" s="87">
        <f>SUBTOTAL(9,O13:T14)</f>
        <v>-12</v>
      </c>
    </row>
    <row r="13" spans="1:21" ht="17.25" customHeight="1" x14ac:dyDescent="0.3">
      <c r="A13" s="66"/>
      <c r="C13" s="67"/>
      <c r="D13" s="77" t="str">
        <f>D12</f>
        <v>C100003</v>
      </c>
      <c r="E13" s="77"/>
      <c r="F13" s="76"/>
      <c r="G13" s="76" t="str">
        <f>"""NAV Direct"",""CRONUS JetCorp USA"",""32"",""1"",""20385"""</f>
        <v>"NAV Direct","CRONUS JetCorp USA","32","1","20385"</v>
      </c>
      <c r="H13" s="86">
        <v>43473</v>
      </c>
      <c r="I13" s="85">
        <v>20385</v>
      </c>
      <c r="J13" s="84" t="str">
        <f>"Customer"</f>
        <v>Customer</v>
      </c>
      <c r="K13" s="84" t="str">
        <f>"C100130"</f>
        <v>C100130</v>
      </c>
      <c r="L13" s="84" t="str">
        <f>IF($J13="Customer",_xll.NL("first",$J13,"Name","No.","@@"&amp;$K13),"")</f>
        <v>Hotspot Systems</v>
      </c>
      <c r="M13" s="84" t="str">
        <f>""</f>
        <v/>
      </c>
      <c r="N13" s="84" t="str">
        <f>IF($J13="Item",_xll.NL("first",$J13,"Description","No.","@@"&amp;$K13),"")</f>
        <v/>
      </c>
      <c r="O13" s="83">
        <v>0</v>
      </c>
      <c r="P13" s="83">
        <v>-12</v>
      </c>
      <c r="Q13" s="83">
        <v>0</v>
      </c>
      <c r="R13" s="83">
        <v>0</v>
      </c>
      <c r="S13" s="83">
        <v>0</v>
      </c>
      <c r="T13" s="83">
        <v>0</v>
      </c>
      <c r="U13" s="82"/>
    </row>
    <row r="14" spans="1:21" ht="17.25" customHeight="1" x14ac:dyDescent="0.3">
      <c r="A14" s="66"/>
      <c r="C14" s="67"/>
      <c r="D14" s="77"/>
      <c r="E14" s="77"/>
      <c r="F14" s="76"/>
      <c r="G14" s="76"/>
      <c r="H14" s="76"/>
      <c r="I14" s="76"/>
      <c r="J14" s="76"/>
      <c r="K14" s="76"/>
      <c r="L14" s="76"/>
      <c r="M14" s="76"/>
      <c r="N14" s="76"/>
      <c r="O14" s="75"/>
      <c r="P14" s="75"/>
      <c r="Q14" s="75"/>
      <c r="R14" s="75"/>
      <c r="S14" s="75"/>
      <c r="T14" s="75"/>
      <c r="U14" s="74"/>
    </row>
    <row r="15" spans="1:21" ht="17.25" customHeight="1" x14ac:dyDescent="0.3">
      <c r="A15" s="66"/>
      <c r="C15" s="67"/>
      <c r="D15" s="77"/>
      <c r="E15" s="77" t="s">
        <v>31</v>
      </c>
      <c r="F15" s="76" t="s">
        <v>31</v>
      </c>
      <c r="G15" s="76" t="s">
        <v>31</v>
      </c>
      <c r="H15" s="76"/>
      <c r="I15" s="76"/>
      <c r="J15" s="76" t="s">
        <v>31</v>
      </c>
      <c r="K15" s="76" t="s">
        <v>31</v>
      </c>
      <c r="L15" s="76" t="s">
        <v>31</v>
      </c>
      <c r="M15" s="76" t="s">
        <v>31</v>
      </c>
      <c r="N15" s="76"/>
      <c r="U15" s="81"/>
    </row>
    <row r="16" spans="1:21" ht="20.25" customHeight="1" x14ac:dyDescent="0.35">
      <c r="A16" s="66" t="s">
        <v>30</v>
      </c>
      <c r="C16" s="67"/>
      <c r="D16" s="92" t="str">
        <f t="shared" ref="D16" si="0">E16</f>
        <v>C100005</v>
      </c>
      <c r="E16" s="91" t="str">
        <f>"C100005"</f>
        <v>C100005</v>
      </c>
      <c r="F16" s="89" t="str">
        <f>"Cherry Finished Crystal Award"</f>
        <v>Cherry Finished Crystal Award</v>
      </c>
      <c r="G16" s="89"/>
      <c r="H16" s="90" t="str">
        <f>"EA"</f>
        <v>EA</v>
      </c>
      <c r="I16" s="89"/>
      <c r="J16" s="89"/>
      <c r="K16" s="89"/>
      <c r="L16" s="89"/>
      <c r="M16" s="89"/>
      <c r="N16" s="89"/>
      <c r="O16" s="88">
        <f>(SUBTOTAL(9,O17:O19))</f>
        <v>100</v>
      </c>
      <c r="P16" s="88">
        <f>(SUBTOTAL(9,P17:P19))</f>
        <v>-48</v>
      </c>
      <c r="Q16" s="88">
        <f>(SUBTOTAL(9,Q17:Q19))</f>
        <v>0</v>
      </c>
      <c r="R16" s="88">
        <f>(SUBTOTAL(9,R17:R19))</f>
        <v>0</v>
      </c>
      <c r="S16" s="88">
        <f>(SUBTOTAL(9,S17:S19))</f>
        <v>0</v>
      </c>
      <c r="T16" s="88">
        <f>(SUBTOTAL(9,T17:T19))</f>
        <v>0</v>
      </c>
      <c r="U16" s="87">
        <f t="shared" ref="U16" si="1">SUBTOTAL(9,O17:T19)</f>
        <v>52</v>
      </c>
    </row>
    <row r="17" spans="1:21" ht="17.25" customHeight="1" x14ac:dyDescent="0.3">
      <c r="A17" s="66" t="s">
        <v>30</v>
      </c>
      <c r="C17" s="67"/>
      <c r="D17" s="77" t="str">
        <f t="shared" ref="D17" si="2">D16</f>
        <v>C100005</v>
      </c>
      <c r="E17" s="77"/>
      <c r="F17" s="76"/>
      <c r="G17" s="76" t="str">
        <f>"""NAV Direct"",""CRONUS JetCorp USA"",""32"",""1"",""166428"""</f>
        <v>"NAV Direct","CRONUS JetCorp USA","32","1","166428"</v>
      </c>
      <c r="H17" s="86">
        <v>43466</v>
      </c>
      <c r="I17" s="85">
        <v>166428</v>
      </c>
      <c r="J17" s="84" t="str">
        <f>"Vendor"</f>
        <v>Vendor</v>
      </c>
      <c r="K17" s="84" t="str">
        <f>"V100001"</f>
        <v>V100001</v>
      </c>
      <c r="L17" s="84" t="str">
        <f>IF($J17="Customer",_xll.NL("first",$J17,"Name","No.","@@"&amp;$K17),"")</f>
        <v/>
      </c>
      <c r="M17" s="84" t="str">
        <f>"Greigner, Inc."</f>
        <v>Greigner, Inc.</v>
      </c>
      <c r="N17" s="84" t="str">
        <f>IF($J17="Item",_xll.NL("first",$J17,"Description","No.","@@"&amp;$K17),"")</f>
        <v/>
      </c>
      <c r="O17" s="83">
        <v>100</v>
      </c>
      <c r="P17" s="83">
        <v>0</v>
      </c>
      <c r="Q17" s="83">
        <v>0</v>
      </c>
      <c r="R17" s="83">
        <v>0</v>
      </c>
      <c r="S17" s="83">
        <v>0</v>
      </c>
      <c r="T17" s="83">
        <v>0</v>
      </c>
      <c r="U17" s="82"/>
    </row>
    <row r="18" spans="1:21" ht="17.25" customHeight="1" x14ac:dyDescent="0.3">
      <c r="A18" s="66" t="s">
        <v>30</v>
      </c>
      <c r="C18" s="67"/>
      <c r="D18" s="77" t="str">
        <f t="shared" ref="D18" si="3">D17</f>
        <v>C100005</v>
      </c>
      <c r="E18" s="77"/>
      <c r="F18" s="76"/>
      <c r="G18" s="76" t="str">
        <f>"""NAV Direct"",""CRONUS JetCorp USA"",""32"",""1"",""20377"""</f>
        <v>"NAV Direct","CRONUS JetCorp USA","32","1","20377"</v>
      </c>
      <c r="H18" s="86">
        <v>43473</v>
      </c>
      <c r="I18" s="85">
        <v>20377</v>
      </c>
      <c r="J18" s="84" t="str">
        <f>"Customer"</f>
        <v>Customer</v>
      </c>
      <c r="K18" s="84" t="str">
        <f>"C100130"</f>
        <v>C100130</v>
      </c>
      <c r="L18" s="84" t="str">
        <f>IF($J18="Customer",_xll.NL("first",$J18,"Name","No.","@@"&amp;$K18),"")</f>
        <v>Hotspot Systems</v>
      </c>
      <c r="M18" s="84" t="str">
        <f>""</f>
        <v/>
      </c>
      <c r="N18" s="84" t="str">
        <f>IF($J18="Item",_xll.NL("first",$J18,"Description","No.","@@"&amp;$K18),"")</f>
        <v/>
      </c>
      <c r="O18" s="83">
        <v>0</v>
      </c>
      <c r="P18" s="83">
        <v>-48</v>
      </c>
      <c r="Q18" s="83">
        <v>0</v>
      </c>
      <c r="R18" s="83">
        <v>0</v>
      </c>
      <c r="S18" s="83">
        <v>0</v>
      </c>
      <c r="T18" s="83">
        <v>0</v>
      </c>
      <c r="U18" s="82"/>
    </row>
    <row r="19" spans="1:21" ht="17.25" customHeight="1" x14ac:dyDescent="0.3">
      <c r="A19" s="66" t="s">
        <v>30</v>
      </c>
      <c r="C19" s="67"/>
      <c r="D19" s="77"/>
      <c r="E19" s="77"/>
      <c r="F19" s="76"/>
      <c r="G19" s="76"/>
      <c r="H19" s="76"/>
      <c r="I19" s="76"/>
      <c r="J19" s="76"/>
      <c r="K19" s="76"/>
      <c r="L19" s="76"/>
      <c r="M19" s="76"/>
      <c r="N19" s="76"/>
      <c r="O19" s="75"/>
      <c r="P19" s="75"/>
      <c r="Q19" s="75"/>
      <c r="R19" s="75"/>
      <c r="S19" s="75"/>
      <c r="T19" s="75"/>
      <c r="U19" s="74"/>
    </row>
    <row r="20" spans="1:21" ht="17.25" customHeight="1" x14ac:dyDescent="0.3">
      <c r="A20" s="66" t="s">
        <v>30</v>
      </c>
      <c r="C20" s="67"/>
      <c r="D20" s="77"/>
      <c r="E20" s="77" t="s">
        <v>31</v>
      </c>
      <c r="F20" s="76" t="s">
        <v>31</v>
      </c>
      <c r="G20" s="76" t="s">
        <v>31</v>
      </c>
      <c r="H20" s="76"/>
      <c r="I20" s="76"/>
      <c r="J20" s="76" t="s">
        <v>31</v>
      </c>
      <c r="K20" s="76" t="s">
        <v>31</v>
      </c>
      <c r="L20" s="76" t="s">
        <v>31</v>
      </c>
      <c r="M20" s="76" t="s">
        <v>31</v>
      </c>
      <c r="N20" s="76"/>
      <c r="U20" s="81"/>
    </row>
    <row r="21" spans="1:21" ht="20.25" customHeight="1" x14ac:dyDescent="0.35">
      <c r="A21" s="66" t="s">
        <v>30</v>
      </c>
      <c r="C21" s="67"/>
      <c r="D21" s="92" t="str">
        <f t="shared" ref="D21" si="4">E21</f>
        <v>C100006</v>
      </c>
      <c r="E21" s="91" t="str">
        <f>"C100006"</f>
        <v>C100006</v>
      </c>
      <c r="F21" s="89" t="str">
        <f>"Cherry Finished Crystal Award- Large"</f>
        <v>Cherry Finished Crystal Award- Large</v>
      </c>
      <c r="G21" s="89"/>
      <c r="H21" s="90" t="str">
        <f>"EA"</f>
        <v>EA</v>
      </c>
      <c r="I21" s="89"/>
      <c r="J21" s="89"/>
      <c r="K21" s="89"/>
      <c r="L21" s="89"/>
      <c r="M21" s="89"/>
      <c r="N21" s="89"/>
      <c r="O21" s="88">
        <f>(SUBTOTAL(9,O22:O24))</f>
        <v>100</v>
      </c>
      <c r="P21" s="88">
        <f>(SUBTOTAL(9,P22:P24))</f>
        <v>-96</v>
      </c>
      <c r="Q21" s="88">
        <f>(SUBTOTAL(9,Q22:Q24))</f>
        <v>0</v>
      </c>
      <c r="R21" s="88">
        <f>(SUBTOTAL(9,R22:R24))</f>
        <v>0</v>
      </c>
      <c r="S21" s="88">
        <f>(SUBTOTAL(9,S22:S24))</f>
        <v>0</v>
      </c>
      <c r="T21" s="88">
        <f>(SUBTOTAL(9,T22:T24))</f>
        <v>0</v>
      </c>
      <c r="U21" s="87">
        <f t="shared" ref="U21" si="5">SUBTOTAL(9,O22:T24)</f>
        <v>4</v>
      </c>
    </row>
    <row r="22" spans="1:21" ht="17.25" customHeight="1" x14ac:dyDescent="0.3">
      <c r="A22" s="66" t="s">
        <v>30</v>
      </c>
      <c r="C22" s="67"/>
      <c r="D22" s="77" t="str">
        <f t="shared" ref="D22" si="6">D21</f>
        <v>C100006</v>
      </c>
      <c r="E22" s="77"/>
      <c r="F22" s="76"/>
      <c r="G22" s="76" t="str">
        <f>"""NAV Direct"",""CRONUS JetCorp USA"",""32"",""1"",""166427"""</f>
        <v>"NAV Direct","CRONUS JetCorp USA","32","1","166427"</v>
      </c>
      <c r="H22" s="86">
        <v>43466</v>
      </c>
      <c r="I22" s="85">
        <v>166427</v>
      </c>
      <c r="J22" s="84" t="str">
        <f>"Vendor"</f>
        <v>Vendor</v>
      </c>
      <c r="K22" s="84" t="str">
        <f>"V100001"</f>
        <v>V100001</v>
      </c>
      <c r="L22" s="84" t="str">
        <f>IF($J22="Customer",_xll.NL("first",$J22,"Name","No.","@@"&amp;$K22),"")</f>
        <v/>
      </c>
      <c r="M22" s="84" t="str">
        <f>"Greigner, Inc."</f>
        <v>Greigner, Inc.</v>
      </c>
      <c r="N22" s="84" t="str">
        <f>IF($J22="Item",_xll.NL("first",$J22,"Description","No.","@@"&amp;$K22),"")</f>
        <v/>
      </c>
      <c r="O22" s="83">
        <v>100</v>
      </c>
      <c r="P22" s="83">
        <v>0</v>
      </c>
      <c r="Q22" s="83">
        <v>0</v>
      </c>
      <c r="R22" s="83">
        <v>0</v>
      </c>
      <c r="S22" s="83">
        <v>0</v>
      </c>
      <c r="T22" s="83">
        <v>0</v>
      </c>
      <c r="U22" s="82"/>
    </row>
    <row r="23" spans="1:21" ht="17.25" customHeight="1" x14ac:dyDescent="0.3">
      <c r="A23" s="66" t="s">
        <v>30</v>
      </c>
      <c r="C23" s="67"/>
      <c r="D23" s="77" t="str">
        <f t="shared" ref="D23" si="7">D22</f>
        <v>C100006</v>
      </c>
      <c r="E23" s="77"/>
      <c r="F23" s="76"/>
      <c r="G23" s="76" t="str">
        <f>"""NAV Direct"",""CRONUS JetCorp USA"",""32"",""1"",""20408"""</f>
        <v>"NAV Direct","CRONUS JetCorp USA","32","1","20408"</v>
      </c>
      <c r="H23" s="86">
        <v>43475</v>
      </c>
      <c r="I23" s="85">
        <v>20408</v>
      </c>
      <c r="J23" s="84" t="str">
        <f>"Customer"</f>
        <v>Customer</v>
      </c>
      <c r="K23" s="84" t="str">
        <f>"C100130"</f>
        <v>C100130</v>
      </c>
      <c r="L23" s="84" t="str">
        <f>IF($J23="Customer",_xll.NL("first",$J23,"Name","No.","@@"&amp;$K23),"")</f>
        <v>Hotspot Systems</v>
      </c>
      <c r="M23" s="84" t="str">
        <f>""</f>
        <v/>
      </c>
      <c r="N23" s="84" t="str">
        <f>IF($J23="Item",_xll.NL("first",$J23,"Description","No.","@@"&amp;$K23),"")</f>
        <v/>
      </c>
      <c r="O23" s="83">
        <v>0</v>
      </c>
      <c r="P23" s="83">
        <v>-96</v>
      </c>
      <c r="Q23" s="83">
        <v>0</v>
      </c>
      <c r="R23" s="83">
        <v>0</v>
      </c>
      <c r="S23" s="83">
        <v>0</v>
      </c>
      <c r="T23" s="83">
        <v>0</v>
      </c>
      <c r="U23" s="82"/>
    </row>
    <row r="24" spans="1:21" ht="17.25" customHeight="1" x14ac:dyDescent="0.3">
      <c r="A24" s="66" t="s">
        <v>30</v>
      </c>
      <c r="C24" s="67"/>
      <c r="D24" s="77"/>
      <c r="E24" s="77"/>
      <c r="F24" s="76"/>
      <c r="G24" s="76"/>
      <c r="H24" s="76"/>
      <c r="I24" s="76"/>
      <c r="J24" s="76"/>
      <c r="K24" s="76"/>
      <c r="L24" s="76"/>
      <c r="M24" s="76"/>
      <c r="N24" s="76"/>
      <c r="O24" s="75"/>
      <c r="P24" s="75"/>
      <c r="Q24" s="75"/>
      <c r="R24" s="75"/>
      <c r="S24" s="75"/>
      <c r="T24" s="75"/>
      <c r="U24" s="74"/>
    </row>
    <row r="25" spans="1:21" ht="17.25" customHeight="1" x14ac:dyDescent="0.3">
      <c r="A25" s="66" t="s">
        <v>30</v>
      </c>
      <c r="C25" s="67"/>
      <c r="D25" s="77"/>
      <c r="E25" s="77" t="s">
        <v>31</v>
      </c>
      <c r="F25" s="76" t="s">
        <v>31</v>
      </c>
      <c r="G25" s="76" t="s">
        <v>31</v>
      </c>
      <c r="H25" s="76"/>
      <c r="I25" s="76"/>
      <c r="J25" s="76" t="s">
        <v>31</v>
      </c>
      <c r="K25" s="76" t="s">
        <v>31</v>
      </c>
      <c r="L25" s="76" t="s">
        <v>31</v>
      </c>
      <c r="M25" s="76" t="s">
        <v>31</v>
      </c>
      <c r="N25" s="76"/>
      <c r="U25" s="81"/>
    </row>
    <row r="26" spans="1:21" ht="20.25" customHeight="1" x14ac:dyDescent="0.35">
      <c r="A26" s="66" t="s">
        <v>30</v>
      </c>
      <c r="C26" s="67"/>
      <c r="D26" s="92" t="str">
        <f t="shared" ref="D26" si="8">E26</f>
        <v>C100017</v>
      </c>
      <c r="E26" s="91" t="str">
        <f>"C100017"</f>
        <v>C100017</v>
      </c>
      <c r="F26" s="89" t="str">
        <f>"Wheeled Duffel"</f>
        <v>Wheeled Duffel</v>
      </c>
      <c r="G26" s="89"/>
      <c r="H26" s="90" t="str">
        <f>"EA"</f>
        <v>EA</v>
      </c>
      <c r="I26" s="89"/>
      <c r="J26" s="89"/>
      <c r="K26" s="89"/>
      <c r="L26" s="89"/>
      <c r="M26" s="89"/>
      <c r="N26" s="89"/>
      <c r="O26" s="88">
        <f>(SUBTOTAL(9,O27:O28))</f>
        <v>0</v>
      </c>
      <c r="P26" s="88">
        <f>(SUBTOTAL(9,P27:P28))</f>
        <v>-1</v>
      </c>
      <c r="Q26" s="88">
        <f>(SUBTOTAL(9,Q27:Q28))</f>
        <v>0</v>
      </c>
      <c r="R26" s="88">
        <f>(SUBTOTAL(9,R27:R28))</f>
        <v>0</v>
      </c>
      <c r="S26" s="88">
        <f>(SUBTOTAL(9,S27:S28))</f>
        <v>0</v>
      </c>
      <c r="T26" s="88">
        <f>(SUBTOTAL(9,T27:T28))</f>
        <v>0</v>
      </c>
      <c r="U26" s="87">
        <f t="shared" ref="U26" si="9">SUBTOTAL(9,O27:T28)</f>
        <v>-1</v>
      </c>
    </row>
    <row r="27" spans="1:21" ht="17.25" customHeight="1" x14ac:dyDescent="0.3">
      <c r="A27" s="66" t="s">
        <v>30</v>
      </c>
      <c r="C27" s="67"/>
      <c r="D27" s="77" t="str">
        <f t="shared" ref="D27" si="10">D26</f>
        <v>C100017</v>
      </c>
      <c r="E27" s="77"/>
      <c r="F27" s="76"/>
      <c r="G27" s="76" t="str">
        <f>"""NAV Direct"",""CRONUS JetCorp USA"",""32"",""1"",""20411"""</f>
        <v>"NAV Direct","CRONUS JetCorp USA","32","1","20411"</v>
      </c>
      <c r="H27" s="86">
        <v>43475</v>
      </c>
      <c r="I27" s="85">
        <v>20411</v>
      </c>
      <c r="J27" s="84" t="str">
        <f>"Customer"</f>
        <v>Customer</v>
      </c>
      <c r="K27" s="84" t="str">
        <f>"C100130"</f>
        <v>C100130</v>
      </c>
      <c r="L27" s="84" t="str">
        <f>IF($J27="Customer",_xll.NL("first",$J27,"Name","No.","@@"&amp;$K27),"")</f>
        <v>Hotspot Systems</v>
      </c>
      <c r="M27" s="84" t="str">
        <f>""</f>
        <v/>
      </c>
      <c r="N27" s="84" t="str">
        <f>IF($J27="Item",_xll.NL("first",$J27,"Description","No.","@@"&amp;$K27),"")</f>
        <v/>
      </c>
      <c r="O27" s="83">
        <v>0</v>
      </c>
      <c r="P27" s="83">
        <v>-1</v>
      </c>
      <c r="Q27" s="83">
        <v>0</v>
      </c>
      <c r="R27" s="83">
        <v>0</v>
      </c>
      <c r="S27" s="83">
        <v>0</v>
      </c>
      <c r="T27" s="83">
        <v>0</v>
      </c>
      <c r="U27" s="82"/>
    </row>
    <row r="28" spans="1:21" ht="17.25" customHeight="1" x14ac:dyDescent="0.3">
      <c r="A28" s="66" t="s">
        <v>30</v>
      </c>
      <c r="C28" s="67"/>
      <c r="D28" s="77"/>
      <c r="E28" s="77"/>
      <c r="F28" s="76"/>
      <c r="G28" s="76"/>
      <c r="H28" s="76"/>
      <c r="I28" s="76"/>
      <c r="J28" s="76"/>
      <c r="K28" s="76"/>
      <c r="L28" s="76"/>
      <c r="M28" s="76"/>
      <c r="N28" s="76"/>
      <c r="O28" s="75"/>
      <c r="P28" s="75"/>
      <c r="Q28" s="75"/>
      <c r="R28" s="75"/>
      <c r="S28" s="75"/>
      <c r="T28" s="75"/>
      <c r="U28" s="74"/>
    </row>
    <row r="29" spans="1:21" ht="17.25" customHeight="1" x14ac:dyDescent="0.3">
      <c r="A29" s="66" t="s">
        <v>30</v>
      </c>
      <c r="C29" s="67"/>
      <c r="D29" s="77"/>
      <c r="E29" s="77" t="s">
        <v>31</v>
      </c>
      <c r="F29" s="76" t="s">
        <v>31</v>
      </c>
      <c r="G29" s="76" t="s">
        <v>31</v>
      </c>
      <c r="H29" s="76"/>
      <c r="I29" s="76"/>
      <c r="J29" s="76" t="s">
        <v>31</v>
      </c>
      <c r="K29" s="76" t="s">
        <v>31</v>
      </c>
      <c r="L29" s="76" t="s">
        <v>31</v>
      </c>
      <c r="M29" s="76" t="s">
        <v>31</v>
      </c>
      <c r="N29" s="76"/>
      <c r="U29" s="81"/>
    </row>
    <row r="30" spans="1:21" ht="20.25" customHeight="1" x14ac:dyDescent="0.35">
      <c r="A30" s="66" t="s">
        <v>30</v>
      </c>
      <c r="C30" s="67"/>
      <c r="D30" s="92" t="str">
        <f t="shared" ref="D30" si="11">E30</f>
        <v>C100022</v>
      </c>
      <c r="E30" s="91" t="str">
        <f>"C100022"</f>
        <v>C100022</v>
      </c>
      <c r="F30" s="89" t="str">
        <f>"Two-Toned Cap"</f>
        <v>Two-Toned Cap</v>
      </c>
      <c r="G30" s="89"/>
      <c r="H30" s="90" t="str">
        <f>"EA"</f>
        <v>EA</v>
      </c>
      <c r="I30" s="89"/>
      <c r="J30" s="89"/>
      <c r="K30" s="89"/>
      <c r="L30" s="89"/>
      <c r="M30" s="89"/>
      <c r="N30" s="89"/>
      <c r="O30" s="88">
        <f>(SUBTOTAL(9,O31:O33))</f>
        <v>400</v>
      </c>
      <c r="P30" s="88">
        <f>(SUBTOTAL(9,P31:P33))</f>
        <v>-336</v>
      </c>
      <c r="Q30" s="88">
        <f>(SUBTOTAL(9,Q31:Q33))</f>
        <v>0</v>
      </c>
      <c r="R30" s="88">
        <f>(SUBTOTAL(9,R31:R33))</f>
        <v>0</v>
      </c>
      <c r="S30" s="88">
        <f>(SUBTOTAL(9,S31:S33))</f>
        <v>0</v>
      </c>
      <c r="T30" s="88">
        <f>(SUBTOTAL(9,T31:T33))</f>
        <v>0</v>
      </c>
      <c r="U30" s="87">
        <f t="shared" ref="U30" si="12">SUBTOTAL(9,O31:T33)</f>
        <v>64</v>
      </c>
    </row>
    <row r="31" spans="1:21" ht="17.25" customHeight="1" x14ac:dyDescent="0.3">
      <c r="A31" s="66" t="s">
        <v>30</v>
      </c>
      <c r="C31" s="67"/>
      <c r="D31" s="77" t="str">
        <f t="shared" ref="D31" si="13">D30</f>
        <v>C100022</v>
      </c>
      <c r="E31" s="77"/>
      <c r="F31" s="76"/>
      <c r="G31" s="76" t="str">
        <f>"""NAV Direct"",""CRONUS JetCorp USA"",""32"",""1"",""167175"""</f>
        <v>"NAV Direct","CRONUS JetCorp USA","32","1","167175"</v>
      </c>
      <c r="H31" s="86">
        <v>43466</v>
      </c>
      <c r="I31" s="85">
        <v>167175</v>
      </c>
      <c r="J31" s="84" t="str">
        <f>"Vendor"</f>
        <v>Vendor</v>
      </c>
      <c r="K31" s="84" t="str">
        <f>"V100001"</f>
        <v>V100001</v>
      </c>
      <c r="L31" s="84" t="str">
        <f>IF($J31="Customer",_xll.NL("first",$J31,"Name","No.","@@"&amp;$K31),"")</f>
        <v/>
      </c>
      <c r="M31" s="84" t="str">
        <f>"Greigner, Inc."</f>
        <v>Greigner, Inc.</v>
      </c>
      <c r="N31" s="84" t="str">
        <f>IF($J31="Item",_xll.NL("first",$J31,"Description","No.","@@"&amp;$K31),"")</f>
        <v/>
      </c>
      <c r="O31" s="83">
        <v>400</v>
      </c>
      <c r="P31" s="83">
        <v>0</v>
      </c>
      <c r="Q31" s="83">
        <v>0</v>
      </c>
      <c r="R31" s="83">
        <v>0</v>
      </c>
      <c r="S31" s="83">
        <v>0</v>
      </c>
      <c r="T31" s="83">
        <v>0</v>
      </c>
      <c r="U31" s="82"/>
    </row>
    <row r="32" spans="1:21" ht="17.25" customHeight="1" x14ac:dyDescent="0.3">
      <c r="A32" s="66" t="s">
        <v>30</v>
      </c>
      <c r="C32" s="67"/>
      <c r="D32" s="77" t="str">
        <f t="shared" ref="D32" si="14">D31</f>
        <v>C100022</v>
      </c>
      <c r="E32" s="77"/>
      <c r="F32" s="76"/>
      <c r="G32" s="76" t="str">
        <f>"""NAV Direct"",""CRONUS JetCorp USA"",""32"",""1"",""20382"""</f>
        <v>"NAV Direct","CRONUS JetCorp USA","32","1","20382"</v>
      </c>
      <c r="H32" s="86">
        <v>43473</v>
      </c>
      <c r="I32" s="85">
        <v>20382</v>
      </c>
      <c r="J32" s="84" t="str">
        <f>"Customer"</f>
        <v>Customer</v>
      </c>
      <c r="K32" s="84" t="str">
        <f>"C100130"</f>
        <v>C100130</v>
      </c>
      <c r="L32" s="84" t="str">
        <f>IF($J32="Customer",_xll.NL("first",$J32,"Name","No.","@@"&amp;$K32),"")</f>
        <v>Hotspot Systems</v>
      </c>
      <c r="M32" s="84" t="str">
        <f>""</f>
        <v/>
      </c>
      <c r="N32" s="84" t="str">
        <f>IF($J32="Item",_xll.NL("first",$J32,"Description","No.","@@"&amp;$K32),"")</f>
        <v/>
      </c>
      <c r="O32" s="83">
        <v>0</v>
      </c>
      <c r="P32" s="83">
        <v>-336</v>
      </c>
      <c r="Q32" s="83">
        <v>0</v>
      </c>
      <c r="R32" s="83">
        <v>0</v>
      </c>
      <c r="S32" s="83">
        <v>0</v>
      </c>
      <c r="T32" s="83">
        <v>0</v>
      </c>
      <c r="U32" s="82"/>
    </row>
    <row r="33" spans="1:21" ht="17.25" customHeight="1" x14ac:dyDescent="0.3">
      <c r="A33" s="66" t="s">
        <v>30</v>
      </c>
      <c r="C33" s="67"/>
      <c r="D33" s="77"/>
      <c r="E33" s="77"/>
      <c r="F33" s="76"/>
      <c r="G33" s="76"/>
      <c r="H33" s="76"/>
      <c r="I33" s="76"/>
      <c r="J33" s="76"/>
      <c r="K33" s="76"/>
      <c r="L33" s="76"/>
      <c r="M33" s="76"/>
      <c r="N33" s="76"/>
      <c r="O33" s="75"/>
      <c r="P33" s="75"/>
      <c r="Q33" s="75"/>
      <c r="R33" s="75"/>
      <c r="S33" s="75"/>
      <c r="T33" s="75"/>
      <c r="U33" s="74"/>
    </row>
    <row r="34" spans="1:21" ht="17.25" customHeight="1" x14ac:dyDescent="0.3">
      <c r="A34" s="66" t="s">
        <v>30</v>
      </c>
      <c r="C34" s="67"/>
      <c r="D34" s="77"/>
      <c r="E34" s="77" t="s">
        <v>31</v>
      </c>
      <c r="F34" s="76" t="s">
        <v>31</v>
      </c>
      <c r="G34" s="76" t="s">
        <v>31</v>
      </c>
      <c r="H34" s="76"/>
      <c r="I34" s="76"/>
      <c r="J34" s="76" t="s">
        <v>31</v>
      </c>
      <c r="K34" s="76" t="s">
        <v>31</v>
      </c>
      <c r="L34" s="76" t="s">
        <v>31</v>
      </c>
      <c r="M34" s="76" t="s">
        <v>31</v>
      </c>
      <c r="N34" s="76"/>
      <c r="U34" s="81"/>
    </row>
    <row r="35" spans="1:21" ht="20.25" customHeight="1" x14ac:dyDescent="0.35">
      <c r="A35" s="66" t="s">
        <v>30</v>
      </c>
      <c r="C35" s="67"/>
      <c r="D35" s="92" t="str">
        <f t="shared" ref="D35" si="15">E35</f>
        <v>C100023</v>
      </c>
      <c r="E35" s="91" t="str">
        <f>"C100023"</f>
        <v>C100023</v>
      </c>
      <c r="F35" s="89" t="str">
        <f>"Two-Toned Knit Hat"</f>
        <v>Two-Toned Knit Hat</v>
      </c>
      <c r="G35" s="89"/>
      <c r="H35" s="90" t="str">
        <f>"EA"</f>
        <v>EA</v>
      </c>
      <c r="I35" s="89"/>
      <c r="J35" s="89"/>
      <c r="K35" s="89"/>
      <c r="L35" s="89"/>
      <c r="M35" s="89"/>
      <c r="N35" s="89"/>
      <c r="O35" s="88">
        <f>(SUBTOTAL(9,O36:O39))</f>
        <v>800</v>
      </c>
      <c r="P35" s="88">
        <f>(SUBTOTAL(9,P36:P39))</f>
        <v>-336</v>
      </c>
      <c r="Q35" s="88">
        <f>(SUBTOTAL(9,Q36:Q39))</f>
        <v>0</v>
      </c>
      <c r="R35" s="88">
        <f>(SUBTOTAL(9,R36:R39))</f>
        <v>0</v>
      </c>
      <c r="S35" s="88">
        <f>(SUBTOTAL(9,S36:S39))</f>
        <v>0</v>
      </c>
      <c r="T35" s="88">
        <f>(SUBTOTAL(9,T36:T39))</f>
        <v>0</v>
      </c>
      <c r="U35" s="87">
        <f t="shared" ref="U35" si="16">SUBTOTAL(9,O36:T39)</f>
        <v>464</v>
      </c>
    </row>
    <row r="36" spans="1:21" ht="17.25" customHeight="1" x14ac:dyDescent="0.3">
      <c r="A36" s="66" t="s">
        <v>30</v>
      </c>
      <c r="C36" s="67"/>
      <c r="D36" s="77" t="str">
        <f t="shared" ref="D36" si="17">D35</f>
        <v>C100023</v>
      </c>
      <c r="E36" s="77"/>
      <c r="F36" s="76"/>
      <c r="G36" s="76" t="str">
        <f>"""NAV Direct"",""CRONUS JetCorp USA"",""32"",""1"",""167174"""</f>
        <v>"NAV Direct","CRONUS JetCorp USA","32","1","167174"</v>
      </c>
      <c r="H36" s="86">
        <v>43466</v>
      </c>
      <c r="I36" s="85">
        <v>167174</v>
      </c>
      <c r="J36" s="84" t="str">
        <f>"Vendor"</f>
        <v>Vendor</v>
      </c>
      <c r="K36" s="84" t="str">
        <f>"V100001"</f>
        <v>V100001</v>
      </c>
      <c r="L36" s="84" t="str">
        <f>IF($J36="Customer",_xll.NL("first",$J36,"Name","No.","@@"&amp;$K36),"")</f>
        <v/>
      </c>
      <c r="M36" s="84" t="str">
        <f>"Greigner, Inc."</f>
        <v>Greigner, Inc.</v>
      </c>
      <c r="N36" s="84" t="str">
        <f>IF($J36="Item",_xll.NL("first",$J36,"Description","No.","@@"&amp;$K36),"")</f>
        <v/>
      </c>
      <c r="O36" s="83">
        <v>800</v>
      </c>
      <c r="P36" s="83">
        <v>0</v>
      </c>
      <c r="Q36" s="83">
        <v>0</v>
      </c>
      <c r="R36" s="83">
        <v>0</v>
      </c>
      <c r="S36" s="83">
        <v>0</v>
      </c>
      <c r="T36" s="83">
        <v>0</v>
      </c>
      <c r="U36" s="82"/>
    </row>
    <row r="37" spans="1:21" ht="17.25" customHeight="1" x14ac:dyDescent="0.3">
      <c r="A37" s="66" t="s">
        <v>30</v>
      </c>
      <c r="C37" s="67"/>
      <c r="D37" s="77" t="str">
        <f t="shared" ref="D37:D38" si="18">D36</f>
        <v>C100023</v>
      </c>
      <c r="E37" s="77"/>
      <c r="F37" s="76"/>
      <c r="G37" s="76" t="str">
        <f>"""NAV Direct"",""CRONUS JetCorp USA"",""32"",""1"",""20393"""</f>
        <v>"NAV Direct","CRONUS JetCorp USA","32","1","20393"</v>
      </c>
      <c r="H37" s="86">
        <v>43473</v>
      </c>
      <c r="I37" s="85">
        <v>20393</v>
      </c>
      <c r="J37" s="84" t="str">
        <f>"Customer"</f>
        <v>Customer</v>
      </c>
      <c r="K37" s="84" t="str">
        <f>"C100130"</f>
        <v>C100130</v>
      </c>
      <c r="L37" s="84" t="str">
        <f>IF($J37="Customer",_xll.NL("first",$J37,"Name","No.","@@"&amp;$K37),"")</f>
        <v>Hotspot Systems</v>
      </c>
      <c r="M37" s="84" t="str">
        <f>""</f>
        <v/>
      </c>
      <c r="N37" s="84" t="str">
        <f>IF($J37="Item",_xll.NL("first",$J37,"Description","No.","@@"&amp;$K37),"")</f>
        <v/>
      </c>
      <c r="O37" s="83">
        <v>0</v>
      </c>
      <c r="P37" s="83">
        <v>-48</v>
      </c>
      <c r="Q37" s="83">
        <v>0</v>
      </c>
      <c r="R37" s="83">
        <v>0</v>
      </c>
      <c r="S37" s="83">
        <v>0</v>
      </c>
      <c r="T37" s="83">
        <v>0</v>
      </c>
      <c r="U37" s="82"/>
    </row>
    <row r="38" spans="1:21" ht="17.25" customHeight="1" x14ac:dyDescent="0.3">
      <c r="A38" s="66" t="s">
        <v>30</v>
      </c>
      <c r="C38" s="67"/>
      <c r="D38" s="77" t="str">
        <f t="shared" si="18"/>
        <v>C100023</v>
      </c>
      <c r="E38" s="77"/>
      <c r="F38" s="76"/>
      <c r="G38" s="76" t="str">
        <f>"""NAV Direct"",""CRONUS JetCorp USA"",""32"",""1"",""64612"""</f>
        <v>"NAV Direct","CRONUS JetCorp USA","32","1","64612"</v>
      </c>
      <c r="H38" s="86">
        <v>43475</v>
      </c>
      <c r="I38" s="85">
        <v>64612</v>
      </c>
      <c r="J38" s="84" t="str">
        <f>"Customer"</f>
        <v>Customer</v>
      </c>
      <c r="K38" s="84" t="str">
        <f>"C100136"</f>
        <v>C100136</v>
      </c>
      <c r="L38" s="84" t="str">
        <f>IF($J38="Customer",_xll.NL("first",$J38,"Name","No.","@@"&amp;$K38),"")</f>
        <v>First Bank</v>
      </c>
      <c r="M38" s="84" t="str">
        <f>""</f>
        <v/>
      </c>
      <c r="N38" s="84" t="str">
        <f>IF($J38="Item",_xll.NL("first",$J38,"Description","No.","@@"&amp;$K38),"")</f>
        <v/>
      </c>
      <c r="O38" s="83">
        <v>0</v>
      </c>
      <c r="P38" s="83">
        <v>-288</v>
      </c>
      <c r="Q38" s="83">
        <v>0</v>
      </c>
      <c r="R38" s="83">
        <v>0</v>
      </c>
      <c r="S38" s="83">
        <v>0</v>
      </c>
      <c r="T38" s="83">
        <v>0</v>
      </c>
      <c r="U38" s="82"/>
    </row>
    <row r="39" spans="1:21" ht="17.25" customHeight="1" x14ac:dyDescent="0.3">
      <c r="A39" s="66" t="s">
        <v>30</v>
      </c>
      <c r="C39" s="67"/>
      <c r="D39" s="77"/>
      <c r="E39" s="77"/>
      <c r="F39" s="76"/>
      <c r="G39" s="76"/>
      <c r="H39" s="76"/>
      <c r="I39" s="76"/>
      <c r="J39" s="76"/>
      <c r="K39" s="76"/>
      <c r="L39" s="76"/>
      <c r="M39" s="76"/>
      <c r="N39" s="76"/>
      <c r="O39" s="75"/>
      <c r="P39" s="75"/>
      <c r="Q39" s="75"/>
      <c r="R39" s="75"/>
      <c r="S39" s="75"/>
      <c r="T39" s="75"/>
      <c r="U39" s="74"/>
    </row>
    <row r="40" spans="1:21" ht="17.25" customHeight="1" x14ac:dyDescent="0.3">
      <c r="A40" s="66" t="s">
        <v>30</v>
      </c>
      <c r="C40" s="67"/>
      <c r="D40" s="77"/>
      <c r="E40" s="77" t="s">
        <v>31</v>
      </c>
      <c r="F40" s="76" t="s">
        <v>31</v>
      </c>
      <c r="G40" s="76" t="s">
        <v>31</v>
      </c>
      <c r="H40" s="76"/>
      <c r="I40" s="76"/>
      <c r="J40" s="76" t="s">
        <v>31</v>
      </c>
      <c r="K40" s="76" t="s">
        <v>31</v>
      </c>
      <c r="L40" s="76" t="s">
        <v>31</v>
      </c>
      <c r="M40" s="76" t="s">
        <v>31</v>
      </c>
      <c r="N40" s="76"/>
      <c r="U40" s="81"/>
    </row>
    <row r="41" spans="1:21" ht="20.25" customHeight="1" x14ac:dyDescent="0.35">
      <c r="A41" s="66" t="s">
        <v>30</v>
      </c>
      <c r="C41" s="67"/>
      <c r="D41" s="92" t="str">
        <f t="shared" ref="D41" si="19">E41</f>
        <v>C100025</v>
      </c>
      <c r="E41" s="91" t="str">
        <f>"C100025"</f>
        <v>C100025</v>
      </c>
      <c r="F41" s="89" t="str">
        <f>"Striped Knit Hat"</f>
        <v>Striped Knit Hat</v>
      </c>
      <c r="G41" s="89"/>
      <c r="H41" s="90" t="str">
        <f>"EA"</f>
        <v>EA</v>
      </c>
      <c r="I41" s="89"/>
      <c r="J41" s="89"/>
      <c r="K41" s="89"/>
      <c r="L41" s="89"/>
      <c r="M41" s="89"/>
      <c r="N41" s="89"/>
      <c r="O41" s="88">
        <f>(SUBTOTAL(9,O42:O44))</f>
        <v>800</v>
      </c>
      <c r="P41" s="88">
        <f>(SUBTOTAL(9,P42:P44))</f>
        <v>-144</v>
      </c>
      <c r="Q41" s="88">
        <f>(SUBTOTAL(9,Q42:Q44))</f>
        <v>0</v>
      </c>
      <c r="R41" s="88">
        <f>(SUBTOTAL(9,R42:R44))</f>
        <v>0</v>
      </c>
      <c r="S41" s="88">
        <f>(SUBTOTAL(9,S42:S44))</f>
        <v>0</v>
      </c>
      <c r="T41" s="88">
        <f>(SUBTOTAL(9,T42:T44))</f>
        <v>0</v>
      </c>
      <c r="U41" s="87">
        <f t="shared" ref="U41" si="20">SUBTOTAL(9,O42:T44)</f>
        <v>656</v>
      </c>
    </row>
    <row r="42" spans="1:21" ht="17.25" customHeight="1" x14ac:dyDescent="0.3">
      <c r="A42" s="66" t="s">
        <v>30</v>
      </c>
      <c r="C42" s="67"/>
      <c r="D42" s="77" t="str">
        <f t="shared" ref="D42" si="21">D41</f>
        <v>C100025</v>
      </c>
      <c r="E42" s="77"/>
      <c r="F42" s="76"/>
      <c r="G42" s="76" t="str">
        <f>"""NAV Direct"",""CRONUS JetCorp USA"",""32"",""1"",""167173"""</f>
        <v>"NAV Direct","CRONUS JetCorp USA","32","1","167173"</v>
      </c>
      <c r="H42" s="86">
        <v>43466</v>
      </c>
      <c r="I42" s="85">
        <v>167173</v>
      </c>
      <c r="J42" s="84" t="str">
        <f>"Vendor"</f>
        <v>Vendor</v>
      </c>
      <c r="K42" s="84" t="str">
        <f>"V100001"</f>
        <v>V100001</v>
      </c>
      <c r="L42" s="84" t="str">
        <f>IF($J42="Customer",_xll.NL("first",$J42,"Name","No.","@@"&amp;$K42),"")</f>
        <v/>
      </c>
      <c r="M42" s="84" t="str">
        <f>"Greigner, Inc."</f>
        <v>Greigner, Inc.</v>
      </c>
      <c r="N42" s="84" t="str">
        <f>IF($J42="Item",_xll.NL("first",$J42,"Description","No.","@@"&amp;$K42),"")</f>
        <v/>
      </c>
      <c r="O42" s="83">
        <v>800</v>
      </c>
      <c r="P42" s="83">
        <v>0</v>
      </c>
      <c r="Q42" s="83">
        <v>0</v>
      </c>
      <c r="R42" s="83">
        <v>0</v>
      </c>
      <c r="S42" s="83">
        <v>0</v>
      </c>
      <c r="T42" s="83">
        <v>0</v>
      </c>
      <c r="U42" s="82"/>
    </row>
    <row r="43" spans="1:21" ht="17.25" customHeight="1" x14ac:dyDescent="0.3">
      <c r="A43" s="66" t="s">
        <v>30</v>
      </c>
      <c r="C43" s="67"/>
      <c r="D43" s="77" t="str">
        <f t="shared" ref="D43" si="22">D42</f>
        <v>C100025</v>
      </c>
      <c r="E43" s="77"/>
      <c r="F43" s="76"/>
      <c r="G43" s="76" t="str">
        <f>"""NAV Direct"",""CRONUS JetCorp USA"",""32"",""1"",""64618"""</f>
        <v>"NAV Direct","CRONUS JetCorp USA","32","1","64618"</v>
      </c>
      <c r="H43" s="86">
        <v>43475</v>
      </c>
      <c r="I43" s="85">
        <v>64618</v>
      </c>
      <c r="J43" s="84" t="str">
        <f>"Customer"</f>
        <v>Customer</v>
      </c>
      <c r="K43" s="84" t="str">
        <f>"C100136"</f>
        <v>C100136</v>
      </c>
      <c r="L43" s="84" t="str">
        <f>IF($J43="Customer",_xll.NL("first",$J43,"Name","No.","@@"&amp;$K43),"")</f>
        <v>First Bank</v>
      </c>
      <c r="M43" s="84" t="str">
        <f>""</f>
        <v/>
      </c>
      <c r="N43" s="84" t="str">
        <f>IF($J43="Item",_xll.NL("first",$J43,"Description","No.","@@"&amp;$K43),"")</f>
        <v/>
      </c>
      <c r="O43" s="83">
        <v>0</v>
      </c>
      <c r="P43" s="83">
        <v>-144</v>
      </c>
      <c r="Q43" s="83">
        <v>0</v>
      </c>
      <c r="R43" s="83">
        <v>0</v>
      </c>
      <c r="S43" s="83">
        <v>0</v>
      </c>
      <c r="T43" s="83">
        <v>0</v>
      </c>
      <c r="U43" s="82"/>
    </row>
    <row r="44" spans="1:21" ht="17.25" customHeight="1" x14ac:dyDescent="0.3">
      <c r="A44" s="66" t="s">
        <v>30</v>
      </c>
      <c r="C44" s="67"/>
      <c r="D44" s="77"/>
      <c r="E44" s="77"/>
      <c r="F44" s="76"/>
      <c r="G44" s="76"/>
      <c r="H44" s="76"/>
      <c r="I44" s="76"/>
      <c r="J44" s="76"/>
      <c r="K44" s="76"/>
      <c r="L44" s="76"/>
      <c r="M44" s="76"/>
      <c r="N44" s="76"/>
      <c r="O44" s="75"/>
      <c r="P44" s="75"/>
      <c r="Q44" s="75"/>
      <c r="R44" s="75"/>
      <c r="S44" s="75"/>
      <c r="T44" s="75"/>
      <c r="U44" s="74"/>
    </row>
    <row r="45" spans="1:21" ht="17.25" customHeight="1" x14ac:dyDescent="0.3">
      <c r="A45" s="66" t="s">
        <v>30</v>
      </c>
      <c r="C45" s="67"/>
      <c r="D45" s="77"/>
      <c r="E45" s="77" t="s">
        <v>31</v>
      </c>
      <c r="F45" s="76" t="s">
        <v>31</v>
      </c>
      <c r="G45" s="76" t="s">
        <v>31</v>
      </c>
      <c r="H45" s="76"/>
      <c r="I45" s="76"/>
      <c r="J45" s="76" t="s">
        <v>31</v>
      </c>
      <c r="K45" s="76" t="s">
        <v>31</v>
      </c>
      <c r="L45" s="76" t="s">
        <v>31</v>
      </c>
      <c r="M45" s="76" t="s">
        <v>31</v>
      </c>
      <c r="N45" s="76"/>
      <c r="U45" s="81"/>
    </row>
    <row r="46" spans="1:21" ht="20.25" customHeight="1" x14ac:dyDescent="0.35">
      <c r="A46" s="66" t="s">
        <v>30</v>
      </c>
      <c r="C46" s="67"/>
      <c r="D46" s="92" t="str">
        <f t="shared" ref="D46" si="23">E46</f>
        <v>C100026</v>
      </c>
      <c r="E46" s="91" t="str">
        <f>"C100026"</f>
        <v>C100026</v>
      </c>
      <c r="F46" s="89" t="str">
        <f>"Fleece Beanie"</f>
        <v>Fleece Beanie</v>
      </c>
      <c r="G46" s="89"/>
      <c r="H46" s="90" t="str">
        <f>"EA"</f>
        <v>EA</v>
      </c>
      <c r="I46" s="89"/>
      <c r="J46" s="89"/>
      <c r="K46" s="89"/>
      <c r="L46" s="89"/>
      <c r="M46" s="89"/>
      <c r="N46" s="89"/>
      <c r="O46" s="88">
        <f>(SUBTOTAL(9,O47:O49))</f>
        <v>400</v>
      </c>
      <c r="P46" s="88">
        <f>(SUBTOTAL(9,P47:P49))</f>
        <v>-144</v>
      </c>
      <c r="Q46" s="88">
        <f>(SUBTOTAL(9,Q47:Q49))</f>
        <v>0</v>
      </c>
      <c r="R46" s="88">
        <f>(SUBTOTAL(9,R47:R49))</f>
        <v>0</v>
      </c>
      <c r="S46" s="88">
        <f>(SUBTOTAL(9,S47:S49))</f>
        <v>0</v>
      </c>
      <c r="T46" s="88">
        <f>(SUBTOTAL(9,T47:T49))</f>
        <v>0</v>
      </c>
      <c r="U46" s="87">
        <f t="shared" ref="U46" si="24">SUBTOTAL(9,O47:T49)</f>
        <v>256</v>
      </c>
    </row>
    <row r="47" spans="1:21" ht="17.25" customHeight="1" x14ac:dyDescent="0.3">
      <c r="A47" s="66" t="s">
        <v>30</v>
      </c>
      <c r="C47" s="67"/>
      <c r="D47" s="77" t="str">
        <f t="shared" ref="D47" si="25">D46</f>
        <v>C100026</v>
      </c>
      <c r="E47" s="77"/>
      <c r="F47" s="76"/>
      <c r="G47" s="76" t="str">
        <f>"""NAV Direct"",""CRONUS JetCorp USA"",""32"",""1"",""167172"""</f>
        <v>"NAV Direct","CRONUS JetCorp USA","32","1","167172"</v>
      </c>
      <c r="H47" s="86">
        <v>43466</v>
      </c>
      <c r="I47" s="85">
        <v>167172</v>
      </c>
      <c r="J47" s="84" t="str">
        <f>"Vendor"</f>
        <v>Vendor</v>
      </c>
      <c r="K47" s="84" t="str">
        <f>"V100001"</f>
        <v>V100001</v>
      </c>
      <c r="L47" s="84" t="str">
        <f>IF($J47="Customer",_xll.NL("first",$J47,"Name","No.","@@"&amp;$K47),"")</f>
        <v/>
      </c>
      <c r="M47" s="84" t="str">
        <f>"Greigner, Inc."</f>
        <v>Greigner, Inc.</v>
      </c>
      <c r="N47" s="84" t="str">
        <f>IF($J47="Item",_xll.NL("first",$J47,"Description","No.","@@"&amp;$K47),"")</f>
        <v/>
      </c>
      <c r="O47" s="83">
        <v>400</v>
      </c>
      <c r="P47" s="83">
        <v>0</v>
      </c>
      <c r="Q47" s="83">
        <v>0</v>
      </c>
      <c r="R47" s="83">
        <v>0</v>
      </c>
      <c r="S47" s="83">
        <v>0</v>
      </c>
      <c r="T47" s="83">
        <v>0</v>
      </c>
      <c r="U47" s="82"/>
    </row>
    <row r="48" spans="1:21" ht="17.25" customHeight="1" x14ac:dyDescent="0.3">
      <c r="A48" s="66" t="s">
        <v>30</v>
      </c>
      <c r="C48" s="67"/>
      <c r="D48" s="77" t="str">
        <f t="shared" ref="D48" si="26">D47</f>
        <v>C100026</v>
      </c>
      <c r="E48" s="77"/>
      <c r="F48" s="76"/>
      <c r="G48" s="76" t="str">
        <f>"""NAV Direct"",""CRONUS JetCorp USA"",""32"",""1"",""20387"""</f>
        <v>"NAV Direct","CRONUS JetCorp USA","32","1","20387"</v>
      </c>
      <c r="H48" s="86">
        <v>43473</v>
      </c>
      <c r="I48" s="85">
        <v>20387</v>
      </c>
      <c r="J48" s="84" t="str">
        <f>"Customer"</f>
        <v>Customer</v>
      </c>
      <c r="K48" s="84" t="str">
        <f>"C100130"</f>
        <v>C100130</v>
      </c>
      <c r="L48" s="84" t="str">
        <f>IF($J48="Customer",_xll.NL("first",$J48,"Name","No.","@@"&amp;$K48),"")</f>
        <v>Hotspot Systems</v>
      </c>
      <c r="M48" s="84" t="str">
        <f>""</f>
        <v/>
      </c>
      <c r="N48" s="84" t="str">
        <f>IF($J48="Item",_xll.NL("first",$J48,"Description","No.","@@"&amp;$K48),"")</f>
        <v/>
      </c>
      <c r="O48" s="83">
        <v>0</v>
      </c>
      <c r="P48" s="83">
        <v>-144</v>
      </c>
      <c r="Q48" s="83">
        <v>0</v>
      </c>
      <c r="R48" s="83">
        <v>0</v>
      </c>
      <c r="S48" s="83">
        <v>0</v>
      </c>
      <c r="T48" s="83">
        <v>0</v>
      </c>
      <c r="U48" s="82"/>
    </row>
    <row r="49" spans="1:21" ht="17.25" customHeight="1" x14ac:dyDescent="0.3">
      <c r="A49" s="66" t="s">
        <v>30</v>
      </c>
      <c r="C49" s="67"/>
      <c r="D49" s="77"/>
      <c r="E49" s="77"/>
      <c r="F49" s="76"/>
      <c r="G49" s="76"/>
      <c r="H49" s="76"/>
      <c r="I49" s="76"/>
      <c r="J49" s="76"/>
      <c r="K49" s="76"/>
      <c r="L49" s="76"/>
      <c r="M49" s="76"/>
      <c r="N49" s="76"/>
      <c r="O49" s="75"/>
      <c r="P49" s="75"/>
      <c r="Q49" s="75"/>
      <c r="R49" s="75"/>
      <c r="S49" s="75"/>
      <c r="T49" s="75"/>
      <c r="U49" s="74"/>
    </row>
    <row r="50" spans="1:21" ht="17.25" customHeight="1" x14ac:dyDescent="0.3">
      <c r="A50" s="66" t="s">
        <v>30</v>
      </c>
      <c r="C50" s="67"/>
      <c r="D50" s="77"/>
      <c r="E50" s="77" t="s">
        <v>31</v>
      </c>
      <c r="F50" s="76" t="s">
        <v>31</v>
      </c>
      <c r="G50" s="76" t="s">
        <v>31</v>
      </c>
      <c r="H50" s="76"/>
      <c r="I50" s="76"/>
      <c r="J50" s="76" t="s">
        <v>31</v>
      </c>
      <c r="K50" s="76" t="s">
        <v>31</v>
      </c>
      <c r="L50" s="76" t="s">
        <v>31</v>
      </c>
      <c r="M50" s="76" t="s">
        <v>31</v>
      </c>
      <c r="N50" s="76"/>
      <c r="U50" s="81"/>
    </row>
    <row r="51" spans="1:21" ht="20.25" customHeight="1" x14ac:dyDescent="0.35">
      <c r="A51" s="66" t="s">
        <v>30</v>
      </c>
      <c r="C51" s="67"/>
      <c r="D51" s="92" t="str">
        <f t="shared" ref="D51" si="27">E51</f>
        <v>C100027</v>
      </c>
      <c r="E51" s="91" t="str">
        <f>"C100027"</f>
        <v>C100027</v>
      </c>
      <c r="F51" s="89" t="str">
        <f>"Pique Visor"</f>
        <v>Pique Visor</v>
      </c>
      <c r="G51" s="89"/>
      <c r="H51" s="90" t="str">
        <f>"EA"</f>
        <v>EA</v>
      </c>
      <c r="I51" s="89"/>
      <c r="J51" s="89"/>
      <c r="K51" s="89"/>
      <c r="L51" s="89"/>
      <c r="M51" s="89"/>
      <c r="N51" s="89"/>
      <c r="O51" s="88">
        <f>(SUBTOTAL(9,O52:O53))</f>
        <v>0</v>
      </c>
      <c r="P51" s="88">
        <f>(SUBTOTAL(9,P52:P53))</f>
        <v>-288</v>
      </c>
      <c r="Q51" s="88">
        <f>(SUBTOTAL(9,Q52:Q53))</f>
        <v>0</v>
      </c>
      <c r="R51" s="88">
        <f>(SUBTOTAL(9,R52:R53))</f>
        <v>0</v>
      </c>
      <c r="S51" s="88">
        <f>(SUBTOTAL(9,S52:S53))</f>
        <v>0</v>
      </c>
      <c r="T51" s="88">
        <f>(SUBTOTAL(9,T52:T53))</f>
        <v>0</v>
      </c>
      <c r="U51" s="87">
        <f t="shared" ref="U51" si="28">SUBTOTAL(9,O52:T53)</f>
        <v>-288</v>
      </c>
    </row>
    <row r="52" spans="1:21" ht="17.25" customHeight="1" x14ac:dyDescent="0.3">
      <c r="A52" s="66" t="s">
        <v>30</v>
      </c>
      <c r="C52" s="67"/>
      <c r="D52" s="77" t="str">
        <f t="shared" ref="D52" si="29">D51</f>
        <v>C100027</v>
      </c>
      <c r="E52" s="77"/>
      <c r="F52" s="76"/>
      <c r="G52" s="76" t="str">
        <f>"""NAV Direct"",""CRONUS JetCorp USA"",""32"",""1"",""20380"""</f>
        <v>"NAV Direct","CRONUS JetCorp USA","32","1","20380"</v>
      </c>
      <c r="H52" s="86">
        <v>43473</v>
      </c>
      <c r="I52" s="85">
        <v>20380</v>
      </c>
      <c r="J52" s="84" t="str">
        <f>"Customer"</f>
        <v>Customer</v>
      </c>
      <c r="K52" s="84" t="str">
        <f>"C100130"</f>
        <v>C100130</v>
      </c>
      <c r="L52" s="84" t="str">
        <f>IF($J52="Customer",_xll.NL("first",$J52,"Name","No.","@@"&amp;$K52),"")</f>
        <v>Hotspot Systems</v>
      </c>
      <c r="M52" s="84" t="str">
        <f>""</f>
        <v/>
      </c>
      <c r="N52" s="84" t="str">
        <f>IF($J52="Item",_xll.NL("first",$J52,"Description","No.","@@"&amp;$K52),"")</f>
        <v/>
      </c>
      <c r="O52" s="83">
        <v>0</v>
      </c>
      <c r="P52" s="83">
        <v>-288</v>
      </c>
      <c r="Q52" s="83">
        <v>0</v>
      </c>
      <c r="R52" s="83">
        <v>0</v>
      </c>
      <c r="S52" s="83">
        <v>0</v>
      </c>
      <c r="T52" s="83">
        <v>0</v>
      </c>
      <c r="U52" s="82"/>
    </row>
    <row r="53" spans="1:21" ht="17.25" customHeight="1" x14ac:dyDescent="0.3">
      <c r="A53" s="66" t="s">
        <v>30</v>
      </c>
      <c r="C53" s="67"/>
      <c r="D53" s="77"/>
      <c r="E53" s="77"/>
      <c r="F53" s="76"/>
      <c r="G53" s="76"/>
      <c r="H53" s="76"/>
      <c r="I53" s="76"/>
      <c r="J53" s="76"/>
      <c r="K53" s="76"/>
      <c r="L53" s="76"/>
      <c r="M53" s="76"/>
      <c r="N53" s="76"/>
      <c r="O53" s="75"/>
      <c r="P53" s="75"/>
      <c r="Q53" s="75"/>
      <c r="R53" s="75"/>
      <c r="S53" s="75"/>
      <c r="T53" s="75"/>
      <c r="U53" s="74"/>
    </row>
    <row r="54" spans="1:21" ht="17.25" customHeight="1" x14ac:dyDescent="0.3">
      <c r="A54" s="66" t="s">
        <v>30</v>
      </c>
      <c r="C54" s="67"/>
      <c r="D54" s="77"/>
      <c r="E54" s="77" t="s">
        <v>31</v>
      </c>
      <c r="F54" s="76" t="s">
        <v>31</v>
      </c>
      <c r="G54" s="76" t="s">
        <v>31</v>
      </c>
      <c r="H54" s="76"/>
      <c r="I54" s="76"/>
      <c r="J54" s="76" t="s">
        <v>31</v>
      </c>
      <c r="K54" s="76" t="s">
        <v>31</v>
      </c>
      <c r="L54" s="76" t="s">
        <v>31</v>
      </c>
      <c r="M54" s="76" t="s">
        <v>31</v>
      </c>
      <c r="N54" s="76"/>
      <c r="U54" s="81"/>
    </row>
    <row r="55" spans="1:21" ht="20.25" customHeight="1" x14ac:dyDescent="0.35">
      <c r="A55" s="66" t="s">
        <v>30</v>
      </c>
      <c r="C55" s="67"/>
      <c r="D55" s="92" t="str">
        <f t="shared" ref="D55" si="30">E55</f>
        <v>C100028</v>
      </c>
      <c r="E55" s="91" t="str">
        <f>"C100028"</f>
        <v>C100028</v>
      </c>
      <c r="F55" s="89" t="str">
        <f>"Twill Visor"</f>
        <v>Twill Visor</v>
      </c>
      <c r="G55" s="89"/>
      <c r="H55" s="90" t="str">
        <f>"EA"</f>
        <v>EA</v>
      </c>
      <c r="I55" s="89"/>
      <c r="J55" s="89"/>
      <c r="K55" s="89"/>
      <c r="L55" s="89"/>
      <c r="M55" s="89"/>
      <c r="N55" s="89"/>
      <c r="O55" s="88">
        <f>(SUBTOTAL(9,O56:O59))</f>
        <v>400</v>
      </c>
      <c r="P55" s="88">
        <f>(SUBTOTAL(9,P56:P59))</f>
        <v>-193</v>
      </c>
      <c r="Q55" s="88">
        <f>(SUBTOTAL(9,Q56:Q59))</f>
        <v>0</v>
      </c>
      <c r="R55" s="88">
        <f>(SUBTOTAL(9,R56:R59))</f>
        <v>0</v>
      </c>
      <c r="S55" s="88">
        <f>(SUBTOTAL(9,S56:S59))</f>
        <v>0</v>
      </c>
      <c r="T55" s="88">
        <f>(SUBTOTAL(9,T56:T59))</f>
        <v>0</v>
      </c>
      <c r="U55" s="87">
        <f t="shared" ref="U55" si="31">SUBTOTAL(9,O56:T59)</f>
        <v>207</v>
      </c>
    </row>
    <row r="56" spans="1:21" ht="17.25" customHeight="1" x14ac:dyDescent="0.3">
      <c r="A56" s="66" t="s">
        <v>30</v>
      </c>
      <c r="C56" s="67"/>
      <c r="D56" s="77" t="str">
        <f t="shared" ref="D56" si="32">D55</f>
        <v>C100028</v>
      </c>
      <c r="E56" s="77"/>
      <c r="F56" s="76"/>
      <c r="G56" s="76" t="str">
        <f>"""NAV Direct"",""CRONUS JetCorp USA"",""32"",""1"",""167171"""</f>
        <v>"NAV Direct","CRONUS JetCorp USA","32","1","167171"</v>
      </c>
      <c r="H56" s="86">
        <v>43466</v>
      </c>
      <c r="I56" s="85">
        <v>167171</v>
      </c>
      <c r="J56" s="84" t="str">
        <f>"Vendor"</f>
        <v>Vendor</v>
      </c>
      <c r="K56" s="84" t="str">
        <f>"V100001"</f>
        <v>V100001</v>
      </c>
      <c r="L56" s="84" t="str">
        <f>IF($J56="Customer",_xll.NL("first",$J56,"Name","No.","@@"&amp;$K56),"")</f>
        <v/>
      </c>
      <c r="M56" s="84" t="str">
        <f>"Greigner, Inc."</f>
        <v>Greigner, Inc.</v>
      </c>
      <c r="N56" s="84" t="str">
        <f>IF($J56="Item",_xll.NL("first",$J56,"Description","No.","@@"&amp;$K56),"")</f>
        <v/>
      </c>
      <c r="O56" s="83">
        <v>400</v>
      </c>
      <c r="P56" s="83">
        <v>0</v>
      </c>
      <c r="Q56" s="83">
        <v>0</v>
      </c>
      <c r="R56" s="83">
        <v>0</v>
      </c>
      <c r="S56" s="83">
        <v>0</v>
      </c>
      <c r="T56" s="83">
        <v>0</v>
      </c>
      <c r="U56" s="82"/>
    </row>
    <row r="57" spans="1:21" ht="17.25" customHeight="1" x14ac:dyDescent="0.3">
      <c r="A57" s="66" t="s">
        <v>30</v>
      </c>
      <c r="C57" s="67"/>
      <c r="D57" s="77" t="str">
        <f t="shared" ref="D57:D58" si="33">D56</f>
        <v>C100028</v>
      </c>
      <c r="E57" s="77"/>
      <c r="F57" s="76"/>
      <c r="G57" s="76" t="str">
        <f>"""NAV Direct"",""CRONUS JetCorp USA"",""32"",""1"",""20386"""</f>
        <v>"NAV Direct","CRONUS JetCorp USA","32","1","20386"</v>
      </c>
      <c r="H57" s="86">
        <v>43473</v>
      </c>
      <c r="I57" s="85">
        <v>20386</v>
      </c>
      <c r="J57" s="84" t="str">
        <f>"Customer"</f>
        <v>Customer</v>
      </c>
      <c r="K57" s="84" t="str">
        <f>"C100130"</f>
        <v>C100130</v>
      </c>
      <c r="L57" s="84" t="str">
        <f>IF($J57="Customer",_xll.NL("first",$J57,"Name","No.","@@"&amp;$K57),"")</f>
        <v>Hotspot Systems</v>
      </c>
      <c r="M57" s="84" t="str">
        <f>""</f>
        <v/>
      </c>
      <c r="N57" s="84" t="str">
        <f>IF($J57="Item",_xll.NL("first",$J57,"Description","No.","@@"&amp;$K57),"")</f>
        <v/>
      </c>
      <c r="O57" s="83">
        <v>0</v>
      </c>
      <c r="P57" s="83">
        <v>-145</v>
      </c>
      <c r="Q57" s="83">
        <v>0</v>
      </c>
      <c r="R57" s="83">
        <v>0</v>
      </c>
      <c r="S57" s="83">
        <v>0</v>
      </c>
      <c r="T57" s="83">
        <v>0</v>
      </c>
      <c r="U57" s="82"/>
    </row>
    <row r="58" spans="1:21" ht="17.25" customHeight="1" x14ac:dyDescent="0.3">
      <c r="A58" s="66" t="s">
        <v>30</v>
      </c>
      <c r="C58" s="67"/>
      <c r="D58" s="77" t="str">
        <f t="shared" si="33"/>
        <v>C100028</v>
      </c>
      <c r="E58" s="77"/>
      <c r="F58" s="76"/>
      <c r="G58" s="76" t="str">
        <f>"""NAV Direct"",""CRONUS JetCorp USA"",""32"",""1"",""64621"""</f>
        <v>"NAV Direct","CRONUS JetCorp USA","32","1","64621"</v>
      </c>
      <c r="H58" s="86">
        <v>43475</v>
      </c>
      <c r="I58" s="85">
        <v>64621</v>
      </c>
      <c r="J58" s="84" t="str">
        <f>"Customer"</f>
        <v>Customer</v>
      </c>
      <c r="K58" s="84" t="str">
        <f>"C100136"</f>
        <v>C100136</v>
      </c>
      <c r="L58" s="84" t="str">
        <f>IF($J58="Customer",_xll.NL("first",$J58,"Name","No.","@@"&amp;$K58),"")</f>
        <v>First Bank</v>
      </c>
      <c r="M58" s="84" t="str">
        <f>""</f>
        <v/>
      </c>
      <c r="N58" s="84" t="str">
        <f>IF($J58="Item",_xll.NL("first",$J58,"Description","No.","@@"&amp;$K58),"")</f>
        <v/>
      </c>
      <c r="O58" s="83">
        <v>0</v>
      </c>
      <c r="P58" s="83">
        <v>-48</v>
      </c>
      <c r="Q58" s="83">
        <v>0</v>
      </c>
      <c r="R58" s="83">
        <v>0</v>
      </c>
      <c r="S58" s="83">
        <v>0</v>
      </c>
      <c r="T58" s="83">
        <v>0</v>
      </c>
      <c r="U58" s="82"/>
    </row>
    <row r="59" spans="1:21" ht="17.25" customHeight="1" x14ac:dyDescent="0.3">
      <c r="A59" s="66" t="s">
        <v>30</v>
      </c>
      <c r="C59" s="67"/>
      <c r="D59" s="77"/>
      <c r="E59" s="77"/>
      <c r="F59" s="76"/>
      <c r="G59" s="76"/>
      <c r="H59" s="76"/>
      <c r="I59" s="76"/>
      <c r="J59" s="76"/>
      <c r="K59" s="76"/>
      <c r="L59" s="76"/>
      <c r="M59" s="76"/>
      <c r="N59" s="76"/>
      <c r="O59" s="75"/>
      <c r="P59" s="75"/>
      <c r="Q59" s="75"/>
      <c r="R59" s="75"/>
      <c r="S59" s="75"/>
      <c r="T59" s="75"/>
      <c r="U59" s="74"/>
    </row>
    <row r="60" spans="1:21" ht="17.25" customHeight="1" x14ac:dyDescent="0.3">
      <c r="A60" s="66" t="s">
        <v>30</v>
      </c>
      <c r="C60" s="67"/>
      <c r="D60" s="77"/>
      <c r="E60" s="77" t="s">
        <v>31</v>
      </c>
      <c r="F60" s="76" t="s">
        <v>31</v>
      </c>
      <c r="G60" s="76" t="s">
        <v>31</v>
      </c>
      <c r="H60" s="76"/>
      <c r="I60" s="76"/>
      <c r="J60" s="76" t="s">
        <v>31</v>
      </c>
      <c r="K60" s="76" t="s">
        <v>31</v>
      </c>
      <c r="L60" s="76" t="s">
        <v>31</v>
      </c>
      <c r="M60" s="76" t="s">
        <v>31</v>
      </c>
      <c r="N60" s="76"/>
      <c r="U60" s="81"/>
    </row>
    <row r="61" spans="1:21" ht="20.25" customHeight="1" x14ac:dyDescent="0.35">
      <c r="A61" s="66" t="s">
        <v>30</v>
      </c>
      <c r="C61" s="67"/>
      <c r="D61" s="92" t="str">
        <f t="shared" ref="D61" si="34">E61</f>
        <v>C100033</v>
      </c>
      <c r="E61" s="91" t="str">
        <f>"C100033"</f>
        <v>C100033</v>
      </c>
      <c r="F61" s="89" t="str">
        <f>"Frames &amp; Clock"</f>
        <v>Frames &amp; Clock</v>
      </c>
      <c r="G61" s="89"/>
      <c r="H61" s="90" t="str">
        <f>"EA"</f>
        <v>EA</v>
      </c>
      <c r="I61" s="89"/>
      <c r="J61" s="89"/>
      <c r="K61" s="89"/>
      <c r="L61" s="89"/>
      <c r="M61" s="89"/>
      <c r="N61" s="89"/>
      <c r="O61" s="88">
        <f>(SUBTOTAL(9,O62:O64))</f>
        <v>0</v>
      </c>
      <c r="P61" s="88">
        <f>(SUBTOTAL(9,P62:P64))</f>
        <v>-168</v>
      </c>
      <c r="Q61" s="88">
        <f>(SUBTOTAL(9,Q62:Q64))</f>
        <v>0</v>
      </c>
      <c r="R61" s="88">
        <f>(SUBTOTAL(9,R62:R64))</f>
        <v>0</v>
      </c>
      <c r="S61" s="88">
        <f>(SUBTOTAL(9,S62:S64))</f>
        <v>0</v>
      </c>
      <c r="T61" s="88">
        <f>(SUBTOTAL(9,T62:T64))</f>
        <v>0</v>
      </c>
      <c r="U61" s="87">
        <f t="shared" ref="U61" si="35">SUBTOTAL(9,O62:T64)</f>
        <v>-168</v>
      </c>
    </row>
    <row r="62" spans="1:21" ht="17.25" customHeight="1" x14ac:dyDescent="0.3">
      <c r="A62" s="66" t="s">
        <v>30</v>
      </c>
      <c r="C62" s="67"/>
      <c r="D62" s="77" t="str">
        <f t="shared" ref="D62" si="36">D61</f>
        <v>C100033</v>
      </c>
      <c r="E62" s="77"/>
      <c r="F62" s="76"/>
      <c r="G62" s="76" t="str">
        <f>"""NAV Direct"",""CRONUS JetCorp USA"",""32"",""1"",""153171"""</f>
        <v>"NAV Direct","CRONUS JetCorp USA","32","1","153171"</v>
      </c>
      <c r="H62" s="86">
        <v>43470</v>
      </c>
      <c r="I62" s="85">
        <v>153171</v>
      </c>
      <c r="J62" s="84" t="str">
        <f>"Customer"</f>
        <v>Customer</v>
      </c>
      <c r="K62" s="84" t="str">
        <f>"C100136"</f>
        <v>C100136</v>
      </c>
      <c r="L62" s="84" t="str">
        <f>IF($J62="Customer",_xll.NL("first",$J62,"Name","No.","@@"&amp;$K62),"")</f>
        <v>First Bank</v>
      </c>
      <c r="M62" s="84" t="str">
        <f>""</f>
        <v/>
      </c>
      <c r="N62" s="84" t="str">
        <f>IF($J62="Item",_xll.NL("first",$J62,"Description","No.","@@"&amp;$K62),"")</f>
        <v/>
      </c>
      <c r="O62" s="83">
        <v>0</v>
      </c>
      <c r="P62" s="83">
        <v>-24</v>
      </c>
      <c r="Q62" s="83">
        <v>0</v>
      </c>
      <c r="R62" s="83">
        <v>0</v>
      </c>
      <c r="S62" s="83">
        <v>0</v>
      </c>
      <c r="T62" s="83">
        <v>0</v>
      </c>
      <c r="U62" s="82"/>
    </row>
    <row r="63" spans="1:21" ht="17.25" customHeight="1" x14ac:dyDescent="0.3">
      <c r="A63" s="66" t="s">
        <v>30</v>
      </c>
      <c r="C63" s="67"/>
      <c r="D63" s="77" t="str">
        <f t="shared" ref="D63" si="37">D62</f>
        <v>C100033</v>
      </c>
      <c r="E63" s="77"/>
      <c r="F63" s="76"/>
      <c r="G63" s="76" t="str">
        <f>"""NAV Direct"",""CRONUS JetCorp USA"",""32"",""1"",""64614"""</f>
        <v>"NAV Direct","CRONUS JetCorp USA","32","1","64614"</v>
      </c>
      <c r="H63" s="86">
        <v>43475</v>
      </c>
      <c r="I63" s="85">
        <v>64614</v>
      </c>
      <c r="J63" s="84" t="str">
        <f>"Customer"</f>
        <v>Customer</v>
      </c>
      <c r="K63" s="84" t="str">
        <f>"C100136"</f>
        <v>C100136</v>
      </c>
      <c r="L63" s="84" t="str">
        <f>IF($J63="Customer",_xll.NL("first",$J63,"Name","No.","@@"&amp;$K63),"")</f>
        <v>First Bank</v>
      </c>
      <c r="M63" s="84" t="str">
        <f>""</f>
        <v/>
      </c>
      <c r="N63" s="84" t="str">
        <f>IF($J63="Item",_xll.NL("first",$J63,"Description","No.","@@"&amp;$K63),"")</f>
        <v/>
      </c>
      <c r="O63" s="83">
        <v>0</v>
      </c>
      <c r="P63" s="83">
        <v>-144</v>
      </c>
      <c r="Q63" s="83">
        <v>0</v>
      </c>
      <c r="R63" s="83">
        <v>0</v>
      </c>
      <c r="S63" s="83">
        <v>0</v>
      </c>
      <c r="T63" s="83">
        <v>0</v>
      </c>
      <c r="U63" s="82"/>
    </row>
    <row r="64" spans="1:21" ht="17.25" customHeight="1" x14ac:dyDescent="0.3">
      <c r="A64" s="66" t="s">
        <v>30</v>
      </c>
      <c r="C64" s="67"/>
      <c r="D64" s="77"/>
      <c r="E64" s="77"/>
      <c r="F64" s="76"/>
      <c r="G64" s="76"/>
      <c r="H64" s="76"/>
      <c r="I64" s="76"/>
      <c r="J64" s="76"/>
      <c r="K64" s="76"/>
      <c r="L64" s="76"/>
      <c r="M64" s="76"/>
      <c r="N64" s="76"/>
      <c r="O64" s="75"/>
      <c r="P64" s="75"/>
      <c r="Q64" s="75"/>
      <c r="R64" s="75"/>
      <c r="S64" s="75"/>
      <c r="T64" s="75"/>
      <c r="U64" s="74"/>
    </row>
    <row r="65" spans="1:21" ht="17.25" customHeight="1" x14ac:dyDescent="0.3">
      <c r="A65" s="66" t="s">
        <v>30</v>
      </c>
      <c r="C65" s="67"/>
      <c r="D65" s="77"/>
      <c r="E65" s="77" t="s">
        <v>31</v>
      </c>
      <c r="F65" s="76" t="s">
        <v>31</v>
      </c>
      <c r="G65" s="76" t="s">
        <v>31</v>
      </c>
      <c r="H65" s="76"/>
      <c r="I65" s="76"/>
      <c r="J65" s="76" t="s">
        <v>31</v>
      </c>
      <c r="K65" s="76" t="s">
        <v>31</v>
      </c>
      <c r="L65" s="76" t="s">
        <v>31</v>
      </c>
      <c r="M65" s="76" t="s">
        <v>31</v>
      </c>
      <c r="N65" s="76"/>
      <c r="U65" s="81"/>
    </row>
    <row r="66" spans="1:21" ht="20.25" customHeight="1" x14ac:dyDescent="0.35">
      <c r="A66" s="66" t="s">
        <v>30</v>
      </c>
      <c r="C66" s="67"/>
      <c r="D66" s="92" t="str">
        <f t="shared" ref="D66" si="38">E66</f>
        <v>C100035</v>
      </c>
      <c r="E66" s="91" t="str">
        <f>"C100035"</f>
        <v>C100035</v>
      </c>
      <c r="F66" s="89" t="str">
        <f>"Calculator &amp; World Time Clock"</f>
        <v>Calculator &amp; World Time Clock</v>
      </c>
      <c r="G66" s="89"/>
      <c r="H66" s="90" t="str">
        <f>"EA"</f>
        <v>EA</v>
      </c>
      <c r="I66" s="89"/>
      <c r="J66" s="89"/>
      <c r="K66" s="89"/>
      <c r="L66" s="89"/>
      <c r="M66" s="89"/>
      <c r="N66" s="89"/>
      <c r="O66" s="88">
        <f>(SUBTOTAL(9,O67:O70))</f>
        <v>400</v>
      </c>
      <c r="P66" s="88">
        <f>(SUBTOTAL(9,P67:P70))</f>
        <v>-150</v>
      </c>
      <c r="Q66" s="88">
        <f>(SUBTOTAL(9,Q67:Q70))</f>
        <v>0</v>
      </c>
      <c r="R66" s="88">
        <f>(SUBTOTAL(9,R67:R70))</f>
        <v>0</v>
      </c>
      <c r="S66" s="88">
        <f>(SUBTOTAL(9,S67:S70))</f>
        <v>0</v>
      </c>
      <c r="T66" s="88">
        <f>(SUBTOTAL(9,T67:T70))</f>
        <v>0</v>
      </c>
      <c r="U66" s="87">
        <f t="shared" ref="U66" si="39">SUBTOTAL(9,O67:T70)</f>
        <v>250</v>
      </c>
    </row>
    <row r="67" spans="1:21" ht="17.25" customHeight="1" x14ac:dyDescent="0.3">
      <c r="A67" s="66" t="s">
        <v>30</v>
      </c>
      <c r="C67" s="67"/>
      <c r="D67" s="77" t="str">
        <f t="shared" ref="D67" si="40">D66</f>
        <v>C100035</v>
      </c>
      <c r="E67" s="77"/>
      <c r="F67" s="76"/>
      <c r="G67" s="76" t="str">
        <f>"""NAV Direct"",""CRONUS JetCorp USA"",""32"",""1"",""167623"""</f>
        <v>"NAV Direct","CRONUS JetCorp USA","32","1","167623"</v>
      </c>
      <c r="H67" s="86">
        <v>43466</v>
      </c>
      <c r="I67" s="85">
        <v>167623</v>
      </c>
      <c r="J67" s="84" t="str">
        <f>"Vendor"</f>
        <v>Vendor</v>
      </c>
      <c r="K67" s="84" t="str">
        <f>"V100001"</f>
        <v>V100001</v>
      </c>
      <c r="L67" s="84" t="str">
        <f>IF($J67="Customer",_xll.NL("first",$J67,"Name","No.","@@"&amp;$K67),"")</f>
        <v/>
      </c>
      <c r="M67" s="84" t="str">
        <f>"Greigner, Inc."</f>
        <v>Greigner, Inc.</v>
      </c>
      <c r="N67" s="84" t="str">
        <f>IF($J67="Item",_xll.NL("first",$J67,"Description","No.","@@"&amp;$K67),"")</f>
        <v/>
      </c>
      <c r="O67" s="83">
        <v>400</v>
      </c>
      <c r="P67" s="83">
        <v>0</v>
      </c>
      <c r="Q67" s="83">
        <v>0</v>
      </c>
      <c r="R67" s="83">
        <v>0</v>
      </c>
      <c r="S67" s="83">
        <v>0</v>
      </c>
      <c r="T67" s="83">
        <v>0</v>
      </c>
      <c r="U67" s="82"/>
    </row>
    <row r="68" spans="1:21" ht="17.25" customHeight="1" x14ac:dyDescent="0.3">
      <c r="A68" s="66" t="s">
        <v>30</v>
      </c>
      <c r="C68" s="67"/>
      <c r="D68" s="77" t="str">
        <f t="shared" ref="D68:D69" si="41">D67</f>
        <v>C100035</v>
      </c>
      <c r="E68" s="77"/>
      <c r="F68" s="76"/>
      <c r="G68" s="76" t="str">
        <f>"""NAV Direct"",""CRONUS JetCorp USA"",""32"",""1"",""153197"""</f>
        <v>"NAV Direct","CRONUS JetCorp USA","32","1","153197"</v>
      </c>
      <c r="H68" s="86">
        <v>43469</v>
      </c>
      <c r="I68" s="85">
        <v>153197</v>
      </c>
      <c r="J68" s="84" t="str">
        <f>"Customer"</f>
        <v>Customer</v>
      </c>
      <c r="K68" s="84" t="str">
        <f>"C100136"</f>
        <v>C100136</v>
      </c>
      <c r="L68" s="84" t="str">
        <f>IF($J68="Customer",_xll.NL("first",$J68,"Name","No.","@@"&amp;$K68),"")</f>
        <v>First Bank</v>
      </c>
      <c r="M68" s="84" t="str">
        <f>""</f>
        <v/>
      </c>
      <c r="N68" s="84" t="str">
        <f>IF($J68="Item",_xll.NL("first",$J68,"Description","No.","@@"&amp;$K68),"")</f>
        <v/>
      </c>
      <c r="O68" s="83">
        <v>0</v>
      </c>
      <c r="P68" s="83">
        <v>-6</v>
      </c>
      <c r="Q68" s="83">
        <v>0</v>
      </c>
      <c r="R68" s="83">
        <v>0</v>
      </c>
      <c r="S68" s="83">
        <v>0</v>
      </c>
      <c r="T68" s="83">
        <v>0</v>
      </c>
      <c r="U68" s="82"/>
    </row>
    <row r="69" spans="1:21" ht="17.25" customHeight="1" x14ac:dyDescent="0.3">
      <c r="A69" s="66" t="s">
        <v>30</v>
      </c>
      <c r="C69" s="67"/>
      <c r="D69" s="77" t="str">
        <f t="shared" si="41"/>
        <v>C100035</v>
      </c>
      <c r="E69" s="77"/>
      <c r="F69" s="76"/>
      <c r="G69" s="76" t="str">
        <f>"""NAV Direct"",""CRONUS JetCorp USA"",""32"",""1"",""153166"""</f>
        <v>"NAV Direct","CRONUS JetCorp USA","32","1","153166"</v>
      </c>
      <c r="H69" s="86">
        <v>43470</v>
      </c>
      <c r="I69" s="85">
        <v>153166</v>
      </c>
      <c r="J69" s="84" t="str">
        <f>"Customer"</f>
        <v>Customer</v>
      </c>
      <c r="K69" s="84" t="str">
        <f>"C100136"</f>
        <v>C100136</v>
      </c>
      <c r="L69" s="84" t="str">
        <f>IF($J69="Customer",_xll.NL("first",$J69,"Name","No.","@@"&amp;$K69),"")</f>
        <v>First Bank</v>
      </c>
      <c r="M69" s="84" t="str">
        <f>""</f>
        <v/>
      </c>
      <c r="N69" s="84" t="str">
        <f>IF($J69="Item",_xll.NL("first",$J69,"Description","No.","@@"&amp;$K69),"")</f>
        <v/>
      </c>
      <c r="O69" s="83">
        <v>0</v>
      </c>
      <c r="P69" s="83">
        <v>-144</v>
      </c>
      <c r="Q69" s="83">
        <v>0</v>
      </c>
      <c r="R69" s="83">
        <v>0</v>
      </c>
      <c r="S69" s="83">
        <v>0</v>
      </c>
      <c r="T69" s="83">
        <v>0</v>
      </c>
      <c r="U69" s="82"/>
    </row>
    <row r="70" spans="1:21" ht="17.25" customHeight="1" x14ac:dyDescent="0.3">
      <c r="A70" s="66" t="s">
        <v>30</v>
      </c>
      <c r="C70" s="67"/>
      <c r="D70" s="77"/>
      <c r="E70" s="77"/>
      <c r="F70" s="76"/>
      <c r="G70" s="76"/>
      <c r="H70" s="76"/>
      <c r="I70" s="76"/>
      <c r="J70" s="76"/>
      <c r="K70" s="76"/>
      <c r="L70" s="76"/>
      <c r="M70" s="76"/>
      <c r="N70" s="76"/>
      <c r="O70" s="75"/>
      <c r="P70" s="75"/>
      <c r="Q70" s="75"/>
      <c r="R70" s="75"/>
      <c r="S70" s="75"/>
      <c r="T70" s="75"/>
      <c r="U70" s="74"/>
    </row>
    <row r="71" spans="1:21" ht="17.25" customHeight="1" x14ac:dyDescent="0.3">
      <c r="A71" s="66" t="s">
        <v>30</v>
      </c>
      <c r="C71" s="67"/>
      <c r="D71" s="77"/>
      <c r="E71" s="77" t="s">
        <v>31</v>
      </c>
      <c r="F71" s="76" t="s">
        <v>31</v>
      </c>
      <c r="G71" s="76" t="s">
        <v>31</v>
      </c>
      <c r="H71" s="76"/>
      <c r="I71" s="76"/>
      <c r="J71" s="76" t="s">
        <v>31</v>
      </c>
      <c r="K71" s="76" t="s">
        <v>31</v>
      </c>
      <c r="L71" s="76" t="s">
        <v>31</v>
      </c>
      <c r="M71" s="76" t="s">
        <v>31</v>
      </c>
      <c r="N71" s="76"/>
      <c r="U71" s="81"/>
    </row>
    <row r="72" spans="1:21" ht="20.25" customHeight="1" x14ac:dyDescent="0.35">
      <c r="A72" s="66" t="s">
        <v>30</v>
      </c>
      <c r="C72" s="67"/>
      <c r="D72" s="92" t="str">
        <f t="shared" ref="D72" si="42">E72</f>
        <v>C100044</v>
      </c>
      <c r="E72" s="91" t="str">
        <f>"C100044"</f>
        <v>C100044</v>
      </c>
      <c r="F72" s="89" t="str">
        <f>"VOIP Headset with Mic"</f>
        <v>VOIP Headset with Mic</v>
      </c>
      <c r="G72" s="89"/>
      <c r="H72" s="90" t="str">
        <f>"EA"</f>
        <v>EA</v>
      </c>
      <c r="I72" s="89"/>
      <c r="J72" s="89"/>
      <c r="K72" s="89"/>
      <c r="L72" s="89"/>
      <c r="M72" s="89"/>
      <c r="N72" s="89"/>
      <c r="O72" s="88">
        <f>(SUBTOTAL(9,O73:O74))</f>
        <v>0</v>
      </c>
      <c r="P72" s="88">
        <f>(SUBTOTAL(9,P73:P74))</f>
        <v>-12</v>
      </c>
      <c r="Q72" s="88">
        <f>(SUBTOTAL(9,Q73:Q74))</f>
        <v>0</v>
      </c>
      <c r="R72" s="88">
        <f>(SUBTOTAL(9,R73:R74))</f>
        <v>0</v>
      </c>
      <c r="S72" s="88">
        <f>(SUBTOTAL(9,S73:S74))</f>
        <v>0</v>
      </c>
      <c r="T72" s="88">
        <f>(SUBTOTAL(9,T73:T74))</f>
        <v>0</v>
      </c>
      <c r="U72" s="87">
        <f t="shared" ref="U72" si="43">SUBTOTAL(9,O73:T74)</f>
        <v>-12</v>
      </c>
    </row>
    <row r="73" spans="1:21" ht="17.25" customHeight="1" x14ac:dyDescent="0.3">
      <c r="A73" s="66" t="s">
        <v>30</v>
      </c>
      <c r="C73" s="67"/>
      <c r="D73" s="77" t="str">
        <f t="shared" ref="D73" si="44">D72</f>
        <v>C100044</v>
      </c>
      <c r="E73" s="77"/>
      <c r="F73" s="76"/>
      <c r="G73" s="76" t="str">
        <f>"""NAV Direct"",""CRONUS JetCorp USA"",""32"",""1"",""153196"""</f>
        <v>"NAV Direct","CRONUS JetCorp USA","32","1","153196"</v>
      </c>
      <c r="H73" s="86">
        <v>43469</v>
      </c>
      <c r="I73" s="85">
        <v>153196</v>
      </c>
      <c r="J73" s="84" t="str">
        <f>"Customer"</f>
        <v>Customer</v>
      </c>
      <c r="K73" s="84" t="str">
        <f>"C100136"</f>
        <v>C100136</v>
      </c>
      <c r="L73" s="84" t="str">
        <f>IF($J73="Customer",_xll.NL("first",$J73,"Name","No.","@@"&amp;$K73),"")</f>
        <v>First Bank</v>
      </c>
      <c r="M73" s="84" t="str">
        <f>""</f>
        <v/>
      </c>
      <c r="N73" s="84" t="str">
        <f>IF($J73="Item",_xll.NL("first",$J73,"Description","No.","@@"&amp;$K73),"")</f>
        <v/>
      </c>
      <c r="O73" s="83">
        <v>0</v>
      </c>
      <c r="P73" s="83">
        <v>-12</v>
      </c>
      <c r="Q73" s="83">
        <v>0</v>
      </c>
      <c r="R73" s="83">
        <v>0</v>
      </c>
      <c r="S73" s="83">
        <v>0</v>
      </c>
      <c r="T73" s="83">
        <v>0</v>
      </c>
      <c r="U73" s="82"/>
    </row>
    <row r="74" spans="1:21" ht="17.25" customHeight="1" x14ac:dyDescent="0.3">
      <c r="A74" s="66" t="s">
        <v>30</v>
      </c>
      <c r="C74" s="67"/>
      <c r="D74" s="77"/>
      <c r="E74" s="77"/>
      <c r="F74" s="76"/>
      <c r="G74" s="76"/>
      <c r="H74" s="76"/>
      <c r="I74" s="76"/>
      <c r="J74" s="76"/>
      <c r="K74" s="76"/>
      <c r="L74" s="76"/>
      <c r="M74" s="76"/>
      <c r="N74" s="76"/>
      <c r="O74" s="75"/>
      <c r="P74" s="75"/>
      <c r="Q74" s="75"/>
      <c r="R74" s="75"/>
      <c r="S74" s="75"/>
      <c r="T74" s="75"/>
      <c r="U74" s="74"/>
    </row>
    <row r="75" spans="1:21" ht="17.25" customHeight="1" x14ac:dyDescent="0.3">
      <c r="A75" s="66" t="s">
        <v>30</v>
      </c>
      <c r="C75" s="67"/>
      <c r="D75" s="77"/>
      <c r="E75" s="77" t="s">
        <v>31</v>
      </c>
      <c r="F75" s="76" t="s">
        <v>31</v>
      </c>
      <c r="G75" s="76" t="s">
        <v>31</v>
      </c>
      <c r="H75" s="76"/>
      <c r="I75" s="76"/>
      <c r="J75" s="76" t="s">
        <v>31</v>
      </c>
      <c r="K75" s="76" t="s">
        <v>31</v>
      </c>
      <c r="L75" s="76" t="s">
        <v>31</v>
      </c>
      <c r="M75" s="76" t="s">
        <v>31</v>
      </c>
      <c r="N75" s="76"/>
      <c r="U75" s="81"/>
    </row>
    <row r="76" spans="1:21" ht="20.25" customHeight="1" x14ac:dyDescent="0.35">
      <c r="A76" s="66" t="s">
        <v>30</v>
      </c>
      <c r="C76" s="67"/>
      <c r="D76" s="92" t="str">
        <f t="shared" ref="D76" si="45">E76</f>
        <v>C100056</v>
      </c>
      <c r="E76" s="91" t="str">
        <f>"C100056"</f>
        <v>C100056</v>
      </c>
      <c r="F76" s="89" t="str">
        <f>"Contemporary Desk Calculator"</f>
        <v>Contemporary Desk Calculator</v>
      </c>
      <c r="G76" s="89"/>
      <c r="H76" s="90" t="str">
        <f>"EA"</f>
        <v>EA</v>
      </c>
      <c r="I76" s="89"/>
      <c r="J76" s="89"/>
      <c r="K76" s="89"/>
      <c r="L76" s="89"/>
      <c r="M76" s="89"/>
      <c r="N76" s="89"/>
      <c r="O76" s="88">
        <f>(SUBTOTAL(9,O77:O78))</f>
        <v>0</v>
      </c>
      <c r="P76" s="88">
        <f>(SUBTOTAL(9,P77:P78))</f>
        <v>-192</v>
      </c>
      <c r="Q76" s="88">
        <f>(SUBTOTAL(9,Q77:Q78))</f>
        <v>0</v>
      </c>
      <c r="R76" s="88">
        <f>(SUBTOTAL(9,R77:R78))</f>
        <v>0</v>
      </c>
      <c r="S76" s="88">
        <f>(SUBTOTAL(9,S77:S78))</f>
        <v>0</v>
      </c>
      <c r="T76" s="88">
        <f>(SUBTOTAL(9,T77:T78))</f>
        <v>0</v>
      </c>
      <c r="U76" s="87">
        <f t="shared" ref="U76" si="46">SUBTOTAL(9,O77:T78)</f>
        <v>-192</v>
      </c>
    </row>
    <row r="77" spans="1:21" ht="17.25" customHeight="1" x14ac:dyDescent="0.3">
      <c r="A77" s="66" t="s">
        <v>30</v>
      </c>
      <c r="C77" s="67"/>
      <c r="D77" s="77" t="str">
        <f t="shared" ref="D77" si="47">D76</f>
        <v>C100056</v>
      </c>
      <c r="E77" s="77"/>
      <c r="F77" s="76"/>
      <c r="G77" s="76" t="str">
        <f>"""NAV Direct"",""CRONUS JetCorp USA"",""32"",""1"",""153190"""</f>
        <v>"NAV Direct","CRONUS JetCorp USA","32","1","153190"</v>
      </c>
      <c r="H77" s="86">
        <v>43469</v>
      </c>
      <c r="I77" s="85">
        <v>153190</v>
      </c>
      <c r="J77" s="84" t="str">
        <f>"Customer"</f>
        <v>Customer</v>
      </c>
      <c r="K77" s="84" t="str">
        <f>"C100136"</f>
        <v>C100136</v>
      </c>
      <c r="L77" s="84" t="str">
        <f>IF($J77="Customer",_xll.NL("first",$J77,"Name","No.","@@"&amp;$K77),"")</f>
        <v>First Bank</v>
      </c>
      <c r="M77" s="84" t="str">
        <f>""</f>
        <v/>
      </c>
      <c r="N77" s="84" t="str">
        <f>IF($J77="Item",_xll.NL("first",$J77,"Description","No.","@@"&amp;$K77),"")</f>
        <v/>
      </c>
      <c r="O77" s="83">
        <v>0</v>
      </c>
      <c r="P77" s="83">
        <v>-192</v>
      </c>
      <c r="Q77" s="83">
        <v>0</v>
      </c>
      <c r="R77" s="83">
        <v>0</v>
      </c>
      <c r="S77" s="83">
        <v>0</v>
      </c>
      <c r="T77" s="83">
        <v>0</v>
      </c>
      <c r="U77" s="82"/>
    </row>
    <row r="78" spans="1:21" ht="17.25" customHeight="1" x14ac:dyDescent="0.3">
      <c r="A78" s="66" t="s">
        <v>30</v>
      </c>
      <c r="C78" s="67"/>
      <c r="D78" s="77"/>
      <c r="E78" s="77"/>
      <c r="F78" s="76"/>
      <c r="G78" s="76"/>
      <c r="H78" s="76"/>
      <c r="I78" s="76"/>
      <c r="J78" s="76"/>
      <c r="K78" s="76"/>
      <c r="L78" s="76"/>
      <c r="M78" s="76"/>
      <c r="N78" s="76"/>
      <c r="O78" s="75"/>
      <c r="P78" s="75"/>
      <c r="Q78" s="75"/>
      <c r="R78" s="75"/>
      <c r="S78" s="75"/>
      <c r="T78" s="75"/>
      <c r="U78" s="74"/>
    </row>
    <row r="79" spans="1:21" ht="17.25" customHeight="1" x14ac:dyDescent="0.3">
      <c r="A79" s="66" t="s">
        <v>30</v>
      </c>
      <c r="C79" s="67"/>
      <c r="D79" s="77"/>
      <c r="E79" s="77" t="s">
        <v>31</v>
      </c>
      <c r="F79" s="76" t="s">
        <v>31</v>
      </c>
      <c r="G79" s="76" t="s">
        <v>31</v>
      </c>
      <c r="H79" s="76"/>
      <c r="I79" s="76"/>
      <c r="J79" s="76" t="s">
        <v>31</v>
      </c>
      <c r="K79" s="76" t="s">
        <v>31</v>
      </c>
      <c r="L79" s="76" t="s">
        <v>31</v>
      </c>
      <c r="M79" s="76" t="s">
        <v>31</v>
      </c>
      <c r="N79" s="76"/>
      <c r="U79" s="81"/>
    </row>
    <row r="80" spans="1:21" ht="20.25" customHeight="1" x14ac:dyDescent="0.35">
      <c r="A80" s="66" t="s">
        <v>30</v>
      </c>
      <c r="C80" s="67"/>
      <c r="D80" s="92" t="str">
        <f t="shared" ref="D80" si="48">E80</f>
        <v>C100061</v>
      </c>
      <c r="E80" s="91" t="str">
        <f>"C100061"</f>
        <v>C100061</v>
      </c>
      <c r="F80" s="89" t="str">
        <f>"Bistro Mug"</f>
        <v>Bistro Mug</v>
      </c>
      <c r="G80" s="89"/>
      <c r="H80" s="90" t="str">
        <f>"EA"</f>
        <v>EA</v>
      </c>
      <c r="I80" s="89"/>
      <c r="J80" s="89"/>
      <c r="K80" s="89"/>
      <c r="L80" s="89"/>
      <c r="M80" s="89"/>
      <c r="N80" s="89"/>
      <c r="O80" s="88">
        <f>(SUBTOTAL(9,O81:O83))</f>
        <v>249.99999999999997</v>
      </c>
      <c r="P80" s="88">
        <f>(SUBTOTAL(9,P81:P83))</f>
        <v>-48</v>
      </c>
      <c r="Q80" s="88">
        <f>(SUBTOTAL(9,Q81:Q83))</f>
        <v>0</v>
      </c>
      <c r="R80" s="88">
        <f>(SUBTOTAL(9,R81:R83))</f>
        <v>0</v>
      </c>
      <c r="S80" s="88">
        <f>(SUBTOTAL(9,S81:S83))</f>
        <v>0</v>
      </c>
      <c r="T80" s="88">
        <f>(SUBTOTAL(9,T81:T83))</f>
        <v>0</v>
      </c>
      <c r="U80" s="87">
        <f t="shared" ref="U80" si="49">SUBTOTAL(9,O81:T83)</f>
        <v>201.99999999999997</v>
      </c>
    </row>
    <row r="81" spans="1:21" ht="17.25" customHeight="1" x14ac:dyDescent="0.3">
      <c r="A81" s="66" t="s">
        <v>30</v>
      </c>
      <c r="C81" s="67"/>
      <c r="D81" s="77" t="str">
        <f t="shared" ref="D81" si="50">D80</f>
        <v>C100061</v>
      </c>
      <c r="E81" s="77"/>
      <c r="F81" s="76"/>
      <c r="G81" s="76" t="str">
        <f>"""NAV Direct"",""CRONUS JetCorp USA"",""32"",""1"",""168682"""</f>
        <v>"NAV Direct","CRONUS JetCorp USA","32","1","168682"</v>
      </c>
      <c r="H81" s="86">
        <v>43466</v>
      </c>
      <c r="I81" s="85">
        <v>168682</v>
      </c>
      <c r="J81" s="84" t="str">
        <f>"Vendor"</f>
        <v>Vendor</v>
      </c>
      <c r="K81" s="84" t="str">
        <f>"V100001"</f>
        <v>V100001</v>
      </c>
      <c r="L81" s="84" t="str">
        <f>IF($J81="Customer",_xll.NL("first",$J81,"Name","No.","@@"&amp;$K81),"")</f>
        <v/>
      </c>
      <c r="M81" s="84" t="str">
        <f>"Greigner, Inc."</f>
        <v>Greigner, Inc.</v>
      </c>
      <c r="N81" s="84" t="str">
        <f>IF($J81="Item",_xll.NL("first",$J81,"Description","No.","@@"&amp;$K81),"")</f>
        <v/>
      </c>
      <c r="O81" s="83">
        <v>249.99999999999997</v>
      </c>
      <c r="P81" s="83">
        <v>0</v>
      </c>
      <c r="Q81" s="83">
        <v>0</v>
      </c>
      <c r="R81" s="83">
        <v>0</v>
      </c>
      <c r="S81" s="83">
        <v>0</v>
      </c>
      <c r="T81" s="83">
        <v>0</v>
      </c>
      <c r="U81" s="82"/>
    </row>
    <row r="82" spans="1:21" ht="17.25" customHeight="1" x14ac:dyDescent="0.3">
      <c r="A82" s="66" t="s">
        <v>30</v>
      </c>
      <c r="C82" s="67"/>
      <c r="D82" s="77" t="str">
        <f t="shared" ref="D82" si="51">D81</f>
        <v>C100061</v>
      </c>
      <c r="E82" s="77"/>
      <c r="F82" s="76"/>
      <c r="G82" s="76" t="str">
        <f>"""NAV Direct"",""CRONUS JetCorp USA"",""32"",""1"",""64629"""</f>
        <v>"NAV Direct","CRONUS JetCorp USA","32","1","64629"</v>
      </c>
      <c r="H82" s="86">
        <v>43475</v>
      </c>
      <c r="I82" s="85">
        <v>64629</v>
      </c>
      <c r="J82" s="84" t="str">
        <f>"Customer"</f>
        <v>Customer</v>
      </c>
      <c r="K82" s="84" t="str">
        <f>"C100136"</f>
        <v>C100136</v>
      </c>
      <c r="L82" s="84" t="str">
        <f>IF($J82="Customer",_xll.NL("first",$J82,"Name","No.","@@"&amp;$K82),"")</f>
        <v>First Bank</v>
      </c>
      <c r="M82" s="84" t="str">
        <f>""</f>
        <v/>
      </c>
      <c r="N82" s="84" t="str">
        <f>IF($J82="Item",_xll.NL("first",$J82,"Description","No.","@@"&amp;$K82),"")</f>
        <v/>
      </c>
      <c r="O82" s="83">
        <v>0</v>
      </c>
      <c r="P82" s="83">
        <v>-48</v>
      </c>
      <c r="Q82" s="83">
        <v>0</v>
      </c>
      <c r="R82" s="83">
        <v>0</v>
      </c>
      <c r="S82" s="83">
        <v>0</v>
      </c>
      <c r="T82" s="83">
        <v>0</v>
      </c>
      <c r="U82" s="82"/>
    </row>
    <row r="83" spans="1:21" ht="17.25" customHeight="1" x14ac:dyDescent="0.3">
      <c r="A83" s="66" t="s">
        <v>30</v>
      </c>
      <c r="C83" s="67"/>
      <c r="D83" s="77"/>
      <c r="E83" s="77"/>
      <c r="F83" s="76"/>
      <c r="G83" s="76"/>
      <c r="H83" s="76"/>
      <c r="I83" s="76"/>
      <c r="J83" s="76"/>
      <c r="K83" s="76"/>
      <c r="L83" s="76"/>
      <c r="M83" s="76"/>
      <c r="N83" s="76"/>
      <c r="O83" s="75"/>
      <c r="P83" s="75"/>
      <c r="Q83" s="75"/>
      <c r="R83" s="75"/>
      <c r="S83" s="75"/>
      <c r="T83" s="75"/>
      <c r="U83" s="74"/>
    </row>
    <row r="84" spans="1:21" ht="17.25" customHeight="1" x14ac:dyDescent="0.3">
      <c r="A84" s="66" t="s">
        <v>30</v>
      </c>
      <c r="C84" s="67"/>
      <c r="D84" s="77"/>
      <c r="E84" s="77" t="s">
        <v>31</v>
      </c>
      <c r="F84" s="76" t="s">
        <v>31</v>
      </c>
      <c r="G84" s="76" t="s">
        <v>31</v>
      </c>
      <c r="H84" s="76"/>
      <c r="I84" s="76"/>
      <c r="J84" s="76" t="s">
        <v>31</v>
      </c>
      <c r="K84" s="76" t="s">
        <v>31</v>
      </c>
      <c r="L84" s="76" t="s">
        <v>31</v>
      </c>
      <c r="M84" s="76" t="s">
        <v>31</v>
      </c>
      <c r="N84" s="76"/>
      <c r="U84" s="81"/>
    </row>
    <row r="85" spans="1:21" ht="20.25" customHeight="1" x14ac:dyDescent="0.35">
      <c r="A85" s="66" t="s">
        <v>30</v>
      </c>
      <c r="C85" s="67"/>
      <c r="D85" s="92" t="str">
        <f t="shared" ref="D85" si="52">E85</f>
        <v>C100062</v>
      </c>
      <c r="E85" s="91" t="str">
        <f>"C100062"</f>
        <v>C100062</v>
      </c>
      <c r="F85" s="89" t="str">
        <f>"Tall Matte Finish Mug"</f>
        <v>Tall Matte Finish Mug</v>
      </c>
      <c r="G85" s="89"/>
      <c r="H85" s="90" t="str">
        <f>"EA"</f>
        <v>EA</v>
      </c>
      <c r="I85" s="89"/>
      <c r="J85" s="89"/>
      <c r="K85" s="89"/>
      <c r="L85" s="89"/>
      <c r="M85" s="89"/>
      <c r="N85" s="89"/>
      <c r="O85" s="88">
        <f>(SUBTOTAL(9,O86:O87))</f>
        <v>249.99999999999997</v>
      </c>
      <c r="P85" s="88">
        <f>(SUBTOTAL(9,P86:P87))</f>
        <v>0</v>
      </c>
      <c r="Q85" s="88">
        <f>(SUBTOTAL(9,Q86:Q87))</f>
        <v>0</v>
      </c>
      <c r="R85" s="88">
        <f>(SUBTOTAL(9,R86:R87))</f>
        <v>0</v>
      </c>
      <c r="S85" s="88">
        <f>(SUBTOTAL(9,S86:S87))</f>
        <v>0</v>
      </c>
      <c r="T85" s="88">
        <f>(SUBTOTAL(9,T86:T87))</f>
        <v>0</v>
      </c>
      <c r="U85" s="87">
        <f t="shared" ref="U85" si="53">SUBTOTAL(9,O86:T87)</f>
        <v>249.99999999999997</v>
      </c>
    </row>
    <row r="86" spans="1:21" ht="17.25" customHeight="1" x14ac:dyDescent="0.3">
      <c r="A86" s="66" t="s">
        <v>30</v>
      </c>
      <c r="C86" s="67"/>
      <c r="D86" s="77" t="str">
        <f t="shared" ref="D86" si="54">D85</f>
        <v>C100062</v>
      </c>
      <c r="E86" s="77"/>
      <c r="F86" s="76"/>
      <c r="G86" s="76" t="str">
        <f>"""NAV Direct"",""CRONUS JetCorp USA"",""32"",""1"",""168681"""</f>
        <v>"NAV Direct","CRONUS JetCorp USA","32","1","168681"</v>
      </c>
      <c r="H86" s="86">
        <v>43466</v>
      </c>
      <c r="I86" s="85">
        <v>168681</v>
      </c>
      <c r="J86" s="84" t="str">
        <f>"Vendor"</f>
        <v>Vendor</v>
      </c>
      <c r="K86" s="84" t="str">
        <f>"V100001"</f>
        <v>V100001</v>
      </c>
      <c r="L86" s="84" t="str">
        <f>IF($J86="Customer",_xll.NL("first",$J86,"Name","No.","@@"&amp;$K86),"")</f>
        <v/>
      </c>
      <c r="M86" s="84" t="str">
        <f>"Greigner, Inc."</f>
        <v>Greigner, Inc.</v>
      </c>
      <c r="N86" s="84" t="str">
        <f>IF($J86="Item",_xll.NL("first",$J86,"Description","No.","@@"&amp;$K86),"")</f>
        <v/>
      </c>
      <c r="O86" s="83">
        <v>249.99999999999997</v>
      </c>
      <c r="P86" s="83">
        <v>0</v>
      </c>
      <c r="Q86" s="83">
        <v>0</v>
      </c>
      <c r="R86" s="83">
        <v>0</v>
      </c>
      <c r="S86" s="83">
        <v>0</v>
      </c>
      <c r="T86" s="83">
        <v>0</v>
      </c>
      <c r="U86" s="82"/>
    </row>
    <row r="87" spans="1:21" ht="17.25" customHeight="1" x14ac:dyDescent="0.3">
      <c r="A87" s="66" t="s">
        <v>30</v>
      </c>
      <c r="C87" s="67"/>
      <c r="D87" s="77"/>
      <c r="E87" s="77"/>
      <c r="F87" s="76"/>
      <c r="G87" s="76"/>
      <c r="H87" s="76"/>
      <c r="I87" s="76"/>
      <c r="J87" s="76"/>
      <c r="K87" s="76"/>
      <c r="L87" s="76"/>
      <c r="M87" s="76"/>
      <c r="N87" s="76"/>
      <c r="O87" s="75"/>
      <c r="P87" s="75"/>
      <c r="Q87" s="75"/>
      <c r="R87" s="75"/>
      <c r="S87" s="75"/>
      <c r="T87" s="75"/>
      <c r="U87" s="74"/>
    </row>
    <row r="88" spans="1:21" ht="17.25" customHeight="1" x14ac:dyDescent="0.3">
      <c r="A88" s="66" t="s">
        <v>30</v>
      </c>
      <c r="C88" s="67"/>
      <c r="D88" s="77"/>
      <c r="E88" s="77" t="s">
        <v>31</v>
      </c>
      <c r="F88" s="76" t="s">
        <v>31</v>
      </c>
      <c r="G88" s="76" t="s">
        <v>31</v>
      </c>
      <c r="H88" s="76"/>
      <c r="I88" s="76"/>
      <c r="J88" s="76" t="s">
        <v>31</v>
      </c>
      <c r="K88" s="76" t="s">
        <v>31</v>
      </c>
      <c r="L88" s="76" t="s">
        <v>31</v>
      </c>
      <c r="M88" s="76" t="s">
        <v>31</v>
      </c>
      <c r="N88" s="76"/>
      <c r="U88" s="81"/>
    </row>
    <row r="89" spans="1:21" ht="20.25" customHeight="1" x14ac:dyDescent="0.35">
      <c r="A89" s="66" t="s">
        <v>30</v>
      </c>
      <c r="C89" s="67"/>
      <c r="D89" s="92" t="str">
        <f t="shared" ref="D89" si="55">E89</f>
        <v>C100066</v>
      </c>
      <c r="E89" s="91" t="str">
        <f>"C100066"</f>
        <v>C100066</v>
      </c>
      <c r="F89" s="89" t="str">
        <f>"Fashion Travel Mug"</f>
        <v>Fashion Travel Mug</v>
      </c>
      <c r="G89" s="89"/>
      <c r="H89" s="90" t="str">
        <f>"EA"</f>
        <v>EA</v>
      </c>
      <c r="I89" s="89"/>
      <c r="J89" s="89"/>
      <c r="K89" s="89"/>
      <c r="L89" s="89"/>
      <c r="M89" s="89"/>
      <c r="N89" s="89"/>
      <c r="O89" s="88">
        <f>(SUBTOTAL(9,O90:O92))</f>
        <v>249.99999999999997</v>
      </c>
      <c r="P89" s="88">
        <f>(SUBTOTAL(9,P90:P92))</f>
        <v>-144</v>
      </c>
      <c r="Q89" s="88">
        <f>(SUBTOTAL(9,Q90:Q92))</f>
        <v>0</v>
      </c>
      <c r="R89" s="88">
        <f>(SUBTOTAL(9,R90:R92))</f>
        <v>0</v>
      </c>
      <c r="S89" s="88">
        <f>(SUBTOTAL(9,S90:S92))</f>
        <v>0</v>
      </c>
      <c r="T89" s="88">
        <f>(SUBTOTAL(9,T90:T92))</f>
        <v>0</v>
      </c>
      <c r="U89" s="87">
        <f t="shared" ref="U89" si="56">SUBTOTAL(9,O90:T92)</f>
        <v>105.99999999999997</v>
      </c>
    </row>
    <row r="90" spans="1:21" ht="17.25" customHeight="1" x14ac:dyDescent="0.3">
      <c r="A90" s="66" t="s">
        <v>30</v>
      </c>
      <c r="C90" s="67"/>
      <c r="D90" s="77" t="str">
        <f t="shared" ref="D90" si="57">D89</f>
        <v>C100066</v>
      </c>
      <c r="E90" s="77"/>
      <c r="F90" s="76"/>
      <c r="G90" s="76" t="str">
        <f>"""NAV Direct"",""CRONUS JetCorp USA"",""32"",""1"",""168680"""</f>
        <v>"NAV Direct","CRONUS JetCorp USA","32","1","168680"</v>
      </c>
      <c r="H90" s="86">
        <v>43466</v>
      </c>
      <c r="I90" s="85">
        <v>168680</v>
      </c>
      <c r="J90" s="84" t="str">
        <f>"Vendor"</f>
        <v>Vendor</v>
      </c>
      <c r="K90" s="84" t="str">
        <f>"V100001"</f>
        <v>V100001</v>
      </c>
      <c r="L90" s="84" t="str">
        <f>IF($J90="Customer",_xll.NL("first",$J90,"Name","No.","@@"&amp;$K90),"")</f>
        <v/>
      </c>
      <c r="M90" s="84" t="str">
        <f>"Greigner, Inc."</f>
        <v>Greigner, Inc.</v>
      </c>
      <c r="N90" s="84" t="str">
        <f>IF($J90="Item",_xll.NL("first",$J90,"Description","No.","@@"&amp;$K90),"")</f>
        <v/>
      </c>
      <c r="O90" s="83">
        <v>249.99999999999997</v>
      </c>
      <c r="P90" s="83">
        <v>0</v>
      </c>
      <c r="Q90" s="83">
        <v>0</v>
      </c>
      <c r="R90" s="83">
        <v>0</v>
      </c>
      <c r="S90" s="83">
        <v>0</v>
      </c>
      <c r="T90" s="83">
        <v>0</v>
      </c>
      <c r="U90" s="82"/>
    </row>
    <row r="91" spans="1:21" ht="17.25" customHeight="1" x14ac:dyDescent="0.3">
      <c r="A91" s="66" t="s">
        <v>30</v>
      </c>
      <c r="C91" s="67"/>
      <c r="D91" s="77" t="str">
        <f t="shared" ref="D91" si="58">D90</f>
        <v>C100066</v>
      </c>
      <c r="E91" s="77"/>
      <c r="F91" s="76"/>
      <c r="G91" s="76" t="str">
        <f>"""NAV Direct"",""CRONUS JetCorp USA"",""32"",""1"",""64616"""</f>
        <v>"NAV Direct","CRONUS JetCorp USA","32","1","64616"</v>
      </c>
      <c r="H91" s="86">
        <v>43475</v>
      </c>
      <c r="I91" s="85">
        <v>64616</v>
      </c>
      <c r="J91" s="84" t="str">
        <f>"Customer"</f>
        <v>Customer</v>
      </c>
      <c r="K91" s="84" t="str">
        <f>"C100136"</f>
        <v>C100136</v>
      </c>
      <c r="L91" s="84" t="str">
        <f>IF($J91="Customer",_xll.NL("first",$J91,"Name","No.","@@"&amp;$K91),"")</f>
        <v>First Bank</v>
      </c>
      <c r="M91" s="84" t="str">
        <f>""</f>
        <v/>
      </c>
      <c r="N91" s="84" t="str">
        <f>IF($J91="Item",_xll.NL("first",$J91,"Description","No.","@@"&amp;$K91),"")</f>
        <v/>
      </c>
      <c r="O91" s="83">
        <v>0</v>
      </c>
      <c r="P91" s="83">
        <v>-144</v>
      </c>
      <c r="Q91" s="83">
        <v>0</v>
      </c>
      <c r="R91" s="83">
        <v>0</v>
      </c>
      <c r="S91" s="83">
        <v>0</v>
      </c>
      <c r="T91" s="83">
        <v>0</v>
      </c>
      <c r="U91" s="82"/>
    </row>
    <row r="92" spans="1:21" ht="17.25" customHeight="1" x14ac:dyDescent="0.3">
      <c r="A92" s="66" t="s">
        <v>30</v>
      </c>
      <c r="C92" s="67"/>
      <c r="D92" s="77"/>
      <c r="E92" s="77"/>
      <c r="F92" s="76"/>
      <c r="G92" s="76"/>
      <c r="H92" s="76"/>
      <c r="I92" s="76"/>
      <c r="J92" s="76"/>
      <c r="K92" s="76"/>
      <c r="L92" s="76"/>
      <c r="M92" s="76"/>
      <c r="N92" s="76"/>
      <c r="O92" s="75"/>
      <c r="P92" s="75"/>
      <c r="Q92" s="75"/>
      <c r="R92" s="75"/>
      <c r="S92" s="75"/>
      <c r="T92" s="75"/>
      <c r="U92" s="74"/>
    </row>
    <row r="93" spans="1:21" ht="17.25" customHeight="1" x14ac:dyDescent="0.3">
      <c r="A93" s="66" t="s">
        <v>30</v>
      </c>
      <c r="C93" s="67"/>
      <c r="D93" s="77"/>
      <c r="E93" s="77" t="s">
        <v>31</v>
      </c>
      <c r="F93" s="76" t="s">
        <v>31</v>
      </c>
      <c r="G93" s="76" t="s">
        <v>31</v>
      </c>
      <c r="H93" s="76"/>
      <c r="I93" s="76"/>
      <c r="J93" s="76" t="s">
        <v>31</v>
      </c>
      <c r="K93" s="76" t="s">
        <v>31</v>
      </c>
      <c r="L93" s="76" t="s">
        <v>31</v>
      </c>
      <c r="M93" s="76" t="s">
        <v>31</v>
      </c>
      <c r="N93" s="76"/>
      <c r="U93" s="81"/>
    </row>
    <row r="94" spans="1:21" ht="20.25" customHeight="1" x14ac:dyDescent="0.35">
      <c r="A94" s="66" t="s">
        <v>30</v>
      </c>
      <c r="C94" s="67"/>
      <c r="D94" s="92" t="str">
        <f t="shared" ref="D94" si="59">E94</f>
        <v>E100001</v>
      </c>
      <c r="E94" s="91" t="str">
        <f>"E100001"</f>
        <v>E100001</v>
      </c>
      <c r="F94" s="89" t="str">
        <f>"Sport Bag"</f>
        <v>Sport Bag</v>
      </c>
      <c r="G94" s="89"/>
      <c r="H94" s="90" t="str">
        <f>"EA"</f>
        <v>EA</v>
      </c>
      <c r="I94" s="89"/>
      <c r="J94" s="89"/>
      <c r="K94" s="89"/>
      <c r="L94" s="89"/>
      <c r="M94" s="89"/>
      <c r="N94" s="89"/>
      <c r="O94" s="88">
        <f>(SUBTOTAL(9,O95:O98))</f>
        <v>200</v>
      </c>
      <c r="P94" s="88">
        <f>(SUBTOTAL(9,P95:P98))</f>
        <v>-288</v>
      </c>
      <c r="Q94" s="88">
        <f>(SUBTOTAL(9,Q95:Q98))</f>
        <v>0</v>
      </c>
      <c r="R94" s="88">
        <f>(SUBTOTAL(9,R95:R98))</f>
        <v>0</v>
      </c>
      <c r="S94" s="88">
        <f>(SUBTOTAL(9,S95:S98))</f>
        <v>0</v>
      </c>
      <c r="T94" s="88">
        <f>(SUBTOTAL(9,T95:T98))</f>
        <v>0</v>
      </c>
      <c r="U94" s="87">
        <f t="shared" ref="U94" si="60">SUBTOTAL(9,O95:T98)</f>
        <v>-88</v>
      </c>
    </row>
    <row r="95" spans="1:21" ht="17.25" customHeight="1" x14ac:dyDescent="0.3">
      <c r="A95" s="66" t="s">
        <v>30</v>
      </c>
      <c r="C95" s="67"/>
      <c r="D95" s="77" t="str">
        <f t="shared" ref="D95" si="61">D94</f>
        <v>E100001</v>
      </c>
      <c r="E95" s="77"/>
      <c r="F95" s="76"/>
      <c r="G95" s="76" t="str">
        <f>"""NAV Direct"",""CRONUS JetCorp USA"",""32"",""1"",""166803"""</f>
        <v>"NAV Direct","CRONUS JetCorp USA","32","1","166803"</v>
      </c>
      <c r="H95" s="86">
        <v>43466</v>
      </c>
      <c r="I95" s="85">
        <v>166803</v>
      </c>
      <c r="J95" s="84" t="str">
        <f>"Vendor"</f>
        <v>Vendor</v>
      </c>
      <c r="K95" s="84" t="str">
        <f>"V100001"</f>
        <v>V100001</v>
      </c>
      <c r="L95" s="84" t="str">
        <f>IF($J95="Customer",_xll.NL("first",$J95,"Name","No.","@@"&amp;$K95),"")</f>
        <v/>
      </c>
      <c r="M95" s="84" t="str">
        <f>"Greigner, Inc."</f>
        <v>Greigner, Inc.</v>
      </c>
      <c r="N95" s="84" t="str">
        <f>IF($J95="Item",_xll.NL("first",$J95,"Description","No.","@@"&amp;$K95),"")</f>
        <v/>
      </c>
      <c r="O95" s="83">
        <v>200</v>
      </c>
      <c r="P95" s="83">
        <v>0</v>
      </c>
      <c r="Q95" s="83">
        <v>0</v>
      </c>
      <c r="R95" s="83">
        <v>0</v>
      </c>
      <c r="S95" s="83">
        <v>0</v>
      </c>
      <c r="T95" s="83">
        <v>0</v>
      </c>
      <c r="U95" s="82"/>
    </row>
    <row r="96" spans="1:21" ht="17.25" customHeight="1" x14ac:dyDescent="0.3">
      <c r="A96" s="66" t="s">
        <v>30</v>
      </c>
      <c r="C96" s="67"/>
      <c r="D96" s="77" t="str">
        <f t="shared" ref="D96:D97" si="62">D95</f>
        <v>E100001</v>
      </c>
      <c r="E96" s="77"/>
      <c r="F96" s="76"/>
      <c r="G96" s="76" t="str">
        <f>"""NAV Direct"",""CRONUS JetCorp USA"",""32"",""1"",""153193"""</f>
        <v>"NAV Direct","CRONUS JetCorp USA","32","1","153193"</v>
      </c>
      <c r="H96" s="86">
        <v>43469</v>
      </c>
      <c r="I96" s="85">
        <v>153193</v>
      </c>
      <c r="J96" s="84" t="str">
        <f>"Customer"</f>
        <v>Customer</v>
      </c>
      <c r="K96" s="84" t="str">
        <f>"C100136"</f>
        <v>C100136</v>
      </c>
      <c r="L96" s="84" t="str">
        <f>IF($J96="Customer",_xll.NL("first",$J96,"Name","No.","@@"&amp;$K96),"")</f>
        <v>First Bank</v>
      </c>
      <c r="M96" s="84" t="str">
        <f>""</f>
        <v/>
      </c>
      <c r="N96" s="84" t="str">
        <f>IF($J96="Item",_xll.NL("first",$J96,"Description","No.","@@"&amp;$K96),"")</f>
        <v/>
      </c>
      <c r="O96" s="83">
        <v>0</v>
      </c>
      <c r="P96" s="83">
        <v>-144</v>
      </c>
      <c r="Q96" s="83">
        <v>0</v>
      </c>
      <c r="R96" s="83">
        <v>0</v>
      </c>
      <c r="S96" s="83">
        <v>0</v>
      </c>
      <c r="T96" s="83">
        <v>0</v>
      </c>
      <c r="U96" s="82"/>
    </row>
    <row r="97" spans="1:21" ht="17.25" customHeight="1" x14ac:dyDescent="0.3">
      <c r="A97" s="66" t="s">
        <v>30</v>
      </c>
      <c r="C97" s="67"/>
      <c r="D97" s="77" t="str">
        <f t="shared" si="62"/>
        <v>E100001</v>
      </c>
      <c r="E97" s="77"/>
      <c r="F97" s="76"/>
      <c r="G97" s="76" t="str">
        <f>"""NAV Direct"",""CRONUS JetCorp USA"",""32"",""1"",""20391"""</f>
        <v>"NAV Direct","CRONUS JetCorp USA","32","1","20391"</v>
      </c>
      <c r="H97" s="86">
        <v>43473</v>
      </c>
      <c r="I97" s="85">
        <v>20391</v>
      </c>
      <c r="J97" s="84" t="str">
        <f>"Customer"</f>
        <v>Customer</v>
      </c>
      <c r="K97" s="84" t="str">
        <f>"C100130"</f>
        <v>C100130</v>
      </c>
      <c r="L97" s="84" t="str">
        <f>IF($J97="Customer",_xll.NL("first",$J97,"Name","No.","@@"&amp;$K97),"")</f>
        <v>Hotspot Systems</v>
      </c>
      <c r="M97" s="84" t="str">
        <f>""</f>
        <v/>
      </c>
      <c r="N97" s="84" t="str">
        <f>IF($J97="Item",_xll.NL("first",$J97,"Description","No.","@@"&amp;$K97),"")</f>
        <v/>
      </c>
      <c r="O97" s="83">
        <v>0</v>
      </c>
      <c r="P97" s="83">
        <v>-144</v>
      </c>
      <c r="Q97" s="83">
        <v>0</v>
      </c>
      <c r="R97" s="83">
        <v>0</v>
      </c>
      <c r="S97" s="83">
        <v>0</v>
      </c>
      <c r="T97" s="83">
        <v>0</v>
      </c>
      <c r="U97" s="82"/>
    </row>
    <row r="98" spans="1:21" ht="17.25" customHeight="1" x14ac:dyDescent="0.3">
      <c r="A98" s="66" t="s">
        <v>30</v>
      </c>
      <c r="C98" s="67"/>
      <c r="D98" s="77"/>
      <c r="E98" s="77"/>
      <c r="F98" s="76"/>
      <c r="G98" s="76"/>
      <c r="H98" s="76"/>
      <c r="I98" s="76"/>
      <c r="J98" s="76"/>
      <c r="K98" s="76"/>
      <c r="L98" s="76"/>
      <c r="M98" s="76"/>
      <c r="N98" s="76"/>
      <c r="O98" s="75"/>
      <c r="P98" s="75"/>
      <c r="Q98" s="75"/>
      <c r="R98" s="75"/>
      <c r="S98" s="75"/>
      <c r="T98" s="75"/>
      <c r="U98" s="74"/>
    </row>
    <row r="99" spans="1:21" ht="17.25" customHeight="1" x14ac:dyDescent="0.3">
      <c r="A99" s="66" t="s">
        <v>30</v>
      </c>
      <c r="C99" s="67"/>
      <c r="D99" s="77"/>
      <c r="E99" s="77" t="s">
        <v>31</v>
      </c>
      <c r="F99" s="76" t="s">
        <v>31</v>
      </c>
      <c r="G99" s="76" t="s">
        <v>31</v>
      </c>
      <c r="H99" s="76"/>
      <c r="I99" s="76"/>
      <c r="J99" s="76" t="s">
        <v>31</v>
      </c>
      <c r="K99" s="76" t="s">
        <v>31</v>
      </c>
      <c r="L99" s="76" t="s">
        <v>31</v>
      </c>
      <c r="M99" s="76" t="s">
        <v>31</v>
      </c>
      <c r="N99" s="76"/>
      <c r="U99" s="81"/>
    </row>
    <row r="100" spans="1:21" ht="20.25" customHeight="1" x14ac:dyDescent="0.35">
      <c r="A100" s="66" t="s">
        <v>30</v>
      </c>
      <c r="C100" s="67"/>
      <c r="D100" s="92" t="str">
        <f t="shared" ref="D100" si="63">E100</f>
        <v>E100004</v>
      </c>
      <c r="E100" s="91" t="str">
        <f>"E100004"</f>
        <v>E100004</v>
      </c>
      <c r="F100" s="89" t="str">
        <f>"Laminated Tote"</f>
        <v>Laminated Tote</v>
      </c>
      <c r="G100" s="89"/>
      <c r="H100" s="90" t="str">
        <f>"EA"</f>
        <v>EA</v>
      </c>
      <c r="I100" s="89"/>
      <c r="J100" s="89"/>
      <c r="K100" s="89"/>
      <c r="L100" s="89"/>
      <c r="M100" s="89"/>
      <c r="N100" s="89"/>
      <c r="O100" s="88">
        <f>(SUBTOTAL(9,O101:O102))</f>
        <v>0</v>
      </c>
      <c r="P100" s="88">
        <f>(SUBTOTAL(9,P101:P102))</f>
        <v>-144</v>
      </c>
      <c r="Q100" s="88">
        <f>(SUBTOTAL(9,Q101:Q102))</f>
        <v>0</v>
      </c>
      <c r="R100" s="88">
        <f>(SUBTOTAL(9,R101:R102))</f>
        <v>0</v>
      </c>
      <c r="S100" s="88">
        <f>(SUBTOTAL(9,S101:S102))</f>
        <v>0</v>
      </c>
      <c r="T100" s="88">
        <f>(SUBTOTAL(9,T101:T102))</f>
        <v>0</v>
      </c>
      <c r="U100" s="87">
        <f t="shared" ref="U100" si="64">SUBTOTAL(9,O101:T102)</f>
        <v>-144</v>
      </c>
    </row>
    <row r="101" spans="1:21" ht="17.25" customHeight="1" x14ac:dyDescent="0.3">
      <c r="A101" s="66" t="s">
        <v>30</v>
      </c>
      <c r="C101" s="67"/>
      <c r="D101" s="77" t="str">
        <f t="shared" ref="D101" si="65">D100</f>
        <v>E100004</v>
      </c>
      <c r="E101" s="77"/>
      <c r="F101" s="76"/>
      <c r="G101" s="76" t="str">
        <f>"""NAV Direct"",""CRONUS JetCorp USA"",""32"",""1"",""64620"""</f>
        <v>"NAV Direct","CRONUS JetCorp USA","32","1","64620"</v>
      </c>
      <c r="H101" s="86">
        <v>43475</v>
      </c>
      <c r="I101" s="85">
        <v>64620</v>
      </c>
      <c r="J101" s="84" t="str">
        <f>"Customer"</f>
        <v>Customer</v>
      </c>
      <c r="K101" s="84" t="str">
        <f>"C100136"</f>
        <v>C100136</v>
      </c>
      <c r="L101" s="84" t="str">
        <f>IF($J101="Customer",_xll.NL("first",$J101,"Name","No.","@@"&amp;$K101),"")</f>
        <v>First Bank</v>
      </c>
      <c r="M101" s="84" t="str">
        <f>""</f>
        <v/>
      </c>
      <c r="N101" s="84" t="str">
        <f>IF($J101="Item",_xll.NL("first",$J101,"Description","No.","@@"&amp;$K101),"")</f>
        <v/>
      </c>
      <c r="O101" s="83">
        <v>0</v>
      </c>
      <c r="P101" s="83">
        <v>-144</v>
      </c>
      <c r="Q101" s="83">
        <v>0</v>
      </c>
      <c r="R101" s="83">
        <v>0</v>
      </c>
      <c r="S101" s="83">
        <v>0</v>
      </c>
      <c r="T101" s="83">
        <v>0</v>
      </c>
      <c r="U101" s="82"/>
    </row>
    <row r="102" spans="1:21" ht="17.25" customHeight="1" x14ac:dyDescent="0.3">
      <c r="A102" s="66" t="s">
        <v>30</v>
      </c>
      <c r="C102" s="67"/>
      <c r="D102" s="77"/>
      <c r="E102" s="77"/>
      <c r="F102" s="76"/>
      <c r="G102" s="76"/>
      <c r="H102" s="76"/>
      <c r="I102" s="76"/>
      <c r="J102" s="76"/>
      <c r="K102" s="76"/>
      <c r="L102" s="76"/>
      <c r="M102" s="76"/>
      <c r="N102" s="76"/>
      <c r="O102" s="75"/>
      <c r="P102" s="75"/>
      <c r="Q102" s="75"/>
      <c r="R102" s="75"/>
      <c r="S102" s="75"/>
      <c r="T102" s="75"/>
      <c r="U102" s="74"/>
    </row>
    <row r="103" spans="1:21" ht="17.25" customHeight="1" x14ac:dyDescent="0.3">
      <c r="A103" s="66" t="s">
        <v>30</v>
      </c>
      <c r="C103" s="67"/>
      <c r="D103" s="77"/>
      <c r="E103" s="77" t="s">
        <v>31</v>
      </c>
      <c r="F103" s="76" t="s">
        <v>31</v>
      </c>
      <c r="G103" s="76" t="s">
        <v>31</v>
      </c>
      <c r="H103" s="76"/>
      <c r="I103" s="76"/>
      <c r="J103" s="76" t="s">
        <v>31</v>
      </c>
      <c r="K103" s="76" t="s">
        <v>31</v>
      </c>
      <c r="L103" s="76" t="s">
        <v>31</v>
      </c>
      <c r="M103" s="76" t="s">
        <v>31</v>
      </c>
      <c r="N103" s="76"/>
      <c r="U103" s="81"/>
    </row>
    <row r="104" spans="1:21" ht="20.25" customHeight="1" x14ac:dyDescent="0.35">
      <c r="A104" s="66" t="s">
        <v>30</v>
      </c>
      <c r="C104" s="67"/>
      <c r="D104" s="92" t="str">
        <f t="shared" ref="D104" si="66">E104</f>
        <v>E100005</v>
      </c>
      <c r="E104" s="91" t="str">
        <f>"E100005"</f>
        <v>E100005</v>
      </c>
      <c r="F104" s="89" t="str">
        <f>"All Purpose Tote"</f>
        <v>All Purpose Tote</v>
      </c>
      <c r="G104" s="89"/>
      <c r="H104" s="90" t="str">
        <f>"EA"</f>
        <v>EA</v>
      </c>
      <c r="I104" s="89"/>
      <c r="J104" s="89"/>
      <c r="K104" s="89"/>
      <c r="L104" s="89"/>
      <c r="M104" s="89"/>
      <c r="N104" s="89"/>
      <c r="O104" s="88">
        <f>(SUBTOTAL(9,O105:O107))</f>
        <v>0</v>
      </c>
      <c r="P104" s="88">
        <f>(SUBTOTAL(9,P105:P107))</f>
        <v>-145</v>
      </c>
      <c r="Q104" s="88">
        <f>(SUBTOTAL(9,Q105:Q107))</f>
        <v>0</v>
      </c>
      <c r="R104" s="88">
        <f>(SUBTOTAL(9,R105:R107))</f>
        <v>0</v>
      </c>
      <c r="S104" s="88">
        <f>(SUBTOTAL(9,S105:S107))</f>
        <v>0</v>
      </c>
      <c r="T104" s="88">
        <f>(SUBTOTAL(9,T105:T107))</f>
        <v>0</v>
      </c>
      <c r="U104" s="87">
        <f t="shared" ref="U104" si="67">SUBTOTAL(9,O105:T107)</f>
        <v>-145</v>
      </c>
    </row>
    <row r="105" spans="1:21" ht="17.25" customHeight="1" x14ac:dyDescent="0.3">
      <c r="A105" s="66" t="s">
        <v>30</v>
      </c>
      <c r="C105" s="67"/>
      <c r="D105" s="77" t="str">
        <f t="shared" ref="D105" si="68">D104</f>
        <v>E100005</v>
      </c>
      <c r="E105" s="77"/>
      <c r="F105" s="76"/>
      <c r="G105" s="76" t="str">
        <f>"""NAV Direct"",""CRONUS JetCorp USA"",""32"",""1"",""153198"""</f>
        <v>"NAV Direct","CRONUS JetCorp USA","32","1","153198"</v>
      </c>
      <c r="H105" s="86">
        <v>43469</v>
      </c>
      <c r="I105" s="85">
        <v>153198</v>
      </c>
      <c r="J105" s="84" t="str">
        <f>"Customer"</f>
        <v>Customer</v>
      </c>
      <c r="K105" s="84" t="str">
        <f>"C100136"</f>
        <v>C100136</v>
      </c>
      <c r="L105" s="84" t="str">
        <f>IF($J105="Customer",_xll.NL("first",$J105,"Name","No.","@@"&amp;$K105),"")</f>
        <v>First Bank</v>
      </c>
      <c r="M105" s="84" t="str">
        <f>""</f>
        <v/>
      </c>
      <c r="N105" s="84" t="str">
        <f>IF($J105="Item",_xll.NL("first",$J105,"Description","No.","@@"&amp;$K105),"")</f>
        <v/>
      </c>
      <c r="O105" s="83">
        <v>0</v>
      </c>
      <c r="P105" s="83">
        <v>-1</v>
      </c>
      <c r="Q105" s="83">
        <v>0</v>
      </c>
      <c r="R105" s="83">
        <v>0</v>
      </c>
      <c r="S105" s="83">
        <v>0</v>
      </c>
      <c r="T105" s="83">
        <v>0</v>
      </c>
      <c r="U105" s="82"/>
    </row>
    <row r="106" spans="1:21" ht="17.25" customHeight="1" x14ac:dyDescent="0.3">
      <c r="A106" s="66" t="s">
        <v>30</v>
      </c>
      <c r="C106" s="67"/>
      <c r="D106" s="77" t="str">
        <f t="shared" ref="D106" si="69">D105</f>
        <v>E100005</v>
      </c>
      <c r="E106" s="77"/>
      <c r="F106" s="76"/>
      <c r="G106" s="76" t="str">
        <f>"""NAV Direct"",""CRONUS JetCorp USA"",""32"",""1"",""153168"""</f>
        <v>"NAV Direct","CRONUS JetCorp USA","32","1","153168"</v>
      </c>
      <c r="H106" s="86">
        <v>43470</v>
      </c>
      <c r="I106" s="85">
        <v>153168</v>
      </c>
      <c r="J106" s="84" t="str">
        <f>"Customer"</f>
        <v>Customer</v>
      </c>
      <c r="K106" s="84" t="str">
        <f>"C100136"</f>
        <v>C100136</v>
      </c>
      <c r="L106" s="84" t="str">
        <f>IF($J106="Customer",_xll.NL("first",$J106,"Name","No.","@@"&amp;$K106),"")</f>
        <v>First Bank</v>
      </c>
      <c r="M106" s="84" t="str">
        <f>""</f>
        <v/>
      </c>
      <c r="N106" s="84" t="str">
        <f>IF($J106="Item",_xll.NL("first",$J106,"Description","No.","@@"&amp;$K106),"")</f>
        <v/>
      </c>
      <c r="O106" s="83">
        <v>0</v>
      </c>
      <c r="P106" s="83">
        <v>-144</v>
      </c>
      <c r="Q106" s="83">
        <v>0</v>
      </c>
      <c r="R106" s="83">
        <v>0</v>
      </c>
      <c r="S106" s="83">
        <v>0</v>
      </c>
      <c r="T106" s="83">
        <v>0</v>
      </c>
      <c r="U106" s="82"/>
    </row>
    <row r="107" spans="1:21" ht="17.25" customHeight="1" x14ac:dyDescent="0.3">
      <c r="A107" s="66" t="s">
        <v>30</v>
      </c>
      <c r="C107" s="67"/>
      <c r="D107" s="77"/>
      <c r="E107" s="77"/>
      <c r="F107" s="76"/>
      <c r="G107" s="76"/>
      <c r="H107" s="76"/>
      <c r="I107" s="76"/>
      <c r="J107" s="76"/>
      <c r="K107" s="76"/>
      <c r="L107" s="76"/>
      <c r="M107" s="76"/>
      <c r="N107" s="76"/>
      <c r="O107" s="75"/>
      <c r="P107" s="75"/>
      <c r="Q107" s="75"/>
      <c r="R107" s="75"/>
      <c r="S107" s="75"/>
      <c r="T107" s="75"/>
      <c r="U107" s="74"/>
    </row>
    <row r="108" spans="1:21" ht="17.25" customHeight="1" x14ac:dyDescent="0.3">
      <c r="A108" s="66" t="s">
        <v>30</v>
      </c>
      <c r="C108" s="67"/>
      <c r="D108" s="77"/>
      <c r="E108" s="77" t="s">
        <v>31</v>
      </c>
      <c r="F108" s="76" t="s">
        <v>31</v>
      </c>
      <c r="G108" s="76" t="s">
        <v>31</v>
      </c>
      <c r="H108" s="76"/>
      <c r="I108" s="76"/>
      <c r="J108" s="76" t="s">
        <v>31</v>
      </c>
      <c r="K108" s="76" t="s">
        <v>31</v>
      </c>
      <c r="L108" s="76" t="s">
        <v>31</v>
      </c>
      <c r="M108" s="76" t="s">
        <v>31</v>
      </c>
      <c r="N108" s="76"/>
      <c r="U108" s="81"/>
    </row>
    <row r="109" spans="1:21" ht="20.25" customHeight="1" x14ac:dyDescent="0.35">
      <c r="A109" s="66" t="s">
        <v>30</v>
      </c>
      <c r="C109" s="67"/>
      <c r="D109" s="92" t="str">
        <f t="shared" ref="D109" si="70">E109</f>
        <v>E100006</v>
      </c>
      <c r="E109" s="91" t="str">
        <f>"E100006"</f>
        <v>E100006</v>
      </c>
      <c r="F109" s="89" t="str">
        <f>"Budget Tote Bag"</f>
        <v>Budget Tote Bag</v>
      </c>
      <c r="G109" s="89"/>
      <c r="H109" s="90" t="str">
        <f>"EA"</f>
        <v>EA</v>
      </c>
      <c r="I109" s="89"/>
      <c r="J109" s="89"/>
      <c r="K109" s="89"/>
      <c r="L109" s="89"/>
      <c r="M109" s="89"/>
      <c r="N109" s="89"/>
      <c r="O109" s="88">
        <f>(SUBTOTAL(9,O110:O113))</f>
        <v>200</v>
      </c>
      <c r="P109" s="88">
        <f>(SUBTOTAL(9,P110:P113))</f>
        <v>-2</v>
      </c>
      <c r="Q109" s="88">
        <f>(SUBTOTAL(9,Q110:Q113))</f>
        <v>0</v>
      </c>
      <c r="R109" s="88">
        <f>(SUBTOTAL(9,R110:R113))</f>
        <v>0</v>
      </c>
      <c r="S109" s="88">
        <f>(SUBTOTAL(9,S110:S113))</f>
        <v>0</v>
      </c>
      <c r="T109" s="88">
        <f>(SUBTOTAL(9,T110:T113))</f>
        <v>0</v>
      </c>
      <c r="U109" s="87">
        <f t="shared" ref="U109" si="71">SUBTOTAL(9,O110:T113)</f>
        <v>198</v>
      </c>
    </row>
    <row r="110" spans="1:21" ht="17.25" customHeight="1" x14ac:dyDescent="0.3">
      <c r="A110" s="66" t="s">
        <v>30</v>
      </c>
      <c r="C110" s="67"/>
      <c r="D110" s="77" t="str">
        <f t="shared" ref="D110" si="72">D109</f>
        <v>E100006</v>
      </c>
      <c r="E110" s="77"/>
      <c r="F110" s="76"/>
      <c r="G110" s="76" t="str">
        <f>"""NAV Direct"",""CRONUS JetCorp USA"",""32"",""1"",""166802"""</f>
        <v>"NAV Direct","CRONUS JetCorp USA","32","1","166802"</v>
      </c>
      <c r="H110" s="86">
        <v>43466</v>
      </c>
      <c r="I110" s="85">
        <v>166802</v>
      </c>
      <c r="J110" s="84" t="str">
        <f>"Vendor"</f>
        <v>Vendor</v>
      </c>
      <c r="K110" s="84" t="str">
        <f>"V100001"</f>
        <v>V100001</v>
      </c>
      <c r="L110" s="84" t="str">
        <f>IF($J110="Customer",_xll.NL("first",$J110,"Name","No.","@@"&amp;$K110),"")</f>
        <v/>
      </c>
      <c r="M110" s="84" t="str">
        <f>"Greigner, Inc."</f>
        <v>Greigner, Inc.</v>
      </c>
      <c r="N110" s="84" t="str">
        <f>IF($J110="Item",_xll.NL("first",$J110,"Description","No.","@@"&amp;$K110),"")</f>
        <v/>
      </c>
      <c r="O110" s="83">
        <v>200</v>
      </c>
      <c r="P110" s="83">
        <v>0</v>
      </c>
      <c r="Q110" s="83">
        <v>0</v>
      </c>
      <c r="R110" s="83">
        <v>0</v>
      </c>
      <c r="S110" s="83">
        <v>0</v>
      </c>
      <c r="T110" s="83">
        <v>0</v>
      </c>
      <c r="U110" s="82"/>
    </row>
    <row r="111" spans="1:21" ht="17.25" customHeight="1" x14ac:dyDescent="0.3">
      <c r="A111" s="66" t="s">
        <v>30</v>
      </c>
      <c r="C111" s="67"/>
      <c r="D111" s="77" t="str">
        <f t="shared" ref="D111:D112" si="73">D110</f>
        <v>E100006</v>
      </c>
      <c r="E111" s="77"/>
      <c r="F111" s="76"/>
      <c r="G111" s="76" t="str">
        <f>"""NAV Direct"",""CRONUS JetCorp USA"",""32"",""1"",""153200"""</f>
        <v>"NAV Direct","CRONUS JetCorp USA","32","1","153200"</v>
      </c>
      <c r="H111" s="86">
        <v>43469</v>
      </c>
      <c r="I111" s="85">
        <v>153200</v>
      </c>
      <c r="J111" s="84" t="str">
        <f>"Customer"</f>
        <v>Customer</v>
      </c>
      <c r="K111" s="84" t="str">
        <f>"C100136"</f>
        <v>C100136</v>
      </c>
      <c r="L111" s="84" t="str">
        <f>IF($J111="Customer",_xll.NL("first",$J111,"Name","No.","@@"&amp;$K111),"")</f>
        <v>First Bank</v>
      </c>
      <c r="M111" s="84" t="str">
        <f>""</f>
        <v/>
      </c>
      <c r="N111" s="84" t="str">
        <f>IF($J111="Item",_xll.NL("first",$J111,"Description","No.","@@"&amp;$K111),"")</f>
        <v/>
      </c>
      <c r="O111" s="83">
        <v>0</v>
      </c>
      <c r="P111" s="83">
        <v>-1</v>
      </c>
      <c r="Q111" s="83">
        <v>0</v>
      </c>
      <c r="R111" s="83">
        <v>0</v>
      </c>
      <c r="S111" s="83">
        <v>0</v>
      </c>
      <c r="T111" s="83">
        <v>0</v>
      </c>
      <c r="U111" s="82"/>
    </row>
    <row r="112" spans="1:21" ht="17.25" customHeight="1" x14ac:dyDescent="0.3">
      <c r="A112" s="66" t="s">
        <v>30</v>
      </c>
      <c r="C112" s="67"/>
      <c r="D112" s="77" t="str">
        <f t="shared" si="73"/>
        <v>E100006</v>
      </c>
      <c r="E112" s="77"/>
      <c r="F112" s="76"/>
      <c r="G112" s="76" t="str">
        <f>"""NAV Direct"",""CRONUS JetCorp USA"",""32"",""1"",""153176"""</f>
        <v>"NAV Direct","CRONUS JetCorp USA","32","1","153176"</v>
      </c>
      <c r="H112" s="86">
        <v>43470</v>
      </c>
      <c r="I112" s="85">
        <v>153176</v>
      </c>
      <c r="J112" s="84" t="str">
        <f>"Customer"</f>
        <v>Customer</v>
      </c>
      <c r="K112" s="84" t="str">
        <f>"C100136"</f>
        <v>C100136</v>
      </c>
      <c r="L112" s="84" t="str">
        <f>IF($J112="Customer",_xll.NL("first",$J112,"Name","No.","@@"&amp;$K112),"")</f>
        <v>First Bank</v>
      </c>
      <c r="M112" s="84" t="str">
        <f>""</f>
        <v/>
      </c>
      <c r="N112" s="84" t="str">
        <f>IF($J112="Item",_xll.NL("first",$J112,"Description","No.","@@"&amp;$K112),"")</f>
        <v/>
      </c>
      <c r="O112" s="83">
        <v>0</v>
      </c>
      <c r="P112" s="83">
        <v>-1</v>
      </c>
      <c r="Q112" s="83">
        <v>0</v>
      </c>
      <c r="R112" s="83">
        <v>0</v>
      </c>
      <c r="S112" s="83">
        <v>0</v>
      </c>
      <c r="T112" s="83">
        <v>0</v>
      </c>
      <c r="U112" s="82"/>
    </row>
    <row r="113" spans="1:21" ht="17.25" customHeight="1" x14ac:dyDescent="0.3">
      <c r="A113" s="66" t="s">
        <v>30</v>
      </c>
      <c r="C113" s="67"/>
      <c r="D113" s="77"/>
      <c r="E113" s="77"/>
      <c r="F113" s="76"/>
      <c r="G113" s="76"/>
      <c r="H113" s="76"/>
      <c r="I113" s="76"/>
      <c r="J113" s="76"/>
      <c r="K113" s="76"/>
      <c r="L113" s="76"/>
      <c r="M113" s="76"/>
      <c r="N113" s="76"/>
      <c r="O113" s="75"/>
      <c r="P113" s="75"/>
      <c r="Q113" s="75"/>
      <c r="R113" s="75"/>
      <c r="S113" s="75"/>
      <c r="T113" s="75"/>
      <c r="U113" s="74"/>
    </row>
    <row r="114" spans="1:21" ht="17.25" customHeight="1" x14ac:dyDescent="0.3">
      <c r="A114" s="66" t="s">
        <v>30</v>
      </c>
      <c r="C114" s="67"/>
      <c r="D114" s="77"/>
      <c r="E114" s="77" t="s">
        <v>31</v>
      </c>
      <c r="F114" s="76" t="s">
        <v>31</v>
      </c>
      <c r="G114" s="76" t="s">
        <v>31</v>
      </c>
      <c r="H114" s="76"/>
      <c r="I114" s="76"/>
      <c r="J114" s="76" t="s">
        <v>31</v>
      </c>
      <c r="K114" s="76" t="s">
        <v>31</v>
      </c>
      <c r="L114" s="76" t="s">
        <v>31</v>
      </c>
      <c r="M114" s="76" t="s">
        <v>31</v>
      </c>
      <c r="N114" s="76"/>
      <c r="U114" s="81"/>
    </row>
    <row r="115" spans="1:21" ht="20.25" customHeight="1" x14ac:dyDescent="0.35">
      <c r="A115" s="66" t="s">
        <v>30</v>
      </c>
      <c r="C115" s="67"/>
      <c r="D115" s="92" t="str">
        <f t="shared" ref="D115" si="74">E115</f>
        <v>E100008</v>
      </c>
      <c r="E115" s="91" t="str">
        <f>"E100008"</f>
        <v>E100008</v>
      </c>
      <c r="F115" s="89" t="str">
        <f>"Super Shopper"</f>
        <v>Super Shopper</v>
      </c>
      <c r="G115" s="89"/>
      <c r="H115" s="90" t="str">
        <f>"EA"</f>
        <v>EA</v>
      </c>
      <c r="I115" s="89"/>
      <c r="J115" s="89"/>
      <c r="K115" s="89"/>
      <c r="L115" s="89"/>
      <c r="M115" s="89"/>
      <c r="N115" s="89"/>
      <c r="O115" s="88">
        <f>(SUBTOTAL(9,O116:O119))</f>
        <v>400</v>
      </c>
      <c r="P115" s="88">
        <f>(SUBTOTAL(9,P116:P119))</f>
        <v>-146</v>
      </c>
      <c r="Q115" s="88">
        <f>(SUBTOTAL(9,Q116:Q119))</f>
        <v>0</v>
      </c>
      <c r="R115" s="88">
        <f>(SUBTOTAL(9,R116:R119))</f>
        <v>0</v>
      </c>
      <c r="S115" s="88">
        <f>(SUBTOTAL(9,S116:S119))</f>
        <v>0</v>
      </c>
      <c r="T115" s="88">
        <f>(SUBTOTAL(9,T116:T119))</f>
        <v>0</v>
      </c>
      <c r="U115" s="87">
        <f t="shared" ref="U115" si="75">SUBTOTAL(9,O116:T119)</f>
        <v>254</v>
      </c>
    </row>
    <row r="116" spans="1:21" ht="17.25" customHeight="1" x14ac:dyDescent="0.3">
      <c r="A116" s="66" t="s">
        <v>30</v>
      </c>
      <c r="C116" s="67"/>
      <c r="D116" s="77" t="str">
        <f t="shared" ref="D116" si="76">D115</f>
        <v>E100008</v>
      </c>
      <c r="E116" s="77"/>
      <c r="F116" s="76"/>
      <c r="G116" s="76" t="str">
        <f>"""NAV Direct"",""CRONUS JetCorp USA"",""32"",""1"",""166801"""</f>
        <v>"NAV Direct","CRONUS JetCorp USA","32","1","166801"</v>
      </c>
      <c r="H116" s="86">
        <v>43466</v>
      </c>
      <c r="I116" s="85">
        <v>166801</v>
      </c>
      <c r="J116" s="84" t="str">
        <f>"Vendor"</f>
        <v>Vendor</v>
      </c>
      <c r="K116" s="84" t="str">
        <f>"V100001"</f>
        <v>V100001</v>
      </c>
      <c r="L116" s="84" t="str">
        <f>IF($J116="Customer",_xll.NL("first",$J116,"Name","No.","@@"&amp;$K116),"")</f>
        <v/>
      </c>
      <c r="M116" s="84" t="str">
        <f>"Greigner, Inc."</f>
        <v>Greigner, Inc.</v>
      </c>
      <c r="N116" s="84" t="str">
        <f>IF($J116="Item",_xll.NL("first",$J116,"Description","No.","@@"&amp;$K116),"")</f>
        <v/>
      </c>
      <c r="O116" s="83">
        <v>400</v>
      </c>
      <c r="P116" s="83">
        <v>0</v>
      </c>
      <c r="Q116" s="83">
        <v>0</v>
      </c>
      <c r="R116" s="83">
        <v>0</v>
      </c>
      <c r="S116" s="83">
        <v>0</v>
      </c>
      <c r="T116" s="83">
        <v>0</v>
      </c>
      <c r="U116" s="82"/>
    </row>
    <row r="117" spans="1:21" ht="17.25" customHeight="1" x14ac:dyDescent="0.3">
      <c r="A117" s="66" t="s">
        <v>30</v>
      </c>
      <c r="C117" s="67"/>
      <c r="D117" s="77" t="str">
        <f t="shared" ref="D117:D118" si="77">D116</f>
        <v>E100008</v>
      </c>
      <c r="E117" s="77"/>
      <c r="F117" s="76"/>
      <c r="G117" s="76" t="str">
        <f>"""NAV Direct"",""CRONUS JetCorp USA"",""32"",""1"",""153173"""</f>
        <v>"NAV Direct","CRONUS JetCorp USA","32","1","153173"</v>
      </c>
      <c r="H117" s="86">
        <v>43470</v>
      </c>
      <c r="I117" s="85">
        <v>153173</v>
      </c>
      <c r="J117" s="84" t="str">
        <f>"Customer"</f>
        <v>Customer</v>
      </c>
      <c r="K117" s="84" t="str">
        <f>"C100136"</f>
        <v>C100136</v>
      </c>
      <c r="L117" s="84" t="str">
        <f>IF($J117="Customer",_xll.NL("first",$J117,"Name","No.","@@"&amp;$K117),"")</f>
        <v>First Bank</v>
      </c>
      <c r="M117" s="84" t="str">
        <f>""</f>
        <v/>
      </c>
      <c r="N117" s="84" t="str">
        <f>IF($J117="Item",_xll.NL("first",$J117,"Description","No.","@@"&amp;$K117),"")</f>
        <v/>
      </c>
      <c r="O117" s="83">
        <v>0</v>
      </c>
      <c r="P117" s="83">
        <v>-144</v>
      </c>
      <c r="Q117" s="83">
        <v>0</v>
      </c>
      <c r="R117" s="83">
        <v>0</v>
      </c>
      <c r="S117" s="83">
        <v>0</v>
      </c>
      <c r="T117" s="83">
        <v>0</v>
      </c>
      <c r="U117" s="82"/>
    </row>
    <row r="118" spans="1:21" ht="17.25" customHeight="1" x14ac:dyDescent="0.3">
      <c r="A118" s="66" t="s">
        <v>30</v>
      </c>
      <c r="C118" s="67"/>
      <c r="D118" s="77" t="str">
        <f t="shared" si="77"/>
        <v>E100008</v>
      </c>
      <c r="E118" s="77"/>
      <c r="F118" s="76"/>
      <c r="G118" s="76" t="str">
        <f>"""NAV Direct"",""CRONUS JetCorp USA"",""32"",""1"",""64631"""</f>
        <v>"NAV Direct","CRONUS JetCorp USA","32","1","64631"</v>
      </c>
      <c r="H118" s="86">
        <v>43475</v>
      </c>
      <c r="I118" s="85">
        <v>64631</v>
      </c>
      <c r="J118" s="84" t="str">
        <f>"Customer"</f>
        <v>Customer</v>
      </c>
      <c r="K118" s="84" t="str">
        <f>"C100136"</f>
        <v>C100136</v>
      </c>
      <c r="L118" s="84" t="str">
        <f>IF($J118="Customer",_xll.NL("first",$J118,"Name","No.","@@"&amp;$K118),"")</f>
        <v>First Bank</v>
      </c>
      <c r="M118" s="84" t="str">
        <f>""</f>
        <v/>
      </c>
      <c r="N118" s="84" t="str">
        <f>IF($J118="Item",_xll.NL("first",$J118,"Description","No.","@@"&amp;$K118),"")</f>
        <v/>
      </c>
      <c r="O118" s="83">
        <v>0</v>
      </c>
      <c r="P118" s="83">
        <v>-2</v>
      </c>
      <c r="Q118" s="83">
        <v>0</v>
      </c>
      <c r="R118" s="83">
        <v>0</v>
      </c>
      <c r="S118" s="83">
        <v>0</v>
      </c>
      <c r="T118" s="83">
        <v>0</v>
      </c>
      <c r="U118" s="82"/>
    </row>
    <row r="119" spans="1:21" ht="17.25" customHeight="1" x14ac:dyDescent="0.3">
      <c r="A119" s="66" t="s">
        <v>30</v>
      </c>
      <c r="C119" s="67"/>
      <c r="D119" s="77"/>
      <c r="E119" s="77"/>
      <c r="F119" s="76"/>
      <c r="G119" s="76"/>
      <c r="H119" s="76"/>
      <c r="I119" s="76"/>
      <c r="J119" s="76"/>
      <c r="K119" s="76"/>
      <c r="L119" s="76"/>
      <c r="M119" s="76"/>
      <c r="N119" s="76"/>
      <c r="O119" s="75"/>
      <c r="P119" s="75"/>
      <c r="Q119" s="75"/>
      <c r="R119" s="75"/>
      <c r="S119" s="75"/>
      <c r="T119" s="75"/>
      <c r="U119" s="74"/>
    </row>
    <row r="120" spans="1:21" ht="17.25" customHeight="1" x14ac:dyDescent="0.3">
      <c r="A120" s="66" t="s">
        <v>30</v>
      </c>
      <c r="C120" s="67"/>
      <c r="D120" s="77"/>
      <c r="E120" s="77" t="s">
        <v>31</v>
      </c>
      <c r="F120" s="76" t="s">
        <v>31</v>
      </c>
      <c r="G120" s="76" t="s">
        <v>31</v>
      </c>
      <c r="H120" s="76"/>
      <c r="I120" s="76"/>
      <c r="J120" s="76" t="s">
        <v>31</v>
      </c>
      <c r="K120" s="76" t="s">
        <v>31</v>
      </c>
      <c r="L120" s="76" t="s">
        <v>31</v>
      </c>
      <c r="M120" s="76" t="s">
        <v>31</v>
      </c>
      <c r="N120" s="76"/>
      <c r="U120" s="81"/>
    </row>
    <row r="121" spans="1:21" ht="20.25" customHeight="1" x14ac:dyDescent="0.35">
      <c r="A121" s="66" t="s">
        <v>30</v>
      </c>
      <c r="C121" s="67"/>
      <c r="D121" s="92" t="str">
        <f t="shared" ref="D121" si="78">E121</f>
        <v>E100009</v>
      </c>
      <c r="E121" s="91" t="str">
        <f>"E100009"</f>
        <v>E100009</v>
      </c>
      <c r="F121" s="89" t="str">
        <f>"Die-Cut Tote"</f>
        <v>Die-Cut Tote</v>
      </c>
      <c r="G121" s="89"/>
      <c r="H121" s="90" t="str">
        <f>"EA"</f>
        <v>EA</v>
      </c>
      <c r="I121" s="89"/>
      <c r="J121" s="89"/>
      <c r="K121" s="89"/>
      <c r="L121" s="89"/>
      <c r="M121" s="89"/>
      <c r="N121" s="89"/>
      <c r="O121" s="88">
        <f>(SUBTOTAL(9,O122:O123))</f>
        <v>0</v>
      </c>
      <c r="P121" s="88">
        <f>(SUBTOTAL(9,P122:P123))</f>
        <v>-145</v>
      </c>
      <c r="Q121" s="88">
        <f>(SUBTOTAL(9,Q122:Q123))</f>
        <v>0</v>
      </c>
      <c r="R121" s="88">
        <f>(SUBTOTAL(9,R122:R123))</f>
        <v>0</v>
      </c>
      <c r="S121" s="88">
        <f>(SUBTOTAL(9,S122:S123))</f>
        <v>0</v>
      </c>
      <c r="T121" s="88">
        <f>(SUBTOTAL(9,T122:T123))</f>
        <v>0</v>
      </c>
      <c r="U121" s="87">
        <f t="shared" ref="U121" si="79">SUBTOTAL(9,O122:T123)</f>
        <v>-145</v>
      </c>
    </row>
    <row r="122" spans="1:21" ht="17.25" customHeight="1" x14ac:dyDescent="0.3">
      <c r="A122" s="66" t="s">
        <v>30</v>
      </c>
      <c r="C122" s="67"/>
      <c r="D122" s="77" t="str">
        <f t="shared" ref="D122" si="80">D121</f>
        <v>E100009</v>
      </c>
      <c r="E122" s="77"/>
      <c r="F122" s="76"/>
      <c r="G122" s="76" t="str">
        <f>"""NAV Direct"",""CRONUS JetCorp USA"",""32"",""1"",""64630"""</f>
        <v>"NAV Direct","CRONUS JetCorp USA","32","1","64630"</v>
      </c>
      <c r="H122" s="86">
        <v>43475</v>
      </c>
      <c r="I122" s="85">
        <v>64630</v>
      </c>
      <c r="J122" s="84" t="str">
        <f>"Customer"</f>
        <v>Customer</v>
      </c>
      <c r="K122" s="84" t="str">
        <f>"C100136"</f>
        <v>C100136</v>
      </c>
      <c r="L122" s="84" t="str">
        <f>IF($J122="Customer",_xll.NL("first",$J122,"Name","No.","@@"&amp;$K122),"")</f>
        <v>First Bank</v>
      </c>
      <c r="M122" s="84" t="str">
        <f>""</f>
        <v/>
      </c>
      <c r="N122" s="84" t="str">
        <f>IF($J122="Item",_xll.NL("first",$J122,"Description","No.","@@"&amp;$K122),"")</f>
        <v/>
      </c>
      <c r="O122" s="83">
        <v>0</v>
      </c>
      <c r="P122" s="83">
        <v>-145</v>
      </c>
      <c r="Q122" s="83">
        <v>0</v>
      </c>
      <c r="R122" s="83">
        <v>0</v>
      </c>
      <c r="S122" s="83">
        <v>0</v>
      </c>
      <c r="T122" s="83">
        <v>0</v>
      </c>
      <c r="U122" s="82"/>
    </row>
    <row r="123" spans="1:21" ht="17.25" customHeight="1" x14ac:dyDescent="0.3">
      <c r="A123" s="66" t="s">
        <v>30</v>
      </c>
      <c r="C123" s="67"/>
      <c r="D123" s="77"/>
      <c r="E123" s="77"/>
      <c r="F123" s="76"/>
      <c r="G123" s="76"/>
      <c r="H123" s="76"/>
      <c r="I123" s="76"/>
      <c r="J123" s="76"/>
      <c r="K123" s="76"/>
      <c r="L123" s="76"/>
      <c r="M123" s="76"/>
      <c r="N123" s="76"/>
      <c r="O123" s="75"/>
      <c r="P123" s="75"/>
      <c r="Q123" s="75"/>
      <c r="R123" s="75"/>
      <c r="S123" s="75"/>
      <c r="T123" s="75"/>
      <c r="U123" s="74"/>
    </row>
    <row r="124" spans="1:21" ht="17.25" customHeight="1" x14ac:dyDescent="0.3">
      <c r="A124" s="66" t="s">
        <v>30</v>
      </c>
      <c r="C124" s="67"/>
      <c r="D124" s="77"/>
      <c r="E124" s="77" t="s">
        <v>31</v>
      </c>
      <c r="F124" s="76" t="s">
        <v>31</v>
      </c>
      <c r="G124" s="76" t="s">
        <v>31</v>
      </c>
      <c r="H124" s="76"/>
      <c r="I124" s="76"/>
      <c r="J124" s="76" t="s">
        <v>31</v>
      </c>
      <c r="K124" s="76" t="s">
        <v>31</v>
      </c>
      <c r="L124" s="76" t="s">
        <v>31</v>
      </c>
      <c r="M124" s="76" t="s">
        <v>31</v>
      </c>
      <c r="N124" s="76"/>
      <c r="U124" s="81"/>
    </row>
    <row r="125" spans="1:21" ht="20.25" customHeight="1" x14ac:dyDescent="0.35">
      <c r="A125" s="66" t="s">
        <v>30</v>
      </c>
      <c r="C125" s="67"/>
      <c r="D125" s="92" t="str">
        <f t="shared" ref="D125" si="81">E125</f>
        <v>E100010</v>
      </c>
      <c r="E125" s="91" t="str">
        <f>"E100010"</f>
        <v>E100010</v>
      </c>
      <c r="F125" s="89" t="str">
        <f>"Vinyl Tote"</f>
        <v>Vinyl Tote</v>
      </c>
      <c r="G125" s="89"/>
      <c r="H125" s="90" t="str">
        <f>"EA"</f>
        <v>EA</v>
      </c>
      <c r="I125" s="89"/>
      <c r="J125" s="89"/>
      <c r="K125" s="89"/>
      <c r="L125" s="89"/>
      <c r="M125" s="89"/>
      <c r="N125" s="89"/>
      <c r="O125" s="88">
        <f>(SUBTOTAL(9,O126:O128))</f>
        <v>200</v>
      </c>
      <c r="P125" s="88">
        <f>(SUBTOTAL(9,P126:P128))</f>
        <v>-288</v>
      </c>
      <c r="Q125" s="88">
        <f>(SUBTOTAL(9,Q126:Q128))</f>
        <v>0</v>
      </c>
      <c r="R125" s="88">
        <f>(SUBTOTAL(9,R126:R128))</f>
        <v>0</v>
      </c>
      <c r="S125" s="88">
        <f>(SUBTOTAL(9,S126:S128))</f>
        <v>0</v>
      </c>
      <c r="T125" s="88">
        <f>(SUBTOTAL(9,T126:T128))</f>
        <v>0</v>
      </c>
      <c r="U125" s="87">
        <f t="shared" ref="U125" si="82">SUBTOTAL(9,O126:T128)</f>
        <v>-88</v>
      </c>
    </row>
    <row r="126" spans="1:21" ht="17.25" customHeight="1" x14ac:dyDescent="0.3">
      <c r="A126" s="66" t="s">
        <v>30</v>
      </c>
      <c r="C126" s="67"/>
      <c r="D126" s="77" t="str">
        <f t="shared" ref="D126" si="83">D125</f>
        <v>E100010</v>
      </c>
      <c r="E126" s="77"/>
      <c r="F126" s="76"/>
      <c r="G126" s="76" t="str">
        <f>"""NAV Direct"",""CRONUS JetCorp USA"",""32"",""1"",""166800"""</f>
        <v>"NAV Direct","CRONUS JetCorp USA","32","1","166800"</v>
      </c>
      <c r="H126" s="86">
        <v>43466</v>
      </c>
      <c r="I126" s="85">
        <v>166800</v>
      </c>
      <c r="J126" s="84" t="str">
        <f>"Vendor"</f>
        <v>Vendor</v>
      </c>
      <c r="K126" s="84" t="str">
        <f>"V100001"</f>
        <v>V100001</v>
      </c>
      <c r="L126" s="84" t="str">
        <f>IF($J126="Customer",_xll.NL("first",$J126,"Name","No.","@@"&amp;$K126),"")</f>
        <v/>
      </c>
      <c r="M126" s="84" t="str">
        <f>"Greigner, Inc."</f>
        <v>Greigner, Inc.</v>
      </c>
      <c r="N126" s="84" t="str">
        <f>IF($J126="Item",_xll.NL("first",$J126,"Description","No.","@@"&amp;$K126),"")</f>
        <v/>
      </c>
      <c r="O126" s="83">
        <v>200</v>
      </c>
      <c r="P126" s="83">
        <v>0</v>
      </c>
      <c r="Q126" s="83">
        <v>0</v>
      </c>
      <c r="R126" s="83">
        <v>0</v>
      </c>
      <c r="S126" s="83">
        <v>0</v>
      </c>
      <c r="T126" s="83">
        <v>0</v>
      </c>
      <c r="U126" s="82"/>
    </row>
    <row r="127" spans="1:21" ht="17.25" customHeight="1" x14ac:dyDescent="0.3">
      <c r="A127" s="66" t="s">
        <v>30</v>
      </c>
      <c r="C127" s="67"/>
      <c r="D127" s="77" t="str">
        <f t="shared" ref="D127" si="84">D126</f>
        <v>E100010</v>
      </c>
      <c r="E127" s="77"/>
      <c r="F127" s="76"/>
      <c r="G127" s="76" t="str">
        <f>"""NAV Direct"",""CRONUS JetCorp USA"",""32"",""1"",""64627"""</f>
        <v>"NAV Direct","CRONUS JetCorp USA","32","1","64627"</v>
      </c>
      <c r="H127" s="86">
        <v>43475</v>
      </c>
      <c r="I127" s="85">
        <v>64627</v>
      </c>
      <c r="J127" s="84" t="str">
        <f>"Customer"</f>
        <v>Customer</v>
      </c>
      <c r="K127" s="84" t="str">
        <f>"C100136"</f>
        <v>C100136</v>
      </c>
      <c r="L127" s="84" t="str">
        <f>IF($J127="Customer",_xll.NL("first",$J127,"Name","No.","@@"&amp;$K127),"")</f>
        <v>First Bank</v>
      </c>
      <c r="M127" s="84" t="str">
        <f>""</f>
        <v/>
      </c>
      <c r="N127" s="84" t="str">
        <f>IF($J127="Item",_xll.NL("first",$J127,"Description","No.","@@"&amp;$K127),"")</f>
        <v/>
      </c>
      <c r="O127" s="83">
        <v>0</v>
      </c>
      <c r="P127" s="83">
        <v>-288</v>
      </c>
      <c r="Q127" s="83">
        <v>0</v>
      </c>
      <c r="R127" s="83">
        <v>0</v>
      </c>
      <c r="S127" s="83">
        <v>0</v>
      </c>
      <c r="T127" s="83">
        <v>0</v>
      </c>
      <c r="U127" s="82"/>
    </row>
    <row r="128" spans="1:21" ht="17.25" customHeight="1" x14ac:dyDescent="0.3">
      <c r="A128" s="66" t="s">
        <v>30</v>
      </c>
      <c r="C128" s="67"/>
      <c r="D128" s="77"/>
      <c r="E128" s="77"/>
      <c r="F128" s="76"/>
      <c r="G128" s="76"/>
      <c r="H128" s="76"/>
      <c r="I128" s="76"/>
      <c r="J128" s="76"/>
      <c r="K128" s="76"/>
      <c r="L128" s="76"/>
      <c r="M128" s="76"/>
      <c r="N128" s="76"/>
      <c r="O128" s="75"/>
      <c r="P128" s="75"/>
      <c r="Q128" s="75"/>
      <c r="R128" s="75"/>
      <c r="S128" s="75"/>
      <c r="T128" s="75"/>
      <c r="U128" s="74"/>
    </row>
    <row r="129" spans="1:21" ht="17.25" customHeight="1" x14ac:dyDescent="0.3">
      <c r="A129" s="66" t="s">
        <v>30</v>
      </c>
      <c r="C129" s="67"/>
      <c r="D129" s="77"/>
      <c r="E129" s="77" t="s">
        <v>31</v>
      </c>
      <c r="F129" s="76" t="s">
        <v>31</v>
      </c>
      <c r="G129" s="76" t="s">
        <v>31</v>
      </c>
      <c r="H129" s="76"/>
      <c r="I129" s="76"/>
      <c r="J129" s="76" t="s">
        <v>31</v>
      </c>
      <c r="K129" s="76" t="s">
        <v>31</v>
      </c>
      <c r="L129" s="76" t="s">
        <v>31</v>
      </c>
      <c r="M129" s="76" t="s">
        <v>31</v>
      </c>
      <c r="N129" s="76"/>
      <c r="U129" s="81"/>
    </row>
    <row r="130" spans="1:21" ht="20.25" customHeight="1" x14ac:dyDescent="0.35">
      <c r="A130" s="66" t="s">
        <v>30</v>
      </c>
      <c r="C130" s="67"/>
      <c r="D130" s="92" t="str">
        <f t="shared" ref="D130" si="85">E130</f>
        <v>E100011</v>
      </c>
      <c r="E130" s="91" t="str">
        <f>"E100011"</f>
        <v>E100011</v>
      </c>
      <c r="F130" s="89" t="str">
        <f>"Plastic Sun Visor"</f>
        <v>Plastic Sun Visor</v>
      </c>
      <c r="G130" s="89"/>
      <c r="H130" s="90" t="str">
        <f>"EA"</f>
        <v>EA</v>
      </c>
      <c r="I130" s="89"/>
      <c r="J130" s="89"/>
      <c r="K130" s="89"/>
      <c r="L130" s="89"/>
      <c r="M130" s="89"/>
      <c r="N130" s="89"/>
      <c r="O130" s="88">
        <f>(SUBTOTAL(9,O131:O135))</f>
        <v>400</v>
      </c>
      <c r="P130" s="88">
        <f>(SUBTOTAL(9,P131:P135))</f>
        <v>-721</v>
      </c>
      <c r="Q130" s="88">
        <f>(SUBTOTAL(9,Q131:Q135))</f>
        <v>0</v>
      </c>
      <c r="R130" s="88">
        <f>(SUBTOTAL(9,R131:R135))</f>
        <v>0</v>
      </c>
      <c r="S130" s="88">
        <f>(SUBTOTAL(9,S131:S135))</f>
        <v>0</v>
      </c>
      <c r="T130" s="88">
        <f>(SUBTOTAL(9,T131:T135))</f>
        <v>0</v>
      </c>
      <c r="U130" s="87">
        <f t="shared" ref="U130" si="86">SUBTOTAL(9,O131:T135)</f>
        <v>-321</v>
      </c>
    </row>
    <row r="131" spans="1:21" ht="17.25" customHeight="1" x14ac:dyDescent="0.3">
      <c r="A131" s="66" t="s">
        <v>30</v>
      </c>
      <c r="C131" s="67"/>
      <c r="D131" s="77" t="str">
        <f t="shared" ref="D131" si="87">D130</f>
        <v>E100011</v>
      </c>
      <c r="E131" s="77"/>
      <c r="F131" s="76"/>
      <c r="G131" s="76" t="str">
        <f>"""NAV Direct"",""CRONUS JetCorp USA"",""32"",""1"",""167170"""</f>
        <v>"NAV Direct","CRONUS JetCorp USA","32","1","167170"</v>
      </c>
      <c r="H131" s="86">
        <v>43466</v>
      </c>
      <c r="I131" s="85">
        <v>167170</v>
      </c>
      <c r="J131" s="84" t="str">
        <f>"Vendor"</f>
        <v>Vendor</v>
      </c>
      <c r="K131" s="84" t="str">
        <f>"V100001"</f>
        <v>V100001</v>
      </c>
      <c r="L131" s="84" t="str">
        <f>IF($J131="Customer",_xll.NL("first",$J131,"Name","No.","@@"&amp;$K131),"")</f>
        <v/>
      </c>
      <c r="M131" s="84" t="str">
        <f>"Greigner, Inc."</f>
        <v>Greigner, Inc.</v>
      </c>
      <c r="N131" s="84" t="str">
        <f>IF($J131="Item",_xll.NL("first",$J131,"Description","No.","@@"&amp;$K131),"")</f>
        <v/>
      </c>
      <c r="O131" s="83">
        <v>400</v>
      </c>
      <c r="P131" s="83">
        <v>0</v>
      </c>
      <c r="Q131" s="83">
        <v>0</v>
      </c>
      <c r="R131" s="83">
        <v>0</v>
      </c>
      <c r="S131" s="83">
        <v>0</v>
      </c>
      <c r="T131" s="83">
        <v>0</v>
      </c>
      <c r="U131" s="82"/>
    </row>
    <row r="132" spans="1:21" ht="17.25" customHeight="1" x14ac:dyDescent="0.3">
      <c r="A132" s="66" t="s">
        <v>30</v>
      </c>
      <c r="C132" s="67"/>
      <c r="D132" s="77" t="str">
        <f t="shared" ref="D132:D134" si="88">D131</f>
        <v>E100011</v>
      </c>
      <c r="E132" s="77"/>
      <c r="F132" s="76"/>
      <c r="G132" s="76" t="str">
        <f>"""NAV Direct"",""CRONUS JetCorp USA"",""32"",""1"",""20392"""</f>
        <v>"NAV Direct","CRONUS JetCorp USA","32","1","20392"</v>
      </c>
      <c r="H132" s="86">
        <v>43473</v>
      </c>
      <c r="I132" s="85">
        <v>20392</v>
      </c>
      <c r="J132" s="84" t="str">
        <f>"Customer"</f>
        <v>Customer</v>
      </c>
      <c r="K132" s="84" t="str">
        <f>"C100130"</f>
        <v>C100130</v>
      </c>
      <c r="L132" s="84" t="str">
        <f>IF($J132="Customer",_xll.NL("first",$J132,"Name","No.","@@"&amp;$K132),"")</f>
        <v>Hotspot Systems</v>
      </c>
      <c r="M132" s="84" t="str">
        <f>""</f>
        <v/>
      </c>
      <c r="N132" s="84" t="str">
        <f>IF($J132="Item",_xll.NL("first",$J132,"Description","No.","@@"&amp;$K132),"")</f>
        <v/>
      </c>
      <c r="O132" s="83">
        <v>0</v>
      </c>
      <c r="P132" s="83">
        <v>-289</v>
      </c>
      <c r="Q132" s="83">
        <v>0</v>
      </c>
      <c r="R132" s="83">
        <v>0</v>
      </c>
      <c r="S132" s="83">
        <v>0</v>
      </c>
      <c r="T132" s="83">
        <v>0</v>
      </c>
      <c r="U132" s="82"/>
    </row>
    <row r="133" spans="1:21" ht="17.25" customHeight="1" x14ac:dyDescent="0.3">
      <c r="A133" s="66" t="s">
        <v>30</v>
      </c>
      <c r="C133" s="67"/>
      <c r="D133" s="77" t="str">
        <f t="shared" si="88"/>
        <v>E100011</v>
      </c>
      <c r="E133" s="77"/>
      <c r="F133" s="76"/>
      <c r="G133" s="76" t="str">
        <f>"""NAV Direct"",""CRONUS JetCorp USA"",""32"",""1"",""20412"""</f>
        <v>"NAV Direct","CRONUS JetCorp USA","32","1","20412"</v>
      </c>
      <c r="H133" s="86">
        <v>43475</v>
      </c>
      <c r="I133" s="85">
        <v>20412</v>
      </c>
      <c r="J133" s="84" t="str">
        <f>"Customer"</f>
        <v>Customer</v>
      </c>
      <c r="K133" s="84" t="str">
        <f>"C100130"</f>
        <v>C100130</v>
      </c>
      <c r="L133" s="84" t="str">
        <f>IF($J133="Customer",_xll.NL("first",$J133,"Name","No.","@@"&amp;$K133),"")</f>
        <v>Hotspot Systems</v>
      </c>
      <c r="M133" s="84" t="str">
        <f>""</f>
        <v/>
      </c>
      <c r="N133" s="84" t="str">
        <f>IF($J133="Item",_xll.NL("first",$J133,"Description","No.","@@"&amp;$K133),"")</f>
        <v/>
      </c>
      <c r="O133" s="83">
        <v>0</v>
      </c>
      <c r="P133" s="83">
        <v>-144</v>
      </c>
      <c r="Q133" s="83">
        <v>0</v>
      </c>
      <c r="R133" s="83">
        <v>0</v>
      </c>
      <c r="S133" s="83">
        <v>0</v>
      </c>
      <c r="T133" s="83">
        <v>0</v>
      </c>
      <c r="U133" s="82"/>
    </row>
    <row r="134" spans="1:21" ht="17.25" customHeight="1" x14ac:dyDescent="0.3">
      <c r="A134" s="66" t="s">
        <v>30</v>
      </c>
      <c r="C134" s="67"/>
      <c r="D134" s="77" t="str">
        <f t="shared" si="88"/>
        <v>E100011</v>
      </c>
      <c r="E134" s="77"/>
      <c r="F134" s="76"/>
      <c r="G134" s="76" t="str">
        <f>"""NAV Direct"",""CRONUS JetCorp USA"",""32"",""1"",""64623"""</f>
        <v>"NAV Direct","CRONUS JetCorp USA","32","1","64623"</v>
      </c>
      <c r="H134" s="86">
        <v>43475</v>
      </c>
      <c r="I134" s="85">
        <v>64623</v>
      </c>
      <c r="J134" s="84" t="str">
        <f>"Customer"</f>
        <v>Customer</v>
      </c>
      <c r="K134" s="84" t="str">
        <f>"C100136"</f>
        <v>C100136</v>
      </c>
      <c r="L134" s="84" t="str">
        <f>IF($J134="Customer",_xll.NL("first",$J134,"Name","No.","@@"&amp;$K134),"")</f>
        <v>First Bank</v>
      </c>
      <c r="M134" s="84" t="str">
        <f>""</f>
        <v/>
      </c>
      <c r="N134" s="84" t="str">
        <f>IF($J134="Item",_xll.NL("first",$J134,"Description","No.","@@"&amp;$K134),"")</f>
        <v/>
      </c>
      <c r="O134" s="83">
        <v>0</v>
      </c>
      <c r="P134" s="83">
        <v>-288</v>
      </c>
      <c r="Q134" s="83">
        <v>0</v>
      </c>
      <c r="R134" s="83">
        <v>0</v>
      </c>
      <c r="S134" s="83">
        <v>0</v>
      </c>
      <c r="T134" s="83">
        <v>0</v>
      </c>
      <c r="U134" s="82"/>
    </row>
    <row r="135" spans="1:21" ht="17.25" customHeight="1" x14ac:dyDescent="0.3">
      <c r="A135" s="66" t="s">
        <v>30</v>
      </c>
      <c r="C135" s="67"/>
      <c r="D135" s="77"/>
      <c r="E135" s="77"/>
      <c r="F135" s="76"/>
      <c r="G135" s="76"/>
      <c r="H135" s="76"/>
      <c r="I135" s="76"/>
      <c r="J135" s="76"/>
      <c r="K135" s="76"/>
      <c r="L135" s="76"/>
      <c r="M135" s="76"/>
      <c r="N135" s="76"/>
      <c r="O135" s="75"/>
      <c r="P135" s="75"/>
      <c r="Q135" s="75"/>
      <c r="R135" s="75"/>
      <c r="S135" s="75"/>
      <c r="T135" s="75"/>
      <c r="U135" s="74"/>
    </row>
    <row r="136" spans="1:21" ht="17.25" customHeight="1" x14ac:dyDescent="0.3">
      <c r="A136" s="66" t="s">
        <v>30</v>
      </c>
      <c r="C136" s="67"/>
      <c r="D136" s="77"/>
      <c r="E136" s="77" t="s">
        <v>31</v>
      </c>
      <c r="F136" s="76" t="s">
        <v>31</v>
      </c>
      <c r="G136" s="76" t="s">
        <v>31</v>
      </c>
      <c r="H136" s="76"/>
      <c r="I136" s="76"/>
      <c r="J136" s="76" t="s">
        <v>31</v>
      </c>
      <c r="K136" s="76" t="s">
        <v>31</v>
      </c>
      <c r="L136" s="76" t="s">
        <v>31</v>
      </c>
      <c r="M136" s="76" t="s">
        <v>31</v>
      </c>
      <c r="N136" s="76"/>
      <c r="U136" s="81"/>
    </row>
    <row r="137" spans="1:21" ht="20.25" customHeight="1" x14ac:dyDescent="0.35">
      <c r="A137" s="66" t="s">
        <v>30</v>
      </c>
      <c r="C137" s="67"/>
      <c r="D137" s="92" t="str">
        <f t="shared" ref="D137" si="89">E137</f>
        <v>E100013</v>
      </c>
      <c r="E137" s="91" t="str">
        <f>"E100013"</f>
        <v>E100013</v>
      </c>
      <c r="F137" s="89" t="str">
        <f>"Clip-on Stopwatch"</f>
        <v>Clip-on Stopwatch</v>
      </c>
      <c r="G137" s="89"/>
      <c r="H137" s="90" t="str">
        <f>"EA"</f>
        <v>EA</v>
      </c>
      <c r="I137" s="89"/>
      <c r="J137" s="89"/>
      <c r="K137" s="89"/>
      <c r="L137" s="89"/>
      <c r="M137" s="89"/>
      <c r="N137" s="89"/>
      <c r="O137" s="88">
        <f>(SUBTOTAL(9,O138:O139))</f>
        <v>0</v>
      </c>
      <c r="P137" s="88">
        <f>(SUBTOTAL(9,P138:P139))</f>
        <v>-144</v>
      </c>
      <c r="Q137" s="88">
        <f>(SUBTOTAL(9,Q138:Q139))</f>
        <v>0</v>
      </c>
      <c r="R137" s="88">
        <f>(SUBTOTAL(9,R138:R139))</f>
        <v>0</v>
      </c>
      <c r="S137" s="88">
        <f>(SUBTOTAL(9,S138:S139))</f>
        <v>0</v>
      </c>
      <c r="T137" s="88">
        <f>(SUBTOTAL(9,T138:T139))</f>
        <v>0</v>
      </c>
      <c r="U137" s="87">
        <f t="shared" ref="U137" si="90">SUBTOTAL(9,O138:T139)</f>
        <v>-144</v>
      </c>
    </row>
    <row r="138" spans="1:21" ht="17.25" customHeight="1" x14ac:dyDescent="0.3">
      <c r="A138" s="66" t="s">
        <v>30</v>
      </c>
      <c r="C138" s="67"/>
      <c r="D138" s="77" t="str">
        <f t="shared" ref="D138" si="91">D137</f>
        <v>E100013</v>
      </c>
      <c r="E138" s="77"/>
      <c r="F138" s="76"/>
      <c r="G138" s="76" t="str">
        <f>"""NAV Direct"",""CRONUS JetCorp USA"",""32"",""1"",""64619"""</f>
        <v>"NAV Direct","CRONUS JetCorp USA","32","1","64619"</v>
      </c>
      <c r="H138" s="86">
        <v>43475</v>
      </c>
      <c r="I138" s="85">
        <v>64619</v>
      </c>
      <c r="J138" s="84" t="str">
        <f>"Customer"</f>
        <v>Customer</v>
      </c>
      <c r="K138" s="84" t="str">
        <f>"C100136"</f>
        <v>C100136</v>
      </c>
      <c r="L138" s="84" t="str">
        <f>IF($J138="Customer",_xll.NL("first",$J138,"Name","No.","@@"&amp;$K138),"")</f>
        <v>First Bank</v>
      </c>
      <c r="M138" s="84" t="str">
        <f>""</f>
        <v/>
      </c>
      <c r="N138" s="84" t="str">
        <f>IF($J138="Item",_xll.NL("first",$J138,"Description","No.","@@"&amp;$K138),"")</f>
        <v/>
      </c>
      <c r="O138" s="83">
        <v>0</v>
      </c>
      <c r="P138" s="83">
        <v>-144</v>
      </c>
      <c r="Q138" s="83">
        <v>0</v>
      </c>
      <c r="R138" s="83">
        <v>0</v>
      </c>
      <c r="S138" s="83">
        <v>0</v>
      </c>
      <c r="T138" s="83">
        <v>0</v>
      </c>
      <c r="U138" s="82"/>
    </row>
    <row r="139" spans="1:21" ht="17.25" customHeight="1" x14ac:dyDescent="0.3">
      <c r="A139" s="66" t="s">
        <v>30</v>
      </c>
      <c r="C139" s="67"/>
      <c r="D139" s="77"/>
      <c r="E139" s="77"/>
      <c r="F139" s="76"/>
      <c r="G139" s="76"/>
      <c r="H139" s="76"/>
      <c r="I139" s="76"/>
      <c r="J139" s="76"/>
      <c r="K139" s="76"/>
      <c r="L139" s="76"/>
      <c r="M139" s="76"/>
      <c r="N139" s="76"/>
      <c r="O139" s="75"/>
      <c r="P139" s="75"/>
      <c r="Q139" s="75"/>
      <c r="R139" s="75"/>
      <c r="S139" s="75"/>
      <c r="T139" s="75"/>
      <c r="U139" s="74"/>
    </row>
    <row r="140" spans="1:21" ht="17.25" customHeight="1" x14ac:dyDescent="0.3">
      <c r="A140" s="66" t="s">
        <v>30</v>
      </c>
      <c r="C140" s="67"/>
      <c r="D140" s="77"/>
      <c r="E140" s="77" t="s">
        <v>31</v>
      </c>
      <c r="F140" s="76" t="s">
        <v>31</v>
      </c>
      <c r="G140" s="76" t="s">
        <v>31</v>
      </c>
      <c r="H140" s="76"/>
      <c r="I140" s="76"/>
      <c r="J140" s="76" t="s">
        <v>31</v>
      </c>
      <c r="K140" s="76" t="s">
        <v>31</v>
      </c>
      <c r="L140" s="76" t="s">
        <v>31</v>
      </c>
      <c r="M140" s="76" t="s">
        <v>31</v>
      </c>
      <c r="N140" s="76"/>
      <c r="U140" s="81"/>
    </row>
    <row r="141" spans="1:21" ht="20.25" customHeight="1" x14ac:dyDescent="0.35">
      <c r="A141" s="66" t="s">
        <v>30</v>
      </c>
      <c r="C141" s="67"/>
      <c r="D141" s="92" t="str">
        <f t="shared" ref="D141" si="92">E141</f>
        <v>E100014</v>
      </c>
      <c r="E141" s="91" t="str">
        <f>"E100014"</f>
        <v>E100014</v>
      </c>
      <c r="F141" s="89" t="str">
        <f>"Stopwatch with Neck Rope"</f>
        <v>Stopwatch with Neck Rope</v>
      </c>
      <c r="G141" s="89"/>
      <c r="H141" s="90" t="str">
        <f>"EA"</f>
        <v>EA</v>
      </c>
      <c r="I141" s="89"/>
      <c r="J141" s="89"/>
      <c r="K141" s="89"/>
      <c r="L141" s="89"/>
      <c r="M141" s="89"/>
      <c r="N141" s="89"/>
      <c r="O141" s="88">
        <f>(SUBTOTAL(9,O142:O144))</f>
        <v>200</v>
      </c>
      <c r="P141" s="88">
        <f>(SUBTOTAL(9,P142:P144))</f>
        <v>-144</v>
      </c>
      <c r="Q141" s="88">
        <f>(SUBTOTAL(9,Q142:Q144))</f>
        <v>0</v>
      </c>
      <c r="R141" s="88">
        <f>(SUBTOTAL(9,R142:R144))</f>
        <v>0</v>
      </c>
      <c r="S141" s="88">
        <f>(SUBTOTAL(9,S142:S144))</f>
        <v>0</v>
      </c>
      <c r="T141" s="88">
        <f>(SUBTOTAL(9,T142:T144))</f>
        <v>0</v>
      </c>
      <c r="U141" s="87">
        <f t="shared" ref="U141" si="93">SUBTOTAL(9,O142:T144)</f>
        <v>56</v>
      </c>
    </row>
    <row r="142" spans="1:21" ht="17.25" customHeight="1" x14ac:dyDescent="0.3">
      <c r="A142" s="66" t="s">
        <v>30</v>
      </c>
      <c r="C142" s="67"/>
      <c r="D142" s="77" t="str">
        <f t="shared" ref="D142" si="94">D141</f>
        <v>E100014</v>
      </c>
      <c r="E142" s="77"/>
      <c r="F142" s="76"/>
      <c r="G142" s="76" t="str">
        <f>"""NAV Direct"",""CRONUS JetCorp USA"",""32"",""1"",""167622"""</f>
        <v>"NAV Direct","CRONUS JetCorp USA","32","1","167622"</v>
      </c>
      <c r="H142" s="86">
        <v>43466</v>
      </c>
      <c r="I142" s="85">
        <v>167622</v>
      </c>
      <c r="J142" s="84" t="str">
        <f>"Vendor"</f>
        <v>Vendor</v>
      </c>
      <c r="K142" s="84" t="str">
        <f>"V100001"</f>
        <v>V100001</v>
      </c>
      <c r="L142" s="84" t="str">
        <f>IF($J142="Customer",_xll.NL("first",$J142,"Name","No.","@@"&amp;$K142),"")</f>
        <v/>
      </c>
      <c r="M142" s="84" t="str">
        <f>"Greigner, Inc."</f>
        <v>Greigner, Inc.</v>
      </c>
      <c r="N142" s="84" t="str">
        <f>IF($J142="Item",_xll.NL("first",$J142,"Description","No.","@@"&amp;$K142),"")</f>
        <v/>
      </c>
      <c r="O142" s="83">
        <v>200</v>
      </c>
      <c r="P142" s="83">
        <v>0</v>
      </c>
      <c r="Q142" s="83">
        <v>0</v>
      </c>
      <c r="R142" s="83">
        <v>0</v>
      </c>
      <c r="S142" s="83">
        <v>0</v>
      </c>
      <c r="T142" s="83">
        <v>0</v>
      </c>
      <c r="U142" s="82"/>
    </row>
    <row r="143" spans="1:21" ht="17.25" customHeight="1" x14ac:dyDescent="0.3">
      <c r="A143" s="66" t="s">
        <v>30</v>
      </c>
      <c r="C143" s="67"/>
      <c r="D143" s="77" t="str">
        <f t="shared" ref="D143" si="95">D142</f>
        <v>E100014</v>
      </c>
      <c r="E143" s="77"/>
      <c r="F143" s="76"/>
      <c r="G143" s="76" t="str">
        <f>"""NAV Direct"",""CRONUS JetCorp USA"",""32"",""1"",""20389"""</f>
        <v>"NAV Direct","CRONUS JetCorp USA","32","1","20389"</v>
      </c>
      <c r="H143" s="86">
        <v>43473</v>
      </c>
      <c r="I143" s="85">
        <v>20389</v>
      </c>
      <c r="J143" s="84" t="str">
        <f>"Customer"</f>
        <v>Customer</v>
      </c>
      <c r="K143" s="84" t="str">
        <f>"C100130"</f>
        <v>C100130</v>
      </c>
      <c r="L143" s="84" t="str">
        <f>IF($J143="Customer",_xll.NL("first",$J143,"Name","No.","@@"&amp;$K143),"")</f>
        <v>Hotspot Systems</v>
      </c>
      <c r="M143" s="84" t="str">
        <f>""</f>
        <v/>
      </c>
      <c r="N143" s="84" t="str">
        <f>IF($J143="Item",_xll.NL("first",$J143,"Description","No.","@@"&amp;$K143),"")</f>
        <v/>
      </c>
      <c r="O143" s="83">
        <v>0</v>
      </c>
      <c r="P143" s="83">
        <v>-144</v>
      </c>
      <c r="Q143" s="83">
        <v>0</v>
      </c>
      <c r="R143" s="83">
        <v>0</v>
      </c>
      <c r="S143" s="83">
        <v>0</v>
      </c>
      <c r="T143" s="83">
        <v>0</v>
      </c>
      <c r="U143" s="82"/>
    </row>
    <row r="144" spans="1:21" ht="17.25" customHeight="1" x14ac:dyDescent="0.3">
      <c r="A144" s="66" t="s">
        <v>30</v>
      </c>
      <c r="C144" s="67"/>
      <c r="D144" s="77"/>
      <c r="E144" s="77"/>
      <c r="F144" s="76"/>
      <c r="G144" s="76"/>
      <c r="H144" s="76"/>
      <c r="I144" s="76"/>
      <c r="J144" s="76"/>
      <c r="K144" s="76"/>
      <c r="L144" s="76"/>
      <c r="M144" s="76"/>
      <c r="N144" s="76"/>
      <c r="O144" s="75"/>
      <c r="P144" s="75"/>
      <c r="Q144" s="75"/>
      <c r="R144" s="75"/>
      <c r="S144" s="75"/>
      <c r="T144" s="75"/>
      <c r="U144" s="74"/>
    </row>
    <row r="145" spans="1:21" ht="17.25" customHeight="1" x14ac:dyDescent="0.3">
      <c r="A145" s="66" t="s">
        <v>30</v>
      </c>
      <c r="C145" s="67"/>
      <c r="D145" s="77"/>
      <c r="E145" s="77" t="s">
        <v>31</v>
      </c>
      <c r="F145" s="76" t="s">
        <v>31</v>
      </c>
      <c r="G145" s="76" t="s">
        <v>31</v>
      </c>
      <c r="H145" s="76"/>
      <c r="I145" s="76"/>
      <c r="J145" s="76" t="s">
        <v>31</v>
      </c>
      <c r="K145" s="76" t="s">
        <v>31</v>
      </c>
      <c r="L145" s="76" t="s">
        <v>31</v>
      </c>
      <c r="M145" s="76" t="s">
        <v>31</v>
      </c>
      <c r="N145" s="76"/>
      <c r="U145" s="81"/>
    </row>
    <row r="146" spans="1:21" ht="20.25" customHeight="1" x14ac:dyDescent="0.35">
      <c r="A146" s="66" t="s">
        <v>30</v>
      </c>
      <c r="C146" s="67"/>
      <c r="D146" s="92" t="str">
        <f t="shared" ref="D146" si="96">E146</f>
        <v>E100016</v>
      </c>
      <c r="E146" s="91" t="str">
        <f>"E100016"</f>
        <v>E100016</v>
      </c>
      <c r="F146" s="89" t="str">
        <f>"4 Function Rotating Carabiner Watch"</f>
        <v>4 Function Rotating Carabiner Watch</v>
      </c>
      <c r="G146" s="89"/>
      <c r="H146" s="90" t="str">
        <f>"EA"</f>
        <v>EA</v>
      </c>
      <c r="I146" s="89"/>
      <c r="J146" s="89"/>
      <c r="K146" s="89"/>
      <c r="L146" s="89"/>
      <c r="M146" s="89"/>
      <c r="N146" s="89"/>
      <c r="O146" s="88">
        <f>(SUBTOTAL(9,O147:O151))</f>
        <v>400</v>
      </c>
      <c r="P146" s="88">
        <f>(SUBTOTAL(9,P147:P151))</f>
        <v>-289</v>
      </c>
      <c r="Q146" s="88">
        <f>(SUBTOTAL(9,Q147:Q151))</f>
        <v>0</v>
      </c>
      <c r="R146" s="88">
        <f>(SUBTOTAL(9,R147:R151))</f>
        <v>0</v>
      </c>
      <c r="S146" s="88">
        <f>(SUBTOTAL(9,S147:S151))</f>
        <v>0</v>
      </c>
      <c r="T146" s="88">
        <f>(SUBTOTAL(9,T147:T151))</f>
        <v>0</v>
      </c>
      <c r="U146" s="87">
        <f t="shared" ref="U146" si="97">SUBTOTAL(9,O147:T151)</f>
        <v>111</v>
      </c>
    </row>
    <row r="147" spans="1:21" ht="17.25" customHeight="1" x14ac:dyDescent="0.3">
      <c r="A147" s="66" t="s">
        <v>30</v>
      </c>
      <c r="C147" s="67"/>
      <c r="D147" s="77" t="str">
        <f t="shared" ref="D147" si="98">D146</f>
        <v>E100016</v>
      </c>
      <c r="E147" s="77"/>
      <c r="F147" s="76"/>
      <c r="G147" s="76" t="str">
        <f>"""NAV Direct"",""CRONUS JetCorp USA"",""32"",""1"",""167621"""</f>
        <v>"NAV Direct","CRONUS JetCorp USA","32","1","167621"</v>
      </c>
      <c r="H147" s="86">
        <v>43466</v>
      </c>
      <c r="I147" s="85">
        <v>167621</v>
      </c>
      <c r="J147" s="84" t="str">
        <f>"Vendor"</f>
        <v>Vendor</v>
      </c>
      <c r="K147" s="84" t="str">
        <f>"V100001"</f>
        <v>V100001</v>
      </c>
      <c r="L147" s="84" t="str">
        <f>IF($J147="Customer",_xll.NL("first",$J147,"Name","No.","@@"&amp;$K147),"")</f>
        <v/>
      </c>
      <c r="M147" s="84" t="str">
        <f>"Greigner, Inc."</f>
        <v>Greigner, Inc.</v>
      </c>
      <c r="N147" s="84" t="str">
        <f>IF($J147="Item",_xll.NL("first",$J147,"Description","No.","@@"&amp;$K147),"")</f>
        <v/>
      </c>
      <c r="O147" s="83">
        <v>400</v>
      </c>
      <c r="P147" s="83">
        <v>0</v>
      </c>
      <c r="Q147" s="83">
        <v>0</v>
      </c>
      <c r="R147" s="83">
        <v>0</v>
      </c>
      <c r="S147" s="83">
        <v>0</v>
      </c>
      <c r="T147" s="83">
        <v>0</v>
      </c>
      <c r="U147" s="82"/>
    </row>
    <row r="148" spans="1:21" ht="17.25" customHeight="1" x14ac:dyDescent="0.3">
      <c r="A148" s="66" t="s">
        <v>30</v>
      </c>
      <c r="C148" s="67"/>
      <c r="D148" s="77" t="str">
        <f t="shared" ref="D148:D150" si="99">D147</f>
        <v>E100016</v>
      </c>
      <c r="E148" s="77"/>
      <c r="F148" s="76"/>
      <c r="G148" s="76" t="str">
        <f>"""NAV Direct"",""CRONUS JetCorp USA"",""32"",""1"",""20388"""</f>
        <v>"NAV Direct","CRONUS JetCorp USA","32","1","20388"</v>
      </c>
      <c r="H148" s="86">
        <v>43473</v>
      </c>
      <c r="I148" s="85">
        <v>20388</v>
      </c>
      <c r="J148" s="84" t="str">
        <f>"Customer"</f>
        <v>Customer</v>
      </c>
      <c r="K148" s="84" t="str">
        <f>"C100130"</f>
        <v>C100130</v>
      </c>
      <c r="L148" s="84" t="str">
        <f>IF($J148="Customer",_xll.NL("first",$J148,"Name","No.","@@"&amp;$K148),"")</f>
        <v>Hotspot Systems</v>
      </c>
      <c r="M148" s="84" t="str">
        <f>""</f>
        <v/>
      </c>
      <c r="N148" s="84" t="str">
        <f>IF($J148="Item",_xll.NL("first",$J148,"Description","No.","@@"&amp;$K148),"")</f>
        <v/>
      </c>
      <c r="O148" s="83">
        <v>0</v>
      </c>
      <c r="P148" s="83">
        <v>-144</v>
      </c>
      <c r="Q148" s="83">
        <v>0</v>
      </c>
      <c r="R148" s="83">
        <v>0</v>
      </c>
      <c r="S148" s="83">
        <v>0</v>
      </c>
      <c r="T148" s="83">
        <v>0</v>
      </c>
      <c r="U148" s="82"/>
    </row>
    <row r="149" spans="1:21" ht="17.25" customHeight="1" x14ac:dyDescent="0.3">
      <c r="A149" s="66" t="s">
        <v>30</v>
      </c>
      <c r="C149" s="67"/>
      <c r="D149" s="77" t="str">
        <f t="shared" si="99"/>
        <v>E100016</v>
      </c>
      <c r="E149" s="77"/>
      <c r="F149" s="76"/>
      <c r="G149" s="76" t="str">
        <f>"""NAV Direct"",""CRONUS JetCorp USA"",""32"",""1"",""20416"""</f>
        <v>"NAV Direct","CRONUS JetCorp USA","32","1","20416"</v>
      </c>
      <c r="H149" s="86">
        <v>43475</v>
      </c>
      <c r="I149" s="85">
        <v>20416</v>
      </c>
      <c r="J149" s="84" t="str">
        <f>"Customer"</f>
        <v>Customer</v>
      </c>
      <c r="K149" s="84" t="str">
        <f>"C100130"</f>
        <v>C100130</v>
      </c>
      <c r="L149" s="84" t="str">
        <f>IF($J149="Customer",_xll.NL("first",$J149,"Name","No.","@@"&amp;$K149),"")</f>
        <v>Hotspot Systems</v>
      </c>
      <c r="M149" s="84" t="str">
        <f>""</f>
        <v/>
      </c>
      <c r="N149" s="84" t="str">
        <f>IF($J149="Item",_xll.NL("first",$J149,"Description","No.","@@"&amp;$K149),"")</f>
        <v/>
      </c>
      <c r="O149" s="83">
        <v>0</v>
      </c>
      <c r="P149" s="83">
        <v>-1</v>
      </c>
      <c r="Q149" s="83">
        <v>0</v>
      </c>
      <c r="R149" s="83">
        <v>0</v>
      </c>
      <c r="S149" s="83">
        <v>0</v>
      </c>
      <c r="T149" s="83">
        <v>0</v>
      </c>
      <c r="U149" s="82"/>
    </row>
    <row r="150" spans="1:21" ht="17.25" customHeight="1" x14ac:dyDescent="0.3">
      <c r="A150" s="66" t="s">
        <v>30</v>
      </c>
      <c r="C150" s="67"/>
      <c r="D150" s="77" t="str">
        <f t="shared" si="99"/>
        <v>E100016</v>
      </c>
      <c r="E150" s="77"/>
      <c r="F150" s="76"/>
      <c r="G150" s="76" t="str">
        <f>"""NAV Direct"",""CRONUS JetCorp USA"",""32"",""1"",""64617"""</f>
        <v>"NAV Direct","CRONUS JetCorp USA","32","1","64617"</v>
      </c>
      <c r="H150" s="86">
        <v>43475</v>
      </c>
      <c r="I150" s="85">
        <v>64617</v>
      </c>
      <c r="J150" s="84" t="str">
        <f>"Customer"</f>
        <v>Customer</v>
      </c>
      <c r="K150" s="84" t="str">
        <f>"C100136"</f>
        <v>C100136</v>
      </c>
      <c r="L150" s="84" t="str">
        <f>IF($J150="Customer",_xll.NL("first",$J150,"Name","No.","@@"&amp;$K150),"")</f>
        <v>First Bank</v>
      </c>
      <c r="M150" s="84" t="str">
        <f>""</f>
        <v/>
      </c>
      <c r="N150" s="84" t="str">
        <f>IF($J150="Item",_xll.NL("first",$J150,"Description","No.","@@"&amp;$K150),"")</f>
        <v/>
      </c>
      <c r="O150" s="83">
        <v>0</v>
      </c>
      <c r="P150" s="83">
        <v>-144</v>
      </c>
      <c r="Q150" s="83">
        <v>0</v>
      </c>
      <c r="R150" s="83">
        <v>0</v>
      </c>
      <c r="S150" s="83">
        <v>0</v>
      </c>
      <c r="T150" s="83">
        <v>0</v>
      </c>
      <c r="U150" s="82"/>
    </row>
    <row r="151" spans="1:21" ht="17.25" customHeight="1" x14ac:dyDescent="0.3">
      <c r="A151" s="66" t="s">
        <v>30</v>
      </c>
      <c r="C151" s="67"/>
      <c r="D151" s="77"/>
      <c r="E151" s="77"/>
      <c r="F151" s="76"/>
      <c r="G151" s="76"/>
      <c r="H151" s="76"/>
      <c r="I151" s="76"/>
      <c r="J151" s="76"/>
      <c r="K151" s="76"/>
      <c r="L151" s="76"/>
      <c r="M151" s="76"/>
      <c r="N151" s="76"/>
      <c r="O151" s="75"/>
      <c r="P151" s="75"/>
      <c r="Q151" s="75"/>
      <c r="R151" s="75"/>
      <c r="S151" s="75"/>
      <c r="T151" s="75"/>
      <c r="U151" s="74"/>
    </row>
    <row r="152" spans="1:21" ht="17.25" customHeight="1" x14ac:dyDescent="0.3">
      <c r="A152" s="66" t="s">
        <v>30</v>
      </c>
      <c r="C152" s="67"/>
      <c r="D152" s="77"/>
      <c r="E152" s="77" t="s">
        <v>31</v>
      </c>
      <c r="F152" s="76" t="s">
        <v>31</v>
      </c>
      <c r="G152" s="76" t="s">
        <v>31</v>
      </c>
      <c r="H152" s="76"/>
      <c r="I152" s="76"/>
      <c r="J152" s="76" t="s">
        <v>31</v>
      </c>
      <c r="K152" s="76" t="s">
        <v>31</v>
      </c>
      <c r="L152" s="76" t="s">
        <v>31</v>
      </c>
      <c r="M152" s="76" t="s">
        <v>31</v>
      </c>
      <c r="N152" s="76"/>
      <c r="U152" s="81"/>
    </row>
    <row r="153" spans="1:21" ht="20.25" customHeight="1" x14ac:dyDescent="0.35">
      <c r="A153" s="66" t="s">
        <v>30</v>
      </c>
      <c r="C153" s="67"/>
      <c r="D153" s="92" t="str">
        <f t="shared" ref="D153" si="100">E153</f>
        <v>E100017</v>
      </c>
      <c r="E153" s="91" t="str">
        <f>"E100017"</f>
        <v>E100017</v>
      </c>
      <c r="F153" s="89" t="str">
        <f>"Clip-on Clock with Compass"</f>
        <v>Clip-on Clock with Compass</v>
      </c>
      <c r="G153" s="89"/>
      <c r="H153" s="90" t="str">
        <f>"EA"</f>
        <v>EA</v>
      </c>
      <c r="I153" s="89"/>
      <c r="J153" s="89"/>
      <c r="K153" s="89"/>
      <c r="L153" s="89"/>
      <c r="M153" s="89"/>
      <c r="N153" s="89"/>
      <c r="O153" s="88">
        <f>(SUBTOTAL(9,O154:O157))</f>
        <v>400</v>
      </c>
      <c r="P153" s="88">
        <f>(SUBTOTAL(9,P154:P157))</f>
        <v>-288</v>
      </c>
      <c r="Q153" s="88">
        <f>(SUBTOTAL(9,Q154:Q157))</f>
        <v>0</v>
      </c>
      <c r="R153" s="88">
        <f>(SUBTOTAL(9,R154:R157))</f>
        <v>0</v>
      </c>
      <c r="S153" s="88">
        <f>(SUBTOTAL(9,S154:S157))</f>
        <v>0</v>
      </c>
      <c r="T153" s="88">
        <f>(SUBTOTAL(9,T154:T157))</f>
        <v>0</v>
      </c>
      <c r="U153" s="87">
        <f t="shared" ref="U153" si="101">SUBTOTAL(9,O154:T157)</f>
        <v>112</v>
      </c>
    </row>
    <row r="154" spans="1:21" ht="17.25" customHeight="1" x14ac:dyDescent="0.3">
      <c r="A154" s="66" t="s">
        <v>30</v>
      </c>
      <c r="C154" s="67"/>
      <c r="D154" s="77" t="str">
        <f t="shared" ref="D154" si="102">D153</f>
        <v>E100017</v>
      </c>
      <c r="E154" s="77"/>
      <c r="F154" s="76"/>
      <c r="G154" s="76" t="str">
        <f>"""NAV Direct"",""CRONUS JetCorp USA"",""32"",""1"",""167620"""</f>
        <v>"NAV Direct","CRONUS JetCorp USA","32","1","167620"</v>
      </c>
      <c r="H154" s="86">
        <v>43466</v>
      </c>
      <c r="I154" s="85">
        <v>167620</v>
      </c>
      <c r="J154" s="84" t="str">
        <f>"Vendor"</f>
        <v>Vendor</v>
      </c>
      <c r="K154" s="84" t="str">
        <f>"V100001"</f>
        <v>V100001</v>
      </c>
      <c r="L154" s="84" t="str">
        <f>IF($J154="Customer",_xll.NL("first",$J154,"Name","No.","@@"&amp;$K154),"")</f>
        <v/>
      </c>
      <c r="M154" s="84" t="str">
        <f>"Greigner, Inc."</f>
        <v>Greigner, Inc.</v>
      </c>
      <c r="N154" s="84" t="str">
        <f>IF($J154="Item",_xll.NL("first",$J154,"Description","No.","@@"&amp;$K154),"")</f>
        <v/>
      </c>
      <c r="O154" s="83">
        <v>400</v>
      </c>
      <c r="P154" s="83">
        <v>0</v>
      </c>
      <c r="Q154" s="83">
        <v>0</v>
      </c>
      <c r="R154" s="83">
        <v>0</v>
      </c>
      <c r="S154" s="83">
        <v>0</v>
      </c>
      <c r="T154" s="83">
        <v>0</v>
      </c>
      <c r="U154" s="82"/>
    </row>
    <row r="155" spans="1:21" ht="17.25" customHeight="1" x14ac:dyDescent="0.3">
      <c r="A155" s="66" t="s">
        <v>30</v>
      </c>
      <c r="C155" s="67"/>
      <c r="D155" s="77" t="str">
        <f t="shared" ref="D155:D156" si="103">D154</f>
        <v>E100017</v>
      </c>
      <c r="E155" s="77"/>
      <c r="F155" s="76"/>
      <c r="G155" s="76" t="str">
        <f>"""NAV Direct"",""CRONUS JetCorp USA"",""32"",""1"",""153169"""</f>
        <v>"NAV Direct","CRONUS JetCorp USA","32","1","153169"</v>
      </c>
      <c r="H155" s="86">
        <v>43470</v>
      </c>
      <c r="I155" s="85">
        <v>153169</v>
      </c>
      <c r="J155" s="84" t="str">
        <f>"Customer"</f>
        <v>Customer</v>
      </c>
      <c r="K155" s="84" t="str">
        <f>"C100136"</f>
        <v>C100136</v>
      </c>
      <c r="L155" s="84" t="str">
        <f>IF($J155="Customer",_xll.NL("first",$J155,"Name","No.","@@"&amp;$K155),"")</f>
        <v>First Bank</v>
      </c>
      <c r="M155" s="84" t="str">
        <f>""</f>
        <v/>
      </c>
      <c r="N155" s="84" t="str">
        <f>IF($J155="Item",_xll.NL("first",$J155,"Description","No.","@@"&amp;$K155),"")</f>
        <v/>
      </c>
      <c r="O155" s="83">
        <v>0</v>
      </c>
      <c r="P155" s="83">
        <v>-144</v>
      </c>
      <c r="Q155" s="83">
        <v>0</v>
      </c>
      <c r="R155" s="83">
        <v>0</v>
      </c>
      <c r="S155" s="83">
        <v>0</v>
      </c>
      <c r="T155" s="83">
        <v>0</v>
      </c>
      <c r="U155" s="82"/>
    </row>
    <row r="156" spans="1:21" ht="17.25" customHeight="1" x14ac:dyDescent="0.3">
      <c r="A156" s="66" t="s">
        <v>30</v>
      </c>
      <c r="C156" s="67"/>
      <c r="D156" s="77" t="str">
        <f t="shared" si="103"/>
        <v>E100017</v>
      </c>
      <c r="E156" s="77"/>
      <c r="F156" s="76"/>
      <c r="G156" s="76" t="str">
        <f>"""NAV Direct"",""CRONUS JetCorp USA"",""32"",""1"",""64624"""</f>
        <v>"NAV Direct","CRONUS JetCorp USA","32","1","64624"</v>
      </c>
      <c r="H156" s="86">
        <v>43475</v>
      </c>
      <c r="I156" s="85">
        <v>64624</v>
      </c>
      <c r="J156" s="84" t="str">
        <f>"Customer"</f>
        <v>Customer</v>
      </c>
      <c r="K156" s="84" t="str">
        <f>"C100136"</f>
        <v>C100136</v>
      </c>
      <c r="L156" s="84" t="str">
        <f>IF($J156="Customer",_xll.NL("first",$J156,"Name","No.","@@"&amp;$K156),"")</f>
        <v>First Bank</v>
      </c>
      <c r="M156" s="84" t="str">
        <f>""</f>
        <v/>
      </c>
      <c r="N156" s="84" t="str">
        <f>IF($J156="Item",_xll.NL("first",$J156,"Description","No.","@@"&amp;$K156),"")</f>
        <v/>
      </c>
      <c r="O156" s="83">
        <v>0</v>
      </c>
      <c r="P156" s="83">
        <v>-144</v>
      </c>
      <c r="Q156" s="83">
        <v>0</v>
      </c>
      <c r="R156" s="83">
        <v>0</v>
      </c>
      <c r="S156" s="83">
        <v>0</v>
      </c>
      <c r="T156" s="83">
        <v>0</v>
      </c>
      <c r="U156" s="82"/>
    </row>
    <row r="157" spans="1:21" ht="17.25" customHeight="1" x14ac:dyDescent="0.3">
      <c r="A157" s="66" t="s">
        <v>30</v>
      </c>
      <c r="C157" s="67"/>
      <c r="D157" s="77"/>
      <c r="E157" s="77"/>
      <c r="F157" s="76"/>
      <c r="G157" s="76"/>
      <c r="H157" s="76"/>
      <c r="I157" s="76"/>
      <c r="J157" s="76"/>
      <c r="K157" s="76"/>
      <c r="L157" s="76"/>
      <c r="M157" s="76"/>
      <c r="N157" s="76"/>
      <c r="O157" s="75"/>
      <c r="P157" s="75"/>
      <c r="Q157" s="75"/>
      <c r="R157" s="75"/>
      <c r="S157" s="75"/>
      <c r="T157" s="75"/>
      <c r="U157" s="74"/>
    </row>
    <row r="158" spans="1:21" ht="17.25" customHeight="1" x14ac:dyDescent="0.3">
      <c r="A158" s="66" t="s">
        <v>30</v>
      </c>
      <c r="C158" s="67"/>
      <c r="D158" s="77"/>
      <c r="E158" s="77" t="s">
        <v>31</v>
      </c>
      <c r="F158" s="76" t="s">
        <v>31</v>
      </c>
      <c r="G158" s="76" t="s">
        <v>31</v>
      </c>
      <c r="H158" s="76"/>
      <c r="I158" s="76"/>
      <c r="J158" s="76" t="s">
        <v>31</v>
      </c>
      <c r="K158" s="76" t="s">
        <v>31</v>
      </c>
      <c r="L158" s="76" t="s">
        <v>31</v>
      </c>
      <c r="M158" s="76" t="s">
        <v>31</v>
      </c>
      <c r="N158" s="76"/>
      <c r="U158" s="81"/>
    </row>
    <row r="159" spans="1:21" ht="20.25" customHeight="1" x14ac:dyDescent="0.35">
      <c r="A159" s="66" t="s">
        <v>30</v>
      </c>
      <c r="C159" s="67"/>
      <c r="D159" s="92" t="str">
        <f t="shared" ref="D159" si="104">E159</f>
        <v>E100018</v>
      </c>
      <c r="E159" s="91" t="str">
        <f>"E100018"</f>
        <v>E100018</v>
      </c>
      <c r="F159" s="89" t="str">
        <f>"Flexi-Clock &amp; Clip"</f>
        <v>Flexi-Clock &amp; Clip</v>
      </c>
      <c r="G159" s="89"/>
      <c r="H159" s="90" t="str">
        <f>"EA"</f>
        <v>EA</v>
      </c>
      <c r="I159" s="89"/>
      <c r="J159" s="89"/>
      <c r="K159" s="89"/>
      <c r="L159" s="89"/>
      <c r="M159" s="89"/>
      <c r="N159" s="89"/>
      <c r="O159" s="88">
        <f>(SUBTOTAL(9,O160:O162))</f>
        <v>200</v>
      </c>
      <c r="P159" s="88">
        <f>(SUBTOTAL(9,P160:P162))</f>
        <v>-12</v>
      </c>
      <c r="Q159" s="88">
        <f>(SUBTOTAL(9,Q160:Q162))</f>
        <v>0</v>
      </c>
      <c r="R159" s="88">
        <f>(SUBTOTAL(9,R160:R162))</f>
        <v>0</v>
      </c>
      <c r="S159" s="88">
        <f>(SUBTOTAL(9,S160:S162))</f>
        <v>0</v>
      </c>
      <c r="T159" s="88">
        <f>(SUBTOTAL(9,T160:T162))</f>
        <v>0</v>
      </c>
      <c r="U159" s="87">
        <f t="shared" ref="U159" si="105">SUBTOTAL(9,O160:T162)</f>
        <v>188</v>
      </c>
    </row>
    <row r="160" spans="1:21" ht="17.25" customHeight="1" x14ac:dyDescent="0.3">
      <c r="A160" s="66" t="s">
        <v>30</v>
      </c>
      <c r="C160" s="67"/>
      <c r="D160" s="77" t="str">
        <f t="shared" ref="D160" si="106">D159</f>
        <v>E100018</v>
      </c>
      <c r="E160" s="77"/>
      <c r="F160" s="76"/>
      <c r="G160" s="76" t="str">
        <f>"""NAV Direct"",""CRONUS JetCorp USA"",""32"",""1"",""167619"""</f>
        <v>"NAV Direct","CRONUS JetCorp USA","32","1","167619"</v>
      </c>
      <c r="H160" s="86">
        <v>43466</v>
      </c>
      <c r="I160" s="85">
        <v>167619</v>
      </c>
      <c r="J160" s="84" t="str">
        <f>"Vendor"</f>
        <v>Vendor</v>
      </c>
      <c r="K160" s="84" t="str">
        <f>"V100001"</f>
        <v>V100001</v>
      </c>
      <c r="L160" s="84" t="str">
        <f>IF($J160="Customer",_xll.NL("first",$J160,"Name","No.","@@"&amp;$K160),"")</f>
        <v/>
      </c>
      <c r="M160" s="84" t="str">
        <f>"Greigner, Inc."</f>
        <v>Greigner, Inc.</v>
      </c>
      <c r="N160" s="84" t="str">
        <f>IF($J160="Item",_xll.NL("first",$J160,"Description","No.","@@"&amp;$K160),"")</f>
        <v/>
      </c>
      <c r="O160" s="83">
        <v>200</v>
      </c>
      <c r="P160" s="83">
        <v>0</v>
      </c>
      <c r="Q160" s="83">
        <v>0</v>
      </c>
      <c r="R160" s="83">
        <v>0</v>
      </c>
      <c r="S160" s="83">
        <v>0</v>
      </c>
      <c r="T160" s="83">
        <v>0</v>
      </c>
      <c r="U160" s="82"/>
    </row>
    <row r="161" spans="1:21" ht="17.25" customHeight="1" x14ac:dyDescent="0.3">
      <c r="A161" s="66" t="s">
        <v>30</v>
      </c>
      <c r="C161" s="67"/>
      <c r="D161" s="77" t="str">
        <f t="shared" ref="D161" si="107">D160</f>
        <v>E100018</v>
      </c>
      <c r="E161" s="77"/>
      <c r="F161" s="76"/>
      <c r="G161" s="76" t="str">
        <f>"""NAV Direct"",""CRONUS JetCorp USA"",""32"",""1"",""20414"""</f>
        <v>"NAV Direct","CRONUS JetCorp USA","32","1","20414"</v>
      </c>
      <c r="H161" s="86">
        <v>43475</v>
      </c>
      <c r="I161" s="85">
        <v>20414</v>
      </c>
      <c r="J161" s="84" t="str">
        <f>"Customer"</f>
        <v>Customer</v>
      </c>
      <c r="K161" s="84" t="str">
        <f>"C100130"</f>
        <v>C100130</v>
      </c>
      <c r="L161" s="84" t="str">
        <f>IF($J161="Customer",_xll.NL("first",$J161,"Name","No.","@@"&amp;$K161),"")</f>
        <v>Hotspot Systems</v>
      </c>
      <c r="M161" s="84" t="str">
        <f>""</f>
        <v/>
      </c>
      <c r="N161" s="84" t="str">
        <f>IF($J161="Item",_xll.NL("first",$J161,"Description","No.","@@"&amp;$K161),"")</f>
        <v/>
      </c>
      <c r="O161" s="83">
        <v>0</v>
      </c>
      <c r="P161" s="83">
        <v>-12</v>
      </c>
      <c r="Q161" s="83">
        <v>0</v>
      </c>
      <c r="R161" s="83">
        <v>0</v>
      </c>
      <c r="S161" s="83">
        <v>0</v>
      </c>
      <c r="T161" s="83">
        <v>0</v>
      </c>
      <c r="U161" s="82"/>
    </row>
    <row r="162" spans="1:21" ht="17.25" customHeight="1" x14ac:dyDescent="0.3">
      <c r="A162" s="66" t="s">
        <v>30</v>
      </c>
      <c r="C162" s="67"/>
      <c r="D162" s="77"/>
      <c r="E162" s="77"/>
      <c r="F162" s="76"/>
      <c r="G162" s="76"/>
      <c r="H162" s="76"/>
      <c r="I162" s="76"/>
      <c r="J162" s="76"/>
      <c r="K162" s="76"/>
      <c r="L162" s="76"/>
      <c r="M162" s="76"/>
      <c r="N162" s="76"/>
      <c r="O162" s="75"/>
      <c r="P162" s="75"/>
      <c r="Q162" s="75"/>
      <c r="R162" s="75"/>
      <c r="S162" s="75"/>
      <c r="T162" s="75"/>
      <c r="U162" s="74"/>
    </row>
    <row r="163" spans="1:21" ht="17.25" customHeight="1" x14ac:dyDescent="0.3">
      <c r="A163" s="66" t="s">
        <v>30</v>
      </c>
      <c r="C163" s="67"/>
      <c r="D163" s="77"/>
      <c r="E163" s="77" t="s">
        <v>31</v>
      </c>
      <c r="F163" s="76" t="s">
        <v>31</v>
      </c>
      <c r="G163" s="76" t="s">
        <v>31</v>
      </c>
      <c r="H163" s="76"/>
      <c r="I163" s="76"/>
      <c r="J163" s="76" t="s">
        <v>31</v>
      </c>
      <c r="K163" s="76" t="s">
        <v>31</v>
      </c>
      <c r="L163" s="76" t="s">
        <v>31</v>
      </c>
      <c r="M163" s="76" t="s">
        <v>31</v>
      </c>
      <c r="N163" s="76"/>
      <c r="U163" s="81"/>
    </row>
    <row r="164" spans="1:21" ht="20.25" customHeight="1" x14ac:dyDescent="0.35">
      <c r="A164" s="66" t="s">
        <v>30</v>
      </c>
      <c r="C164" s="67"/>
      <c r="D164" s="92" t="str">
        <f t="shared" ref="D164" si="108">E164</f>
        <v>E100021</v>
      </c>
      <c r="E164" s="91" t="str">
        <f>"E100021"</f>
        <v>E100021</v>
      </c>
      <c r="F164" s="89" t="str">
        <f>"Slim Travel Alarm"</f>
        <v>Slim Travel Alarm</v>
      </c>
      <c r="G164" s="89"/>
      <c r="H164" s="90" t="str">
        <f>"EA"</f>
        <v>EA</v>
      </c>
      <c r="I164" s="89"/>
      <c r="J164" s="89"/>
      <c r="K164" s="89"/>
      <c r="L164" s="89"/>
      <c r="M164" s="89"/>
      <c r="N164" s="89"/>
      <c r="O164" s="88">
        <f>(SUBTOTAL(9,O165:O166))</f>
        <v>0</v>
      </c>
      <c r="P164" s="88">
        <f>(SUBTOTAL(9,P165:P166))</f>
        <v>-144</v>
      </c>
      <c r="Q164" s="88">
        <f>(SUBTOTAL(9,Q165:Q166))</f>
        <v>0</v>
      </c>
      <c r="R164" s="88">
        <f>(SUBTOTAL(9,R165:R166))</f>
        <v>0</v>
      </c>
      <c r="S164" s="88">
        <f>(SUBTOTAL(9,S165:S166))</f>
        <v>0</v>
      </c>
      <c r="T164" s="88">
        <f>(SUBTOTAL(9,T165:T166))</f>
        <v>0</v>
      </c>
      <c r="U164" s="87">
        <f t="shared" ref="U164" si="109">SUBTOTAL(9,O165:T166)</f>
        <v>-144</v>
      </c>
    </row>
    <row r="165" spans="1:21" ht="17.25" customHeight="1" x14ac:dyDescent="0.3">
      <c r="A165" s="66" t="s">
        <v>30</v>
      </c>
      <c r="C165" s="67"/>
      <c r="D165" s="77" t="str">
        <f t="shared" ref="D165" si="110">D164</f>
        <v>E100021</v>
      </c>
      <c r="E165" s="77"/>
      <c r="F165" s="76"/>
      <c r="G165" s="76" t="str">
        <f>"""NAV Direct"",""CRONUS JetCorp USA"",""32"",""1"",""153167"""</f>
        <v>"NAV Direct","CRONUS JetCorp USA","32","1","153167"</v>
      </c>
      <c r="H165" s="86">
        <v>43470</v>
      </c>
      <c r="I165" s="85">
        <v>153167</v>
      </c>
      <c r="J165" s="84" t="str">
        <f>"Customer"</f>
        <v>Customer</v>
      </c>
      <c r="K165" s="84" t="str">
        <f>"C100136"</f>
        <v>C100136</v>
      </c>
      <c r="L165" s="84" t="str">
        <f>IF($J165="Customer",_xll.NL("first",$J165,"Name","No.","@@"&amp;$K165),"")</f>
        <v>First Bank</v>
      </c>
      <c r="M165" s="84" t="str">
        <f>""</f>
        <v/>
      </c>
      <c r="N165" s="84" t="str">
        <f>IF($J165="Item",_xll.NL("first",$J165,"Description","No.","@@"&amp;$K165),"")</f>
        <v/>
      </c>
      <c r="O165" s="83">
        <v>0</v>
      </c>
      <c r="P165" s="83">
        <v>-144</v>
      </c>
      <c r="Q165" s="83">
        <v>0</v>
      </c>
      <c r="R165" s="83">
        <v>0</v>
      </c>
      <c r="S165" s="83">
        <v>0</v>
      </c>
      <c r="T165" s="83">
        <v>0</v>
      </c>
      <c r="U165" s="82"/>
    </row>
    <row r="166" spans="1:21" ht="17.25" customHeight="1" x14ac:dyDescent="0.3">
      <c r="A166" s="66" t="s">
        <v>30</v>
      </c>
      <c r="C166" s="67"/>
      <c r="D166" s="77"/>
      <c r="E166" s="77"/>
      <c r="F166" s="76"/>
      <c r="G166" s="76"/>
      <c r="H166" s="76"/>
      <c r="I166" s="76"/>
      <c r="J166" s="76"/>
      <c r="K166" s="76"/>
      <c r="L166" s="76"/>
      <c r="M166" s="76"/>
      <c r="N166" s="76"/>
      <c r="O166" s="75"/>
      <c r="P166" s="75"/>
      <c r="Q166" s="75"/>
      <c r="R166" s="75"/>
      <c r="S166" s="75"/>
      <c r="T166" s="75"/>
      <c r="U166" s="74"/>
    </row>
    <row r="167" spans="1:21" ht="17.25" customHeight="1" x14ac:dyDescent="0.3">
      <c r="A167" s="66" t="s">
        <v>30</v>
      </c>
      <c r="C167" s="67"/>
      <c r="D167" s="77"/>
      <c r="E167" s="77" t="s">
        <v>31</v>
      </c>
      <c r="F167" s="76" t="s">
        <v>31</v>
      </c>
      <c r="G167" s="76" t="s">
        <v>31</v>
      </c>
      <c r="H167" s="76"/>
      <c r="I167" s="76"/>
      <c r="J167" s="76" t="s">
        <v>31</v>
      </c>
      <c r="K167" s="76" t="s">
        <v>31</v>
      </c>
      <c r="L167" s="76" t="s">
        <v>31</v>
      </c>
      <c r="M167" s="76" t="s">
        <v>31</v>
      </c>
      <c r="N167" s="76"/>
      <c r="U167" s="81"/>
    </row>
    <row r="168" spans="1:21" ht="20.25" customHeight="1" x14ac:dyDescent="0.35">
      <c r="A168" s="66" t="s">
        <v>30</v>
      </c>
      <c r="C168" s="67"/>
      <c r="D168" s="92" t="str">
        <f t="shared" ref="D168" si="111">E168</f>
        <v>E100023</v>
      </c>
      <c r="E168" s="91" t="str">
        <f>"E100023"</f>
        <v>E100023</v>
      </c>
      <c r="F168" s="89" t="str">
        <f>"Sport Earbuds"</f>
        <v>Sport Earbuds</v>
      </c>
      <c r="G168" s="89"/>
      <c r="H168" s="90" t="str">
        <f>"EA"</f>
        <v>EA</v>
      </c>
      <c r="I168" s="89"/>
      <c r="J168" s="89"/>
      <c r="K168" s="89"/>
      <c r="L168" s="89"/>
      <c r="M168" s="89"/>
      <c r="N168" s="89"/>
      <c r="O168" s="88">
        <f>(SUBTOTAL(9,O169:O170))</f>
        <v>0</v>
      </c>
      <c r="P168" s="88">
        <f>(SUBTOTAL(9,P169:P170))</f>
        <v>-144</v>
      </c>
      <c r="Q168" s="88">
        <f>(SUBTOTAL(9,Q169:Q170))</f>
        <v>0</v>
      </c>
      <c r="R168" s="88">
        <f>(SUBTOTAL(9,R169:R170))</f>
        <v>0</v>
      </c>
      <c r="S168" s="88">
        <f>(SUBTOTAL(9,S169:S170))</f>
        <v>0</v>
      </c>
      <c r="T168" s="88">
        <f>(SUBTOTAL(9,T169:T170))</f>
        <v>0</v>
      </c>
      <c r="U168" s="87">
        <f t="shared" ref="U168" si="112">SUBTOTAL(9,O169:T170)</f>
        <v>-144</v>
      </c>
    </row>
    <row r="169" spans="1:21" ht="17.25" customHeight="1" x14ac:dyDescent="0.3">
      <c r="A169" s="66" t="s">
        <v>30</v>
      </c>
      <c r="C169" s="67"/>
      <c r="D169" s="77" t="str">
        <f t="shared" ref="D169" si="113">D168</f>
        <v>E100023</v>
      </c>
      <c r="E169" s="77"/>
      <c r="F169" s="76"/>
      <c r="G169" s="76" t="str">
        <f>"""NAV Direct"",""CRONUS JetCorp USA"",""32"",""1"",""64615"""</f>
        <v>"NAV Direct","CRONUS JetCorp USA","32","1","64615"</v>
      </c>
      <c r="H169" s="86">
        <v>43475</v>
      </c>
      <c r="I169" s="85">
        <v>64615</v>
      </c>
      <c r="J169" s="84" t="str">
        <f>"Customer"</f>
        <v>Customer</v>
      </c>
      <c r="K169" s="84" t="str">
        <f>"C100136"</f>
        <v>C100136</v>
      </c>
      <c r="L169" s="84" t="str">
        <f>IF($J169="Customer",_xll.NL("first",$J169,"Name","No.","@@"&amp;$K169),"")</f>
        <v>First Bank</v>
      </c>
      <c r="M169" s="84" t="str">
        <f>""</f>
        <v/>
      </c>
      <c r="N169" s="84" t="str">
        <f>IF($J169="Item",_xll.NL("first",$J169,"Description","No.","@@"&amp;$K169),"")</f>
        <v/>
      </c>
      <c r="O169" s="83">
        <v>0</v>
      </c>
      <c r="P169" s="83">
        <v>-144</v>
      </c>
      <c r="Q169" s="83">
        <v>0</v>
      </c>
      <c r="R169" s="83">
        <v>0</v>
      </c>
      <c r="S169" s="83">
        <v>0</v>
      </c>
      <c r="T169" s="83">
        <v>0</v>
      </c>
      <c r="U169" s="82"/>
    </row>
    <row r="170" spans="1:21" ht="17.25" customHeight="1" x14ac:dyDescent="0.3">
      <c r="A170" s="66" t="s">
        <v>30</v>
      </c>
      <c r="C170" s="67"/>
      <c r="D170" s="77"/>
      <c r="E170" s="77"/>
      <c r="F170" s="76"/>
      <c r="G170" s="76"/>
      <c r="H170" s="76"/>
      <c r="I170" s="76"/>
      <c r="J170" s="76"/>
      <c r="K170" s="76"/>
      <c r="L170" s="76"/>
      <c r="M170" s="76"/>
      <c r="N170" s="76"/>
      <c r="O170" s="75"/>
      <c r="P170" s="75"/>
      <c r="Q170" s="75"/>
      <c r="R170" s="75"/>
      <c r="S170" s="75"/>
      <c r="T170" s="75"/>
      <c r="U170" s="74"/>
    </row>
    <row r="171" spans="1:21" ht="17.25" customHeight="1" x14ac:dyDescent="0.3">
      <c r="A171" s="66" t="s">
        <v>30</v>
      </c>
      <c r="C171" s="67"/>
      <c r="D171" s="77"/>
      <c r="E171" s="77" t="s">
        <v>31</v>
      </c>
      <c r="F171" s="76" t="s">
        <v>31</v>
      </c>
      <c r="G171" s="76" t="s">
        <v>31</v>
      </c>
      <c r="H171" s="76"/>
      <c r="I171" s="76"/>
      <c r="J171" s="76" t="s">
        <v>31</v>
      </c>
      <c r="K171" s="76" t="s">
        <v>31</v>
      </c>
      <c r="L171" s="76" t="s">
        <v>31</v>
      </c>
      <c r="M171" s="76" t="s">
        <v>31</v>
      </c>
      <c r="N171" s="76"/>
      <c r="U171" s="81"/>
    </row>
    <row r="172" spans="1:21" ht="20.25" customHeight="1" x14ac:dyDescent="0.35">
      <c r="A172" s="66" t="s">
        <v>30</v>
      </c>
      <c r="C172" s="67"/>
      <c r="D172" s="92" t="str">
        <f t="shared" ref="D172" si="114">E172</f>
        <v>E100024</v>
      </c>
      <c r="E172" s="91" t="str">
        <f>"E100024"</f>
        <v>E100024</v>
      </c>
      <c r="F172" s="89" t="str">
        <f>"Arch Calculator"</f>
        <v>Arch Calculator</v>
      </c>
      <c r="G172" s="89"/>
      <c r="H172" s="90" t="str">
        <f>"EA"</f>
        <v>EA</v>
      </c>
      <c r="I172" s="89"/>
      <c r="J172" s="89"/>
      <c r="K172" s="89"/>
      <c r="L172" s="89"/>
      <c r="M172" s="89"/>
      <c r="N172" s="89"/>
      <c r="O172" s="88">
        <f>(SUBTOTAL(9,O173:O174))</f>
        <v>499.99999999999994</v>
      </c>
      <c r="P172" s="88">
        <f>(SUBTOTAL(9,P173:P174))</f>
        <v>0</v>
      </c>
      <c r="Q172" s="88">
        <f>(SUBTOTAL(9,Q173:Q174))</f>
        <v>0</v>
      </c>
      <c r="R172" s="88">
        <f>(SUBTOTAL(9,R173:R174))</f>
        <v>0</v>
      </c>
      <c r="S172" s="88">
        <f>(SUBTOTAL(9,S173:S174))</f>
        <v>0</v>
      </c>
      <c r="T172" s="88">
        <f>(SUBTOTAL(9,T173:T174))</f>
        <v>0</v>
      </c>
      <c r="U172" s="87">
        <f t="shared" ref="U172" si="115">SUBTOTAL(9,O173:T174)</f>
        <v>499.99999999999994</v>
      </c>
    </row>
    <row r="173" spans="1:21" ht="17.25" customHeight="1" x14ac:dyDescent="0.3">
      <c r="A173" s="66" t="s">
        <v>30</v>
      </c>
      <c r="C173" s="67"/>
      <c r="D173" s="77" t="str">
        <f t="shared" ref="D173" si="116">D172</f>
        <v>E100024</v>
      </c>
      <c r="E173" s="77"/>
      <c r="F173" s="76"/>
      <c r="G173" s="76" t="str">
        <f>"""NAV Direct"",""CRONUS JetCorp USA"",""32"",""1"",""168366"""</f>
        <v>"NAV Direct","CRONUS JetCorp USA","32","1","168366"</v>
      </c>
      <c r="H173" s="86">
        <v>43466</v>
      </c>
      <c r="I173" s="85">
        <v>168366</v>
      </c>
      <c r="J173" s="84" t="str">
        <f>"Vendor"</f>
        <v>Vendor</v>
      </c>
      <c r="K173" s="84" t="str">
        <f>"V100001"</f>
        <v>V100001</v>
      </c>
      <c r="L173" s="84" t="str">
        <f>IF($J173="Customer",_xll.NL("first",$J173,"Name","No.","@@"&amp;$K173),"")</f>
        <v/>
      </c>
      <c r="M173" s="84" t="str">
        <f>"Greigner, Inc."</f>
        <v>Greigner, Inc.</v>
      </c>
      <c r="N173" s="84" t="str">
        <f>IF($J173="Item",_xll.NL("first",$J173,"Description","No.","@@"&amp;$K173),"")</f>
        <v/>
      </c>
      <c r="O173" s="83">
        <v>499.99999999999994</v>
      </c>
      <c r="P173" s="83">
        <v>0</v>
      </c>
      <c r="Q173" s="83">
        <v>0</v>
      </c>
      <c r="R173" s="83">
        <v>0</v>
      </c>
      <c r="S173" s="83">
        <v>0</v>
      </c>
      <c r="T173" s="83">
        <v>0</v>
      </c>
      <c r="U173" s="82"/>
    </row>
    <row r="174" spans="1:21" ht="17.25" customHeight="1" x14ac:dyDescent="0.3">
      <c r="A174" s="66" t="s">
        <v>30</v>
      </c>
      <c r="C174" s="67"/>
      <c r="D174" s="77"/>
      <c r="E174" s="77"/>
      <c r="F174" s="76"/>
      <c r="G174" s="76"/>
      <c r="H174" s="76"/>
      <c r="I174" s="76"/>
      <c r="J174" s="76"/>
      <c r="K174" s="76"/>
      <c r="L174" s="76"/>
      <c r="M174" s="76"/>
      <c r="N174" s="76"/>
      <c r="O174" s="75"/>
      <c r="P174" s="75"/>
      <c r="Q174" s="75"/>
      <c r="R174" s="75"/>
      <c r="S174" s="75"/>
      <c r="T174" s="75"/>
      <c r="U174" s="74"/>
    </row>
    <row r="175" spans="1:21" ht="17.25" customHeight="1" x14ac:dyDescent="0.3">
      <c r="A175" s="66" t="s">
        <v>30</v>
      </c>
      <c r="C175" s="67"/>
      <c r="D175" s="77"/>
      <c r="E175" s="77" t="s">
        <v>31</v>
      </c>
      <c r="F175" s="76" t="s">
        <v>31</v>
      </c>
      <c r="G175" s="76" t="s">
        <v>31</v>
      </c>
      <c r="H175" s="76"/>
      <c r="I175" s="76"/>
      <c r="J175" s="76" t="s">
        <v>31</v>
      </c>
      <c r="K175" s="76" t="s">
        <v>31</v>
      </c>
      <c r="L175" s="76" t="s">
        <v>31</v>
      </c>
      <c r="M175" s="76" t="s">
        <v>31</v>
      </c>
      <c r="N175" s="76"/>
      <c r="U175" s="81"/>
    </row>
    <row r="176" spans="1:21" ht="20.25" customHeight="1" x14ac:dyDescent="0.35">
      <c r="A176" s="66" t="s">
        <v>30</v>
      </c>
      <c r="C176" s="67"/>
      <c r="D176" s="92" t="str">
        <f t="shared" ref="D176" si="117">E176</f>
        <v>E100025</v>
      </c>
      <c r="E176" s="91" t="str">
        <f>"E100025"</f>
        <v>E100025</v>
      </c>
      <c r="F176" s="89" t="str">
        <f>"Calc-U-Note"</f>
        <v>Calc-U-Note</v>
      </c>
      <c r="G176" s="89"/>
      <c r="H176" s="90" t="str">
        <f>"EA"</f>
        <v>EA</v>
      </c>
      <c r="I176" s="89"/>
      <c r="J176" s="89"/>
      <c r="K176" s="89"/>
      <c r="L176" s="89"/>
      <c r="M176" s="89"/>
      <c r="N176" s="89"/>
      <c r="O176" s="88">
        <f>(SUBTOTAL(9,O177:O180))</f>
        <v>249.99999999999997</v>
      </c>
      <c r="P176" s="88">
        <f>(SUBTOTAL(9,P177:P180))</f>
        <v>-49</v>
      </c>
      <c r="Q176" s="88">
        <f>(SUBTOTAL(9,Q177:Q180))</f>
        <v>0</v>
      </c>
      <c r="R176" s="88">
        <f>(SUBTOTAL(9,R177:R180))</f>
        <v>0</v>
      </c>
      <c r="S176" s="88">
        <f>(SUBTOTAL(9,S177:S180))</f>
        <v>0</v>
      </c>
      <c r="T176" s="88">
        <f>(SUBTOTAL(9,T177:T180))</f>
        <v>0</v>
      </c>
      <c r="U176" s="87">
        <f t="shared" ref="U176" si="118">SUBTOTAL(9,O177:T180)</f>
        <v>200.99999999999997</v>
      </c>
    </row>
    <row r="177" spans="1:21" ht="17.25" customHeight="1" x14ac:dyDescent="0.3">
      <c r="A177" s="66" t="s">
        <v>30</v>
      </c>
      <c r="C177" s="67"/>
      <c r="D177" s="77" t="str">
        <f t="shared" ref="D177" si="119">D176</f>
        <v>E100025</v>
      </c>
      <c r="E177" s="77"/>
      <c r="F177" s="76"/>
      <c r="G177" s="76" t="str">
        <f>"""NAV Direct"",""CRONUS JetCorp USA"",""32"",""1"",""168365"""</f>
        <v>"NAV Direct","CRONUS JetCorp USA","32","1","168365"</v>
      </c>
      <c r="H177" s="86">
        <v>43466</v>
      </c>
      <c r="I177" s="85">
        <v>168365</v>
      </c>
      <c r="J177" s="84" t="str">
        <f>"Vendor"</f>
        <v>Vendor</v>
      </c>
      <c r="K177" s="84" t="str">
        <f>"V100001"</f>
        <v>V100001</v>
      </c>
      <c r="L177" s="84" t="str">
        <f>IF($J177="Customer",_xll.NL("first",$J177,"Name","No.","@@"&amp;$K177),"")</f>
        <v/>
      </c>
      <c r="M177" s="84" t="str">
        <f>"Greigner, Inc."</f>
        <v>Greigner, Inc.</v>
      </c>
      <c r="N177" s="84" t="str">
        <f>IF($J177="Item",_xll.NL("first",$J177,"Description","No.","@@"&amp;$K177),"")</f>
        <v/>
      </c>
      <c r="O177" s="83">
        <v>249.99999999999997</v>
      </c>
      <c r="P177" s="83">
        <v>0</v>
      </c>
      <c r="Q177" s="83">
        <v>0</v>
      </c>
      <c r="R177" s="83">
        <v>0</v>
      </c>
      <c r="S177" s="83">
        <v>0</v>
      </c>
      <c r="T177" s="83">
        <v>0</v>
      </c>
      <c r="U177" s="82"/>
    </row>
    <row r="178" spans="1:21" ht="17.25" customHeight="1" x14ac:dyDescent="0.3">
      <c r="A178" s="66" t="s">
        <v>30</v>
      </c>
      <c r="C178" s="67"/>
      <c r="D178" s="77" t="str">
        <f t="shared" ref="D178:D179" si="120">D177</f>
        <v>E100025</v>
      </c>
      <c r="E178" s="77"/>
      <c r="F178" s="76"/>
      <c r="G178" s="76" t="str">
        <f>"""NAV Direct"",""CRONUS JetCorp USA"",""32"",""1"",""153199"""</f>
        <v>"NAV Direct","CRONUS JetCorp USA","32","1","153199"</v>
      </c>
      <c r="H178" s="86">
        <v>43469</v>
      </c>
      <c r="I178" s="85">
        <v>153199</v>
      </c>
      <c r="J178" s="84" t="str">
        <f>"Customer"</f>
        <v>Customer</v>
      </c>
      <c r="K178" s="84" t="str">
        <f>"C100136"</f>
        <v>C100136</v>
      </c>
      <c r="L178" s="84" t="str">
        <f>IF($J178="Customer",_xll.NL("first",$J178,"Name","No.","@@"&amp;$K178),"")</f>
        <v>First Bank</v>
      </c>
      <c r="M178" s="84" t="str">
        <f>""</f>
        <v/>
      </c>
      <c r="N178" s="84" t="str">
        <f>IF($J178="Item",_xll.NL("first",$J178,"Description","No.","@@"&amp;$K178),"")</f>
        <v/>
      </c>
      <c r="O178" s="83">
        <v>0</v>
      </c>
      <c r="P178" s="83">
        <v>-1</v>
      </c>
      <c r="Q178" s="83">
        <v>0</v>
      </c>
      <c r="R178" s="83">
        <v>0</v>
      </c>
      <c r="S178" s="83">
        <v>0</v>
      </c>
      <c r="T178" s="83">
        <v>0</v>
      </c>
      <c r="U178" s="82"/>
    </row>
    <row r="179" spans="1:21" ht="17.25" customHeight="1" x14ac:dyDescent="0.3">
      <c r="A179" s="66" t="s">
        <v>30</v>
      </c>
      <c r="C179" s="67"/>
      <c r="D179" s="77" t="str">
        <f t="shared" si="120"/>
        <v>E100025</v>
      </c>
      <c r="E179" s="77"/>
      <c r="F179" s="76"/>
      <c r="G179" s="76" t="str">
        <f>"""NAV Direct"",""CRONUS JetCorp USA"",""32"",""1"",""153172"""</f>
        <v>"NAV Direct","CRONUS JetCorp USA","32","1","153172"</v>
      </c>
      <c r="H179" s="86">
        <v>43470</v>
      </c>
      <c r="I179" s="85">
        <v>153172</v>
      </c>
      <c r="J179" s="84" t="str">
        <f>"Customer"</f>
        <v>Customer</v>
      </c>
      <c r="K179" s="84" t="str">
        <f>"C100136"</f>
        <v>C100136</v>
      </c>
      <c r="L179" s="84" t="str">
        <f>IF($J179="Customer",_xll.NL("first",$J179,"Name","No.","@@"&amp;$K179),"")</f>
        <v>First Bank</v>
      </c>
      <c r="M179" s="84" t="str">
        <f>""</f>
        <v/>
      </c>
      <c r="N179" s="84" t="str">
        <f>IF($J179="Item",_xll.NL("first",$J179,"Description","No.","@@"&amp;$K179),"")</f>
        <v/>
      </c>
      <c r="O179" s="83">
        <v>0</v>
      </c>
      <c r="P179" s="83">
        <v>-48</v>
      </c>
      <c r="Q179" s="83">
        <v>0</v>
      </c>
      <c r="R179" s="83">
        <v>0</v>
      </c>
      <c r="S179" s="83">
        <v>0</v>
      </c>
      <c r="T179" s="83">
        <v>0</v>
      </c>
      <c r="U179" s="82"/>
    </row>
    <row r="180" spans="1:21" ht="17.25" customHeight="1" x14ac:dyDescent="0.3">
      <c r="A180" s="66" t="s">
        <v>30</v>
      </c>
      <c r="C180" s="67"/>
      <c r="D180" s="77"/>
      <c r="E180" s="77"/>
      <c r="F180" s="76"/>
      <c r="G180" s="76"/>
      <c r="H180" s="76"/>
      <c r="I180" s="76"/>
      <c r="J180" s="76"/>
      <c r="K180" s="76"/>
      <c r="L180" s="76"/>
      <c r="M180" s="76"/>
      <c r="N180" s="76"/>
      <c r="O180" s="75"/>
      <c r="P180" s="75"/>
      <c r="Q180" s="75"/>
      <c r="R180" s="75"/>
      <c r="S180" s="75"/>
      <c r="T180" s="75"/>
      <c r="U180" s="74"/>
    </row>
    <row r="181" spans="1:21" ht="17.25" customHeight="1" x14ac:dyDescent="0.3">
      <c r="A181" s="66" t="s">
        <v>30</v>
      </c>
      <c r="C181" s="67"/>
      <c r="D181" s="77"/>
      <c r="E181" s="77" t="s">
        <v>31</v>
      </c>
      <c r="F181" s="76" t="s">
        <v>31</v>
      </c>
      <c r="G181" s="76" t="s">
        <v>31</v>
      </c>
      <c r="H181" s="76"/>
      <c r="I181" s="76"/>
      <c r="J181" s="76" t="s">
        <v>31</v>
      </c>
      <c r="K181" s="76" t="s">
        <v>31</v>
      </c>
      <c r="L181" s="76" t="s">
        <v>31</v>
      </c>
      <c r="M181" s="76" t="s">
        <v>31</v>
      </c>
      <c r="N181" s="76"/>
      <c r="U181" s="81"/>
    </row>
    <row r="182" spans="1:21" ht="20.25" customHeight="1" x14ac:dyDescent="0.35">
      <c r="A182" s="66" t="s">
        <v>30</v>
      </c>
      <c r="C182" s="67"/>
      <c r="D182" s="92" t="str">
        <f t="shared" ref="D182" si="121">E182</f>
        <v>E100026</v>
      </c>
      <c r="E182" s="91" t="str">
        <f>"E100026"</f>
        <v>E100026</v>
      </c>
      <c r="F182" s="89" t="str">
        <f>"Desk Calculator"</f>
        <v>Desk Calculator</v>
      </c>
      <c r="G182" s="89"/>
      <c r="H182" s="90" t="str">
        <f>"EA"</f>
        <v>EA</v>
      </c>
      <c r="I182" s="89"/>
      <c r="J182" s="89"/>
      <c r="K182" s="89"/>
      <c r="L182" s="89"/>
      <c r="M182" s="89"/>
      <c r="N182" s="89"/>
      <c r="O182" s="88">
        <f>(SUBTOTAL(9,O183:O184))</f>
        <v>0</v>
      </c>
      <c r="P182" s="88">
        <f>(SUBTOTAL(9,P183:P184))</f>
        <v>-144</v>
      </c>
      <c r="Q182" s="88">
        <f>(SUBTOTAL(9,Q183:Q184))</f>
        <v>0</v>
      </c>
      <c r="R182" s="88">
        <f>(SUBTOTAL(9,R183:R184))</f>
        <v>0</v>
      </c>
      <c r="S182" s="88">
        <f>(SUBTOTAL(9,S183:S184))</f>
        <v>0</v>
      </c>
      <c r="T182" s="88">
        <f>(SUBTOTAL(9,T183:T184))</f>
        <v>0</v>
      </c>
      <c r="U182" s="87">
        <f t="shared" ref="U182" si="122">SUBTOTAL(9,O183:T184)</f>
        <v>-144</v>
      </c>
    </row>
    <row r="183" spans="1:21" ht="17.25" customHeight="1" x14ac:dyDescent="0.3">
      <c r="A183" s="66" t="s">
        <v>30</v>
      </c>
      <c r="C183" s="67"/>
      <c r="D183" s="77" t="str">
        <f t="shared" ref="D183" si="123">D182</f>
        <v>E100026</v>
      </c>
      <c r="E183" s="77"/>
      <c r="F183" s="76"/>
      <c r="G183" s="76" t="str">
        <f>"""NAV Direct"",""CRONUS JetCorp USA"",""32"",""1"",""64626"""</f>
        <v>"NAV Direct","CRONUS JetCorp USA","32","1","64626"</v>
      </c>
      <c r="H183" s="86">
        <v>43475</v>
      </c>
      <c r="I183" s="85">
        <v>64626</v>
      </c>
      <c r="J183" s="84" t="str">
        <f>"Customer"</f>
        <v>Customer</v>
      </c>
      <c r="K183" s="84" t="str">
        <f>"C100136"</f>
        <v>C100136</v>
      </c>
      <c r="L183" s="84" t="str">
        <f>IF($J183="Customer",_xll.NL("first",$J183,"Name","No.","@@"&amp;$K183),"")</f>
        <v>First Bank</v>
      </c>
      <c r="M183" s="84" t="str">
        <f>""</f>
        <v/>
      </c>
      <c r="N183" s="84" t="str">
        <f>IF($J183="Item",_xll.NL("first",$J183,"Description","No.","@@"&amp;$K183),"")</f>
        <v/>
      </c>
      <c r="O183" s="83">
        <v>0</v>
      </c>
      <c r="P183" s="83">
        <v>-144</v>
      </c>
      <c r="Q183" s="83">
        <v>0</v>
      </c>
      <c r="R183" s="83">
        <v>0</v>
      </c>
      <c r="S183" s="83">
        <v>0</v>
      </c>
      <c r="T183" s="83">
        <v>0</v>
      </c>
      <c r="U183" s="82"/>
    </row>
    <row r="184" spans="1:21" ht="17.25" customHeight="1" x14ac:dyDescent="0.3">
      <c r="A184" s="66" t="s">
        <v>30</v>
      </c>
      <c r="C184" s="67"/>
      <c r="D184" s="77"/>
      <c r="E184" s="77"/>
      <c r="F184" s="76"/>
      <c r="G184" s="76"/>
      <c r="H184" s="76"/>
      <c r="I184" s="76"/>
      <c r="J184" s="76"/>
      <c r="K184" s="76"/>
      <c r="L184" s="76"/>
      <c r="M184" s="76"/>
      <c r="N184" s="76"/>
      <c r="O184" s="75"/>
      <c r="P184" s="75"/>
      <c r="Q184" s="75"/>
      <c r="R184" s="75"/>
      <c r="S184" s="75"/>
      <c r="T184" s="75"/>
      <c r="U184" s="74"/>
    </row>
    <row r="185" spans="1:21" ht="17.25" customHeight="1" x14ac:dyDescent="0.3">
      <c r="A185" s="66" t="s">
        <v>30</v>
      </c>
      <c r="C185" s="67"/>
      <c r="D185" s="77"/>
      <c r="E185" s="77" t="s">
        <v>31</v>
      </c>
      <c r="F185" s="76" t="s">
        <v>31</v>
      </c>
      <c r="G185" s="76" t="s">
        <v>31</v>
      </c>
      <c r="H185" s="76"/>
      <c r="I185" s="76"/>
      <c r="J185" s="76" t="s">
        <v>31</v>
      </c>
      <c r="K185" s="76" t="s">
        <v>31</v>
      </c>
      <c r="L185" s="76" t="s">
        <v>31</v>
      </c>
      <c r="M185" s="76" t="s">
        <v>31</v>
      </c>
      <c r="N185" s="76"/>
      <c r="U185" s="81"/>
    </row>
    <row r="186" spans="1:21" ht="20.25" customHeight="1" x14ac:dyDescent="0.35">
      <c r="A186" s="66" t="s">
        <v>30</v>
      </c>
      <c r="C186" s="67"/>
      <c r="D186" s="92" t="str">
        <f t="shared" ref="D186" si="124">E186</f>
        <v>E100027</v>
      </c>
      <c r="E186" s="91" t="str">
        <f>"E100027"</f>
        <v>E100027</v>
      </c>
      <c r="F186" s="89" t="str">
        <f>"Ergo-Calculator"</f>
        <v>Ergo-Calculator</v>
      </c>
      <c r="G186" s="89"/>
      <c r="H186" s="90" t="str">
        <f>"EA"</f>
        <v>EA</v>
      </c>
      <c r="I186" s="89"/>
      <c r="J186" s="89"/>
      <c r="K186" s="89"/>
      <c r="L186" s="89"/>
      <c r="M186" s="89"/>
      <c r="N186" s="89"/>
      <c r="O186" s="88">
        <f>(SUBTOTAL(9,O187:O189))</f>
        <v>750</v>
      </c>
      <c r="P186" s="88">
        <f>(SUBTOTAL(9,P187:P189))</f>
        <v>-144</v>
      </c>
      <c r="Q186" s="88">
        <f>(SUBTOTAL(9,Q187:Q189))</f>
        <v>0</v>
      </c>
      <c r="R186" s="88">
        <f>(SUBTOTAL(9,R187:R189))</f>
        <v>0</v>
      </c>
      <c r="S186" s="88">
        <f>(SUBTOTAL(9,S187:S189))</f>
        <v>0</v>
      </c>
      <c r="T186" s="88">
        <f>(SUBTOTAL(9,T187:T189))</f>
        <v>0</v>
      </c>
      <c r="U186" s="87">
        <f t="shared" ref="U186" si="125">SUBTOTAL(9,O187:T189)</f>
        <v>606</v>
      </c>
    </row>
    <row r="187" spans="1:21" ht="17.25" customHeight="1" x14ac:dyDescent="0.3">
      <c r="A187" s="66" t="s">
        <v>30</v>
      </c>
      <c r="C187" s="67"/>
      <c r="D187" s="77" t="str">
        <f t="shared" ref="D187" si="126">D186</f>
        <v>E100027</v>
      </c>
      <c r="E187" s="77"/>
      <c r="F187" s="76"/>
      <c r="G187" s="76" t="str">
        <f>"""NAV Direct"",""CRONUS JetCorp USA"",""32"",""1"",""168364"""</f>
        <v>"NAV Direct","CRONUS JetCorp USA","32","1","168364"</v>
      </c>
      <c r="H187" s="86">
        <v>43466</v>
      </c>
      <c r="I187" s="85">
        <v>168364</v>
      </c>
      <c r="J187" s="84" t="str">
        <f>"Vendor"</f>
        <v>Vendor</v>
      </c>
      <c r="K187" s="84" t="str">
        <f>"V100001"</f>
        <v>V100001</v>
      </c>
      <c r="L187" s="84" t="str">
        <f>IF($J187="Customer",_xll.NL("first",$J187,"Name","No.","@@"&amp;$K187),"")</f>
        <v/>
      </c>
      <c r="M187" s="84" t="str">
        <f>"Greigner, Inc."</f>
        <v>Greigner, Inc.</v>
      </c>
      <c r="N187" s="84" t="str">
        <f>IF($J187="Item",_xll.NL("first",$J187,"Description","No.","@@"&amp;$K187),"")</f>
        <v/>
      </c>
      <c r="O187" s="83">
        <v>750</v>
      </c>
      <c r="P187" s="83">
        <v>0</v>
      </c>
      <c r="Q187" s="83">
        <v>0</v>
      </c>
      <c r="R187" s="83">
        <v>0</v>
      </c>
      <c r="S187" s="83">
        <v>0</v>
      </c>
      <c r="T187" s="83">
        <v>0</v>
      </c>
      <c r="U187" s="82"/>
    </row>
    <row r="188" spans="1:21" ht="17.25" customHeight="1" x14ac:dyDescent="0.3">
      <c r="A188" s="66" t="s">
        <v>30</v>
      </c>
      <c r="C188" s="67"/>
      <c r="D188" s="77" t="str">
        <f t="shared" ref="D188" si="127">D187</f>
        <v>E100027</v>
      </c>
      <c r="E188" s="77"/>
      <c r="F188" s="76"/>
      <c r="G188" s="76" t="str">
        <f>"""NAV Direct"",""CRONUS JetCorp USA"",""32"",""1"",""153192"""</f>
        <v>"NAV Direct","CRONUS JetCorp USA","32","1","153192"</v>
      </c>
      <c r="H188" s="86">
        <v>43469</v>
      </c>
      <c r="I188" s="85">
        <v>153192</v>
      </c>
      <c r="J188" s="84" t="str">
        <f>"Customer"</f>
        <v>Customer</v>
      </c>
      <c r="K188" s="84" t="str">
        <f>"C100136"</f>
        <v>C100136</v>
      </c>
      <c r="L188" s="84" t="str">
        <f>IF($J188="Customer",_xll.NL("first",$J188,"Name","No.","@@"&amp;$K188),"")</f>
        <v>First Bank</v>
      </c>
      <c r="M188" s="84" t="str">
        <f>""</f>
        <v/>
      </c>
      <c r="N188" s="84" t="str">
        <f>IF($J188="Item",_xll.NL("first",$J188,"Description","No.","@@"&amp;$K188),"")</f>
        <v/>
      </c>
      <c r="O188" s="83">
        <v>0</v>
      </c>
      <c r="P188" s="83">
        <v>-144</v>
      </c>
      <c r="Q188" s="83">
        <v>0</v>
      </c>
      <c r="R188" s="83">
        <v>0</v>
      </c>
      <c r="S188" s="83">
        <v>0</v>
      </c>
      <c r="T188" s="83">
        <v>0</v>
      </c>
      <c r="U188" s="82"/>
    </row>
    <row r="189" spans="1:21" ht="17.25" customHeight="1" x14ac:dyDescent="0.3">
      <c r="A189" s="66" t="s">
        <v>30</v>
      </c>
      <c r="C189" s="67"/>
      <c r="D189" s="77"/>
      <c r="E189" s="77"/>
      <c r="F189" s="76"/>
      <c r="G189" s="76"/>
      <c r="H189" s="76"/>
      <c r="I189" s="76"/>
      <c r="J189" s="76"/>
      <c r="K189" s="76"/>
      <c r="L189" s="76"/>
      <c r="M189" s="76"/>
      <c r="N189" s="76"/>
      <c r="O189" s="75"/>
      <c r="P189" s="75"/>
      <c r="Q189" s="75"/>
      <c r="R189" s="75"/>
      <c r="S189" s="75"/>
      <c r="T189" s="75"/>
      <c r="U189" s="74"/>
    </row>
    <row r="190" spans="1:21" ht="17.25" customHeight="1" x14ac:dyDescent="0.3">
      <c r="A190" s="66" t="s">
        <v>30</v>
      </c>
      <c r="C190" s="67"/>
      <c r="D190" s="77"/>
      <c r="E190" s="77" t="s">
        <v>31</v>
      </c>
      <c r="F190" s="76" t="s">
        <v>31</v>
      </c>
      <c r="G190" s="76" t="s">
        <v>31</v>
      </c>
      <c r="H190" s="76"/>
      <c r="I190" s="76"/>
      <c r="J190" s="76" t="s">
        <v>31</v>
      </c>
      <c r="K190" s="76" t="s">
        <v>31</v>
      </c>
      <c r="L190" s="76" t="s">
        <v>31</v>
      </c>
      <c r="M190" s="76" t="s">
        <v>31</v>
      </c>
      <c r="N190" s="76"/>
      <c r="U190" s="81"/>
    </row>
    <row r="191" spans="1:21" ht="20.25" customHeight="1" x14ac:dyDescent="0.35">
      <c r="A191" s="66" t="s">
        <v>30</v>
      </c>
      <c r="C191" s="67"/>
      <c r="D191" s="92" t="str">
        <f t="shared" ref="D191" si="128">E191</f>
        <v>E100030</v>
      </c>
      <c r="E191" s="91" t="str">
        <f>"E100030"</f>
        <v>E100030</v>
      </c>
      <c r="F191" s="89" t="str">
        <f>"LED Keychain"</f>
        <v>LED Keychain</v>
      </c>
      <c r="G191" s="89"/>
      <c r="H191" s="90" t="str">
        <f>"EA"</f>
        <v>EA</v>
      </c>
      <c r="I191" s="89"/>
      <c r="J191" s="89"/>
      <c r="K191" s="89"/>
      <c r="L191" s="89"/>
      <c r="M191" s="89"/>
      <c r="N191" s="89"/>
      <c r="O191" s="88">
        <f>(SUBTOTAL(9,O192:O193))</f>
        <v>249.99999999999997</v>
      </c>
      <c r="P191" s="88">
        <f>(SUBTOTAL(9,P192:P193))</f>
        <v>0</v>
      </c>
      <c r="Q191" s="88">
        <f>(SUBTOTAL(9,Q192:Q193))</f>
        <v>0</v>
      </c>
      <c r="R191" s="88">
        <f>(SUBTOTAL(9,R192:R193))</f>
        <v>0</v>
      </c>
      <c r="S191" s="88">
        <f>(SUBTOTAL(9,S192:S193))</f>
        <v>0</v>
      </c>
      <c r="T191" s="88">
        <f>(SUBTOTAL(9,T192:T193))</f>
        <v>0</v>
      </c>
      <c r="U191" s="87">
        <f t="shared" ref="U191" si="129">SUBTOTAL(9,O192:T193)</f>
        <v>249.99999999999997</v>
      </c>
    </row>
    <row r="192" spans="1:21" ht="17.25" customHeight="1" x14ac:dyDescent="0.3">
      <c r="A192" s="66" t="s">
        <v>30</v>
      </c>
      <c r="C192" s="67"/>
      <c r="D192" s="77" t="str">
        <f t="shared" ref="D192" si="130">D191</f>
        <v>E100030</v>
      </c>
      <c r="E192" s="77"/>
      <c r="F192" s="76"/>
      <c r="G192" s="76" t="str">
        <f>"""NAV Direct"",""CRONUS JetCorp USA"",""32"",""1"",""168363"""</f>
        <v>"NAV Direct","CRONUS JetCorp USA","32","1","168363"</v>
      </c>
      <c r="H192" s="86">
        <v>43466</v>
      </c>
      <c r="I192" s="85">
        <v>168363</v>
      </c>
      <c r="J192" s="84" t="str">
        <f>"Vendor"</f>
        <v>Vendor</v>
      </c>
      <c r="K192" s="84" t="str">
        <f>"V100001"</f>
        <v>V100001</v>
      </c>
      <c r="L192" s="84" t="str">
        <f>IF($J192="Customer",_xll.NL("first",$J192,"Name","No.","@@"&amp;$K192),"")</f>
        <v/>
      </c>
      <c r="M192" s="84" t="str">
        <f>"Greigner, Inc."</f>
        <v>Greigner, Inc.</v>
      </c>
      <c r="N192" s="84" t="str">
        <f>IF($J192="Item",_xll.NL("first",$J192,"Description","No.","@@"&amp;$K192),"")</f>
        <v/>
      </c>
      <c r="O192" s="83">
        <v>249.99999999999997</v>
      </c>
      <c r="P192" s="83">
        <v>0</v>
      </c>
      <c r="Q192" s="83">
        <v>0</v>
      </c>
      <c r="R192" s="83">
        <v>0</v>
      </c>
      <c r="S192" s="83">
        <v>0</v>
      </c>
      <c r="T192" s="83">
        <v>0</v>
      </c>
      <c r="U192" s="82"/>
    </row>
    <row r="193" spans="1:21" ht="17.25" customHeight="1" x14ac:dyDescent="0.3">
      <c r="A193" s="66" t="s">
        <v>30</v>
      </c>
      <c r="C193" s="67"/>
      <c r="D193" s="77"/>
      <c r="E193" s="77"/>
      <c r="F193" s="76"/>
      <c r="G193" s="76"/>
      <c r="H193" s="76"/>
      <c r="I193" s="76"/>
      <c r="J193" s="76"/>
      <c r="K193" s="76"/>
      <c r="L193" s="76"/>
      <c r="M193" s="76"/>
      <c r="N193" s="76"/>
      <c r="O193" s="75"/>
      <c r="P193" s="75"/>
      <c r="Q193" s="75"/>
      <c r="R193" s="75"/>
      <c r="S193" s="75"/>
      <c r="T193" s="75"/>
      <c r="U193" s="74"/>
    </row>
    <row r="194" spans="1:21" ht="17.25" customHeight="1" x14ac:dyDescent="0.3">
      <c r="A194" s="66" t="s">
        <v>30</v>
      </c>
      <c r="C194" s="67"/>
      <c r="D194" s="77"/>
      <c r="E194" s="77" t="s">
        <v>31</v>
      </c>
      <c r="F194" s="76" t="s">
        <v>31</v>
      </c>
      <c r="G194" s="76" t="s">
        <v>31</v>
      </c>
      <c r="H194" s="76"/>
      <c r="I194" s="76"/>
      <c r="J194" s="76" t="s">
        <v>31</v>
      </c>
      <c r="K194" s="76" t="s">
        <v>31</v>
      </c>
      <c r="L194" s="76" t="s">
        <v>31</v>
      </c>
      <c r="M194" s="76" t="s">
        <v>31</v>
      </c>
      <c r="N194" s="76"/>
      <c r="U194" s="81"/>
    </row>
    <row r="195" spans="1:21" ht="20.25" customHeight="1" x14ac:dyDescent="0.35">
      <c r="A195" s="66" t="s">
        <v>30</v>
      </c>
      <c r="C195" s="67"/>
      <c r="D195" s="92" t="str">
        <f t="shared" ref="D195" si="131">E195</f>
        <v>E100032</v>
      </c>
      <c r="E195" s="91" t="str">
        <f>"E100032"</f>
        <v>E100032</v>
      </c>
      <c r="F195" s="89" t="str">
        <f>"Button Key-Light"</f>
        <v>Button Key-Light</v>
      </c>
      <c r="G195" s="89"/>
      <c r="H195" s="90" t="str">
        <f>"EA"</f>
        <v>EA</v>
      </c>
      <c r="I195" s="89"/>
      <c r="J195" s="89"/>
      <c r="K195" s="89"/>
      <c r="L195" s="89"/>
      <c r="M195" s="89"/>
      <c r="N195" s="89"/>
      <c r="O195" s="88">
        <f>(SUBTOTAL(9,O196:O197))</f>
        <v>0</v>
      </c>
      <c r="P195" s="88">
        <f>(SUBTOTAL(9,P196:P197))</f>
        <v>-144</v>
      </c>
      <c r="Q195" s="88">
        <f>(SUBTOTAL(9,Q196:Q197))</f>
        <v>0</v>
      </c>
      <c r="R195" s="88">
        <f>(SUBTOTAL(9,R196:R197))</f>
        <v>0</v>
      </c>
      <c r="S195" s="88">
        <f>(SUBTOTAL(9,S196:S197))</f>
        <v>0</v>
      </c>
      <c r="T195" s="88">
        <f>(SUBTOTAL(9,T196:T197))</f>
        <v>0</v>
      </c>
      <c r="U195" s="87">
        <f t="shared" ref="U195" si="132">SUBTOTAL(9,O196:T197)</f>
        <v>-144</v>
      </c>
    </row>
    <row r="196" spans="1:21" ht="17.25" customHeight="1" x14ac:dyDescent="0.3">
      <c r="A196" s="66" t="s">
        <v>30</v>
      </c>
      <c r="C196" s="67"/>
      <c r="D196" s="77" t="str">
        <f t="shared" ref="D196" si="133">D195</f>
        <v>E100032</v>
      </c>
      <c r="E196" s="77"/>
      <c r="F196" s="76"/>
      <c r="G196" s="76" t="str">
        <f>"""NAV Direct"",""CRONUS JetCorp USA"",""32"",""1"",""64628"""</f>
        <v>"NAV Direct","CRONUS JetCorp USA","32","1","64628"</v>
      </c>
      <c r="H196" s="86">
        <v>43475</v>
      </c>
      <c r="I196" s="85">
        <v>64628</v>
      </c>
      <c r="J196" s="84" t="str">
        <f>"Customer"</f>
        <v>Customer</v>
      </c>
      <c r="K196" s="84" t="str">
        <f>"C100136"</f>
        <v>C100136</v>
      </c>
      <c r="L196" s="84" t="str">
        <f>IF($J196="Customer",_xll.NL("first",$J196,"Name","No.","@@"&amp;$K196),"")</f>
        <v>First Bank</v>
      </c>
      <c r="M196" s="84" t="str">
        <f>""</f>
        <v/>
      </c>
      <c r="N196" s="84" t="str">
        <f>IF($J196="Item",_xll.NL("first",$J196,"Description","No.","@@"&amp;$K196),"")</f>
        <v/>
      </c>
      <c r="O196" s="83">
        <v>0</v>
      </c>
      <c r="P196" s="83">
        <v>-144</v>
      </c>
      <c r="Q196" s="83">
        <v>0</v>
      </c>
      <c r="R196" s="83">
        <v>0</v>
      </c>
      <c r="S196" s="83">
        <v>0</v>
      </c>
      <c r="T196" s="83">
        <v>0</v>
      </c>
      <c r="U196" s="82"/>
    </row>
    <row r="197" spans="1:21" ht="17.25" customHeight="1" x14ac:dyDescent="0.3">
      <c r="A197" s="66" t="s">
        <v>30</v>
      </c>
      <c r="C197" s="67"/>
      <c r="D197" s="77"/>
      <c r="E197" s="77"/>
      <c r="F197" s="76"/>
      <c r="G197" s="76"/>
      <c r="H197" s="76"/>
      <c r="I197" s="76"/>
      <c r="J197" s="76"/>
      <c r="K197" s="76"/>
      <c r="L197" s="76"/>
      <c r="M197" s="76"/>
      <c r="N197" s="76"/>
      <c r="O197" s="75"/>
      <c r="P197" s="75"/>
      <c r="Q197" s="75"/>
      <c r="R197" s="75"/>
      <c r="S197" s="75"/>
      <c r="T197" s="75"/>
      <c r="U197" s="74"/>
    </row>
    <row r="198" spans="1:21" ht="17.25" customHeight="1" x14ac:dyDescent="0.3">
      <c r="A198" s="66" t="s">
        <v>30</v>
      </c>
      <c r="C198" s="67"/>
      <c r="D198" s="77"/>
      <c r="E198" s="77" t="s">
        <v>31</v>
      </c>
      <c r="F198" s="76" t="s">
        <v>31</v>
      </c>
      <c r="G198" s="76" t="s">
        <v>31</v>
      </c>
      <c r="H198" s="76"/>
      <c r="I198" s="76"/>
      <c r="J198" s="76" t="s">
        <v>31</v>
      </c>
      <c r="K198" s="76" t="s">
        <v>31</v>
      </c>
      <c r="L198" s="76" t="s">
        <v>31</v>
      </c>
      <c r="M198" s="76" t="s">
        <v>31</v>
      </c>
      <c r="N198" s="76"/>
      <c r="U198" s="81"/>
    </row>
    <row r="199" spans="1:21" ht="20.25" customHeight="1" x14ac:dyDescent="0.35">
      <c r="A199" s="66" t="s">
        <v>30</v>
      </c>
      <c r="C199" s="67"/>
      <c r="D199" s="92" t="str">
        <f t="shared" ref="D199" si="134">E199</f>
        <v>E100033</v>
      </c>
      <c r="E199" s="91" t="str">
        <f>"E100033"</f>
        <v>E100033</v>
      </c>
      <c r="F199" s="89" t="str">
        <f>"Dual Source Flashlight"</f>
        <v>Dual Source Flashlight</v>
      </c>
      <c r="G199" s="89"/>
      <c r="H199" s="90" t="str">
        <f>"EA"</f>
        <v>EA</v>
      </c>
      <c r="I199" s="89"/>
      <c r="J199" s="89"/>
      <c r="K199" s="89"/>
      <c r="L199" s="89"/>
      <c r="M199" s="89"/>
      <c r="N199" s="89"/>
      <c r="O199" s="88">
        <f>(SUBTOTAL(9,O200:O203))</f>
        <v>249.99999999999997</v>
      </c>
      <c r="P199" s="88">
        <f>(SUBTOTAL(9,P200:P203))</f>
        <v>-192</v>
      </c>
      <c r="Q199" s="88">
        <f>(SUBTOTAL(9,Q200:Q203))</f>
        <v>0</v>
      </c>
      <c r="R199" s="88">
        <f>(SUBTOTAL(9,R200:R203))</f>
        <v>0</v>
      </c>
      <c r="S199" s="88">
        <f>(SUBTOTAL(9,S200:S203))</f>
        <v>0</v>
      </c>
      <c r="T199" s="88">
        <f>(SUBTOTAL(9,T200:T203))</f>
        <v>0</v>
      </c>
      <c r="U199" s="87">
        <f t="shared" ref="U199" si="135">SUBTOTAL(9,O200:T203)</f>
        <v>57.999999999999972</v>
      </c>
    </row>
    <row r="200" spans="1:21" ht="17.25" customHeight="1" x14ac:dyDescent="0.3">
      <c r="A200" s="66" t="s">
        <v>30</v>
      </c>
      <c r="C200" s="67"/>
      <c r="D200" s="77" t="str">
        <f t="shared" ref="D200" si="136">D199</f>
        <v>E100033</v>
      </c>
      <c r="E200" s="77"/>
      <c r="F200" s="76"/>
      <c r="G200" s="76" t="str">
        <f>"""NAV Direct"",""CRONUS JetCorp USA"",""32"",""1"",""168362"""</f>
        <v>"NAV Direct","CRONUS JetCorp USA","32","1","168362"</v>
      </c>
      <c r="H200" s="86">
        <v>43466</v>
      </c>
      <c r="I200" s="85">
        <v>168362</v>
      </c>
      <c r="J200" s="84" t="str">
        <f>"Vendor"</f>
        <v>Vendor</v>
      </c>
      <c r="K200" s="84" t="str">
        <f>"V100001"</f>
        <v>V100001</v>
      </c>
      <c r="L200" s="84" t="str">
        <f>IF($J200="Customer",_xll.NL("first",$J200,"Name","No.","@@"&amp;$K200),"")</f>
        <v/>
      </c>
      <c r="M200" s="84" t="str">
        <f>"Greigner, Inc."</f>
        <v>Greigner, Inc.</v>
      </c>
      <c r="N200" s="84" t="str">
        <f>IF($J200="Item",_xll.NL("first",$J200,"Description","No.","@@"&amp;$K200),"")</f>
        <v/>
      </c>
      <c r="O200" s="83">
        <v>249.99999999999997</v>
      </c>
      <c r="P200" s="83">
        <v>0</v>
      </c>
      <c r="Q200" s="83">
        <v>0</v>
      </c>
      <c r="R200" s="83">
        <v>0</v>
      </c>
      <c r="S200" s="83">
        <v>0</v>
      </c>
      <c r="T200" s="83">
        <v>0</v>
      </c>
      <c r="U200" s="82"/>
    </row>
    <row r="201" spans="1:21" ht="17.25" customHeight="1" x14ac:dyDescent="0.3">
      <c r="A201" s="66" t="s">
        <v>30</v>
      </c>
      <c r="C201" s="67"/>
      <c r="D201" s="77" t="str">
        <f t="shared" ref="D201:D202" si="137">D200</f>
        <v>E100033</v>
      </c>
      <c r="E201" s="77"/>
      <c r="F201" s="76"/>
      <c r="G201" s="76" t="str">
        <f>"""NAV Direct"",""CRONUS JetCorp USA"",""32"",""1"",""153195"""</f>
        <v>"NAV Direct","CRONUS JetCorp USA","32","1","153195"</v>
      </c>
      <c r="H201" s="86">
        <v>43469</v>
      </c>
      <c r="I201" s="85">
        <v>153195</v>
      </c>
      <c r="J201" s="84" t="str">
        <f>"Customer"</f>
        <v>Customer</v>
      </c>
      <c r="K201" s="84" t="str">
        <f>"C100136"</f>
        <v>C100136</v>
      </c>
      <c r="L201" s="84" t="str">
        <f>IF($J201="Customer",_xll.NL("first",$J201,"Name","No.","@@"&amp;$K201),"")</f>
        <v>First Bank</v>
      </c>
      <c r="M201" s="84" t="str">
        <f>""</f>
        <v/>
      </c>
      <c r="N201" s="84" t="str">
        <f>IF($J201="Item",_xll.NL("first",$J201,"Description","No.","@@"&amp;$K201),"")</f>
        <v/>
      </c>
      <c r="O201" s="83">
        <v>0</v>
      </c>
      <c r="P201" s="83">
        <v>-48</v>
      </c>
      <c r="Q201" s="83">
        <v>0</v>
      </c>
      <c r="R201" s="83">
        <v>0</v>
      </c>
      <c r="S201" s="83">
        <v>0</v>
      </c>
      <c r="T201" s="83">
        <v>0</v>
      </c>
      <c r="U201" s="82"/>
    </row>
    <row r="202" spans="1:21" ht="17.25" customHeight="1" x14ac:dyDescent="0.3">
      <c r="A202" s="66" t="s">
        <v>30</v>
      </c>
      <c r="C202" s="67"/>
      <c r="D202" s="77" t="str">
        <f t="shared" si="137"/>
        <v>E100033</v>
      </c>
      <c r="E202" s="77"/>
      <c r="F202" s="76"/>
      <c r="G202" s="76" t="str">
        <f>"""NAV Direct"",""CRONUS JetCorp USA"",""32"",""1"",""153165"""</f>
        <v>"NAV Direct","CRONUS JetCorp USA","32","1","153165"</v>
      </c>
      <c r="H202" s="86">
        <v>43470</v>
      </c>
      <c r="I202" s="85">
        <v>153165</v>
      </c>
      <c r="J202" s="84" t="str">
        <f>"Customer"</f>
        <v>Customer</v>
      </c>
      <c r="K202" s="84" t="str">
        <f>"C100136"</f>
        <v>C100136</v>
      </c>
      <c r="L202" s="84" t="str">
        <f>IF($J202="Customer",_xll.NL("first",$J202,"Name","No.","@@"&amp;$K202),"")</f>
        <v>First Bank</v>
      </c>
      <c r="M202" s="84" t="str">
        <f>""</f>
        <v/>
      </c>
      <c r="N202" s="84" t="str">
        <f>IF($J202="Item",_xll.NL("first",$J202,"Description","No.","@@"&amp;$K202),"")</f>
        <v/>
      </c>
      <c r="O202" s="83">
        <v>0</v>
      </c>
      <c r="P202" s="83">
        <v>-144</v>
      </c>
      <c r="Q202" s="83">
        <v>0</v>
      </c>
      <c r="R202" s="83">
        <v>0</v>
      </c>
      <c r="S202" s="83">
        <v>0</v>
      </c>
      <c r="T202" s="83">
        <v>0</v>
      </c>
      <c r="U202" s="82"/>
    </row>
    <row r="203" spans="1:21" ht="17.25" customHeight="1" x14ac:dyDescent="0.3">
      <c r="A203" s="66" t="s">
        <v>30</v>
      </c>
      <c r="C203" s="67"/>
      <c r="D203" s="77"/>
      <c r="E203" s="77"/>
      <c r="F203" s="76"/>
      <c r="G203" s="76"/>
      <c r="H203" s="76"/>
      <c r="I203" s="76"/>
      <c r="J203" s="76"/>
      <c r="K203" s="76"/>
      <c r="L203" s="76"/>
      <c r="M203" s="76"/>
      <c r="N203" s="76"/>
      <c r="O203" s="75"/>
      <c r="P203" s="75"/>
      <c r="Q203" s="75"/>
      <c r="R203" s="75"/>
      <c r="S203" s="75"/>
      <c r="T203" s="75"/>
      <c r="U203" s="74"/>
    </row>
    <row r="204" spans="1:21" ht="17.25" customHeight="1" x14ac:dyDescent="0.3">
      <c r="A204" s="66" t="s">
        <v>30</v>
      </c>
      <c r="C204" s="67"/>
      <c r="D204" s="77"/>
      <c r="E204" s="77" t="s">
        <v>31</v>
      </c>
      <c r="F204" s="76" t="s">
        <v>31</v>
      </c>
      <c r="G204" s="76" t="s">
        <v>31</v>
      </c>
      <c r="H204" s="76"/>
      <c r="I204" s="76"/>
      <c r="J204" s="76" t="s">
        <v>31</v>
      </c>
      <c r="K204" s="76" t="s">
        <v>31</v>
      </c>
      <c r="L204" s="76" t="s">
        <v>31</v>
      </c>
      <c r="M204" s="76" t="s">
        <v>31</v>
      </c>
      <c r="N204" s="76"/>
      <c r="U204" s="81"/>
    </row>
    <row r="205" spans="1:21" ht="20.25" customHeight="1" x14ac:dyDescent="0.35">
      <c r="A205" s="66" t="s">
        <v>30</v>
      </c>
      <c r="C205" s="67"/>
      <c r="D205" s="92" t="str">
        <f t="shared" ref="D205" si="138">E205</f>
        <v>E100034</v>
      </c>
      <c r="E205" s="91" t="str">
        <f>"E100034"</f>
        <v>E100034</v>
      </c>
      <c r="F205" s="89" t="str">
        <f>"Bamboo 1GB USB Flash Drive"</f>
        <v>Bamboo 1GB USB Flash Drive</v>
      </c>
      <c r="G205" s="89"/>
      <c r="H205" s="90" t="str">
        <f>"EA"</f>
        <v>EA</v>
      </c>
      <c r="I205" s="89"/>
      <c r="J205" s="89"/>
      <c r="K205" s="89"/>
      <c r="L205" s="89"/>
      <c r="M205" s="89"/>
      <c r="N205" s="89"/>
      <c r="O205" s="88">
        <f>(SUBTOTAL(9,O206:O207))</f>
        <v>249.99999999999997</v>
      </c>
      <c r="P205" s="88">
        <f>(SUBTOTAL(9,P206:P207))</f>
        <v>0</v>
      </c>
      <c r="Q205" s="88">
        <f>(SUBTOTAL(9,Q206:Q207))</f>
        <v>0</v>
      </c>
      <c r="R205" s="88">
        <f>(SUBTOTAL(9,R206:R207))</f>
        <v>0</v>
      </c>
      <c r="S205" s="88">
        <f>(SUBTOTAL(9,S206:S207))</f>
        <v>0</v>
      </c>
      <c r="T205" s="88">
        <f>(SUBTOTAL(9,T206:T207))</f>
        <v>0</v>
      </c>
      <c r="U205" s="87">
        <f t="shared" ref="U205" si="139">SUBTOTAL(9,O206:T207)</f>
        <v>249.99999999999997</v>
      </c>
    </row>
    <row r="206" spans="1:21" ht="17.25" customHeight="1" x14ac:dyDescent="0.3">
      <c r="A206" s="66" t="s">
        <v>30</v>
      </c>
      <c r="C206" s="67"/>
      <c r="D206" s="77" t="str">
        <f t="shared" ref="D206" si="140">D205</f>
        <v>E100034</v>
      </c>
      <c r="E206" s="77"/>
      <c r="F206" s="76"/>
      <c r="G206" s="76" t="str">
        <f>"""NAV Direct"",""CRONUS JetCorp USA"",""32"",""1"",""168361"""</f>
        <v>"NAV Direct","CRONUS JetCorp USA","32","1","168361"</v>
      </c>
      <c r="H206" s="86">
        <v>43466</v>
      </c>
      <c r="I206" s="85">
        <v>168361</v>
      </c>
      <c r="J206" s="84" t="str">
        <f>"Vendor"</f>
        <v>Vendor</v>
      </c>
      <c r="K206" s="84" t="str">
        <f>"V100001"</f>
        <v>V100001</v>
      </c>
      <c r="L206" s="84" t="str">
        <f>IF($J206="Customer",_xll.NL("first",$J206,"Name","No.","@@"&amp;$K206),"")</f>
        <v/>
      </c>
      <c r="M206" s="84" t="str">
        <f>"Greigner, Inc."</f>
        <v>Greigner, Inc.</v>
      </c>
      <c r="N206" s="84" t="str">
        <f>IF($J206="Item",_xll.NL("first",$J206,"Description","No.","@@"&amp;$K206),"")</f>
        <v/>
      </c>
      <c r="O206" s="83">
        <v>249.99999999999997</v>
      </c>
      <c r="P206" s="83">
        <v>0</v>
      </c>
      <c r="Q206" s="83">
        <v>0</v>
      </c>
      <c r="R206" s="83">
        <v>0</v>
      </c>
      <c r="S206" s="83">
        <v>0</v>
      </c>
      <c r="T206" s="83">
        <v>0</v>
      </c>
      <c r="U206" s="82"/>
    </row>
    <row r="207" spans="1:21" ht="17.25" customHeight="1" x14ac:dyDescent="0.3">
      <c r="A207" s="66" t="s">
        <v>30</v>
      </c>
      <c r="C207" s="67"/>
      <c r="D207" s="77"/>
      <c r="E207" s="77"/>
      <c r="F207" s="76"/>
      <c r="G207" s="76"/>
      <c r="H207" s="76"/>
      <c r="I207" s="76"/>
      <c r="J207" s="76"/>
      <c r="K207" s="76"/>
      <c r="L207" s="76"/>
      <c r="M207" s="76"/>
      <c r="N207" s="76"/>
      <c r="O207" s="75"/>
      <c r="P207" s="75"/>
      <c r="Q207" s="75"/>
      <c r="R207" s="75"/>
      <c r="S207" s="75"/>
      <c r="T207" s="75"/>
      <c r="U207" s="74"/>
    </row>
    <row r="208" spans="1:21" ht="17.25" customHeight="1" x14ac:dyDescent="0.3">
      <c r="A208" s="66" t="s">
        <v>30</v>
      </c>
      <c r="C208" s="67"/>
      <c r="D208" s="77"/>
      <c r="E208" s="77" t="s">
        <v>31</v>
      </c>
      <c r="F208" s="76" t="s">
        <v>31</v>
      </c>
      <c r="G208" s="76" t="s">
        <v>31</v>
      </c>
      <c r="H208" s="76"/>
      <c r="I208" s="76"/>
      <c r="J208" s="76" t="s">
        <v>31</v>
      </c>
      <c r="K208" s="76" t="s">
        <v>31</v>
      </c>
      <c r="L208" s="76" t="s">
        <v>31</v>
      </c>
      <c r="M208" s="76" t="s">
        <v>31</v>
      </c>
      <c r="N208" s="76"/>
      <c r="U208" s="81"/>
    </row>
    <row r="209" spans="1:21" ht="20.25" customHeight="1" x14ac:dyDescent="0.35">
      <c r="A209" s="66" t="s">
        <v>30</v>
      </c>
      <c r="C209" s="67"/>
      <c r="D209" s="92" t="str">
        <f t="shared" ref="D209" si="141">E209</f>
        <v>E100040</v>
      </c>
      <c r="E209" s="91" t="str">
        <f>"E100040"</f>
        <v>E100040</v>
      </c>
      <c r="F209" s="89" t="str">
        <f>"Wave Mug"</f>
        <v>Wave Mug</v>
      </c>
      <c r="G209" s="89"/>
      <c r="H209" s="90" t="str">
        <f>"EA"</f>
        <v>EA</v>
      </c>
      <c r="I209" s="89"/>
      <c r="J209" s="89"/>
      <c r="K209" s="89"/>
      <c r="L209" s="89"/>
      <c r="M209" s="89"/>
      <c r="N209" s="89"/>
      <c r="O209" s="88">
        <f>(SUBTOTAL(9,O210:O211))</f>
        <v>249.99999999999997</v>
      </c>
      <c r="P209" s="88">
        <f>(SUBTOTAL(9,P210:P211))</f>
        <v>0</v>
      </c>
      <c r="Q209" s="88">
        <f>(SUBTOTAL(9,Q210:Q211))</f>
        <v>0</v>
      </c>
      <c r="R209" s="88">
        <f>(SUBTOTAL(9,R210:R211))</f>
        <v>0</v>
      </c>
      <c r="S209" s="88">
        <f>(SUBTOTAL(9,S210:S211))</f>
        <v>0</v>
      </c>
      <c r="T209" s="88">
        <f>(SUBTOTAL(9,T210:T211))</f>
        <v>0</v>
      </c>
      <c r="U209" s="87">
        <f t="shared" ref="U209" si="142">SUBTOTAL(9,O210:T211)</f>
        <v>249.99999999999997</v>
      </c>
    </row>
    <row r="210" spans="1:21" ht="17.25" customHeight="1" x14ac:dyDescent="0.3">
      <c r="A210" s="66" t="s">
        <v>30</v>
      </c>
      <c r="C210" s="67"/>
      <c r="D210" s="77" t="str">
        <f t="shared" ref="D210" si="143">D209</f>
        <v>E100040</v>
      </c>
      <c r="E210" s="77"/>
      <c r="F210" s="76"/>
      <c r="G210" s="76" t="str">
        <f>"""NAV Direct"",""CRONUS JetCorp USA"",""32"",""1"",""168679"""</f>
        <v>"NAV Direct","CRONUS JetCorp USA","32","1","168679"</v>
      </c>
      <c r="H210" s="86">
        <v>43466</v>
      </c>
      <c r="I210" s="85">
        <v>168679</v>
      </c>
      <c r="J210" s="84" t="str">
        <f>"Vendor"</f>
        <v>Vendor</v>
      </c>
      <c r="K210" s="84" t="str">
        <f>"V100001"</f>
        <v>V100001</v>
      </c>
      <c r="L210" s="84" t="str">
        <f>IF($J210="Customer",_xll.NL("first",$J210,"Name","No.","@@"&amp;$K210),"")</f>
        <v/>
      </c>
      <c r="M210" s="84" t="str">
        <f>"Greigner, Inc."</f>
        <v>Greigner, Inc.</v>
      </c>
      <c r="N210" s="84" t="str">
        <f>IF($J210="Item",_xll.NL("first",$J210,"Description","No.","@@"&amp;$K210),"")</f>
        <v/>
      </c>
      <c r="O210" s="83">
        <v>249.99999999999997</v>
      </c>
      <c r="P210" s="83">
        <v>0</v>
      </c>
      <c r="Q210" s="83">
        <v>0</v>
      </c>
      <c r="R210" s="83">
        <v>0</v>
      </c>
      <c r="S210" s="83">
        <v>0</v>
      </c>
      <c r="T210" s="83">
        <v>0</v>
      </c>
      <c r="U210" s="82"/>
    </row>
    <row r="211" spans="1:21" ht="17.25" customHeight="1" x14ac:dyDescent="0.3">
      <c r="A211" s="66" t="s">
        <v>30</v>
      </c>
      <c r="C211" s="67"/>
      <c r="D211" s="77"/>
      <c r="E211" s="77"/>
      <c r="F211" s="76"/>
      <c r="G211" s="76"/>
      <c r="H211" s="76"/>
      <c r="I211" s="76"/>
      <c r="J211" s="76"/>
      <c r="K211" s="76"/>
      <c r="L211" s="76"/>
      <c r="M211" s="76"/>
      <c r="N211" s="76"/>
      <c r="O211" s="75"/>
      <c r="P211" s="75"/>
      <c r="Q211" s="75"/>
      <c r="R211" s="75"/>
      <c r="S211" s="75"/>
      <c r="T211" s="75"/>
      <c r="U211" s="74"/>
    </row>
    <row r="212" spans="1:21" ht="17.25" customHeight="1" x14ac:dyDescent="0.3">
      <c r="A212" s="66" t="s">
        <v>30</v>
      </c>
      <c r="C212" s="67"/>
      <c r="D212" s="77"/>
      <c r="E212" s="77" t="s">
        <v>31</v>
      </c>
      <c r="F212" s="76" t="s">
        <v>31</v>
      </c>
      <c r="G212" s="76" t="s">
        <v>31</v>
      </c>
      <c r="H212" s="76"/>
      <c r="I212" s="76"/>
      <c r="J212" s="76" t="s">
        <v>31</v>
      </c>
      <c r="K212" s="76" t="s">
        <v>31</v>
      </c>
      <c r="L212" s="76" t="s">
        <v>31</v>
      </c>
      <c r="M212" s="76" t="s">
        <v>31</v>
      </c>
      <c r="N212" s="76"/>
      <c r="U212" s="81"/>
    </row>
    <row r="213" spans="1:21" ht="20.25" customHeight="1" x14ac:dyDescent="0.35">
      <c r="A213" s="66" t="s">
        <v>30</v>
      </c>
      <c r="C213" s="67"/>
      <c r="D213" s="92" t="str">
        <f t="shared" ref="D213" si="144">E213</f>
        <v>E100041</v>
      </c>
      <c r="E213" s="91" t="str">
        <f>"E100041"</f>
        <v>E100041</v>
      </c>
      <c r="F213" s="89" t="str">
        <f>"Biodegradable Colored SPORT BOT"</f>
        <v>Biodegradable Colored SPORT BOT</v>
      </c>
      <c r="G213" s="89"/>
      <c r="H213" s="90" t="str">
        <f>"EA"</f>
        <v>EA</v>
      </c>
      <c r="I213" s="89"/>
      <c r="J213" s="89"/>
      <c r="K213" s="89"/>
      <c r="L213" s="89"/>
      <c r="M213" s="89"/>
      <c r="N213" s="89"/>
      <c r="O213" s="88">
        <f>(SUBTOTAL(9,O214:O215))</f>
        <v>249.99999999999997</v>
      </c>
      <c r="P213" s="88">
        <f>(SUBTOTAL(9,P214:P215))</f>
        <v>0</v>
      </c>
      <c r="Q213" s="88">
        <f>(SUBTOTAL(9,Q214:Q215))</f>
        <v>0</v>
      </c>
      <c r="R213" s="88">
        <f>(SUBTOTAL(9,R214:R215))</f>
        <v>0</v>
      </c>
      <c r="S213" s="88">
        <f>(SUBTOTAL(9,S214:S215))</f>
        <v>0</v>
      </c>
      <c r="T213" s="88">
        <f>(SUBTOTAL(9,T214:T215))</f>
        <v>0</v>
      </c>
      <c r="U213" s="87">
        <f t="shared" ref="U213" si="145">SUBTOTAL(9,O214:T215)</f>
        <v>249.99999999999997</v>
      </c>
    </row>
    <row r="214" spans="1:21" ht="17.25" customHeight="1" x14ac:dyDescent="0.3">
      <c r="A214" s="66" t="s">
        <v>30</v>
      </c>
      <c r="C214" s="67"/>
      <c r="D214" s="77" t="str">
        <f t="shared" ref="D214" si="146">D213</f>
        <v>E100041</v>
      </c>
      <c r="E214" s="77"/>
      <c r="F214" s="76"/>
      <c r="G214" s="76" t="str">
        <f>"""NAV Direct"",""CRONUS JetCorp USA"",""32"",""1"",""168678"""</f>
        <v>"NAV Direct","CRONUS JetCorp USA","32","1","168678"</v>
      </c>
      <c r="H214" s="86">
        <v>43466</v>
      </c>
      <c r="I214" s="85">
        <v>168678</v>
      </c>
      <c r="J214" s="84" t="str">
        <f>"Vendor"</f>
        <v>Vendor</v>
      </c>
      <c r="K214" s="84" t="str">
        <f>"V100001"</f>
        <v>V100001</v>
      </c>
      <c r="L214" s="84" t="str">
        <f>IF($J214="Customer",_xll.NL("first",$J214,"Name","No.","@@"&amp;$K214),"")</f>
        <v/>
      </c>
      <c r="M214" s="84" t="str">
        <f>"Greigner, Inc."</f>
        <v>Greigner, Inc.</v>
      </c>
      <c r="N214" s="84" t="str">
        <f>IF($J214="Item",_xll.NL("first",$J214,"Description","No.","@@"&amp;$K214),"")</f>
        <v/>
      </c>
      <c r="O214" s="83">
        <v>249.99999999999997</v>
      </c>
      <c r="P214" s="83">
        <v>0</v>
      </c>
      <c r="Q214" s="83">
        <v>0</v>
      </c>
      <c r="R214" s="83">
        <v>0</v>
      </c>
      <c r="S214" s="83">
        <v>0</v>
      </c>
      <c r="T214" s="83">
        <v>0</v>
      </c>
      <c r="U214" s="82"/>
    </row>
    <row r="215" spans="1:21" ht="17.25" customHeight="1" x14ac:dyDescent="0.3">
      <c r="A215" s="66" t="s">
        <v>30</v>
      </c>
      <c r="C215" s="67"/>
      <c r="D215" s="77"/>
      <c r="E215" s="77"/>
      <c r="F215" s="76"/>
      <c r="G215" s="76"/>
      <c r="H215" s="76"/>
      <c r="I215" s="76"/>
      <c r="J215" s="76"/>
      <c r="K215" s="76"/>
      <c r="L215" s="76"/>
      <c r="M215" s="76"/>
      <c r="N215" s="76"/>
      <c r="O215" s="75"/>
      <c r="P215" s="75"/>
      <c r="Q215" s="75"/>
      <c r="R215" s="75"/>
      <c r="S215" s="75"/>
      <c r="T215" s="75"/>
      <c r="U215" s="74"/>
    </row>
    <row r="216" spans="1:21" ht="17.25" customHeight="1" x14ac:dyDescent="0.3">
      <c r="A216" s="66" t="s">
        <v>30</v>
      </c>
      <c r="C216" s="67"/>
      <c r="D216" s="77"/>
      <c r="E216" s="77" t="s">
        <v>31</v>
      </c>
      <c r="F216" s="76" t="s">
        <v>31</v>
      </c>
      <c r="G216" s="76" t="s">
        <v>31</v>
      </c>
      <c r="H216" s="76"/>
      <c r="I216" s="76"/>
      <c r="J216" s="76" t="s">
        <v>31</v>
      </c>
      <c r="K216" s="76" t="s">
        <v>31</v>
      </c>
      <c r="L216" s="76" t="s">
        <v>31</v>
      </c>
      <c r="M216" s="76" t="s">
        <v>31</v>
      </c>
      <c r="N216" s="76"/>
      <c r="U216" s="81"/>
    </row>
    <row r="217" spans="1:21" ht="20.25" customHeight="1" x14ac:dyDescent="0.35">
      <c r="A217" s="66" t="s">
        <v>30</v>
      </c>
      <c r="C217" s="67"/>
      <c r="D217" s="92" t="str">
        <f t="shared" ref="D217" si="147">E217</f>
        <v>E100042</v>
      </c>
      <c r="E217" s="91" t="str">
        <f>"E100042"</f>
        <v>E100042</v>
      </c>
      <c r="F217" s="89" t="str">
        <f>"Soft Touch Travel Mug"</f>
        <v>Soft Touch Travel Mug</v>
      </c>
      <c r="G217" s="89"/>
      <c r="H217" s="90" t="str">
        <f>"EA"</f>
        <v>EA</v>
      </c>
      <c r="I217" s="89"/>
      <c r="J217" s="89"/>
      <c r="K217" s="89"/>
      <c r="L217" s="89"/>
      <c r="M217" s="89"/>
      <c r="N217" s="89"/>
      <c r="O217" s="88">
        <f>(SUBTOTAL(9,O218:O219))</f>
        <v>249.99999999999997</v>
      </c>
      <c r="P217" s="88">
        <f>(SUBTOTAL(9,P218:P219))</f>
        <v>0</v>
      </c>
      <c r="Q217" s="88">
        <f>(SUBTOTAL(9,Q218:Q219))</f>
        <v>0</v>
      </c>
      <c r="R217" s="88">
        <f>(SUBTOTAL(9,R218:R219))</f>
        <v>0</v>
      </c>
      <c r="S217" s="88">
        <f>(SUBTOTAL(9,S218:S219))</f>
        <v>0</v>
      </c>
      <c r="T217" s="88">
        <f>(SUBTOTAL(9,T218:T219))</f>
        <v>0</v>
      </c>
      <c r="U217" s="87">
        <f t="shared" ref="U217" si="148">SUBTOTAL(9,O218:T219)</f>
        <v>249.99999999999997</v>
      </c>
    </row>
    <row r="218" spans="1:21" ht="17.25" customHeight="1" x14ac:dyDescent="0.3">
      <c r="A218" s="66" t="s">
        <v>30</v>
      </c>
      <c r="C218" s="67"/>
      <c r="D218" s="77" t="str">
        <f t="shared" ref="D218" si="149">D217</f>
        <v>E100042</v>
      </c>
      <c r="E218" s="77"/>
      <c r="F218" s="76"/>
      <c r="G218" s="76" t="str">
        <f>"""NAV Direct"",""CRONUS JetCorp USA"",""32"",""1"",""168677"""</f>
        <v>"NAV Direct","CRONUS JetCorp USA","32","1","168677"</v>
      </c>
      <c r="H218" s="86">
        <v>43466</v>
      </c>
      <c r="I218" s="85">
        <v>168677</v>
      </c>
      <c r="J218" s="84" t="str">
        <f>"Vendor"</f>
        <v>Vendor</v>
      </c>
      <c r="K218" s="84" t="str">
        <f>"V100001"</f>
        <v>V100001</v>
      </c>
      <c r="L218" s="84" t="str">
        <f>IF($J218="Customer",_xll.NL("first",$J218,"Name","No.","@@"&amp;$K218),"")</f>
        <v/>
      </c>
      <c r="M218" s="84" t="str">
        <f>"Greigner, Inc."</f>
        <v>Greigner, Inc.</v>
      </c>
      <c r="N218" s="84" t="str">
        <f>IF($J218="Item",_xll.NL("first",$J218,"Description","No.","@@"&amp;$K218),"")</f>
        <v/>
      </c>
      <c r="O218" s="83">
        <v>249.99999999999997</v>
      </c>
      <c r="P218" s="83">
        <v>0</v>
      </c>
      <c r="Q218" s="83">
        <v>0</v>
      </c>
      <c r="R218" s="83">
        <v>0</v>
      </c>
      <c r="S218" s="83">
        <v>0</v>
      </c>
      <c r="T218" s="83">
        <v>0</v>
      </c>
      <c r="U218" s="82"/>
    </row>
    <row r="219" spans="1:21" ht="17.25" customHeight="1" x14ac:dyDescent="0.3">
      <c r="A219" s="66" t="s">
        <v>30</v>
      </c>
      <c r="C219" s="67"/>
      <c r="D219" s="77"/>
      <c r="E219" s="77"/>
      <c r="F219" s="76"/>
      <c r="G219" s="76"/>
      <c r="H219" s="76"/>
      <c r="I219" s="76"/>
      <c r="J219" s="76"/>
      <c r="K219" s="76"/>
      <c r="L219" s="76"/>
      <c r="M219" s="76"/>
      <c r="N219" s="76"/>
      <c r="O219" s="75"/>
      <c r="P219" s="75"/>
      <c r="Q219" s="75"/>
      <c r="R219" s="75"/>
      <c r="S219" s="75"/>
      <c r="T219" s="75"/>
      <c r="U219" s="74"/>
    </row>
    <row r="220" spans="1:21" ht="17.25" customHeight="1" x14ac:dyDescent="0.3">
      <c r="A220" s="66" t="s">
        <v>30</v>
      </c>
      <c r="C220" s="67"/>
      <c r="D220" s="77"/>
      <c r="E220" s="77" t="s">
        <v>31</v>
      </c>
      <c r="F220" s="76" t="s">
        <v>31</v>
      </c>
      <c r="G220" s="76" t="s">
        <v>31</v>
      </c>
      <c r="H220" s="76"/>
      <c r="I220" s="76"/>
      <c r="J220" s="76" t="s">
        <v>31</v>
      </c>
      <c r="K220" s="76" t="s">
        <v>31</v>
      </c>
      <c r="L220" s="76" t="s">
        <v>31</v>
      </c>
      <c r="M220" s="76" t="s">
        <v>31</v>
      </c>
      <c r="N220" s="76"/>
      <c r="U220" s="81"/>
    </row>
    <row r="221" spans="1:21" ht="20.25" customHeight="1" x14ac:dyDescent="0.35">
      <c r="A221" s="66" t="s">
        <v>30</v>
      </c>
      <c r="C221" s="67"/>
      <c r="D221" s="92" t="str">
        <f t="shared" ref="D221" si="150">E221</f>
        <v>E100043</v>
      </c>
      <c r="E221" s="91" t="str">
        <f>"E100043"</f>
        <v>E100043</v>
      </c>
      <c r="F221" s="89" t="str">
        <f>"Pub Glass"</f>
        <v>Pub Glass</v>
      </c>
      <c r="G221" s="89"/>
      <c r="H221" s="90" t="str">
        <f>"EA"</f>
        <v>EA</v>
      </c>
      <c r="I221" s="89"/>
      <c r="J221" s="89"/>
      <c r="K221" s="89"/>
      <c r="L221" s="89"/>
      <c r="M221" s="89"/>
      <c r="N221" s="89"/>
      <c r="O221" s="88">
        <f>(SUBTOTAL(9,O222:O223))</f>
        <v>499.99999999999994</v>
      </c>
      <c r="P221" s="88">
        <f>(SUBTOTAL(9,P222:P223))</f>
        <v>0</v>
      </c>
      <c r="Q221" s="88">
        <f>(SUBTOTAL(9,Q222:Q223))</f>
        <v>0</v>
      </c>
      <c r="R221" s="88">
        <f>(SUBTOTAL(9,R222:R223))</f>
        <v>0</v>
      </c>
      <c r="S221" s="88">
        <f>(SUBTOTAL(9,S222:S223))</f>
        <v>0</v>
      </c>
      <c r="T221" s="88">
        <f>(SUBTOTAL(9,T222:T223))</f>
        <v>0</v>
      </c>
      <c r="U221" s="87">
        <f t="shared" ref="U221" si="151">SUBTOTAL(9,O222:T223)</f>
        <v>499.99999999999994</v>
      </c>
    </row>
    <row r="222" spans="1:21" ht="17.25" customHeight="1" x14ac:dyDescent="0.3">
      <c r="A222" s="66" t="s">
        <v>30</v>
      </c>
      <c r="C222" s="67"/>
      <c r="D222" s="77" t="str">
        <f t="shared" ref="D222" si="152">D221</f>
        <v>E100043</v>
      </c>
      <c r="E222" s="77"/>
      <c r="F222" s="76"/>
      <c r="G222" s="76" t="str">
        <f>"""NAV Direct"",""CRONUS JetCorp USA"",""32"",""1"",""168676"""</f>
        <v>"NAV Direct","CRONUS JetCorp USA","32","1","168676"</v>
      </c>
      <c r="H222" s="86">
        <v>43466</v>
      </c>
      <c r="I222" s="85">
        <v>168676</v>
      </c>
      <c r="J222" s="84" t="str">
        <f>"Vendor"</f>
        <v>Vendor</v>
      </c>
      <c r="K222" s="84" t="str">
        <f>"V100001"</f>
        <v>V100001</v>
      </c>
      <c r="L222" s="84" t="str">
        <f>IF($J222="Customer",_xll.NL("first",$J222,"Name","No.","@@"&amp;$K222),"")</f>
        <v/>
      </c>
      <c r="M222" s="84" t="str">
        <f>"Greigner, Inc."</f>
        <v>Greigner, Inc.</v>
      </c>
      <c r="N222" s="84" t="str">
        <f>IF($J222="Item",_xll.NL("first",$J222,"Description","No.","@@"&amp;$K222),"")</f>
        <v/>
      </c>
      <c r="O222" s="83">
        <v>499.99999999999994</v>
      </c>
      <c r="P222" s="83">
        <v>0</v>
      </c>
      <c r="Q222" s="83">
        <v>0</v>
      </c>
      <c r="R222" s="83">
        <v>0</v>
      </c>
      <c r="S222" s="83">
        <v>0</v>
      </c>
      <c r="T222" s="83">
        <v>0</v>
      </c>
      <c r="U222" s="82"/>
    </row>
    <row r="223" spans="1:21" ht="17.25" customHeight="1" x14ac:dyDescent="0.3">
      <c r="A223" s="66" t="s">
        <v>30</v>
      </c>
      <c r="C223" s="67"/>
      <c r="D223" s="77"/>
      <c r="E223" s="77"/>
      <c r="F223" s="76"/>
      <c r="G223" s="76"/>
      <c r="H223" s="76"/>
      <c r="I223" s="76"/>
      <c r="J223" s="76"/>
      <c r="K223" s="76"/>
      <c r="L223" s="76"/>
      <c r="M223" s="76"/>
      <c r="N223" s="76"/>
      <c r="O223" s="75"/>
      <c r="P223" s="75"/>
      <c r="Q223" s="75"/>
      <c r="R223" s="75"/>
      <c r="S223" s="75"/>
      <c r="T223" s="75"/>
      <c r="U223" s="74"/>
    </row>
    <row r="224" spans="1:21" ht="17.25" customHeight="1" x14ac:dyDescent="0.3">
      <c r="A224" s="66" t="s">
        <v>30</v>
      </c>
      <c r="C224" s="67"/>
      <c r="D224" s="77"/>
      <c r="E224" s="77" t="s">
        <v>31</v>
      </c>
      <c r="F224" s="76" t="s">
        <v>31</v>
      </c>
      <c r="G224" s="76" t="s">
        <v>31</v>
      </c>
      <c r="H224" s="76"/>
      <c r="I224" s="76"/>
      <c r="J224" s="76" t="s">
        <v>31</v>
      </c>
      <c r="K224" s="76" t="s">
        <v>31</v>
      </c>
      <c r="L224" s="76" t="s">
        <v>31</v>
      </c>
      <c r="M224" s="76" t="s">
        <v>31</v>
      </c>
      <c r="N224" s="76"/>
      <c r="U224" s="81"/>
    </row>
    <row r="225" spans="1:21" ht="20.25" customHeight="1" x14ac:dyDescent="0.35">
      <c r="A225" s="66" t="s">
        <v>30</v>
      </c>
      <c r="C225" s="67"/>
      <c r="D225" s="92" t="str">
        <f t="shared" ref="D225" si="153">E225</f>
        <v>E100044</v>
      </c>
      <c r="E225" s="91" t="str">
        <f>"E100044"</f>
        <v>E100044</v>
      </c>
      <c r="F225" s="89" t="str">
        <f>"Juice Glass"</f>
        <v>Juice Glass</v>
      </c>
      <c r="G225" s="89"/>
      <c r="H225" s="90" t="str">
        <f>"EA"</f>
        <v>EA</v>
      </c>
      <c r="I225" s="89"/>
      <c r="J225" s="89"/>
      <c r="K225" s="89"/>
      <c r="L225" s="89"/>
      <c r="M225" s="89"/>
      <c r="N225" s="89"/>
      <c r="O225" s="88">
        <f>(SUBTOTAL(9,O226:O227))</f>
        <v>249.99999999999997</v>
      </c>
      <c r="P225" s="88">
        <f>(SUBTOTAL(9,P226:P227))</f>
        <v>0</v>
      </c>
      <c r="Q225" s="88">
        <f>(SUBTOTAL(9,Q226:Q227))</f>
        <v>0</v>
      </c>
      <c r="R225" s="88">
        <f>(SUBTOTAL(9,R226:R227))</f>
        <v>0</v>
      </c>
      <c r="S225" s="88">
        <f>(SUBTOTAL(9,S226:S227))</f>
        <v>0</v>
      </c>
      <c r="T225" s="88">
        <f>(SUBTOTAL(9,T226:T227))</f>
        <v>0</v>
      </c>
      <c r="U225" s="87">
        <f t="shared" ref="U225" si="154">SUBTOTAL(9,O226:T227)</f>
        <v>249.99999999999997</v>
      </c>
    </row>
    <row r="226" spans="1:21" ht="17.25" customHeight="1" x14ac:dyDescent="0.3">
      <c r="A226" s="66" t="s">
        <v>30</v>
      </c>
      <c r="C226" s="67"/>
      <c r="D226" s="77" t="str">
        <f t="shared" ref="D226" si="155">D225</f>
        <v>E100044</v>
      </c>
      <c r="E226" s="77"/>
      <c r="F226" s="76"/>
      <c r="G226" s="76" t="str">
        <f>"""NAV Direct"",""CRONUS JetCorp USA"",""32"",""1"",""168675"""</f>
        <v>"NAV Direct","CRONUS JetCorp USA","32","1","168675"</v>
      </c>
      <c r="H226" s="86">
        <v>43466</v>
      </c>
      <c r="I226" s="85">
        <v>168675</v>
      </c>
      <c r="J226" s="84" t="str">
        <f>"Vendor"</f>
        <v>Vendor</v>
      </c>
      <c r="K226" s="84" t="str">
        <f>"V100001"</f>
        <v>V100001</v>
      </c>
      <c r="L226" s="84" t="str">
        <f>IF($J226="Customer",_xll.NL("first",$J226,"Name","No.","@@"&amp;$K226),"")</f>
        <v/>
      </c>
      <c r="M226" s="84" t="str">
        <f>"Greigner, Inc."</f>
        <v>Greigner, Inc.</v>
      </c>
      <c r="N226" s="84" t="str">
        <f>IF($J226="Item",_xll.NL("first",$J226,"Description","No.","@@"&amp;$K226),"")</f>
        <v/>
      </c>
      <c r="O226" s="83">
        <v>249.99999999999997</v>
      </c>
      <c r="P226" s="83">
        <v>0</v>
      </c>
      <c r="Q226" s="83">
        <v>0</v>
      </c>
      <c r="R226" s="83">
        <v>0</v>
      </c>
      <c r="S226" s="83">
        <v>0</v>
      </c>
      <c r="T226" s="83">
        <v>0</v>
      </c>
      <c r="U226" s="82"/>
    </row>
    <row r="227" spans="1:21" ht="17.25" customHeight="1" x14ac:dyDescent="0.3">
      <c r="A227" s="66" t="s">
        <v>30</v>
      </c>
      <c r="C227" s="67"/>
      <c r="D227" s="77"/>
      <c r="E227" s="77"/>
      <c r="F227" s="76"/>
      <c r="G227" s="76"/>
      <c r="H227" s="76"/>
      <c r="I227" s="76"/>
      <c r="J227" s="76"/>
      <c r="K227" s="76"/>
      <c r="L227" s="76"/>
      <c r="M227" s="76"/>
      <c r="N227" s="76"/>
      <c r="O227" s="75"/>
      <c r="P227" s="75"/>
      <c r="Q227" s="75"/>
      <c r="R227" s="75"/>
      <c r="S227" s="75"/>
      <c r="T227" s="75"/>
      <c r="U227" s="74"/>
    </row>
    <row r="228" spans="1:21" ht="17.25" customHeight="1" x14ac:dyDescent="0.3">
      <c r="A228" s="66" t="s">
        <v>30</v>
      </c>
      <c r="C228" s="67"/>
      <c r="D228" s="77"/>
      <c r="E228" s="77" t="s">
        <v>31</v>
      </c>
      <c r="F228" s="76" t="s">
        <v>31</v>
      </c>
      <c r="G228" s="76" t="s">
        <v>31</v>
      </c>
      <c r="H228" s="76"/>
      <c r="I228" s="76"/>
      <c r="J228" s="76" t="s">
        <v>31</v>
      </c>
      <c r="K228" s="76" t="s">
        <v>31</v>
      </c>
      <c r="L228" s="76" t="s">
        <v>31</v>
      </c>
      <c r="M228" s="76" t="s">
        <v>31</v>
      </c>
      <c r="N228" s="76"/>
      <c r="U228" s="81"/>
    </row>
    <row r="229" spans="1:21" ht="20.25" customHeight="1" x14ac:dyDescent="0.35">
      <c r="A229" s="66" t="s">
        <v>30</v>
      </c>
      <c r="C229" s="67"/>
      <c r="D229" s="92" t="str">
        <f t="shared" ref="D229" si="156">E229</f>
        <v>E100045</v>
      </c>
      <c r="E229" s="91" t="str">
        <f>"E100045"</f>
        <v>E100045</v>
      </c>
      <c r="F229" s="89" t="str">
        <f>"Flute"</f>
        <v>Flute</v>
      </c>
      <c r="G229" s="89"/>
      <c r="H229" s="90" t="str">
        <f>"EA"</f>
        <v>EA</v>
      </c>
      <c r="I229" s="89"/>
      <c r="J229" s="89"/>
      <c r="K229" s="89"/>
      <c r="L229" s="89"/>
      <c r="M229" s="89"/>
      <c r="N229" s="89"/>
      <c r="O229" s="88">
        <f>(SUBTOTAL(9,O230:O231))</f>
        <v>249.99999999999997</v>
      </c>
      <c r="P229" s="88">
        <f>(SUBTOTAL(9,P230:P231))</f>
        <v>0</v>
      </c>
      <c r="Q229" s="88">
        <f>(SUBTOTAL(9,Q230:Q231))</f>
        <v>0</v>
      </c>
      <c r="R229" s="88">
        <f>(SUBTOTAL(9,R230:R231))</f>
        <v>0</v>
      </c>
      <c r="S229" s="88">
        <f>(SUBTOTAL(9,S230:S231))</f>
        <v>0</v>
      </c>
      <c r="T229" s="88">
        <f>(SUBTOTAL(9,T230:T231))</f>
        <v>0</v>
      </c>
      <c r="U229" s="87">
        <f t="shared" ref="U229" si="157">SUBTOTAL(9,O230:T231)</f>
        <v>249.99999999999997</v>
      </c>
    </row>
    <row r="230" spans="1:21" ht="17.25" customHeight="1" x14ac:dyDescent="0.3">
      <c r="A230" s="66" t="s">
        <v>30</v>
      </c>
      <c r="C230" s="67"/>
      <c r="D230" s="77" t="str">
        <f t="shared" ref="D230" si="158">D229</f>
        <v>E100045</v>
      </c>
      <c r="E230" s="77"/>
      <c r="F230" s="76"/>
      <c r="G230" s="76" t="str">
        <f>"""NAV Direct"",""CRONUS JetCorp USA"",""32"",""1"",""168674"""</f>
        <v>"NAV Direct","CRONUS JetCorp USA","32","1","168674"</v>
      </c>
      <c r="H230" s="86">
        <v>43466</v>
      </c>
      <c r="I230" s="85">
        <v>168674</v>
      </c>
      <c r="J230" s="84" t="str">
        <f>"Vendor"</f>
        <v>Vendor</v>
      </c>
      <c r="K230" s="84" t="str">
        <f>"V100001"</f>
        <v>V100001</v>
      </c>
      <c r="L230" s="84" t="str">
        <f>IF($J230="Customer",_xll.NL("first",$J230,"Name","No.","@@"&amp;$K230),"")</f>
        <v/>
      </c>
      <c r="M230" s="84" t="str">
        <f>"Greigner, Inc."</f>
        <v>Greigner, Inc.</v>
      </c>
      <c r="N230" s="84" t="str">
        <f>IF($J230="Item",_xll.NL("first",$J230,"Description","No.","@@"&amp;$K230),"")</f>
        <v/>
      </c>
      <c r="O230" s="83">
        <v>249.99999999999997</v>
      </c>
      <c r="P230" s="83">
        <v>0</v>
      </c>
      <c r="Q230" s="83">
        <v>0</v>
      </c>
      <c r="R230" s="83">
        <v>0</v>
      </c>
      <c r="S230" s="83">
        <v>0</v>
      </c>
      <c r="T230" s="83">
        <v>0</v>
      </c>
      <c r="U230" s="82"/>
    </row>
    <row r="231" spans="1:21" ht="17.25" customHeight="1" x14ac:dyDescent="0.3">
      <c r="A231" s="66" t="s">
        <v>30</v>
      </c>
      <c r="C231" s="67"/>
      <c r="D231" s="77"/>
      <c r="E231" s="77"/>
      <c r="F231" s="76"/>
      <c r="G231" s="76"/>
      <c r="H231" s="76"/>
      <c r="I231" s="76"/>
      <c r="J231" s="76"/>
      <c r="K231" s="76"/>
      <c r="L231" s="76"/>
      <c r="M231" s="76"/>
      <c r="N231" s="76"/>
      <c r="O231" s="75"/>
      <c r="P231" s="75"/>
      <c r="Q231" s="75"/>
      <c r="R231" s="75"/>
      <c r="S231" s="75"/>
      <c r="T231" s="75"/>
      <c r="U231" s="74"/>
    </row>
    <row r="232" spans="1:21" ht="17.25" customHeight="1" x14ac:dyDescent="0.3">
      <c r="A232" s="66" t="s">
        <v>30</v>
      </c>
      <c r="C232" s="67"/>
      <c r="D232" s="77"/>
      <c r="E232" s="77" t="s">
        <v>31</v>
      </c>
      <c r="F232" s="76" t="s">
        <v>31</v>
      </c>
      <c r="G232" s="76" t="s">
        <v>31</v>
      </c>
      <c r="H232" s="76"/>
      <c r="I232" s="76"/>
      <c r="J232" s="76" t="s">
        <v>31</v>
      </c>
      <c r="K232" s="76" t="s">
        <v>31</v>
      </c>
      <c r="L232" s="76" t="s">
        <v>31</v>
      </c>
      <c r="M232" s="76" t="s">
        <v>31</v>
      </c>
      <c r="N232" s="76"/>
      <c r="U232" s="81"/>
    </row>
    <row r="233" spans="1:21" ht="20.25" customHeight="1" x14ac:dyDescent="0.35">
      <c r="A233" s="66" t="s">
        <v>30</v>
      </c>
      <c r="C233" s="67"/>
      <c r="D233" s="92" t="str">
        <f t="shared" ref="D233" si="159">E233</f>
        <v>E100047</v>
      </c>
      <c r="E233" s="91" t="str">
        <f>"E100047"</f>
        <v>E100047</v>
      </c>
      <c r="F233" s="89" t="str">
        <f>"Chardonnay Glass"</f>
        <v>Chardonnay Glass</v>
      </c>
      <c r="G233" s="89"/>
      <c r="H233" s="90" t="str">
        <f>"EA"</f>
        <v>EA</v>
      </c>
      <c r="I233" s="89"/>
      <c r="J233" s="89"/>
      <c r="K233" s="89"/>
      <c r="L233" s="89"/>
      <c r="M233" s="89"/>
      <c r="N233" s="89"/>
      <c r="O233" s="88">
        <f>(SUBTOTAL(9,O234:O235))</f>
        <v>0</v>
      </c>
      <c r="P233" s="88">
        <f>(SUBTOTAL(9,P234:P235))</f>
        <v>-144</v>
      </c>
      <c r="Q233" s="88">
        <f>(SUBTOTAL(9,Q234:Q235))</f>
        <v>0</v>
      </c>
      <c r="R233" s="88">
        <f>(SUBTOTAL(9,R234:R235))</f>
        <v>0</v>
      </c>
      <c r="S233" s="88">
        <f>(SUBTOTAL(9,S234:S235))</f>
        <v>0</v>
      </c>
      <c r="T233" s="88">
        <f>(SUBTOTAL(9,T234:T235))</f>
        <v>0</v>
      </c>
      <c r="U233" s="87">
        <f t="shared" ref="U233" si="160">SUBTOTAL(9,O234:T235)</f>
        <v>-144</v>
      </c>
    </row>
    <row r="234" spans="1:21" ht="17.25" customHeight="1" x14ac:dyDescent="0.3">
      <c r="A234" s="66" t="s">
        <v>30</v>
      </c>
      <c r="C234" s="67"/>
      <c r="D234" s="77" t="str">
        <f t="shared" ref="D234" si="161">D233</f>
        <v>E100047</v>
      </c>
      <c r="E234" s="77"/>
      <c r="F234" s="76"/>
      <c r="G234" s="76" t="str">
        <f>"""NAV Direct"",""CRONUS JetCorp USA"",""32"",""1"",""153194"""</f>
        <v>"NAV Direct","CRONUS JetCorp USA","32","1","153194"</v>
      </c>
      <c r="H234" s="86">
        <v>43469</v>
      </c>
      <c r="I234" s="85">
        <v>153194</v>
      </c>
      <c r="J234" s="84" t="str">
        <f>"Customer"</f>
        <v>Customer</v>
      </c>
      <c r="K234" s="84" t="str">
        <f>"C100136"</f>
        <v>C100136</v>
      </c>
      <c r="L234" s="84" t="str">
        <f>IF($J234="Customer",_xll.NL("first",$J234,"Name","No.","@@"&amp;$K234),"")</f>
        <v>First Bank</v>
      </c>
      <c r="M234" s="84" t="str">
        <f>""</f>
        <v/>
      </c>
      <c r="N234" s="84" t="str">
        <f>IF($J234="Item",_xll.NL("first",$J234,"Description","No.","@@"&amp;$K234),"")</f>
        <v/>
      </c>
      <c r="O234" s="83">
        <v>0</v>
      </c>
      <c r="P234" s="83">
        <v>-144</v>
      </c>
      <c r="Q234" s="83">
        <v>0</v>
      </c>
      <c r="R234" s="83">
        <v>0</v>
      </c>
      <c r="S234" s="83">
        <v>0</v>
      </c>
      <c r="T234" s="83">
        <v>0</v>
      </c>
      <c r="U234" s="82"/>
    </row>
    <row r="235" spans="1:21" ht="17.25" customHeight="1" x14ac:dyDescent="0.3">
      <c r="A235" s="66" t="s">
        <v>30</v>
      </c>
      <c r="C235" s="67"/>
      <c r="D235" s="77"/>
      <c r="E235" s="77"/>
      <c r="F235" s="76"/>
      <c r="G235" s="76"/>
      <c r="H235" s="76"/>
      <c r="I235" s="76"/>
      <c r="J235" s="76"/>
      <c r="K235" s="76"/>
      <c r="L235" s="76"/>
      <c r="M235" s="76"/>
      <c r="N235" s="76"/>
      <c r="O235" s="75"/>
      <c r="P235" s="75"/>
      <c r="Q235" s="75"/>
      <c r="R235" s="75"/>
      <c r="S235" s="75"/>
      <c r="T235" s="75"/>
      <c r="U235" s="74"/>
    </row>
    <row r="236" spans="1:21" ht="17.25" customHeight="1" x14ac:dyDescent="0.3">
      <c r="A236" s="66" t="s">
        <v>30</v>
      </c>
      <c r="C236" s="67"/>
      <c r="D236" s="77"/>
      <c r="E236" s="77" t="s">
        <v>31</v>
      </c>
      <c r="F236" s="76" t="s">
        <v>31</v>
      </c>
      <c r="G236" s="76" t="s">
        <v>31</v>
      </c>
      <c r="H236" s="76"/>
      <c r="I236" s="76"/>
      <c r="J236" s="76" t="s">
        <v>31</v>
      </c>
      <c r="K236" s="76" t="s">
        <v>31</v>
      </c>
      <c r="L236" s="76" t="s">
        <v>31</v>
      </c>
      <c r="M236" s="76" t="s">
        <v>31</v>
      </c>
      <c r="N236" s="76"/>
      <c r="U236" s="81"/>
    </row>
    <row r="237" spans="1:21" ht="20.25" customHeight="1" x14ac:dyDescent="0.35">
      <c r="A237" s="66" t="s">
        <v>30</v>
      </c>
      <c r="C237" s="67"/>
      <c r="D237" s="92" t="str">
        <f t="shared" ref="D237" si="162">E237</f>
        <v>S100001</v>
      </c>
      <c r="E237" s="91" t="str">
        <f>"S100001"</f>
        <v>S100001</v>
      </c>
      <c r="F237" s="89" t="str">
        <f>"Basketball Graphic Plaque"</f>
        <v>Basketball Graphic Plaque</v>
      </c>
      <c r="G237" s="89"/>
      <c r="H237" s="90" t="str">
        <f>"EA"</f>
        <v>EA</v>
      </c>
      <c r="I237" s="89"/>
      <c r="J237" s="89"/>
      <c r="K237" s="89"/>
      <c r="L237" s="89"/>
      <c r="M237" s="89"/>
      <c r="N237" s="89"/>
      <c r="O237" s="88">
        <f>(SUBTOTAL(9,O238:O240))</f>
        <v>100</v>
      </c>
      <c r="P237" s="88">
        <f>(SUBTOTAL(9,P238:P240))</f>
        <v>-144</v>
      </c>
      <c r="Q237" s="88">
        <f>(SUBTOTAL(9,Q238:Q240))</f>
        <v>0</v>
      </c>
      <c r="R237" s="88">
        <f>(SUBTOTAL(9,R238:R240))</f>
        <v>0</v>
      </c>
      <c r="S237" s="88">
        <f>(SUBTOTAL(9,S238:S240))</f>
        <v>0</v>
      </c>
      <c r="T237" s="88">
        <f>(SUBTOTAL(9,T238:T240))</f>
        <v>0</v>
      </c>
      <c r="U237" s="87">
        <f t="shared" ref="U237" si="163">SUBTOTAL(9,O238:T240)</f>
        <v>-44</v>
      </c>
    </row>
    <row r="238" spans="1:21" ht="17.25" customHeight="1" x14ac:dyDescent="0.3">
      <c r="A238" s="66" t="s">
        <v>30</v>
      </c>
      <c r="C238" s="67"/>
      <c r="D238" s="77" t="str">
        <f t="shared" ref="D238" si="164">D237</f>
        <v>S100001</v>
      </c>
      <c r="E238" s="77"/>
      <c r="F238" s="76"/>
      <c r="G238" s="76" t="str">
        <f>"""NAV Direct"",""CRONUS JetCorp USA"",""32"",""1"",""166426"""</f>
        <v>"NAV Direct","CRONUS JetCorp USA","32","1","166426"</v>
      </c>
      <c r="H238" s="86">
        <v>43466</v>
      </c>
      <c r="I238" s="85">
        <v>166426</v>
      </c>
      <c r="J238" s="84" t="str">
        <f>"Vendor"</f>
        <v>Vendor</v>
      </c>
      <c r="K238" s="84" t="str">
        <f>"V100001"</f>
        <v>V100001</v>
      </c>
      <c r="L238" s="84" t="str">
        <f>IF($J238="Customer",_xll.NL("first",$J238,"Name","No.","@@"&amp;$K238),"")</f>
        <v/>
      </c>
      <c r="M238" s="84" t="str">
        <f>"Greigner, Inc."</f>
        <v>Greigner, Inc.</v>
      </c>
      <c r="N238" s="84" t="str">
        <f>IF($J238="Item",_xll.NL("first",$J238,"Description","No.","@@"&amp;$K238),"")</f>
        <v/>
      </c>
      <c r="O238" s="83">
        <v>100</v>
      </c>
      <c r="P238" s="83">
        <v>0</v>
      </c>
      <c r="Q238" s="83">
        <v>0</v>
      </c>
      <c r="R238" s="83">
        <v>0</v>
      </c>
      <c r="S238" s="83">
        <v>0</v>
      </c>
      <c r="T238" s="83">
        <v>0</v>
      </c>
      <c r="U238" s="82"/>
    </row>
    <row r="239" spans="1:21" ht="17.25" customHeight="1" x14ac:dyDescent="0.3">
      <c r="A239" s="66" t="s">
        <v>30</v>
      </c>
      <c r="C239" s="67"/>
      <c r="D239" s="77" t="str">
        <f t="shared" ref="D239" si="165">D238</f>
        <v>S100001</v>
      </c>
      <c r="E239" s="77"/>
      <c r="F239" s="76"/>
      <c r="G239" s="76" t="str">
        <f>"""NAV Direct"",""CRONUS JetCorp USA"",""32"",""1"",""20378"""</f>
        <v>"NAV Direct","CRONUS JetCorp USA","32","1","20378"</v>
      </c>
      <c r="H239" s="86">
        <v>43473</v>
      </c>
      <c r="I239" s="85">
        <v>20378</v>
      </c>
      <c r="J239" s="84" t="str">
        <f>"Customer"</f>
        <v>Customer</v>
      </c>
      <c r="K239" s="84" t="str">
        <f>"C100130"</f>
        <v>C100130</v>
      </c>
      <c r="L239" s="84" t="str">
        <f>IF($J239="Customer",_xll.NL("first",$J239,"Name","No.","@@"&amp;$K239),"")</f>
        <v>Hotspot Systems</v>
      </c>
      <c r="M239" s="84" t="str">
        <f>""</f>
        <v/>
      </c>
      <c r="N239" s="84" t="str">
        <f>IF($J239="Item",_xll.NL("first",$J239,"Description","No.","@@"&amp;$K239),"")</f>
        <v/>
      </c>
      <c r="O239" s="83">
        <v>0</v>
      </c>
      <c r="P239" s="83">
        <v>-144</v>
      </c>
      <c r="Q239" s="83">
        <v>0</v>
      </c>
      <c r="R239" s="83">
        <v>0</v>
      </c>
      <c r="S239" s="83">
        <v>0</v>
      </c>
      <c r="T239" s="83">
        <v>0</v>
      </c>
      <c r="U239" s="82"/>
    </row>
    <row r="240" spans="1:21" ht="17.25" customHeight="1" x14ac:dyDescent="0.3">
      <c r="A240" s="66" t="s">
        <v>30</v>
      </c>
      <c r="C240" s="67"/>
      <c r="D240" s="77"/>
      <c r="E240" s="77"/>
      <c r="F240" s="76"/>
      <c r="G240" s="76"/>
      <c r="H240" s="76"/>
      <c r="I240" s="76"/>
      <c r="J240" s="76"/>
      <c r="K240" s="76"/>
      <c r="L240" s="76"/>
      <c r="M240" s="76"/>
      <c r="N240" s="76"/>
      <c r="O240" s="75"/>
      <c r="P240" s="75"/>
      <c r="Q240" s="75"/>
      <c r="R240" s="75"/>
      <c r="S240" s="75"/>
      <c r="T240" s="75"/>
      <c r="U240" s="74"/>
    </row>
    <row r="241" spans="1:21" ht="17.25" customHeight="1" x14ac:dyDescent="0.3">
      <c r="A241" s="66" t="s">
        <v>30</v>
      </c>
      <c r="C241" s="67"/>
      <c r="D241" s="77"/>
      <c r="E241" s="77" t="s">
        <v>31</v>
      </c>
      <c r="F241" s="76" t="s">
        <v>31</v>
      </c>
      <c r="G241" s="76" t="s">
        <v>31</v>
      </c>
      <c r="H241" s="76"/>
      <c r="I241" s="76"/>
      <c r="J241" s="76" t="s">
        <v>31</v>
      </c>
      <c r="K241" s="76" t="s">
        <v>31</v>
      </c>
      <c r="L241" s="76" t="s">
        <v>31</v>
      </c>
      <c r="M241" s="76" t="s">
        <v>31</v>
      </c>
      <c r="N241" s="76"/>
      <c r="U241" s="81"/>
    </row>
    <row r="242" spans="1:21" ht="20.25" customHeight="1" x14ac:dyDescent="0.35">
      <c r="A242" s="66" t="s">
        <v>30</v>
      </c>
      <c r="C242" s="67"/>
      <c r="D242" s="92" t="str">
        <f t="shared" ref="D242" si="166">E242</f>
        <v>S100003</v>
      </c>
      <c r="E242" s="91" t="str">
        <f>"S100003"</f>
        <v>S100003</v>
      </c>
      <c r="F242" s="89" t="str">
        <f>"Soccer #1 Pin"</f>
        <v>Soccer #1 Pin</v>
      </c>
      <c r="G242" s="89"/>
      <c r="H242" s="90" t="str">
        <f>"EA"</f>
        <v>EA</v>
      </c>
      <c r="I242" s="89"/>
      <c r="J242" s="89"/>
      <c r="K242" s="89"/>
      <c r="L242" s="89"/>
      <c r="M242" s="89"/>
      <c r="N242" s="89"/>
      <c r="O242" s="88">
        <f>(SUBTOTAL(9,O243:O246))</f>
        <v>700</v>
      </c>
      <c r="P242" s="88">
        <f>(SUBTOTAL(9,P243:P246))</f>
        <v>-288</v>
      </c>
      <c r="Q242" s="88">
        <f>(SUBTOTAL(9,Q243:Q246))</f>
        <v>0</v>
      </c>
      <c r="R242" s="88">
        <f>(SUBTOTAL(9,R243:R246))</f>
        <v>0</v>
      </c>
      <c r="S242" s="88">
        <f>(SUBTOTAL(9,S243:S246))</f>
        <v>0</v>
      </c>
      <c r="T242" s="88">
        <f>(SUBTOTAL(9,T243:T246))</f>
        <v>0</v>
      </c>
      <c r="U242" s="87">
        <f t="shared" ref="U242" si="167">SUBTOTAL(9,O243:T246)</f>
        <v>412</v>
      </c>
    </row>
    <row r="243" spans="1:21" ht="17.25" customHeight="1" x14ac:dyDescent="0.3">
      <c r="A243" s="66" t="s">
        <v>30</v>
      </c>
      <c r="C243" s="67"/>
      <c r="D243" s="77" t="str">
        <f t="shared" ref="D243" si="168">D242</f>
        <v>S100003</v>
      </c>
      <c r="E243" s="77"/>
      <c r="F243" s="76"/>
      <c r="G243" s="76" t="str">
        <f>"""NAV Direct"",""CRONUS JetCorp USA"",""32"",""1"",""166425"""</f>
        <v>"NAV Direct","CRONUS JetCorp USA","32","1","166425"</v>
      </c>
      <c r="H243" s="86">
        <v>43466</v>
      </c>
      <c r="I243" s="85">
        <v>166425</v>
      </c>
      <c r="J243" s="84" t="str">
        <f>"Vendor"</f>
        <v>Vendor</v>
      </c>
      <c r="K243" s="84" t="str">
        <f>"V100001"</f>
        <v>V100001</v>
      </c>
      <c r="L243" s="84" t="str">
        <f>IF($J243="Customer",_xll.NL("first",$J243,"Name","No.","@@"&amp;$K243),"")</f>
        <v/>
      </c>
      <c r="M243" s="84" t="str">
        <f>"Greigner, Inc."</f>
        <v>Greigner, Inc.</v>
      </c>
      <c r="N243" s="84" t="str">
        <f>IF($J243="Item",_xll.NL("first",$J243,"Description","No.","@@"&amp;$K243),"")</f>
        <v/>
      </c>
      <c r="O243" s="83">
        <v>700</v>
      </c>
      <c r="P243" s="83">
        <v>0</v>
      </c>
      <c r="Q243" s="83">
        <v>0</v>
      </c>
      <c r="R243" s="83">
        <v>0</v>
      </c>
      <c r="S243" s="83">
        <v>0</v>
      </c>
      <c r="T243" s="83">
        <v>0</v>
      </c>
      <c r="U243" s="82"/>
    </row>
    <row r="244" spans="1:21" ht="17.25" customHeight="1" x14ac:dyDescent="0.3">
      <c r="A244" s="66" t="s">
        <v>30</v>
      </c>
      <c r="C244" s="67"/>
      <c r="D244" s="77" t="str">
        <f t="shared" ref="D244:D245" si="169">D243</f>
        <v>S100003</v>
      </c>
      <c r="E244" s="77"/>
      <c r="F244" s="76"/>
      <c r="G244" s="76" t="str">
        <f>"""NAV Direct"",""CRONUS JetCorp USA"",""32"",""1"",""20410"""</f>
        <v>"NAV Direct","CRONUS JetCorp USA","32","1","20410"</v>
      </c>
      <c r="H244" s="86">
        <v>43475</v>
      </c>
      <c r="I244" s="85">
        <v>20410</v>
      </c>
      <c r="J244" s="84" t="str">
        <f>"Customer"</f>
        <v>Customer</v>
      </c>
      <c r="K244" s="84" t="str">
        <f>"C100130"</f>
        <v>C100130</v>
      </c>
      <c r="L244" s="84" t="str">
        <f>IF($J244="Customer",_xll.NL("first",$J244,"Name","No.","@@"&amp;$K244),"")</f>
        <v>Hotspot Systems</v>
      </c>
      <c r="M244" s="84" t="str">
        <f>""</f>
        <v/>
      </c>
      <c r="N244" s="84" t="str">
        <f>IF($J244="Item",_xll.NL("first",$J244,"Description","No.","@@"&amp;$K244),"")</f>
        <v/>
      </c>
      <c r="O244" s="83">
        <v>0</v>
      </c>
      <c r="P244" s="83">
        <v>-144</v>
      </c>
      <c r="Q244" s="83">
        <v>0</v>
      </c>
      <c r="R244" s="83">
        <v>0</v>
      </c>
      <c r="S244" s="83">
        <v>0</v>
      </c>
      <c r="T244" s="83">
        <v>0</v>
      </c>
      <c r="U244" s="82"/>
    </row>
    <row r="245" spans="1:21" ht="17.25" customHeight="1" x14ac:dyDescent="0.3">
      <c r="A245" s="66" t="s">
        <v>30</v>
      </c>
      <c r="C245" s="67"/>
      <c r="D245" s="77" t="str">
        <f t="shared" si="169"/>
        <v>S100003</v>
      </c>
      <c r="E245" s="77"/>
      <c r="F245" s="76"/>
      <c r="G245" s="76" t="str">
        <f>"""NAV Direct"",""CRONUS JetCorp USA"",""32"",""1"",""64625"""</f>
        <v>"NAV Direct","CRONUS JetCorp USA","32","1","64625"</v>
      </c>
      <c r="H245" s="86">
        <v>43475</v>
      </c>
      <c r="I245" s="85">
        <v>64625</v>
      </c>
      <c r="J245" s="84" t="str">
        <f>"Customer"</f>
        <v>Customer</v>
      </c>
      <c r="K245" s="84" t="str">
        <f>"C100136"</f>
        <v>C100136</v>
      </c>
      <c r="L245" s="84" t="str">
        <f>IF($J245="Customer",_xll.NL("first",$J245,"Name","No.","@@"&amp;$K245),"")</f>
        <v>First Bank</v>
      </c>
      <c r="M245" s="84" t="str">
        <f>""</f>
        <v/>
      </c>
      <c r="N245" s="84" t="str">
        <f>IF($J245="Item",_xll.NL("first",$J245,"Description","No.","@@"&amp;$K245),"")</f>
        <v/>
      </c>
      <c r="O245" s="83">
        <v>0</v>
      </c>
      <c r="P245" s="83">
        <v>-144</v>
      </c>
      <c r="Q245" s="83">
        <v>0</v>
      </c>
      <c r="R245" s="83">
        <v>0</v>
      </c>
      <c r="S245" s="83">
        <v>0</v>
      </c>
      <c r="T245" s="83">
        <v>0</v>
      </c>
      <c r="U245" s="82"/>
    </row>
    <row r="246" spans="1:21" ht="17.25" customHeight="1" x14ac:dyDescent="0.3">
      <c r="A246" s="66" t="s">
        <v>30</v>
      </c>
      <c r="C246" s="67"/>
      <c r="D246" s="77"/>
      <c r="E246" s="77"/>
      <c r="F246" s="76"/>
      <c r="G246" s="76"/>
      <c r="H246" s="76"/>
      <c r="I246" s="76"/>
      <c r="J246" s="76"/>
      <c r="K246" s="76"/>
      <c r="L246" s="76"/>
      <c r="M246" s="76"/>
      <c r="N246" s="76"/>
      <c r="O246" s="75"/>
      <c r="P246" s="75"/>
      <c r="Q246" s="75"/>
      <c r="R246" s="75"/>
      <c r="S246" s="75"/>
      <c r="T246" s="75"/>
      <c r="U246" s="74"/>
    </row>
    <row r="247" spans="1:21" ht="17.25" customHeight="1" x14ac:dyDescent="0.3">
      <c r="A247" s="66" t="s">
        <v>30</v>
      </c>
      <c r="C247" s="67"/>
      <c r="D247" s="77"/>
      <c r="E247" s="77" t="s">
        <v>31</v>
      </c>
      <c r="F247" s="76" t="s">
        <v>31</v>
      </c>
      <c r="G247" s="76" t="s">
        <v>31</v>
      </c>
      <c r="H247" s="76"/>
      <c r="I247" s="76"/>
      <c r="J247" s="76" t="s">
        <v>31</v>
      </c>
      <c r="K247" s="76" t="s">
        <v>31</v>
      </c>
      <c r="L247" s="76" t="s">
        <v>31</v>
      </c>
      <c r="M247" s="76" t="s">
        <v>31</v>
      </c>
      <c r="N247" s="76"/>
      <c r="U247" s="81"/>
    </row>
    <row r="248" spans="1:21" ht="20.25" customHeight="1" x14ac:dyDescent="0.35">
      <c r="A248" s="66" t="s">
        <v>30</v>
      </c>
      <c r="C248" s="67"/>
      <c r="D248" s="92" t="str">
        <f t="shared" ref="D248" si="170">E248</f>
        <v>S100004</v>
      </c>
      <c r="E248" s="91" t="str">
        <f>"S100004"</f>
        <v>S100004</v>
      </c>
      <c r="F248" s="89" t="str">
        <f>"Award Medallian - 2''"</f>
        <v>Award Medallian - 2''</v>
      </c>
      <c r="G248" s="89"/>
      <c r="H248" s="90" t="str">
        <f>"EA"</f>
        <v>EA</v>
      </c>
      <c r="I248" s="89"/>
      <c r="J248" s="89"/>
      <c r="K248" s="89"/>
      <c r="L248" s="89"/>
      <c r="M248" s="89"/>
      <c r="N248" s="89"/>
      <c r="O248" s="88">
        <f>(SUBTOTAL(9,O249:O251))</f>
        <v>300</v>
      </c>
      <c r="P248" s="88">
        <f>(SUBTOTAL(9,P249:P251))</f>
        <v>-144</v>
      </c>
      <c r="Q248" s="88">
        <f>(SUBTOTAL(9,Q249:Q251))</f>
        <v>0</v>
      </c>
      <c r="R248" s="88">
        <f>(SUBTOTAL(9,R249:R251))</f>
        <v>0</v>
      </c>
      <c r="S248" s="88">
        <f>(SUBTOTAL(9,S249:S251))</f>
        <v>0</v>
      </c>
      <c r="T248" s="88">
        <f>(SUBTOTAL(9,T249:T251))</f>
        <v>0</v>
      </c>
      <c r="U248" s="87">
        <f t="shared" ref="U248" si="171">SUBTOTAL(9,O249:T251)</f>
        <v>156</v>
      </c>
    </row>
    <row r="249" spans="1:21" ht="17.25" customHeight="1" x14ac:dyDescent="0.3">
      <c r="A249" s="66" t="s">
        <v>30</v>
      </c>
      <c r="C249" s="67"/>
      <c r="D249" s="77" t="str">
        <f t="shared" ref="D249" si="172">D248</f>
        <v>S100004</v>
      </c>
      <c r="E249" s="77"/>
      <c r="F249" s="76"/>
      <c r="G249" s="76" t="str">
        <f>"""NAV Direct"",""CRONUS JetCorp USA"",""32"",""1"",""166424"""</f>
        <v>"NAV Direct","CRONUS JetCorp USA","32","1","166424"</v>
      </c>
      <c r="H249" s="86">
        <v>43466</v>
      </c>
      <c r="I249" s="85">
        <v>166424</v>
      </c>
      <c r="J249" s="84" t="str">
        <f>"Vendor"</f>
        <v>Vendor</v>
      </c>
      <c r="K249" s="84" t="str">
        <f>"V100001"</f>
        <v>V100001</v>
      </c>
      <c r="L249" s="84" t="str">
        <f>IF($J249="Customer",_xll.NL("first",$J249,"Name","No.","@@"&amp;$K249),"")</f>
        <v/>
      </c>
      <c r="M249" s="84" t="str">
        <f>"Greigner, Inc."</f>
        <v>Greigner, Inc.</v>
      </c>
      <c r="N249" s="84" t="str">
        <f>IF($J249="Item",_xll.NL("first",$J249,"Description","No.","@@"&amp;$K249),"")</f>
        <v/>
      </c>
      <c r="O249" s="83">
        <v>300</v>
      </c>
      <c r="P249" s="83">
        <v>0</v>
      </c>
      <c r="Q249" s="83">
        <v>0</v>
      </c>
      <c r="R249" s="83">
        <v>0</v>
      </c>
      <c r="S249" s="83">
        <v>0</v>
      </c>
      <c r="T249" s="83">
        <v>0</v>
      </c>
      <c r="U249" s="82"/>
    </row>
    <row r="250" spans="1:21" ht="17.25" customHeight="1" x14ac:dyDescent="0.3">
      <c r="A250" s="66" t="s">
        <v>30</v>
      </c>
      <c r="C250" s="67"/>
      <c r="D250" s="77" t="str">
        <f t="shared" ref="D250" si="173">D249</f>
        <v>S100004</v>
      </c>
      <c r="E250" s="77"/>
      <c r="F250" s="76"/>
      <c r="G250" s="76" t="str">
        <f>"""NAV Direct"",""CRONUS JetCorp USA"",""32"",""1"",""20379"""</f>
        <v>"NAV Direct","CRONUS JetCorp USA","32","1","20379"</v>
      </c>
      <c r="H250" s="86">
        <v>43473</v>
      </c>
      <c r="I250" s="85">
        <v>20379</v>
      </c>
      <c r="J250" s="84" t="str">
        <f>"Customer"</f>
        <v>Customer</v>
      </c>
      <c r="K250" s="84" t="str">
        <f>"C100130"</f>
        <v>C100130</v>
      </c>
      <c r="L250" s="84" t="str">
        <f>IF($J250="Customer",_xll.NL("first",$J250,"Name","No.","@@"&amp;$K250),"")</f>
        <v>Hotspot Systems</v>
      </c>
      <c r="M250" s="84" t="str">
        <f>""</f>
        <v/>
      </c>
      <c r="N250" s="84" t="str">
        <f>IF($J250="Item",_xll.NL("first",$J250,"Description","No.","@@"&amp;$K250),"")</f>
        <v/>
      </c>
      <c r="O250" s="83">
        <v>0</v>
      </c>
      <c r="P250" s="83">
        <v>-144</v>
      </c>
      <c r="Q250" s="83">
        <v>0</v>
      </c>
      <c r="R250" s="83">
        <v>0</v>
      </c>
      <c r="S250" s="83">
        <v>0</v>
      </c>
      <c r="T250" s="83">
        <v>0</v>
      </c>
      <c r="U250" s="82"/>
    </row>
    <row r="251" spans="1:21" ht="17.25" customHeight="1" x14ac:dyDescent="0.3">
      <c r="A251" s="66" t="s">
        <v>30</v>
      </c>
      <c r="C251" s="67"/>
      <c r="D251" s="77"/>
      <c r="E251" s="77"/>
      <c r="F251" s="76"/>
      <c r="G251" s="76"/>
      <c r="H251" s="76"/>
      <c r="I251" s="76"/>
      <c r="J251" s="76"/>
      <c r="K251" s="76"/>
      <c r="L251" s="76"/>
      <c r="M251" s="76"/>
      <c r="N251" s="76"/>
      <c r="O251" s="75"/>
      <c r="P251" s="75"/>
      <c r="Q251" s="75"/>
      <c r="R251" s="75"/>
      <c r="S251" s="75"/>
      <c r="T251" s="75"/>
      <c r="U251" s="74"/>
    </row>
    <row r="252" spans="1:21" ht="17.25" customHeight="1" x14ac:dyDescent="0.3">
      <c r="A252" s="66" t="s">
        <v>30</v>
      </c>
      <c r="C252" s="67"/>
      <c r="D252" s="77"/>
      <c r="E252" s="77" t="s">
        <v>31</v>
      </c>
      <c r="F252" s="76" t="s">
        <v>31</v>
      </c>
      <c r="G252" s="76" t="s">
        <v>31</v>
      </c>
      <c r="H252" s="76"/>
      <c r="I252" s="76"/>
      <c r="J252" s="76" t="s">
        <v>31</v>
      </c>
      <c r="K252" s="76" t="s">
        <v>31</v>
      </c>
      <c r="L252" s="76" t="s">
        <v>31</v>
      </c>
      <c r="M252" s="76" t="s">
        <v>31</v>
      </c>
      <c r="N252" s="76"/>
      <c r="U252" s="81"/>
    </row>
    <row r="253" spans="1:21" ht="20.25" customHeight="1" x14ac:dyDescent="0.35">
      <c r="A253" s="66" t="s">
        <v>30</v>
      </c>
      <c r="C253" s="67"/>
      <c r="D253" s="92" t="str">
        <f t="shared" ref="D253" si="174">E253</f>
        <v>S100005</v>
      </c>
      <c r="E253" s="91" t="str">
        <f>"S100005"</f>
        <v>S100005</v>
      </c>
      <c r="F253" s="89" t="str">
        <f>"Award Medallian - 2.5''"</f>
        <v>Award Medallian - 2.5''</v>
      </c>
      <c r="G253" s="89"/>
      <c r="H253" s="90" t="str">
        <f>"EA"</f>
        <v>EA</v>
      </c>
      <c r="I253" s="89"/>
      <c r="J253" s="89"/>
      <c r="K253" s="89"/>
      <c r="L253" s="89"/>
      <c r="M253" s="89"/>
      <c r="N253" s="89"/>
      <c r="O253" s="88">
        <f>(SUBTOTAL(9,O254:O255))</f>
        <v>200</v>
      </c>
      <c r="P253" s="88">
        <f>(SUBTOTAL(9,P254:P255))</f>
        <v>0</v>
      </c>
      <c r="Q253" s="88">
        <f>(SUBTOTAL(9,Q254:Q255))</f>
        <v>0</v>
      </c>
      <c r="R253" s="88">
        <f>(SUBTOTAL(9,R254:R255))</f>
        <v>0</v>
      </c>
      <c r="S253" s="88">
        <f>(SUBTOTAL(9,S254:S255))</f>
        <v>0</v>
      </c>
      <c r="T253" s="88">
        <f>(SUBTOTAL(9,T254:T255))</f>
        <v>0</v>
      </c>
      <c r="U253" s="87">
        <f t="shared" ref="U253" si="175">SUBTOTAL(9,O254:T255)</f>
        <v>200</v>
      </c>
    </row>
    <row r="254" spans="1:21" ht="17.25" customHeight="1" x14ac:dyDescent="0.3">
      <c r="A254" s="66" t="s">
        <v>30</v>
      </c>
      <c r="C254" s="67"/>
      <c r="D254" s="77" t="str">
        <f t="shared" ref="D254" si="176">D253</f>
        <v>S100005</v>
      </c>
      <c r="E254" s="77"/>
      <c r="F254" s="76"/>
      <c r="G254" s="76" t="str">
        <f>"""NAV Direct"",""CRONUS JetCorp USA"",""32"",""1"",""166423"""</f>
        <v>"NAV Direct","CRONUS JetCorp USA","32","1","166423"</v>
      </c>
      <c r="H254" s="86">
        <v>43466</v>
      </c>
      <c r="I254" s="85">
        <v>166423</v>
      </c>
      <c r="J254" s="84" t="str">
        <f>"Vendor"</f>
        <v>Vendor</v>
      </c>
      <c r="K254" s="84" t="str">
        <f>"V100001"</f>
        <v>V100001</v>
      </c>
      <c r="L254" s="84" t="str">
        <f>IF($J254="Customer",_xll.NL("first",$J254,"Name","No.","@@"&amp;$K254),"")</f>
        <v/>
      </c>
      <c r="M254" s="84" t="str">
        <f>"Greigner, Inc."</f>
        <v>Greigner, Inc.</v>
      </c>
      <c r="N254" s="84" t="str">
        <f>IF($J254="Item",_xll.NL("first",$J254,"Description","No.","@@"&amp;$K254),"")</f>
        <v/>
      </c>
      <c r="O254" s="83">
        <v>200</v>
      </c>
      <c r="P254" s="83">
        <v>0</v>
      </c>
      <c r="Q254" s="83">
        <v>0</v>
      </c>
      <c r="R254" s="83">
        <v>0</v>
      </c>
      <c r="S254" s="83">
        <v>0</v>
      </c>
      <c r="T254" s="83">
        <v>0</v>
      </c>
      <c r="U254" s="82"/>
    </row>
    <row r="255" spans="1:21" ht="17.25" customHeight="1" x14ac:dyDescent="0.3">
      <c r="A255" s="66" t="s">
        <v>30</v>
      </c>
      <c r="C255" s="67"/>
      <c r="D255" s="77"/>
      <c r="E255" s="77"/>
      <c r="F255" s="76"/>
      <c r="G255" s="76"/>
      <c r="H255" s="76"/>
      <c r="I255" s="76"/>
      <c r="J255" s="76"/>
      <c r="K255" s="76"/>
      <c r="L255" s="76"/>
      <c r="M255" s="76"/>
      <c r="N255" s="76"/>
      <c r="O255" s="75"/>
      <c r="P255" s="75"/>
      <c r="Q255" s="75"/>
      <c r="R255" s="75"/>
      <c r="S255" s="75"/>
      <c r="T255" s="75"/>
      <c r="U255" s="74"/>
    </row>
    <row r="256" spans="1:21" ht="17.25" customHeight="1" x14ac:dyDescent="0.3">
      <c r="A256" s="66" t="s">
        <v>30</v>
      </c>
      <c r="C256" s="67"/>
      <c r="D256" s="77"/>
      <c r="E256" s="77" t="s">
        <v>31</v>
      </c>
      <c r="F256" s="76" t="s">
        <v>31</v>
      </c>
      <c r="G256" s="76" t="s">
        <v>31</v>
      </c>
      <c r="H256" s="76"/>
      <c r="I256" s="76"/>
      <c r="J256" s="76" t="s">
        <v>31</v>
      </c>
      <c r="K256" s="76" t="s">
        <v>31</v>
      </c>
      <c r="L256" s="76" t="s">
        <v>31</v>
      </c>
      <c r="M256" s="76" t="s">
        <v>31</v>
      </c>
      <c r="N256" s="76"/>
      <c r="U256" s="81"/>
    </row>
    <row r="257" spans="1:21" ht="20.25" customHeight="1" x14ac:dyDescent="0.35">
      <c r="A257" s="66" t="s">
        <v>30</v>
      </c>
      <c r="C257" s="67"/>
      <c r="D257" s="92" t="str">
        <f t="shared" ref="D257" si="177">E257</f>
        <v>S100007</v>
      </c>
      <c r="E257" s="91" t="str">
        <f>"S100007"</f>
        <v>S100007</v>
      </c>
      <c r="F257" s="89" t="str">
        <f>"Baseball Figure Trophy"</f>
        <v>Baseball Figure Trophy</v>
      </c>
      <c r="G257" s="89"/>
      <c r="H257" s="90" t="str">
        <f>"EA"</f>
        <v>EA</v>
      </c>
      <c r="I257" s="89"/>
      <c r="J257" s="89"/>
      <c r="K257" s="89"/>
      <c r="L257" s="89"/>
      <c r="M257" s="89"/>
      <c r="N257" s="89"/>
      <c r="O257" s="88">
        <f>(SUBTOTAL(9,O258:O260))</f>
        <v>100</v>
      </c>
      <c r="P257" s="88">
        <f>(SUBTOTAL(9,P258:P260))</f>
        <v>-144</v>
      </c>
      <c r="Q257" s="88">
        <f>(SUBTOTAL(9,Q258:Q260))</f>
        <v>0</v>
      </c>
      <c r="R257" s="88">
        <f>(SUBTOTAL(9,R258:R260))</f>
        <v>0</v>
      </c>
      <c r="S257" s="88">
        <f>(SUBTOTAL(9,S258:S260))</f>
        <v>0</v>
      </c>
      <c r="T257" s="88">
        <f>(SUBTOTAL(9,T258:T260))</f>
        <v>0</v>
      </c>
      <c r="U257" s="87">
        <f t="shared" ref="U257" si="178">SUBTOTAL(9,O258:T260)</f>
        <v>-44</v>
      </c>
    </row>
    <row r="258" spans="1:21" ht="17.25" customHeight="1" x14ac:dyDescent="0.3">
      <c r="A258" s="66" t="s">
        <v>30</v>
      </c>
      <c r="C258" s="67"/>
      <c r="D258" s="77" t="str">
        <f t="shared" ref="D258" si="179">D257</f>
        <v>S100007</v>
      </c>
      <c r="E258" s="77"/>
      <c r="F258" s="76"/>
      <c r="G258" s="76" t="str">
        <f>"""NAV Direct"",""CRONUS JetCorp USA"",""32"",""1"",""166422"""</f>
        <v>"NAV Direct","CRONUS JetCorp USA","32","1","166422"</v>
      </c>
      <c r="H258" s="86">
        <v>43466</v>
      </c>
      <c r="I258" s="85">
        <v>166422</v>
      </c>
      <c r="J258" s="84" t="str">
        <f>"Vendor"</f>
        <v>Vendor</v>
      </c>
      <c r="K258" s="84" t="str">
        <f>"V100001"</f>
        <v>V100001</v>
      </c>
      <c r="L258" s="84" t="str">
        <f>IF($J258="Customer",_xll.NL("first",$J258,"Name","No.","@@"&amp;$K258),"")</f>
        <v/>
      </c>
      <c r="M258" s="84" t="str">
        <f>"Greigner, Inc."</f>
        <v>Greigner, Inc.</v>
      </c>
      <c r="N258" s="84" t="str">
        <f>IF($J258="Item",_xll.NL("first",$J258,"Description","No.","@@"&amp;$K258),"")</f>
        <v/>
      </c>
      <c r="O258" s="83">
        <v>100</v>
      </c>
      <c r="P258" s="83">
        <v>0</v>
      </c>
      <c r="Q258" s="83">
        <v>0</v>
      </c>
      <c r="R258" s="83">
        <v>0</v>
      </c>
      <c r="S258" s="83">
        <v>0</v>
      </c>
      <c r="T258" s="83">
        <v>0</v>
      </c>
      <c r="U258" s="82"/>
    </row>
    <row r="259" spans="1:21" ht="17.25" customHeight="1" x14ac:dyDescent="0.3">
      <c r="A259" s="66" t="s">
        <v>30</v>
      </c>
      <c r="C259" s="67"/>
      <c r="D259" s="77" t="str">
        <f t="shared" ref="D259" si="180">D258</f>
        <v>S100007</v>
      </c>
      <c r="E259" s="77"/>
      <c r="F259" s="76"/>
      <c r="G259" s="76" t="str">
        <f>"""NAV Direct"",""CRONUS JetCorp USA"",""32"",""1"",""20383"""</f>
        <v>"NAV Direct","CRONUS JetCorp USA","32","1","20383"</v>
      </c>
      <c r="H259" s="86">
        <v>43473</v>
      </c>
      <c r="I259" s="85">
        <v>20383</v>
      </c>
      <c r="J259" s="84" t="str">
        <f>"Customer"</f>
        <v>Customer</v>
      </c>
      <c r="K259" s="84" t="str">
        <f>"C100130"</f>
        <v>C100130</v>
      </c>
      <c r="L259" s="84" t="str">
        <f>IF($J259="Customer",_xll.NL("first",$J259,"Name","No.","@@"&amp;$K259),"")</f>
        <v>Hotspot Systems</v>
      </c>
      <c r="M259" s="84" t="str">
        <f>""</f>
        <v/>
      </c>
      <c r="N259" s="84" t="str">
        <f>IF($J259="Item",_xll.NL("first",$J259,"Description","No.","@@"&amp;$K259),"")</f>
        <v/>
      </c>
      <c r="O259" s="83">
        <v>0</v>
      </c>
      <c r="P259" s="83">
        <v>-144</v>
      </c>
      <c r="Q259" s="83">
        <v>0</v>
      </c>
      <c r="R259" s="83">
        <v>0</v>
      </c>
      <c r="S259" s="83">
        <v>0</v>
      </c>
      <c r="T259" s="83">
        <v>0</v>
      </c>
      <c r="U259" s="82"/>
    </row>
    <row r="260" spans="1:21" ht="17.25" customHeight="1" x14ac:dyDescent="0.3">
      <c r="A260" s="66" t="s">
        <v>30</v>
      </c>
      <c r="C260" s="67"/>
      <c r="D260" s="77"/>
      <c r="E260" s="77"/>
      <c r="F260" s="76"/>
      <c r="G260" s="76"/>
      <c r="H260" s="76"/>
      <c r="I260" s="76"/>
      <c r="J260" s="76"/>
      <c r="K260" s="76"/>
      <c r="L260" s="76"/>
      <c r="M260" s="76"/>
      <c r="N260" s="76"/>
      <c r="O260" s="75"/>
      <c r="P260" s="75"/>
      <c r="Q260" s="75"/>
      <c r="R260" s="75"/>
      <c r="S260" s="75"/>
      <c r="T260" s="75"/>
      <c r="U260" s="74"/>
    </row>
    <row r="261" spans="1:21" ht="17.25" customHeight="1" x14ac:dyDescent="0.3">
      <c r="A261" s="66" t="s">
        <v>30</v>
      </c>
      <c r="C261" s="67"/>
      <c r="D261" s="77"/>
      <c r="E261" s="77" t="s">
        <v>31</v>
      </c>
      <c r="F261" s="76" t="s">
        <v>31</v>
      </c>
      <c r="G261" s="76" t="s">
        <v>31</v>
      </c>
      <c r="H261" s="76"/>
      <c r="I261" s="76"/>
      <c r="J261" s="76" t="s">
        <v>31</v>
      </c>
      <c r="K261" s="76" t="s">
        <v>31</v>
      </c>
      <c r="L261" s="76" t="s">
        <v>31</v>
      </c>
      <c r="M261" s="76" t="s">
        <v>31</v>
      </c>
      <c r="N261" s="76"/>
      <c r="U261" s="81"/>
    </row>
    <row r="262" spans="1:21" ht="20.25" customHeight="1" x14ac:dyDescent="0.35">
      <c r="A262" s="66" t="s">
        <v>30</v>
      </c>
      <c r="C262" s="67"/>
      <c r="D262" s="92" t="str">
        <f t="shared" ref="D262" si="181">E262</f>
        <v>S100008</v>
      </c>
      <c r="E262" s="91" t="str">
        <f>"S100008"</f>
        <v>S100008</v>
      </c>
      <c r="F262" s="89" t="str">
        <f>"Soccer Figure Trophy"</f>
        <v>Soccer Figure Trophy</v>
      </c>
      <c r="G262" s="89"/>
      <c r="H262" s="90" t="str">
        <f>"EA"</f>
        <v>EA</v>
      </c>
      <c r="I262" s="89"/>
      <c r="J262" s="89"/>
      <c r="K262" s="89"/>
      <c r="L262" s="89"/>
      <c r="M262" s="89"/>
      <c r="N262" s="89"/>
      <c r="O262" s="88">
        <f>(SUBTOTAL(9,O263:O264))</f>
        <v>200</v>
      </c>
      <c r="P262" s="88">
        <f>(SUBTOTAL(9,P263:P264))</f>
        <v>0</v>
      </c>
      <c r="Q262" s="88">
        <f>(SUBTOTAL(9,Q263:Q264))</f>
        <v>0</v>
      </c>
      <c r="R262" s="88">
        <f>(SUBTOTAL(9,R263:R264))</f>
        <v>0</v>
      </c>
      <c r="S262" s="88">
        <f>(SUBTOTAL(9,S263:S264))</f>
        <v>0</v>
      </c>
      <c r="T262" s="88">
        <f>(SUBTOTAL(9,T263:T264))</f>
        <v>0</v>
      </c>
      <c r="U262" s="87">
        <f t="shared" ref="U262" si="182">SUBTOTAL(9,O263:T264)</f>
        <v>200</v>
      </c>
    </row>
    <row r="263" spans="1:21" ht="17.25" customHeight="1" x14ac:dyDescent="0.3">
      <c r="A263" s="66" t="s">
        <v>30</v>
      </c>
      <c r="C263" s="67"/>
      <c r="D263" s="77" t="str">
        <f t="shared" ref="D263" si="183">D262</f>
        <v>S100008</v>
      </c>
      <c r="E263" s="77"/>
      <c r="F263" s="76"/>
      <c r="G263" s="76" t="str">
        <f>"""NAV Direct"",""CRONUS JetCorp USA"",""32"",""1"",""166421"""</f>
        <v>"NAV Direct","CRONUS JetCorp USA","32","1","166421"</v>
      </c>
      <c r="H263" s="86">
        <v>43466</v>
      </c>
      <c r="I263" s="85">
        <v>166421</v>
      </c>
      <c r="J263" s="84" t="str">
        <f>"Vendor"</f>
        <v>Vendor</v>
      </c>
      <c r="K263" s="84" t="str">
        <f>"V100001"</f>
        <v>V100001</v>
      </c>
      <c r="L263" s="84" t="str">
        <f>IF($J263="Customer",_xll.NL("first",$J263,"Name","No.","@@"&amp;$K263),"")</f>
        <v/>
      </c>
      <c r="M263" s="84" t="str">
        <f>"Greigner, Inc."</f>
        <v>Greigner, Inc.</v>
      </c>
      <c r="N263" s="84" t="str">
        <f>IF($J263="Item",_xll.NL("first",$J263,"Description","No.","@@"&amp;$K263),"")</f>
        <v/>
      </c>
      <c r="O263" s="83">
        <v>200</v>
      </c>
      <c r="P263" s="83">
        <v>0</v>
      </c>
      <c r="Q263" s="83">
        <v>0</v>
      </c>
      <c r="R263" s="83">
        <v>0</v>
      </c>
      <c r="S263" s="83">
        <v>0</v>
      </c>
      <c r="T263" s="83">
        <v>0</v>
      </c>
      <c r="U263" s="82"/>
    </row>
    <row r="264" spans="1:21" ht="17.25" customHeight="1" x14ac:dyDescent="0.3">
      <c r="A264" s="66" t="s">
        <v>30</v>
      </c>
      <c r="C264" s="67"/>
      <c r="D264" s="77"/>
      <c r="E264" s="77"/>
      <c r="F264" s="76"/>
      <c r="G264" s="76"/>
      <c r="H264" s="76"/>
      <c r="I264" s="76"/>
      <c r="J264" s="76"/>
      <c r="K264" s="76"/>
      <c r="L264" s="76"/>
      <c r="M264" s="76"/>
      <c r="N264" s="76"/>
      <c r="O264" s="75"/>
      <c r="P264" s="75"/>
      <c r="Q264" s="75"/>
      <c r="R264" s="75"/>
      <c r="S264" s="75"/>
      <c r="T264" s="75"/>
      <c r="U264" s="74"/>
    </row>
    <row r="265" spans="1:21" ht="17.25" customHeight="1" x14ac:dyDescent="0.3">
      <c r="A265" s="66" t="s">
        <v>30</v>
      </c>
      <c r="C265" s="67"/>
      <c r="D265" s="77"/>
      <c r="E265" s="77" t="s">
        <v>31</v>
      </c>
      <c r="F265" s="76" t="s">
        <v>31</v>
      </c>
      <c r="G265" s="76" t="s">
        <v>31</v>
      </c>
      <c r="H265" s="76"/>
      <c r="I265" s="76"/>
      <c r="J265" s="76" t="s">
        <v>31</v>
      </c>
      <c r="K265" s="76" t="s">
        <v>31</v>
      </c>
      <c r="L265" s="76" t="s">
        <v>31</v>
      </c>
      <c r="M265" s="76" t="s">
        <v>31</v>
      </c>
      <c r="N265" s="76"/>
      <c r="U265" s="81"/>
    </row>
    <row r="266" spans="1:21" ht="20.25" customHeight="1" x14ac:dyDescent="0.35">
      <c r="A266" s="66" t="s">
        <v>30</v>
      </c>
      <c r="C266" s="67"/>
      <c r="D266" s="92" t="str">
        <f t="shared" ref="D266" si="184">E266</f>
        <v>S100009</v>
      </c>
      <c r="E266" s="91" t="str">
        <f>"S100009"</f>
        <v>S100009</v>
      </c>
      <c r="F266" s="89" t="str">
        <f>"Engraved Basketball Award"</f>
        <v>Engraved Basketball Award</v>
      </c>
      <c r="G266" s="89"/>
      <c r="H266" s="90" t="str">
        <f>"EA"</f>
        <v>EA</v>
      </c>
      <c r="I266" s="89"/>
      <c r="J266" s="89"/>
      <c r="K266" s="89"/>
      <c r="L266" s="89"/>
      <c r="M266" s="89"/>
      <c r="N266" s="89"/>
      <c r="O266" s="88">
        <f>(SUBTOTAL(9,O267:O268))</f>
        <v>200</v>
      </c>
      <c r="P266" s="88">
        <f>(SUBTOTAL(9,P267:P268))</f>
        <v>0</v>
      </c>
      <c r="Q266" s="88">
        <f>(SUBTOTAL(9,Q267:Q268))</f>
        <v>0</v>
      </c>
      <c r="R266" s="88">
        <f>(SUBTOTAL(9,R267:R268))</f>
        <v>0</v>
      </c>
      <c r="S266" s="88">
        <f>(SUBTOTAL(9,S267:S268))</f>
        <v>0</v>
      </c>
      <c r="T266" s="88">
        <f>(SUBTOTAL(9,T267:T268))</f>
        <v>0</v>
      </c>
      <c r="U266" s="87">
        <f t="shared" ref="U266" si="185">SUBTOTAL(9,O267:T268)</f>
        <v>200</v>
      </c>
    </row>
    <row r="267" spans="1:21" ht="17.25" customHeight="1" x14ac:dyDescent="0.3">
      <c r="A267" s="66" t="s">
        <v>30</v>
      </c>
      <c r="C267" s="67"/>
      <c r="D267" s="77" t="str">
        <f t="shared" ref="D267" si="186">D266</f>
        <v>S100009</v>
      </c>
      <c r="E267" s="77"/>
      <c r="F267" s="76"/>
      <c r="G267" s="76" t="str">
        <f>"""NAV Direct"",""CRONUS JetCorp USA"",""32"",""1"",""166420"""</f>
        <v>"NAV Direct","CRONUS JetCorp USA","32","1","166420"</v>
      </c>
      <c r="H267" s="86">
        <v>43466</v>
      </c>
      <c r="I267" s="85">
        <v>166420</v>
      </c>
      <c r="J267" s="84" t="str">
        <f>"Vendor"</f>
        <v>Vendor</v>
      </c>
      <c r="K267" s="84" t="str">
        <f>"V100001"</f>
        <v>V100001</v>
      </c>
      <c r="L267" s="84" t="str">
        <f>IF($J267="Customer",_xll.NL("first",$J267,"Name","No.","@@"&amp;$K267),"")</f>
        <v/>
      </c>
      <c r="M267" s="84" t="str">
        <f>"Greigner, Inc."</f>
        <v>Greigner, Inc.</v>
      </c>
      <c r="N267" s="84" t="str">
        <f>IF($J267="Item",_xll.NL("first",$J267,"Description","No.","@@"&amp;$K267),"")</f>
        <v/>
      </c>
      <c r="O267" s="83">
        <v>200</v>
      </c>
      <c r="P267" s="83">
        <v>0</v>
      </c>
      <c r="Q267" s="83">
        <v>0</v>
      </c>
      <c r="R267" s="83">
        <v>0</v>
      </c>
      <c r="S267" s="83">
        <v>0</v>
      </c>
      <c r="T267" s="83">
        <v>0</v>
      </c>
      <c r="U267" s="82"/>
    </row>
    <row r="268" spans="1:21" ht="17.25" customHeight="1" x14ac:dyDescent="0.3">
      <c r="A268" s="66" t="s">
        <v>30</v>
      </c>
      <c r="C268" s="67"/>
      <c r="D268" s="77"/>
      <c r="E268" s="77"/>
      <c r="F268" s="76"/>
      <c r="G268" s="76"/>
      <c r="H268" s="76"/>
      <c r="I268" s="76"/>
      <c r="J268" s="76"/>
      <c r="K268" s="76"/>
      <c r="L268" s="76"/>
      <c r="M268" s="76"/>
      <c r="N268" s="76"/>
      <c r="O268" s="75"/>
      <c r="P268" s="75"/>
      <c r="Q268" s="75"/>
      <c r="R268" s="75"/>
      <c r="S268" s="75"/>
      <c r="T268" s="75"/>
      <c r="U268" s="74"/>
    </row>
    <row r="269" spans="1:21" ht="17.25" customHeight="1" x14ac:dyDescent="0.3">
      <c r="A269" s="66" t="s">
        <v>30</v>
      </c>
      <c r="C269" s="67"/>
      <c r="D269" s="77"/>
      <c r="E269" s="77" t="s">
        <v>31</v>
      </c>
      <c r="F269" s="76" t="s">
        <v>31</v>
      </c>
      <c r="G269" s="76" t="s">
        <v>31</v>
      </c>
      <c r="H269" s="76"/>
      <c r="I269" s="76"/>
      <c r="J269" s="76" t="s">
        <v>31</v>
      </c>
      <c r="K269" s="76" t="s">
        <v>31</v>
      </c>
      <c r="L269" s="76" t="s">
        <v>31</v>
      </c>
      <c r="M269" s="76" t="s">
        <v>31</v>
      </c>
      <c r="N269" s="76"/>
      <c r="U269" s="81"/>
    </row>
    <row r="270" spans="1:21" ht="20.25" customHeight="1" x14ac:dyDescent="0.35">
      <c r="A270" s="66" t="s">
        <v>30</v>
      </c>
      <c r="C270" s="67"/>
      <c r="D270" s="92" t="str">
        <f t="shared" ref="D270" si="187">E270</f>
        <v>S100011</v>
      </c>
      <c r="E270" s="91" t="str">
        <f>"S100011"</f>
        <v>S100011</v>
      </c>
      <c r="F270" s="89" t="str">
        <f>"All Star Cap"</f>
        <v>All Star Cap</v>
      </c>
      <c r="G270" s="89"/>
      <c r="H270" s="90" t="str">
        <f>"EA"</f>
        <v>EA</v>
      </c>
      <c r="I270" s="89"/>
      <c r="J270" s="89"/>
      <c r="K270" s="89"/>
      <c r="L270" s="89"/>
      <c r="M270" s="89"/>
      <c r="N270" s="89"/>
      <c r="O270" s="88">
        <f>(SUBTOTAL(9,O271:O273))</f>
        <v>400</v>
      </c>
      <c r="P270" s="88">
        <f>(SUBTOTAL(9,P271:P273))</f>
        <v>-1</v>
      </c>
      <c r="Q270" s="88">
        <f>(SUBTOTAL(9,Q271:Q273))</f>
        <v>0</v>
      </c>
      <c r="R270" s="88">
        <f>(SUBTOTAL(9,R271:R273))</f>
        <v>0</v>
      </c>
      <c r="S270" s="88">
        <f>(SUBTOTAL(9,S271:S273))</f>
        <v>0</v>
      </c>
      <c r="T270" s="88">
        <f>(SUBTOTAL(9,T271:T273))</f>
        <v>0</v>
      </c>
      <c r="U270" s="87">
        <f t="shared" ref="U270" si="188">SUBTOTAL(9,O271:T273)</f>
        <v>399</v>
      </c>
    </row>
    <row r="271" spans="1:21" ht="17.25" customHeight="1" x14ac:dyDescent="0.3">
      <c r="A271" s="66" t="s">
        <v>30</v>
      </c>
      <c r="C271" s="67"/>
      <c r="D271" s="77" t="str">
        <f t="shared" ref="D271" si="189">D270</f>
        <v>S100011</v>
      </c>
      <c r="E271" s="77"/>
      <c r="F271" s="76"/>
      <c r="G271" s="76" t="str">
        <f>"""NAV Direct"",""CRONUS JetCorp USA"",""32"",""1"",""167169"""</f>
        <v>"NAV Direct","CRONUS JetCorp USA","32","1","167169"</v>
      </c>
      <c r="H271" s="86">
        <v>43466</v>
      </c>
      <c r="I271" s="85">
        <v>167169</v>
      </c>
      <c r="J271" s="84" t="str">
        <f>"Vendor"</f>
        <v>Vendor</v>
      </c>
      <c r="K271" s="84" t="str">
        <f>"V100001"</f>
        <v>V100001</v>
      </c>
      <c r="L271" s="84" t="str">
        <f>IF($J271="Customer",_xll.NL("first",$J271,"Name","No.","@@"&amp;$K271),"")</f>
        <v/>
      </c>
      <c r="M271" s="84" t="str">
        <f>"Greigner, Inc."</f>
        <v>Greigner, Inc.</v>
      </c>
      <c r="N271" s="84" t="str">
        <f>IF($J271="Item",_xll.NL("first",$J271,"Description","No.","@@"&amp;$K271),"")</f>
        <v/>
      </c>
      <c r="O271" s="83">
        <v>400</v>
      </c>
      <c r="P271" s="83">
        <v>0</v>
      </c>
      <c r="Q271" s="83">
        <v>0</v>
      </c>
      <c r="R271" s="83">
        <v>0</v>
      </c>
      <c r="S271" s="83">
        <v>0</v>
      </c>
      <c r="T271" s="83">
        <v>0</v>
      </c>
      <c r="U271" s="82"/>
    </row>
    <row r="272" spans="1:21" ht="17.25" customHeight="1" x14ac:dyDescent="0.3">
      <c r="A272" s="66" t="s">
        <v>30</v>
      </c>
      <c r="C272" s="67"/>
      <c r="D272" s="77" t="str">
        <f t="shared" ref="D272" si="190">D271</f>
        <v>S100011</v>
      </c>
      <c r="E272" s="77"/>
      <c r="F272" s="76"/>
      <c r="G272" s="76" t="str">
        <f>"""NAV Direct"",""CRONUS JetCorp USA"",""32"",""1"",""20394"""</f>
        <v>"NAV Direct","CRONUS JetCorp USA","32","1","20394"</v>
      </c>
      <c r="H272" s="86">
        <v>43473</v>
      </c>
      <c r="I272" s="85">
        <v>20394</v>
      </c>
      <c r="J272" s="84" t="str">
        <f>"Customer"</f>
        <v>Customer</v>
      </c>
      <c r="K272" s="84" t="str">
        <f>"C100130"</f>
        <v>C100130</v>
      </c>
      <c r="L272" s="84" t="str">
        <f>IF($J272="Customer",_xll.NL("first",$J272,"Name","No.","@@"&amp;$K272),"")</f>
        <v>Hotspot Systems</v>
      </c>
      <c r="M272" s="84" t="str">
        <f>""</f>
        <v/>
      </c>
      <c r="N272" s="84" t="str">
        <f>IF($J272="Item",_xll.NL("first",$J272,"Description","No.","@@"&amp;$K272),"")</f>
        <v/>
      </c>
      <c r="O272" s="83">
        <v>0</v>
      </c>
      <c r="P272" s="83">
        <v>-1</v>
      </c>
      <c r="Q272" s="83">
        <v>0</v>
      </c>
      <c r="R272" s="83">
        <v>0</v>
      </c>
      <c r="S272" s="83">
        <v>0</v>
      </c>
      <c r="T272" s="83">
        <v>0</v>
      </c>
      <c r="U272" s="82"/>
    </row>
    <row r="273" spans="1:21" ht="17.25" customHeight="1" x14ac:dyDescent="0.3">
      <c r="A273" s="66" t="s">
        <v>30</v>
      </c>
      <c r="C273" s="67"/>
      <c r="D273" s="77"/>
      <c r="E273" s="77"/>
      <c r="F273" s="76"/>
      <c r="G273" s="76"/>
      <c r="H273" s="76"/>
      <c r="I273" s="76"/>
      <c r="J273" s="76"/>
      <c r="K273" s="76"/>
      <c r="L273" s="76"/>
      <c r="M273" s="76"/>
      <c r="N273" s="76"/>
      <c r="O273" s="75"/>
      <c r="P273" s="75"/>
      <c r="Q273" s="75"/>
      <c r="R273" s="75"/>
      <c r="S273" s="75"/>
      <c r="T273" s="75"/>
      <c r="U273" s="74"/>
    </row>
    <row r="274" spans="1:21" ht="17.25" customHeight="1" x14ac:dyDescent="0.3">
      <c r="A274" s="66" t="s">
        <v>30</v>
      </c>
      <c r="C274" s="67"/>
      <c r="D274" s="77"/>
      <c r="E274" s="77" t="s">
        <v>31</v>
      </c>
      <c r="F274" s="76" t="s">
        <v>31</v>
      </c>
      <c r="G274" s="76" t="s">
        <v>31</v>
      </c>
      <c r="H274" s="76"/>
      <c r="I274" s="76"/>
      <c r="J274" s="76" t="s">
        <v>31</v>
      </c>
      <c r="K274" s="76" t="s">
        <v>31</v>
      </c>
      <c r="L274" s="76" t="s">
        <v>31</v>
      </c>
      <c r="M274" s="76" t="s">
        <v>31</v>
      </c>
      <c r="N274" s="76"/>
      <c r="U274" s="81"/>
    </row>
    <row r="275" spans="1:21" ht="20.25" customHeight="1" x14ac:dyDescent="0.35">
      <c r="A275" s="66" t="s">
        <v>30</v>
      </c>
      <c r="C275" s="67"/>
      <c r="D275" s="92" t="str">
        <f t="shared" ref="D275" si="191">E275</f>
        <v>S100016</v>
      </c>
      <c r="E275" s="91" t="str">
        <f>"S100016"</f>
        <v>S100016</v>
      </c>
      <c r="F275" s="89" t="str">
        <f>"Mesh Bucket Hat"</f>
        <v>Mesh Bucket Hat</v>
      </c>
      <c r="G275" s="89"/>
      <c r="H275" s="90" t="str">
        <f>"EA"</f>
        <v>EA</v>
      </c>
      <c r="I275" s="89"/>
      <c r="J275" s="89"/>
      <c r="K275" s="89"/>
      <c r="L275" s="89"/>
      <c r="M275" s="89"/>
      <c r="N275" s="89"/>
      <c r="O275" s="88">
        <f>(SUBTOTAL(9,O276:O278))</f>
        <v>0</v>
      </c>
      <c r="P275" s="88">
        <f>(SUBTOTAL(9,P276:P278))</f>
        <v>-145</v>
      </c>
      <c r="Q275" s="88">
        <f>(SUBTOTAL(9,Q276:Q278))</f>
        <v>0</v>
      </c>
      <c r="R275" s="88">
        <f>(SUBTOTAL(9,R276:R278))</f>
        <v>0</v>
      </c>
      <c r="S275" s="88">
        <f>(SUBTOTAL(9,S276:S278))</f>
        <v>0</v>
      </c>
      <c r="T275" s="88">
        <f>(SUBTOTAL(9,T276:T278))</f>
        <v>0</v>
      </c>
      <c r="U275" s="87">
        <f t="shared" ref="U275" si="192">SUBTOTAL(9,O276:T278)</f>
        <v>-145</v>
      </c>
    </row>
    <row r="276" spans="1:21" ht="17.25" customHeight="1" x14ac:dyDescent="0.3">
      <c r="A276" s="66" t="s">
        <v>30</v>
      </c>
      <c r="C276" s="67"/>
      <c r="D276" s="77" t="str">
        <f t="shared" ref="D276" si="193">D275</f>
        <v>S100016</v>
      </c>
      <c r="E276" s="77"/>
      <c r="F276" s="76"/>
      <c r="G276" s="76" t="str">
        <f>"""NAV Direct"",""CRONUS JetCorp USA"",""32"",""1"",""20415"""</f>
        <v>"NAV Direct","CRONUS JetCorp USA","32","1","20415"</v>
      </c>
      <c r="H276" s="86">
        <v>43475</v>
      </c>
      <c r="I276" s="85">
        <v>20415</v>
      </c>
      <c r="J276" s="84" t="str">
        <f>"Customer"</f>
        <v>Customer</v>
      </c>
      <c r="K276" s="84" t="str">
        <f>"C100130"</f>
        <v>C100130</v>
      </c>
      <c r="L276" s="84" t="str">
        <f>IF($J276="Customer",_xll.NL("first",$J276,"Name","No.","@@"&amp;$K276),"")</f>
        <v>Hotspot Systems</v>
      </c>
      <c r="M276" s="84" t="str">
        <f>""</f>
        <v/>
      </c>
      <c r="N276" s="84" t="str">
        <f>IF($J276="Item",_xll.NL("first",$J276,"Description","No.","@@"&amp;$K276),"")</f>
        <v/>
      </c>
      <c r="O276" s="83">
        <v>0</v>
      </c>
      <c r="P276" s="83">
        <v>-1</v>
      </c>
      <c r="Q276" s="83">
        <v>0</v>
      </c>
      <c r="R276" s="83">
        <v>0</v>
      </c>
      <c r="S276" s="83">
        <v>0</v>
      </c>
      <c r="T276" s="83">
        <v>0</v>
      </c>
      <c r="U276" s="82"/>
    </row>
    <row r="277" spans="1:21" ht="17.25" customHeight="1" x14ac:dyDescent="0.3">
      <c r="A277" s="66" t="s">
        <v>30</v>
      </c>
      <c r="C277" s="67"/>
      <c r="D277" s="77" t="str">
        <f t="shared" ref="D277" si="194">D276</f>
        <v>S100016</v>
      </c>
      <c r="E277" s="77"/>
      <c r="F277" s="76"/>
      <c r="G277" s="76" t="str">
        <f>"""NAV Direct"",""CRONUS JetCorp USA"",""32"",""1"",""64613"""</f>
        <v>"NAV Direct","CRONUS JetCorp USA","32","1","64613"</v>
      </c>
      <c r="H277" s="86">
        <v>43475</v>
      </c>
      <c r="I277" s="85">
        <v>64613</v>
      </c>
      <c r="J277" s="84" t="str">
        <f>"Customer"</f>
        <v>Customer</v>
      </c>
      <c r="K277" s="84" t="str">
        <f>"C100136"</f>
        <v>C100136</v>
      </c>
      <c r="L277" s="84" t="str">
        <f>IF($J277="Customer",_xll.NL("first",$J277,"Name","No.","@@"&amp;$K277),"")</f>
        <v>First Bank</v>
      </c>
      <c r="M277" s="84" t="str">
        <f>""</f>
        <v/>
      </c>
      <c r="N277" s="84" t="str">
        <f>IF($J277="Item",_xll.NL("first",$J277,"Description","No.","@@"&amp;$K277),"")</f>
        <v/>
      </c>
      <c r="O277" s="83">
        <v>0</v>
      </c>
      <c r="P277" s="83">
        <v>-144</v>
      </c>
      <c r="Q277" s="83">
        <v>0</v>
      </c>
      <c r="R277" s="83">
        <v>0</v>
      </c>
      <c r="S277" s="83">
        <v>0</v>
      </c>
      <c r="T277" s="83">
        <v>0</v>
      </c>
      <c r="U277" s="82"/>
    </row>
    <row r="278" spans="1:21" ht="17.25" customHeight="1" x14ac:dyDescent="0.3">
      <c r="A278" s="66" t="s">
        <v>30</v>
      </c>
      <c r="C278" s="67"/>
      <c r="D278" s="77"/>
      <c r="E278" s="77"/>
      <c r="F278" s="76"/>
      <c r="G278" s="76"/>
      <c r="H278" s="76"/>
      <c r="I278" s="76"/>
      <c r="J278" s="76"/>
      <c r="K278" s="76"/>
      <c r="L278" s="76"/>
      <c r="M278" s="76"/>
      <c r="N278" s="76"/>
      <c r="O278" s="75"/>
      <c r="P278" s="75"/>
      <c r="Q278" s="75"/>
      <c r="R278" s="75"/>
      <c r="S278" s="75"/>
      <c r="T278" s="75"/>
      <c r="U278" s="74"/>
    </row>
    <row r="279" spans="1:21" ht="17.25" customHeight="1" x14ac:dyDescent="0.3">
      <c r="A279" s="66" t="s">
        <v>30</v>
      </c>
      <c r="C279" s="67"/>
      <c r="D279" s="77"/>
      <c r="E279" s="77" t="s">
        <v>31</v>
      </c>
      <c r="F279" s="76" t="s">
        <v>31</v>
      </c>
      <c r="G279" s="76" t="s">
        <v>31</v>
      </c>
      <c r="H279" s="76"/>
      <c r="I279" s="76"/>
      <c r="J279" s="76" t="s">
        <v>31</v>
      </c>
      <c r="K279" s="76" t="s">
        <v>31</v>
      </c>
      <c r="L279" s="76" t="s">
        <v>31</v>
      </c>
      <c r="M279" s="76" t="s">
        <v>31</v>
      </c>
      <c r="N279" s="76"/>
      <c r="U279" s="81"/>
    </row>
    <row r="280" spans="1:21" ht="20.25" customHeight="1" x14ac:dyDescent="0.35">
      <c r="A280" s="66" t="s">
        <v>30</v>
      </c>
      <c r="C280" s="67"/>
      <c r="D280" s="92" t="str">
        <f t="shared" ref="D280" si="195">E280</f>
        <v>S100017</v>
      </c>
      <c r="E280" s="91" t="str">
        <f>"S100017"</f>
        <v>S100017</v>
      </c>
      <c r="F280" s="89" t="str">
        <f>"Microfiber Bucket Hat"</f>
        <v>Microfiber Bucket Hat</v>
      </c>
      <c r="G280" s="89"/>
      <c r="H280" s="90" t="str">
        <f>"EA"</f>
        <v>EA</v>
      </c>
      <c r="I280" s="89"/>
      <c r="J280" s="89"/>
      <c r="K280" s="89"/>
      <c r="L280" s="89"/>
      <c r="M280" s="89"/>
      <c r="N280" s="89"/>
      <c r="O280" s="88">
        <f>(SUBTOTAL(9,O281:O282))</f>
        <v>0</v>
      </c>
      <c r="P280" s="88">
        <f>(SUBTOTAL(9,P281:P282))</f>
        <v>-144</v>
      </c>
      <c r="Q280" s="88">
        <f>(SUBTOTAL(9,Q281:Q282))</f>
        <v>0</v>
      </c>
      <c r="R280" s="88">
        <f>(SUBTOTAL(9,R281:R282))</f>
        <v>0</v>
      </c>
      <c r="S280" s="88">
        <f>(SUBTOTAL(9,S281:S282))</f>
        <v>0</v>
      </c>
      <c r="T280" s="88">
        <f>(SUBTOTAL(9,T281:T282))</f>
        <v>0</v>
      </c>
      <c r="U280" s="87">
        <f t="shared" ref="U280" si="196">SUBTOTAL(9,O281:T282)</f>
        <v>-144</v>
      </c>
    </row>
    <row r="281" spans="1:21" ht="17.25" customHeight="1" x14ac:dyDescent="0.3">
      <c r="A281" s="66" t="s">
        <v>30</v>
      </c>
      <c r="C281" s="67"/>
      <c r="D281" s="77" t="str">
        <f t="shared" ref="D281" si="197">D280</f>
        <v>S100017</v>
      </c>
      <c r="E281" s="77"/>
      <c r="F281" s="76"/>
      <c r="G281" s="76" t="str">
        <f>"""NAV Direct"",""CRONUS JetCorp USA"",""32"",""1"",""20384"""</f>
        <v>"NAV Direct","CRONUS JetCorp USA","32","1","20384"</v>
      </c>
      <c r="H281" s="86">
        <v>43473</v>
      </c>
      <c r="I281" s="85">
        <v>20384</v>
      </c>
      <c r="J281" s="84" t="str">
        <f>"Customer"</f>
        <v>Customer</v>
      </c>
      <c r="K281" s="84" t="str">
        <f>"C100130"</f>
        <v>C100130</v>
      </c>
      <c r="L281" s="84" t="str">
        <f>IF($J281="Customer",_xll.NL("first",$J281,"Name","No.","@@"&amp;$K281),"")</f>
        <v>Hotspot Systems</v>
      </c>
      <c r="M281" s="84" t="str">
        <f>""</f>
        <v/>
      </c>
      <c r="N281" s="84" t="str">
        <f>IF($J281="Item",_xll.NL("first",$J281,"Description","No.","@@"&amp;$K281),"")</f>
        <v/>
      </c>
      <c r="O281" s="83">
        <v>0</v>
      </c>
      <c r="P281" s="83">
        <v>-144</v>
      </c>
      <c r="Q281" s="83">
        <v>0</v>
      </c>
      <c r="R281" s="83">
        <v>0</v>
      </c>
      <c r="S281" s="83">
        <v>0</v>
      </c>
      <c r="T281" s="83">
        <v>0</v>
      </c>
      <c r="U281" s="82"/>
    </row>
    <row r="282" spans="1:21" ht="17.25" customHeight="1" x14ac:dyDescent="0.3">
      <c r="A282" s="66" t="s">
        <v>30</v>
      </c>
      <c r="C282" s="67"/>
      <c r="D282" s="77"/>
      <c r="E282" s="77"/>
      <c r="F282" s="76"/>
      <c r="G282" s="76"/>
      <c r="H282" s="76"/>
      <c r="I282" s="76"/>
      <c r="J282" s="76"/>
      <c r="K282" s="76"/>
      <c r="L282" s="76"/>
      <c r="M282" s="76"/>
      <c r="N282" s="76"/>
      <c r="O282" s="75"/>
      <c r="P282" s="75"/>
      <c r="Q282" s="75"/>
      <c r="R282" s="75"/>
      <c r="S282" s="75"/>
      <c r="T282" s="75"/>
      <c r="U282" s="74"/>
    </row>
    <row r="283" spans="1:21" ht="17.25" customHeight="1" x14ac:dyDescent="0.3">
      <c r="A283" s="66" t="s">
        <v>30</v>
      </c>
      <c r="C283" s="67"/>
      <c r="D283" s="77"/>
      <c r="E283" s="77" t="s">
        <v>31</v>
      </c>
      <c r="F283" s="76" t="s">
        <v>31</v>
      </c>
      <c r="G283" s="76" t="s">
        <v>31</v>
      </c>
      <c r="H283" s="76"/>
      <c r="I283" s="76"/>
      <c r="J283" s="76" t="s">
        <v>31</v>
      </c>
      <c r="K283" s="76" t="s">
        <v>31</v>
      </c>
      <c r="L283" s="76" t="s">
        <v>31</v>
      </c>
      <c r="M283" s="76" t="s">
        <v>31</v>
      </c>
      <c r="N283" s="76"/>
      <c r="U283" s="81"/>
    </row>
    <row r="284" spans="1:21" ht="20.25" customHeight="1" x14ac:dyDescent="0.35">
      <c r="A284" s="66" t="s">
        <v>30</v>
      </c>
      <c r="C284" s="67"/>
      <c r="D284" s="92" t="str">
        <f t="shared" ref="D284" si="198">E284</f>
        <v>S100019</v>
      </c>
      <c r="E284" s="91" t="str">
        <f>"S100019"</f>
        <v>S100019</v>
      </c>
      <c r="F284" s="89" t="str">
        <f>"Sportsman Bucket Hat"</f>
        <v>Sportsman Bucket Hat</v>
      </c>
      <c r="G284" s="89"/>
      <c r="H284" s="90" t="str">
        <f>"EA"</f>
        <v>EA</v>
      </c>
      <c r="I284" s="89"/>
      <c r="J284" s="89"/>
      <c r="K284" s="89"/>
      <c r="L284" s="89"/>
      <c r="M284" s="89"/>
      <c r="N284" s="89"/>
      <c r="O284" s="88">
        <f>(SUBTOTAL(9,O285:O288))</f>
        <v>0</v>
      </c>
      <c r="P284" s="88">
        <f>(SUBTOTAL(9,P285:P288))</f>
        <v>-342</v>
      </c>
      <c r="Q284" s="88">
        <f>(SUBTOTAL(9,Q285:Q288))</f>
        <v>0</v>
      </c>
      <c r="R284" s="88">
        <f>(SUBTOTAL(9,R285:R288))</f>
        <v>0</v>
      </c>
      <c r="S284" s="88">
        <f>(SUBTOTAL(9,S285:S288))</f>
        <v>0</v>
      </c>
      <c r="T284" s="88">
        <f>(SUBTOTAL(9,T285:T288))</f>
        <v>0</v>
      </c>
      <c r="U284" s="87">
        <f t="shared" ref="U284" si="199">SUBTOTAL(9,O285:T288)</f>
        <v>-342</v>
      </c>
    </row>
    <row r="285" spans="1:21" ht="17.25" customHeight="1" x14ac:dyDescent="0.3">
      <c r="A285" s="66" t="s">
        <v>30</v>
      </c>
      <c r="C285" s="67"/>
      <c r="D285" s="77" t="str">
        <f t="shared" ref="D285" si="200">D284</f>
        <v>S100019</v>
      </c>
      <c r="E285" s="77"/>
      <c r="F285" s="76"/>
      <c r="G285" s="76" t="str">
        <f>"""NAV Direct"",""CRONUS JetCorp USA"",""32"",""1"",""153170"""</f>
        <v>"NAV Direct","CRONUS JetCorp USA","32","1","153170"</v>
      </c>
      <c r="H285" s="86">
        <v>43470</v>
      </c>
      <c r="I285" s="85">
        <v>153170</v>
      </c>
      <c r="J285" s="84" t="str">
        <f>"Customer"</f>
        <v>Customer</v>
      </c>
      <c r="K285" s="84" t="str">
        <f>"C100136"</f>
        <v>C100136</v>
      </c>
      <c r="L285" s="84" t="str">
        <f>IF($J285="Customer",_xll.NL("first",$J285,"Name","No.","@@"&amp;$K285),"")</f>
        <v>First Bank</v>
      </c>
      <c r="M285" s="84" t="str">
        <f>""</f>
        <v/>
      </c>
      <c r="N285" s="84" t="str">
        <f>IF($J285="Item",_xll.NL("first",$J285,"Description","No.","@@"&amp;$K285),"")</f>
        <v/>
      </c>
      <c r="O285" s="83">
        <v>0</v>
      </c>
      <c r="P285" s="83">
        <v>-48</v>
      </c>
      <c r="Q285" s="83">
        <v>0</v>
      </c>
      <c r="R285" s="83">
        <v>0</v>
      </c>
      <c r="S285" s="83">
        <v>0</v>
      </c>
      <c r="T285" s="83">
        <v>0</v>
      </c>
      <c r="U285" s="82"/>
    </row>
    <row r="286" spans="1:21" ht="17.25" customHeight="1" x14ac:dyDescent="0.3">
      <c r="A286" s="66" t="s">
        <v>30</v>
      </c>
      <c r="C286" s="67"/>
      <c r="D286" s="77" t="str">
        <f t="shared" ref="D286:D287" si="201">D285</f>
        <v>S100019</v>
      </c>
      <c r="E286" s="77"/>
      <c r="F286" s="76"/>
      <c r="G286" s="76" t="str">
        <f>"""NAV Direct"",""CRONUS JetCorp USA"",""32"",""1"",""20381"""</f>
        <v>"NAV Direct","CRONUS JetCorp USA","32","1","20381"</v>
      </c>
      <c r="H286" s="86">
        <v>43473</v>
      </c>
      <c r="I286" s="85">
        <v>20381</v>
      </c>
      <c r="J286" s="84" t="str">
        <f>"Customer"</f>
        <v>Customer</v>
      </c>
      <c r="K286" s="84" t="str">
        <f>"C100130"</f>
        <v>C100130</v>
      </c>
      <c r="L286" s="84" t="str">
        <f>IF($J286="Customer",_xll.NL("first",$J286,"Name","No.","@@"&amp;$K286),"")</f>
        <v>Hotspot Systems</v>
      </c>
      <c r="M286" s="84" t="str">
        <f>""</f>
        <v/>
      </c>
      <c r="N286" s="84" t="str">
        <f>IF($J286="Item",_xll.NL("first",$J286,"Description","No.","@@"&amp;$K286),"")</f>
        <v/>
      </c>
      <c r="O286" s="83">
        <v>0</v>
      </c>
      <c r="P286" s="83">
        <v>-288</v>
      </c>
      <c r="Q286" s="83">
        <v>0</v>
      </c>
      <c r="R286" s="83">
        <v>0</v>
      </c>
      <c r="S286" s="83">
        <v>0</v>
      </c>
      <c r="T286" s="83">
        <v>0</v>
      </c>
      <c r="U286" s="82"/>
    </row>
    <row r="287" spans="1:21" ht="17.25" customHeight="1" x14ac:dyDescent="0.3">
      <c r="A287" s="66" t="s">
        <v>30</v>
      </c>
      <c r="C287" s="67"/>
      <c r="D287" s="77" t="str">
        <f t="shared" si="201"/>
        <v>S100019</v>
      </c>
      <c r="E287" s="77"/>
      <c r="F287" s="76"/>
      <c r="G287" s="76" t="str">
        <f>"""NAV Direct"",""CRONUS JetCorp USA"",""32"",""1"",""20413"""</f>
        <v>"NAV Direct","CRONUS JetCorp USA","32","1","20413"</v>
      </c>
      <c r="H287" s="86">
        <v>43475</v>
      </c>
      <c r="I287" s="85">
        <v>20413</v>
      </c>
      <c r="J287" s="84" t="str">
        <f>"Customer"</f>
        <v>Customer</v>
      </c>
      <c r="K287" s="84" t="str">
        <f>"C100130"</f>
        <v>C100130</v>
      </c>
      <c r="L287" s="84" t="str">
        <f>IF($J287="Customer",_xll.NL("first",$J287,"Name","No.","@@"&amp;$K287),"")</f>
        <v>Hotspot Systems</v>
      </c>
      <c r="M287" s="84" t="str">
        <f>""</f>
        <v/>
      </c>
      <c r="N287" s="84" t="str">
        <f>IF($J287="Item",_xll.NL("first",$J287,"Description","No.","@@"&amp;$K287),"")</f>
        <v/>
      </c>
      <c r="O287" s="83">
        <v>0</v>
      </c>
      <c r="P287" s="83">
        <v>-6</v>
      </c>
      <c r="Q287" s="83">
        <v>0</v>
      </c>
      <c r="R287" s="83">
        <v>0</v>
      </c>
      <c r="S287" s="83">
        <v>0</v>
      </c>
      <c r="T287" s="83">
        <v>0</v>
      </c>
      <c r="U287" s="82"/>
    </row>
    <row r="288" spans="1:21" ht="17.25" customHeight="1" x14ac:dyDescent="0.3">
      <c r="A288" s="66" t="s">
        <v>30</v>
      </c>
      <c r="C288" s="67"/>
      <c r="D288" s="77"/>
      <c r="E288" s="77"/>
      <c r="F288" s="76"/>
      <c r="G288" s="76"/>
      <c r="H288" s="76"/>
      <c r="I288" s="76"/>
      <c r="J288" s="76"/>
      <c r="K288" s="76"/>
      <c r="L288" s="76"/>
      <c r="M288" s="76"/>
      <c r="N288" s="76"/>
      <c r="O288" s="75"/>
      <c r="P288" s="75"/>
      <c r="Q288" s="75"/>
      <c r="R288" s="75"/>
      <c r="S288" s="75"/>
      <c r="T288" s="75"/>
      <c r="U288" s="74"/>
    </row>
    <row r="289" spans="1:21" ht="17.25" customHeight="1" x14ac:dyDescent="0.3">
      <c r="A289" s="66" t="s">
        <v>30</v>
      </c>
      <c r="C289" s="67"/>
      <c r="D289" s="77"/>
      <c r="E289" s="77" t="s">
        <v>31</v>
      </c>
      <c r="F289" s="76" t="s">
        <v>31</v>
      </c>
      <c r="G289" s="76" t="s">
        <v>31</v>
      </c>
      <c r="H289" s="76"/>
      <c r="I289" s="76"/>
      <c r="J289" s="76" t="s">
        <v>31</v>
      </c>
      <c r="K289" s="76" t="s">
        <v>31</v>
      </c>
      <c r="L289" s="76" t="s">
        <v>31</v>
      </c>
      <c r="M289" s="76" t="s">
        <v>31</v>
      </c>
      <c r="N289" s="76"/>
      <c r="U289" s="81"/>
    </row>
    <row r="290" spans="1:21" ht="20.25" customHeight="1" x14ac:dyDescent="0.35">
      <c r="A290" s="66" t="s">
        <v>30</v>
      </c>
      <c r="C290" s="67"/>
      <c r="D290" s="92" t="str">
        <f t="shared" ref="D290" si="202">E290</f>
        <v>S100020</v>
      </c>
      <c r="E290" s="91" t="str">
        <f>"S100020"</f>
        <v>S100020</v>
      </c>
      <c r="F290" s="89" t="str">
        <f>"Super Sport Stopwatch"</f>
        <v>Super Sport Stopwatch</v>
      </c>
      <c r="G290" s="89"/>
      <c r="H290" s="90" t="str">
        <f>"EA"</f>
        <v>EA</v>
      </c>
      <c r="I290" s="89"/>
      <c r="J290" s="89"/>
      <c r="K290" s="89"/>
      <c r="L290" s="89"/>
      <c r="M290" s="89"/>
      <c r="N290" s="89"/>
      <c r="O290" s="88">
        <f>(SUBTOTAL(9,O291:O293))</f>
        <v>600</v>
      </c>
      <c r="P290" s="88">
        <f>(SUBTOTAL(9,P291:P293))</f>
        <v>-144</v>
      </c>
      <c r="Q290" s="88">
        <f>(SUBTOTAL(9,Q291:Q293))</f>
        <v>0</v>
      </c>
      <c r="R290" s="88">
        <f>(SUBTOTAL(9,R291:R293))</f>
        <v>0</v>
      </c>
      <c r="S290" s="88">
        <f>(SUBTOTAL(9,S291:S293))</f>
        <v>0</v>
      </c>
      <c r="T290" s="88">
        <f>(SUBTOTAL(9,T291:T293))</f>
        <v>0</v>
      </c>
      <c r="U290" s="87">
        <f t="shared" ref="U290" si="203">SUBTOTAL(9,O291:T293)</f>
        <v>456</v>
      </c>
    </row>
    <row r="291" spans="1:21" ht="17.25" customHeight="1" x14ac:dyDescent="0.3">
      <c r="A291" s="66" t="s">
        <v>30</v>
      </c>
      <c r="C291" s="67"/>
      <c r="D291" s="77" t="str">
        <f t="shared" ref="D291" si="204">D290</f>
        <v>S100020</v>
      </c>
      <c r="E291" s="77"/>
      <c r="F291" s="76"/>
      <c r="G291" s="76" t="str">
        <f>"""NAV Direct"",""CRONUS JetCorp USA"",""32"",""1"",""167618"""</f>
        <v>"NAV Direct","CRONUS JetCorp USA","32","1","167618"</v>
      </c>
      <c r="H291" s="86">
        <v>43466</v>
      </c>
      <c r="I291" s="85">
        <v>167618</v>
      </c>
      <c r="J291" s="84" t="str">
        <f>"Vendor"</f>
        <v>Vendor</v>
      </c>
      <c r="K291" s="84" t="str">
        <f>"V100001"</f>
        <v>V100001</v>
      </c>
      <c r="L291" s="84" t="str">
        <f>IF($J291="Customer",_xll.NL("first",$J291,"Name","No.","@@"&amp;$K291),"")</f>
        <v/>
      </c>
      <c r="M291" s="84" t="str">
        <f>"Greigner, Inc."</f>
        <v>Greigner, Inc.</v>
      </c>
      <c r="N291" s="84" t="str">
        <f>IF($J291="Item",_xll.NL("first",$J291,"Description","No.","@@"&amp;$K291),"")</f>
        <v/>
      </c>
      <c r="O291" s="83">
        <v>600</v>
      </c>
      <c r="P291" s="83">
        <v>0</v>
      </c>
      <c r="Q291" s="83">
        <v>0</v>
      </c>
      <c r="R291" s="83">
        <v>0</v>
      </c>
      <c r="S291" s="83">
        <v>0</v>
      </c>
      <c r="T291" s="83">
        <v>0</v>
      </c>
      <c r="U291" s="82"/>
    </row>
    <row r="292" spans="1:21" ht="17.25" customHeight="1" x14ac:dyDescent="0.3">
      <c r="A292" s="66" t="s">
        <v>30</v>
      </c>
      <c r="C292" s="67"/>
      <c r="D292" s="77" t="str">
        <f t="shared" ref="D292" si="205">D291</f>
        <v>S100020</v>
      </c>
      <c r="E292" s="77"/>
      <c r="F292" s="76"/>
      <c r="G292" s="76" t="str">
        <f>"""NAV Direct"",""CRONUS JetCorp USA"",""32"",""1"",""20390"""</f>
        <v>"NAV Direct","CRONUS JetCorp USA","32","1","20390"</v>
      </c>
      <c r="H292" s="86">
        <v>43473</v>
      </c>
      <c r="I292" s="85">
        <v>20390</v>
      </c>
      <c r="J292" s="84" t="str">
        <f>"Customer"</f>
        <v>Customer</v>
      </c>
      <c r="K292" s="84" t="str">
        <f>"C100130"</f>
        <v>C100130</v>
      </c>
      <c r="L292" s="84" t="str">
        <f>IF($J292="Customer",_xll.NL("first",$J292,"Name","No.","@@"&amp;$K292),"")</f>
        <v>Hotspot Systems</v>
      </c>
      <c r="M292" s="84" t="str">
        <f>""</f>
        <v/>
      </c>
      <c r="N292" s="84" t="str">
        <f>IF($J292="Item",_xll.NL("first",$J292,"Description","No.","@@"&amp;$K292),"")</f>
        <v/>
      </c>
      <c r="O292" s="83">
        <v>0</v>
      </c>
      <c r="P292" s="83">
        <v>-144</v>
      </c>
      <c r="Q292" s="83">
        <v>0</v>
      </c>
      <c r="R292" s="83">
        <v>0</v>
      </c>
      <c r="S292" s="83">
        <v>0</v>
      </c>
      <c r="T292" s="83">
        <v>0</v>
      </c>
      <c r="U292" s="82"/>
    </row>
    <row r="293" spans="1:21" ht="17.25" customHeight="1" x14ac:dyDescent="0.3">
      <c r="A293" s="66" t="s">
        <v>30</v>
      </c>
      <c r="C293" s="67"/>
      <c r="D293" s="77"/>
      <c r="E293" s="77"/>
      <c r="F293" s="76"/>
      <c r="G293" s="76"/>
      <c r="H293" s="76"/>
      <c r="I293" s="76"/>
      <c r="J293" s="76"/>
      <c r="K293" s="76"/>
      <c r="L293" s="76"/>
      <c r="M293" s="76"/>
      <c r="N293" s="76"/>
      <c r="O293" s="75"/>
      <c r="P293" s="75"/>
      <c r="Q293" s="75"/>
      <c r="R293" s="75"/>
      <c r="S293" s="75"/>
      <c r="T293" s="75"/>
      <c r="U293" s="74"/>
    </row>
    <row r="294" spans="1:21" ht="17.25" customHeight="1" x14ac:dyDescent="0.3">
      <c r="A294" s="66" t="s">
        <v>30</v>
      </c>
      <c r="C294" s="67"/>
      <c r="D294" s="77"/>
      <c r="E294" s="77" t="s">
        <v>31</v>
      </c>
      <c r="F294" s="76" t="s">
        <v>31</v>
      </c>
      <c r="G294" s="76" t="s">
        <v>31</v>
      </c>
      <c r="H294" s="76"/>
      <c r="I294" s="76"/>
      <c r="J294" s="76" t="s">
        <v>31</v>
      </c>
      <c r="K294" s="76" t="s">
        <v>31</v>
      </c>
      <c r="L294" s="76" t="s">
        <v>31</v>
      </c>
      <c r="M294" s="76" t="s">
        <v>31</v>
      </c>
      <c r="N294" s="76"/>
      <c r="U294" s="81"/>
    </row>
    <row r="295" spans="1:21" ht="20.25" customHeight="1" x14ac:dyDescent="0.35">
      <c r="A295" s="66" t="s">
        <v>30</v>
      </c>
      <c r="C295" s="67"/>
      <c r="D295" s="92" t="str">
        <f t="shared" ref="D295" si="206">E295</f>
        <v>S100021</v>
      </c>
      <c r="E295" s="91" t="str">
        <f>"S100021"</f>
        <v>S100021</v>
      </c>
      <c r="F295" s="89" t="str">
        <f>"Translucent Stopwatch"</f>
        <v>Translucent Stopwatch</v>
      </c>
      <c r="G295" s="89"/>
      <c r="H295" s="90" t="str">
        <f>"EA"</f>
        <v>EA</v>
      </c>
      <c r="I295" s="89"/>
      <c r="J295" s="89"/>
      <c r="K295" s="89"/>
      <c r="L295" s="89"/>
      <c r="M295" s="89"/>
      <c r="N295" s="89"/>
      <c r="O295" s="88">
        <f>(SUBTOTAL(9,O296:O298))</f>
        <v>200</v>
      </c>
      <c r="P295" s="88">
        <f>(SUBTOTAL(9,P296:P298))</f>
        <v>-144</v>
      </c>
      <c r="Q295" s="88">
        <f>(SUBTOTAL(9,Q296:Q298))</f>
        <v>0</v>
      </c>
      <c r="R295" s="88">
        <f>(SUBTOTAL(9,R296:R298))</f>
        <v>0</v>
      </c>
      <c r="S295" s="88">
        <f>(SUBTOTAL(9,S296:S298))</f>
        <v>0</v>
      </c>
      <c r="T295" s="88">
        <f>(SUBTOTAL(9,T296:T298))</f>
        <v>0</v>
      </c>
      <c r="U295" s="87">
        <f t="shared" ref="U295" si="207">SUBTOTAL(9,O296:T298)</f>
        <v>56</v>
      </c>
    </row>
    <row r="296" spans="1:21" ht="17.25" customHeight="1" x14ac:dyDescent="0.3">
      <c r="A296" s="66" t="s">
        <v>30</v>
      </c>
      <c r="C296" s="67"/>
      <c r="D296" s="77" t="str">
        <f t="shared" ref="D296" si="208">D295</f>
        <v>S100021</v>
      </c>
      <c r="E296" s="77"/>
      <c r="F296" s="76"/>
      <c r="G296" s="76" t="str">
        <f>"""NAV Direct"",""CRONUS JetCorp USA"",""32"",""1"",""167617"""</f>
        <v>"NAV Direct","CRONUS JetCorp USA","32","1","167617"</v>
      </c>
      <c r="H296" s="86">
        <v>43466</v>
      </c>
      <c r="I296" s="85">
        <v>167617</v>
      </c>
      <c r="J296" s="84" t="str">
        <f>"Vendor"</f>
        <v>Vendor</v>
      </c>
      <c r="K296" s="84" t="str">
        <f>"V100001"</f>
        <v>V100001</v>
      </c>
      <c r="L296" s="84" t="str">
        <f>IF($J296="Customer",_xll.NL("first",$J296,"Name","No.","@@"&amp;$K296),"")</f>
        <v/>
      </c>
      <c r="M296" s="84" t="str">
        <f>"Greigner, Inc."</f>
        <v>Greigner, Inc.</v>
      </c>
      <c r="N296" s="84" t="str">
        <f>IF($J296="Item",_xll.NL("first",$J296,"Description","No.","@@"&amp;$K296),"")</f>
        <v/>
      </c>
      <c r="O296" s="83">
        <v>200</v>
      </c>
      <c r="P296" s="83">
        <v>0</v>
      </c>
      <c r="Q296" s="83">
        <v>0</v>
      </c>
      <c r="R296" s="83">
        <v>0</v>
      </c>
      <c r="S296" s="83">
        <v>0</v>
      </c>
      <c r="T296" s="83">
        <v>0</v>
      </c>
      <c r="U296" s="82"/>
    </row>
    <row r="297" spans="1:21" ht="17.25" customHeight="1" x14ac:dyDescent="0.3">
      <c r="A297" s="66" t="s">
        <v>30</v>
      </c>
      <c r="C297" s="67"/>
      <c r="D297" s="77" t="str">
        <f t="shared" ref="D297" si="209">D296</f>
        <v>S100021</v>
      </c>
      <c r="E297" s="77"/>
      <c r="F297" s="76"/>
      <c r="G297" s="76" t="str">
        <f>"""NAV Direct"",""CRONUS JetCorp USA"",""32"",""1"",""20409"""</f>
        <v>"NAV Direct","CRONUS JetCorp USA","32","1","20409"</v>
      </c>
      <c r="H297" s="86">
        <v>43475</v>
      </c>
      <c r="I297" s="85">
        <v>20409</v>
      </c>
      <c r="J297" s="84" t="str">
        <f>"Customer"</f>
        <v>Customer</v>
      </c>
      <c r="K297" s="84" t="str">
        <f>"C100130"</f>
        <v>C100130</v>
      </c>
      <c r="L297" s="84" t="str">
        <f>IF($J297="Customer",_xll.NL("first",$J297,"Name","No.","@@"&amp;$K297),"")</f>
        <v>Hotspot Systems</v>
      </c>
      <c r="M297" s="84" t="str">
        <f>""</f>
        <v/>
      </c>
      <c r="N297" s="84" t="str">
        <f>IF($J297="Item",_xll.NL("first",$J297,"Description","No.","@@"&amp;$K297),"")</f>
        <v/>
      </c>
      <c r="O297" s="83">
        <v>0</v>
      </c>
      <c r="P297" s="83">
        <v>-144</v>
      </c>
      <c r="Q297" s="83">
        <v>0</v>
      </c>
      <c r="R297" s="83">
        <v>0</v>
      </c>
      <c r="S297" s="83">
        <v>0</v>
      </c>
      <c r="T297" s="83">
        <v>0</v>
      </c>
      <c r="U297" s="82"/>
    </row>
    <row r="298" spans="1:21" ht="17.25" customHeight="1" x14ac:dyDescent="0.3">
      <c r="A298" s="66" t="s">
        <v>30</v>
      </c>
      <c r="C298" s="67"/>
      <c r="D298" s="77"/>
      <c r="E298" s="77"/>
      <c r="F298" s="76"/>
      <c r="G298" s="76"/>
      <c r="H298" s="76"/>
      <c r="I298" s="76"/>
      <c r="J298" s="76"/>
      <c r="K298" s="76"/>
      <c r="L298" s="76"/>
      <c r="M298" s="76"/>
      <c r="N298" s="76"/>
      <c r="O298" s="75"/>
      <c r="P298" s="75"/>
      <c r="Q298" s="75"/>
      <c r="R298" s="75"/>
      <c r="S298" s="75"/>
      <c r="T298" s="75"/>
      <c r="U298" s="74"/>
    </row>
    <row r="299" spans="1:21" ht="17.25" customHeight="1" x14ac:dyDescent="0.3">
      <c r="A299" s="66" t="s">
        <v>30</v>
      </c>
      <c r="C299" s="67"/>
      <c r="D299" s="77"/>
      <c r="E299" s="77" t="s">
        <v>31</v>
      </c>
      <c r="F299" s="76" t="s">
        <v>31</v>
      </c>
      <c r="G299" s="76" t="s">
        <v>31</v>
      </c>
      <c r="H299" s="76"/>
      <c r="I299" s="76"/>
      <c r="J299" s="76" t="s">
        <v>31</v>
      </c>
      <c r="K299" s="76" t="s">
        <v>31</v>
      </c>
      <c r="L299" s="76" t="s">
        <v>31</v>
      </c>
      <c r="M299" s="76" t="s">
        <v>31</v>
      </c>
      <c r="N299" s="76"/>
      <c r="U299" s="81"/>
    </row>
    <row r="300" spans="1:21" ht="20.25" customHeight="1" x14ac:dyDescent="0.35">
      <c r="A300" s="66" t="s">
        <v>30</v>
      </c>
      <c r="C300" s="67"/>
      <c r="D300" s="92" t="str">
        <f t="shared" ref="D300" si="210">E300</f>
        <v>S100024</v>
      </c>
      <c r="E300" s="91" t="str">
        <f>"S100024"</f>
        <v>S100024</v>
      </c>
      <c r="F300" s="89" t="str">
        <f>"Aluminum SPORT BOT"</f>
        <v>Aluminum SPORT BOT</v>
      </c>
      <c r="G300" s="89"/>
      <c r="H300" s="90" t="str">
        <f>"EA"</f>
        <v>EA</v>
      </c>
      <c r="I300" s="89"/>
      <c r="J300" s="89"/>
      <c r="K300" s="89"/>
      <c r="L300" s="89"/>
      <c r="M300" s="89"/>
      <c r="N300" s="89"/>
      <c r="O300" s="88">
        <f>(SUBTOTAL(9,O301:O303))</f>
        <v>249.99999999999997</v>
      </c>
      <c r="P300" s="88">
        <f>(SUBTOTAL(9,P301:P303))</f>
        <v>-1</v>
      </c>
      <c r="Q300" s="88">
        <f>(SUBTOTAL(9,Q301:Q303))</f>
        <v>0</v>
      </c>
      <c r="R300" s="88">
        <f>(SUBTOTAL(9,R301:R303))</f>
        <v>0</v>
      </c>
      <c r="S300" s="88">
        <f>(SUBTOTAL(9,S301:S303))</f>
        <v>0</v>
      </c>
      <c r="T300" s="88">
        <f>(SUBTOTAL(9,T301:T303))</f>
        <v>0</v>
      </c>
      <c r="U300" s="87">
        <f t="shared" ref="U300" si="211">SUBTOTAL(9,O301:T303)</f>
        <v>248.99999999999997</v>
      </c>
    </row>
    <row r="301" spans="1:21" ht="17.25" customHeight="1" x14ac:dyDescent="0.3">
      <c r="A301" s="66" t="s">
        <v>30</v>
      </c>
      <c r="C301" s="67"/>
      <c r="D301" s="77" t="str">
        <f t="shared" ref="D301" si="212">D300</f>
        <v>S100024</v>
      </c>
      <c r="E301" s="77"/>
      <c r="F301" s="76"/>
      <c r="G301" s="76" t="str">
        <f>"""NAV Direct"",""CRONUS JetCorp USA"",""32"",""1"",""168673"""</f>
        <v>"NAV Direct","CRONUS JetCorp USA","32","1","168673"</v>
      </c>
      <c r="H301" s="86">
        <v>43466</v>
      </c>
      <c r="I301" s="85">
        <v>168673</v>
      </c>
      <c r="J301" s="84" t="str">
        <f>"Vendor"</f>
        <v>Vendor</v>
      </c>
      <c r="K301" s="84" t="str">
        <f>"V100001"</f>
        <v>V100001</v>
      </c>
      <c r="L301" s="84" t="str">
        <f>IF($J301="Customer",_xll.NL("first",$J301,"Name","No.","@@"&amp;$K301),"")</f>
        <v/>
      </c>
      <c r="M301" s="84" t="str">
        <f>"Greigner, Inc."</f>
        <v>Greigner, Inc.</v>
      </c>
      <c r="N301" s="84" t="str">
        <f>IF($J301="Item",_xll.NL("first",$J301,"Description","No.","@@"&amp;$K301),"")</f>
        <v/>
      </c>
      <c r="O301" s="83">
        <v>249.99999999999997</v>
      </c>
      <c r="P301" s="83">
        <v>0</v>
      </c>
      <c r="Q301" s="83">
        <v>0</v>
      </c>
      <c r="R301" s="83">
        <v>0</v>
      </c>
      <c r="S301" s="83">
        <v>0</v>
      </c>
      <c r="T301" s="83">
        <v>0</v>
      </c>
      <c r="U301" s="82"/>
    </row>
    <row r="302" spans="1:21" ht="17.25" customHeight="1" x14ac:dyDescent="0.3">
      <c r="A302" s="66" t="s">
        <v>30</v>
      </c>
      <c r="C302" s="67"/>
      <c r="D302" s="77" t="str">
        <f t="shared" ref="D302" si="213">D301</f>
        <v>S100024</v>
      </c>
      <c r="E302" s="77"/>
      <c r="F302" s="76"/>
      <c r="G302" s="76" t="str">
        <f>"""NAV Direct"",""CRONUS JetCorp USA"",""32"",""1"",""153175"""</f>
        <v>"NAV Direct","CRONUS JetCorp USA","32","1","153175"</v>
      </c>
      <c r="H302" s="86">
        <v>43470</v>
      </c>
      <c r="I302" s="85">
        <v>153175</v>
      </c>
      <c r="J302" s="84" t="str">
        <f>"Customer"</f>
        <v>Customer</v>
      </c>
      <c r="K302" s="84" t="str">
        <f>"C100136"</f>
        <v>C100136</v>
      </c>
      <c r="L302" s="84" t="str">
        <f>IF($J302="Customer",_xll.NL("first",$J302,"Name","No.","@@"&amp;$K302),"")</f>
        <v>First Bank</v>
      </c>
      <c r="M302" s="84" t="str">
        <f>""</f>
        <v/>
      </c>
      <c r="N302" s="84" t="str">
        <f>IF($J302="Item",_xll.NL("first",$J302,"Description","No.","@@"&amp;$K302),"")</f>
        <v/>
      </c>
      <c r="O302" s="83">
        <v>0</v>
      </c>
      <c r="P302" s="83">
        <v>-1</v>
      </c>
      <c r="Q302" s="83">
        <v>0</v>
      </c>
      <c r="R302" s="83">
        <v>0</v>
      </c>
      <c r="S302" s="83">
        <v>0</v>
      </c>
      <c r="T302" s="83">
        <v>0</v>
      </c>
      <c r="U302" s="82"/>
    </row>
    <row r="303" spans="1:21" ht="17.25" customHeight="1" x14ac:dyDescent="0.3">
      <c r="A303" s="66" t="s">
        <v>30</v>
      </c>
      <c r="C303" s="67"/>
      <c r="D303" s="77"/>
      <c r="E303" s="77"/>
      <c r="F303" s="76"/>
      <c r="G303" s="76"/>
      <c r="H303" s="76"/>
      <c r="I303" s="76"/>
      <c r="J303" s="76"/>
      <c r="K303" s="76"/>
      <c r="L303" s="76"/>
      <c r="M303" s="76"/>
      <c r="N303" s="76"/>
      <c r="O303" s="75"/>
      <c r="P303" s="75"/>
      <c r="Q303" s="75"/>
      <c r="R303" s="75"/>
      <c r="S303" s="75"/>
      <c r="T303" s="75"/>
      <c r="U303" s="74"/>
    </row>
    <row r="304" spans="1:21" ht="17.25" customHeight="1" x14ac:dyDescent="0.3">
      <c r="A304" s="66" t="s">
        <v>30</v>
      </c>
      <c r="C304" s="67"/>
      <c r="D304" s="77"/>
      <c r="E304" s="77" t="s">
        <v>31</v>
      </c>
      <c r="F304" s="76" t="s">
        <v>31</v>
      </c>
      <c r="G304" s="76" t="s">
        <v>31</v>
      </c>
      <c r="H304" s="76"/>
      <c r="I304" s="76"/>
      <c r="J304" s="76" t="s">
        <v>31</v>
      </c>
      <c r="K304" s="76" t="s">
        <v>31</v>
      </c>
      <c r="L304" s="76" t="s">
        <v>31</v>
      </c>
      <c r="M304" s="76" t="s">
        <v>31</v>
      </c>
      <c r="N304" s="76"/>
      <c r="U304" s="81"/>
    </row>
    <row r="305" spans="1:21" ht="20.25" customHeight="1" x14ac:dyDescent="0.35">
      <c r="A305" s="66" t="s">
        <v>30</v>
      </c>
      <c r="C305" s="67"/>
      <c r="D305" s="92" t="str">
        <f t="shared" ref="D305" si="214">E305</f>
        <v>S100025</v>
      </c>
      <c r="E305" s="91" t="str">
        <f>"S100025"</f>
        <v>S100025</v>
      </c>
      <c r="F305" s="89" t="str">
        <f>"SPORT BOT with Pop Lid"</f>
        <v>SPORT BOT with Pop Lid</v>
      </c>
      <c r="G305" s="89"/>
      <c r="H305" s="90" t="str">
        <f>"EA"</f>
        <v>EA</v>
      </c>
      <c r="I305" s="89"/>
      <c r="J305" s="89"/>
      <c r="K305" s="89"/>
      <c r="L305" s="89"/>
      <c r="M305" s="89"/>
      <c r="N305" s="89"/>
      <c r="O305" s="88">
        <f>(SUBTOTAL(9,O306:O308))</f>
        <v>249.99999999999997</v>
      </c>
      <c r="P305" s="88">
        <f>(SUBTOTAL(9,P306:P308))</f>
        <v>-144</v>
      </c>
      <c r="Q305" s="88">
        <f>(SUBTOTAL(9,Q306:Q308))</f>
        <v>0</v>
      </c>
      <c r="R305" s="88">
        <f>(SUBTOTAL(9,R306:R308))</f>
        <v>0</v>
      </c>
      <c r="S305" s="88">
        <f>(SUBTOTAL(9,S306:S308))</f>
        <v>0</v>
      </c>
      <c r="T305" s="88">
        <f>(SUBTOTAL(9,T306:T308))</f>
        <v>0</v>
      </c>
      <c r="U305" s="87">
        <f t="shared" ref="U305" si="215">SUBTOTAL(9,O306:T308)</f>
        <v>105.99999999999997</v>
      </c>
    </row>
    <row r="306" spans="1:21" ht="17.25" customHeight="1" x14ac:dyDescent="0.3">
      <c r="A306" s="66" t="s">
        <v>30</v>
      </c>
      <c r="C306" s="67"/>
      <c r="D306" s="77" t="str">
        <f t="shared" ref="D306" si="216">D305</f>
        <v>S100025</v>
      </c>
      <c r="E306" s="77"/>
      <c r="F306" s="76"/>
      <c r="G306" s="76" t="str">
        <f>"""NAV Direct"",""CRONUS JetCorp USA"",""32"",""1"",""168672"""</f>
        <v>"NAV Direct","CRONUS JetCorp USA","32","1","168672"</v>
      </c>
      <c r="H306" s="86">
        <v>43466</v>
      </c>
      <c r="I306" s="85">
        <v>168672</v>
      </c>
      <c r="J306" s="84" t="str">
        <f>"Vendor"</f>
        <v>Vendor</v>
      </c>
      <c r="K306" s="84" t="str">
        <f>"V100001"</f>
        <v>V100001</v>
      </c>
      <c r="L306" s="84" t="str">
        <f>IF($J306="Customer",_xll.NL("first",$J306,"Name","No.","@@"&amp;$K306),"")</f>
        <v/>
      </c>
      <c r="M306" s="84" t="str">
        <f>"Greigner, Inc."</f>
        <v>Greigner, Inc.</v>
      </c>
      <c r="N306" s="84" t="str">
        <f>IF($J306="Item",_xll.NL("first",$J306,"Description","No.","@@"&amp;$K306),"")</f>
        <v/>
      </c>
      <c r="O306" s="83">
        <v>249.99999999999997</v>
      </c>
      <c r="P306" s="83">
        <v>0</v>
      </c>
      <c r="Q306" s="83">
        <v>0</v>
      </c>
      <c r="R306" s="83">
        <v>0</v>
      </c>
      <c r="S306" s="83">
        <v>0</v>
      </c>
      <c r="T306" s="83">
        <v>0</v>
      </c>
      <c r="U306" s="82"/>
    </row>
    <row r="307" spans="1:21" ht="17.25" customHeight="1" x14ac:dyDescent="0.3">
      <c r="A307" s="66" t="s">
        <v>30</v>
      </c>
      <c r="C307" s="67"/>
      <c r="D307" s="77" t="str">
        <f t="shared" ref="D307" si="217">D306</f>
        <v>S100025</v>
      </c>
      <c r="E307" s="77"/>
      <c r="F307" s="76"/>
      <c r="G307" s="76" t="str">
        <f>"""NAV Direct"",""CRONUS JetCorp USA"",""32"",""1"",""64622"""</f>
        <v>"NAV Direct","CRONUS JetCorp USA","32","1","64622"</v>
      </c>
      <c r="H307" s="86">
        <v>43475</v>
      </c>
      <c r="I307" s="85">
        <v>64622</v>
      </c>
      <c r="J307" s="84" t="str">
        <f>"Customer"</f>
        <v>Customer</v>
      </c>
      <c r="K307" s="84" t="str">
        <f>"C100136"</f>
        <v>C100136</v>
      </c>
      <c r="L307" s="84" t="str">
        <f>IF($J307="Customer",_xll.NL("first",$J307,"Name","No.","@@"&amp;$K307),"")</f>
        <v>First Bank</v>
      </c>
      <c r="M307" s="84" t="str">
        <f>""</f>
        <v/>
      </c>
      <c r="N307" s="84" t="str">
        <f>IF($J307="Item",_xll.NL("first",$J307,"Description","No.","@@"&amp;$K307),"")</f>
        <v/>
      </c>
      <c r="O307" s="83">
        <v>0</v>
      </c>
      <c r="P307" s="83">
        <v>-144</v>
      </c>
      <c r="Q307" s="83">
        <v>0</v>
      </c>
      <c r="R307" s="83">
        <v>0</v>
      </c>
      <c r="S307" s="83">
        <v>0</v>
      </c>
      <c r="T307" s="83">
        <v>0</v>
      </c>
      <c r="U307" s="82"/>
    </row>
    <row r="308" spans="1:21" ht="17.25" customHeight="1" x14ac:dyDescent="0.3">
      <c r="A308" s="66" t="s">
        <v>30</v>
      </c>
      <c r="C308" s="67"/>
      <c r="D308" s="77"/>
      <c r="E308" s="77"/>
      <c r="F308" s="76"/>
      <c r="G308" s="76"/>
      <c r="H308" s="76"/>
      <c r="I308" s="76"/>
      <c r="J308" s="76"/>
      <c r="K308" s="76"/>
      <c r="L308" s="76"/>
      <c r="M308" s="76"/>
      <c r="N308" s="76"/>
      <c r="O308" s="75"/>
      <c r="P308" s="75"/>
      <c r="Q308" s="75"/>
      <c r="R308" s="75"/>
      <c r="S308" s="75"/>
      <c r="T308" s="75"/>
      <c r="U308" s="74"/>
    </row>
    <row r="309" spans="1:21" ht="17.25" customHeight="1" x14ac:dyDescent="0.3">
      <c r="A309" s="66" t="s">
        <v>30</v>
      </c>
      <c r="C309" s="67"/>
      <c r="D309" s="77"/>
      <c r="E309" s="77" t="s">
        <v>31</v>
      </c>
      <c r="F309" s="76" t="s">
        <v>31</v>
      </c>
      <c r="G309" s="76" t="s">
        <v>31</v>
      </c>
      <c r="H309" s="76"/>
      <c r="I309" s="76"/>
      <c r="J309" s="76" t="s">
        <v>31</v>
      </c>
      <c r="K309" s="76" t="s">
        <v>31</v>
      </c>
      <c r="L309" s="76" t="s">
        <v>31</v>
      </c>
      <c r="M309" s="76" t="s">
        <v>31</v>
      </c>
      <c r="N309" s="76"/>
      <c r="U309" s="81"/>
    </row>
    <row r="310" spans="1:21" ht="20.25" customHeight="1" x14ac:dyDescent="0.35">
      <c r="A310" s="66" t="s">
        <v>30</v>
      </c>
      <c r="C310" s="67"/>
      <c r="D310" s="92" t="str">
        <f t="shared" ref="D310" si="218">E310</f>
        <v>S100026</v>
      </c>
      <c r="E310" s="91" t="str">
        <f>"S100026"</f>
        <v>S100026</v>
      </c>
      <c r="F310" s="89" t="str">
        <f>"Wide SPORT BOT"</f>
        <v>Wide SPORT BOT</v>
      </c>
      <c r="G310" s="89"/>
      <c r="H310" s="90" t="str">
        <f>"EA"</f>
        <v>EA</v>
      </c>
      <c r="I310" s="89"/>
      <c r="J310" s="89"/>
      <c r="K310" s="89"/>
      <c r="L310" s="89"/>
      <c r="M310" s="89"/>
      <c r="N310" s="89"/>
      <c r="O310" s="88">
        <f>(SUBTOTAL(9,O311:O313))</f>
        <v>499.99999999999994</v>
      </c>
      <c r="P310" s="88">
        <f>(SUBTOTAL(9,P311:P313))</f>
        <v>-144</v>
      </c>
      <c r="Q310" s="88">
        <f>(SUBTOTAL(9,Q311:Q313))</f>
        <v>0</v>
      </c>
      <c r="R310" s="88">
        <f>(SUBTOTAL(9,R311:R313))</f>
        <v>0</v>
      </c>
      <c r="S310" s="88">
        <f>(SUBTOTAL(9,S311:S313))</f>
        <v>0</v>
      </c>
      <c r="T310" s="88">
        <f>(SUBTOTAL(9,T311:T313))</f>
        <v>0</v>
      </c>
      <c r="U310" s="87">
        <f t="shared" ref="U310" si="219">SUBTOTAL(9,O311:T313)</f>
        <v>355.99999999999994</v>
      </c>
    </row>
    <row r="311" spans="1:21" ht="17.25" customHeight="1" x14ac:dyDescent="0.3">
      <c r="A311" s="66" t="s">
        <v>30</v>
      </c>
      <c r="C311" s="67"/>
      <c r="D311" s="77" t="str">
        <f t="shared" ref="D311" si="220">D310</f>
        <v>S100026</v>
      </c>
      <c r="E311" s="77"/>
      <c r="F311" s="76"/>
      <c r="G311" s="76" t="str">
        <f>"""NAV Direct"",""CRONUS JetCorp USA"",""32"",""1"",""168671"""</f>
        <v>"NAV Direct","CRONUS JetCorp USA","32","1","168671"</v>
      </c>
      <c r="H311" s="86">
        <v>43466</v>
      </c>
      <c r="I311" s="85">
        <v>168671</v>
      </c>
      <c r="J311" s="84" t="str">
        <f>"Vendor"</f>
        <v>Vendor</v>
      </c>
      <c r="K311" s="84" t="str">
        <f>"V100001"</f>
        <v>V100001</v>
      </c>
      <c r="L311" s="84" t="str">
        <f>IF($J311="Customer",_xll.NL("first",$J311,"Name","No.","@@"&amp;$K311),"")</f>
        <v/>
      </c>
      <c r="M311" s="84" t="str">
        <f>"Greigner, Inc."</f>
        <v>Greigner, Inc.</v>
      </c>
      <c r="N311" s="84" t="str">
        <f>IF($J311="Item",_xll.NL("first",$J311,"Description","No.","@@"&amp;$K311),"")</f>
        <v/>
      </c>
      <c r="O311" s="83">
        <v>499.99999999999994</v>
      </c>
      <c r="P311" s="83">
        <v>0</v>
      </c>
      <c r="Q311" s="83">
        <v>0</v>
      </c>
      <c r="R311" s="83">
        <v>0</v>
      </c>
      <c r="S311" s="83">
        <v>0</v>
      </c>
      <c r="T311" s="83">
        <v>0</v>
      </c>
      <c r="U311" s="82"/>
    </row>
    <row r="312" spans="1:21" ht="17.25" customHeight="1" x14ac:dyDescent="0.3">
      <c r="A312" s="66" t="s">
        <v>30</v>
      </c>
      <c r="C312" s="67"/>
      <c r="D312" s="77" t="str">
        <f t="shared" ref="D312" si="221">D311</f>
        <v>S100026</v>
      </c>
      <c r="E312" s="77"/>
      <c r="F312" s="76"/>
      <c r="G312" s="76" t="str">
        <f>"""NAV Direct"",""CRONUS JetCorp USA"",""32"",""1"",""153164"""</f>
        <v>"NAV Direct","CRONUS JetCorp USA","32","1","153164"</v>
      </c>
      <c r="H312" s="86">
        <v>43470</v>
      </c>
      <c r="I312" s="85">
        <v>153164</v>
      </c>
      <c r="J312" s="84" t="str">
        <f>"Customer"</f>
        <v>Customer</v>
      </c>
      <c r="K312" s="84" t="str">
        <f>"C100136"</f>
        <v>C100136</v>
      </c>
      <c r="L312" s="84" t="str">
        <f>IF($J312="Customer",_xll.NL("first",$J312,"Name","No.","@@"&amp;$K312),"")</f>
        <v>First Bank</v>
      </c>
      <c r="M312" s="84" t="str">
        <f>""</f>
        <v/>
      </c>
      <c r="N312" s="84" t="str">
        <f>IF($J312="Item",_xll.NL("first",$J312,"Description","No.","@@"&amp;$K312),"")</f>
        <v/>
      </c>
      <c r="O312" s="83">
        <v>0</v>
      </c>
      <c r="P312" s="83">
        <v>-144</v>
      </c>
      <c r="Q312" s="83">
        <v>0</v>
      </c>
      <c r="R312" s="83">
        <v>0</v>
      </c>
      <c r="S312" s="83">
        <v>0</v>
      </c>
      <c r="T312" s="83">
        <v>0</v>
      </c>
      <c r="U312" s="82"/>
    </row>
    <row r="313" spans="1:21" ht="17.25" customHeight="1" x14ac:dyDescent="0.3">
      <c r="A313" s="66" t="s">
        <v>30</v>
      </c>
      <c r="C313" s="67"/>
      <c r="D313" s="77"/>
      <c r="E313" s="77"/>
      <c r="F313" s="76"/>
      <c r="G313" s="76"/>
      <c r="H313" s="76"/>
      <c r="I313" s="76"/>
      <c r="J313" s="76"/>
      <c r="K313" s="76"/>
      <c r="L313" s="76"/>
      <c r="M313" s="76"/>
      <c r="N313" s="76"/>
      <c r="O313" s="75"/>
      <c r="P313" s="75"/>
      <c r="Q313" s="75"/>
      <c r="R313" s="75"/>
      <c r="S313" s="75"/>
      <c r="T313" s="75"/>
      <c r="U313" s="74"/>
    </row>
    <row r="314" spans="1:21" ht="17.25" customHeight="1" x14ac:dyDescent="0.3">
      <c r="A314" s="66" t="s">
        <v>30</v>
      </c>
      <c r="C314" s="67"/>
      <c r="D314" s="77"/>
      <c r="E314" s="77" t="s">
        <v>31</v>
      </c>
      <c r="F314" s="76" t="s">
        <v>31</v>
      </c>
      <c r="G314" s="76" t="s">
        <v>31</v>
      </c>
      <c r="H314" s="76"/>
      <c r="I314" s="76"/>
      <c r="J314" s="76" t="s">
        <v>31</v>
      </c>
      <c r="K314" s="76" t="s">
        <v>31</v>
      </c>
      <c r="L314" s="76" t="s">
        <v>31</v>
      </c>
      <c r="M314" s="76" t="s">
        <v>31</v>
      </c>
      <c r="N314" s="76"/>
      <c r="U314" s="81"/>
    </row>
    <row r="315" spans="1:21" ht="20.25" customHeight="1" x14ac:dyDescent="0.35">
      <c r="A315" s="66" t="s">
        <v>30</v>
      </c>
      <c r="C315" s="67"/>
      <c r="D315" s="92" t="str">
        <f t="shared" ref="D315" si="222">E315</f>
        <v>S200004</v>
      </c>
      <c r="E315" s="91" t="str">
        <f>"S200004"</f>
        <v>S200004</v>
      </c>
      <c r="F315" s="89" t="str">
        <f>"5"" Female Graduate Trophy"</f>
        <v>5" Female Graduate Trophy</v>
      </c>
      <c r="G315" s="89"/>
      <c r="H315" s="90" t="str">
        <f>"EA"</f>
        <v>EA</v>
      </c>
      <c r="I315" s="89"/>
      <c r="J315" s="89"/>
      <c r="K315" s="89"/>
      <c r="L315" s="89"/>
      <c r="M315" s="89"/>
      <c r="N315" s="89"/>
      <c r="O315" s="88">
        <f>(SUBTOTAL(9,O316:O317))</f>
        <v>0</v>
      </c>
      <c r="P315" s="88">
        <f>(SUBTOTAL(9,P316:P317))</f>
        <v>-144</v>
      </c>
      <c r="Q315" s="88">
        <f>(SUBTOTAL(9,Q316:Q317))</f>
        <v>0</v>
      </c>
      <c r="R315" s="88">
        <f>(SUBTOTAL(9,R316:R317))</f>
        <v>0</v>
      </c>
      <c r="S315" s="88">
        <f>(SUBTOTAL(9,S316:S317))</f>
        <v>0</v>
      </c>
      <c r="T315" s="88">
        <f>(SUBTOTAL(9,T316:T317))</f>
        <v>0</v>
      </c>
      <c r="U315" s="87">
        <f t="shared" ref="U315" si="223">SUBTOTAL(9,O316:T317)</f>
        <v>-144</v>
      </c>
    </row>
    <row r="316" spans="1:21" ht="17.25" customHeight="1" x14ac:dyDescent="0.3">
      <c r="A316" s="66" t="s">
        <v>30</v>
      </c>
      <c r="C316" s="67"/>
      <c r="D316" s="77" t="str">
        <f t="shared" ref="D316:D342" si="224">D315</f>
        <v>S200004</v>
      </c>
      <c r="E316" s="77"/>
      <c r="F316" s="76"/>
      <c r="G316" s="76" t="str">
        <f>"""NAV Direct"",""CRONUS JetCorp USA"",""32"",""1"",""153162"""</f>
        <v>"NAV Direct","CRONUS JetCorp USA","32","1","153162"</v>
      </c>
      <c r="H316" s="86">
        <v>43470</v>
      </c>
      <c r="I316" s="85">
        <v>153162</v>
      </c>
      <c r="J316" s="84" t="str">
        <f>"Customer"</f>
        <v>Customer</v>
      </c>
      <c r="K316" s="84" t="str">
        <f>"C100136"</f>
        <v>C100136</v>
      </c>
      <c r="L316" s="84" t="str">
        <f>IF($J316="Customer",_xll.NL("first",$J316,"Name","No.","@@"&amp;$K316),"")</f>
        <v>First Bank</v>
      </c>
      <c r="M316" s="84" t="str">
        <f>""</f>
        <v/>
      </c>
      <c r="N316" s="84" t="str">
        <f>IF($J316="Item",_xll.NL("first",$J316,"Description","No.","@@"&amp;$K316),"")</f>
        <v/>
      </c>
      <c r="O316" s="83">
        <v>0</v>
      </c>
      <c r="P316" s="83">
        <v>-144</v>
      </c>
      <c r="Q316" s="83">
        <v>0</v>
      </c>
      <c r="R316" s="83">
        <v>0</v>
      </c>
      <c r="S316" s="83">
        <v>0</v>
      </c>
      <c r="T316" s="83">
        <v>0</v>
      </c>
      <c r="U316" s="82"/>
    </row>
    <row r="317" spans="1:21" ht="17.25" customHeight="1" x14ac:dyDescent="0.3">
      <c r="A317" s="66" t="s">
        <v>30</v>
      </c>
      <c r="C317" s="67"/>
      <c r="D317" s="77"/>
      <c r="E317" s="77"/>
      <c r="F317" s="76"/>
      <c r="G317" s="76"/>
      <c r="H317" s="76"/>
      <c r="I317" s="76"/>
      <c r="J317" s="76"/>
      <c r="K317" s="76"/>
      <c r="L317" s="76"/>
      <c r="M317" s="76"/>
      <c r="N317" s="76"/>
      <c r="O317" s="75"/>
      <c r="P317" s="75"/>
      <c r="Q317" s="75"/>
      <c r="R317" s="75"/>
      <c r="S317" s="75"/>
      <c r="T317" s="75"/>
      <c r="U317" s="74"/>
    </row>
    <row r="318" spans="1:21" ht="17.25" customHeight="1" x14ac:dyDescent="0.3">
      <c r="A318" s="66" t="s">
        <v>30</v>
      </c>
      <c r="C318" s="67"/>
      <c r="D318" s="77"/>
      <c r="E318" s="77" t="s">
        <v>31</v>
      </c>
      <c r="F318" s="76" t="s">
        <v>31</v>
      </c>
      <c r="G318" s="76" t="s">
        <v>31</v>
      </c>
      <c r="H318" s="76"/>
      <c r="I318" s="76"/>
      <c r="J318" s="76" t="s">
        <v>31</v>
      </c>
      <c r="K318" s="76" t="s">
        <v>31</v>
      </c>
      <c r="L318" s="76" t="s">
        <v>31</v>
      </c>
      <c r="M318" s="76" t="s">
        <v>31</v>
      </c>
      <c r="N318" s="76"/>
      <c r="U318" s="81"/>
    </row>
    <row r="319" spans="1:21" ht="20.25" customHeight="1" x14ac:dyDescent="0.35">
      <c r="A319" s="66" t="s">
        <v>30</v>
      </c>
      <c r="C319" s="67"/>
      <c r="D319" s="92" t="str">
        <f t="shared" ref="D319" si="225">E319</f>
        <v>S200012</v>
      </c>
      <c r="E319" s="91" t="str">
        <f>"S200012"</f>
        <v>S200012</v>
      </c>
      <c r="F319" s="89" t="str">
        <f>"10.75"" Star Riser Apple Trophy"</f>
        <v>10.75" Star Riser Apple Trophy</v>
      </c>
      <c r="G319" s="89"/>
      <c r="H319" s="90" t="str">
        <f>"EA"</f>
        <v>EA</v>
      </c>
      <c r="I319" s="89"/>
      <c r="J319" s="89"/>
      <c r="K319" s="89"/>
      <c r="L319" s="89"/>
      <c r="M319" s="89"/>
      <c r="N319" s="89"/>
      <c r="O319" s="88">
        <f>(SUBTOTAL(9,O320:O321))</f>
        <v>0</v>
      </c>
      <c r="P319" s="88">
        <f>(SUBTOTAL(9,P320:P321))</f>
        <v>-48</v>
      </c>
      <c r="Q319" s="88">
        <f>(SUBTOTAL(9,Q320:Q321))</f>
        <v>0</v>
      </c>
      <c r="R319" s="88">
        <f>(SUBTOTAL(9,R320:R321))</f>
        <v>0</v>
      </c>
      <c r="S319" s="88">
        <f>(SUBTOTAL(9,S320:S321))</f>
        <v>0</v>
      </c>
      <c r="T319" s="88">
        <f>(SUBTOTAL(9,T320:T321))</f>
        <v>0</v>
      </c>
      <c r="U319" s="87">
        <f t="shared" ref="U319" si="226">SUBTOTAL(9,O320:T321)</f>
        <v>-48</v>
      </c>
    </row>
    <row r="320" spans="1:21" ht="17.25" customHeight="1" x14ac:dyDescent="0.3">
      <c r="A320" s="66" t="s">
        <v>30</v>
      </c>
      <c r="C320" s="67"/>
      <c r="D320" s="77" t="str">
        <f t="shared" ref="D320:D342" si="227">D319</f>
        <v>S200012</v>
      </c>
      <c r="E320" s="77"/>
      <c r="F320" s="76"/>
      <c r="G320" s="76" t="str">
        <f>"""NAV Direct"",""CRONUS JetCorp USA"",""32"",""1"",""153163"""</f>
        <v>"NAV Direct","CRONUS JetCorp USA","32","1","153163"</v>
      </c>
      <c r="H320" s="86">
        <v>43470</v>
      </c>
      <c r="I320" s="85">
        <v>153163</v>
      </c>
      <c r="J320" s="84" t="str">
        <f>"Customer"</f>
        <v>Customer</v>
      </c>
      <c r="K320" s="84" t="str">
        <f>"C100136"</f>
        <v>C100136</v>
      </c>
      <c r="L320" s="84" t="str">
        <f>IF($J320="Customer",_xll.NL("first",$J320,"Name","No.","@@"&amp;$K320),"")</f>
        <v>First Bank</v>
      </c>
      <c r="M320" s="84" t="str">
        <f>""</f>
        <v/>
      </c>
      <c r="N320" s="84" t="str">
        <f>IF($J320="Item",_xll.NL("first",$J320,"Description","No.","@@"&amp;$K320),"")</f>
        <v/>
      </c>
      <c r="O320" s="83">
        <v>0</v>
      </c>
      <c r="P320" s="83">
        <v>-48</v>
      </c>
      <c r="Q320" s="83">
        <v>0</v>
      </c>
      <c r="R320" s="83">
        <v>0</v>
      </c>
      <c r="S320" s="83">
        <v>0</v>
      </c>
      <c r="T320" s="83">
        <v>0</v>
      </c>
      <c r="U320" s="82"/>
    </row>
    <row r="321" spans="1:21" ht="17.25" customHeight="1" x14ac:dyDescent="0.3">
      <c r="A321" s="66" t="s">
        <v>30</v>
      </c>
      <c r="C321" s="67"/>
      <c r="D321" s="77"/>
      <c r="E321" s="77"/>
      <c r="F321" s="76"/>
      <c r="G321" s="76"/>
      <c r="H321" s="76"/>
      <c r="I321" s="76"/>
      <c r="J321" s="76"/>
      <c r="K321" s="76"/>
      <c r="L321" s="76"/>
      <c r="M321" s="76"/>
      <c r="N321" s="76"/>
      <c r="O321" s="75"/>
      <c r="P321" s="75"/>
      <c r="Q321" s="75"/>
      <c r="R321" s="75"/>
      <c r="S321" s="75"/>
      <c r="T321" s="75"/>
      <c r="U321" s="74"/>
    </row>
    <row r="322" spans="1:21" ht="17.25" customHeight="1" x14ac:dyDescent="0.3">
      <c r="A322" s="66" t="s">
        <v>30</v>
      </c>
      <c r="C322" s="67"/>
      <c r="D322" s="77"/>
      <c r="E322" s="77" t="s">
        <v>31</v>
      </c>
      <c r="F322" s="76" t="s">
        <v>31</v>
      </c>
      <c r="G322" s="76" t="s">
        <v>31</v>
      </c>
      <c r="H322" s="76"/>
      <c r="I322" s="76"/>
      <c r="J322" s="76" t="s">
        <v>31</v>
      </c>
      <c r="K322" s="76" t="s">
        <v>31</v>
      </c>
      <c r="L322" s="76" t="s">
        <v>31</v>
      </c>
      <c r="M322" s="76" t="s">
        <v>31</v>
      </c>
      <c r="N322" s="76"/>
      <c r="U322" s="81"/>
    </row>
    <row r="323" spans="1:21" ht="20.25" customHeight="1" x14ac:dyDescent="0.35">
      <c r="A323" s="66" t="s">
        <v>30</v>
      </c>
      <c r="C323" s="67"/>
      <c r="D323" s="92" t="str">
        <f t="shared" ref="D323" si="228">E323</f>
        <v>S200017</v>
      </c>
      <c r="E323" s="91" t="str">
        <f>"S200017"</f>
        <v>S200017</v>
      </c>
      <c r="F323" s="89" t="str">
        <f>"10.75"" Tourch Riser WrestlingTrophy"</f>
        <v>10.75" Tourch Riser WrestlingTrophy</v>
      </c>
      <c r="G323" s="89"/>
      <c r="H323" s="90" t="str">
        <f>"EA"</f>
        <v>EA</v>
      </c>
      <c r="I323" s="89"/>
      <c r="J323" s="89"/>
      <c r="K323" s="89"/>
      <c r="L323" s="89"/>
      <c r="M323" s="89"/>
      <c r="N323" s="89"/>
      <c r="O323" s="88">
        <f>(SUBTOTAL(9,O324:O325))</f>
        <v>0</v>
      </c>
      <c r="P323" s="88">
        <f>(SUBTOTAL(9,P324:P325))</f>
        <v>-144</v>
      </c>
      <c r="Q323" s="88">
        <f>(SUBTOTAL(9,Q324:Q325))</f>
        <v>0</v>
      </c>
      <c r="R323" s="88">
        <f>(SUBTOTAL(9,R324:R325))</f>
        <v>0</v>
      </c>
      <c r="S323" s="88">
        <f>(SUBTOTAL(9,S324:S325))</f>
        <v>0</v>
      </c>
      <c r="T323" s="88">
        <f>(SUBTOTAL(9,T324:T325))</f>
        <v>0</v>
      </c>
      <c r="U323" s="87">
        <f t="shared" ref="U323" si="229">SUBTOTAL(9,O324:T325)</f>
        <v>-144</v>
      </c>
    </row>
    <row r="324" spans="1:21" ht="17.25" customHeight="1" x14ac:dyDescent="0.3">
      <c r="A324" s="66" t="s">
        <v>30</v>
      </c>
      <c r="C324" s="67"/>
      <c r="D324" s="77" t="str">
        <f t="shared" ref="D324:D342" si="230">D323</f>
        <v>S200017</v>
      </c>
      <c r="E324" s="77"/>
      <c r="F324" s="76"/>
      <c r="G324" s="76" t="str">
        <f>"""NAV Direct"",""CRONUS JetCorp USA"",""32"",""1"",""153189"""</f>
        <v>"NAV Direct","CRONUS JetCorp USA","32","1","153189"</v>
      </c>
      <c r="H324" s="86">
        <v>43469</v>
      </c>
      <c r="I324" s="85">
        <v>153189</v>
      </c>
      <c r="J324" s="84" t="str">
        <f>"Customer"</f>
        <v>Customer</v>
      </c>
      <c r="K324" s="84" t="str">
        <f>"C100136"</f>
        <v>C100136</v>
      </c>
      <c r="L324" s="84" t="str">
        <f>IF($J324="Customer",_xll.NL("first",$J324,"Name","No.","@@"&amp;$K324),"")</f>
        <v>First Bank</v>
      </c>
      <c r="M324" s="84" t="str">
        <f>""</f>
        <v/>
      </c>
      <c r="N324" s="84" t="str">
        <f>IF($J324="Item",_xll.NL("first",$J324,"Description","No.","@@"&amp;$K324),"")</f>
        <v/>
      </c>
      <c r="O324" s="83">
        <v>0</v>
      </c>
      <c r="P324" s="83">
        <v>-144</v>
      </c>
      <c r="Q324" s="83">
        <v>0</v>
      </c>
      <c r="R324" s="83">
        <v>0</v>
      </c>
      <c r="S324" s="83">
        <v>0</v>
      </c>
      <c r="T324" s="83">
        <v>0</v>
      </c>
      <c r="U324" s="82"/>
    </row>
    <row r="325" spans="1:21" ht="17.25" customHeight="1" x14ac:dyDescent="0.3">
      <c r="A325" s="66" t="s">
        <v>30</v>
      </c>
      <c r="C325" s="67"/>
      <c r="D325" s="77"/>
      <c r="E325" s="77"/>
      <c r="F325" s="76"/>
      <c r="G325" s="76"/>
      <c r="H325" s="76"/>
      <c r="I325" s="76"/>
      <c r="J325" s="76"/>
      <c r="K325" s="76"/>
      <c r="L325" s="76"/>
      <c r="M325" s="76"/>
      <c r="N325" s="76"/>
      <c r="O325" s="75"/>
      <c r="P325" s="75"/>
      <c r="Q325" s="75"/>
      <c r="R325" s="75"/>
      <c r="S325" s="75"/>
      <c r="T325" s="75"/>
      <c r="U325" s="74"/>
    </row>
    <row r="326" spans="1:21" ht="17.25" customHeight="1" x14ac:dyDescent="0.3">
      <c r="A326" s="66" t="s">
        <v>30</v>
      </c>
      <c r="C326" s="67"/>
      <c r="D326" s="77"/>
      <c r="E326" s="77" t="s">
        <v>31</v>
      </c>
      <c r="F326" s="76" t="s">
        <v>31</v>
      </c>
      <c r="G326" s="76" t="s">
        <v>31</v>
      </c>
      <c r="H326" s="76"/>
      <c r="I326" s="76"/>
      <c r="J326" s="76" t="s">
        <v>31</v>
      </c>
      <c r="K326" s="76" t="s">
        <v>31</v>
      </c>
      <c r="L326" s="76" t="s">
        <v>31</v>
      </c>
      <c r="M326" s="76" t="s">
        <v>31</v>
      </c>
      <c r="N326" s="76"/>
      <c r="U326" s="81"/>
    </row>
    <row r="327" spans="1:21" ht="20.25" customHeight="1" x14ac:dyDescent="0.35">
      <c r="A327" s="66" t="s">
        <v>30</v>
      </c>
      <c r="C327" s="67"/>
      <c r="D327" s="92" t="str">
        <f t="shared" ref="D327" si="231">E327</f>
        <v>S200018</v>
      </c>
      <c r="E327" s="91" t="str">
        <f>"S200018"</f>
        <v>S200018</v>
      </c>
      <c r="F327" s="89" t="str">
        <f>"10.75"" Tourch Riser Lamp of Knowledge Trophy"</f>
        <v>10.75" Tourch Riser Lamp of Knowledge Trophy</v>
      </c>
      <c r="G327" s="89"/>
      <c r="H327" s="90" t="str">
        <f>"EA"</f>
        <v>EA</v>
      </c>
      <c r="I327" s="89"/>
      <c r="J327" s="89"/>
      <c r="K327" s="89"/>
      <c r="L327" s="89"/>
      <c r="M327" s="89"/>
      <c r="N327" s="89"/>
      <c r="O327" s="88">
        <f>(SUBTOTAL(9,O328:O329))</f>
        <v>0</v>
      </c>
      <c r="P327" s="88">
        <f>(SUBTOTAL(9,P328:P329))</f>
        <v>-144</v>
      </c>
      <c r="Q327" s="88">
        <f>(SUBTOTAL(9,Q328:Q329))</f>
        <v>0</v>
      </c>
      <c r="R327" s="88">
        <f>(SUBTOTAL(9,R328:R329))</f>
        <v>0</v>
      </c>
      <c r="S327" s="88">
        <f>(SUBTOTAL(9,S328:S329))</f>
        <v>0</v>
      </c>
      <c r="T327" s="88">
        <f>(SUBTOTAL(9,T328:T329))</f>
        <v>0</v>
      </c>
      <c r="U327" s="87">
        <f t="shared" ref="U327" si="232">SUBTOTAL(9,O328:T329)</f>
        <v>-144</v>
      </c>
    </row>
    <row r="328" spans="1:21" ht="17.25" customHeight="1" x14ac:dyDescent="0.3">
      <c r="A328" s="66" t="s">
        <v>30</v>
      </c>
      <c r="C328" s="67"/>
      <c r="D328" s="77" t="str">
        <f t="shared" ref="D328:D342" si="233">D327</f>
        <v>S200018</v>
      </c>
      <c r="E328" s="77"/>
      <c r="F328" s="76"/>
      <c r="G328" s="76" t="str">
        <f>"""NAV Direct"",""CRONUS JetCorp USA"",""32"",""1"",""153161"""</f>
        <v>"NAV Direct","CRONUS JetCorp USA","32","1","153161"</v>
      </c>
      <c r="H328" s="86">
        <v>43470</v>
      </c>
      <c r="I328" s="85">
        <v>153161</v>
      </c>
      <c r="J328" s="84" t="str">
        <f>"Customer"</f>
        <v>Customer</v>
      </c>
      <c r="K328" s="84" t="str">
        <f>"C100136"</f>
        <v>C100136</v>
      </c>
      <c r="L328" s="84" t="str">
        <f>IF($J328="Customer",_xll.NL("first",$J328,"Name","No.","@@"&amp;$K328),"")</f>
        <v>First Bank</v>
      </c>
      <c r="M328" s="84" t="str">
        <f>""</f>
        <v/>
      </c>
      <c r="N328" s="84" t="str">
        <f>IF($J328="Item",_xll.NL("first",$J328,"Description","No.","@@"&amp;$K328),"")</f>
        <v/>
      </c>
      <c r="O328" s="83">
        <v>0</v>
      </c>
      <c r="P328" s="83">
        <v>-144</v>
      </c>
      <c r="Q328" s="83">
        <v>0</v>
      </c>
      <c r="R328" s="83">
        <v>0</v>
      </c>
      <c r="S328" s="83">
        <v>0</v>
      </c>
      <c r="T328" s="83">
        <v>0</v>
      </c>
      <c r="U328" s="82"/>
    </row>
    <row r="329" spans="1:21" ht="17.25" customHeight="1" x14ac:dyDescent="0.3">
      <c r="A329" s="66" t="s">
        <v>30</v>
      </c>
      <c r="C329" s="67"/>
      <c r="D329" s="77"/>
      <c r="E329" s="77"/>
      <c r="F329" s="76"/>
      <c r="G329" s="76"/>
      <c r="H329" s="76"/>
      <c r="I329" s="76"/>
      <c r="J329" s="76"/>
      <c r="K329" s="76"/>
      <c r="L329" s="76"/>
      <c r="M329" s="76"/>
      <c r="N329" s="76"/>
      <c r="O329" s="75"/>
      <c r="P329" s="75"/>
      <c r="Q329" s="75"/>
      <c r="R329" s="75"/>
      <c r="S329" s="75"/>
      <c r="T329" s="75"/>
      <c r="U329" s="74"/>
    </row>
    <row r="330" spans="1:21" ht="17.25" customHeight="1" x14ac:dyDescent="0.3">
      <c r="A330" s="66" t="s">
        <v>30</v>
      </c>
      <c r="C330" s="67"/>
      <c r="D330" s="77"/>
      <c r="E330" s="77" t="s">
        <v>31</v>
      </c>
      <c r="F330" s="76" t="s">
        <v>31</v>
      </c>
      <c r="G330" s="76" t="s">
        <v>31</v>
      </c>
      <c r="H330" s="76"/>
      <c r="I330" s="76"/>
      <c r="J330" s="76" t="s">
        <v>31</v>
      </c>
      <c r="K330" s="76" t="s">
        <v>31</v>
      </c>
      <c r="L330" s="76" t="s">
        <v>31</v>
      </c>
      <c r="M330" s="76" t="s">
        <v>31</v>
      </c>
      <c r="N330" s="76"/>
      <c r="U330" s="81"/>
    </row>
    <row r="331" spans="1:21" ht="20.25" customHeight="1" x14ac:dyDescent="0.35">
      <c r="A331" s="66" t="s">
        <v>30</v>
      </c>
      <c r="C331" s="67"/>
      <c r="D331" s="92" t="str">
        <f t="shared" ref="D331" si="234">E331</f>
        <v>S200019</v>
      </c>
      <c r="E331" s="91" t="str">
        <f>"S200019"</f>
        <v>S200019</v>
      </c>
      <c r="F331" s="89" t="str">
        <f>"10.75"" Tourch Riser Apple Trophy"</f>
        <v>10.75" Tourch Riser Apple Trophy</v>
      </c>
      <c r="G331" s="89"/>
      <c r="H331" s="90" t="str">
        <f>"EA"</f>
        <v>EA</v>
      </c>
      <c r="I331" s="89"/>
      <c r="J331" s="89"/>
      <c r="K331" s="89"/>
      <c r="L331" s="89"/>
      <c r="M331" s="89"/>
      <c r="N331" s="89"/>
      <c r="O331" s="88">
        <f>(SUBTOTAL(9,O332:O333))</f>
        <v>0</v>
      </c>
      <c r="P331" s="88">
        <f>(SUBTOTAL(9,P332:P333))</f>
        <v>-48</v>
      </c>
      <c r="Q331" s="88">
        <f>(SUBTOTAL(9,Q332:Q333))</f>
        <v>0</v>
      </c>
      <c r="R331" s="88">
        <f>(SUBTOTAL(9,R332:R333))</f>
        <v>0</v>
      </c>
      <c r="S331" s="88">
        <f>(SUBTOTAL(9,S332:S333))</f>
        <v>0</v>
      </c>
      <c r="T331" s="88">
        <f>(SUBTOTAL(9,T332:T333))</f>
        <v>0</v>
      </c>
      <c r="U331" s="87">
        <f t="shared" ref="U331" si="235">SUBTOTAL(9,O332:T333)</f>
        <v>-48</v>
      </c>
    </row>
    <row r="332" spans="1:21" ht="17.25" customHeight="1" x14ac:dyDescent="0.3">
      <c r="A332" s="66" t="s">
        <v>30</v>
      </c>
      <c r="C332" s="67"/>
      <c r="D332" s="77" t="str">
        <f t="shared" ref="D332:D342" si="236">D331</f>
        <v>S200019</v>
      </c>
      <c r="E332" s="77"/>
      <c r="F332" s="76"/>
      <c r="G332" s="76" t="str">
        <f>"""NAV Direct"",""CRONUS JetCorp USA"",""32"",""1"",""153191"""</f>
        <v>"NAV Direct","CRONUS JetCorp USA","32","1","153191"</v>
      </c>
      <c r="H332" s="86">
        <v>43469</v>
      </c>
      <c r="I332" s="85">
        <v>153191</v>
      </c>
      <c r="J332" s="84" t="str">
        <f>"Customer"</f>
        <v>Customer</v>
      </c>
      <c r="K332" s="84" t="str">
        <f>"C100136"</f>
        <v>C100136</v>
      </c>
      <c r="L332" s="84" t="str">
        <f>IF($J332="Customer",_xll.NL("first",$J332,"Name","No.","@@"&amp;$K332),"")</f>
        <v>First Bank</v>
      </c>
      <c r="M332" s="84" t="str">
        <f>""</f>
        <v/>
      </c>
      <c r="N332" s="84" t="str">
        <f>IF($J332="Item",_xll.NL("first",$J332,"Description","No.","@@"&amp;$K332),"")</f>
        <v/>
      </c>
      <c r="O332" s="83">
        <v>0</v>
      </c>
      <c r="P332" s="83">
        <v>-48</v>
      </c>
      <c r="Q332" s="83">
        <v>0</v>
      </c>
      <c r="R332" s="83">
        <v>0</v>
      </c>
      <c r="S332" s="83">
        <v>0</v>
      </c>
      <c r="T332" s="83">
        <v>0</v>
      </c>
      <c r="U332" s="82"/>
    </row>
    <row r="333" spans="1:21" ht="17.25" customHeight="1" x14ac:dyDescent="0.3">
      <c r="A333" s="66" t="s">
        <v>30</v>
      </c>
      <c r="C333" s="67"/>
      <c r="D333" s="77"/>
      <c r="E333" s="77"/>
      <c r="F333" s="76"/>
      <c r="G333" s="76"/>
      <c r="H333" s="76"/>
      <c r="I333" s="76"/>
      <c r="J333" s="76"/>
      <c r="K333" s="76"/>
      <c r="L333" s="76"/>
      <c r="M333" s="76"/>
      <c r="N333" s="76"/>
      <c r="O333" s="75"/>
      <c r="P333" s="75"/>
      <c r="Q333" s="75"/>
      <c r="R333" s="75"/>
      <c r="S333" s="75"/>
      <c r="T333" s="75"/>
      <c r="U333" s="74"/>
    </row>
    <row r="334" spans="1:21" ht="17.25" customHeight="1" x14ac:dyDescent="0.3">
      <c r="A334" s="66" t="s">
        <v>30</v>
      </c>
      <c r="C334" s="67"/>
      <c r="D334" s="77"/>
      <c r="E334" s="77" t="s">
        <v>31</v>
      </c>
      <c r="F334" s="76" t="s">
        <v>31</v>
      </c>
      <c r="G334" s="76" t="s">
        <v>31</v>
      </c>
      <c r="H334" s="76"/>
      <c r="I334" s="76"/>
      <c r="J334" s="76" t="s">
        <v>31</v>
      </c>
      <c r="K334" s="76" t="s">
        <v>31</v>
      </c>
      <c r="L334" s="76" t="s">
        <v>31</v>
      </c>
      <c r="M334" s="76" t="s">
        <v>31</v>
      </c>
      <c r="N334" s="76"/>
      <c r="U334" s="81"/>
    </row>
    <row r="335" spans="1:21" ht="20.25" customHeight="1" x14ac:dyDescent="0.35">
      <c r="A335" s="66" t="s">
        <v>30</v>
      </c>
      <c r="C335" s="67"/>
      <c r="D335" s="92" t="str">
        <f t="shared" ref="D335" si="237">E335</f>
        <v>S200020</v>
      </c>
      <c r="E335" s="91" t="str">
        <f>"S200020"</f>
        <v>S200020</v>
      </c>
      <c r="F335" s="89" t="str">
        <f>"10.75"" Tourch Riser Soccer Trophy"</f>
        <v>10.75" Tourch Riser Soccer Trophy</v>
      </c>
      <c r="G335" s="89"/>
      <c r="H335" s="90" t="str">
        <f>"EA"</f>
        <v>EA</v>
      </c>
      <c r="I335" s="89"/>
      <c r="J335" s="89"/>
      <c r="K335" s="89"/>
      <c r="L335" s="89"/>
      <c r="M335" s="89"/>
      <c r="N335" s="89"/>
      <c r="O335" s="88">
        <f>(SUBTOTAL(9,O336:O337))</f>
        <v>0</v>
      </c>
      <c r="P335" s="88">
        <f>(SUBTOTAL(9,P336:P337))</f>
        <v>-144</v>
      </c>
      <c r="Q335" s="88">
        <f>(SUBTOTAL(9,Q336:Q337))</f>
        <v>0</v>
      </c>
      <c r="R335" s="88">
        <f>(SUBTOTAL(9,R336:R337))</f>
        <v>0</v>
      </c>
      <c r="S335" s="88">
        <f>(SUBTOTAL(9,S336:S337))</f>
        <v>0</v>
      </c>
      <c r="T335" s="88">
        <f>(SUBTOTAL(9,T336:T337))</f>
        <v>0</v>
      </c>
      <c r="U335" s="87">
        <f t="shared" ref="U335" si="238">SUBTOTAL(9,O336:T337)</f>
        <v>-144</v>
      </c>
    </row>
    <row r="336" spans="1:21" ht="17.25" customHeight="1" x14ac:dyDescent="0.3">
      <c r="A336" s="66" t="s">
        <v>30</v>
      </c>
      <c r="C336" s="67"/>
      <c r="D336" s="77" t="str">
        <f t="shared" ref="D336:D342" si="239">D335</f>
        <v>S200020</v>
      </c>
      <c r="E336" s="77"/>
      <c r="F336" s="76"/>
      <c r="G336" s="76" t="str">
        <f>"""NAV Direct"",""CRONUS JetCorp USA"",""32"",""1"",""153188"""</f>
        <v>"NAV Direct","CRONUS JetCorp USA","32","1","153188"</v>
      </c>
      <c r="H336" s="86">
        <v>43469</v>
      </c>
      <c r="I336" s="85">
        <v>153188</v>
      </c>
      <c r="J336" s="84" t="str">
        <f>"Customer"</f>
        <v>Customer</v>
      </c>
      <c r="K336" s="84" t="str">
        <f>"C100136"</f>
        <v>C100136</v>
      </c>
      <c r="L336" s="84" t="str">
        <f>IF($J336="Customer",_xll.NL("first",$J336,"Name","No.","@@"&amp;$K336),"")</f>
        <v>First Bank</v>
      </c>
      <c r="M336" s="84" t="str">
        <f>""</f>
        <v/>
      </c>
      <c r="N336" s="84" t="str">
        <f>IF($J336="Item",_xll.NL("first",$J336,"Description","No.","@@"&amp;$K336),"")</f>
        <v/>
      </c>
      <c r="O336" s="83">
        <v>0</v>
      </c>
      <c r="P336" s="83">
        <v>-144</v>
      </c>
      <c r="Q336" s="83">
        <v>0</v>
      </c>
      <c r="R336" s="83">
        <v>0</v>
      </c>
      <c r="S336" s="83">
        <v>0</v>
      </c>
      <c r="T336" s="83">
        <v>0</v>
      </c>
      <c r="U336" s="82"/>
    </row>
    <row r="337" spans="1:21" ht="17.25" customHeight="1" x14ac:dyDescent="0.3">
      <c r="A337" s="66" t="s">
        <v>30</v>
      </c>
      <c r="C337" s="67"/>
      <c r="D337" s="77"/>
      <c r="E337" s="77"/>
      <c r="F337" s="76"/>
      <c r="G337" s="76"/>
      <c r="H337" s="76"/>
      <c r="I337" s="76"/>
      <c r="J337" s="76"/>
      <c r="K337" s="76"/>
      <c r="L337" s="76"/>
      <c r="M337" s="76"/>
      <c r="N337" s="76"/>
      <c r="O337" s="75"/>
      <c r="P337" s="75"/>
      <c r="Q337" s="75"/>
      <c r="R337" s="75"/>
      <c r="S337" s="75"/>
      <c r="T337" s="75"/>
      <c r="U337" s="74"/>
    </row>
    <row r="338" spans="1:21" ht="17.25" customHeight="1" x14ac:dyDescent="0.3">
      <c r="A338" s="66" t="s">
        <v>30</v>
      </c>
      <c r="C338" s="67"/>
      <c r="D338" s="77"/>
      <c r="E338" s="77" t="s">
        <v>31</v>
      </c>
      <c r="F338" s="76" t="s">
        <v>31</v>
      </c>
      <c r="G338" s="76" t="s">
        <v>31</v>
      </c>
      <c r="H338" s="76"/>
      <c r="I338" s="76"/>
      <c r="J338" s="76" t="s">
        <v>31</v>
      </c>
      <c r="K338" s="76" t="s">
        <v>31</v>
      </c>
      <c r="L338" s="76" t="s">
        <v>31</v>
      </c>
      <c r="M338" s="76" t="s">
        <v>31</v>
      </c>
      <c r="N338" s="76"/>
      <c r="U338" s="81"/>
    </row>
    <row r="339" spans="1:21" ht="20.25" customHeight="1" x14ac:dyDescent="0.35">
      <c r="A339" s="66" t="s">
        <v>30</v>
      </c>
      <c r="C339" s="67"/>
      <c r="D339" s="92" t="str">
        <f t="shared" ref="D339" si="240">E339</f>
        <v>S200030</v>
      </c>
      <c r="E339" s="91" t="str">
        <f>"S200030"</f>
        <v>S200030</v>
      </c>
      <c r="F339" s="89" t="str">
        <f>"10.75"" Column Volleyball Trophy"</f>
        <v>10.75" Column Volleyball Trophy</v>
      </c>
      <c r="G339" s="89"/>
      <c r="H339" s="90" t="str">
        <f>"EA"</f>
        <v>EA</v>
      </c>
      <c r="I339" s="89"/>
      <c r="J339" s="89"/>
      <c r="K339" s="89"/>
      <c r="L339" s="89"/>
      <c r="M339" s="89"/>
      <c r="N339" s="89"/>
      <c r="O339" s="88">
        <f>(SUBTOTAL(9,O340:O341))</f>
        <v>0</v>
      </c>
      <c r="P339" s="88">
        <f>(SUBTOTAL(9,P340:P341))</f>
        <v>-1</v>
      </c>
      <c r="Q339" s="88">
        <f>(SUBTOTAL(9,Q340:Q341))</f>
        <v>0</v>
      </c>
      <c r="R339" s="88">
        <f>(SUBTOTAL(9,R340:R341))</f>
        <v>0</v>
      </c>
      <c r="S339" s="88">
        <f>(SUBTOTAL(9,S340:S341))</f>
        <v>0</v>
      </c>
      <c r="T339" s="88">
        <f>(SUBTOTAL(9,T340:T341))</f>
        <v>0</v>
      </c>
      <c r="U339" s="87">
        <f t="shared" ref="U339" si="241">SUBTOTAL(9,O340:T341)</f>
        <v>-1</v>
      </c>
    </row>
    <row r="340" spans="1:21" ht="17.25" customHeight="1" x14ac:dyDescent="0.3">
      <c r="A340" s="66" t="s">
        <v>30</v>
      </c>
      <c r="C340" s="67"/>
      <c r="D340" s="77" t="str">
        <f t="shared" ref="D340:D342" si="242">D339</f>
        <v>S200030</v>
      </c>
      <c r="E340" s="77"/>
      <c r="F340" s="76"/>
      <c r="G340" s="76" t="str">
        <f>"""NAV Direct"",""CRONUS JetCorp USA"",""32"",""1"",""153174"""</f>
        <v>"NAV Direct","CRONUS JetCorp USA","32","1","153174"</v>
      </c>
      <c r="H340" s="86">
        <v>43470</v>
      </c>
      <c r="I340" s="85">
        <v>153174</v>
      </c>
      <c r="J340" s="84" t="str">
        <f>"Customer"</f>
        <v>Customer</v>
      </c>
      <c r="K340" s="84" t="str">
        <f>"C100136"</f>
        <v>C100136</v>
      </c>
      <c r="L340" s="84" t="str">
        <f>IF($J340="Customer",_xll.NL("first",$J340,"Name","No.","@@"&amp;$K340),"")</f>
        <v>First Bank</v>
      </c>
      <c r="M340" s="84" t="str">
        <f>""</f>
        <v/>
      </c>
      <c r="N340" s="84" t="str">
        <f>IF($J340="Item",_xll.NL("first",$J340,"Description","No.","@@"&amp;$K340),"")</f>
        <v/>
      </c>
      <c r="O340" s="83">
        <v>0</v>
      </c>
      <c r="P340" s="83">
        <v>-1</v>
      </c>
      <c r="Q340" s="83">
        <v>0</v>
      </c>
      <c r="R340" s="83">
        <v>0</v>
      </c>
      <c r="S340" s="83">
        <v>0</v>
      </c>
      <c r="T340" s="83">
        <v>0</v>
      </c>
      <c r="U340" s="82"/>
    </row>
    <row r="341" spans="1:21" ht="17.25" customHeight="1" x14ac:dyDescent="0.3">
      <c r="A341" s="66" t="s">
        <v>30</v>
      </c>
      <c r="C341" s="67"/>
      <c r="D341" s="77"/>
      <c r="E341" s="77"/>
      <c r="F341" s="76"/>
      <c r="G341" s="76"/>
      <c r="H341" s="76"/>
      <c r="I341" s="76"/>
      <c r="J341" s="76"/>
      <c r="K341" s="76"/>
      <c r="L341" s="76"/>
      <c r="M341" s="76"/>
      <c r="N341" s="76"/>
      <c r="O341" s="75"/>
      <c r="P341" s="75"/>
      <c r="Q341" s="75"/>
      <c r="R341" s="75"/>
      <c r="S341" s="75"/>
      <c r="T341" s="75"/>
      <c r="U341" s="74"/>
    </row>
    <row r="342" spans="1:21" ht="17.25" customHeight="1" x14ac:dyDescent="0.3">
      <c r="A342" s="66" t="s">
        <v>30</v>
      </c>
      <c r="C342" s="67"/>
      <c r="D342" s="77"/>
      <c r="E342" s="77" t="s">
        <v>31</v>
      </c>
      <c r="F342" s="76" t="s">
        <v>31</v>
      </c>
      <c r="G342" s="76" t="s">
        <v>31</v>
      </c>
      <c r="H342" s="76"/>
      <c r="I342" s="76"/>
      <c r="J342" s="76" t="s">
        <v>31</v>
      </c>
      <c r="K342" s="76" t="s">
        <v>31</v>
      </c>
      <c r="L342" s="76" t="s">
        <v>31</v>
      </c>
      <c r="M342" s="76" t="s">
        <v>31</v>
      </c>
      <c r="N342" s="76"/>
      <c r="U342" s="81"/>
    </row>
    <row r="343" spans="1:21" ht="17.25" customHeight="1" x14ac:dyDescent="0.3">
      <c r="A343" s="66"/>
      <c r="C343" s="67"/>
      <c r="D343" s="77"/>
      <c r="E343" s="77"/>
      <c r="F343" s="76"/>
      <c r="G343" s="76"/>
      <c r="H343" s="76"/>
      <c r="I343" s="76"/>
      <c r="J343" s="76"/>
      <c r="K343" s="76"/>
      <c r="L343" s="76"/>
      <c r="M343" s="76"/>
      <c r="N343" s="76"/>
      <c r="O343" s="75"/>
      <c r="P343" s="75"/>
      <c r="Q343" s="75"/>
      <c r="R343" s="75"/>
      <c r="S343" s="75"/>
      <c r="T343" s="75"/>
      <c r="U343" s="74"/>
    </row>
    <row r="344" spans="1:21" ht="20.25" customHeight="1" thickBot="1" x14ac:dyDescent="0.4">
      <c r="A344" s="66"/>
      <c r="C344" s="67"/>
      <c r="D344" s="77"/>
      <c r="E344" s="77"/>
      <c r="F344" s="76"/>
      <c r="G344" s="76"/>
      <c r="H344" s="76"/>
      <c r="I344" s="76"/>
      <c r="J344" s="76"/>
      <c r="K344" s="76"/>
      <c r="L344" s="76"/>
      <c r="M344" s="76"/>
      <c r="N344" s="80" t="s">
        <v>32</v>
      </c>
      <c r="O344" s="79">
        <f>SUBTOTAL(9,O13:O343)</f>
        <v>14750</v>
      </c>
      <c r="P344" s="79">
        <f>SUBTOTAL(9,P13:P343)</f>
        <v>-8775</v>
      </c>
      <c r="Q344" s="79">
        <f>SUBTOTAL(9,Q13:Q343)</f>
        <v>0</v>
      </c>
      <c r="R344" s="79">
        <f>SUBTOTAL(9,R13:R343)</f>
        <v>0</v>
      </c>
      <c r="S344" s="79">
        <f>SUBTOTAL(9,S13:S343)</f>
        <v>0</v>
      </c>
      <c r="T344" s="79">
        <f>SUBTOTAL(9,T13:T343)</f>
        <v>0</v>
      </c>
      <c r="U344" s="78">
        <f>SUM(U12:U343)</f>
        <v>5975</v>
      </c>
    </row>
    <row r="345" spans="1:21" ht="17.25" customHeight="1" x14ac:dyDescent="0.3">
      <c r="A345" s="66"/>
      <c r="C345" s="67"/>
      <c r="D345" s="77"/>
      <c r="E345" s="77"/>
      <c r="F345" s="76"/>
      <c r="G345" s="76"/>
      <c r="H345" s="76"/>
      <c r="I345" s="76"/>
      <c r="J345" s="76"/>
      <c r="K345" s="76"/>
      <c r="L345" s="76"/>
      <c r="M345" s="76"/>
      <c r="N345" s="76"/>
      <c r="O345" s="75"/>
      <c r="P345" s="75"/>
      <c r="Q345" s="75"/>
      <c r="R345" s="75"/>
      <c r="S345" s="75"/>
      <c r="T345" s="75"/>
      <c r="U345" s="74"/>
    </row>
    <row r="346" spans="1:21" ht="17.25" customHeight="1" x14ac:dyDescent="0.3">
      <c r="A346" s="66"/>
      <c r="C346" s="67"/>
      <c r="D346" s="73"/>
      <c r="E346" s="73"/>
      <c r="F346" s="72"/>
      <c r="G346" s="72"/>
      <c r="H346" s="72"/>
      <c r="I346" s="72"/>
      <c r="J346" s="72"/>
      <c r="K346" s="72"/>
      <c r="L346" s="72"/>
      <c r="M346" s="72"/>
      <c r="N346" s="71"/>
      <c r="O346" s="70"/>
      <c r="P346" s="70"/>
      <c r="Q346" s="70"/>
      <c r="R346" s="70"/>
      <c r="S346" s="70"/>
      <c r="T346" s="70"/>
      <c r="U346" s="69"/>
    </row>
    <row r="347" spans="1:21" ht="17.25" customHeight="1" x14ac:dyDescent="0.3">
      <c r="A347" s="66"/>
      <c r="C347" s="67"/>
      <c r="D347" s="68"/>
      <c r="E347" s="68"/>
      <c r="F347" s="68"/>
      <c r="G347" s="68"/>
      <c r="H347" s="68"/>
      <c r="I347" s="68"/>
      <c r="J347" s="68"/>
      <c r="K347" s="68"/>
      <c r="L347" s="68"/>
      <c r="M347" s="68"/>
      <c r="N347" s="68"/>
      <c r="O347" s="68"/>
      <c r="P347" s="68"/>
      <c r="Q347" s="68"/>
      <c r="R347" s="68"/>
      <c r="S347" s="68"/>
      <c r="T347" s="68"/>
      <c r="U347" s="68"/>
    </row>
    <row r="348" spans="1:21" ht="17.25" customHeight="1" x14ac:dyDescent="0.3">
      <c r="A348" s="66"/>
      <c r="C348" s="67"/>
      <c r="D348" s="68"/>
      <c r="E348" s="68"/>
      <c r="F348" s="68"/>
      <c r="G348" s="68"/>
      <c r="H348" s="68"/>
      <c r="I348" s="68"/>
      <c r="J348" s="68"/>
      <c r="K348" s="68"/>
      <c r="L348" s="68"/>
      <c r="M348" s="68"/>
      <c r="N348" s="68"/>
      <c r="O348" s="68"/>
      <c r="P348" s="68"/>
      <c r="Q348" s="68"/>
      <c r="R348" s="68"/>
      <c r="S348" s="68"/>
      <c r="T348" s="68"/>
      <c r="U348" s="68"/>
    </row>
    <row r="349" spans="1:21" ht="17.25" customHeight="1" x14ac:dyDescent="0.3">
      <c r="A349" s="66"/>
      <c r="C349" s="67"/>
      <c r="D349" s="68"/>
      <c r="E349" s="68"/>
      <c r="F349" s="68"/>
      <c r="G349" s="68"/>
      <c r="H349" s="68"/>
      <c r="I349" s="68"/>
      <c r="J349" s="68"/>
      <c r="K349" s="68"/>
      <c r="L349" s="68"/>
      <c r="M349" s="68"/>
      <c r="N349" s="68"/>
      <c r="O349" s="68"/>
      <c r="P349" s="68"/>
      <c r="Q349" s="68"/>
      <c r="R349" s="68"/>
      <c r="S349" s="68"/>
      <c r="T349" s="68"/>
      <c r="U349" s="68"/>
    </row>
    <row r="350" spans="1:21" ht="17.25" customHeight="1" x14ac:dyDescent="0.3">
      <c r="A350" s="66"/>
      <c r="C350" s="67"/>
      <c r="D350" s="68"/>
      <c r="E350" s="68"/>
      <c r="F350" s="68"/>
      <c r="G350" s="68"/>
      <c r="H350" s="68"/>
      <c r="I350" s="68"/>
      <c r="J350" s="68"/>
      <c r="K350" s="68"/>
      <c r="L350" s="68"/>
      <c r="M350" s="68"/>
      <c r="N350" s="68"/>
      <c r="O350" s="68"/>
      <c r="P350" s="68"/>
      <c r="Q350" s="68"/>
      <c r="R350" s="68"/>
      <c r="S350" s="68"/>
      <c r="T350" s="68"/>
      <c r="U350" s="68"/>
    </row>
    <row r="351" spans="1:21" ht="17.25" customHeight="1" x14ac:dyDescent="0.3">
      <c r="A351" s="66"/>
      <c r="C351" s="67"/>
      <c r="D351" s="68"/>
      <c r="E351" s="68"/>
      <c r="F351" s="68"/>
      <c r="G351" s="68"/>
      <c r="H351" s="68"/>
      <c r="I351" s="68"/>
      <c r="J351" s="68"/>
      <c r="K351" s="68"/>
      <c r="L351" s="68"/>
      <c r="M351" s="68"/>
      <c r="N351" s="68"/>
      <c r="O351" s="68"/>
      <c r="P351" s="68"/>
      <c r="Q351" s="68"/>
      <c r="R351" s="68"/>
      <c r="S351" s="68"/>
      <c r="T351" s="68"/>
      <c r="U351" s="68"/>
    </row>
    <row r="352" spans="1:21" ht="17.25" customHeight="1" x14ac:dyDescent="0.3">
      <c r="A352" s="66"/>
      <c r="C352" s="67"/>
      <c r="D352" s="68"/>
      <c r="E352" s="68"/>
      <c r="F352" s="68"/>
      <c r="G352" s="68"/>
      <c r="H352" s="68"/>
      <c r="I352" s="68"/>
      <c r="J352" s="68"/>
      <c r="K352" s="68"/>
      <c r="L352" s="68"/>
      <c r="M352" s="68"/>
      <c r="N352" s="68"/>
      <c r="O352" s="68"/>
      <c r="P352" s="68"/>
      <c r="Q352" s="68"/>
      <c r="R352" s="68"/>
      <c r="S352" s="68"/>
      <c r="T352" s="68"/>
      <c r="U352" s="68"/>
    </row>
    <row r="353" spans="1:21" ht="17.25" customHeight="1" x14ac:dyDescent="0.3">
      <c r="A353" s="66"/>
      <c r="C353" s="67"/>
      <c r="D353" s="68"/>
      <c r="E353" s="68"/>
      <c r="F353" s="68"/>
      <c r="G353" s="68"/>
      <c r="H353" s="68"/>
      <c r="I353" s="68"/>
      <c r="J353" s="68"/>
      <c r="K353" s="68"/>
      <c r="L353" s="68"/>
      <c r="M353" s="68"/>
      <c r="N353" s="68"/>
      <c r="O353" s="68"/>
      <c r="P353" s="68"/>
      <c r="Q353" s="68"/>
      <c r="R353" s="68"/>
      <c r="S353" s="68"/>
      <c r="T353" s="68"/>
      <c r="U353" s="68"/>
    </row>
    <row r="354" spans="1:21" ht="17.25" customHeight="1" x14ac:dyDescent="0.3">
      <c r="A354" s="66"/>
      <c r="C354" s="67"/>
      <c r="D354" s="68"/>
      <c r="E354" s="68"/>
      <c r="F354" s="68"/>
      <c r="G354" s="68"/>
      <c r="H354" s="68"/>
      <c r="I354" s="68"/>
      <c r="J354" s="68"/>
      <c r="K354" s="68"/>
      <c r="L354" s="68"/>
      <c r="M354" s="68"/>
      <c r="N354" s="68"/>
      <c r="O354" s="68"/>
      <c r="P354" s="68"/>
      <c r="Q354" s="68"/>
      <c r="R354" s="68"/>
      <c r="S354" s="68"/>
      <c r="T354" s="68"/>
      <c r="U354" s="68"/>
    </row>
    <row r="355" spans="1:21" ht="17.25" customHeight="1" x14ac:dyDescent="0.3">
      <c r="A355" s="66"/>
      <c r="C355" s="67"/>
      <c r="D355" s="67"/>
      <c r="E355" s="67"/>
      <c r="F355" s="67"/>
      <c r="G355" s="67"/>
      <c r="H355" s="67"/>
      <c r="I355" s="67"/>
      <c r="J355" s="67"/>
      <c r="K355" s="67"/>
      <c r="L355" s="67"/>
      <c r="M355" s="67"/>
      <c r="N355" s="67"/>
      <c r="O355" s="67"/>
      <c r="P355" s="67"/>
      <c r="Q355" s="67"/>
      <c r="R355" s="67"/>
      <c r="S355" s="67"/>
      <c r="T355" s="67"/>
      <c r="U355" s="67"/>
    </row>
    <row r="356" spans="1:21" ht="17.25" customHeight="1" x14ac:dyDescent="0.3">
      <c r="A356" s="66"/>
      <c r="C356" s="67"/>
      <c r="D356" s="67"/>
      <c r="E356" s="67"/>
      <c r="F356" s="67"/>
      <c r="G356" s="67"/>
      <c r="H356" s="67"/>
      <c r="I356" s="67"/>
      <c r="J356" s="67"/>
      <c r="K356" s="67"/>
      <c r="L356" s="67"/>
      <c r="M356" s="67"/>
      <c r="N356" s="67"/>
      <c r="O356" s="67"/>
      <c r="P356" s="67"/>
      <c r="Q356" s="67"/>
      <c r="R356" s="67"/>
      <c r="S356" s="67"/>
      <c r="T356" s="67"/>
      <c r="U356" s="67"/>
    </row>
    <row r="357" spans="1:21" ht="14.25" customHeight="1" x14ac:dyDescent="0.25">
      <c r="A357" s="66"/>
    </row>
    <row r="358" spans="1:21" ht="14.25" customHeight="1" x14ac:dyDescent="0.25">
      <c r="A358" s="66"/>
    </row>
    <row r="359" spans="1:21" ht="14.25" customHeight="1" x14ac:dyDescent="0.25">
      <c r="A359" s="66"/>
    </row>
    <row r="360" spans="1:21" ht="14.25" customHeight="1" x14ac:dyDescent="0.25">
      <c r="A360" s="66"/>
    </row>
    <row r="361" spans="1:21" ht="14.25" customHeight="1" x14ac:dyDescent="0.25">
      <c r="A361" s="66"/>
    </row>
    <row r="362" spans="1:21" ht="14.25" customHeight="1" x14ac:dyDescent="0.25">
      <c r="A362" s="66"/>
    </row>
    <row r="363" spans="1:21" ht="14.25" customHeight="1" x14ac:dyDescent="0.25">
      <c r="A363" s="66"/>
    </row>
    <row r="364" spans="1:21" ht="14.25" customHeight="1" x14ac:dyDescent="0.25">
      <c r="A364" s="66"/>
    </row>
    <row r="365" spans="1:21" ht="14.25" customHeight="1" x14ac:dyDescent="0.25">
      <c r="A365" s="66"/>
    </row>
  </sheetData>
  <mergeCells count="1">
    <mergeCell ref="E3:F3"/>
  </mergeCells>
  <pageMargins left="0.25" right="0.25" top="0.75" bottom="0.75" header="0.3" footer="0.3"/>
  <pageSetup scale="35"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2.75" x14ac:dyDescent="0.2"/>
  <sheetData>
    <row r="1" spans="1:5" x14ac:dyDescent="0.2">
      <c r="A1" s="49" t="s">
        <v>14010</v>
      </c>
      <c r="B1" s="49" t="s">
        <v>0</v>
      </c>
      <c r="C1" s="49" t="s">
        <v>1</v>
      </c>
      <c r="D1" s="49" t="s">
        <v>2</v>
      </c>
      <c r="E1" s="49" t="s">
        <v>10726</v>
      </c>
    </row>
    <row r="3" spans="1:5" x14ac:dyDescent="0.2">
      <c r="C3" s="49" t="s">
        <v>3</v>
      </c>
    </row>
    <row r="4" spans="1:5" x14ac:dyDescent="0.2">
      <c r="A4" s="49" t="s">
        <v>4</v>
      </c>
      <c r="B4" s="49" t="s">
        <v>5</v>
      </c>
      <c r="C4" s="49" t="s">
        <v>14009</v>
      </c>
      <c r="E4" s="49" t="s">
        <v>10727</v>
      </c>
    </row>
    <row r="5" spans="1:5" x14ac:dyDescent="0.2">
      <c r="A5" s="49" t="s">
        <v>4</v>
      </c>
      <c r="B5" s="49" t="s">
        <v>6</v>
      </c>
      <c r="C5" s="49" t="s">
        <v>7</v>
      </c>
      <c r="D5" s="49" t="s">
        <v>40</v>
      </c>
    </row>
    <row r="6" spans="1:5" x14ac:dyDescent="0.2">
      <c r="A6" s="49" t="s">
        <v>4</v>
      </c>
      <c r="B6" s="49" t="s">
        <v>8</v>
      </c>
      <c r="C6" s="49" t="s">
        <v>41</v>
      </c>
      <c r="D6" s="49" t="s">
        <v>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2.75" x14ac:dyDescent="0.2"/>
  <sheetData>
    <row r="1" spans="1:5" x14ac:dyDescent="0.2">
      <c r="A1" s="49" t="s">
        <v>14010</v>
      </c>
      <c r="B1" s="49" t="s">
        <v>0</v>
      </c>
      <c r="C1" s="49" t="s">
        <v>1</v>
      </c>
      <c r="D1" s="49" t="s">
        <v>2</v>
      </c>
      <c r="E1" s="49" t="s">
        <v>10726</v>
      </c>
    </row>
    <row r="3" spans="1:5" x14ac:dyDescent="0.2">
      <c r="C3" s="49" t="s">
        <v>3</v>
      </c>
    </row>
    <row r="4" spans="1:5" x14ac:dyDescent="0.2">
      <c r="A4" s="49" t="s">
        <v>4</v>
      </c>
      <c r="B4" s="49" t="s">
        <v>5</v>
      </c>
      <c r="C4" s="49" t="s">
        <v>14009</v>
      </c>
      <c r="E4" s="49" t="s">
        <v>10727</v>
      </c>
    </row>
    <row r="5" spans="1:5" x14ac:dyDescent="0.2">
      <c r="A5" s="49" t="s">
        <v>4</v>
      </c>
      <c r="B5" s="49" t="s">
        <v>6</v>
      </c>
      <c r="C5" s="49" t="s">
        <v>7</v>
      </c>
      <c r="D5" s="49" t="s">
        <v>40</v>
      </c>
    </row>
    <row r="6" spans="1:5" x14ac:dyDescent="0.2">
      <c r="A6" s="49" t="s">
        <v>4</v>
      </c>
      <c r="B6" s="49" t="s">
        <v>8</v>
      </c>
      <c r="C6" s="49" t="s">
        <v>41</v>
      </c>
      <c r="D6" s="49" t="s">
        <v>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workbookViewId="0"/>
  </sheetViews>
  <sheetFormatPr defaultRowHeight="12.75" x14ac:dyDescent="0.2"/>
  <sheetData>
    <row r="1" spans="1:21" x14ac:dyDescent="0.2">
      <c r="A1" s="49" t="s">
        <v>14011</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13</v>
      </c>
      <c r="K5" s="49" t="s">
        <v>5</v>
      </c>
      <c r="L5" s="49" t="s">
        <v>44</v>
      </c>
    </row>
    <row r="6" spans="1:21" x14ac:dyDescent="0.2">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2858</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2869</v>
      </c>
      <c r="H13" s="49" t="s">
        <v>2870</v>
      </c>
      <c r="I13" s="49" t="s">
        <v>2871</v>
      </c>
      <c r="J13" s="49" t="s">
        <v>2872</v>
      </c>
      <c r="K13" s="49" t="s">
        <v>2873</v>
      </c>
      <c r="L13" s="49" t="s">
        <v>2874</v>
      </c>
      <c r="M13" s="49" t="s">
        <v>2875</v>
      </c>
      <c r="N13" s="49" t="s">
        <v>2876</v>
      </c>
      <c r="O13" s="49" t="s">
        <v>2877</v>
      </c>
      <c r="P13" s="49" t="s">
        <v>2878</v>
      </c>
      <c r="Q13" s="49" t="s">
        <v>2879</v>
      </c>
      <c r="R13" s="49" t="s">
        <v>2880</v>
      </c>
      <c r="S13" s="49" t="s">
        <v>2881</v>
      </c>
      <c r="T13" s="49" t="s">
        <v>2882</v>
      </c>
    </row>
    <row r="15" spans="1:21" x14ac:dyDescent="0.2">
      <c r="E15" s="49" t="s">
        <v>31</v>
      </c>
      <c r="F15" s="49" t="s">
        <v>31</v>
      </c>
      <c r="G15" s="49" t="s">
        <v>31</v>
      </c>
      <c r="J15" s="49" t="s">
        <v>31</v>
      </c>
      <c r="K15" s="49" t="s">
        <v>31</v>
      </c>
      <c r="L15" s="49" t="s">
        <v>31</v>
      </c>
      <c r="M15" s="49" t="s">
        <v>31</v>
      </c>
    </row>
    <row r="17" spans="14:21" x14ac:dyDescent="0.2">
      <c r="N17" s="49" t="s">
        <v>32</v>
      </c>
      <c r="O17" s="49" t="s">
        <v>2883</v>
      </c>
      <c r="P17" s="49" t="s">
        <v>2884</v>
      </c>
      <c r="Q17" s="49" t="s">
        <v>2885</v>
      </c>
      <c r="R17" s="49" t="s">
        <v>2886</v>
      </c>
      <c r="S17" s="49" t="s">
        <v>2887</v>
      </c>
      <c r="T17" s="49" t="s">
        <v>2888</v>
      </c>
      <c r="U17" s="49" t="s">
        <v>2889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workbookViewId="0"/>
  </sheetViews>
  <sheetFormatPr defaultRowHeight="12.75" x14ac:dyDescent="0.2"/>
  <sheetData>
    <row r="1" spans="1:21" x14ac:dyDescent="0.2">
      <c r="A1" s="49" t="s">
        <v>14011</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13</v>
      </c>
      <c r="K5" s="49" t="s">
        <v>5</v>
      </c>
      <c r="L5" s="49" t="s">
        <v>44</v>
      </c>
    </row>
    <row r="6" spans="1:21" x14ac:dyDescent="0.2">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2858</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2869</v>
      </c>
      <c r="H13" s="49" t="s">
        <v>2870</v>
      </c>
      <c r="I13" s="49" t="s">
        <v>2871</v>
      </c>
      <c r="J13" s="49" t="s">
        <v>2872</v>
      </c>
      <c r="K13" s="49" t="s">
        <v>2873</v>
      </c>
      <c r="L13" s="49" t="s">
        <v>2874</v>
      </c>
      <c r="M13" s="49" t="s">
        <v>2875</v>
      </c>
      <c r="N13" s="49" t="s">
        <v>2876</v>
      </c>
      <c r="O13" s="49" t="s">
        <v>2877</v>
      </c>
      <c r="P13" s="49" t="s">
        <v>2878</v>
      </c>
      <c r="Q13" s="49" t="s">
        <v>2879</v>
      </c>
      <c r="R13" s="49" t="s">
        <v>2880</v>
      </c>
      <c r="S13" s="49" t="s">
        <v>2881</v>
      </c>
      <c r="T13" s="49" t="s">
        <v>2882</v>
      </c>
    </row>
    <row r="15" spans="1:21" x14ac:dyDescent="0.2">
      <c r="E15" s="49" t="s">
        <v>31</v>
      </c>
      <c r="F15" s="49" t="s">
        <v>31</v>
      </c>
      <c r="G15" s="49" t="s">
        <v>31</v>
      </c>
      <c r="J15" s="49" t="s">
        <v>31</v>
      </c>
      <c r="K15" s="49" t="s">
        <v>31</v>
      </c>
      <c r="L15" s="49" t="s">
        <v>31</v>
      </c>
      <c r="M15" s="49" t="s">
        <v>31</v>
      </c>
    </row>
    <row r="17" spans="14:21" x14ac:dyDescent="0.2">
      <c r="N17" s="49" t="s">
        <v>32</v>
      </c>
      <c r="O17" s="49" t="s">
        <v>2883</v>
      </c>
      <c r="P17" s="49" t="s">
        <v>2884</v>
      </c>
      <c r="Q17" s="49" t="s">
        <v>2885</v>
      </c>
      <c r="R17" s="49" t="s">
        <v>2886</v>
      </c>
      <c r="S17" s="49" t="s">
        <v>2887</v>
      </c>
      <c r="T17" s="49" t="s">
        <v>2888</v>
      </c>
      <c r="U17" s="49" t="s">
        <v>2889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workbookViewId="0"/>
  </sheetViews>
  <sheetFormatPr defaultRowHeight="12.75" x14ac:dyDescent="0.2"/>
  <sheetData>
    <row r="1" spans="1:21" x14ac:dyDescent="0.2">
      <c r="A1" s="49" t="s">
        <v>14012</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2890</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5" spans="1:21" x14ac:dyDescent="0.2">
      <c r="E15" s="49" t="s">
        <v>31</v>
      </c>
      <c r="F15" s="49" t="s">
        <v>31</v>
      </c>
      <c r="G15" s="49" t="s">
        <v>31</v>
      </c>
      <c r="J15" s="49" t="s">
        <v>31</v>
      </c>
      <c r="K15" s="49" t="s">
        <v>31</v>
      </c>
      <c r="L15" s="49" t="s">
        <v>31</v>
      </c>
      <c r="M15" s="49" t="s">
        <v>31</v>
      </c>
    </row>
    <row r="17" spans="14:21" x14ac:dyDescent="0.2">
      <c r="N17" s="49" t="s">
        <v>32</v>
      </c>
      <c r="O17" s="49" t="s">
        <v>2883</v>
      </c>
      <c r="P17" s="49" t="s">
        <v>2884</v>
      </c>
      <c r="Q17" s="49" t="s">
        <v>2885</v>
      </c>
      <c r="R17" s="49" t="s">
        <v>2886</v>
      </c>
      <c r="S17" s="49" t="s">
        <v>2887</v>
      </c>
      <c r="T17" s="49" t="s">
        <v>2888</v>
      </c>
      <c r="U17" s="49" t="s">
        <v>2889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workbookViewId="0"/>
  </sheetViews>
  <sheetFormatPr defaultRowHeight="12.75" x14ac:dyDescent="0.2"/>
  <sheetData>
    <row r="1" spans="1:21" x14ac:dyDescent="0.2">
      <c r="A1" s="49" t="s">
        <v>14012</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2890</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5" spans="1:21" x14ac:dyDescent="0.2">
      <c r="E15" s="49" t="s">
        <v>31</v>
      </c>
      <c r="F15" s="49" t="s">
        <v>31</v>
      </c>
      <c r="G15" s="49" t="s">
        <v>31</v>
      </c>
      <c r="J15" s="49" t="s">
        <v>31</v>
      </c>
      <c r="K15" s="49" t="s">
        <v>31</v>
      </c>
      <c r="L15" s="49" t="s">
        <v>31</v>
      </c>
      <c r="M15" s="49" t="s">
        <v>31</v>
      </c>
    </row>
    <row r="17" spans="14:21" x14ac:dyDescent="0.2">
      <c r="N17" s="49" t="s">
        <v>32</v>
      </c>
      <c r="O17" s="49" t="s">
        <v>2883</v>
      </c>
      <c r="P17" s="49" t="s">
        <v>2884</v>
      </c>
      <c r="Q17" s="49" t="s">
        <v>2885</v>
      </c>
      <c r="R17" s="49" t="s">
        <v>2886</v>
      </c>
      <c r="S17" s="49" t="s">
        <v>2887</v>
      </c>
      <c r="T17" s="49" t="s">
        <v>2888</v>
      </c>
      <c r="U17" s="49" t="s">
        <v>2889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2.75" x14ac:dyDescent="0.2"/>
  <sheetData>
    <row r="1" spans="1:5" x14ac:dyDescent="0.2">
      <c r="A1" s="49" t="s">
        <v>14014</v>
      </c>
      <c r="B1" s="49" t="s">
        <v>0</v>
      </c>
      <c r="C1" s="49" t="s">
        <v>1</v>
      </c>
      <c r="D1" s="49" t="s">
        <v>2</v>
      </c>
      <c r="E1" s="49" t="s">
        <v>10726</v>
      </c>
    </row>
    <row r="3" spans="1:5" x14ac:dyDescent="0.2">
      <c r="C3" s="49" t="s">
        <v>3</v>
      </c>
    </row>
    <row r="4" spans="1:5" x14ac:dyDescent="0.2">
      <c r="A4" s="49" t="s">
        <v>4</v>
      </c>
      <c r="B4" s="49" t="s">
        <v>5</v>
      </c>
      <c r="C4" s="49" t="s">
        <v>14009</v>
      </c>
      <c r="E4" s="49" t="s">
        <v>10727</v>
      </c>
    </row>
    <row r="5" spans="1:5" x14ac:dyDescent="0.2">
      <c r="A5" s="49" t="s">
        <v>4</v>
      </c>
      <c r="B5" s="49" t="s">
        <v>6</v>
      </c>
      <c r="C5" s="49" t="s">
        <v>7</v>
      </c>
      <c r="D5" s="49" t="s">
        <v>40</v>
      </c>
    </row>
    <row r="6" spans="1:5" x14ac:dyDescent="0.2">
      <c r="A6" s="49" t="s">
        <v>4</v>
      </c>
      <c r="B6" s="49" t="s">
        <v>8</v>
      </c>
      <c r="C6" s="49" t="s">
        <v>41</v>
      </c>
      <c r="D6" s="49" t="s">
        <v>42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66"/>
  <sheetViews>
    <sheetView workbookViewId="0"/>
  </sheetViews>
  <sheetFormatPr defaultRowHeight="12.75" x14ac:dyDescent="0.2"/>
  <sheetData>
    <row r="1" spans="1:21" x14ac:dyDescent="0.2">
      <c r="A1" s="49" t="s">
        <v>32166</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13</v>
      </c>
      <c r="K5" s="49" t="s">
        <v>5</v>
      </c>
      <c r="L5" s="49" t="s">
        <v>44</v>
      </c>
    </row>
    <row r="6" spans="1:21" x14ac:dyDescent="0.2">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2858</v>
      </c>
      <c r="F12" s="49" t="s">
        <v>2859</v>
      </c>
      <c r="H12" s="49" t="s">
        <v>2860</v>
      </c>
      <c r="O12" s="49" t="s">
        <v>14016</v>
      </c>
      <c r="P12" s="49" t="s">
        <v>14017</v>
      </c>
      <c r="Q12" s="49" t="s">
        <v>14018</v>
      </c>
      <c r="R12" s="49" t="s">
        <v>14019</v>
      </c>
      <c r="S12" s="49" t="s">
        <v>14020</v>
      </c>
      <c r="T12" s="49" t="s">
        <v>14021</v>
      </c>
      <c r="U12" s="49" t="s">
        <v>14022</v>
      </c>
    </row>
    <row r="13" spans="1:21" x14ac:dyDescent="0.2">
      <c r="D13" s="49" t="s">
        <v>2868</v>
      </c>
      <c r="G13" s="49" t="s">
        <v>2869</v>
      </c>
      <c r="H13" s="49" t="s">
        <v>2870</v>
      </c>
      <c r="I13" s="49" t="s">
        <v>2871</v>
      </c>
      <c r="J13" s="49" t="s">
        <v>2872</v>
      </c>
      <c r="K13" s="49" t="s">
        <v>2873</v>
      </c>
      <c r="L13" s="49" t="s">
        <v>2874</v>
      </c>
      <c r="M13" s="49" t="s">
        <v>2875</v>
      </c>
      <c r="N13" s="49" t="s">
        <v>2876</v>
      </c>
      <c r="O13" s="49" t="s">
        <v>2877</v>
      </c>
      <c r="P13" s="49" t="s">
        <v>2878</v>
      </c>
      <c r="Q13" s="49" t="s">
        <v>2879</v>
      </c>
      <c r="R13" s="49" t="s">
        <v>2880</v>
      </c>
      <c r="S13" s="49" t="s">
        <v>2881</v>
      </c>
      <c r="T13" s="49" t="s">
        <v>2882</v>
      </c>
    </row>
    <row r="14" spans="1:21" x14ac:dyDescent="0.2">
      <c r="A14" s="49" t="s">
        <v>30</v>
      </c>
      <c r="D14" s="49" t="s">
        <v>47</v>
      </c>
      <c r="G14" s="49" t="s">
        <v>14023</v>
      </c>
      <c r="H14" s="49" t="s">
        <v>48</v>
      </c>
      <c r="I14" s="49" t="s">
        <v>49</v>
      </c>
      <c r="J14" s="49" t="s">
        <v>50</v>
      </c>
      <c r="K14" s="49" t="s">
        <v>51</v>
      </c>
      <c r="L14" s="49" t="s">
        <v>52</v>
      </c>
      <c r="M14" s="49" t="s">
        <v>53</v>
      </c>
      <c r="N14" s="49" t="s">
        <v>54</v>
      </c>
      <c r="O14" s="49" t="s">
        <v>2899</v>
      </c>
      <c r="P14" s="49" t="s">
        <v>2900</v>
      </c>
      <c r="Q14" s="49" t="s">
        <v>2901</v>
      </c>
      <c r="R14" s="49" t="s">
        <v>2902</v>
      </c>
      <c r="S14" s="49" t="s">
        <v>2903</v>
      </c>
      <c r="T14" s="49" t="s">
        <v>2904</v>
      </c>
    </row>
    <row r="15" spans="1:21" x14ac:dyDescent="0.2">
      <c r="A15" s="49" t="s">
        <v>30</v>
      </c>
      <c r="D15" s="49" t="s">
        <v>55</v>
      </c>
      <c r="G15" s="49" t="s">
        <v>14024</v>
      </c>
      <c r="H15" s="49" t="s">
        <v>56</v>
      </c>
      <c r="I15" s="49" t="s">
        <v>57</v>
      </c>
      <c r="J15" s="49" t="s">
        <v>58</v>
      </c>
      <c r="K15" s="49" t="s">
        <v>59</v>
      </c>
      <c r="L15" s="49" t="s">
        <v>60</v>
      </c>
      <c r="M15" s="49" t="s">
        <v>61</v>
      </c>
      <c r="N15" s="49" t="s">
        <v>62</v>
      </c>
      <c r="O15" s="49" t="s">
        <v>2905</v>
      </c>
      <c r="P15" s="49" t="s">
        <v>2906</v>
      </c>
      <c r="Q15" s="49" t="s">
        <v>2907</v>
      </c>
      <c r="R15" s="49" t="s">
        <v>2908</v>
      </c>
      <c r="S15" s="49" t="s">
        <v>2909</v>
      </c>
      <c r="T15" s="49" t="s">
        <v>2910</v>
      </c>
    </row>
    <row r="16" spans="1:21" x14ac:dyDescent="0.2">
      <c r="A16" s="49" t="s">
        <v>30</v>
      </c>
      <c r="D16" s="49" t="s">
        <v>14025</v>
      </c>
      <c r="G16" s="49" t="s">
        <v>14026</v>
      </c>
      <c r="H16" s="49" t="s">
        <v>21504</v>
      </c>
      <c r="I16" s="49" t="s">
        <v>21505</v>
      </c>
      <c r="J16" s="49" t="s">
        <v>21524</v>
      </c>
      <c r="K16" s="49" t="s">
        <v>21525</v>
      </c>
      <c r="L16" s="49" t="s">
        <v>14027</v>
      </c>
      <c r="M16" s="49" t="s">
        <v>14028</v>
      </c>
      <c r="N16" s="49" t="s">
        <v>14029</v>
      </c>
      <c r="O16" s="49" t="s">
        <v>21506</v>
      </c>
      <c r="P16" s="49" t="s">
        <v>21509</v>
      </c>
      <c r="Q16" s="49" t="s">
        <v>21512</v>
      </c>
      <c r="R16" s="49" t="s">
        <v>21515</v>
      </c>
      <c r="S16" s="49" t="s">
        <v>21518</v>
      </c>
      <c r="T16" s="49" t="s">
        <v>21521</v>
      </c>
    </row>
    <row r="17" spans="1:21" x14ac:dyDescent="0.2">
      <c r="A17" s="49" t="s">
        <v>30</v>
      </c>
      <c r="D17" s="49" t="s">
        <v>2266</v>
      </c>
      <c r="G17" s="49" t="s">
        <v>14030</v>
      </c>
      <c r="H17" s="49" t="s">
        <v>2267</v>
      </c>
      <c r="I17" s="49" t="s">
        <v>2268</v>
      </c>
      <c r="J17" s="49" t="s">
        <v>2269</v>
      </c>
      <c r="K17" s="49" t="s">
        <v>2270</v>
      </c>
      <c r="L17" s="49" t="s">
        <v>2271</v>
      </c>
      <c r="M17" s="49" t="s">
        <v>2272</v>
      </c>
      <c r="N17" s="49" t="s">
        <v>2273</v>
      </c>
      <c r="O17" s="49" t="s">
        <v>21507</v>
      </c>
      <c r="P17" s="49" t="s">
        <v>21510</v>
      </c>
      <c r="Q17" s="49" t="s">
        <v>21513</v>
      </c>
      <c r="R17" s="49" t="s">
        <v>21516</v>
      </c>
      <c r="S17" s="49" t="s">
        <v>21519</v>
      </c>
      <c r="T17" s="49" t="s">
        <v>21522</v>
      </c>
    </row>
    <row r="18" spans="1:21" x14ac:dyDescent="0.2">
      <c r="A18" s="49" t="s">
        <v>30</v>
      </c>
      <c r="D18" s="49" t="s">
        <v>3551</v>
      </c>
      <c r="G18" s="49" t="s">
        <v>14031</v>
      </c>
      <c r="H18" s="49" t="s">
        <v>3553</v>
      </c>
      <c r="I18" s="49" t="s">
        <v>3554</v>
      </c>
      <c r="J18" s="49" t="s">
        <v>3555</v>
      </c>
      <c r="K18" s="49" t="s">
        <v>3556</v>
      </c>
      <c r="L18" s="49" t="s">
        <v>3557</v>
      </c>
      <c r="M18" s="49" t="s">
        <v>3558</v>
      </c>
      <c r="N18" s="49" t="s">
        <v>3559</v>
      </c>
      <c r="O18" s="49" t="s">
        <v>21508</v>
      </c>
      <c r="P18" s="49" t="s">
        <v>21511</v>
      </c>
      <c r="Q18" s="49" t="s">
        <v>21514</v>
      </c>
      <c r="R18" s="49" t="s">
        <v>21517</v>
      </c>
      <c r="S18" s="49" t="s">
        <v>21520</v>
      </c>
      <c r="T18" s="49" t="s">
        <v>21523</v>
      </c>
    </row>
    <row r="19" spans="1:21" x14ac:dyDescent="0.2">
      <c r="A19" s="49" t="s">
        <v>30</v>
      </c>
      <c r="D19" s="49" t="s">
        <v>63</v>
      </c>
      <c r="G19" s="49" t="s">
        <v>14032</v>
      </c>
      <c r="H19" s="49" t="s">
        <v>64</v>
      </c>
      <c r="I19" s="49" t="s">
        <v>65</v>
      </c>
      <c r="J19" s="49" t="s">
        <v>66</v>
      </c>
      <c r="K19" s="49" t="s">
        <v>67</v>
      </c>
      <c r="L19" s="49" t="s">
        <v>68</v>
      </c>
      <c r="M19" s="49" t="s">
        <v>69</v>
      </c>
      <c r="N19" s="49" t="s">
        <v>70</v>
      </c>
      <c r="O19" s="49" t="s">
        <v>4380</v>
      </c>
      <c r="P19" s="49" t="s">
        <v>4381</v>
      </c>
      <c r="Q19" s="49" t="s">
        <v>4382</v>
      </c>
      <c r="R19" s="49" t="s">
        <v>4383</v>
      </c>
      <c r="S19" s="49" t="s">
        <v>4384</v>
      </c>
      <c r="T19" s="49" t="s">
        <v>4385</v>
      </c>
    </row>
    <row r="21" spans="1:21" x14ac:dyDescent="0.2">
      <c r="E21" s="49" t="s">
        <v>31</v>
      </c>
      <c r="F21" s="49" t="s">
        <v>31</v>
      </c>
      <c r="G21" s="49" t="s">
        <v>31</v>
      </c>
      <c r="J21" s="49" t="s">
        <v>31</v>
      </c>
      <c r="K21" s="49" t="s">
        <v>31</v>
      </c>
      <c r="L21" s="49" t="s">
        <v>31</v>
      </c>
      <c r="M21" s="49" t="s">
        <v>31</v>
      </c>
    </row>
    <row r="22" spans="1:21" x14ac:dyDescent="0.2">
      <c r="A22" s="49" t="s">
        <v>30</v>
      </c>
      <c r="D22" s="49" t="s">
        <v>1645</v>
      </c>
      <c r="E22" s="49" t="s">
        <v>4549</v>
      </c>
      <c r="F22" s="49" t="s">
        <v>1646</v>
      </c>
      <c r="H22" s="49" t="s">
        <v>1647</v>
      </c>
      <c r="O22" s="49" t="s">
        <v>14033</v>
      </c>
      <c r="P22" s="49" t="s">
        <v>14034</v>
      </c>
      <c r="Q22" s="49" t="s">
        <v>14035</v>
      </c>
      <c r="R22" s="49" t="s">
        <v>14036</v>
      </c>
      <c r="S22" s="49" t="s">
        <v>14037</v>
      </c>
      <c r="T22" s="49" t="s">
        <v>14038</v>
      </c>
      <c r="U22" s="49" t="s">
        <v>14039</v>
      </c>
    </row>
    <row r="23" spans="1:21" x14ac:dyDescent="0.2">
      <c r="A23" s="49" t="s">
        <v>30</v>
      </c>
      <c r="D23" s="49" t="s">
        <v>1648</v>
      </c>
      <c r="G23" s="49" t="s">
        <v>14040</v>
      </c>
      <c r="H23" s="49" t="s">
        <v>1649</v>
      </c>
      <c r="I23" s="49" t="s">
        <v>1650</v>
      </c>
      <c r="J23" s="49" t="s">
        <v>1651</v>
      </c>
      <c r="K23" s="49" t="s">
        <v>1652</v>
      </c>
      <c r="L23" s="49" t="s">
        <v>1653</v>
      </c>
      <c r="M23" s="49" t="s">
        <v>1654</v>
      </c>
      <c r="N23" s="49" t="s">
        <v>1655</v>
      </c>
      <c r="O23" s="49" t="s">
        <v>4110</v>
      </c>
      <c r="P23" s="49" t="s">
        <v>4111</v>
      </c>
      <c r="Q23" s="49" t="s">
        <v>4112</v>
      </c>
      <c r="R23" s="49" t="s">
        <v>4113</v>
      </c>
      <c r="S23" s="49" t="s">
        <v>4114</v>
      </c>
      <c r="T23" s="49" t="s">
        <v>4115</v>
      </c>
    </row>
    <row r="24" spans="1:21" x14ac:dyDescent="0.2">
      <c r="A24" s="49" t="s">
        <v>30</v>
      </c>
      <c r="D24" s="49" t="s">
        <v>2217</v>
      </c>
      <c r="G24" s="49" t="s">
        <v>14041</v>
      </c>
      <c r="H24" s="49" t="s">
        <v>2218</v>
      </c>
      <c r="I24" s="49" t="s">
        <v>2219</v>
      </c>
      <c r="J24" s="49" t="s">
        <v>2220</v>
      </c>
      <c r="K24" s="49" t="s">
        <v>2221</v>
      </c>
      <c r="L24" s="49" t="s">
        <v>2222</v>
      </c>
      <c r="M24" s="49" t="s">
        <v>2223</v>
      </c>
      <c r="N24" s="49" t="s">
        <v>2224</v>
      </c>
      <c r="O24" s="49" t="s">
        <v>4116</v>
      </c>
      <c r="P24" s="49" t="s">
        <v>4117</v>
      </c>
      <c r="Q24" s="49" t="s">
        <v>4118</v>
      </c>
      <c r="R24" s="49" t="s">
        <v>4119</v>
      </c>
      <c r="S24" s="49" t="s">
        <v>4120</v>
      </c>
      <c r="T24" s="49" t="s">
        <v>4121</v>
      </c>
    </row>
    <row r="25" spans="1:21" x14ac:dyDescent="0.2">
      <c r="A25" s="49" t="s">
        <v>30</v>
      </c>
      <c r="D25" s="49" t="s">
        <v>90</v>
      </c>
      <c r="G25" s="49" t="s">
        <v>14042</v>
      </c>
      <c r="H25" s="49" t="s">
        <v>91</v>
      </c>
      <c r="I25" s="49" t="s">
        <v>92</v>
      </c>
      <c r="J25" s="49" t="s">
        <v>93</v>
      </c>
      <c r="K25" s="49" t="s">
        <v>94</v>
      </c>
      <c r="L25" s="49" t="s">
        <v>95</v>
      </c>
      <c r="M25" s="49" t="s">
        <v>96</v>
      </c>
      <c r="N25" s="49" t="s">
        <v>97</v>
      </c>
      <c r="O25" s="49" t="s">
        <v>32130</v>
      </c>
      <c r="P25" s="49" t="s">
        <v>32136</v>
      </c>
      <c r="Q25" s="49" t="s">
        <v>32142</v>
      </c>
      <c r="R25" s="49" t="s">
        <v>32148</v>
      </c>
      <c r="S25" s="49" t="s">
        <v>32154</v>
      </c>
      <c r="T25" s="49" t="s">
        <v>32160</v>
      </c>
    </row>
    <row r="26" spans="1:21" x14ac:dyDescent="0.2">
      <c r="A26" s="49" t="s">
        <v>30</v>
      </c>
      <c r="D26" s="49" t="s">
        <v>98</v>
      </c>
      <c r="G26" s="49" t="s">
        <v>14043</v>
      </c>
      <c r="H26" s="49" t="s">
        <v>99</v>
      </c>
      <c r="I26" s="49" t="s">
        <v>100</v>
      </c>
      <c r="J26" s="49" t="s">
        <v>101</v>
      </c>
      <c r="K26" s="49" t="s">
        <v>102</v>
      </c>
      <c r="L26" s="49" t="s">
        <v>103</v>
      </c>
      <c r="M26" s="49" t="s">
        <v>104</v>
      </c>
      <c r="N26" s="49" t="s">
        <v>105</v>
      </c>
      <c r="O26" s="49" t="s">
        <v>32131</v>
      </c>
      <c r="P26" s="49" t="s">
        <v>32137</v>
      </c>
      <c r="Q26" s="49" t="s">
        <v>32143</v>
      </c>
      <c r="R26" s="49" t="s">
        <v>32149</v>
      </c>
      <c r="S26" s="49" t="s">
        <v>32155</v>
      </c>
      <c r="T26" s="49" t="s">
        <v>32161</v>
      </c>
    </row>
    <row r="27" spans="1:21" x14ac:dyDescent="0.2">
      <c r="A27" s="49" t="s">
        <v>30</v>
      </c>
      <c r="D27" s="49" t="s">
        <v>106</v>
      </c>
      <c r="G27" s="49" t="s">
        <v>14044</v>
      </c>
      <c r="H27" s="49" t="s">
        <v>107</v>
      </c>
      <c r="I27" s="49" t="s">
        <v>108</v>
      </c>
      <c r="J27" s="49" t="s">
        <v>109</v>
      </c>
      <c r="K27" s="49" t="s">
        <v>110</v>
      </c>
      <c r="L27" s="49" t="s">
        <v>111</v>
      </c>
      <c r="M27" s="49" t="s">
        <v>112</v>
      </c>
      <c r="N27" s="49" t="s">
        <v>113</v>
      </c>
      <c r="O27" s="49" t="s">
        <v>32132</v>
      </c>
      <c r="P27" s="49" t="s">
        <v>32138</v>
      </c>
      <c r="Q27" s="49" t="s">
        <v>32144</v>
      </c>
      <c r="R27" s="49" t="s">
        <v>32150</v>
      </c>
      <c r="S27" s="49" t="s">
        <v>32156</v>
      </c>
      <c r="T27" s="49" t="s">
        <v>32162</v>
      </c>
    </row>
    <row r="28" spans="1:21" x14ac:dyDescent="0.2">
      <c r="A28" s="49" t="s">
        <v>30</v>
      </c>
      <c r="D28" s="49" t="s">
        <v>114</v>
      </c>
      <c r="G28" s="49" t="s">
        <v>14045</v>
      </c>
      <c r="H28" s="49" t="s">
        <v>115</v>
      </c>
      <c r="I28" s="49" t="s">
        <v>116</v>
      </c>
      <c r="J28" s="49" t="s">
        <v>117</v>
      </c>
      <c r="K28" s="49" t="s">
        <v>118</v>
      </c>
      <c r="L28" s="49" t="s">
        <v>119</v>
      </c>
      <c r="M28" s="49" t="s">
        <v>120</v>
      </c>
      <c r="N28" s="49" t="s">
        <v>121</v>
      </c>
      <c r="O28" s="49" t="s">
        <v>12956</v>
      </c>
      <c r="P28" s="49" t="s">
        <v>12957</v>
      </c>
      <c r="Q28" s="49" t="s">
        <v>12958</v>
      </c>
      <c r="R28" s="49" t="s">
        <v>12959</v>
      </c>
      <c r="S28" s="49" t="s">
        <v>12960</v>
      </c>
      <c r="T28" s="49" t="s">
        <v>12961</v>
      </c>
    </row>
    <row r="29" spans="1:21" x14ac:dyDescent="0.2">
      <c r="A29" s="49" t="s">
        <v>30</v>
      </c>
      <c r="D29" s="49" t="s">
        <v>122</v>
      </c>
      <c r="G29" s="49" t="s">
        <v>14046</v>
      </c>
      <c r="H29" s="49" t="s">
        <v>123</v>
      </c>
      <c r="I29" s="49" t="s">
        <v>124</v>
      </c>
      <c r="J29" s="49" t="s">
        <v>125</v>
      </c>
      <c r="K29" s="49" t="s">
        <v>126</v>
      </c>
      <c r="L29" s="49" t="s">
        <v>127</v>
      </c>
      <c r="M29" s="49" t="s">
        <v>128</v>
      </c>
      <c r="N29" s="49" t="s">
        <v>129</v>
      </c>
      <c r="O29" s="49" t="s">
        <v>2911</v>
      </c>
      <c r="P29" s="49" t="s">
        <v>2912</v>
      </c>
      <c r="Q29" s="49" t="s">
        <v>2913</v>
      </c>
      <c r="R29" s="49" t="s">
        <v>2914</v>
      </c>
      <c r="S29" s="49" t="s">
        <v>2915</v>
      </c>
      <c r="T29" s="49" t="s">
        <v>2916</v>
      </c>
    </row>
    <row r="30" spans="1:21" x14ac:dyDescent="0.2">
      <c r="A30" s="49" t="s">
        <v>30</v>
      </c>
      <c r="D30" s="49" t="s">
        <v>130</v>
      </c>
      <c r="G30" s="49" t="s">
        <v>14047</v>
      </c>
      <c r="H30" s="49" t="s">
        <v>131</v>
      </c>
      <c r="I30" s="49" t="s">
        <v>132</v>
      </c>
      <c r="J30" s="49" t="s">
        <v>133</v>
      </c>
      <c r="K30" s="49" t="s">
        <v>134</v>
      </c>
      <c r="L30" s="49" t="s">
        <v>135</v>
      </c>
      <c r="M30" s="49" t="s">
        <v>136</v>
      </c>
      <c r="N30" s="49" t="s">
        <v>137</v>
      </c>
      <c r="O30" s="49" t="s">
        <v>2917</v>
      </c>
      <c r="P30" s="49" t="s">
        <v>2918</v>
      </c>
      <c r="Q30" s="49" t="s">
        <v>2919</v>
      </c>
      <c r="R30" s="49" t="s">
        <v>2920</v>
      </c>
      <c r="S30" s="49" t="s">
        <v>2921</v>
      </c>
      <c r="T30" s="49" t="s">
        <v>2922</v>
      </c>
    </row>
    <row r="31" spans="1:21" x14ac:dyDescent="0.2">
      <c r="A31" s="49" t="s">
        <v>30</v>
      </c>
      <c r="D31" s="49" t="s">
        <v>1659</v>
      </c>
      <c r="G31" s="49" t="s">
        <v>14048</v>
      </c>
      <c r="H31" s="49" t="s">
        <v>1660</v>
      </c>
      <c r="I31" s="49" t="s">
        <v>1661</v>
      </c>
      <c r="J31" s="49" t="s">
        <v>1662</v>
      </c>
      <c r="K31" s="49" t="s">
        <v>1663</v>
      </c>
      <c r="L31" s="49" t="s">
        <v>1664</v>
      </c>
      <c r="M31" s="49" t="s">
        <v>1665</v>
      </c>
      <c r="N31" s="49" t="s">
        <v>1666</v>
      </c>
      <c r="O31" s="49" t="s">
        <v>4122</v>
      </c>
      <c r="P31" s="49" t="s">
        <v>4123</v>
      </c>
      <c r="Q31" s="49" t="s">
        <v>4124</v>
      </c>
      <c r="R31" s="49" t="s">
        <v>4125</v>
      </c>
      <c r="S31" s="49" t="s">
        <v>4126</v>
      </c>
      <c r="T31" s="49" t="s">
        <v>4127</v>
      </c>
    </row>
    <row r="32" spans="1:21" x14ac:dyDescent="0.2">
      <c r="A32" s="49" t="s">
        <v>30</v>
      </c>
      <c r="D32" s="49" t="s">
        <v>1797</v>
      </c>
      <c r="G32" s="49" t="s">
        <v>14049</v>
      </c>
      <c r="H32" s="49" t="s">
        <v>1798</v>
      </c>
      <c r="I32" s="49" t="s">
        <v>1799</v>
      </c>
      <c r="J32" s="49" t="s">
        <v>1800</v>
      </c>
      <c r="K32" s="49" t="s">
        <v>1801</v>
      </c>
      <c r="L32" s="49" t="s">
        <v>1802</v>
      </c>
      <c r="M32" s="49" t="s">
        <v>1803</v>
      </c>
      <c r="N32" s="49" t="s">
        <v>1804</v>
      </c>
      <c r="O32" s="49" t="s">
        <v>4128</v>
      </c>
      <c r="P32" s="49" t="s">
        <v>4129</v>
      </c>
      <c r="Q32" s="49" t="s">
        <v>4130</v>
      </c>
      <c r="R32" s="49" t="s">
        <v>4131</v>
      </c>
      <c r="S32" s="49" t="s">
        <v>4132</v>
      </c>
      <c r="T32" s="49" t="s">
        <v>4133</v>
      </c>
    </row>
    <row r="33" spans="1:21" x14ac:dyDescent="0.2">
      <c r="A33" s="49" t="s">
        <v>30</v>
      </c>
      <c r="D33" s="49" t="s">
        <v>2283</v>
      </c>
      <c r="G33" s="49" t="s">
        <v>14050</v>
      </c>
      <c r="H33" s="49" t="s">
        <v>2284</v>
      </c>
      <c r="I33" s="49" t="s">
        <v>2285</v>
      </c>
      <c r="J33" s="49" t="s">
        <v>2286</v>
      </c>
      <c r="K33" s="49" t="s">
        <v>2287</v>
      </c>
      <c r="L33" s="49" t="s">
        <v>2288</v>
      </c>
      <c r="M33" s="49" t="s">
        <v>2289</v>
      </c>
      <c r="N33" s="49" t="s">
        <v>2290</v>
      </c>
      <c r="O33" s="49" t="s">
        <v>4134</v>
      </c>
      <c r="P33" s="49" t="s">
        <v>4135</v>
      </c>
      <c r="Q33" s="49" t="s">
        <v>4136</v>
      </c>
      <c r="R33" s="49" t="s">
        <v>4137</v>
      </c>
      <c r="S33" s="49" t="s">
        <v>4138</v>
      </c>
      <c r="T33" s="49" t="s">
        <v>4139</v>
      </c>
    </row>
    <row r="34" spans="1:21" x14ac:dyDescent="0.2">
      <c r="A34" s="49" t="s">
        <v>30</v>
      </c>
      <c r="D34" s="49" t="s">
        <v>141</v>
      </c>
      <c r="G34" s="49" t="s">
        <v>14051</v>
      </c>
      <c r="H34" s="49" t="s">
        <v>142</v>
      </c>
      <c r="I34" s="49" t="s">
        <v>143</v>
      </c>
      <c r="J34" s="49" t="s">
        <v>144</v>
      </c>
      <c r="K34" s="49" t="s">
        <v>145</v>
      </c>
      <c r="L34" s="49" t="s">
        <v>146</v>
      </c>
      <c r="M34" s="49" t="s">
        <v>147</v>
      </c>
      <c r="N34" s="49" t="s">
        <v>148</v>
      </c>
      <c r="O34" s="49" t="s">
        <v>2923</v>
      </c>
      <c r="P34" s="49" t="s">
        <v>2924</v>
      </c>
      <c r="Q34" s="49" t="s">
        <v>2925</v>
      </c>
      <c r="R34" s="49" t="s">
        <v>2926</v>
      </c>
      <c r="S34" s="49" t="s">
        <v>2927</v>
      </c>
      <c r="T34" s="49" t="s">
        <v>2928</v>
      </c>
    </row>
    <row r="35" spans="1:21" x14ac:dyDescent="0.2">
      <c r="A35" s="49" t="s">
        <v>30</v>
      </c>
      <c r="D35" s="49" t="s">
        <v>149</v>
      </c>
      <c r="G35" s="49" t="s">
        <v>14052</v>
      </c>
      <c r="H35" s="49" t="s">
        <v>150</v>
      </c>
      <c r="I35" s="49" t="s">
        <v>151</v>
      </c>
      <c r="J35" s="49" t="s">
        <v>152</v>
      </c>
      <c r="K35" s="49" t="s">
        <v>153</v>
      </c>
      <c r="L35" s="49" t="s">
        <v>154</v>
      </c>
      <c r="M35" s="49" t="s">
        <v>155</v>
      </c>
      <c r="N35" s="49" t="s">
        <v>156</v>
      </c>
      <c r="O35" s="49" t="s">
        <v>32133</v>
      </c>
      <c r="P35" s="49" t="s">
        <v>32139</v>
      </c>
      <c r="Q35" s="49" t="s">
        <v>32145</v>
      </c>
      <c r="R35" s="49" t="s">
        <v>32151</v>
      </c>
      <c r="S35" s="49" t="s">
        <v>32157</v>
      </c>
      <c r="T35" s="49" t="s">
        <v>32163</v>
      </c>
    </row>
    <row r="36" spans="1:21" x14ac:dyDescent="0.2">
      <c r="A36" s="49" t="s">
        <v>30</v>
      </c>
      <c r="D36" s="49" t="s">
        <v>157</v>
      </c>
      <c r="G36" s="49" t="s">
        <v>14053</v>
      </c>
      <c r="H36" s="49" t="s">
        <v>158</v>
      </c>
      <c r="I36" s="49" t="s">
        <v>159</v>
      </c>
      <c r="J36" s="49" t="s">
        <v>160</v>
      </c>
      <c r="K36" s="49" t="s">
        <v>161</v>
      </c>
      <c r="L36" s="49" t="s">
        <v>162</v>
      </c>
      <c r="M36" s="49" t="s">
        <v>163</v>
      </c>
      <c r="N36" s="49" t="s">
        <v>164</v>
      </c>
      <c r="O36" s="49" t="s">
        <v>32134</v>
      </c>
      <c r="P36" s="49" t="s">
        <v>32140</v>
      </c>
      <c r="Q36" s="49" t="s">
        <v>32146</v>
      </c>
      <c r="R36" s="49" t="s">
        <v>32152</v>
      </c>
      <c r="S36" s="49" t="s">
        <v>32158</v>
      </c>
      <c r="T36" s="49" t="s">
        <v>32164</v>
      </c>
    </row>
    <row r="37" spans="1:21" x14ac:dyDescent="0.2">
      <c r="A37" s="49" t="s">
        <v>30</v>
      </c>
      <c r="D37" s="49" t="s">
        <v>165</v>
      </c>
      <c r="G37" s="49" t="s">
        <v>14054</v>
      </c>
      <c r="H37" s="49" t="s">
        <v>166</v>
      </c>
      <c r="I37" s="49" t="s">
        <v>167</v>
      </c>
      <c r="J37" s="49" t="s">
        <v>168</v>
      </c>
      <c r="K37" s="49" t="s">
        <v>169</v>
      </c>
      <c r="L37" s="49" t="s">
        <v>170</v>
      </c>
      <c r="M37" s="49" t="s">
        <v>171</v>
      </c>
      <c r="N37" s="49" t="s">
        <v>172</v>
      </c>
      <c r="O37" s="49" t="s">
        <v>32135</v>
      </c>
      <c r="P37" s="49" t="s">
        <v>32141</v>
      </c>
      <c r="Q37" s="49" t="s">
        <v>32147</v>
      </c>
      <c r="R37" s="49" t="s">
        <v>32153</v>
      </c>
      <c r="S37" s="49" t="s">
        <v>32159</v>
      </c>
      <c r="T37" s="49" t="s">
        <v>32165</v>
      </c>
    </row>
    <row r="38" spans="1:21" x14ac:dyDescent="0.2">
      <c r="A38" s="49" t="s">
        <v>30</v>
      </c>
    </row>
    <row r="39" spans="1:21" x14ac:dyDescent="0.2">
      <c r="A39" s="49" t="s">
        <v>30</v>
      </c>
      <c r="E39" s="49" t="s">
        <v>31</v>
      </c>
      <c r="F39" s="49" t="s">
        <v>31</v>
      </c>
      <c r="G39" s="49" t="s">
        <v>31</v>
      </c>
      <c r="J39" s="49" t="s">
        <v>31</v>
      </c>
      <c r="K39" s="49" t="s">
        <v>31</v>
      </c>
      <c r="L39" s="49" t="s">
        <v>31</v>
      </c>
      <c r="M39" s="49" t="s">
        <v>31</v>
      </c>
    </row>
    <row r="40" spans="1:21" x14ac:dyDescent="0.2">
      <c r="A40" s="49" t="s">
        <v>30</v>
      </c>
      <c r="D40" s="49" t="s">
        <v>2821</v>
      </c>
      <c r="E40" s="49" t="s">
        <v>4550</v>
      </c>
      <c r="F40" s="49" t="s">
        <v>2822</v>
      </c>
      <c r="H40" s="49" t="s">
        <v>2823</v>
      </c>
      <c r="O40" s="49" t="s">
        <v>14055</v>
      </c>
      <c r="P40" s="49" t="s">
        <v>14056</v>
      </c>
      <c r="Q40" s="49" t="s">
        <v>14057</v>
      </c>
      <c r="R40" s="49" t="s">
        <v>14058</v>
      </c>
      <c r="S40" s="49" t="s">
        <v>14059</v>
      </c>
      <c r="T40" s="49" t="s">
        <v>14060</v>
      </c>
      <c r="U40" s="49" t="s">
        <v>14061</v>
      </c>
    </row>
    <row r="41" spans="1:21" x14ac:dyDescent="0.2">
      <c r="A41" s="49" t="s">
        <v>30</v>
      </c>
      <c r="D41" s="49" t="s">
        <v>2824</v>
      </c>
      <c r="G41" s="49" t="s">
        <v>14062</v>
      </c>
      <c r="H41" s="49" t="s">
        <v>2825</v>
      </c>
      <c r="I41" s="49" t="s">
        <v>2826</v>
      </c>
      <c r="J41" s="49" t="s">
        <v>2827</v>
      </c>
      <c r="K41" s="49" t="s">
        <v>2828</v>
      </c>
      <c r="L41" s="49" t="s">
        <v>2829</v>
      </c>
      <c r="M41" s="49" t="s">
        <v>2830</v>
      </c>
      <c r="N41" s="49" t="s">
        <v>2831</v>
      </c>
      <c r="O41" s="49" t="s">
        <v>4140</v>
      </c>
      <c r="P41" s="49" t="s">
        <v>4141</v>
      </c>
      <c r="Q41" s="49" t="s">
        <v>4142</v>
      </c>
      <c r="R41" s="49" t="s">
        <v>4143</v>
      </c>
      <c r="S41" s="49" t="s">
        <v>4144</v>
      </c>
      <c r="T41" s="49" t="s">
        <v>4145</v>
      </c>
    </row>
    <row r="42" spans="1:21" x14ac:dyDescent="0.2">
      <c r="A42" s="49" t="s">
        <v>30</v>
      </c>
      <c r="D42" s="49" t="s">
        <v>184</v>
      </c>
      <c r="G42" s="49" t="s">
        <v>14063</v>
      </c>
      <c r="H42" s="49" t="s">
        <v>185</v>
      </c>
      <c r="I42" s="49" t="s">
        <v>186</v>
      </c>
      <c r="J42" s="49" t="s">
        <v>187</v>
      </c>
      <c r="K42" s="49" t="s">
        <v>188</v>
      </c>
      <c r="L42" s="49" t="s">
        <v>189</v>
      </c>
      <c r="M42" s="49" t="s">
        <v>190</v>
      </c>
      <c r="N42" s="49" t="s">
        <v>191</v>
      </c>
      <c r="O42" s="49" t="s">
        <v>4146</v>
      </c>
      <c r="P42" s="49" t="s">
        <v>4147</v>
      </c>
      <c r="Q42" s="49" t="s">
        <v>4148</v>
      </c>
      <c r="R42" s="49" t="s">
        <v>4149</v>
      </c>
      <c r="S42" s="49" t="s">
        <v>4150</v>
      </c>
      <c r="T42" s="49" t="s">
        <v>4151</v>
      </c>
    </row>
    <row r="43" spans="1:21" x14ac:dyDescent="0.2">
      <c r="A43" s="49" t="s">
        <v>30</v>
      </c>
      <c r="D43" s="49" t="s">
        <v>192</v>
      </c>
      <c r="G43" s="49" t="s">
        <v>14064</v>
      </c>
      <c r="H43" s="49" t="s">
        <v>193</v>
      </c>
      <c r="I43" s="49" t="s">
        <v>194</v>
      </c>
      <c r="J43" s="49" t="s">
        <v>195</v>
      </c>
      <c r="K43" s="49" t="s">
        <v>196</v>
      </c>
      <c r="L43" s="49" t="s">
        <v>197</v>
      </c>
      <c r="M43" s="49" t="s">
        <v>198</v>
      </c>
      <c r="N43" s="49" t="s">
        <v>199</v>
      </c>
      <c r="O43" s="49" t="s">
        <v>32094</v>
      </c>
      <c r="P43" s="49" t="s">
        <v>32100</v>
      </c>
      <c r="Q43" s="49" t="s">
        <v>32106</v>
      </c>
      <c r="R43" s="49" t="s">
        <v>32112</v>
      </c>
      <c r="S43" s="49" t="s">
        <v>32118</v>
      </c>
      <c r="T43" s="49" t="s">
        <v>32124</v>
      </c>
    </row>
    <row r="44" spans="1:21" x14ac:dyDescent="0.2">
      <c r="A44" s="49" t="s">
        <v>30</v>
      </c>
      <c r="D44" s="49" t="s">
        <v>1816</v>
      </c>
      <c r="G44" s="49" t="s">
        <v>14065</v>
      </c>
      <c r="H44" s="49" t="s">
        <v>1817</v>
      </c>
      <c r="I44" s="49" t="s">
        <v>1818</v>
      </c>
      <c r="J44" s="49" t="s">
        <v>1819</v>
      </c>
      <c r="K44" s="49" t="s">
        <v>1820</v>
      </c>
      <c r="L44" s="49" t="s">
        <v>1821</v>
      </c>
      <c r="M44" s="49" t="s">
        <v>1822</v>
      </c>
      <c r="N44" s="49" t="s">
        <v>1823</v>
      </c>
      <c r="O44" s="49" t="s">
        <v>32095</v>
      </c>
      <c r="P44" s="49" t="s">
        <v>32101</v>
      </c>
      <c r="Q44" s="49" t="s">
        <v>32107</v>
      </c>
      <c r="R44" s="49" t="s">
        <v>32113</v>
      </c>
      <c r="S44" s="49" t="s">
        <v>32119</v>
      </c>
      <c r="T44" s="49" t="s">
        <v>32125</v>
      </c>
    </row>
    <row r="45" spans="1:21" x14ac:dyDescent="0.2">
      <c r="A45" s="49" t="s">
        <v>30</v>
      </c>
      <c r="D45" s="49" t="s">
        <v>1824</v>
      </c>
      <c r="G45" s="49" t="s">
        <v>14066</v>
      </c>
      <c r="H45" s="49" t="s">
        <v>1825</v>
      </c>
      <c r="I45" s="49" t="s">
        <v>1826</v>
      </c>
      <c r="J45" s="49" t="s">
        <v>1827</v>
      </c>
      <c r="K45" s="49" t="s">
        <v>1828</v>
      </c>
      <c r="L45" s="49" t="s">
        <v>1829</v>
      </c>
      <c r="M45" s="49" t="s">
        <v>1830</v>
      </c>
      <c r="N45" s="49" t="s">
        <v>1831</v>
      </c>
      <c r="O45" s="49" t="s">
        <v>32096</v>
      </c>
      <c r="P45" s="49" t="s">
        <v>32102</v>
      </c>
      <c r="Q45" s="49" t="s">
        <v>32108</v>
      </c>
      <c r="R45" s="49" t="s">
        <v>32114</v>
      </c>
      <c r="S45" s="49" t="s">
        <v>32120</v>
      </c>
      <c r="T45" s="49" t="s">
        <v>32126</v>
      </c>
    </row>
    <row r="46" spans="1:21" x14ac:dyDescent="0.2">
      <c r="A46" s="49" t="s">
        <v>30</v>
      </c>
      <c r="D46" s="49" t="s">
        <v>2531</v>
      </c>
      <c r="G46" s="49" t="s">
        <v>14067</v>
      </c>
      <c r="H46" s="49" t="s">
        <v>2532</v>
      </c>
      <c r="I46" s="49" t="s">
        <v>2533</v>
      </c>
      <c r="J46" s="49" t="s">
        <v>2534</v>
      </c>
      <c r="K46" s="49" t="s">
        <v>2535</v>
      </c>
      <c r="L46" s="49" t="s">
        <v>2536</v>
      </c>
      <c r="M46" s="49" t="s">
        <v>2537</v>
      </c>
      <c r="N46" s="49" t="s">
        <v>2538</v>
      </c>
      <c r="O46" s="49" t="s">
        <v>10728</v>
      </c>
      <c r="P46" s="49" t="s">
        <v>10729</v>
      </c>
      <c r="Q46" s="49" t="s">
        <v>10730</v>
      </c>
      <c r="R46" s="49" t="s">
        <v>10731</v>
      </c>
      <c r="S46" s="49" t="s">
        <v>10732</v>
      </c>
      <c r="T46" s="49" t="s">
        <v>10733</v>
      </c>
    </row>
    <row r="47" spans="1:21" x14ac:dyDescent="0.2">
      <c r="A47" s="49" t="s">
        <v>30</v>
      </c>
      <c r="D47" s="49" t="s">
        <v>200</v>
      </c>
      <c r="G47" s="49" t="s">
        <v>14068</v>
      </c>
      <c r="H47" s="49" t="s">
        <v>201</v>
      </c>
      <c r="I47" s="49" t="s">
        <v>202</v>
      </c>
      <c r="J47" s="49" t="s">
        <v>203</v>
      </c>
      <c r="K47" s="49" t="s">
        <v>204</v>
      </c>
      <c r="L47" s="49" t="s">
        <v>205</v>
      </c>
      <c r="M47" s="49" t="s">
        <v>206</v>
      </c>
      <c r="N47" s="49" t="s">
        <v>207</v>
      </c>
      <c r="O47" s="49" t="s">
        <v>10734</v>
      </c>
      <c r="P47" s="49" t="s">
        <v>10735</v>
      </c>
      <c r="Q47" s="49" t="s">
        <v>10736</v>
      </c>
      <c r="R47" s="49" t="s">
        <v>10737</v>
      </c>
      <c r="S47" s="49" t="s">
        <v>10738</v>
      </c>
      <c r="T47" s="49" t="s">
        <v>10739</v>
      </c>
    </row>
    <row r="48" spans="1:21" x14ac:dyDescent="0.2">
      <c r="A48" s="49" t="s">
        <v>30</v>
      </c>
      <c r="D48" s="49" t="s">
        <v>208</v>
      </c>
      <c r="G48" s="49" t="s">
        <v>14069</v>
      </c>
      <c r="H48" s="49" t="s">
        <v>209</v>
      </c>
      <c r="I48" s="49" t="s">
        <v>210</v>
      </c>
      <c r="J48" s="49" t="s">
        <v>211</v>
      </c>
      <c r="K48" s="49" t="s">
        <v>212</v>
      </c>
      <c r="L48" s="49" t="s">
        <v>213</v>
      </c>
      <c r="M48" s="49" t="s">
        <v>214</v>
      </c>
      <c r="N48" s="49" t="s">
        <v>215</v>
      </c>
      <c r="O48" s="49" t="s">
        <v>10740</v>
      </c>
      <c r="P48" s="49" t="s">
        <v>10741</v>
      </c>
      <c r="Q48" s="49" t="s">
        <v>10742</v>
      </c>
      <c r="R48" s="49" t="s">
        <v>10743</v>
      </c>
      <c r="S48" s="49" t="s">
        <v>10744</v>
      </c>
      <c r="T48" s="49" t="s">
        <v>10745</v>
      </c>
    </row>
    <row r="49" spans="1:21" x14ac:dyDescent="0.2">
      <c r="A49" s="49" t="s">
        <v>30</v>
      </c>
      <c r="D49" s="49" t="s">
        <v>216</v>
      </c>
      <c r="G49" s="49" t="s">
        <v>14070</v>
      </c>
      <c r="H49" s="49" t="s">
        <v>217</v>
      </c>
      <c r="I49" s="49" t="s">
        <v>218</v>
      </c>
      <c r="J49" s="49" t="s">
        <v>219</v>
      </c>
      <c r="K49" s="49" t="s">
        <v>220</v>
      </c>
      <c r="L49" s="49" t="s">
        <v>221</v>
      </c>
      <c r="M49" s="49" t="s">
        <v>222</v>
      </c>
      <c r="N49" s="49" t="s">
        <v>223</v>
      </c>
      <c r="O49" s="49" t="s">
        <v>4553</v>
      </c>
      <c r="P49" s="49" t="s">
        <v>4554</v>
      </c>
      <c r="Q49" s="49" t="s">
        <v>4555</v>
      </c>
      <c r="R49" s="49" t="s">
        <v>4556</v>
      </c>
      <c r="S49" s="49" t="s">
        <v>4557</v>
      </c>
      <c r="T49" s="49" t="s">
        <v>4558</v>
      </c>
    </row>
    <row r="50" spans="1:21" x14ac:dyDescent="0.2">
      <c r="A50" s="49" t="s">
        <v>30</v>
      </c>
      <c r="D50" s="49" t="s">
        <v>224</v>
      </c>
      <c r="G50" s="49" t="s">
        <v>14071</v>
      </c>
      <c r="H50" s="49" t="s">
        <v>225</v>
      </c>
      <c r="I50" s="49" t="s">
        <v>226</v>
      </c>
      <c r="J50" s="49" t="s">
        <v>227</v>
      </c>
      <c r="K50" s="49" t="s">
        <v>228</v>
      </c>
      <c r="L50" s="49" t="s">
        <v>229</v>
      </c>
      <c r="M50" s="49" t="s">
        <v>230</v>
      </c>
      <c r="N50" s="49" t="s">
        <v>231</v>
      </c>
      <c r="O50" s="49" t="s">
        <v>32097</v>
      </c>
      <c r="P50" s="49" t="s">
        <v>32103</v>
      </c>
      <c r="Q50" s="49" t="s">
        <v>32109</v>
      </c>
      <c r="R50" s="49" t="s">
        <v>32115</v>
      </c>
      <c r="S50" s="49" t="s">
        <v>32121</v>
      </c>
      <c r="T50" s="49" t="s">
        <v>32127</v>
      </c>
    </row>
    <row r="51" spans="1:21" x14ac:dyDescent="0.2">
      <c r="A51" s="49" t="s">
        <v>30</v>
      </c>
      <c r="D51" s="49" t="s">
        <v>232</v>
      </c>
      <c r="G51" s="49" t="s">
        <v>14072</v>
      </c>
      <c r="H51" s="49" t="s">
        <v>233</v>
      </c>
      <c r="I51" s="49" t="s">
        <v>234</v>
      </c>
      <c r="J51" s="49" t="s">
        <v>235</v>
      </c>
      <c r="K51" s="49" t="s">
        <v>236</v>
      </c>
      <c r="L51" s="49" t="s">
        <v>237</v>
      </c>
      <c r="M51" s="49" t="s">
        <v>238</v>
      </c>
      <c r="N51" s="49" t="s">
        <v>239</v>
      </c>
      <c r="O51" s="49" t="s">
        <v>32098</v>
      </c>
      <c r="P51" s="49" t="s">
        <v>32104</v>
      </c>
      <c r="Q51" s="49" t="s">
        <v>32110</v>
      </c>
      <c r="R51" s="49" t="s">
        <v>32116</v>
      </c>
      <c r="S51" s="49" t="s">
        <v>32122</v>
      </c>
      <c r="T51" s="49" t="s">
        <v>32128</v>
      </c>
    </row>
    <row r="52" spans="1:21" x14ac:dyDescent="0.2">
      <c r="A52" s="49" t="s">
        <v>30</v>
      </c>
      <c r="D52" s="49" t="s">
        <v>2228</v>
      </c>
      <c r="G52" s="49" t="s">
        <v>14073</v>
      </c>
      <c r="H52" s="49" t="s">
        <v>2229</v>
      </c>
      <c r="I52" s="49" t="s">
        <v>2230</v>
      </c>
      <c r="J52" s="49" t="s">
        <v>2231</v>
      </c>
      <c r="K52" s="49" t="s">
        <v>2232</v>
      </c>
      <c r="L52" s="49" t="s">
        <v>2233</v>
      </c>
      <c r="M52" s="49" t="s">
        <v>2234</v>
      </c>
      <c r="N52" s="49" t="s">
        <v>2235</v>
      </c>
      <c r="O52" s="49" t="s">
        <v>32099</v>
      </c>
      <c r="P52" s="49" t="s">
        <v>32105</v>
      </c>
      <c r="Q52" s="49" t="s">
        <v>32111</v>
      </c>
      <c r="R52" s="49" t="s">
        <v>32117</v>
      </c>
      <c r="S52" s="49" t="s">
        <v>32123</v>
      </c>
      <c r="T52" s="49" t="s">
        <v>32129</v>
      </c>
    </row>
    <row r="53" spans="1:21" x14ac:dyDescent="0.2">
      <c r="A53" s="49" t="s">
        <v>30</v>
      </c>
      <c r="D53" s="49" t="s">
        <v>2236</v>
      </c>
      <c r="G53" s="49" t="s">
        <v>14074</v>
      </c>
      <c r="H53" s="49" t="s">
        <v>2237</v>
      </c>
      <c r="I53" s="49" t="s">
        <v>2238</v>
      </c>
      <c r="J53" s="49" t="s">
        <v>2239</v>
      </c>
      <c r="K53" s="49" t="s">
        <v>2240</v>
      </c>
      <c r="L53" s="49" t="s">
        <v>2241</v>
      </c>
      <c r="M53" s="49" t="s">
        <v>2242</v>
      </c>
      <c r="N53" s="49" t="s">
        <v>2243</v>
      </c>
      <c r="O53" s="49" t="s">
        <v>2929</v>
      </c>
      <c r="P53" s="49" t="s">
        <v>2930</v>
      </c>
      <c r="Q53" s="49" t="s">
        <v>2931</v>
      </c>
      <c r="R53" s="49" t="s">
        <v>2932</v>
      </c>
      <c r="S53" s="49" t="s">
        <v>2933</v>
      </c>
      <c r="T53" s="49" t="s">
        <v>2934</v>
      </c>
    </row>
    <row r="54" spans="1:21" x14ac:dyDescent="0.2">
      <c r="A54" s="49" t="s">
        <v>30</v>
      </c>
      <c r="D54" s="49" t="s">
        <v>1835</v>
      </c>
      <c r="G54" s="49" t="s">
        <v>14075</v>
      </c>
      <c r="H54" s="49" t="s">
        <v>1836</v>
      </c>
      <c r="I54" s="49" t="s">
        <v>1837</v>
      </c>
      <c r="J54" s="49" t="s">
        <v>1838</v>
      </c>
      <c r="K54" s="49" t="s">
        <v>1839</v>
      </c>
      <c r="L54" s="49" t="s">
        <v>1840</v>
      </c>
      <c r="M54" s="49" t="s">
        <v>1841</v>
      </c>
      <c r="N54" s="49" t="s">
        <v>1842</v>
      </c>
      <c r="O54" s="49" t="s">
        <v>2935</v>
      </c>
      <c r="P54" s="49" t="s">
        <v>2936</v>
      </c>
      <c r="Q54" s="49" t="s">
        <v>2937</v>
      </c>
      <c r="R54" s="49" t="s">
        <v>2938</v>
      </c>
      <c r="S54" s="49" t="s">
        <v>2939</v>
      </c>
      <c r="T54" s="49" t="s">
        <v>2940</v>
      </c>
    </row>
    <row r="55" spans="1:21" x14ac:dyDescent="0.2">
      <c r="A55" s="49" t="s">
        <v>30</v>
      </c>
      <c r="D55" s="49" t="s">
        <v>243</v>
      </c>
      <c r="G55" s="49" t="s">
        <v>14076</v>
      </c>
      <c r="H55" s="49" t="s">
        <v>244</v>
      </c>
      <c r="I55" s="49" t="s">
        <v>245</v>
      </c>
      <c r="J55" s="49" t="s">
        <v>246</v>
      </c>
      <c r="K55" s="49" t="s">
        <v>247</v>
      </c>
      <c r="L55" s="49" t="s">
        <v>248</v>
      </c>
      <c r="M55" s="49" t="s">
        <v>249</v>
      </c>
      <c r="N55" s="49" t="s">
        <v>250</v>
      </c>
      <c r="O55" s="49" t="s">
        <v>12938</v>
      </c>
      <c r="P55" s="49" t="s">
        <v>12941</v>
      </c>
      <c r="Q55" s="49" t="s">
        <v>12944</v>
      </c>
      <c r="R55" s="49" t="s">
        <v>12947</v>
      </c>
      <c r="S55" s="49" t="s">
        <v>12950</v>
      </c>
      <c r="T55" s="49" t="s">
        <v>12953</v>
      </c>
    </row>
    <row r="56" spans="1:21" x14ac:dyDescent="0.2">
      <c r="A56" s="49" t="s">
        <v>30</v>
      </c>
      <c r="D56" s="49" t="s">
        <v>251</v>
      </c>
      <c r="G56" s="49" t="s">
        <v>14077</v>
      </c>
      <c r="H56" s="49" t="s">
        <v>252</v>
      </c>
      <c r="I56" s="49" t="s">
        <v>253</v>
      </c>
      <c r="J56" s="49" t="s">
        <v>254</v>
      </c>
      <c r="K56" s="49" t="s">
        <v>255</v>
      </c>
      <c r="L56" s="49" t="s">
        <v>256</v>
      </c>
      <c r="M56" s="49" t="s">
        <v>257</v>
      </c>
      <c r="N56" s="49" t="s">
        <v>258</v>
      </c>
      <c r="O56" s="49" t="s">
        <v>12939</v>
      </c>
      <c r="P56" s="49" t="s">
        <v>12942</v>
      </c>
      <c r="Q56" s="49" t="s">
        <v>12945</v>
      </c>
      <c r="R56" s="49" t="s">
        <v>12948</v>
      </c>
      <c r="S56" s="49" t="s">
        <v>12951</v>
      </c>
      <c r="T56" s="49" t="s">
        <v>12954</v>
      </c>
    </row>
    <row r="57" spans="1:21" x14ac:dyDescent="0.2">
      <c r="A57" s="49" t="s">
        <v>30</v>
      </c>
      <c r="D57" s="49" t="s">
        <v>259</v>
      </c>
      <c r="G57" s="49" t="s">
        <v>14078</v>
      </c>
      <c r="H57" s="49" t="s">
        <v>260</v>
      </c>
      <c r="I57" s="49" t="s">
        <v>261</v>
      </c>
      <c r="J57" s="49" t="s">
        <v>262</v>
      </c>
      <c r="K57" s="49" t="s">
        <v>263</v>
      </c>
      <c r="L57" s="49" t="s">
        <v>264</v>
      </c>
      <c r="M57" s="49" t="s">
        <v>265</v>
      </c>
      <c r="N57" s="49" t="s">
        <v>266</v>
      </c>
      <c r="O57" s="49" t="s">
        <v>12940</v>
      </c>
      <c r="P57" s="49" t="s">
        <v>12943</v>
      </c>
      <c r="Q57" s="49" t="s">
        <v>12946</v>
      </c>
      <c r="R57" s="49" t="s">
        <v>12949</v>
      </c>
      <c r="S57" s="49" t="s">
        <v>12952</v>
      </c>
      <c r="T57" s="49" t="s">
        <v>12955</v>
      </c>
    </row>
    <row r="58" spans="1:21" x14ac:dyDescent="0.2">
      <c r="A58" s="49" t="s">
        <v>30</v>
      </c>
      <c r="D58" s="49" t="s">
        <v>267</v>
      </c>
      <c r="G58" s="49" t="s">
        <v>14079</v>
      </c>
      <c r="H58" s="49" t="s">
        <v>268</v>
      </c>
      <c r="I58" s="49" t="s">
        <v>269</v>
      </c>
      <c r="J58" s="49" t="s">
        <v>270</v>
      </c>
      <c r="K58" s="49" t="s">
        <v>271</v>
      </c>
      <c r="L58" s="49" t="s">
        <v>272</v>
      </c>
      <c r="M58" s="49" t="s">
        <v>273</v>
      </c>
      <c r="N58" s="49" t="s">
        <v>274</v>
      </c>
      <c r="O58" s="49" t="s">
        <v>4152</v>
      </c>
      <c r="P58" s="49" t="s">
        <v>4153</v>
      </c>
      <c r="Q58" s="49" t="s">
        <v>4154</v>
      </c>
      <c r="R58" s="49" t="s">
        <v>4155</v>
      </c>
      <c r="S58" s="49" t="s">
        <v>4156</v>
      </c>
      <c r="T58" s="49" t="s">
        <v>4157</v>
      </c>
    </row>
    <row r="59" spans="1:21" x14ac:dyDescent="0.2">
      <c r="A59" s="49" t="s">
        <v>30</v>
      </c>
    </row>
    <row r="60" spans="1:21" x14ac:dyDescent="0.2">
      <c r="A60" s="49" t="s">
        <v>30</v>
      </c>
      <c r="E60" s="49" t="s">
        <v>31</v>
      </c>
      <c r="F60" s="49" t="s">
        <v>31</v>
      </c>
      <c r="G60" s="49" t="s">
        <v>31</v>
      </c>
      <c r="J60" s="49" t="s">
        <v>31</v>
      </c>
      <c r="K60" s="49" t="s">
        <v>31</v>
      </c>
      <c r="L60" s="49" t="s">
        <v>31</v>
      </c>
      <c r="M60" s="49" t="s">
        <v>31</v>
      </c>
    </row>
    <row r="61" spans="1:21" x14ac:dyDescent="0.2">
      <c r="A61" s="49" t="s">
        <v>30</v>
      </c>
      <c r="D61" s="49" t="s">
        <v>275</v>
      </c>
      <c r="E61" s="49" t="s">
        <v>4551</v>
      </c>
      <c r="F61" s="49" t="s">
        <v>276</v>
      </c>
      <c r="H61" s="49" t="s">
        <v>277</v>
      </c>
      <c r="O61" s="49" t="s">
        <v>14080</v>
      </c>
      <c r="P61" s="49" t="s">
        <v>14081</v>
      </c>
      <c r="Q61" s="49" t="s">
        <v>14082</v>
      </c>
      <c r="R61" s="49" t="s">
        <v>14083</v>
      </c>
      <c r="S61" s="49" t="s">
        <v>14084</v>
      </c>
      <c r="T61" s="49" t="s">
        <v>14085</v>
      </c>
      <c r="U61" s="49" t="s">
        <v>14086</v>
      </c>
    </row>
    <row r="62" spans="1:21" x14ac:dyDescent="0.2">
      <c r="A62" s="49" t="s">
        <v>30</v>
      </c>
      <c r="D62" s="49" t="s">
        <v>278</v>
      </c>
      <c r="G62" s="49" t="s">
        <v>14087</v>
      </c>
      <c r="H62" s="49" t="s">
        <v>279</v>
      </c>
      <c r="I62" s="49" t="s">
        <v>280</v>
      </c>
      <c r="J62" s="49" t="s">
        <v>281</v>
      </c>
      <c r="K62" s="49" t="s">
        <v>282</v>
      </c>
      <c r="L62" s="49" t="s">
        <v>283</v>
      </c>
      <c r="M62" s="49" t="s">
        <v>284</v>
      </c>
      <c r="N62" s="49" t="s">
        <v>285</v>
      </c>
      <c r="O62" s="49" t="s">
        <v>32028</v>
      </c>
      <c r="P62" s="49" t="s">
        <v>32039</v>
      </c>
      <c r="Q62" s="49" t="s">
        <v>32050</v>
      </c>
      <c r="R62" s="49" t="s">
        <v>32061</v>
      </c>
      <c r="S62" s="49" t="s">
        <v>32072</v>
      </c>
      <c r="T62" s="49" t="s">
        <v>32083</v>
      </c>
    </row>
    <row r="63" spans="1:21" x14ac:dyDescent="0.2">
      <c r="A63" s="49" t="s">
        <v>30</v>
      </c>
      <c r="D63" s="49" t="s">
        <v>286</v>
      </c>
      <c r="G63" s="49" t="s">
        <v>14088</v>
      </c>
      <c r="H63" s="49" t="s">
        <v>287</v>
      </c>
      <c r="I63" s="49" t="s">
        <v>288</v>
      </c>
      <c r="J63" s="49" t="s">
        <v>289</v>
      </c>
      <c r="K63" s="49" t="s">
        <v>290</v>
      </c>
      <c r="L63" s="49" t="s">
        <v>291</v>
      </c>
      <c r="M63" s="49" t="s">
        <v>292</v>
      </c>
      <c r="N63" s="49" t="s">
        <v>293</v>
      </c>
      <c r="O63" s="49" t="s">
        <v>32029</v>
      </c>
      <c r="P63" s="49" t="s">
        <v>32040</v>
      </c>
      <c r="Q63" s="49" t="s">
        <v>32051</v>
      </c>
      <c r="R63" s="49" t="s">
        <v>32062</v>
      </c>
      <c r="S63" s="49" t="s">
        <v>32073</v>
      </c>
      <c r="T63" s="49" t="s">
        <v>32084</v>
      </c>
    </row>
    <row r="64" spans="1:21" x14ac:dyDescent="0.2">
      <c r="A64" s="49" t="s">
        <v>30</v>
      </c>
      <c r="D64" s="49" t="s">
        <v>294</v>
      </c>
      <c r="G64" s="49" t="s">
        <v>14089</v>
      </c>
      <c r="H64" s="49" t="s">
        <v>295</v>
      </c>
      <c r="I64" s="49" t="s">
        <v>296</v>
      </c>
      <c r="J64" s="49" t="s">
        <v>297</v>
      </c>
      <c r="K64" s="49" t="s">
        <v>298</v>
      </c>
      <c r="L64" s="49" t="s">
        <v>299</v>
      </c>
      <c r="M64" s="49" t="s">
        <v>300</v>
      </c>
      <c r="N64" s="49" t="s">
        <v>301</v>
      </c>
      <c r="O64" s="49" t="s">
        <v>4158</v>
      </c>
      <c r="P64" s="49" t="s">
        <v>4159</v>
      </c>
      <c r="Q64" s="49" t="s">
        <v>4160</v>
      </c>
      <c r="R64" s="49" t="s">
        <v>4161</v>
      </c>
      <c r="S64" s="49" t="s">
        <v>4162</v>
      </c>
      <c r="T64" s="49" t="s">
        <v>4163</v>
      </c>
    </row>
    <row r="65" spans="1:20" x14ac:dyDescent="0.2">
      <c r="A65" s="49" t="s">
        <v>30</v>
      </c>
      <c r="D65" s="49" t="s">
        <v>2258</v>
      </c>
      <c r="G65" s="49" t="s">
        <v>14090</v>
      </c>
      <c r="H65" s="49" t="s">
        <v>2259</v>
      </c>
      <c r="I65" s="49" t="s">
        <v>2260</v>
      </c>
      <c r="J65" s="49" t="s">
        <v>2261</v>
      </c>
      <c r="K65" s="49" t="s">
        <v>2262</v>
      </c>
      <c r="L65" s="49" t="s">
        <v>2263</v>
      </c>
      <c r="M65" s="49" t="s">
        <v>2264</v>
      </c>
      <c r="N65" s="49" t="s">
        <v>2265</v>
      </c>
      <c r="O65" s="49" t="s">
        <v>4164</v>
      </c>
      <c r="P65" s="49" t="s">
        <v>4165</v>
      </c>
      <c r="Q65" s="49" t="s">
        <v>4166</v>
      </c>
      <c r="R65" s="49" t="s">
        <v>4167</v>
      </c>
      <c r="S65" s="49" t="s">
        <v>4168</v>
      </c>
      <c r="T65" s="49" t="s">
        <v>4169</v>
      </c>
    </row>
    <row r="66" spans="1:20" x14ac:dyDescent="0.2">
      <c r="A66" s="49" t="s">
        <v>30</v>
      </c>
      <c r="D66" s="49" t="s">
        <v>2542</v>
      </c>
      <c r="G66" s="49" t="s">
        <v>14091</v>
      </c>
      <c r="H66" s="49" t="s">
        <v>2543</v>
      </c>
      <c r="I66" s="49" t="s">
        <v>2544</v>
      </c>
      <c r="J66" s="49" t="s">
        <v>2545</v>
      </c>
      <c r="K66" s="49" t="s">
        <v>2546</v>
      </c>
      <c r="L66" s="49" t="s">
        <v>2547</v>
      </c>
      <c r="M66" s="49" t="s">
        <v>2548</v>
      </c>
      <c r="N66" s="49" t="s">
        <v>2549</v>
      </c>
      <c r="O66" s="49" t="s">
        <v>12920</v>
      </c>
      <c r="P66" s="49" t="s">
        <v>12923</v>
      </c>
      <c r="Q66" s="49" t="s">
        <v>12926</v>
      </c>
      <c r="R66" s="49" t="s">
        <v>12929</v>
      </c>
      <c r="S66" s="49" t="s">
        <v>12932</v>
      </c>
      <c r="T66" s="49" t="s">
        <v>12935</v>
      </c>
    </row>
    <row r="67" spans="1:20" x14ac:dyDescent="0.2">
      <c r="A67" s="49" t="s">
        <v>30</v>
      </c>
      <c r="D67" s="49" t="s">
        <v>1689</v>
      </c>
      <c r="G67" s="49" t="s">
        <v>14092</v>
      </c>
      <c r="H67" s="49" t="s">
        <v>1690</v>
      </c>
      <c r="I67" s="49" t="s">
        <v>1691</v>
      </c>
      <c r="J67" s="49" t="s">
        <v>1692</v>
      </c>
      <c r="K67" s="49" t="s">
        <v>1693</v>
      </c>
      <c r="L67" s="49" t="s">
        <v>1694</v>
      </c>
      <c r="M67" s="49" t="s">
        <v>1695</v>
      </c>
      <c r="N67" s="49" t="s">
        <v>1696</v>
      </c>
      <c r="O67" s="49" t="s">
        <v>12921</v>
      </c>
      <c r="P67" s="49" t="s">
        <v>12924</v>
      </c>
      <c r="Q67" s="49" t="s">
        <v>12927</v>
      </c>
      <c r="R67" s="49" t="s">
        <v>12930</v>
      </c>
      <c r="S67" s="49" t="s">
        <v>12933</v>
      </c>
      <c r="T67" s="49" t="s">
        <v>12936</v>
      </c>
    </row>
    <row r="68" spans="1:20" x14ac:dyDescent="0.2">
      <c r="A68" s="49" t="s">
        <v>30</v>
      </c>
      <c r="D68" s="49" t="s">
        <v>302</v>
      </c>
      <c r="G68" s="49" t="s">
        <v>14093</v>
      </c>
      <c r="H68" s="49" t="s">
        <v>303</v>
      </c>
      <c r="I68" s="49" t="s">
        <v>304</v>
      </c>
      <c r="J68" s="49" t="s">
        <v>305</v>
      </c>
      <c r="K68" s="49" t="s">
        <v>306</v>
      </c>
      <c r="L68" s="49" t="s">
        <v>307</v>
      </c>
      <c r="M68" s="49" t="s">
        <v>308</v>
      </c>
      <c r="N68" s="49" t="s">
        <v>309</v>
      </c>
      <c r="O68" s="49" t="s">
        <v>12922</v>
      </c>
      <c r="P68" s="49" t="s">
        <v>12925</v>
      </c>
      <c r="Q68" s="49" t="s">
        <v>12928</v>
      </c>
      <c r="R68" s="49" t="s">
        <v>12931</v>
      </c>
      <c r="S68" s="49" t="s">
        <v>12934</v>
      </c>
      <c r="T68" s="49" t="s">
        <v>12937</v>
      </c>
    </row>
    <row r="69" spans="1:20" x14ac:dyDescent="0.2">
      <c r="A69" s="49" t="s">
        <v>30</v>
      </c>
      <c r="D69" s="49" t="s">
        <v>1843</v>
      </c>
      <c r="G69" s="49" t="s">
        <v>14094</v>
      </c>
      <c r="H69" s="49" t="s">
        <v>1844</v>
      </c>
      <c r="I69" s="49" t="s">
        <v>1845</v>
      </c>
      <c r="J69" s="49" t="s">
        <v>1846</v>
      </c>
      <c r="K69" s="49" t="s">
        <v>1847</v>
      </c>
      <c r="L69" s="49" t="s">
        <v>1848</v>
      </c>
      <c r="M69" s="49" t="s">
        <v>1849</v>
      </c>
      <c r="N69" s="49" t="s">
        <v>1850</v>
      </c>
      <c r="O69" s="49" t="s">
        <v>32030</v>
      </c>
      <c r="P69" s="49" t="s">
        <v>32041</v>
      </c>
      <c r="Q69" s="49" t="s">
        <v>32052</v>
      </c>
      <c r="R69" s="49" t="s">
        <v>32063</v>
      </c>
      <c r="S69" s="49" t="s">
        <v>32074</v>
      </c>
      <c r="T69" s="49" t="s">
        <v>32085</v>
      </c>
    </row>
    <row r="70" spans="1:20" x14ac:dyDescent="0.2">
      <c r="A70" s="49" t="s">
        <v>30</v>
      </c>
      <c r="D70" s="49" t="s">
        <v>2309</v>
      </c>
      <c r="G70" s="49" t="s">
        <v>14095</v>
      </c>
      <c r="H70" s="49" t="s">
        <v>2310</v>
      </c>
      <c r="I70" s="49" t="s">
        <v>2311</v>
      </c>
      <c r="J70" s="49" t="s">
        <v>2312</v>
      </c>
      <c r="K70" s="49" t="s">
        <v>2313</v>
      </c>
      <c r="L70" s="49" t="s">
        <v>2314</v>
      </c>
      <c r="M70" s="49" t="s">
        <v>2315</v>
      </c>
      <c r="N70" s="49" t="s">
        <v>2316</v>
      </c>
      <c r="O70" s="49" t="s">
        <v>32031</v>
      </c>
      <c r="P70" s="49" t="s">
        <v>32042</v>
      </c>
      <c r="Q70" s="49" t="s">
        <v>32053</v>
      </c>
      <c r="R70" s="49" t="s">
        <v>32064</v>
      </c>
      <c r="S70" s="49" t="s">
        <v>32075</v>
      </c>
      <c r="T70" s="49" t="s">
        <v>32086</v>
      </c>
    </row>
    <row r="71" spans="1:20" x14ac:dyDescent="0.2">
      <c r="A71" s="49" t="s">
        <v>30</v>
      </c>
      <c r="D71" s="49" t="s">
        <v>2317</v>
      </c>
      <c r="G71" s="49" t="s">
        <v>14096</v>
      </c>
      <c r="H71" s="49" t="s">
        <v>2318</v>
      </c>
      <c r="I71" s="49" t="s">
        <v>2319</v>
      </c>
      <c r="J71" s="49" t="s">
        <v>2320</v>
      </c>
      <c r="K71" s="49" t="s">
        <v>2321</v>
      </c>
      <c r="L71" s="49" t="s">
        <v>2322</v>
      </c>
      <c r="M71" s="49" t="s">
        <v>2323</v>
      </c>
      <c r="N71" s="49" t="s">
        <v>2324</v>
      </c>
      <c r="O71" s="49" t="s">
        <v>32032</v>
      </c>
      <c r="P71" s="49" t="s">
        <v>32043</v>
      </c>
      <c r="Q71" s="49" t="s">
        <v>32054</v>
      </c>
      <c r="R71" s="49" t="s">
        <v>32065</v>
      </c>
      <c r="S71" s="49" t="s">
        <v>32076</v>
      </c>
      <c r="T71" s="49" t="s">
        <v>32087</v>
      </c>
    </row>
    <row r="72" spans="1:20" x14ac:dyDescent="0.2">
      <c r="A72" s="49" t="s">
        <v>30</v>
      </c>
      <c r="D72" s="49" t="s">
        <v>310</v>
      </c>
      <c r="G72" s="49" t="s">
        <v>14097</v>
      </c>
      <c r="H72" s="49" t="s">
        <v>311</v>
      </c>
      <c r="I72" s="49" t="s">
        <v>312</v>
      </c>
      <c r="J72" s="49" t="s">
        <v>313</v>
      </c>
      <c r="K72" s="49" t="s">
        <v>314</v>
      </c>
      <c r="L72" s="49" t="s">
        <v>315</v>
      </c>
      <c r="M72" s="49" t="s">
        <v>316</v>
      </c>
      <c r="N72" s="49" t="s">
        <v>317</v>
      </c>
      <c r="O72" s="49" t="s">
        <v>4386</v>
      </c>
      <c r="P72" s="49" t="s">
        <v>4387</v>
      </c>
      <c r="Q72" s="49" t="s">
        <v>4388</v>
      </c>
      <c r="R72" s="49" t="s">
        <v>4389</v>
      </c>
      <c r="S72" s="49" t="s">
        <v>4390</v>
      </c>
      <c r="T72" s="49" t="s">
        <v>4391</v>
      </c>
    </row>
    <row r="73" spans="1:20" x14ac:dyDescent="0.2">
      <c r="A73" s="49" t="s">
        <v>30</v>
      </c>
      <c r="D73" s="49" t="s">
        <v>1851</v>
      </c>
      <c r="G73" s="49" t="s">
        <v>14098</v>
      </c>
      <c r="H73" s="49" t="s">
        <v>1852</v>
      </c>
      <c r="I73" s="49" t="s">
        <v>1853</v>
      </c>
      <c r="J73" s="49" t="s">
        <v>1854</v>
      </c>
      <c r="K73" s="49" t="s">
        <v>1855</v>
      </c>
      <c r="L73" s="49" t="s">
        <v>1856</v>
      </c>
      <c r="M73" s="49" t="s">
        <v>1857</v>
      </c>
      <c r="N73" s="49" t="s">
        <v>1858</v>
      </c>
      <c r="O73" s="49" t="s">
        <v>2941</v>
      </c>
      <c r="P73" s="49" t="s">
        <v>2942</v>
      </c>
      <c r="Q73" s="49" t="s">
        <v>2943</v>
      </c>
      <c r="R73" s="49" t="s">
        <v>2944</v>
      </c>
      <c r="S73" s="49" t="s">
        <v>2945</v>
      </c>
      <c r="T73" s="49" t="s">
        <v>2946</v>
      </c>
    </row>
    <row r="74" spans="1:20" x14ac:dyDescent="0.2">
      <c r="A74" s="49" t="s">
        <v>30</v>
      </c>
      <c r="D74" s="49" t="s">
        <v>1859</v>
      </c>
      <c r="G74" s="49" t="s">
        <v>14099</v>
      </c>
      <c r="H74" s="49" t="s">
        <v>1860</v>
      </c>
      <c r="I74" s="49" t="s">
        <v>1861</v>
      </c>
      <c r="J74" s="49" t="s">
        <v>1862</v>
      </c>
      <c r="K74" s="49" t="s">
        <v>1863</v>
      </c>
      <c r="L74" s="49" t="s">
        <v>1864</v>
      </c>
      <c r="M74" s="49" t="s">
        <v>1865</v>
      </c>
      <c r="N74" s="49" t="s">
        <v>1866</v>
      </c>
      <c r="O74" s="49" t="s">
        <v>2947</v>
      </c>
      <c r="P74" s="49" t="s">
        <v>2948</v>
      </c>
      <c r="Q74" s="49" t="s">
        <v>2949</v>
      </c>
      <c r="R74" s="49" t="s">
        <v>2950</v>
      </c>
      <c r="S74" s="49" t="s">
        <v>2951</v>
      </c>
      <c r="T74" s="49" t="s">
        <v>2952</v>
      </c>
    </row>
    <row r="75" spans="1:20" x14ac:dyDescent="0.2">
      <c r="A75" s="49" t="s">
        <v>30</v>
      </c>
      <c r="D75" s="49" t="s">
        <v>1867</v>
      </c>
      <c r="G75" s="49" t="s">
        <v>14100</v>
      </c>
      <c r="H75" s="49" t="s">
        <v>1868</v>
      </c>
      <c r="I75" s="49" t="s">
        <v>1869</v>
      </c>
      <c r="J75" s="49" t="s">
        <v>1870</v>
      </c>
      <c r="K75" s="49" t="s">
        <v>1871</v>
      </c>
      <c r="L75" s="49" t="s">
        <v>1872</v>
      </c>
      <c r="M75" s="49" t="s">
        <v>1873</v>
      </c>
      <c r="N75" s="49" t="s">
        <v>1874</v>
      </c>
      <c r="O75" s="49" t="s">
        <v>2953</v>
      </c>
      <c r="P75" s="49" t="s">
        <v>2954</v>
      </c>
      <c r="Q75" s="49" t="s">
        <v>2955</v>
      </c>
      <c r="R75" s="49" t="s">
        <v>2956</v>
      </c>
      <c r="S75" s="49" t="s">
        <v>2957</v>
      </c>
      <c r="T75" s="49" t="s">
        <v>2958</v>
      </c>
    </row>
    <row r="76" spans="1:20" x14ac:dyDescent="0.2">
      <c r="A76" s="49" t="s">
        <v>30</v>
      </c>
      <c r="D76" s="49" t="s">
        <v>318</v>
      </c>
      <c r="G76" s="49" t="s">
        <v>14101</v>
      </c>
      <c r="H76" s="49" t="s">
        <v>319</v>
      </c>
      <c r="I76" s="49" t="s">
        <v>320</v>
      </c>
      <c r="J76" s="49" t="s">
        <v>321</v>
      </c>
      <c r="K76" s="49" t="s">
        <v>322</v>
      </c>
      <c r="L76" s="49" t="s">
        <v>323</v>
      </c>
      <c r="M76" s="49" t="s">
        <v>324</v>
      </c>
      <c r="N76" s="49" t="s">
        <v>325</v>
      </c>
      <c r="O76" s="49" t="s">
        <v>32033</v>
      </c>
      <c r="P76" s="49" t="s">
        <v>32044</v>
      </c>
      <c r="Q76" s="49" t="s">
        <v>32055</v>
      </c>
      <c r="R76" s="49" t="s">
        <v>32066</v>
      </c>
      <c r="S76" s="49" t="s">
        <v>32077</v>
      </c>
      <c r="T76" s="49" t="s">
        <v>32088</v>
      </c>
    </row>
    <row r="77" spans="1:20" x14ac:dyDescent="0.2">
      <c r="A77" s="49" t="s">
        <v>30</v>
      </c>
      <c r="D77" s="49" t="s">
        <v>13032</v>
      </c>
      <c r="G77" s="49" t="s">
        <v>14102</v>
      </c>
      <c r="H77" s="49" t="s">
        <v>13034</v>
      </c>
      <c r="I77" s="49" t="s">
        <v>13035</v>
      </c>
      <c r="J77" s="49" t="s">
        <v>13036</v>
      </c>
      <c r="K77" s="49" t="s">
        <v>13037</v>
      </c>
      <c r="L77" s="49" t="s">
        <v>13038</v>
      </c>
      <c r="M77" s="49" t="s">
        <v>13039</v>
      </c>
      <c r="N77" s="49" t="s">
        <v>13040</v>
      </c>
      <c r="O77" s="49" t="s">
        <v>32034</v>
      </c>
      <c r="P77" s="49" t="s">
        <v>32045</v>
      </c>
      <c r="Q77" s="49" t="s">
        <v>32056</v>
      </c>
      <c r="R77" s="49" t="s">
        <v>32067</v>
      </c>
      <c r="S77" s="49" t="s">
        <v>32078</v>
      </c>
      <c r="T77" s="49" t="s">
        <v>32089</v>
      </c>
    </row>
    <row r="78" spans="1:20" x14ac:dyDescent="0.2">
      <c r="A78" s="49" t="s">
        <v>30</v>
      </c>
      <c r="D78" s="49" t="s">
        <v>326</v>
      </c>
      <c r="G78" s="49" t="s">
        <v>14103</v>
      </c>
      <c r="H78" s="49" t="s">
        <v>327</v>
      </c>
      <c r="I78" s="49" t="s">
        <v>328</v>
      </c>
      <c r="J78" s="49" t="s">
        <v>329</v>
      </c>
      <c r="K78" s="49" t="s">
        <v>330</v>
      </c>
      <c r="L78" s="49" t="s">
        <v>331</v>
      </c>
      <c r="M78" s="49" t="s">
        <v>332</v>
      </c>
      <c r="N78" s="49" t="s">
        <v>333</v>
      </c>
      <c r="O78" s="49" t="s">
        <v>32035</v>
      </c>
      <c r="P78" s="49" t="s">
        <v>32046</v>
      </c>
      <c r="Q78" s="49" t="s">
        <v>32057</v>
      </c>
      <c r="R78" s="49" t="s">
        <v>32068</v>
      </c>
      <c r="S78" s="49" t="s">
        <v>32079</v>
      </c>
      <c r="T78" s="49" t="s">
        <v>32090</v>
      </c>
    </row>
    <row r="79" spans="1:20" x14ac:dyDescent="0.2">
      <c r="A79" s="49" t="s">
        <v>30</v>
      </c>
      <c r="D79" s="49" t="s">
        <v>1875</v>
      </c>
      <c r="G79" s="49" t="s">
        <v>14104</v>
      </c>
      <c r="H79" s="49" t="s">
        <v>1876</v>
      </c>
      <c r="I79" s="49" t="s">
        <v>1877</v>
      </c>
      <c r="J79" s="49" t="s">
        <v>1878</v>
      </c>
      <c r="K79" s="49" t="s">
        <v>1879</v>
      </c>
      <c r="L79" s="49" t="s">
        <v>1880</v>
      </c>
      <c r="M79" s="49" t="s">
        <v>1881</v>
      </c>
      <c r="N79" s="49" t="s">
        <v>1882</v>
      </c>
      <c r="O79" s="49" t="s">
        <v>10749</v>
      </c>
      <c r="P79" s="49" t="s">
        <v>10750</v>
      </c>
      <c r="Q79" s="49" t="s">
        <v>10751</v>
      </c>
      <c r="R79" s="49" t="s">
        <v>10752</v>
      </c>
      <c r="S79" s="49" t="s">
        <v>10753</v>
      </c>
      <c r="T79" s="49" t="s">
        <v>10754</v>
      </c>
    </row>
    <row r="80" spans="1:20" x14ac:dyDescent="0.2">
      <c r="A80" s="49" t="s">
        <v>30</v>
      </c>
      <c r="D80" s="49" t="s">
        <v>1697</v>
      </c>
      <c r="G80" s="49" t="s">
        <v>14105</v>
      </c>
      <c r="H80" s="49" t="s">
        <v>1698</v>
      </c>
      <c r="I80" s="49" t="s">
        <v>1699</v>
      </c>
      <c r="J80" s="49" t="s">
        <v>1700</v>
      </c>
      <c r="K80" s="49" t="s">
        <v>1701</v>
      </c>
      <c r="L80" s="49" t="s">
        <v>1702</v>
      </c>
      <c r="M80" s="49" t="s">
        <v>1703</v>
      </c>
      <c r="N80" s="49" t="s">
        <v>1704</v>
      </c>
      <c r="O80" s="49" t="s">
        <v>2959</v>
      </c>
      <c r="P80" s="49" t="s">
        <v>2960</v>
      </c>
      <c r="Q80" s="49" t="s">
        <v>2961</v>
      </c>
      <c r="R80" s="49" t="s">
        <v>2962</v>
      </c>
      <c r="S80" s="49" t="s">
        <v>2963</v>
      </c>
      <c r="T80" s="49" t="s">
        <v>2964</v>
      </c>
    </row>
    <row r="81" spans="1:21" x14ac:dyDescent="0.2">
      <c r="A81" s="49" t="s">
        <v>30</v>
      </c>
      <c r="D81" s="49" t="s">
        <v>1883</v>
      </c>
      <c r="G81" s="49" t="s">
        <v>14106</v>
      </c>
      <c r="H81" s="49" t="s">
        <v>1884</v>
      </c>
      <c r="I81" s="49" t="s">
        <v>1885</v>
      </c>
      <c r="J81" s="49" t="s">
        <v>1886</v>
      </c>
      <c r="K81" s="49" t="s">
        <v>1887</v>
      </c>
      <c r="L81" s="49" t="s">
        <v>1888</v>
      </c>
      <c r="M81" s="49" t="s">
        <v>1889</v>
      </c>
      <c r="N81" s="49" t="s">
        <v>1890</v>
      </c>
      <c r="O81" s="49" t="s">
        <v>32036</v>
      </c>
      <c r="P81" s="49" t="s">
        <v>32047</v>
      </c>
      <c r="Q81" s="49" t="s">
        <v>32058</v>
      </c>
      <c r="R81" s="49" t="s">
        <v>32069</v>
      </c>
      <c r="S81" s="49" t="s">
        <v>32080</v>
      </c>
      <c r="T81" s="49" t="s">
        <v>32091</v>
      </c>
    </row>
    <row r="82" spans="1:21" x14ac:dyDescent="0.2">
      <c r="A82" s="49" t="s">
        <v>30</v>
      </c>
      <c r="D82" s="49" t="s">
        <v>337</v>
      </c>
      <c r="G82" s="49" t="s">
        <v>14107</v>
      </c>
      <c r="H82" s="49" t="s">
        <v>338</v>
      </c>
      <c r="I82" s="49" t="s">
        <v>339</v>
      </c>
      <c r="J82" s="49" t="s">
        <v>340</v>
      </c>
      <c r="K82" s="49" t="s">
        <v>341</v>
      </c>
      <c r="L82" s="49" t="s">
        <v>342</v>
      </c>
      <c r="M82" s="49" t="s">
        <v>343</v>
      </c>
      <c r="N82" s="49" t="s">
        <v>344</v>
      </c>
      <c r="O82" s="49" t="s">
        <v>32037</v>
      </c>
      <c r="P82" s="49" t="s">
        <v>32048</v>
      </c>
      <c r="Q82" s="49" t="s">
        <v>32059</v>
      </c>
      <c r="R82" s="49" t="s">
        <v>32070</v>
      </c>
      <c r="S82" s="49" t="s">
        <v>32081</v>
      </c>
      <c r="T82" s="49" t="s">
        <v>32092</v>
      </c>
    </row>
    <row r="83" spans="1:21" x14ac:dyDescent="0.2">
      <c r="A83" s="49" t="s">
        <v>30</v>
      </c>
      <c r="D83" s="49" t="s">
        <v>345</v>
      </c>
      <c r="G83" s="49" t="s">
        <v>14108</v>
      </c>
      <c r="H83" s="49" t="s">
        <v>346</v>
      </c>
      <c r="I83" s="49" t="s">
        <v>347</v>
      </c>
      <c r="J83" s="49" t="s">
        <v>348</v>
      </c>
      <c r="K83" s="49" t="s">
        <v>349</v>
      </c>
      <c r="L83" s="49" t="s">
        <v>350</v>
      </c>
      <c r="M83" s="49" t="s">
        <v>351</v>
      </c>
      <c r="N83" s="49" t="s">
        <v>352</v>
      </c>
      <c r="O83" s="49" t="s">
        <v>32038</v>
      </c>
      <c r="P83" s="49" t="s">
        <v>32049</v>
      </c>
      <c r="Q83" s="49" t="s">
        <v>32060</v>
      </c>
      <c r="R83" s="49" t="s">
        <v>32071</v>
      </c>
      <c r="S83" s="49" t="s">
        <v>32082</v>
      </c>
      <c r="T83" s="49" t="s">
        <v>32093</v>
      </c>
    </row>
    <row r="84" spans="1:21" x14ac:dyDescent="0.2">
      <c r="A84" s="49" t="s">
        <v>30</v>
      </c>
      <c r="D84" s="49" t="s">
        <v>353</v>
      </c>
      <c r="G84" s="49" t="s">
        <v>14109</v>
      </c>
      <c r="H84" s="49" t="s">
        <v>354</v>
      </c>
      <c r="I84" s="49" t="s">
        <v>355</v>
      </c>
      <c r="J84" s="49" t="s">
        <v>356</v>
      </c>
      <c r="K84" s="49" t="s">
        <v>357</v>
      </c>
      <c r="L84" s="49" t="s">
        <v>358</v>
      </c>
      <c r="M84" s="49" t="s">
        <v>359</v>
      </c>
      <c r="N84" s="49" t="s">
        <v>360</v>
      </c>
      <c r="O84" s="49" t="s">
        <v>2965</v>
      </c>
      <c r="P84" s="49" t="s">
        <v>2966</v>
      </c>
      <c r="Q84" s="49" t="s">
        <v>2967</v>
      </c>
      <c r="R84" s="49" t="s">
        <v>2968</v>
      </c>
      <c r="S84" s="49" t="s">
        <v>2969</v>
      </c>
      <c r="T84" s="49" t="s">
        <v>2970</v>
      </c>
    </row>
    <row r="85" spans="1:21" x14ac:dyDescent="0.2">
      <c r="A85" s="49" t="s">
        <v>30</v>
      </c>
    </row>
    <row r="86" spans="1:21" x14ac:dyDescent="0.2">
      <c r="A86" s="49" t="s">
        <v>30</v>
      </c>
      <c r="E86" s="49" t="s">
        <v>31</v>
      </c>
      <c r="F86" s="49" t="s">
        <v>31</v>
      </c>
      <c r="G86" s="49" t="s">
        <v>31</v>
      </c>
      <c r="J86" s="49" t="s">
        <v>31</v>
      </c>
      <c r="K86" s="49" t="s">
        <v>31</v>
      </c>
      <c r="L86" s="49" t="s">
        <v>31</v>
      </c>
      <c r="M86" s="49" t="s">
        <v>31</v>
      </c>
    </row>
    <row r="87" spans="1:21" x14ac:dyDescent="0.2">
      <c r="A87" s="49" t="s">
        <v>30</v>
      </c>
      <c r="D87" s="49" t="s">
        <v>361</v>
      </c>
      <c r="E87" s="49" t="s">
        <v>4552</v>
      </c>
      <c r="F87" s="49" t="s">
        <v>362</v>
      </c>
      <c r="H87" s="49" t="s">
        <v>363</v>
      </c>
      <c r="O87" s="49" t="s">
        <v>14110</v>
      </c>
      <c r="P87" s="49" t="s">
        <v>14111</v>
      </c>
      <c r="Q87" s="49" t="s">
        <v>14112</v>
      </c>
      <c r="R87" s="49" t="s">
        <v>14113</v>
      </c>
      <c r="S87" s="49" t="s">
        <v>14114</v>
      </c>
      <c r="T87" s="49" t="s">
        <v>14115</v>
      </c>
      <c r="U87" s="49" t="s">
        <v>14116</v>
      </c>
    </row>
    <row r="88" spans="1:21" x14ac:dyDescent="0.2">
      <c r="A88" s="49" t="s">
        <v>30</v>
      </c>
      <c r="D88" s="49" t="s">
        <v>364</v>
      </c>
      <c r="G88" s="49" t="s">
        <v>14117</v>
      </c>
      <c r="H88" s="49" t="s">
        <v>365</v>
      </c>
      <c r="I88" s="49" t="s">
        <v>366</v>
      </c>
      <c r="J88" s="49" t="s">
        <v>367</v>
      </c>
      <c r="K88" s="49" t="s">
        <v>368</v>
      </c>
      <c r="L88" s="49" t="s">
        <v>369</v>
      </c>
      <c r="M88" s="49" t="s">
        <v>370</v>
      </c>
      <c r="N88" s="49" t="s">
        <v>371</v>
      </c>
      <c r="O88" s="49" t="s">
        <v>31978</v>
      </c>
      <c r="P88" s="49" t="s">
        <v>31986</v>
      </c>
      <c r="Q88" s="49" t="s">
        <v>31994</v>
      </c>
      <c r="R88" s="49" t="s">
        <v>32002</v>
      </c>
      <c r="S88" s="49" t="s">
        <v>32010</v>
      </c>
      <c r="T88" s="49" t="s">
        <v>32018</v>
      </c>
    </row>
    <row r="89" spans="1:21" x14ac:dyDescent="0.2">
      <c r="A89" s="49" t="s">
        <v>30</v>
      </c>
      <c r="D89" s="49" t="s">
        <v>14118</v>
      </c>
      <c r="G89" s="49" t="s">
        <v>14119</v>
      </c>
      <c r="H89" s="49" t="s">
        <v>31976</v>
      </c>
      <c r="I89" s="49" t="s">
        <v>31977</v>
      </c>
      <c r="J89" s="49" t="s">
        <v>32026</v>
      </c>
      <c r="K89" s="49" t="s">
        <v>32027</v>
      </c>
      <c r="L89" s="49" t="s">
        <v>14120</v>
      </c>
      <c r="M89" s="49" t="s">
        <v>14121</v>
      </c>
      <c r="N89" s="49" t="s">
        <v>14122</v>
      </c>
      <c r="O89" s="49" t="s">
        <v>31979</v>
      </c>
      <c r="P89" s="49" t="s">
        <v>31987</v>
      </c>
      <c r="Q89" s="49" t="s">
        <v>31995</v>
      </c>
      <c r="R89" s="49" t="s">
        <v>32003</v>
      </c>
      <c r="S89" s="49" t="s">
        <v>32011</v>
      </c>
      <c r="T89" s="49" t="s">
        <v>32019</v>
      </c>
    </row>
    <row r="90" spans="1:21" x14ac:dyDescent="0.2">
      <c r="A90" s="49" t="s">
        <v>30</v>
      </c>
      <c r="D90" s="49" t="s">
        <v>372</v>
      </c>
      <c r="G90" s="49" t="s">
        <v>14123</v>
      </c>
      <c r="H90" s="49" t="s">
        <v>373</v>
      </c>
      <c r="I90" s="49" t="s">
        <v>374</v>
      </c>
      <c r="J90" s="49" t="s">
        <v>375</v>
      </c>
      <c r="K90" s="49" t="s">
        <v>376</v>
      </c>
      <c r="L90" s="49" t="s">
        <v>377</v>
      </c>
      <c r="M90" s="49" t="s">
        <v>378</v>
      </c>
      <c r="N90" s="49" t="s">
        <v>379</v>
      </c>
      <c r="O90" s="49" t="s">
        <v>4170</v>
      </c>
      <c r="P90" s="49" t="s">
        <v>4171</v>
      </c>
      <c r="Q90" s="49" t="s">
        <v>4172</v>
      </c>
      <c r="R90" s="49" t="s">
        <v>4173</v>
      </c>
      <c r="S90" s="49" t="s">
        <v>4174</v>
      </c>
      <c r="T90" s="49" t="s">
        <v>4175</v>
      </c>
    </row>
    <row r="91" spans="1:21" x14ac:dyDescent="0.2">
      <c r="A91" s="49" t="s">
        <v>30</v>
      </c>
      <c r="D91" s="49" t="s">
        <v>380</v>
      </c>
      <c r="G91" s="49" t="s">
        <v>14124</v>
      </c>
      <c r="H91" s="49" t="s">
        <v>381</v>
      </c>
      <c r="I91" s="49" t="s">
        <v>382</v>
      </c>
      <c r="J91" s="49" t="s">
        <v>383</v>
      </c>
      <c r="K91" s="49" t="s">
        <v>384</v>
      </c>
      <c r="L91" s="49" t="s">
        <v>385</v>
      </c>
      <c r="M91" s="49" t="s">
        <v>386</v>
      </c>
      <c r="N91" s="49" t="s">
        <v>387</v>
      </c>
      <c r="O91" s="49" t="s">
        <v>4176</v>
      </c>
      <c r="P91" s="49" t="s">
        <v>4177</v>
      </c>
      <c r="Q91" s="49" t="s">
        <v>4178</v>
      </c>
      <c r="R91" s="49" t="s">
        <v>4179</v>
      </c>
      <c r="S91" s="49" t="s">
        <v>4180</v>
      </c>
      <c r="T91" s="49" t="s">
        <v>4181</v>
      </c>
    </row>
    <row r="92" spans="1:21" x14ac:dyDescent="0.2">
      <c r="A92" s="49" t="s">
        <v>30</v>
      </c>
      <c r="D92" s="49" t="s">
        <v>1715</v>
      </c>
      <c r="G92" s="49" t="s">
        <v>14125</v>
      </c>
      <c r="H92" s="49" t="s">
        <v>1716</v>
      </c>
      <c r="I92" s="49" t="s">
        <v>1717</v>
      </c>
      <c r="J92" s="49" t="s">
        <v>1718</v>
      </c>
      <c r="K92" s="49" t="s">
        <v>1719</v>
      </c>
      <c r="L92" s="49" t="s">
        <v>1720</v>
      </c>
      <c r="M92" s="49" t="s">
        <v>1721</v>
      </c>
      <c r="N92" s="49" t="s">
        <v>1722</v>
      </c>
      <c r="O92" s="49" t="s">
        <v>4182</v>
      </c>
      <c r="P92" s="49" t="s">
        <v>4183</v>
      </c>
      <c r="Q92" s="49" t="s">
        <v>4184</v>
      </c>
      <c r="R92" s="49" t="s">
        <v>4185</v>
      </c>
      <c r="S92" s="49" t="s">
        <v>4186</v>
      </c>
      <c r="T92" s="49" t="s">
        <v>4187</v>
      </c>
    </row>
    <row r="93" spans="1:21" x14ac:dyDescent="0.2">
      <c r="A93" s="49" t="s">
        <v>30</v>
      </c>
      <c r="D93" s="49" t="s">
        <v>10755</v>
      </c>
      <c r="G93" s="49" t="s">
        <v>14126</v>
      </c>
      <c r="H93" s="49" t="s">
        <v>12898</v>
      </c>
      <c r="I93" s="49" t="s">
        <v>12899</v>
      </c>
      <c r="J93" s="49" t="s">
        <v>12918</v>
      </c>
      <c r="K93" s="49" t="s">
        <v>12919</v>
      </c>
      <c r="L93" s="49" t="s">
        <v>10756</v>
      </c>
      <c r="M93" s="49" t="s">
        <v>10757</v>
      </c>
      <c r="N93" s="49" t="s">
        <v>10758</v>
      </c>
      <c r="O93" s="49" t="s">
        <v>12900</v>
      </c>
      <c r="P93" s="49" t="s">
        <v>12903</v>
      </c>
      <c r="Q93" s="49" t="s">
        <v>12906</v>
      </c>
      <c r="R93" s="49" t="s">
        <v>12909</v>
      </c>
      <c r="S93" s="49" t="s">
        <v>12912</v>
      </c>
      <c r="T93" s="49" t="s">
        <v>12915</v>
      </c>
    </row>
    <row r="94" spans="1:21" x14ac:dyDescent="0.2">
      <c r="A94" s="49" t="s">
        <v>30</v>
      </c>
      <c r="D94" s="49" t="s">
        <v>1899</v>
      </c>
      <c r="G94" s="49" t="s">
        <v>14127</v>
      </c>
      <c r="H94" s="49" t="s">
        <v>1900</v>
      </c>
      <c r="I94" s="49" t="s">
        <v>1901</v>
      </c>
      <c r="J94" s="49" t="s">
        <v>1902</v>
      </c>
      <c r="K94" s="49" t="s">
        <v>1903</v>
      </c>
      <c r="L94" s="49" t="s">
        <v>1904</v>
      </c>
      <c r="M94" s="49" t="s">
        <v>1905</v>
      </c>
      <c r="N94" s="49" t="s">
        <v>1906</v>
      </c>
      <c r="O94" s="49" t="s">
        <v>12901</v>
      </c>
      <c r="P94" s="49" t="s">
        <v>12904</v>
      </c>
      <c r="Q94" s="49" t="s">
        <v>12907</v>
      </c>
      <c r="R94" s="49" t="s">
        <v>12910</v>
      </c>
      <c r="S94" s="49" t="s">
        <v>12913</v>
      </c>
      <c r="T94" s="49" t="s">
        <v>12916</v>
      </c>
    </row>
    <row r="95" spans="1:21" x14ac:dyDescent="0.2">
      <c r="A95" s="49" t="s">
        <v>30</v>
      </c>
      <c r="D95" s="49" t="s">
        <v>9426</v>
      </c>
      <c r="G95" s="49" t="s">
        <v>14128</v>
      </c>
      <c r="H95" s="49" t="s">
        <v>9428</v>
      </c>
      <c r="I95" s="49" t="s">
        <v>9429</v>
      </c>
      <c r="J95" s="49" t="s">
        <v>9430</v>
      </c>
      <c r="K95" s="49" t="s">
        <v>9431</v>
      </c>
      <c r="L95" s="49" t="s">
        <v>9432</v>
      </c>
      <c r="M95" s="49" t="s">
        <v>9433</v>
      </c>
      <c r="N95" s="49" t="s">
        <v>9434</v>
      </c>
      <c r="O95" s="49" t="s">
        <v>12902</v>
      </c>
      <c r="P95" s="49" t="s">
        <v>12905</v>
      </c>
      <c r="Q95" s="49" t="s">
        <v>12908</v>
      </c>
      <c r="R95" s="49" t="s">
        <v>12911</v>
      </c>
      <c r="S95" s="49" t="s">
        <v>12914</v>
      </c>
      <c r="T95" s="49" t="s">
        <v>12917</v>
      </c>
    </row>
    <row r="96" spans="1:21" x14ac:dyDescent="0.2">
      <c r="A96" s="49" t="s">
        <v>30</v>
      </c>
      <c r="D96" s="49" t="s">
        <v>388</v>
      </c>
      <c r="G96" s="49" t="s">
        <v>14129</v>
      </c>
      <c r="H96" s="49" t="s">
        <v>389</v>
      </c>
      <c r="I96" s="49" t="s">
        <v>390</v>
      </c>
      <c r="J96" s="49" t="s">
        <v>391</v>
      </c>
      <c r="K96" s="49" t="s">
        <v>392</v>
      </c>
      <c r="L96" s="49" t="s">
        <v>393</v>
      </c>
      <c r="M96" s="49" t="s">
        <v>394</v>
      </c>
      <c r="N96" s="49" t="s">
        <v>395</v>
      </c>
      <c r="O96" s="49" t="s">
        <v>31980</v>
      </c>
      <c r="P96" s="49" t="s">
        <v>31988</v>
      </c>
      <c r="Q96" s="49" t="s">
        <v>31996</v>
      </c>
      <c r="R96" s="49" t="s">
        <v>32004</v>
      </c>
      <c r="S96" s="49" t="s">
        <v>32012</v>
      </c>
      <c r="T96" s="49" t="s">
        <v>32020</v>
      </c>
    </row>
    <row r="97" spans="1:21" x14ac:dyDescent="0.2">
      <c r="A97" s="49" t="s">
        <v>30</v>
      </c>
      <c r="D97" s="49" t="s">
        <v>396</v>
      </c>
      <c r="G97" s="49" t="s">
        <v>14130</v>
      </c>
      <c r="H97" s="49" t="s">
        <v>397</v>
      </c>
      <c r="I97" s="49" t="s">
        <v>398</v>
      </c>
      <c r="J97" s="49" t="s">
        <v>399</v>
      </c>
      <c r="K97" s="49" t="s">
        <v>400</v>
      </c>
      <c r="L97" s="49" t="s">
        <v>401</v>
      </c>
      <c r="M97" s="49" t="s">
        <v>402</v>
      </c>
      <c r="N97" s="49" t="s">
        <v>403</v>
      </c>
      <c r="O97" s="49" t="s">
        <v>31981</v>
      </c>
      <c r="P97" s="49" t="s">
        <v>31989</v>
      </c>
      <c r="Q97" s="49" t="s">
        <v>31997</v>
      </c>
      <c r="R97" s="49" t="s">
        <v>32005</v>
      </c>
      <c r="S97" s="49" t="s">
        <v>32013</v>
      </c>
      <c r="T97" s="49" t="s">
        <v>32021</v>
      </c>
    </row>
    <row r="98" spans="1:21" x14ac:dyDescent="0.2">
      <c r="A98" s="49" t="s">
        <v>30</v>
      </c>
      <c r="D98" s="49" t="s">
        <v>404</v>
      </c>
      <c r="G98" s="49" t="s">
        <v>14131</v>
      </c>
      <c r="H98" s="49" t="s">
        <v>405</v>
      </c>
      <c r="I98" s="49" t="s">
        <v>406</v>
      </c>
      <c r="J98" s="49" t="s">
        <v>407</v>
      </c>
      <c r="K98" s="49" t="s">
        <v>408</v>
      </c>
      <c r="L98" s="49" t="s">
        <v>409</v>
      </c>
      <c r="M98" s="49" t="s">
        <v>410</v>
      </c>
      <c r="N98" s="49" t="s">
        <v>411</v>
      </c>
      <c r="O98" s="49" t="s">
        <v>31982</v>
      </c>
      <c r="P98" s="49" t="s">
        <v>31990</v>
      </c>
      <c r="Q98" s="49" t="s">
        <v>31998</v>
      </c>
      <c r="R98" s="49" t="s">
        <v>32006</v>
      </c>
      <c r="S98" s="49" t="s">
        <v>32014</v>
      </c>
      <c r="T98" s="49" t="s">
        <v>32022</v>
      </c>
    </row>
    <row r="99" spans="1:21" x14ac:dyDescent="0.2">
      <c r="A99" s="49" t="s">
        <v>30</v>
      </c>
      <c r="D99" s="49" t="s">
        <v>2333</v>
      </c>
      <c r="G99" s="49" t="s">
        <v>14132</v>
      </c>
      <c r="H99" s="49" t="s">
        <v>2334</v>
      </c>
      <c r="I99" s="49" t="s">
        <v>2335</v>
      </c>
      <c r="J99" s="49" t="s">
        <v>2336</v>
      </c>
      <c r="K99" s="49" t="s">
        <v>2337</v>
      </c>
      <c r="L99" s="49" t="s">
        <v>2338</v>
      </c>
      <c r="M99" s="49" t="s">
        <v>2339</v>
      </c>
      <c r="N99" s="49" t="s">
        <v>2340</v>
      </c>
      <c r="O99" s="49" t="s">
        <v>10759</v>
      </c>
      <c r="P99" s="49" t="s">
        <v>10760</v>
      </c>
      <c r="Q99" s="49" t="s">
        <v>10761</v>
      </c>
      <c r="R99" s="49" t="s">
        <v>10762</v>
      </c>
      <c r="S99" s="49" t="s">
        <v>10763</v>
      </c>
      <c r="T99" s="49" t="s">
        <v>10764</v>
      </c>
    </row>
    <row r="100" spans="1:21" x14ac:dyDescent="0.2">
      <c r="A100" s="49" t="s">
        <v>30</v>
      </c>
      <c r="D100" s="49" t="s">
        <v>2802</v>
      </c>
      <c r="G100" s="49" t="s">
        <v>14133</v>
      </c>
      <c r="H100" s="49" t="s">
        <v>2803</v>
      </c>
      <c r="I100" s="49" t="s">
        <v>2804</v>
      </c>
      <c r="J100" s="49" t="s">
        <v>2805</v>
      </c>
      <c r="K100" s="49" t="s">
        <v>2806</v>
      </c>
      <c r="L100" s="49" t="s">
        <v>2807</v>
      </c>
      <c r="M100" s="49" t="s">
        <v>2808</v>
      </c>
      <c r="N100" s="49" t="s">
        <v>2809</v>
      </c>
      <c r="O100" s="49" t="s">
        <v>10765</v>
      </c>
      <c r="P100" s="49" t="s">
        <v>10766</v>
      </c>
      <c r="Q100" s="49" t="s">
        <v>10767</v>
      </c>
      <c r="R100" s="49" t="s">
        <v>10768</v>
      </c>
      <c r="S100" s="49" t="s">
        <v>10769</v>
      </c>
      <c r="T100" s="49" t="s">
        <v>10770</v>
      </c>
    </row>
    <row r="101" spans="1:21" x14ac:dyDescent="0.2">
      <c r="A101" s="49" t="s">
        <v>30</v>
      </c>
      <c r="D101" s="49" t="s">
        <v>1729</v>
      </c>
      <c r="G101" s="49" t="s">
        <v>14134</v>
      </c>
      <c r="H101" s="49" t="s">
        <v>1730</v>
      </c>
      <c r="I101" s="49" t="s">
        <v>1731</v>
      </c>
      <c r="J101" s="49" t="s">
        <v>1732</v>
      </c>
      <c r="K101" s="49" t="s">
        <v>1733</v>
      </c>
      <c r="L101" s="49" t="s">
        <v>1734</v>
      </c>
      <c r="M101" s="49" t="s">
        <v>1735</v>
      </c>
      <c r="N101" s="49" t="s">
        <v>1736</v>
      </c>
      <c r="O101" s="49" t="s">
        <v>10771</v>
      </c>
      <c r="P101" s="49" t="s">
        <v>10772</v>
      </c>
      <c r="Q101" s="49" t="s">
        <v>10773</v>
      </c>
      <c r="R101" s="49" t="s">
        <v>10774</v>
      </c>
      <c r="S101" s="49" t="s">
        <v>10775</v>
      </c>
      <c r="T101" s="49" t="s">
        <v>10776</v>
      </c>
    </row>
    <row r="102" spans="1:21" x14ac:dyDescent="0.2">
      <c r="A102" s="49" t="s">
        <v>30</v>
      </c>
      <c r="D102" s="49" t="s">
        <v>412</v>
      </c>
      <c r="G102" s="49" t="s">
        <v>14135</v>
      </c>
      <c r="H102" s="49" t="s">
        <v>413</v>
      </c>
      <c r="I102" s="49" t="s">
        <v>414</v>
      </c>
      <c r="J102" s="49" t="s">
        <v>415</v>
      </c>
      <c r="K102" s="49" t="s">
        <v>416</v>
      </c>
      <c r="L102" s="49" t="s">
        <v>417</v>
      </c>
      <c r="M102" s="49" t="s">
        <v>418</v>
      </c>
      <c r="N102" s="49" t="s">
        <v>419</v>
      </c>
      <c r="O102" s="49" t="s">
        <v>2971</v>
      </c>
      <c r="P102" s="49" t="s">
        <v>2972</v>
      </c>
      <c r="Q102" s="49" t="s">
        <v>2973</v>
      </c>
      <c r="R102" s="49" t="s">
        <v>2974</v>
      </c>
      <c r="S102" s="49" t="s">
        <v>2975</v>
      </c>
      <c r="T102" s="49" t="s">
        <v>2976</v>
      </c>
    </row>
    <row r="103" spans="1:21" x14ac:dyDescent="0.2">
      <c r="A103" s="49" t="s">
        <v>30</v>
      </c>
      <c r="D103" s="49" t="s">
        <v>420</v>
      </c>
      <c r="G103" s="49" t="s">
        <v>14136</v>
      </c>
      <c r="H103" s="49" t="s">
        <v>421</v>
      </c>
      <c r="I103" s="49" t="s">
        <v>422</v>
      </c>
      <c r="J103" s="49" t="s">
        <v>423</v>
      </c>
      <c r="K103" s="49" t="s">
        <v>424</v>
      </c>
      <c r="L103" s="49" t="s">
        <v>425</v>
      </c>
      <c r="M103" s="49" t="s">
        <v>426</v>
      </c>
      <c r="N103" s="49" t="s">
        <v>427</v>
      </c>
      <c r="O103" s="49" t="s">
        <v>31983</v>
      </c>
      <c r="P103" s="49" t="s">
        <v>31991</v>
      </c>
      <c r="Q103" s="49" t="s">
        <v>31999</v>
      </c>
      <c r="R103" s="49" t="s">
        <v>32007</v>
      </c>
      <c r="S103" s="49" t="s">
        <v>32015</v>
      </c>
      <c r="T103" s="49" t="s">
        <v>32023</v>
      </c>
    </row>
    <row r="104" spans="1:21" x14ac:dyDescent="0.2">
      <c r="A104" s="49" t="s">
        <v>30</v>
      </c>
      <c r="D104" s="49" t="s">
        <v>2341</v>
      </c>
      <c r="G104" s="49" t="s">
        <v>14137</v>
      </c>
      <c r="H104" s="49" t="s">
        <v>2342</v>
      </c>
      <c r="I104" s="49" t="s">
        <v>2343</v>
      </c>
      <c r="J104" s="49" t="s">
        <v>2344</v>
      </c>
      <c r="K104" s="49" t="s">
        <v>2345</v>
      </c>
      <c r="L104" s="49" t="s">
        <v>2346</v>
      </c>
      <c r="M104" s="49" t="s">
        <v>2347</v>
      </c>
      <c r="N104" s="49" t="s">
        <v>2348</v>
      </c>
      <c r="O104" s="49" t="s">
        <v>31984</v>
      </c>
      <c r="P104" s="49" t="s">
        <v>31992</v>
      </c>
      <c r="Q104" s="49" t="s">
        <v>32000</v>
      </c>
      <c r="R104" s="49" t="s">
        <v>32008</v>
      </c>
      <c r="S104" s="49" t="s">
        <v>32016</v>
      </c>
      <c r="T104" s="49" t="s">
        <v>32024</v>
      </c>
    </row>
    <row r="105" spans="1:21" x14ac:dyDescent="0.2">
      <c r="A105" s="49" t="s">
        <v>30</v>
      </c>
      <c r="D105" s="49" t="s">
        <v>1910</v>
      </c>
      <c r="G105" s="49" t="s">
        <v>14138</v>
      </c>
      <c r="H105" s="49" t="s">
        <v>1911</v>
      </c>
      <c r="I105" s="49" t="s">
        <v>1912</v>
      </c>
      <c r="J105" s="49" t="s">
        <v>1913</v>
      </c>
      <c r="K105" s="49" t="s">
        <v>1914</v>
      </c>
      <c r="L105" s="49" t="s">
        <v>1915</v>
      </c>
      <c r="M105" s="49" t="s">
        <v>1916</v>
      </c>
      <c r="N105" s="49" t="s">
        <v>1917</v>
      </c>
      <c r="O105" s="49" t="s">
        <v>31985</v>
      </c>
      <c r="P105" s="49" t="s">
        <v>31993</v>
      </c>
      <c r="Q105" s="49" t="s">
        <v>32001</v>
      </c>
      <c r="R105" s="49" t="s">
        <v>32009</v>
      </c>
      <c r="S105" s="49" t="s">
        <v>32017</v>
      </c>
      <c r="T105" s="49" t="s">
        <v>32025</v>
      </c>
    </row>
    <row r="106" spans="1:21" x14ac:dyDescent="0.2">
      <c r="A106" s="49" t="s">
        <v>30</v>
      </c>
      <c r="D106" s="49" t="s">
        <v>1918</v>
      </c>
      <c r="G106" s="49" t="s">
        <v>14139</v>
      </c>
      <c r="H106" s="49" t="s">
        <v>1919</v>
      </c>
      <c r="I106" s="49" t="s">
        <v>1920</v>
      </c>
      <c r="J106" s="49" t="s">
        <v>1921</v>
      </c>
      <c r="K106" s="49" t="s">
        <v>1922</v>
      </c>
      <c r="L106" s="49" t="s">
        <v>1923</v>
      </c>
      <c r="M106" s="49" t="s">
        <v>1924</v>
      </c>
      <c r="N106" s="49" t="s">
        <v>1925</v>
      </c>
      <c r="O106" s="49" t="s">
        <v>2980</v>
      </c>
      <c r="P106" s="49" t="s">
        <v>2981</v>
      </c>
      <c r="Q106" s="49" t="s">
        <v>2982</v>
      </c>
      <c r="R106" s="49" t="s">
        <v>2983</v>
      </c>
      <c r="S106" s="49" t="s">
        <v>2984</v>
      </c>
      <c r="T106" s="49" t="s">
        <v>2985</v>
      </c>
    </row>
    <row r="107" spans="1:21" x14ac:dyDescent="0.2">
      <c r="A107" s="49" t="s">
        <v>30</v>
      </c>
    </row>
    <row r="108" spans="1:21" x14ac:dyDescent="0.2">
      <c r="A108" s="49" t="s">
        <v>30</v>
      </c>
      <c r="E108" s="49" t="s">
        <v>31</v>
      </c>
      <c r="F108" s="49" t="s">
        <v>31</v>
      </c>
      <c r="G108" s="49" t="s">
        <v>31</v>
      </c>
      <c r="J108" s="49" t="s">
        <v>31</v>
      </c>
      <c r="K108" s="49" t="s">
        <v>31</v>
      </c>
      <c r="L108" s="49" t="s">
        <v>31</v>
      </c>
      <c r="M108" s="49" t="s">
        <v>31</v>
      </c>
    </row>
    <row r="109" spans="1:21" x14ac:dyDescent="0.2">
      <c r="A109" s="49" t="s">
        <v>30</v>
      </c>
      <c r="D109" s="49" t="s">
        <v>10001</v>
      </c>
      <c r="E109" s="49" t="s">
        <v>4559</v>
      </c>
      <c r="F109" s="49" t="s">
        <v>10002</v>
      </c>
      <c r="H109" s="49" t="s">
        <v>10003</v>
      </c>
      <c r="O109" s="49" t="s">
        <v>14140</v>
      </c>
      <c r="P109" s="49" t="s">
        <v>14141</v>
      </c>
      <c r="Q109" s="49" t="s">
        <v>14142</v>
      </c>
      <c r="R109" s="49" t="s">
        <v>14143</v>
      </c>
      <c r="S109" s="49" t="s">
        <v>14144</v>
      </c>
      <c r="T109" s="49" t="s">
        <v>14145</v>
      </c>
      <c r="U109" s="49" t="s">
        <v>14146</v>
      </c>
    </row>
    <row r="110" spans="1:21" x14ac:dyDescent="0.2">
      <c r="A110" s="49" t="s">
        <v>30</v>
      </c>
      <c r="D110" s="49" t="s">
        <v>1926</v>
      </c>
      <c r="G110" s="49" t="s">
        <v>14147</v>
      </c>
      <c r="H110" s="49" t="s">
        <v>1927</v>
      </c>
      <c r="I110" s="49" t="s">
        <v>1928</v>
      </c>
      <c r="J110" s="49" t="s">
        <v>1929</v>
      </c>
      <c r="K110" s="49" t="s">
        <v>1930</v>
      </c>
      <c r="L110" s="49" t="s">
        <v>1931</v>
      </c>
      <c r="M110" s="49" t="s">
        <v>1932</v>
      </c>
      <c r="N110" s="49" t="s">
        <v>1933</v>
      </c>
      <c r="O110" s="49" t="s">
        <v>12890</v>
      </c>
      <c r="P110" s="49" t="s">
        <v>12891</v>
      </c>
      <c r="Q110" s="49" t="s">
        <v>12892</v>
      </c>
      <c r="R110" s="49" t="s">
        <v>12893</v>
      </c>
      <c r="S110" s="49" t="s">
        <v>12894</v>
      </c>
      <c r="T110" s="49" t="s">
        <v>12895</v>
      </c>
    </row>
    <row r="111" spans="1:21" x14ac:dyDescent="0.2">
      <c r="A111" s="49" t="s">
        <v>30</v>
      </c>
      <c r="D111" s="49" t="s">
        <v>2570</v>
      </c>
      <c r="G111" s="49" t="s">
        <v>14148</v>
      </c>
      <c r="H111" s="49" t="s">
        <v>2571</v>
      </c>
      <c r="I111" s="49" t="s">
        <v>2572</v>
      </c>
      <c r="J111" s="49" t="s">
        <v>2573</v>
      </c>
      <c r="K111" s="49" t="s">
        <v>2574</v>
      </c>
      <c r="L111" s="49" t="s">
        <v>2575</v>
      </c>
      <c r="M111" s="49" t="s">
        <v>2576</v>
      </c>
      <c r="N111" s="49" t="s">
        <v>2577</v>
      </c>
      <c r="O111" s="49" t="s">
        <v>31940</v>
      </c>
      <c r="P111" s="49" t="s">
        <v>31946</v>
      </c>
      <c r="Q111" s="49" t="s">
        <v>31952</v>
      </c>
      <c r="R111" s="49" t="s">
        <v>31958</v>
      </c>
      <c r="S111" s="49" t="s">
        <v>31964</v>
      </c>
      <c r="T111" s="49" t="s">
        <v>31970</v>
      </c>
    </row>
    <row r="112" spans="1:21" x14ac:dyDescent="0.2">
      <c r="A112" s="49" t="s">
        <v>30</v>
      </c>
      <c r="D112" s="49" t="s">
        <v>447</v>
      </c>
      <c r="G112" s="49" t="s">
        <v>14149</v>
      </c>
      <c r="H112" s="49" t="s">
        <v>448</v>
      </c>
      <c r="I112" s="49" t="s">
        <v>449</v>
      </c>
      <c r="J112" s="49" t="s">
        <v>450</v>
      </c>
      <c r="K112" s="49" t="s">
        <v>451</v>
      </c>
      <c r="L112" s="49" t="s">
        <v>452</v>
      </c>
      <c r="M112" s="49" t="s">
        <v>453</v>
      </c>
      <c r="N112" s="49" t="s">
        <v>454</v>
      </c>
      <c r="O112" s="49" t="s">
        <v>31941</v>
      </c>
      <c r="P112" s="49" t="s">
        <v>31947</v>
      </c>
      <c r="Q112" s="49" t="s">
        <v>31953</v>
      </c>
      <c r="R112" s="49" t="s">
        <v>31959</v>
      </c>
      <c r="S112" s="49" t="s">
        <v>31965</v>
      </c>
      <c r="T112" s="49" t="s">
        <v>31971</v>
      </c>
    </row>
    <row r="113" spans="1:21" x14ac:dyDescent="0.2">
      <c r="A113" s="49" t="s">
        <v>30</v>
      </c>
      <c r="D113" s="49" t="s">
        <v>13365</v>
      </c>
      <c r="G113" s="49" t="s">
        <v>14150</v>
      </c>
      <c r="H113" s="49" t="s">
        <v>13366</v>
      </c>
      <c r="I113" s="49" t="s">
        <v>13367</v>
      </c>
      <c r="J113" s="49" t="s">
        <v>13368</v>
      </c>
      <c r="K113" s="49" t="s">
        <v>13369</v>
      </c>
      <c r="L113" s="49" t="s">
        <v>13370</v>
      </c>
      <c r="M113" s="49" t="s">
        <v>13371</v>
      </c>
      <c r="N113" s="49" t="s">
        <v>13372</v>
      </c>
      <c r="O113" s="49" t="s">
        <v>31942</v>
      </c>
      <c r="P113" s="49" t="s">
        <v>31948</v>
      </c>
      <c r="Q113" s="49" t="s">
        <v>31954</v>
      </c>
      <c r="R113" s="49" t="s">
        <v>31960</v>
      </c>
      <c r="S113" s="49" t="s">
        <v>31966</v>
      </c>
      <c r="T113" s="49" t="s">
        <v>31972</v>
      </c>
    </row>
    <row r="114" spans="1:21" x14ac:dyDescent="0.2">
      <c r="A114" s="49" t="s">
        <v>30</v>
      </c>
      <c r="D114" s="49" t="s">
        <v>455</v>
      </c>
      <c r="G114" s="49" t="s">
        <v>14151</v>
      </c>
      <c r="H114" s="49" t="s">
        <v>456</v>
      </c>
      <c r="I114" s="49" t="s">
        <v>457</v>
      </c>
      <c r="J114" s="49" t="s">
        <v>458</v>
      </c>
      <c r="K114" s="49" t="s">
        <v>459</v>
      </c>
      <c r="L114" s="49" t="s">
        <v>460</v>
      </c>
      <c r="M114" s="49" t="s">
        <v>461</v>
      </c>
      <c r="N114" s="49" t="s">
        <v>462</v>
      </c>
      <c r="O114" s="49" t="s">
        <v>12882</v>
      </c>
      <c r="P114" s="49" t="s">
        <v>12883</v>
      </c>
      <c r="Q114" s="49" t="s">
        <v>12884</v>
      </c>
      <c r="R114" s="49" t="s">
        <v>12885</v>
      </c>
      <c r="S114" s="49" t="s">
        <v>12886</v>
      </c>
      <c r="T114" s="49" t="s">
        <v>12887</v>
      </c>
    </row>
    <row r="115" spans="1:21" x14ac:dyDescent="0.2">
      <c r="A115" s="49" t="s">
        <v>30</v>
      </c>
      <c r="D115" s="49" t="s">
        <v>463</v>
      </c>
      <c r="G115" s="49" t="s">
        <v>14152</v>
      </c>
      <c r="H115" s="49" t="s">
        <v>464</v>
      </c>
      <c r="I115" s="49" t="s">
        <v>465</v>
      </c>
      <c r="J115" s="49" t="s">
        <v>466</v>
      </c>
      <c r="K115" s="49" t="s">
        <v>467</v>
      </c>
      <c r="L115" s="49" t="s">
        <v>468</v>
      </c>
      <c r="M115" s="49" t="s">
        <v>469</v>
      </c>
      <c r="N115" s="49" t="s">
        <v>470</v>
      </c>
      <c r="O115" s="49" t="s">
        <v>4188</v>
      </c>
      <c r="P115" s="49" t="s">
        <v>4189</v>
      </c>
      <c r="Q115" s="49" t="s">
        <v>4190</v>
      </c>
      <c r="R115" s="49" t="s">
        <v>4191</v>
      </c>
      <c r="S115" s="49" t="s">
        <v>4192</v>
      </c>
      <c r="T115" s="49" t="s">
        <v>4193</v>
      </c>
    </row>
    <row r="116" spans="1:21" x14ac:dyDescent="0.2">
      <c r="A116" s="49" t="s">
        <v>30</v>
      </c>
      <c r="D116" s="49" t="s">
        <v>2777</v>
      </c>
      <c r="G116" s="49" t="s">
        <v>14153</v>
      </c>
      <c r="H116" s="49" t="s">
        <v>2778</v>
      </c>
      <c r="I116" s="49" t="s">
        <v>2779</v>
      </c>
      <c r="J116" s="49" t="s">
        <v>2780</v>
      </c>
      <c r="K116" s="49" t="s">
        <v>2781</v>
      </c>
      <c r="L116" s="49" t="s">
        <v>2782</v>
      </c>
      <c r="M116" s="49" t="s">
        <v>2783</v>
      </c>
      <c r="N116" s="49" t="s">
        <v>2784</v>
      </c>
      <c r="O116" s="49" t="s">
        <v>2986</v>
      </c>
      <c r="P116" s="49" t="s">
        <v>2987</v>
      </c>
      <c r="Q116" s="49" t="s">
        <v>2988</v>
      </c>
      <c r="R116" s="49" t="s">
        <v>2989</v>
      </c>
      <c r="S116" s="49" t="s">
        <v>2990</v>
      </c>
      <c r="T116" s="49" t="s">
        <v>2991</v>
      </c>
    </row>
    <row r="117" spans="1:21" x14ac:dyDescent="0.2">
      <c r="A117" s="49" t="s">
        <v>30</v>
      </c>
      <c r="D117" s="49" t="s">
        <v>1737</v>
      </c>
      <c r="G117" s="49" t="s">
        <v>14154</v>
      </c>
      <c r="H117" s="49" t="s">
        <v>1738</v>
      </c>
      <c r="I117" s="49" t="s">
        <v>1739</v>
      </c>
      <c r="J117" s="49" t="s">
        <v>1740</v>
      </c>
      <c r="K117" s="49" t="s">
        <v>1741</v>
      </c>
      <c r="L117" s="49" t="s">
        <v>1742</v>
      </c>
      <c r="M117" s="49" t="s">
        <v>1743</v>
      </c>
      <c r="N117" s="49" t="s">
        <v>1744</v>
      </c>
      <c r="O117" s="49" t="s">
        <v>2992</v>
      </c>
      <c r="P117" s="49" t="s">
        <v>2993</v>
      </c>
      <c r="Q117" s="49" t="s">
        <v>2994</v>
      </c>
      <c r="R117" s="49" t="s">
        <v>2995</v>
      </c>
      <c r="S117" s="49" t="s">
        <v>2996</v>
      </c>
      <c r="T117" s="49" t="s">
        <v>2997</v>
      </c>
    </row>
    <row r="118" spans="1:21" x14ac:dyDescent="0.2">
      <c r="A118" s="49" t="s">
        <v>30</v>
      </c>
      <c r="D118" s="49" t="s">
        <v>1934</v>
      </c>
      <c r="G118" s="49" t="s">
        <v>14155</v>
      </c>
      <c r="H118" s="49" t="s">
        <v>1935</v>
      </c>
      <c r="I118" s="49" t="s">
        <v>1936</v>
      </c>
      <c r="J118" s="49" t="s">
        <v>1937</v>
      </c>
      <c r="K118" s="49" t="s">
        <v>1938</v>
      </c>
      <c r="L118" s="49" t="s">
        <v>1939</v>
      </c>
      <c r="M118" s="49" t="s">
        <v>1940</v>
      </c>
      <c r="N118" s="49" t="s">
        <v>1941</v>
      </c>
      <c r="O118" s="49" t="s">
        <v>4392</v>
      </c>
      <c r="P118" s="49" t="s">
        <v>4393</v>
      </c>
      <c r="Q118" s="49" t="s">
        <v>4394</v>
      </c>
      <c r="R118" s="49" t="s">
        <v>4395</v>
      </c>
      <c r="S118" s="49" t="s">
        <v>4396</v>
      </c>
      <c r="T118" s="49" t="s">
        <v>4397</v>
      </c>
    </row>
    <row r="119" spans="1:21" x14ac:dyDescent="0.2">
      <c r="A119" s="49" t="s">
        <v>30</v>
      </c>
      <c r="D119" s="49" t="s">
        <v>471</v>
      </c>
      <c r="G119" s="49" t="s">
        <v>14156</v>
      </c>
      <c r="H119" s="49" t="s">
        <v>472</v>
      </c>
      <c r="I119" s="49" t="s">
        <v>473</v>
      </c>
      <c r="J119" s="49" t="s">
        <v>474</v>
      </c>
      <c r="K119" s="49" t="s">
        <v>475</v>
      </c>
      <c r="L119" s="49" t="s">
        <v>476</v>
      </c>
      <c r="M119" s="49" t="s">
        <v>477</v>
      </c>
      <c r="N119" s="49" t="s">
        <v>478</v>
      </c>
      <c r="O119" s="49" t="s">
        <v>31943</v>
      </c>
      <c r="P119" s="49" t="s">
        <v>31949</v>
      </c>
      <c r="Q119" s="49" t="s">
        <v>31955</v>
      </c>
      <c r="R119" s="49" t="s">
        <v>31961</v>
      </c>
      <c r="S119" s="49" t="s">
        <v>31967</v>
      </c>
      <c r="T119" s="49" t="s">
        <v>31973</v>
      </c>
    </row>
    <row r="120" spans="1:21" x14ac:dyDescent="0.2">
      <c r="A120" s="49" t="s">
        <v>30</v>
      </c>
      <c r="D120" s="49" t="s">
        <v>479</v>
      </c>
      <c r="G120" s="49" t="s">
        <v>14157</v>
      </c>
      <c r="H120" s="49" t="s">
        <v>480</v>
      </c>
      <c r="I120" s="49" t="s">
        <v>481</v>
      </c>
      <c r="J120" s="49" t="s">
        <v>482</v>
      </c>
      <c r="K120" s="49" t="s">
        <v>483</v>
      </c>
      <c r="L120" s="49" t="s">
        <v>484</v>
      </c>
      <c r="M120" s="49" t="s">
        <v>485</v>
      </c>
      <c r="N120" s="49" t="s">
        <v>486</v>
      </c>
      <c r="O120" s="49" t="s">
        <v>31944</v>
      </c>
      <c r="P120" s="49" t="s">
        <v>31950</v>
      </c>
      <c r="Q120" s="49" t="s">
        <v>31956</v>
      </c>
      <c r="R120" s="49" t="s">
        <v>31962</v>
      </c>
      <c r="S120" s="49" t="s">
        <v>31968</v>
      </c>
      <c r="T120" s="49" t="s">
        <v>31974</v>
      </c>
    </row>
    <row r="121" spans="1:21" x14ac:dyDescent="0.2">
      <c r="A121" s="49" t="s">
        <v>30</v>
      </c>
      <c r="D121" s="49" t="s">
        <v>487</v>
      </c>
      <c r="G121" s="49" t="s">
        <v>14158</v>
      </c>
      <c r="H121" s="49" t="s">
        <v>488</v>
      </c>
      <c r="I121" s="49" t="s">
        <v>489</v>
      </c>
      <c r="J121" s="49" t="s">
        <v>490</v>
      </c>
      <c r="K121" s="49" t="s">
        <v>491</v>
      </c>
      <c r="L121" s="49" t="s">
        <v>492</v>
      </c>
      <c r="M121" s="49" t="s">
        <v>493</v>
      </c>
      <c r="N121" s="49" t="s">
        <v>494</v>
      </c>
      <c r="O121" s="49" t="s">
        <v>31945</v>
      </c>
      <c r="P121" s="49" t="s">
        <v>31951</v>
      </c>
      <c r="Q121" s="49" t="s">
        <v>31957</v>
      </c>
      <c r="R121" s="49" t="s">
        <v>31963</v>
      </c>
      <c r="S121" s="49" t="s">
        <v>31969</v>
      </c>
      <c r="T121" s="49" t="s">
        <v>31975</v>
      </c>
    </row>
    <row r="122" spans="1:21" x14ac:dyDescent="0.2">
      <c r="A122" s="49" t="s">
        <v>30</v>
      </c>
      <c r="D122" s="49" t="s">
        <v>495</v>
      </c>
      <c r="G122" s="49" t="s">
        <v>14159</v>
      </c>
      <c r="H122" s="49" t="s">
        <v>496</v>
      </c>
      <c r="I122" s="49" t="s">
        <v>497</v>
      </c>
      <c r="J122" s="49" t="s">
        <v>498</v>
      </c>
      <c r="K122" s="49" t="s">
        <v>499</v>
      </c>
      <c r="L122" s="49" t="s">
        <v>500</v>
      </c>
      <c r="M122" s="49" t="s">
        <v>501</v>
      </c>
      <c r="N122" s="49" t="s">
        <v>502</v>
      </c>
      <c r="O122" s="49" t="s">
        <v>4570</v>
      </c>
      <c r="P122" s="49" t="s">
        <v>4571</v>
      </c>
      <c r="Q122" s="49" t="s">
        <v>4572</v>
      </c>
      <c r="R122" s="49" t="s">
        <v>4573</v>
      </c>
      <c r="S122" s="49" t="s">
        <v>4574</v>
      </c>
      <c r="T122" s="49" t="s">
        <v>4575</v>
      </c>
    </row>
    <row r="123" spans="1:21" x14ac:dyDescent="0.2">
      <c r="A123" s="49" t="s">
        <v>30</v>
      </c>
      <c r="D123" s="49" t="s">
        <v>503</v>
      </c>
      <c r="G123" s="49" t="s">
        <v>14160</v>
      </c>
      <c r="H123" s="49" t="s">
        <v>504</v>
      </c>
      <c r="I123" s="49" t="s">
        <v>505</v>
      </c>
      <c r="J123" s="49" t="s">
        <v>506</v>
      </c>
      <c r="K123" s="49" t="s">
        <v>507</v>
      </c>
      <c r="L123" s="49" t="s">
        <v>508</v>
      </c>
      <c r="M123" s="49" t="s">
        <v>509</v>
      </c>
      <c r="N123" s="49" t="s">
        <v>510</v>
      </c>
      <c r="O123" s="49" t="s">
        <v>4576</v>
      </c>
      <c r="P123" s="49" t="s">
        <v>4577</v>
      </c>
      <c r="Q123" s="49" t="s">
        <v>4578</v>
      </c>
      <c r="R123" s="49" t="s">
        <v>4579</v>
      </c>
      <c r="S123" s="49" t="s">
        <v>4580</v>
      </c>
      <c r="T123" s="49" t="s">
        <v>4581</v>
      </c>
    </row>
    <row r="124" spans="1:21" x14ac:dyDescent="0.2">
      <c r="A124" s="49" t="s">
        <v>30</v>
      </c>
      <c r="D124" s="49" t="s">
        <v>511</v>
      </c>
      <c r="G124" s="49" t="s">
        <v>14161</v>
      </c>
      <c r="H124" s="49" t="s">
        <v>512</v>
      </c>
      <c r="I124" s="49" t="s">
        <v>513</v>
      </c>
      <c r="J124" s="49" t="s">
        <v>514</v>
      </c>
      <c r="K124" s="49" t="s">
        <v>515</v>
      </c>
      <c r="L124" s="49" t="s">
        <v>516</v>
      </c>
      <c r="M124" s="49" t="s">
        <v>517</v>
      </c>
      <c r="N124" s="49" t="s">
        <v>518</v>
      </c>
      <c r="O124" s="49" t="s">
        <v>2998</v>
      </c>
      <c r="P124" s="49" t="s">
        <v>2999</v>
      </c>
      <c r="Q124" s="49" t="s">
        <v>3000</v>
      </c>
      <c r="R124" s="49" t="s">
        <v>3001</v>
      </c>
      <c r="S124" s="49" t="s">
        <v>3002</v>
      </c>
      <c r="T124" s="49" t="s">
        <v>3003</v>
      </c>
    </row>
    <row r="125" spans="1:21" x14ac:dyDescent="0.2">
      <c r="A125" s="49" t="s">
        <v>30</v>
      </c>
    </row>
    <row r="126" spans="1:21" x14ac:dyDescent="0.2">
      <c r="A126" s="49" t="s">
        <v>30</v>
      </c>
      <c r="E126" s="49" t="s">
        <v>31</v>
      </c>
      <c r="F126" s="49" t="s">
        <v>31</v>
      </c>
      <c r="G126" s="49" t="s">
        <v>31</v>
      </c>
      <c r="J126" s="49" t="s">
        <v>31</v>
      </c>
      <c r="K126" s="49" t="s">
        <v>31</v>
      </c>
      <c r="L126" s="49" t="s">
        <v>31</v>
      </c>
      <c r="M126" s="49" t="s">
        <v>31</v>
      </c>
    </row>
    <row r="127" spans="1:21" x14ac:dyDescent="0.2">
      <c r="A127" s="49" t="s">
        <v>30</v>
      </c>
      <c r="D127" s="49" t="s">
        <v>2788</v>
      </c>
      <c r="E127" s="49" t="s">
        <v>4561</v>
      </c>
      <c r="F127" s="49" t="s">
        <v>2789</v>
      </c>
      <c r="H127" s="49" t="s">
        <v>2790</v>
      </c>
      <c r="O127" s="49" t="s">
        <v>14162</v>
      </c>
      <c r="P127" s="49" t="s">
        <v>14163</v>
      </c>
      <c r="Q127" s="49" t="s">
        <v>14164</v>
      </c>
      <c r="R127" s="49" t="s">
        <v>14165</v>
      </c>
      <c r="S127" s="49" t="s">
        <v>14166</v>
      </c>
      <c r="T127" s="49" t="s">
        <v>14167</v>
      </c>
      <c r="U127" s="49" t="s">
        <v>14168</v>
      </c>
    </row>
    <row r="128" spans="1:21" x14ac:dyDescent="0.2">
      <c r="A128" s="49" t="s">
        <v>30</v>
      </c>
      <c r="D128" s="49" t="s">
        <v>1961</v>
      </c>
      <c r="G128" s="49" t="s">
        <v>14169</v>
      </c>
      <c r="H128" s="49" t="s">
        <v>1962</v>
      </c>
      <c r="I128" s="49" t="s">
        <v>1963</v>
      </c>
      <c r="J128" s="49" t="s">
        <v>1964</v>
      </c>
      <c r="K128" s="49" t="s">
        <v>1965</v>
      </c>
      <c r="L128" s="49" t="s">
        <v>1966</v>
      </c>
      <c r="M128" s="49" t="s">
        <v>1967</v>
      </c>
      <c r="N128" s="49" t="s">
        <v>1968</v>
      </c>
      <c r="O128" s="49" t="s">
        <v>31922</v>
      </c>
      <c r="P128" s="49" t="s">
        <v>31925</v>
      </c>
      <c r="Q128" s="49" t="s">
        <v>31928</v>
      </c>
      <c r="R128" s="49" t="s">
        <v>31931</v>
      </c>
      <c r="S128" s="49" t="s">
        <v>31934</v>
      </c>
      <c r="T128" s="49" t="s">
        <v>31937</v>
      </c>
    </row>
    <row r="129" spans="1:21" x14ac:dyDescent="0.2">
      <c r="A129" s="49" t="s">
        <v>30</v>
      </c>
      <c r="D129" s="49" t="s">
        <v>527</v>
      </c>
      <c r="G129" s="49" t="s">
        <v>14170</v>
      </c>
      <c r="H129" s="49" t="s">
        <v>528</v>
      </c>
      <c r="I129" s="49" t="s">
        <v>529</v>
      </c>
      <c r="J129" s="49" t="s">
        <v>530</v>
      </c>
      <c r="K129" s="49" t="s">
        <v>531</v>
      </c>
      <c r="L129" s="49" t="s">
        <v>532</v>
      </c>
      <c r="M129" s="49" t="s">
        <v>533</v>
      </c>
      <c r="N129" s="49" t="s">
        <v>534</v>
      </c>
      <c r="O129" s="49" t="s">
        <v>31923</v>
      </c>
      <c r="P129" s="49" t="s">
        <v>31926</v>
      </c>
      <c r="Q129" s="49" t="s">
        <v>31929</v>
      </c>
      <c r="R129" s="49" t="s">
        <v>31932</v>
      </c>
      <c r="S129" s="49" t="s">
        <v>31935</v>
      </c>
      <c r="T129" s="49" t="s">
        <v>31938</v>
      </c>
    </row>
    <row r="130" spans="1:21" x14ac:dyDescent="0.2">
      <c r="A130" s="49" t="s">
        <v>30</v>
      </c>
      <c r="D130" s="49" t="s">
        <v>535</v>
      </c>
      <c r="G130" s="49" t="s">
        <v>14171</v>
      </c>
      <c r="H130" s="49" t="s">
        <v>536</v>
      </c>
      <c r="I130" s="49" t="s">
        <v>537</v>
      </c>
      <c r="J130" s="49" t="s">
        <v>538</v>
      </c>
      <c r="K130" s="49" t="s">
        <v>539</v>
      </c>
      <c r="L130" s="49" t="s">
        <v>540</v>
      </c>
      <c r="M130" s="49" t="s">
        <v>541</v>
      </c>
      <c r="N130" s="49" t="s">
        <v>542</v>
      </c>
      <c r="O130" s="49" t="s">
        <v>3004</v>
      </c>
      <c r="P130" s="49" t="s">
        <v>3005</v>
      </c>
      <c r="Q130" s="49" t="s">
        <v>3006</v>
      </c>
      <c r="R130" s="49" t="s">
        <v>3007</v>
      </c>
      <c r="S130" s="49" t="s">
        <v>3008</v>
      </c>
      <c r="T130" s="49" t="s">
        <v>3009</v>
      </c>
    </row>
    <row r="131" spans="1:21" x14ac:dyDescent="0.2">
      <c r="A131" s="49" t="s">
        <v>30</v>
      </c>
      <c r="D131" s="49" t="s">
        <v>543</v>
      </c>
      <c r="G131" s="49" t="s">
        <v>14172</v>
      </c>
      <c r="H131" s="49" t="s">
        <v>544</v>
      </c>
      <c r="I131" s="49" t="s">
        <v>545</v>
      </c>
      <c r="J131" s="49" t="s">
        <v>546</v>
      </c>
      <c r="K131" s="49" t="s">
        <v>547</v>
      </c>
      <c r="L131" s="49" t="s">
        <v>548</v>
      </c>
      <c r="M131" s="49" t="s">
        <v>549</v>
      </c>
      <c r="N131" s="49" t="s">
        <v>550</v>
      </c>
      <c r="O131" s="49" t="s">
        <v>3010</v>
      </c>
      <c r="P131" s="49" t="s">
        <v>3011</v>
      </c>
      <c r="Q131" s="49" t="s">
        <v>3012</v>
      </c>
      <c r="R131" s="49" t="s">
        <v>3013</v>
      </c>
      <c r="S131" s="49" t="s">
        <v>3014</v>
      </c>
      <c r="T131" s="49" t="s">
        <v>3015</v>
      </c>
    </row>
    <row r="132" spans="1:21" x14ac:dyDescent="0.2">
      <c r="A132" s="49" t="s">
        <v>30</v>
      </c>
      <c r="D132" s="49" t="s">
        <v>551</v>
      </c>
      <c r="G132" s="49" t="s">
        <v>14173</v>
      </c>
      <c r="H132" s="49" t="s">
        <v>552</v>
      </c>
      <c r="I132" s="49" t="s">
        <v>553</v>
      </c>
      <c r="J132" s="49" t="s">
        <v>554</v>
      </c>
      <c r="K132" s="49" t="s">
        <v>555</v>
      </c>
      <c r="L132" s="49" t="s">
        <v>556</v>
      </c>
      <c r="M132" s="49" t="s">
        <v>557</v>
      </c>
      <c r="N132" s="49" t="s">
        <v>558</v>
      </c>
      <c r="O132" s="49" t="s">
        <v>4583</v>
      </c>
      <c r="P132" s="49" t="s">
        <v>4584</v>
      </c>
      <c r="Q132" s="49" t="s">
        <v>4585</v>
      </c>
      <c r="R132" s="49" t="s">
        <v>4586</v>
      </c>
      <c r="S132" s="49" t="s">
        <v>4587</v>
      </c>
      <c r="T132" s="49" t="s">
        <v>4588</v>
      </c>
    </row>
    <row r="133" spans="1:21" x14ac:dyDescent="0.2">
      <c r="A133" s="49" t="s">
        <v>30</v>
      </c>
      <c r="D133" s="49" t="s">
        <v>1748</v>
      </c>
      <c r="G133" s="49" t="s">
        <v>14174</v>
      </c>
      <c r="H133" s="49" t="s">
        <v>1749</v>
      </c>
      <c r="I133" s="49" t="s">
        <v>1750</v>
      </c>
      <c r="J133" s="49" t="s">
        <v>1751</v>
      </c>
      <c r="K133" s="49" t="s">
        <v>1752</v>
      </c>
      <c r="L133" s="49" t="s">
        <v>1753</v>
      </c>
      <c r="M133" s="49" t="s">
        <v>1754</v>
      </c>
      <c r="N133" s="49" t="s">
        <v>1755</v>
      </c>
      <c r="O133" s="49" t="s">
        <v>4589</v>
      </c>
      <c r="P133" s="49" t="s">
        <v>4590</v>
      </c>
      <c r="Q133" s="49" t="s">
        <v>4591</v>
      </c>
      <c r="R133" s="49" t="s">
        <v>4592</v>
      </c>
      <c r="S133" s="49" t="s">
        <v>4593</v>
      </c>
      <c r="T133" s="49" t="s">
        <v>4594</v>
      </c>
    </row>
    <row r="134" spans="1:21" x14ac:dyDescent="0.2">
      <c r="A134" s="49" t="s">
        <v>30</v>
      </c>
      <c r="D134" s="49" t="s">
        <v>2656</v>
      </c>
      <c r="G134" s="49" t="s">
        <v>14175</v>
      </c>
      <c r="H134" s="49" t="s">
        <v>2657</v>
      </c>
      <c r="I134" s="49" t="s">
        <v>2658</v>
      </c>
      <c r="J134" s="49" t="s">
        <v>2659</v>
      </c>
      <c r="K134" s="49" t="s">
        <v>2660</v>
      </c>
      <c r="L134" s="49" t="s">
        <v>2661</v>
      </c>
      <c r="M134" s="49" t="s">
        <v>2662</v>
      </c>
      <c r="N134" s="49" t="s">
        <v>2663</v>
      </c>
      <c r="O134" s="49" t="s">
        <v>4595</v>
      </c>
      <c r="P134" s="49" t="s">
        <v>4596</v>
      </c>
      <c r="Q134" s="49" t="s">
        <v>4597</v>
      </c>
      <c r="R134" s="49" t="s">
        <v>4598</v>
      </c>
      <c r="S134" s="49" t="s">
        <v>4599</v>
      </c>
      <c r="T134" s="49" t="s">
        <v>4600</v>
      </c>
    </row>
    <row r="135" spans="1:21" x14ac:dyDescent="0.2">
      <c r="A135" s="49" t="s">
        <v>30</v>
      </c>
      <c r="D135" s="49" t="s">
        <v>2664</v>
      </c>
      <c r="G135" s="49" t="s">
        <v>14176</v>
      </c>
      <c r="H135" s="49" t="s">
        <v>2665</v>
      </c>
      <c r="I135" s="49" t="s">
        <v>2666</v>
      </c>
      <c r="J135" s="49" t="s">
        <v>2667</v>
      </c>
      <c r="K135" s="49" t="s">
        <v>2668</v>
      </c>
      <c r="L135" s="49" t="s">
        <v>2669</v>
      </c>
      <c r="M135" s="49" t="s">
        <v>2670</v>
      </c>
      <c r="N135" s="49" t="s">
        <v>2671</v>
      </c>
      <c r="O135" s="49" t="s">
        <v>12870</v>
      </c>
      <c r="P135" s="49" t="s">
        <v>12872</v>
      </c>
      <c r="Q135" s="49" t="s">
        <v>12874</v>
      </c>
      <c r="R135" s="49" t="s">
        <v>12876</v>
      </c>
      <c r="S135" s="49" t="s">
        <v>12878</v>
      </c>
      <c r="T135" s="49" t="s">
        <v>12880</v>
      </c>
    </row>
    <row r="136" spans="1:21" x14ac:dyDescent="0.2">
      <c r="A136" s="49" t="s">
        <v>30</v>
      </c>
      <c r="D136" s="49" t="s">
        <v>559</v>
      </c>
      <c r="G136" s="49" t="s">
        <v>14177</v>
      </c>
      <c r="H136" s="49" t="s">
        <v>560</v>
      </c>
      <c r="I136" s="49" t="s">
        <v>561</v>
      </c>
      <c r="J136" s="49" t="s">
        <v>562</v>
      </c>
      <c r="K136" s="49" t="s">
        <v>563</v>
      </c>
      <c r="L136" s="49" t="s">
        <v>564</v>
      </c>
      <c r="M136" s="49" t="s">
        <v>565</v>
      </c>
      <c r="N136" s="49" t="s">
        <v>566</v>
      </c>
      <c r="O136" s="49" t="s">
        <v>12871</v>
      </c>
      <c r="P136" s="49" t="s">
        <v>12873</v>
      </c>
      <c r="Q136" s="49" t="s">
        <v>12875</v>
      </c>
      <c r="R136" s="49" t="s">
        <v>12877</v>
      </c>
      <c r="S136" s="49" t="s">
        <v>12879</v>
      </c>
      <c r="T136" s="49" t="s">
        <v>12881</v>
      </c>
    </row>
    <row r="137" spans="1:21" x14ac:dyDescent="0.2">
      <c r="A137" s="49" t="s">
        <v>30</v>
      </c>
      <c r="D137" s="49" t="s">
        <v>567</v>
      </c>
      <c r="G137" s="49" t="s">
        <v>14178</v>
      </c>
      <c r="H137" s="49" t="s">
        <v>568</v>
      </c>
      <c r="I137" s="49" t="s">
        <v>569</v>
      </c>
      <c r="J137" s="49" t="s">
        <v>570</v>
      </c>
      <c r="K137" s="49" t="s">
        <v>571</v>
      </c>
      <c r="L137" s="49" t="s">
        <v>572</v>
      </c>
      <c r="M137" s="49" t="s">
        <v>573</v>
      </c>
      <c r="N137" s="49" t="s">
        <v>574</v>
      </c>
      <c r="O137" s="49" t="s">
        <v>31924</v>
      </c>
      <c r="P137" s="49" t="s">
        <v>31927</v>
      </c>
      <c r="Q137" s="49" t="s">
        <v>31930</v>
      </c>
      <c r="R137" s="49" t="s">
        <v>31933</v>
      </c>
      <c r="S137" s="49" t="s">
        <v>31936</v>
      </c>
      <c r="T137" s="49" t="s">
        <v>31939</v>
      </c>
    </row>
    <row r="138" spans="1:21" x14ac:dyDescent="0.2">
      <c r="A138" s="49" t="s">
        <v>30</v>
      </c>
    </row>
    <row r="139" spans="1:21" x14ac:dyDescent="0.2">
      <c r="A139" s="49" t="s">
        <v>30</v>
      </c>
      <c r="E139" s="49" t="s">
        <v>31</v>
      </c>
      <c r="F139" s="49" t="s">
        <v>31</v>
      </c>
      <c r="G139" s="49" t="s">
        <v>31</v>
      </c>
      <c r="J139" s="49" t="s">
        <v>31</v>
      </c>
      <c r="K139" s="49" t="s">
        <v>31</v>
      </c>
      <c r="L139" s="49" t="s">
        <v>31</v>
      </c>
      <c r="M139" s="49" t="s">
        <v>31</v>
      </c>
    </row>
    <row r="140" spans="1:21" x14ac:dyDescent="0.2">
      <c r="A140" s="49" t="s">
        <v>30</v>
      </c>
      <c r="D140" s="49" t="s">
        <v>8917</v>
      </c>
      <c r="E140" s="49" t="s">
        <v>4564</v>
      </c>
      <c r="F140" s="49" t="s">
        <v>8918</v>
      </c>
      <c r="H140" s="49" t="s">
        <v>8919</v>
      </c>
      <c r="O140" s="49" t="s">
        <v>14179</v>
      </c>
      <c r="P140" s="49" t="s">
        <v>14180</v>
      </c>
      <c r="Q140" s="49" t="s">
        <v>14181</v>
      </c>
      <c r="R140" s="49" t="s">
        <v>14182</v>
      </c>
      <c r="S140" s="49" t="s">
        <v>14183</v>
      </c>
      <c r="T140" s="49" t="s">
        <v>14184</v>
      </c>
      <c r="U140" s="49" t="s">
        <v>14185</v>
      </c>
    </row>
    <row r="141" spans="1:21" x14ac:dyDescent="0.2">
      <c r="A141" s="49" t="s">
        <v>30</v>
      </c>
      <c r="D141" s="49" t="s">
        <v>1969</v>
      </c>
      <c r="G141" s="49" t="s">
        <v>14186</v>
      </c>
      <c r="H141" s="49" t="s">
        <v>1970</v>
      </c>
      <c r="I141" s="49" t="s">
        <v>1971</v>
      </c>
      <c r="J141" s="49" t="s">
        <v>1972</v>
      </c>
      <c r="K141" s="49" t="s">
        <v>1973</v>
      </c>
      <c r="L141" s="49" t="s">
        <v>1974</v>
      </c>
      <c r="M141" s="49" t="s">
        <v>1975</v>
      </c>
      <c r="N141" s="49" t="s">
        <v>1976</v>
      </c>
      <c r="O141" s="49" t="s">
        <v>4602</v>
      </c>
      <c r="P141" s="49" t="s">
        <v>4603</v>
      </c>
      <c r="Q141" s="49" t="s">
        <v>4604</v>
      </c>
      <c r="R141" s="49" t="s">
        <v>4605</v>
      </c>
      <c r="S141" s="49" t="s">
        <v>4606</v>
      </c>
      <c r="T141" s="49" t="s">
        <v>4607</v>
      </c>
    </row>
    <row r="142" spans="1:21" x14ac:dyDescent="0.2">
      <c r="A142" s="49" t="s">
        <v>30</v>
      </c>
      <c r="D142" s="49" t="s">
        <v>1756</v>
      </c>
      <c r="G142" s="49" t="s">
        <v>14187</v>
      </c>
      <c r="H142" s="49" t="s">
        <v>1757</v>
      </c>
      <c r="I142" s="49" t="s">
        <v>1758</v>
      </c>
      <c r="J142" s="49" t="s">
        <v>1759</v>
      </c>
      <c r="K142" s="49" t="s">
        <v>1760</v>
      </c>
      <c r="L142" s="49" t="s">
        <v>1761</v>
      </c>
      <c r="M142" s="49" t="s">
        <v>1762</v>
      </c>
      <c r="N142" s="49" t="s">
        <v>1763</v>
      </c>
      <c r="O142" s="49" t="s">
        <v>4608</v>
      </c>
      <c r="P142" s="49" t="s">
        <v>4609</v>
      </c>
      <c r="Q142" s="49" t="s">
        <v>4610</v>
      </c>
      <c r="R142" s="49" t="s">
        <v>4611</v>
      </c>
      <c r="S142" s="49" t="s">
        <v>4612</v>
      </c>
      <c r="T142" s="49" t="s">
        <v>4613</v>
      </c>
    </row>
    <row r="143" spans="1:21" x14ac:dyDescent="0.2">
      <c r="A143" s="49" t="s">
        <v>30</v>
      </c>
      <c r="D143" s="49" t="s">
        <v>2355</v>
      </c>
      <c r="G143" s="49" t="s">
        <v>14188</v>
      </c>
      <c r="H143" s="49" t="s">
        <v>2356</v>
      </c>
      <c r="I143" s="49" t="s">
        <v>2357</v>
      </c>
      <c r="J143" s="49" t="s">
        <v>2358</v>
      </c>
      <c r="K143" s="49" t="s">
        <v>2359</v>
      </c>
      <c r="L143" s="49" t="s">
        <v>2360</v>
      </c>
      <c r="M143" s="49" t="s">
        <v>2361</v>
      </c>
      <c r="N143" s="49" t="s">
        <v>2362</v>
      </c>
      <c r="O143" s="49" t="s">
        <v>12852</v>
      </c>
      <c r="P143" s="49" t="s">
        <v>12855</v>
      </c>
      <c r="Q143" s="49" t="s">
        <v>12858</v>
      </c>
      <c r="R143" s="49" t="s">
        <v>12861</v>
      </c>
      <c r="S143" s="49" t="s">
        <v>12864</v>
      </c>
      <c r="T143" s="49" t="s">
        <v>12867</v>
      </c>
    </row>
    <row r="144" spans="1:21" x14ac:dyDescent="0.2">
      <c r="A144" s="49" t="s">
        <v>30</v>
      </c>
      <c r="D144" s="49" t="s">
        <v>599</v>
      </c>
      <c r="G144" s="49" t="s">
        <v>14189</v>
      </c>
      <c r="H144" s="49" t="s">
        <v>600</v>
      </c>
      <c r="I144" s="49" t="s">
        <v>601</v>
      </c>
      <c r="J144" s="49" t="s">
        <v>602</v>
      </c>
      <c r="K144" s="49" t="s">
        <v>603</v>
      </c>
      <c r="L144" s="49" t="s">
        <v>604</v>
      </c>
      <c r="M144" s="49" t="s">
        <v>605</v>
      </c>
      <c r="N144" s="49" t="s">
        <v>606</v>
      </c>
      <c r="O144" s="49" t="s">
        <v>12853</v>
      </c>
      <c r="P144" s="49" t="s">
        <v>12856</v>
      </c>
      <c r="Q144" s="49" t="s">
        <v>12859</v>
      </c>
      <c r="R144" s="49" t="s">
        <v>12862</v>
      </c>
      <c r="S144" s="49" t="s">
        <v>12865</v>
      </c>
      <c r="T144" s="49" t="s">
        <v>12868</v>
      </c>
    </row>
    <row r="145" spans="1:21" x14ac:dyDescent="0.2">
      <c r="A145" s="49" t="s">
        <v>30</v>
      </c>
      <c r="D145" s="49" t="s">
        <v>607</v>
      </c>
      <c r="G145" s="49" t="s">
        <v>14190</v>
      </c>
      <c r="H145" s="49" t="s">
        <v>608</v>
      </c>
      <c r="I145" s="49" t="s">
        <v>609</v>
      </c>
      <c r="J145" s="49" t="s">
        <v>610</v>
      </c>
      <c r="K145" s="49" t="s">
        <v>611</v>
      </c>
      <c r="L145" s="49" t="s">
        <v>612</v>
      </c>
      <c r="M145" s="49" t="s">
        <v>613</v>
      </c>
      <c r="N145" s="49" t="s">
        <v>614</v>
      </c>
      <c r="O145" s="49" t="s">
        <v>12854</v>
      </c>
      <c r="P145" s="49" t="s">
        <v>12857</v>
      </c>
      <c r="Q145" s="49" t="s">
        <v>12860</v>
      </c>
      <c r="R145" s="49" t="s">
        <v>12863</v>
      </c>
      <c r="S145" s="49" t="s">
        <v>12866</v>
      </c>
      <c r="T145" s="49" t="s">
        <v>12869</v>
      </c>
    </row>
    <row r="146" spans="1:21" x14ac:dyDescent="0.2">
      <c r="A146" s="49" t="s">
        <v>30</v>
      </c>
      <c r="D146" s="49" t="s">
        <v>615</v>
      </c>
      <c r="G146" s="49" t="s">
        <v>14191</v>
      </c>
      <c r="H146" s="49" t="s">
        <v>616</v>
      </c>
      <c r="I146" s="49" t="s">
        <v>617</v>
      </c>
      <c r="J146" s="49" t="s">
        <v>618</v>
      </c>
      <c r="K146" s="49" t="s">
        <v>619</v>
      </c>
      <c r="L146" s="49" t="s">
        <v>620</v>
      </c>
      <c r="M146" s="49" t="s">
        <v>621</v>
      </c>
      <c r="N146" s="49" t="s">
        <v>622</v>
      </c>
      <c r="O146" s="49" t="s">
        <v>4194</v>
      </c>
      <c r="P146" s="49" t="s">
        <v>4195</v>
      </c>
      <c r="Q146" s="49" t="s">
        <v>4196</v>
      </c>
      <c r="R146" s="49" t="s">
        <v>4197</v>
      </c>
      <c r="S146" s="49" t="s">
        <v>4198</v>
      </c>
      <c r="T146" s="49" t="s">
        <v>4199</v>
      </c>
    </row>
    <row r="147" spans="1:21" x14ac:dyDescent="0.2">
      <c r="A147" s="49" t="s">
        <v>30</v>
      </c>
      <c r="D147" s="49" t="s">
        <v>14192</v>
      </c>
      <c r="G147" s="49" t="s">
        <v>14193</v>
      </c>
      <c r="H147" s="49" t="s">
        <v>31900</v>
      </c>
      <c r="I147" s="49" t="s">
        <v>31901</v>
      </c>
      <c r="J147" s="49" t="s">
        <v>31920</v>
      </c>
      <c r="K147" s="49" t="s">
        <v>31921</v>
      </c>
      <c r="L147" s="49" t="s">
        <v>14194</v>
      </c>
      <c r="M147" s="49" t="s">
        <v>14195</v>
      </c>
      <c r="N147" s="49" t="s">
        <v>14196</v>
      </c>
      <c r="O147" s="49" t="s">
        <v>31902</v>
      </c>
      <c r="P147" s="49" t="s">
        <v>31905</v>
      </c>
      <c r="Q147" s="49" t="s">
        <v>31908</v>
      </c>
      <c r="R147" s="49" t="s">
        <v>31911</v>
      </c>
      <c r="S147" s="49" t="s">
        <v>31914</v>
      </c>
      <c r="T147" s="49" t="s">
        <v>31917</v>
      </c>
    </row>
    <row r="148" spans="1:21" x14ac:dyDescent="0.2">
      <c r="A148" s="49" t="s">
        <v>30</v>
      </c>
      <c r="D148" s="49" t="s">
        <v>623</v>
      </c>
      <c r="G148" s="49" t="s">
        <v>14197</v>
      </c>
      <c r="H148" s="49" t="s">
        <v>624</v>
      </c>
      <c r="I148" s="49" t="s">
        <v>625</v>
      </c>
      <c r="J148" s="49" t="s">
        <v>626</v>
      </c>
      <c r="K148" s="49" t="s">
        <v>627</v>
      </c>
      <c r="L148" s="49" t="s">
        <v>628</v>
      </c>
      <c r="M148" s="49" t="s">
        <v>629</v>
      </c>
      <c r="N148" s="49" t="s">
        <v>630</v>
      </c>
      <c r="O148" s="49" t="s">
        <v>31903</v>
      </c>
      <c r="P148" s="49" t="s">
        <v>31906</v>
      </c>
      <c r="Q148" s="49" t="s">
        <v>31909</v>
      </c>
      <c r="R148" s="49" t="s">
        <v>31912</v>
      </c>
      <c r="S148" s="49" t="s">
        <v>31915</v>
      </c>
      <c r="T148" s="49" t="s">
        <v>31918</v>
      </c>
    </row>
    <row r="149" spans="1:21" x14ac:dyDescent="0.2">
      <c r="A149" s="49" t="s">
        <v>30</v>
      </c>
      <c r="D149" s="49" t="s">
        <v>631</v>
      </c>
      <c r="G149" s="49" t="s">
        <v>14198</v>
      </c>
      <c r="H149" s="49" t="s">
        <v>632</v>
      </c>
      <c r="I149" s="49" t="s">
        <v>633</v>
      </c>
      <c r="J149" s="49" t="s">
        <v>634</v>
      </c>
      <c r="K149" s="49" t="s">
        <v>635</v>
      </c>
      <c r="L149" s="49" t="s">
        <v>636</v>
      </c>
      <c r="M149" s="49" t="s">
        <v>637</v>
      </c>
      <c r="N149" s="49" t="s">
        <v>638</v>
      </c>
      <c r="O149" s="49" t="s">
        <v>31904</v>
      </c>
      <c r="P149" s="49" t="s">
        <v>31907</v>
      </c>
      <c r="Q149" s="49" t="s">
        <v>31910</v>
      </c>
      <c r="R149" s="49" t="s">
        <v>31913</v>
      </c>
      <c r="S149" s="49" t="s">
        <v>31916</v>
      </c>
      <c r="T149" s="49" t="s">
        <v>31919</v>
      </c>
    </row>
    <row r="150" spans="1:21" x14ac:dyDescent="0.2">
      <c r="A150" s="49" t="s">
        <v>30</v>
      </c>
      <c r="D150" s="49" t="s">
        <v>639</v>
      </c>
      <c r="G150" s="49" t="s">
        <v>14199</v>
      </c>
      <c r="H150" s="49" t="s">
        <v>640</v>
      </c>
      <c r="I150" s="49" t="s">
        <v>641</v>
      </c>
      <c r="J150" s="49" t="s">
        <v>642</v>
      </c>
      <c r="K150" s="49" t="s">
        <v>643</v>
      </c>
      <c r="L150" s="49" t="s">
        <v>644</v>
      </c>
      <c r="M150" s="49" t="s">
        <v>645</v>
      </c>
      <c r="N150" s="49" t="s">
        <v>646</v>
      </c>
      <c r="O150" s="49" t="s">
        <v>3016</v>
      </c>
      <c r="P150" s="49" t="s">
        <v>3017</v>
      </c>
      <c r="Q150" s="49" t="s">
        <v>3018</v>
      </c>
      <c r="R150" s="49" t="s">
        <v>3019</v>
      </c>
      <c r="S150" s="49" t="s">
        <v>3020</v>
      </c>
      <c r="T150" s="49" t="s">
        <v>3021</v>
      </c>
    </row>
    <row r="151" spans="1:21" x14ac:dyDescent="0.2">
      <c r="A151" s="49" t="s">
        <v>30</v>
      </c>
    </row>
    <row r="152" spans="1:21" x14ac:dyDescent="0.2">
      <c r="A152" s="49" t="s">
        <v>30</v>
      </c>
      <c r="E152" s="49" t="s">
        <v>31</v>
      </c>
      <c r="F152" s="49" t="s">
        <v>31</v>
      </c>
      <c r="G152" s="49" t="s">
        <v>31</v>
      </c>
      <c r="J152" s="49" t="s">
        <v>31</v>
      </c>
      <c r="K152" s="49" t="s">
        <v>31</v>
      </c>
      <c r="L152" s="49" t="s">
        <v>31</v>
      </c>
      <c r="M152" s="49" t="s">
        <v>31</v>
      </c>
    </row>
    <row r="153" spans="1:21" x14ac:dyDescent="0.2">
      <c r="A153" s="49" t="s">
        <v>30</v>
      </c>
      <c r="D153" s="49" t="s">
        <v>10031</v>
      </c>
      <c r="E153" s="49" t="s">
        <v>4565</v>
      </c>
      <c r="F153" s="49" t="s">
        <v>10032</v>
      </c>
      <c r="H153" s="49" t="s">
        <v>10033</v>
      </c>
      <c r="O153" s="49" t="s">
        <v>14200</v>
      </c>
      <c r="P153" s="49" t="s">
        <v>14201</v>
      </c>
      <c r="Q153" s="49" t="s">
        <v>14202</v>
      </c>
      <c r="R153" s="49" t="s">
        <v>14203</v>
      </c>
      <c r="S153" s="49" t="s">
        <v>14204</v>
      </c>
      <c r="T153" s="49" t="s">
        <v>14205</v>
      </c>
      <c r="U153" s="49" t="s">
        <v>14206</v>
      </c>
    </row>
    <row r="154" spans="1:21" x14ac:dyDescent="0.2">
      <c r="A154" s="49" t="s">
        <v>30</v>
      </c>
      <c r="D154" s="49" t="s">
        <v>671</v>
      </c>
      <c r="G154" s="49" t="s">
        <v>14207</v>
      </c>
      <c r="H154" s="49" t="s">
        <v>672</v>
      </c>
      <c r="I154" s="49" t="s">
        <v>673</v>
      </c>
      <c r="J154" s="49" t="s">
        <v>674</v>
      </c>
      <c r="K154" s="49" t="s">
        <v>675</v>
      </c>
      <c r="L154" s="49" t="s">
        <v>676</v>
      </c>
      <c r="M154" s="49" t="s">
        <v>677</v>
      </c>
      <c r="N154" s="49" t="s">
        <v>678</v>
      </c>
      <c r="O154" s="49" t="s">
        <v>12840</v>
      </c>
      <c r="P154" s="49" t="s">
        <v>12842</v>
      </c>
      <c r="Q154" s="49" t="s">
        <v>12844</v>
      </c>
      <c r="R154" s="49" t="s">
        <v>12846</v>
      </c>
      <c r="S154" s="49" t="s">
        <v>12848</v>
      </c>
      <c r="T154" s="49" t="s">
        <v>12850</v>
      </c>
    </row>
    <row r="155" spans="1:21" x14ac:dyDescent="0.2">
      <c r="A155" s="49" t="s">
        <v>30</v>
      </c>
      <c r="D155" s="49" t="s">
        <v>679</v>
      </c>
      <c r="G155" s="49" t="s">
        <v>14208</v>
      </c>
      <c r="H155" s="49" t="s">
        <v>680</v>
      </c>
      <c r="I155" s="49" t="s">
        <v>681</v>
      </c>
      <c r="J155" s="49" t="s">
        <v>682</v>
      </c>
      <c r="K155" s="49" t="s">
        <v>683</v>
      </c>
      <c r="L155" s="49" t="s">
        <v>684</v>
      </c>
      <c r="M155" s="49" t="s">
        <v>685</v>
      </c>
      <c r="N155" s="49" t="s">
        <v>686</v>
      </c>
      <c r="O155" s="49" t="s">
        <v>12841</v>
      </c>
      <c r="P155" s="49" t="s">
        <v>12843</v>
      </c>
      <c r="Q155" s="49" t="s">
        <v>12845</v>
      </c>
      <c r="R155" s="49" t="s">
        <v>12847</v>
      </c>
      <c r="S155" s="49" t="s">
        <v>12849</v>
      </c>
      <c r="T155" s="49" t="s">
        <v>12851</v>
      </c>
    </row>
    <row r="156" spans="1:21" x14ac:dyDescent="0.2">
      <c r="A156" s="49" t="s">
        <v>30</v>
      </c>
      <c r="D156" s="49" t="s">
        <v>14209</v>
      </c>
      <c r="G156" s="49" t="s">
        <v>14210</v>
      </c>
      <c r="H156" s="49" t="s">
        <v>31878</v>
      </c>
      <c r="I156" s="49" t="s">
        <v>31879</v>
      </c>
      <c r="J156" s="49" t="s">
        <v>31898</v>
      </c>
      <c r="K156" s="49" t="s">
        <v>31899</v>
      </c>
      <c r="L156" s="49" t="s">
        <v>14211</v>
      </c>
      <c r="M156" s="49" t="s">
        <v>14212</v>
      </c>
      <c r="N156" s="49" t="s">
        <v>14213</v>
      </c>
      <c r="O156" s="49" t="s">
        <v>31880</v>
      </c>
      <c r="P156" s="49" t="s">
        <v>31883</v>
      </c>
      <c r="Q156" s="49" t="s">
        <v>31886</v>
      </c>
      <c r="R156" s="49" t="s">
        <v>31889</v>
      </c>
      <c r="S156" s="49" t="s">
        <v>31892</v>
      </c>
      <c r="T156" s="49" t="s">
        <v>31895</v>
      </c>
    </row>
    <row r="157" spans="1:21" x14ac:dyDescent="0.2">
      <c r="A157" s="49" t="s">
        <v>30</v>
      </c>
      <c r="D157" s="49" t="s">
        <v>1977</v>
      </c>
      <c r="G157" s="49" t="s">
        <v>14214</v>
      </c>
      <c r="H157" s="49" t="s">
        <v>1978</v>
      </c>
      <c r="I157" s="49" t="s">
        <v>1979</v>
      </c>
      <c r="J157" s="49" t="s">
        <v>1980</v>
      </c>
      <c r="K157" s="49" t="s">
        <v>1981</v>
      </c>
      <c r="L157" s="49" t="s">
        <v>1982</v>
      </c>
      <c r="M157" s="49" t="s">
        <v>1983</v>
      </c>
      <c r="N157" s="49" t="s">
        <v>1984</v>
      </c>
      <c r="O157" s="49" t="s">
        <v>31881</v>
      </c>
      <c r="P157" s="49" t="s">
        <v>31884</v>
      </c>
      <c r="Q157" s="49" t="s">
        <v>31887</v>
      </c>
      <c r="R157" s="49" t="s">
        <v>31890</v>
      </c>
      <c r="S157" s="49" t="s">
        <v>31893</v>
      </c>
      <c r="T157" s="49" t="s">
        <v>31896</v>
      </c>
    </row>
    <row r="158" spans="1:21" x14ac:dyDescent="0.2">
      <c r="A158" s="49" t="s">
        <v>30</v>
      </c>
      <c r="D158" s="49" t="s">
        <v>1985</v>
      </c>
      <c r="G158" s="49" t="s">
        <v>14215</v>
      </c>
      <c r="H158" s="49" t="s">
        <v>1986</v>
      </c>
      <c r="I158" s="49" t="s">
        <v>1987</v>
      </c>
      <c r="J158" s="49" t="s">
        <v>1988</v>
      </c>
      <c r="K158" s="49" t="s">
        <v>1989</v>
      </c>
      <c r="L158" s="49" t="s">
        <v>1990</v>
      </c>
      <c r="M158" s="49" t="s">
        <v>1991</v>
      </c>
      <c r="N158" s="49" t="s">
        <v>1992</v>
      </c>
      <c r="O158" s="49" t="s">
        <v>31882</v>
      </c>
      <c r="P158" s="49" t="s">
        <v>31885</v>
      </c>
      <c r="Q158" s="49" t="s">
        <v>31888</v>
      </c>
      <c r="R158" s="49" t="s">
        <v>31891</v>
      </c>
      <c r="S158" s="49" t="s">
        <v>31894</v>
      </c>
      <c r="T158" s="49" t="s">
        <v>31897</v>
      </c>
    </row>
    <row r="159" spans="1:21" x14ac:dyDescent="0.2">
      <c r="A159" s="49" t="s">
        <v>30</v>
      </c>
      <c r="D159" s="49" t="s">
        <v>690</v>
      </c>
      <c r="G159" s="49" t="s">
        <v>14216</v>
      </c>
      <c r="H159" s="49" t="s">
        <v>691</v>
      </c>
      <c r="I159" s="49" t="s">
        <v>692</v>
      </c>
      <c r="J159" s="49" t="s">
        <v>693</v>
      </c>
      <c r="K159" s="49" t="s">
        <v>694</v>
      </c>
      <c r="L159" s="49" t="s">
        <v>695</v>
      </c>
      <c r="M159" s="49" t="s">
        <v>696</v>
      </c>
      <c r="N159" s="49" t="s">
        <v>697</v>
      </c>
      <c r="O159" s="49" t="s">
        <v>3022</v>
      </c>
      <c r="P159" s="49" t="s">
        <v>3023</v>
      </c>
      <c r="Q159" s="49" t="s">
        <v>3024</v>
      </c>
      <c r="R159" s="49" t="s">
        <v>3025</v>
      </c>
      <c r="S159" s="49" t="s">
        <v>3026</v>
      </c>
      <c r="T159" s="49" t="s">
        <v>3027</v>
      </c>
    </row>
    <row r="160" spans="1:21" x14ac:dyDescent="0.2">
      <c r="A160" s="49" t="s">
        <v>30</v>
      </c>
      <c r="D160" s="49" t="s">
        <v>698</v>
      </c>
      <c r="G160" s="49" t="s">
        <v>14217</v>
      </c>
      <c r="H160" s="49" t="s">
        <v>699</v>
      </c>
      <c r="I160" s="49" t="s">
        <v>700</v>
      </c>
      <c r="J160" s="49" t="s">
        <v>701</v>
      </c>
      <c r="K160" s="49" t="s">
        <v>702</v>
      </c>
      <c r="L160" s="49" t="s">
        <v>703</v>
      </c>
      <c r="M160" s="49" t="s">
        <v>704</v>
      </c>
      <c r="N160" s="49" t="s">
        <v>705</v>
      </c>
      <c r="O160" s="49" t="s">
        <v>3028</v>
      </c>
      <c r="P160" s="49" t="s">
        <v>3029</v>
      </c>
      <c r="Q160" s="49" t="s">
        <v>3030</v>
      </c>
      <c r="R160" s="49" t="s">
        <v>3031</v>
      </c>
      <c r="S160" s="49" t="s">
        <v>3032</v>
      </c>
      <c r="T160" s="49" t="s">
        <v>3033</v>
      </c>
    </row>
    <row r="161" spans="1:21" x14ac:dyDescent="0.2">
      <c r="A161" s="49" t="s">
        <v>30</v>
      </c>
      <c r="D161" s="49" t="s">
        <v>706</v>
      </c>
      <c r="G161" s="49" t="s">
        <v>14218</v>
      </c>
      <c r="H161" s="49" t="s">
        <v>707</v>
      </c>
      <c r="I161" s="49" t="s">
        <v>708</v>
      </c>
      <c r="J161" s="49" t="s">
        <v>709</v>
      </c>
      <c r="K161" s="49" t="s">
        <v>710</v>
      </c>
      <c r="L161" s="49" t="s">
        <v>711</v>
      </c>
      <c r="M161" s="49" t="s">
        <v>712</v>
      </c>
      <c r="N161" s="49" t="s">
        <v>713</v>
      </c>
      <c r="O161" s="49" t="s">
        <v>3034</v>
      </c>
      <c r="P161" s="49" t="s">
        <v>3035</v>
      </c>
      <c r="Q161" s="49" t="s">
        <v>3036</v>
      </c>
      <c r="R161" s="49" t="s">
        <v>3037</v>
      </c>
      <c r="S161" s="49" t="s">
        <v>3038</v>
      </c>
      <c r="T161" s="49" t="s">
        <v>3039</v>
      </c>
    </row>
    <row r="162" spans="1:21" x14ac:dyDescent="0.2">
      <c r="A162" s="49" t="s">
        <v>30</v>
      </c>
    </row>
    <row r="163" spans="1:21" x14ac:dyDescent="0.2">
      <c r="A163" s="49" t="s">
        <v>30</v>
      </c>
      <c r="E163" s="49" t="s">
        <v>31</v>
      </c>
      <c r="F163" s="49" t="s">
        <v>31</v>
      </c>
      <c r="G163" s="49" t="s">
        <v>31</v>
      </c>
      <c r="J163" s="49" t="s">
        <v>31</v>
      </c>
      <c r="K163" s="49" t="s">
        <v>31</v>
      </c>
      <c r="L163" s="49" t="s">
        <v>31</v>
      </c>
      <c r="M163" s="49" t="s">
        <v>31</v>
      </c>
    </row>
    <row r="164" spans="1:21" x14ac:dyDescent="0.2">
      <c r="A164" s="49" t="s">
        <v>30</v>
      </c>
      <c r="D164" s="49" t="s">
        <v>4488</v>
      </c>
      <c r="E164" s="49" t="s">
        <v>4566</v>
      </c>
      <c r="F164" s="49" t="s">
        <v>4489</v>
      </c>
      <c r="H164" s="49" t="s">
        <v>4490</v>
      </c>
      <c r="O164" s="49" t="s">
        <v>14219</v>
      </c>
      <c r="P164" s="49" t="s">
        <v>14220</v>
      </c>
      <c r="Q164" s="49" t="s">
        <v>14221</v>
      </c>
      <c r="R164" s="49" t="s">
        <v>14222</v>
      </c>
      <c r="S164" s="49" t="s">
        <v>14223</v>
      </c>
      <c r="T164" s="49" t="s">
        <v>14224</v>
      </c>
      <c r="U164" s="49" t="s">
        <v>14225</v>
      </c>
    </row>
    <row r="165" spans="1:21" x14ac:dyDescent="0.2">
      <c r="A165" s="49" t="s">
        <v>30</v>
      </c>
      <c r="D165" s="49" t="s">
        <v>2832</v>
      </c>
      <c r="G165" s="49" t="s">
        <v>14226</v>
      </c>
      <c r="H165" s="49" t="s">
        <v>2833</v>
      </c>
      <c r="I165" s="49" t="s">
        <v>2834</v>
      </c>
      <c r="J165" s="49" t="s">
        <v>2835</v>
      </c>
      <c r="K165" s="49" t="s">
        <v>2836</v>
      </c>
      <c r="L165" s="49" t="s">
        <v>2837</v>
      </c>
      <c r="M165" s="49" t="s">
        <v>2838</v>
      </c>
      <c r="N165" s="49" t="s">
        <v>2839</v>
      </c>
      <c r="O165" s="49" t="s">
        <v>12828</v>
      </c>
      <c r="P165" s="49" t="s">
        <v>12830</v>
      </c>
      <c r="Q165" s="49" t="s">
        <v>12832</v>
      </c>
      <c r="R165" s="49" t="s">
        <v>12834</v>
      </c>
      <c r="S165" s="49" t="s">
        <v>12836</v>
      </c>
      <c r="T165" s="49" t="s">
        <v>12838</v>
      </c>
    </row>
    <row r="166" spans="1:21" x14ac:dyDescent="0.2">
      <c r="A166" s="49" t="s">
        <v>30</v>
      </c>
      <c r="D166" s="49" t="s">
        <v>2581</v>
      </c>
      <c r="G166" s="49" t="s">
        <v>14227</v>
      </c>
      <c r="H166" s="49" t="s">
        <v>2582</v>
      </c>
      <c r="I166" s="49" t="s">
        <v>2583</v>
      </c>
      <c r="J166" s="49" t="s">
        <v>2584</v>
      </c>
      <c r="K166" s="49" t="s">
        <v>2585</v>
      </c>
      <c r="L166" s="49" t="s">
        <v>2586</v>
      </c>
      <c r="M166" s="49" t="s">
        <v>2587</v>
      </c>
      <c r="N166" s="49" t="s">
        <v>2588</v>
      </c>
      <c r="O166" s="49" t="s">
        <v>12829</v>
      </c>
      <c r="P166" s="49" t="s">
        <v>12831</v>
      </c>
      <c r="Q166" s="49" t="s">
        <v>12833</v>
      </c>
      <c r="R166" s="49" t="s">
        <v>12835</v>
      </c>
      <c r="S166" s="49" t="s">
        <v>12837</v>
      </c>
      <c r="T166" s="49" t="s">
        <v>12839</v>
      </c>
    </row>
    <row r="167" spans="1:21" x14ac:dyDescent="0.2">
      <c r="A167" s="49" t="s">
        <v>30</v>
      </c>
      <c r="D167" s="49" t="s">
        <v>730</v>
      </c>
      <c r="G167" s="49" t="s">
        <v>14228</v>
      </c>
      <c r="H167" s="49" t="s">
        <v>731</v>
      </c>
      <c r="I167" s="49" t="s">
        <v>732</v>
      </c>
      <c r="J167" s="49" t="s">
        <v>733</v>
      </c>
      <c r="K167" s="49" t="s">
        <v>734</v>
      </c>
      <c r="L167" s="49" t="s">
        <v>735</v>
      </c>
      <c r="M167" s="49" t="s">
        <v>736</v>
      </c>
      <c r="N167" s="49" t="s">
        <v>737</v>
      </c>
      <c r="O167" s="49" t="s">
        <v>3040</v>
      </c>
      <c r="P167" s="49" t="s">
        <v>3041</v>
      </c>
      <c r="Q167" s="49" t="s">
        <v>3042</v>
      </c>
      <c r="R167" s="49" t="s">
        <v>3043</v>
      </c>
      <c r="S167" s="49" t="s">
        <v>3044</v>
      </c>
      <c r="T167" s="49" t="s">
        <v>3045</v>
      </c>
    </row>
    <row r="168" spans="1:21" x14ac:dyDescent="0.2">
      <c r="A168" s="49" t="s">
        <v>30</v>
      </c>
      <c r="D168" s="49" t="s">
        <v>14229</v>
      </c>
      <c r="G168" s="49" t="s">
        <v>14230</v>
      </c>
      <c r="H168" s="49" t="s">
        <v>31856</v>
      </c>
      <c r="I168" s="49" t="s">
        <v>31857</v>
      </c>
      <c r="J168" s="49" t="s">
        <v>31876</v>
      </c>
      <c r="K168" s="49" t="s">
        <v>31877</v>
      </c>
      <c r="L168" s="49" t="s">
        <v>14231</v>
      </c>
      <c r="M168" s="49" t="s">
        <v>14232</v>
      </c>
      <c r="N168" s="49" t="s">
        <v>14233</v>
      </c>
      <c r="O168" s="49" t="s">
        <v>31858</v>
      </c>
      <c r="P168" s="49" t="s">
        <v>31861</v>
      </c>
      <c r="Q168" s="49" t="s">
        <v>31864</v>
      </c>
      <c r="R168" s="49" t="s">
        <v>31867</v>
      </c>
      <c r="S168" s="49" t="s">
        <v>31870</v>
      </c>
      <c r="T168" s="49" t="s">
        <v>31873</v>
      </c>
    </row>
    <row r="169" spans="1:21" x14ac:dyDescent="0.2">
      <c r="A169" s="49" t="s">
        <v>30</v>
      </c>
      <c r="D169" s="49" t="s">
        <v>738</v>
      </c>
      <c r="G169" s="49" t="s">
        <v>14234</v>
      </c>
      <c r="H169" s="49" t="s">
        <v>739</v>
      </c>
      <c r="I169" s="49" t="s">
        <v>740</v>
      </c>
      <c r="J169" s="49" t="s">
        <v>741</v>
      </c>
      <c r="K169" s="49" t="s">
        <v>742</v>
      </c>
      <c r="L169" s="49" t="s">
        <v>743</v>
      </c>
      <c r="M169" s="49" t="s">
        <v>744</v>
      </c>
      <c r="N169" s="49" t="s">
        <v>745</v>
      </c>
      <c r="O169" s="49" t="s">
        <v>31859</v>
      </c>
      <c r="P169" s="49" t="s">
        <v>31862</v>
      </c>
      <c r="Q169" s="49" t="s">
        <v>31865</v>
      </c>
      <c r="R169" s="49" t="s">
        <v>31868</v>
      </c>
      <c r="S169" s="49" t="s">
        <v>31871</v>
      </c>
      <c r="T169" s="49" t="s">
        <v>31874</v>
      </c>
    </row>
    <row r="170" spans="1:21" x14ac:dyDescent="0.2">
      <c r="A170" s="49" t="s">
        <v>30</v>
      </c>
      <c r="D170" s="49" t="s">
        <v>746</v>
      </c>
      <c r="G170" s="49" t="s">
        <v>14235</v>
      </c>
      <c r="H170" s="49" t="s">
        <v>747</v>
      </c>
      <c r="I170" s="49" t="s">
        <v>748</v>
      </c>
      <c r="J170" s="49" t="s">
        <v>749</v>
      </c>
      <c r="K170" s="49" t="s">
        <v>750</v>
      </c>
      <c r="L170" s="49" t="s">
        <v>751</v>
      </c>
      <c r="M170" s="49" t="s">
        <v>752</v>
      </c>
      <c r="N170" s="49" t="s">
        <v>753</v>
      </c>
      <c r="O170" s="49" t="s">
        <v>31860</v>
      </c>
      <c r="P170" s="49" t="s">
        <v>31863</v>
      </c>
      <c r="Q170" s="49" t="s">
        <v>31866</v>
      </c>
      <c r="R170" s="49" t="s">
        <v>31869</v>
      </c>
      <c r="S170" s="49" t="s">
        <v>31872</v>
      </c>
      <c r="T170" s="49" t="s">
        <v>31875</v>
      </c>
    </row>
    <row r="171" spans="1:21" x14ac:dyDescent="0.2">
      <c r="A171" s="49" t="s">
        <v>30</v>
      </c>
      <c r="D171" s="49" t="s">
        <v>4620</v>
      </c>
      <c r="G171" s="49" t="s">
        <v>14236</v>
      </c>
      <c r="H171" s="49" t="s">
        <v>4621</v>
      </c>
      <c r="I171" s="49" t="s">
        <v>4622</v>
      </c>
      <c r="J171" s="49" t="s">
        <v>4623</v>
      </c>
      <c r="K171" s="49" t="s">
        <v>4624</v>
      </c>
      <c r="L171" s="49" t="s">
        <v>4625</v>
      </c>
      <c r="M171" s="49" t="s">
        <v>4626</v>
      </c>
      <c r="N171" s="49" t="s">
        <v>4627</v>
      </c>
      <c r="O171" s="49" t="s">
        <v>4628</v>
      </c>
      <c r="P171" s="49" t="s">
        <v>4629</v>
      </c>
      <c r="Q171" s="49" t="s">
        <v>4630</v>
      </c>
      <c r="R171" s="49" t="s">
        <v>4631</v>
      </c>
      <c r="S171" s="49" t="s">
        <v>4632</v>
      </c>
      <c r="T171" s="49" t="s">
        <v>4633</v>
      </c>
    </row>
    <row r="172" spans="1:21" x14ac:dyDescent="0.2">
      <c r="A172" s="49" t="s">
        <v>30</v>
      </c>
      <c r="D172" s="49" t="s">
        <v>4634</v>
      </c>
      <c r="G172" s="49" t="s">
        <v>14237</v>
      </c>
      <c r="H172" s="49" t="s">
        <v>4635</v>
      </c>
      <c r="I172" s="49" t="s">
        <v>4636</v>
      </c>
      <c r="J172" s="49" t="s">
        <v>4637</v>
      </c>
      <c r="K172" s="49" t="s">
        <v>4638</v>
      </c>
      <c r="L172" s="49" t="s">
        <v>4639</v>
      </c>
      <c r="M172" s="49" t="s">
        <v>4640</v>
      </c>
      <c r="N172" s="49" t="s">
        <v>4641</v>
      </c>
      <c r="O172" s="49" t="s">
        <v>4642</v>
      </c>
      <c r="P172" s="49" t="s">
        <v>4643</v>
      </c>
      <c r="Q172" s="49" t="s">
        <v>4644</v>
      </c>
      <c r="R172" s="49" t="s">
        <v>4645</v>
      </c>
      <c r="S172" s="49" t="s">
        <v>4646</v>
      </c>
      <c r="T172" s="49" t="s">
        <v>4647</v>
      </c>
    </row>
    <row r="173" spans="1:21" x14ac:dyDescent="0.2">
      <c r="A173" s="49" t="s">
        <v>30</v>
      </c>
      <c r="D173" s="49" t="s">
        <v>2672</v>
      </c>
      <c r="G173" s="49" t="s">
        <v>14238</v>
      </c>
      <c r="H173" s="49" t="s">
        <v>2673</v>
      </c>
      <c r="I173" s="49" t="s">
        <v>2674</v>
      </c>
      <c r="J173" s="49" t="s">
        <v>2675</v>
      </c>
      <c r="K173" s="49" t="s">
        <v>2676</v>
      </c>
      <c r="L173" s="49" t="s">
        <v>2677</v>
      </c>
      <c r="M173" s="49" t="s">
        <v>2678</v>
      </c>
      <c r="N173" s="49" t="s">
        <v>2679</v>
      </c>
      <c r="O173" s="49" t="s">
        <v>4648</v>
      </c>
      <c r="P173" s="49" t="s">
        <v>4649</v>
      </c>
      <c r="Q173" s="49" t="s">
        <v>4650</v>
      </c>
      <c r="R173" s="49" t="s">
        <v>4651</v>
      </c>
      <c r="S173" s="49" t="s">
        <v>4652</v>
      </c>
      <c r="T173" s="49" t="s">
        <v>4653</v>
      </c>
    </row>
    <row r="174" spans="1:21" x14ac:dyDescent="0.2">
      <c r="A174" s="49" t="s">
        <v>30</v>
      </c>
    </row>
    <row r="175" spans="1:21" x14ac:dyDescent="0.2">
      <c r="A175" s="49" t="s">
        <v>30</v>
      </c>
      <c r="E175" s="49" t="s">
        <v>31</v>
      </c>
      <c r="F175" s="49" t="s">
        <v>31</v>
      </c>
      <c r="G175" s="49" t="s">
        <v>31</v>
      </c>
      <c r="J175" s="49" t="s">
        <v>31</v>
      </c>
      <c r="K175" s="49" t="s">
        <v>31</v>
      </c>
      <c r="L175" s="49" t="s">
        <v>31</v>
      </c>
      <c r="M175" s="49" t="s">
        <v>31</v>
      </c>
    </row>
    <row r="176" spans="1:21" x14ac:dyDescent="0.2">
      <c r="A176" s="49" t="s">
        <v>30</v>
      </c>
      <c r="D176" s="49" t="s">
        <v>14239</v>
      </c>
      <c r="E176" s="49" t="s">
        <v>4567</v>
      </c>
      <c r="F176" s="49" t="s">
        <v>14240</v>
      </c>
      <c r="H176" s="49" t="s">
        <v>14241</v>
      </c>
      <c r="O176" s="49" t="s">
        <v>14242</v>
      </c>
      <c r="P176" s="49" t="s">
        <v>14243</v>
      </c>
      <c r="Q176" s="49" t="s">
        <v>14244</v>
      </c>
      <c r="R176" s="49" t="s">
        <v>14245</v>
      </c>
      <c r="S176" s="49" t="s">
        <v>14246</v>
      </c>
      <c r="T176" s="49" t="s">
        <v>14247</v>
      </c>
      <c r="U176" s="49" t="s">
        <v>14248</v>
      </c>
    </row>
    <row r="177" spans="1:21" x14ac:dyDescent="0.2">
      <c r="A177" s="49" t="s">
        <v>30</v>
      </c>
      <c r="D177" s="49" t="s">
        <v>762</v>
      </c>
      <c r="G177" s="49" t="s">
        <v>14249</v>
      </c>
      <c r="H177" s="49" t="s">
        <v>763</v>
      </c>
      <c r="I177" s="49" t="s">
        <v>764</v>
      </c>
      <c r="J177" s="49" t="s">
        <v>765</v>
      </c>
      <c r="K177" s="49" t="s">
        <v>766</v>
      </c>
      <c r="L177" s="49" t="s">
        <v>767</v>
      </c>
      <c r="M177" s="49" t="s">
        <v>768</v>
      </c>
      <c r="N177" s="49" t="s">
        <v>769</v>
      </c>
      <c r="O177" s="49" t="s">
        <v>12822</v>
      </c>
      <c r="P177" s="49" t="s">
        <v>12823</v>
      </c>
      <c r="Q177" s="49" t="s">
        <v>12824</v>
      </c>
      <c r="R177" s="49" t="s">
        <v>12825</v>
      </c>
      <c r="S177" s="49" t="s">
        <v>12826</v>
      </c>
      <c r="T177" s="49" t="s">
        <v>12827</v>
      </c>
    </row>
    <row r="178" spans="1:21" x14ac:dyDescent="0.2">
      <c r="A178" s="49" t="s">
        <v>30</v>
      </c>
      <c r="D178" s="49" t="s">
        <v>770</v>
      </c>
      <c r="G178" s="49" t="s">
        <v>14250</v>
      </c>
      <c r="H178" s="49" t="s">
        <v>771</v>
      </c>
      <c r="I178" s="49" t="s">
        <v>772</v>
      </c>
      <c r="J178" s="49" t="s">
        <v>773</v>
      </c>
      <c r="K178" s="49" t="s">
        <v>774</v>
      </c>
      <c r="L178" s="49" t="s">
        <v>775</v>
      </c>
      <c r="M178" s="49" t="s">
        <v>776</v>
      </c>
      <c r="N178" s="49" t="s">
        <v>777</v>
      </c>
      <c r="O178" s="49" t="s">
        <v>3046</v>
      </c>
      <c r="P178" s="49" t="s">
        <v>3047</v>
      </c>
      <c r="Q178" s="49" t="s">
        <v>3048</v>
      </c>
      <c r="R178" s="49" t="s">
        <v>3049</v>
      </c>
      <c r="S178" s="49" t="s">
        <v>3050</v>
      </c>
      <c r="T178" s="49" t="s">
        <v>3051</v>
      </c>
    </row>
    <row r="179" spans="1:21" x14ac:dyDescent="0.2">
      <c r="A179" s="49" t="s">
        <v>30</v>
      </c>
      <c r="D179" s="49" t="s">
        <v>778</v>
      </c>
      <c r="G179" s="49" t="s">
        <v>14251</v>
      </c>
      <c r="H179" s="49" t="s">
        <v>779</v>
      </c>
      <c r="I179" s="49" t="s">
        <v>780</v>
      </c>
      <c r="J179" s="49" t="s">
        <v>781</v>
      </c>
      <c r="K179" s="49" t="s">
        <v>782</v>
      </c>
      <c r="L179" s="49" t="s">
        <v>783</v>
      </c>
      <c r="M179" s="49" t="s">
        <v>784</v>
      </c>
      <c r="N179" s="49" t="s">
        <v>785</v>
      </c>
      <c r="O179" s="49" t="s">
        <v>3052</v>
      </c>
      <c r="P179" s="49" t="s">
        <v>3053</v>
      </c>
      <c r="Q179" s="49" t="s">
        <v>3054</v>
      </c>
      <c r="R179" s="49" t="s">
        <v>3055</v>
      </c>
      <c r="S179" s="49" t="s">
        <v>3056</v>
      </c>
      <c r="T179" s="49" t="s">
        <v>3057</v>
      </c>
    </row>
    <row r="180" spans="1:21" x14ac:dyDescent="0.2">
      <c r="A180" s="49" t="s">
        <v>30</v>
      </c>
      <c r="D180" s="49" t="s">
        <v>786</v>
      </c>
      <c r="G180" s="49" t="s">
        <v>14252</v>
      </c>
      <c r="H180" s="49" t="s">
        <v>787</v>
      </c>
      <c r="I180" s="49" t="s">
        <v>788</v>
      </c>
      <c r="J180" s="49" t="s">
        <v>789</v>
      </c>
      <c r="K180" s="49" t="s">
        <v>790</v>
      </c>
      <c r="L180" s="49" t="s">
        <v>791</v>
      </c>
      <c r="M180" s="49" t="s">
        <v>792</v>
      </c>
      <c r="N180" s="49" t="s">
        <v>793</v>
      </c>
      <c r="O180" s="49" t="s">
        <v>3058</v>
      </c>
      <c r="P180" s="49" t="s">
        <v>3059</v>
      </c>
      <c r="Q180" s="49" t="s">
        <v>3060</v>
      </c>
      <c r="R180" s="49" t="s">
        <v>3061</v>
      </c>
      <c r="S180" s="49" t="s">
        <v>3062</v>
      </c>
      <c r="T180" s="49" t="s">
        <v>3063</v>
      </c>
    </row>
    <row r="181" spans="1:21" x14ac:dyDescent="0.2">
      <c r="A181" s="49" t="s">
        <v>30</v>
      </c>
      <c r="D181" s="49" t="s">
        <v>794</v>
      </c>
      <c r="G181" s="49" t="s">
        <v>14253</v>
      </c>
      <c r="H181" s="49" t="s">
        <v>795</v>
      </c>
      <c r="I181" s="49" t="s">
        <v>796</v>
      </c>
      <c r="J181" s="49" t="s">
        <v>797</v>
      </c>
      <c r="K181" s="49" t="s">
        <v>798</v>
      </c>
      <c r="L181" s="49" t="s">
        <v>799</v>
      </c>
      <c r="M181" s="49" t="s">
        <v>800</v>
      </c>
      <c r="N181" s="49" t="s">
        <v>801</v>
      </c>
      <c r="O181" s="49" t="s">
        <v>3064</v>
      </c>
      <c r="P181" s="49" t="s">
        <v>3065</v>
      </c>
      <c r="Q181" s="49" t="s">
        <v>3066</v>
      </c>
      <c r="R181" s="49" t="s">
        <v>3067</v>
      </c>
      <c r="S181" s="49" t="s">
        <v>3068</v>
      </c>
      <c r="T181" s="49" t="s">
        <v>3069</v>
      </c>
    </row>
    <row r="182" spans="1:21" x14ac:dyDescent="0.2">
      <c r="A182" s="49" t="s">
        <v>30</v>
      </c>
      <c r="D182" s="49" t="s">
        <v>802</v>
      </c>
      <c r="G182" s="49" t="s">
        <v>14254</v>
      </c>
      <c r="H182" s="49" t="s">
        <v>803</v>
      </c>
      <c r="I182" s="49" t="s">
        <v>804</v>
      </c>
      <c r="J182" s="49" t="s">
        <v>805</v>
      </c>
      <c r="K182" s="49" t="s">
        <v>806</v>
      </c>
      <c r="L182" s="49" t="s">
        <v>807</v>
      </c>
      <c r="M182" s="49" t="s">
        <v>808</v>
      </c>
      <c r="N182" s="49" t="s">
        <v>809</v>
      </c>
      <c r="O182" s="49" t="s">
        <v>31838</v>
      </c>
      <c r="P182" s="49" t="s">
        <v>31841</v>
      </c>
      <c r="Q182" s="49" t="s">
        <v>31844</v>
      </c>
      <c r="R182" s="49" t="s">
        <v>31847</v>
      </c>
      <c r="S182" s="49" t="s">
        <v>31850</v>
      </c>
      <c r="T182" s="49" t="s">
        <v>31853</v>
      </c>
    </row>
    <row r="183" spans="1:21" x14ac:dyDescent="0.2">
      <c r="A183" s="49" t="s">
        <v>30</v>
      </c>
      <c r="D183" s="49" t="s">
        <v>810</v>
      </c>
      <c r="G183" s="49" t="s">
        <v>14255</v>
      </c>
      <c r="H183" s="49" t="s">
        <v>811</v>
      </c>
      <c r="I183" s="49" t="s">
        <v>812</v>
      </c>
      <c r="J183" s="49" t="s">
        <v>813</v>
      </c>
      <c r="K183" s="49" t="s">
        <v>814</v>
      </c>
      <c r="L183" s="49" t="s">
        <v>815</v>
      </c>
      <c r="M183" s="49" t="s">
        <v>816</v>
      </c>
      <c r="N183" s="49" t="s">
        <v>817</v>
      </c>
      <c r="O183" s="49" t="s">
        <v>31839</v>
      </c>
      <c r="P183" s="49" t="s">
        <v>31842</v>
      </c>
      <c r="Q183" s="49" t="s">
        <v>31845</v>
      </c>
      <c r="R183" s="49" t="s">
        <v>31848</v>
      </c>
      <c r="S183" s="49" t="s">
        <v>31851</v>
      </c>
      <c r="T183" s="49" t="s">
        <v>31854</v>
      </c>
    </row>
    <row r="184" spans="1:21" x14ac:dyDescent="0.2">
      <c r="A184" s="49" t="s">
        <v>30</v>
      </c>
      <c r="D184" s="49" t="s">
        <v>4658</v>
      </c>
      <c r="G184" s="49" t="s">
        <v>14256</v>
      </c>
      <c r="H184" s="49" t="s">
        <v>4659</v>
      </c>
      <c r="I184" s="49" t="s">
        <v>4660</v>
      </c>
      <c r="J184" s="49" t="s">
        <v>4661</v>
      </c>
      <c r="K184" s="49" t="s">
        <v>4662</v>
      </c>
      <c r="L184" s="49" t="s">
        <v>4663</v>
      </c>
      <c r="M184" s="49" t="s">
        <v>4664</v>
      </c>
      <c r="N184" s="49" t="s">
        <v>4665</v>
      </c>
      <c r="O184" s="49" t="s">
        <v>31840</v>
      </c>
      <c r="P184" s="49" t="s">
        <v>31843</v>
      </c>
      <c r="Q184" s="49" t="s">
        <v>31846</v>
      </c>
      <c r="R184" s="49" t="s">
        <v>31849</v>
      </c>
      <c r="S184" s="49" t="s">
        <v>31852</v>
      </c>
      <c r="T184" s="49" t="s">
        <v>31855</v>
      </c>
    </row>
    <row r="185" spans="1:21" x14ac:dyDescent="0.2">
      <c r="A185" s="49" t="s">
        <v>30</v>
      </c>
    </row>
    <row r="186" spans="1:21" x14ac:dyDescent="0.2">
      <c r="A186" s="49" t="s">
        <v>30</v>
      </c>
      <c r="E186" s="49" t="s">
        <v>31</v>
      </c>
      <c r="F186" s="49" t="s">
        <v>31</v>
      </c>
      <c r="G186" s="49" t="s">
        <v>31</v>
      </c>
      <c r="J186" s="49" t="s">
        <v>31</v>
      </c>
      <c r="K186" s="49" t="s">
        <v>31</v>
      </c>
      <c r="L186" s="49" t="s">
        <v>31</v>
      </c>
      <c r="M186" s="49" t="s">
        <v>31</v>
      </c>
    </row>
    <row r="187" spans="1:21" x14ac:dyDescent="0.2">
      <c r="A187" s="49" t="s">
        <v>30</v>
      </c>
      <c r="D187" s="49" t="s">
        <v>14257</v>
      </c>
      <c r="E187" s="49" t="s">
        <v>14258</v>
      </c>
      <c r="F187" s="49" t="s">
        <v>14259</v>
      </c>
      <c r="H187" s="49" t="s">
        <v>14260</v>
      </c>
      <c r="O187" s="49" t="s">
        <v>14261</v>
      </c>
      <c r="P187" s="49" t="s">
        <v>14262</v>
      </c>
      <c r="Q187" s="49" t="s">
        <v>14263</v>
      </c>
      <c r="R187" s="49" t="s">
        <v>14264</v>
      </c>
      <c r="S187" s="49" t="s">
        <v>14265</v>
      </c>
      <c r="T187" s="49" t="s">
        <v>14266</v>
      </c>
      <c r="U187" s="49" t="s">
        <v>14267</v>
      </c>
    </row>
    <row r="188" spans="1:21" x14ac:dyDescent="0.2">
      <c r="A188" s="49" t="s">
        <v>30</v>
      </c>
      <c r="D188" s="49" t="s">
        <v>818</v>
      </c>
      <c r="G188" s="49" t="s">
        <v>14268</v>
      </c>
      <c r="H188" s="49" t="s">
        <v>819</v>
      </c>
      <c r="I188" s="49" t="s">
        <v>820</v>
      </c>
      <c r="J188" s="49" t="s">
        <v>821</v>
      </c>
      <c r="K188" s="49" t="s">
        <v>822</v>
      </c>
      <c r="L188" s="49" t="s">
        <v>823</v>
      </c>
      <c r="M188" s="49" t="s">
        <v>824</v>
      </c>
      <c r="N188" s="49" t="s">
        <v>825</v>
      </c>
      <c r="O188" s="49" t="s">
        <v>31814</v>
      </c>
      <c r="P188" s="49" t="s">
        <v>31818</v>
      </c>
      <c r="Q188" s="49" t="s">
        <v>31822</v>
      </c>
      <c r="R188" s="49" t="s">
        <v>31826</v>
      </c>
      <c r="S188" s="49" t="s">
        <v>31830</v>
      </c>
      <c r="T188" s="49" t="s">
        <v>31834</v>
      </c>
    </row>
    <row r="189" spans="1:21" x14ac:dyDescent="0.2">
      <c r="A189" s="49" t="s">
        <v>30</v>
      </c>
      <c r="D189" s="49" t="s">
        <v>826</v>
      </c>
      <c r="G189" s="49" t="s">
        <v>14269</v>
      </c>
      <c r="H189" s="49" t="s">
        <v>827</v>
      </c>
      <c r="I189" s="49" t="s">
        <v>828</v>
      </c>
      <c r="J189" s="49" t="s">
        <v>829</v>
      </c>
      <c r="K189" s="49" t="s">
        <v>830</v>
      </c>
      <c r="L189" s="49" t="s">
        <v>831</v>
      </c>
      <c r="M189" s="49" t="s">
        <v>832</v>
      </c>
      <c r="N189" s="49" t="s">
        <v>833</v>
      </c>
      <c r="O189" s="49" t="s">
        <v>31815</v>
      </c>
      <c r="P189" s="49" t="s">
        <v>31819</v>
      </c>
      <c r="Q189" s="49" t="s">
        <v>31823</v>
      </c>
      <c r="R189" s="49" t="s">
        <v>31827</v>
      </c>
      <c r="S189" s="49" t="s">
        <v>31831</v>
      </c>
      <c r="T189" s="49" t="s">
        <v>31835</v>
      </c>
    </row>
    <row r="190" spans="1:21" x14ac:dyDescent="0.2">
      <c r="A190" s="49" t="s">
        <v>30</v>
      </c>
      <c r="D190" s="49" t="s">
        <v>834</v>
      </c>
      <c r="G190" s="49" t="s">
        <v>14270</v>
      </c>
      <c r="H190" s="49" t="s">
        <v>835</v>
      </c>
      <c r="I190" s="49" t="s">
        <v>836</v>
      </c>
      <c r="J190" s="49" t="s">
        <v>837</v>
      </c>
      <c r="K190" s="49" t="s">
        <v>838</v>
      </c>
      <c r="L190" s="49" t="s">
        <v>839</v>
      </c>
      <c r="M190" s="49" t="s">
        <v>840</v>
      </c>
      <c r="N190" s="49" t="s">
        <v>841</v>
      </c>
      <c r="O190" s="49" t="s">
        <v>4398</v>
      </c>
      <c r="P190" s="49" t="s">
        <v>4399</v>
      </c>
      <c r="Q190" s="49" t="s">
        <v>4400</v>
      </c>
      <c r="R190" s="49" t="s">
        <v>4401</v>
      </c>
      <c r="S190" s="49" t="s">
        <v>4402</v>
      </c>
      <c r="T190" s="49" t="s">
        <v>4403</v>
      </c>
    </row>
    <row r="191" spans="1:21" x14ac:dyDescent="0.2">
      <c r="A191" s="49" t="s">
        <v>30</v>
      </c>
      <c r="D191" s="49" t="s">
        <v>842</v>
      </c>
      <c r="G191" s="49" t="s">
        <v>14271</v>
      </c>
      <c r="H191" s="49" t="s">
        <v>843</v>
      </c>
      <c r="I191" s="49" t="s">
        <v>844</v>
      </c>
      <c r="J191" s="49" t="s">
        <v>845</v>
      </c>
      <c r="K191" s="49" t="s">
        <v>846</v>
      </c>
      <c r="L191" s="49" t="s">
        <v>847</v>
      </c>
      <c r="M191" s="49" t="s">
        <v>848</v>
      </c>
      <c r="N191" s="49" t="s">
        <v>849</v>
      </c>
      <c r="O191" s="49" t="s">
        <v>4404</v>
      </c>
      <c r="P191" s="49" t="s">
        <v>4405</v>
      </c>
      <c r="Q191" s="49" t="s">
        <v>4406</v>
      </c>
      <c r="R191" s="49" t="s">
        <v>4407</v>
      </c>
      <c r="S191" s="49" t="s">
        <v>4408</v>
      </c>
      <c r="T191" s="49" t="s">
        <v>4409</v>
      </c>
    </row>
    <row r="192" spans="1:21" x14ac:dyDescent="0.2">
      <c r="A192" s="49" t="s">
        <v>30</v>
      </c>
      <c r="D192" s="49" t="s">
        <v>850</v>
      </c>
      <c r="G192" s="49" t="s">
        <v>14272</v>
      </c>
      <c r="H192" s="49" t="s">
        <v>851</v>
      </c>
      <c r="I192" s="49" t="s">
        <v>852</v>
      </c>
      <c r="J192" s="49" t="s">
        <v>853</v>
      </c>
      <c r="K192" s="49" t="s">
        <v>854</v>
      </c>
      <c r="L192" s="49" t="s">
        <v>855</v>
      </c>
      <c r="M192" s="49" t="s">
        <v>856</v>
      </c>
      <c r="N192" s="49" t="s">
        <v>857</v>
      </c>
      <c r="O192" s="49" t="s">
        <v>4410</v>
      </c>
      <c r="P192" s="49" t="s">
        <v>4411</v>
      </c>
      <c r="Q192" s="49" t="s">
        <v>4412</v>
      </c>
      <c r="R192" s="49" t="s">
        <v>4413</v>
      </c>
      <c r="S192" s="49" t="s">
        <v>4414</v>
      </c>
      <c r="T192" s="49" t="s">
        <v>4415</v>
      </c>
    </row>
    <row r="193" spans="1:21" x14ac:dyDescent="0.2">
      <c r="A193" s="49" t="s">
        <v>30</v>
      </c>
      <c r="D193" s="49" t="s">
        <v>2363</v>
      </c>
      <c r="G193" s="49" t="s">
        <v>14273</v>
      </c>
      <c r="H193" s="49" t="s">
        <v>2364</v>
      </c>
      <c r="I193" s="49" t="s">
        <v>2365</v>
      </c>
      <c r="J193" s="49" t="s">
        <v>2366</v>
      </c>
      <c r="K193" s="49" t="s">
        <v>2367</v>
      </c>
      <c r="L193" s="49" t="s">
        <v>2368</v>
      </c>
      <c r="M193" s="49" t="s">
        <v>2369</v>
      </c>
      <c r="N193" s="49" t="s">
        <v>2370</v>
      </c>
      <c r="O193" s="49" t="s">
        <v>3070</v>
      </c>
      <c r="P193" s="49" t="s">
        <v>3071</v>
      </c>
      <c r="Q193" s="49" t="s">
        <v>3072</v>
      </c>
      <c r="R193" s="49" t="s">
        <v>3073</v>
      </c>
      <c r="S193" s="49" t="s">
        <v>3074</v>
      </c>
      <c r="T193" s="49" t="s">
        <v>3075</v>
      </c>
    </row>
    <row r="194" spans="1:21" x14ac:dyDescent="0.2">
      <c r="A194" s="49" t="s">
        <v>30</v>
      </c>
      <c r="D194" s="49" t="s">
        <v>2001</v>
      </c>
      <c r="G194" s="49" t="s">
        <v>14274</v>
      </c>
      <c r="H194" s="49" t="s">
        <v>2002</v>
      </c>
      <c r="I194" s="49" t="s">
        <v>2003</v>
      </c>
      <c r="J194" s="49" t="s">
        <v>2004</v>
      </c>
      <c r="K194" s="49" t="s">
        <v>2005</v>
      </c>
      <c r="L194" s="49" t="s">
        <v>2006</v>
      </c>
      <c r="M194" s="49" t="s">
        <v>2007</v>
      </c>
      <c r="N194" s="49" t="s">
        <v>2008</v>
      </c>
      <c r="O194" s="49" t="s">
        <v>3076</v>
      </c>
      <c r="P194" s="49" t="s">
        <v>3077</v>
      </c>
      <c r="Q194" s="49" t="s">
        <v>3078</v>
      </c>
      <c r="R194" s="49" t="s">
        <v>3079</v>
      </c>
      <c r="S194" s="49" t="s">
        <v>3080</v>
      </c>
      <c r="T194" s="49" t="s">
        <v>3081</v>
      </c>
    </row>
    <row r="195" spans="1:21" x14ac:dyDescent="0.2">
      <c r="A195" s="49" t="s">
        <v>30</v>
      </c>
      <c r="D195" s="49" t="s">
        <v>1789</v>
      </c>
      <c r="G195" s="49" t="s">
        <v>14275</v>
      </c>
      <c r="H195" s="49" t="s">
        <v>1790</v>
      </c>
      <c r="I195" s="49" t="s">
        <v>1791</v>
      </c>
      <c r="J195" s="49" t="s">
        <v>1792</v>
      </c>
      <c r="K195" s="49" t="s">
        <v>1793</v>
      </c>
      <c r="L195" s="49" t="s">
        <v>1794</v>
      </c>
      <c r="M195" s="49" t="s">
        <v>1795</v>
      </c>
      <c r="N195" s="49" t="s">
        <v>1796</v>
      </c>
      <c r="O195" s="49" t="s">
        <v>3082</v>
      </c>
      <c r="P195" s="49" t="s">
        <v>3083</v>
      </c>
      <c r="Q195" s="49" t="s">
        <v>3084</v>
      </c>
      <c r="R195" s="49" t="s">
        <v>3085</v>
      </c>
      <c r="S195" s="49" t="s">
        <v>3086</v>
      </c>
      <c r="T195" s="49" t="s">
        <v>3087</v>
      </c>
    </row>
    <row r="196" spans="1:21" x14ac:dyDescent="0.2">
      <c r="A196" s="49" t="s">
        <v>30</v>
      </c>
      <c r="D196" s="49" t="s">
        <v>858</v>
      </c>
      <c r="G196" s="49" t="s">
        <v>14276</v>
      </c>
      <c r="H196" s="49" t="s">
        <v>859</v>
      </c>
      <c r="I196" s="49" t="s">
        <v>860</v>
      </c>
      <c r="J196" s="49" t="s">
        <v>861</v>
      </c>
      <c r="K196" s="49" t="s">
        <v>862</v>
      </c>
      <c r="L196" s="49" t="s">
        <v>863</v>
      </c>
      <c r="M196" s="49" t="s">
        <v>864</v>
      </c>
      <c r="N196" s="49" t="s">
        <v>865</v>
      </c>
      <c r="O196" s="49" t="s">
        <v>3088</v>
      </c>
      <c r="P196" s="49" t="s">
        <v>3089</v>
      </c>
      <c r="Q196" s="49" t="s">
        <v>3090</v>
      </c>
      <c r="R196" s="49" t="s">
        <v>3091</v>
      </c>
      <c r="S196" s="49" t="s">
        <v>3092</v>
      </c>
      <c r="T196" s="49" t="s">
        <v>3093</v>
      </c>
    </row>
    <row r="197" spans="1:21" x14ac:dyDescent="0.2">
      <c r="A197" s="49" t="s">
        <v>30</v>
      </c>
      <c r="D197" s="49" t="s">
        <v>866</v>
      </c>
      <c r="G197" s="49" t="s">
        <v>14277</v>
      </c>
      <c r="H197" s="49" t="s">
        <v>867</v>
      </c>
      <c r="I197" s="49" t="s">
        <v>868</v>
      </c>
      <c r="J197" s="49" t="s">
        <v>869</v>
      </c>
      <c r="K197" s="49" t="s">
        <v>870</v>
      </c>
      <c r="L197" s="49" t="s">
        <v>871</v>
      </c>
      <c r="M197" s="49" t="s">
        <v>872</v>
      </c>
      <c r="N197" s="49" t="s">
        <v>873</v>
      </c>
      <c r="O197" s="49" t="s">
        <v>3094</v>
      </c>
      <c r="P197" s="49" t="s">
        <v>3095</v>
      </c>
      <c r="Q197" s="49" t="s">
        <v>3096</v>
      </c>
      <c r="R197" s="49" t="s">
        <v>3097</v>
      </c>
      <c r="S197" s="49" t="s">
        <v>3098</v>
      </c>
      <c r="T197" s="49" t="s">
        <v>3099</v>
      </c>
    </row>
    <row r="198" spans="1:21" x14ac:dyDescent="0.2">
      <c r="A198" s="49" t="s">
        <v>30</v>
      </c>
      <c r="D198" s="49" t="s">
        <v>874</v>
      </c>
      <c r="G198" s="49" t="s">
        <v>14278</v>
      </c>
      <c r="H198" s="49" t="s">
        <v>875</v>
      </c>
      <c r="I198" s="49" t="s">
        <v>876</v>
      </c>
      <c r="J198" s="49" t="s">
        <v>877</v>
      </c>
      <c r="K198" s="49" t="s">
        <v>878</v>
      </c>
      <c r="L198" s="49" t="s">
        <v>879</v>
      </c>
      <c r="M198" s="49" t="s">
        <v>880</v>
      </c>
      <c r="N198" s="49" t="s">
        <v>881</v>
      </c>
      <c r="O198" s="49" t="s">
        <v>31816</v>
      </c>
      <c r="P198" s="49" t="s">
        <v>31820</v>
      </c>
      <c r="Q198" s="49" t="s">
        <v>31824</v>
      </c>
      <c r="R198" s="49" t="s">
        <v>31828</v>
      </c>
      <c r="S198" s="49" t="s">
        <v>31832</v>
      </c>
      <c r="T198" s="49" t="s">
        <v>31836</v>
      </c>
    </row>
    <row r="199" spans="1:21" x14ac:dyDescent="0.2">
      <c r="A199" s="49" t="s">
        <v>30</v>
      </c>
      <c r="D199" s="49" t="s">
        <v>2009</v>
      </c>
      <c r="G199" s="49" t="s">
        <v>14279</v>
      </c>
      <c r="H199" s="49" t="s">
        <v>2010</v>
      </c>
      <c r="I199" s="49" t="s">
        <v>2011</v>
      </c>
      <c r="J199" s="49" t="s">
        <v>2012</v>
      </c>
      <c r="K199" s="49" t="s">
        <v>2013</v>
      </c>
      <c r="L199" s="49" t="s">
        <v>2014</v>
      </c>
      <c r="M199" s="49" t="s">
        <v>2015</v>
      </c>
      <c r="N199" s="49" t="s">
        <v>2016</v>
      </c>
      <c r="O199" s="49" t="s">
        <v>31817</v>
      </c>
      <c r="P199" s="49" t="s">
        <v>31821</v>
      </c>
      <c r="Q199" s="49" t="s">
        <v>31825</v>
      </c>
      <c r="R199" s="49" t="s">
        <v>31829</v>
      </c>
      <c r="S199" s="49" t="s">
        <v>31833</v>
      </c>
      <c r="T199" s="49" t="s">
        <v>31837</v>
      </c>
    </row>
    <row r="200" spans="1:21" x14ac:dyDescent="0.2">
      <c r="A200" s="49" t="s">
        <v>30</v>
      </c>
    </row>
    <row r="201" spans="1:21" x14ac:dyDescent="0.2">
      <c r="A201" s="49" t="s">
        <v>30</v>
      </c>
      <c r="E201" s="49" t="s">
        <v>31</v>
      </c>
      <c r="F201" s="49" t="s">
        <v>31</v>
      </c>
      <c r="G201" s="49" t="s">
        <v>31</v>
      </c>
      <c r="J201" s="49" t="s">
        <v>31</v>
      </c>
      <c r="K201" s="49" t="s">
        <v>31</v>
      </c>
      <c r="L201" s="49" t="s">
        <v>31</v>
      </c>
      <c r="M201" s="49" t="s">
        <v>31</v>
      </c>
    </row>
    <row r="202" spans="1:21" x14ac:dyDescent="0.2">
      <c r="A202" s="49" t="s">
        <v>30</v>
      </c>
      <c r="D202" s="49" t="s">
        <v>14280</v>
      </c>
      <c r="E202" s="49" t="s">
        <v>4568</v>
      </c>
      <c r="F202" s="49" t="s">
        <v>14281</v>
      </c>
      <c r="H202" s="49" t="s">
        <v>14282</v>
      </c>
      <c r="O202" s="49" t="s">
        <v>14283</v>
      </c>
      <c r="P202" s="49" t="s">
        <v>14284</v>
      </c>
      <c r="Q202" s="49" t="s">
        <v>14285</v>
      </c>
      <c r="R202" s="49" t="s">
        <v>14286</v>
      </c>
      <c r="S202" s="49" t="s">
        <v>14287</v>
      </c>
      <c r="T202" s="49" t="s">
        <v>14288</v>
      </c>
      <c r="U202" s="49" t="s">
        <v>14289</v>
      </c>
    </row>
    <row r="203" spans="1:21" x14ac:dyDescent="0.2">
      <c r="A203" s="49" t="s">
        <v>30</v>
      </c>
      <c r="D203" s="49" t="s">
        <v>890</v>
      </c>
      <c r="G203" s="49" t="s">
        <v>14290</v>
      </c>
      <c r="H203" s="49" t="s">
        <v>891</v>
      </c>
      <c r="I203" s="49" t="s">
        <v>892</v>
      </c>
      <c r="J203" s="49" t="s">
        <v>893</v>
      </c>
      <c r="K203" s="49" t="s">
        <v>894</v>
      </c>
      <c r="L203" s="49" t="s">
        <v>895</v>
      </c>
      <c r="M203" s="49" t="s">
        <v>896</v>
      </c>
      <c r="N203" s="49" t="s">
        <v>897</v>
      </c>
      <c r="O203" s="49" t="s">
        <v>12792</v>
      </c>
      <c r="P203" s="49" t="s">
        <v>12797</v>
      </c>
      <c r="Q203" s="49" t="s">
        <v>12802</v>
      </c>
      <c r="R203" s="49" t="s">
        <v>12807</v>
      </c>
      <c r="S203" s="49" t="s">
        <v>12812</v>
      </c>
      <c r="T203" s="49" t="s">
        <v>12817</v>
      </c>
    </row>
    <row r="204" spans="1:21" x14ac:dyDescent="0.2">
      <c r="A204" s="49" t="s">
        <v>30</v>
      </c>
      <c r="D204" s="49" t="s">
        <v>898</v>
      </c>
      <c r="G204" s="49" t="s">
        <v>14291</v>
      </c>
      <c r="H204" s="49" t="s">
        <v>899</v>
      </c>
      <c r="I204" s="49" t="s">
        <v>900</v>
      </c>
      <c r="J204" s="49" t="s">
        <v>901</v>
      </c>
      <c r="K204" s="49" t="s">
        <v>902</v>
      </c>
      <c r="L204" s="49" t="s">
        <v>903</v>
      </c>
      <c r="M204" s="49" t="s">
        <v>904</v>
      </c>
      <c r="N204" s="49" t="s">
        <v>905</v>
      </c>
      <c r="O204" s="49" t="s">
        <v>12793</v>
      </c>
      <c r="P204" s="49" t="s">
        <v>12798</v>
      </c>
      <c r="Q204" s="49" t="s">
        <v>12803</v>
      </c>
      <c r="R204" s="49" t="s">
        <v>12808</v>
      </c>
      <c r="S204" s="49" t="s">
        <v>12813</v>
      </c>
      <c r="T204" s="49" t="s">
        <v>12818</v>
      </c>
    </row>
    <row r="205" spans="1:21" x14ac:dyDescent="0.2">
      <c r="A205" s="49" t="s">
        <v>30</v>
      </c>
      <c r="D205" s="49" t="s">
        <v>906</v>
      </c>
      <c r="G205" s="49" t="s">
        <v>14292</v>
      </c>
      <c r="H205" s="49" t="s">
        <v>907</v>
      </c>
      <c r="I205" s="49" t="s">
        <v>908</v>
      </c>
      <c r="J205" s="49" t="s">
        <v>909</v>
      </c>
      <c r="K205" s="49" t="s">
        <v>910</v>
      </c>
      <c r="L205" s="49" t="s">
        <v>911</v>
      </c>
      <c r="M205" s="49" t="s">
        <v>912</v>
      </c>
      <c r="N205" s="49" t="s">
        <v>913</v>
      </c>
      <c r="O205" s="49" t="s">
        <v>3100</v>
      </c>
      <c r="P205" s="49" t="s">
        <v>3101</v>
      </c>
      <c r="Q205" s="49" t="s">
        <v>3102</v>
      </c>
      <c r="R205" s="49" t="s">
        <v>3103</v>
      </c>
      <c r="S205" s="49" t="s">
        <v>3104</v>
      </c>
      <c r="T205" s="49" t="s">
        <v>3105</v>
      </c>
    </row>
    <row r="206" spans="1:21" x14ac:dyDescent="0.2">
      <c r="A206" s="49" t="s">
        <v>30</v>
      </c>
      <c r="D206" s="49" t="s">
        <v>914</v>
      </c>
      <c r="G206" s="49" t="s">
        <v>14293</v>
      </c>
      <c r="H206" s="49" t="s">
        <v>915</v>
      </c>
      <c r="I206" s="49" t="s">
        <v>916</v>
      </c>
      <c r="J206" s="49" t="s">
        <v>917</v>
      </c>
      <c r="K206" s="49" t="s">
        <v>918</v>
      </c>
      <c r="L206" s="49" t="s">
        <v>919</v>
      </c>
      <c r="M206" s="49" t="s">
        <v>920</v>
      </c>
      <c r="N206" s="49" t="s">
        <v>921</v>
      </c>
      <c r="O206" s="49" t="s">
        <v>3106</v>
      </c>
      <c r="P206" s="49" t="s">
        <v>3107</v>
      </c>
      <c r="Q206" s="49" t="s">
        <v>3108</v>
      </c>
      <c r="R206" s="49" t="s">
        <v>3109</v>
      </c>
      <c r="S206" s="49" t="s">
        <v>3110</v>
      </c>
      <c r="T206" s="49" t="s">
        <v>3111</v>
      </c>
    </row>
    <row r="207" spans="1:21" x14ac:dyDescent="0.2">
      <c r="A207" s="49" t="s">
        <v>30</v>
      </c>
      <c r="D207" s="49" t="s">
        <v>922</v>
      </c>
      <c r="G207" s="49" t="s">
        <v>14294</v>
      </c>
      <c r="H207" s="49" t="s">
        <v>923</v>
      </c>
      <c r="I207" s="49" t="s">
        <v>924</v>
      </c>
      <c r="J207" s="49" t="s">
        <v>925</v>
      </c>
      <c r="K207" s="49" t="s">
        <v>926</v>
      </c>
      <c r="L207" s="49" t="s">
        <v>927</v>
      </c>
      <c r="M207" s="49" t="s">
        <v>928</v>
      </c>
      <c r="N207" s="49" t="s">
        <v>929</v>
      </c>
      <c r="O207" s="49" t="s">
        <v>12794</v>
      </c>
      <c r="P207" s="49" t="s">
        <v>12799</v>
      </c>
      <c r="Q207" s="49" t="s">
        <v>12804</v>
      </c>
      <c r="R207" s="49" t="s">
        <v>12809</v>
      </c>
      <c r="S207" s="49" t="s">
        <v>12814</v>
      </c>
      <c r="T207" s="49" t="s">
        <v>12819</v>
      </c>
    </row>
    <row r="208" spans="1:21" x14ac:dyDescent="0.2">
      <c r="A208" s="49" t="s">
        <v>30</v>
      </c>
      <c r="D208" s="49" t="s">
        <v>930</v>
      </c>
      <c r="G208" s="49" t="s">
        <v>14295</v>
      </c>
      <c r="H208" s="49" t="s">
        <v>931</v>
      </c>
      <c r="I208" s="49" t="s">
        <v>932</v>
      </c>
      <c r="J208" s="49" t="s">
        <v>933</v>
      </c>
      <c r="K208" s="49" t="s">
        <v>934</v>
      </c>
      <c r="L208" s="49" t="s">
        <v>935</v>
      </c>
      <c r="M208" s="49" t="s">
        <v>936</v>
      </c>
      <c r="N208" s="49" t="s">
        <v>937</v>
      </c>
      <c r="O208" s="49" t="s">
        <v>12795</v>
      </c>
      <c r="P208" s="49" t="s">
        <v>12800</v>
      </c>
      <c r="Q208" s="49" t="s">
        <v>12805</v>
      </c>
      <c r="R208" s="49" t="s">
        <v>12810</v>
      </c>
      <c r="S208" s="49" t="s">
        <v>12815</v>
      </c>
      <c r="T208" s="49" t="s">
        <v>12820</v>
      </c>
    </row>
    <row r="209" spans="1:21" x14ac:dyDescent="0.2">
      <c r="A209" s="49" t="s">
        <v>30</v>
      </c>
      <c r="D209" s="49" t="s">
        <v>938</v>
      </c>
      <c r="G209" s="49" t="s">
        <v>14296</v>
      </c>
      <c r="H209" s="49" t="s">
        <v>939</v>
      </c>
      <c r="I209" s="49" t="s">
        <v>940</v>
      </c>
      <c r="J209" s="49" t="s">
        <v>941</v>
      </c>
      <c r="K209" s="49" t="s">
        <v>942</v>
      </c>
      <c r="L209" s="49" t="s">
        <v>943</v>
      </c>
      <c r="M209" s="49" t="s">
        <v>944</v>
      </c>
      <c r="N209" s="49" t="s">
        <v>945</v>
      </c>
      <c r="O209" s="49" t="s">
        <v>12796</v>
      </c>
      <c r="P209" s="49" t="s">
        <v>12801</v>
      </c>
      <c r="Q209" s="49" t="s">
        <v>12806</v>
      </c>
      <c r="R209" s="49" t="s">
        <v>12811</v>
      </c>
      <c r="S209" s="49" t="s">
        <v>12816</v>
      </c>
      <c r="T209" s="49" t="s">
        <v>12821</v>
      </c>
    </row>
    <row r="210" spans="1:21" x14ac:dyDescent="0.2">
      <c r="A210" s="49" t="s">
        <v>30</v>
      </c>
      <c r="D210" s="49" t="s">
        <v>2033</v>
      </c>
      <c r="G210" s="49" t="s">
        <v>14297</v>
      </c>
      <c r="H210" s="49" t="s">
        <v>2034</v>
      </c>
      <c r="I210" s="49" t="s">
        <v>2035</v>
      </c>
      <c r="J210" s="49" t="s">
        <v>2036</v>
      </c>
      <c r="K210" s="49" t="s">
        <v>2037</v>
      </c>
      <c r="L210" s="49" t="s">
        <v>2038</v>
      </c>
      <c r="M210" s="49" t="s">
        <v>2039</v>
      </c>
      <c r="N210" s="49" t="s">
        <v>2040</v>
      </c>
      <c r="O210" s="49" t="s">
        <v>31802</v>
      </c>
      <c r="P210" s="49" t="s">
        <v>31804</v>
      </c>
      <c r="Q210" s="49" t="s">
        <v>31806</v>
      </c>
      <c r="R210" s="49" t="s">
        <v>31808</v>
      </c>
      <c r="S210" s="49" t="s">
        <v>31810</v>
      </c>
      <c r="T210" s="49" t="s">
        <v>31812</v>
      </c>
    </row>
    <row r="211" spans="1:21" x14ac:dyDescent="0.2">
      <c r="A211" s="49" t="s">
        <v>30</v>
      </c>
      <c r="D211" s="49" t="s">
        <v>2041</v>
      </c>
      <c r="G211" s="49" t="s">
        <v>14298</v>
      </c>
      <c r="H211" s="49" t="s">
        <v>2042</v>
      </c>
      <c r="I211" s="49" t="s">
        <v>2043</v>
      </c>
      <c r="J211" s="49" t="s">
        <v>2044</v>
      </c>
      <c r="K211" s="49" t="s">
        <v>2045</v>
      </c>
      <c r="L211" s="49" t="s">
        <v>2046</v>
      </c>
      <c r="M211" s="49" t="s">
        <v>2047</v>
      </c>
      <c r="N211" s="49" t="s">
        <v>2048</v>
      </c>
      <c r="O211" s="49" t="s">
        <v>31803</v>
      </c>
      <c r="P211" s="49" t="s">
        <v>31805</v>
      </c>
      <c r="Q211" s="49" t="s">
        <v>31807</v>
      </c>
      <c r="R211" s="49" t="s">
        <v>31809</v>
      </c>
      <c r="S211" s="49" t="s">
        <v>31811</v>
      </c>
      <c r="T211" s="49" t="s">
        <v>31813</v>
      </c>
    </row>
    <row r="212" spans="1:21" x14ac:dyDescent="0.2">
      <c r="A212" s="49" t="s">
        <v>30</v>
      </c>
    </row>
    <row r="213" spans="1:21" x14ac:dyDescent="0.2">
      <c r="A213" s="49" t="s">
        <v>30</v>
      </c>
      <c r="E213" s="49" t="s">
        <v>31</v>
      </c>
      <c r="F213" s="49" t="s">
        <v>31</v>
      </c>
      <c r="G213" s="49" t="s">
        <v>31</v>
      </c>
      <c r="J213" s="49" t="s">
        <v>31</v>
      </c>
      <c r="K213" s="49" t="s">
        <v>31</v>
      </c>
      <c r="L213" s="49" t="s">
        <v>31</v>
      </c>
      <c r="M213" s="49" t="s">
        <v>31</v>
      </c>
    </row>
    <row r="214" spans="1:21" x14ac:dyDescent="0.2">
      <c r="A214" s="49" t="s">
        <v>30</v>
      </c>
      <c r="D214" s="49" t="s">
        <v>13826</v>
      </c>
      <c r="E214" s="49" t="s">
        <v>4569</v>
      </c>
      <c r="F214" s="49" t="s">
        <v>13827</v>
      </c>
      <c r="H214" s="49" t="s">
        <v>13828</v>
      </c>
      <c r="O214" s="49" t="s">
        <v>14299</v>
      </c>
      <c r="P214" s="49" t="s">
        <v>14300</v>
      </c>
      <c r="Q214" s="49" t="s">
        <v>14301</v>
      </c>
      <c r="R214" s="49" t="s">
        <v>14302</v>
      </c>
      <c r="S214" s="49" t="s">
        <v>14303</v>
      </c>
      <c r="T214" s="49" t="s">
        <v>14304</v>
      </c>
      <c r="U214" s="49" t="s">
        <v>14305</v>
      </c>
    </row>
    <row r="215" spans="1:21" x14ac:dyDescent="0.2">
      <c r="A215" s="49" t="s">
        <v>30</v>
      </c>
      <c r="D215" s="49" t="s">
        <v>962</v>
      </c>
      <c r="G215" s="49" t="s">
        <v>14306</v>
      </c>
      <c r="H215" s="49" t="s">
        <v>963</v>
      </c>
      <c r="I215" s="49" t="s">
        <v>964</v>
      </c>
      <c r="J215" s="49" t="s">
        <v>965</v>
      </c>
      <c r="K215" s="49" t="s">
        <v>966</v>
      </c>
      <c r="L215" s="49" t="s">
        <v>967</v>
      </c>
      <c r="M215" s="49" t="s">
        <v>968</v>
      </c>
      <c r="N215" s="49" t="s">
        <v>969</v>
      </c>
      <c r="O215" s="49" t="s">
        <v>3112</v>
      </c>
      <c r="P215" s="49" t="s">
        <v>3113</v>
      </c>
      <c r="Q215" s="49" t="s">
        <v>3114</v>
      </c>
      <c r="R215" s="49" t="s">
        <v>3115</v>
      </c>
      <c r="S215" s="49" t="s">
        <v>3116</v>
      </c>
      <c r="T215" s="49" t="s">
        <v>3117</v>
      </c>
    </row>
    <row r="216" spans="1:21" x14ac:dyDescent="0.2">
      <c r="A216" s="49" t="s">
        <v>30</v>
      </c>
      <c r="D216" s="49" t="s">
        <v>970</v>
      </c>
      <c r="G216" s="49" t="s">
        <v>14307</v>
      </c>
      <c r="H216" s="49" t="s">
        <v>971</v>
      </c>
      <c r="I216" s="49" t="s">
        <v>972</v>
      </c>
      <c r="J216" s="49" t="s">
        <v>973</v>
      </c>
      <c r="K216" s="49" t="s">
        <v>974</v>
      </c>
      <c r="L216" s="49" t="s">
        <v>975</v>
      </c>
      <c r="M216" s="49" t="s">
        <v>976</v>
      </c>
      <c r="N216" s="49" t="s">
        <v>977</v>
      </c>
      <c r="O216" s="49" t="s">
        <v>4200</v>
      </c>
      <c r="P216" s="49" t="s">
        <v>4201</v>
      </c>
      <c r="Q216" s="49" t="s">
        <v>4202</v>
      </c>
      <c r="R216" s="49" t="s">
        <v>4203</v>
      </c>
      <c r="S216" s="49" t="s">
        <v>4204</v>
      </c>
      <c r="T216" s="49" t="s">
        <v>4205</v>
      </c>
    </row>
    <row r="217" spans="1:21" x14ac:dyDescent="0.2">
      <c r="A217" s="49" t="s">
        <v>30</v>
      </c>
      <c r="D217" s="49" t="s">
        <v>978</v>
      </c>
      <c r="G217" s="49" t="s">
        <v>14308</v>
      </c>
      <c r="H217" s="49" t="s">
        <v>979</v>
      </c>
      <c r="I217" s="49" t="s">
        <v>980</v>
      </c>
      <c r="J217" s="49" t="s">
        <v>981</v>
      </c>
      <c r="K217" s="49" t="s">
        <v>982</v>
      </c>
      <c r="L217" s="49" t="s">
        <v>983</v>
      </c>
      <c r="M217" s="49" t="s">
        <v>984</v>
      </c>
      <c r="N217" s="49" t="s">
        <v>985</v>
      </c>
      <c r="O217" s="49" t="s">
        <v>4206</v>
      </c>
      <c r="P217" s="49" t="s">
        <v>4207</v>
      </c>
      <c r="Q217" s="49" t="s">
        <v>4208</v>
      </c>
      <c r="R217" s="49" t="s">
        <v>4209</v>
      </c>
      <c r="S217" s="49" t="s">
        <v>4210</v>
      </c>
      <c r="T217" s="49" t="s">
        <v>4211</v>
      </c>
    </row>
    <row r="218" spans="1:21" x14ac:dyDescent="0.2">
      <c r="A218" s="49" t="s">
        <v>30</v>
      </c>
      <c r="D218" s="49" t="s">
        <v>986</v>
      </c>
      <c r="G218" s="49" t="s">
        <v>14309</v>
      </c>
      <c r="H218" s="49" t="s">
        <v>987</v>
      </c>
      <c r="I218" s="49" t="s">
        <v>988</v>
      </c>
      <c r="J218" s="49" t="s">
        <v>989</v>
      </c>
      <c r="K218" s="49" t="s">
        <v>990</v>
      </c>
      <c r="L218" s="49" t="s">
        <v>991</v>
      </c>
      <c r="M218" s="49" t="s">
        <v>992</v>
      </c>
      <c r="N218" s="49" t="s">
        <v>993</v>
      </c>
      <c r="O218" s="49" t="s">
        <v>4212</v>
      </c>
      <c r="P218" s="49" t="s">
        <v>4213</v>
      </c>
      <c r="Q218" s="49" t="s">
        <v>4214</v>
      </c>
      <c r="R218" s="49" t="s">
        <v>4215</v>
      </c>
      <c r="S218" s="49" t="s">
        <v>4216</v>
      </c>
      <c r="T218" s="49" t="s">
        <v>4217</v>
      </c>
    </row>
    <row r="219" spans="1:21" x14ac:dyDescent="0.2">
      <c r="A219" s="49" t="s">
        <v>30</v>
      </c>
      <c r="D219" s="49" t="s">
        <v>994</v>
      </c>
      <c r="G219" s="49" t="s">
        <v>14310</v>
      </c>
      <c r="H219" s="49" t="s">
        <v>995</v>
      </c>
      <c r="I219" s="49" t="s">
        <v>996</v>
      </c>
      <c r="J219" s="49" t="s">
        <v>997</v>
      </c>
      <c r="K219" s="49" t="s">
        <v>998</v>
      </c>
      <c r="L219" s="49" t="s">
        <v>999</v>
      </c>
      <c r="M219" s="49" t="s">
        <v>1000</v>
      </c>
      <c r="N219" s="49" t="s">
        <v>1001</v>
      </c>
      <c r="O219" s="49" t="s">
        <v>3118</v>
      </c>
      <c r="P219" s="49" t="s">
        <v>3119</v>
      </c>
      <c r="Q219" s="49" t="s">
        <v>3120</v>
      </c>
      <c r="R219" s="49" t="s">
        <v>3121</v>
      </c>
      <c r="S219" s="49" t="s">
        <v>3122</v>
      </c>
      <c r="T219" s="49" t="s">
        <v>3123</v>
      </c>
    </row>
    <row r="220" spans="1:21" x14ac:dyDescent="0.2">
      <c r="A220" s="49" t="s">
        <v>30</v>
      </c>
      <c r="D220" s="49" t="s">
        <v>10114</v>
      </c>
      <c r="G220" s="49" t="s">
        <v>14311</v>
      </c>
      <c r="H220" s="49" t="s">
        <v>10116</v>
      </c>
      <c r="I220" s="49" t="s">
        <v>10117</v>
      </c>
      <c r="J220" s="49" t="s">
        <v>10118</v>
      </c>
      <c r="K220" s="49" t="s">
        <v>10119</v>
      </c>
      <c r="L220" s="49" t="s">
        <v>10120</v>
      </c>
      <c r="M220" s="49" t="s">
        <v>10121</v>
      </c>
      <c r="N220" s="49" t="s">
        <v>10122</v>
      </c>
      <c r="O220" s="49" t="s">
        <v>12774</v>
      </c>
      <c r="P220" s="49" t="s">
        <v>12777</v>
      </c>
      <c r="Q220" s="49" t="s">
        <v>12780</v>
      </c>
      <c r="R220" s="49" t="s">
        <v>12783</v>
      </c>
      <c r="S220" s="49" t="s">
        <v>12786</v>
      </c>
      <c r="T220" s="49" t="s">
        <v>12789</v>
      </c>
    </row>
    <row r="221" spans="1:21" x14ac:dyDescent="0.2">
      <c r="A221" s="49" t="s">
        <v>30</v>
      </c>
      <c r="D221" s="49" t="s">
        <v>9017</v>
      </c>
      <c r="G221" s="49" t="s">
        <v>14312</v>
      </c>
      <c r="H221" s="49" t="s">
        <v>9018</v>
      </c>
      <c r="I221" s="49" t="s">
        <v>9019</v>
      </c>
      <c r="J221" s="49" t="s">
        <v>9020</v>
      </c>
      <c r="K221" s="49" t="s">
        <v>9021</v>
      </c>
      <c r="L221" s="49" t="s">
        <v>9022</v>
      </c>
      <c r="M221" s="49" t="s">
        <v>9023</v>
      </c>
      <c r="N221" s="49" t="s">
        <v>9024</v>
      </c>
      <c r="O221" s="49" t="s">
        <v>12775</v>
      </c>
      <c r="P221" s="49" t="s">
        <v>12778</v>
      </c>
      <c r="Q221" s="49" t="s">
        <v>12781</v>
      </c>
      <c r="R221" s="49" t="s">
        <v>12784</v>
      </c>
      <c r="S221" s="49" t="s">
        <v>12787</v>
      </c>
      <c r="T221" s="49" t="s">
        <v>12790</v>
      </c>
    </row>
    <row r="222" spans="1:21" x14ac:dyDescent="0.2">
      <c r="A222" s="49" t="s">
        <v>30</v>
      </c>
      <c r="D222" s="49" t="s">
        <v>9534</v>
      </c>
      <c r="G222" s="49" t="s">
        <v>14313</v>
      </c>
      <c r="H222" s="49" t="s">
        <v>9536</v>
      </c>
      <c r="I222" s="49" t="s">
        <v>9537</v>
      </c>
      <c r="J222" s="49" t="s">
        <v>9538</v>
      </c>
      <c r="K222" s="49" t="s">
        <v>9539</v>
      </c>
      <c r="L222" s="49" t="s">
        <v>9540</v>
      </c>
      <c r="M222" s="49" t="s">
        <v>9541</v>
      </c>
      <c r="N222" s="49" t="s">
        <v>9542</v>
      </c>
      <c r="O222" s="49" t="s">
        <v>12776</v>
      </c>
      <c r="P222" s="49" t="s">
        <v>12779</v>
      </c>
      <c r="Q222" s="49" t="s">
        <v>12782</v>
      </c>
      <c r="R222" s="49" t="s">
        <v>12785</v>
      </c>
      <c r="S222" s="49" t="s">
        <v>12788</v>
      </c>
      <c r="T222" s="49" t="s">
        <v>12791</v>
      </c>
    </row>
    <row r="223" spans="1:21" x14ac:dyDescent="0.2">
      <c r="A223" s="49" t="s">
        <v>30</v>
      </c>
      <c r="D223" s="49" t="s">
        <v>1002</v>
      </c>
      <c r="G223" s="49" t="s">
        <v>14314</v>
      </c>
      <c r="H223" s="49" t="s">
        <v>1003</v>
      </c>
      <c r="I223" s="49" t="s">
        <v>1004</v>
      </c>
      <c r="J223" s="49" t="s">
        <v>1005</v>
      </c>
      <c r="K223" s="49" t="s">
        <v>1006</v>
      </c>
      <c r="L223" s="49" t="s">
        <v>1007</v>
      </c>
      <c r="M223" s="49" t="s">
        <v>1008</v>
      </c>
      <c r="N223" s="49" t="s">
        <v>1009</v>
      </c>
      <c r="O223" s="49" t="s">
        <v>31782</v>
      </c>
      <c r="P223" s="49" t="s">
        <v>31785</v>
      </c>
      <c r="Q223" s="49" t="s">
        <v>31788</v>
      </c>
      <c r="R223" s="49" t="s">
        <v>31791</v>
      </c>
      <c r="S223" s="49" t="s">
        <v>31794</v>
      </c>
      <c r="T223" s="49" t="s">
        <v>31797</v>
      </c>
    </row>
    <row r="224" spans="1:21" x14ac:dyDescent="0.2">
      <c r="A224" s="49" t="s">
        <v>30</v>
      </c>
      <c r="D224" s="49" t="s">
        <v>14315</v>
      </c>
      <c r="G224" s="49" t="s">
        <v>14316</v>
      </c>
      <c r="H224" s="49" t="s">
        <v>31780</v>
      </c>
      <c r="I224" s="49" t="s">
        <v>31781</v>
      </c>
      <c r="J224" s="49" t="s">
        <v>31800</v>
      </c>
      <c r="K224" s="49" t="s">
        <v>31801</v>
      </c>
      <c r="L224" s="49" t="s">
        <v>14317</v>
      </c>
      <c r="M224" s="49" t="s">
        <v>14318</v>
      </c>
      <c r="N224" s="49" t="s">
        <v>14319</v>
      </c>
      <c r="O224" s="49" t="s">
        <v>31783</v>
      </c>
      <c r="P224" s="49" t="s">
        <v>31786</v>
      </c>
      <c r="Q224" s="49" t="s">
        <v>31789</v>
      </c>
      <c r="R224" s="49" t="s">
        <v>31792</v>
      </c>
      <c r="S224" s="49" t="s">
        <v>31795</v>
      </c>
      <c r="T224" s="49" t="s">
        <v>31798</v>
      </c>
    </row>
    <row r="225" spans="1:21" x14ac:dyDescent="0.2">
      <c r="A225" s="49" t="s">
        <v>30</v>
      </c>
      <c r="D225" s="49" t="s">
        <v>2057</v>
      </c>
      <c r="G225" s="49" t="s">
        <v>14320</v>
      </c>
      <c r="H225" s="49" t="s">
        <v>2058</v>
      </c>
      <c r="I225" s="49" t="s">
        <v>2059</v>
      </c>
      <c r="J225" s="49" t="s">
        <v>2060</v>
      </c>
      <c r="K225" s="49" t="s">
        <v>2061</v>
      </c>
      <c r="L225" s="49" t="s">
        <v>2062</v>
      </c>
      <c r="M225" s="49" t="s">
        <v>2063</v>
      </c>
      <c r="N225" s="49" t="s">
        <v>2064</v>
      </c>
      <c r="O225" s="49" t="s">
        <v>31784</v>
      </c>
      <c r="P225" s="49" t="s">
        <v>31787</v>
      </c>
      <c r="Q225" s="49" t="s">
        <v>31790</v>
      </c>
      <c r="R225" s="49" t="s">
        <v>31793</v>
      </c>
      <c r="S225" s="49" t="s">
        <v>31796</v>
      </c>
      <c r="T225" s="49" t="s">
        <v>31799</v>
      </c>
    </row>
    <row r="226" spans="1:21" x14ac:dyDescent="0.2">
      <c r="A226" s="49" t="s">
        <v>30</v>
      </c>
      <c r="D226" s="49" t="s">
        <v>4687</v>
      </c>
      <c r="G226" s="49" t="s">
        <v>14321</v>
      </c>
      <c r="H226" s="49" t="s">
        <v>4688</v>
      </c>
      <c r="I226" s="49" t="s">
        <v>4689</v>
      </c>
      <c r="J226" s="49" t="s">
        <v>4690</v>
      </c>
      <c r="K226" s="49" t="s">
        <v>4691</v>
      </c>
      <c r="L226" s="49" t="s">
        <v>4692</v>
      </c>
      <c r="M226" s="49" t="s">
        <v>4693</v>
      </c>
      <c r="N226" s="49" t="s">
        <v>4694</v>
      </c>
      <c r="O226" s="49" t="s">
        <v>4695</v>
      </c>
      <c r="P226" s="49" t="s">
        <v>4696</v>
      </c>
      <c r="Q226" s="49" t="s">
        <v>4697</v>
      </c>
      <c r="R226" s="49" t="s">
        <v>4698</v>
      </c>
      <c r="S226" s="49" t="s">
        <v>4699</v>
      </c>
      <c r="T226" s="49" t="s">
        <v>4700</v>
      </c>
    </row>
    <row r="227" spans="1:21" x14ac:dyDescent="0.2">
      <c r="A227" s="49" t="s">
        <v>30</v>
      </c>
      <c r="D227" s="49" t="s">
        <v>4701</v>
      </c>
      <c r="G227" s="49" t="s">
        <v>14322</v>
      </c>
      <c r="H227" s="49" t="s">
        <v>4702</v>
      </c>
      <c r="I227" s="49" t="s">
        <v>4703</v>
      </c>
      <c r="J227" s="49" t="s">
        <v>4704</v>
      </c>
      <c r="K227" s="49" t="s">
        <v>4705</v>
      </c>
      <c r="L227" s="49" t="s">
        <v>4706</v>
      </c>
      <c r="M227" s="49" t="s">
        <v>4707</v>
      </c>
      <c r="N227" s="49" t="s">
        <v>4708</v>
      </c>
      <c r="O227" s="49" t="s">
        <v>4709</v>
      </c>
      <c r="P227" s="49" t="s">
        <v>4710</v>
      </c>
      <c r="Q227" s="49" t="s">
        <v>4711</v>
      </c>
      <c r="R227" s="49" t="s">
        <v>4712</v>
      </c>
      <c r="S227" s="49" t="s">
        <v>4713</v>
      </c>
      <c r="T227" s="49" t="s">
        <v>4714</v>
      </c>
    </row>
    <row r="228" spans="1:21" x14ac:dyDescent="0.2">
      <c r="A228" s="49" t="s">
        <v>30</v>
      </c>
    </row>
    <row r="229" spans="1:21" x14ac:dyDescent="0.2">
      <c r="A229" s="49" t="s">
        <v>30</v>
      </c>
      <c r="E229" s="49" t="s">
        <v>31</v>
      </c>
      <c r="F229" s="49" t="s">
        <v>31</v>
      </c>
      <c r="G229" s="49" t="s">
        <v>31</v>
      </c>
      <c r="J229" s="49" t="s">
        <v>31</v>
      </c>
      <c r="K229" s="49" t="s">
        <v>31</v>
      </c>
      <c r="L229" s="49" t="s">
        <v>31</v>
      </c>
      <c r="M229" s="49" t="s">
        <v>31</v>
      </c>
    </row>
    <row r="230" spans="1:21" x14ac:dyDescent="0.2">
      <c r="A230" s="49" t="s">
        <v>30</v>
      </c>
      <c r="D230" s="49" t="s">
        <v>9565</v>
      </c>
      <c r="E230" s="49" t="s">
        <v>4582</v>
      </c>
      <c r="F230" s="49" t="s">
        <v>9566</v>
      </c>
      <c r="H230" s="49" t="s">
        <v>9567</v>
      </c>
      <c r="O230" s="49" t="s">
        <v>14323</v>
      </c>
      <c r="P230" s="49" t="s">
        <v>14324</v>
      </c>
      <c r="Q230" s="49" t="s">
        <v>14325</v>
      </c>
      <c r="R230" s="49" t="s">
        <v>14326</v>
      </c>
      <c r="S230" s="49" t="s">
        <v>14327</v>
      </c>
      <c r="T230" s="49" t="s">
        <v>14328</v>
      </c>
      <c r="U230" s="49" t="s">
        <v>14329</v>
      </c>
    </row>
    <row r="231" spans="1:21" x14ac:dyDescent="0.2">
      <c r="A231" s="49" t="s">
        <v>30</v>
      </c>
      <c r="D231" s="49" t="s">
        <v>4723</v>
      </c>
      <c r="G231" s="49" t="s">
        <v>14330</v>
      </c>
      <c r="H231" s="49" t="s">
        <v>4724</v>
      </c>
      <c r="I231" s="49" t="s">
        <v>4725</v>
      </c>
      <c r="J231" s="49" t="s">
        <v>4726</v>
      </c>
      <c r="K231" s="49" t="s">
        <v>4727</v>
      </c>
      <c r="L231" s="49" t="s">
        <v>4728</v>
      </c>
      <c r="M231" s="49" t="s">
        <v>4729</v>
      </c>
      <c r="N231" s="49" t="s">
        <v>4730</v>
      </c>
      <c r="O231" s="49" t="s">
        <v>4731</v>
      </c>
      <c r="P231" s="49" t="s">
        <v>4732</v>
      </c>
      <c r="Q231" s="49" t="s">
        <v>4733</v>
      </c>
      <c r="R231" s="49" t="s">
        <v>4734</v>
      </c>
      <c r="S231" s="49" t="s">
        <v>4735</v>
      </c>
      <c r="T231" s="49" t="s">
        <v>4736</v>
      </c>
    </row>
    <row r="232" spans="1:21" x14ac:dyDescent="0.2">
      <c r="A232" s="49" t="s">
        <v>30</v>
      </c>
      <c r="D232" s="49" t="s">
        <v>4737</v>
      </c>
      <c r="G232" s="49" t="s">
        <v>14331</v>
      </c>
      <c r="H232" s="49" t="s">
        <v>4738</v>
      </c>
      <c r="I232" s="49" t="s">
        <v>4739</v>
      </c>
      <c r="J232" s="49" t="s">
        <v>4740</v>
      </c>
      <c r="K232" s="49" t="s">
        <v>4741</v>
      </c>
      <c r="L232" s="49" t="s">
        <v>4742</v>
      </c>
      <c r="M232" s="49" t="s">
        <v>4743</v>
      </c>
      <c r="N232" s="49" t="s">
        <v>4744</v>
      </c>
      <c r="O232" s="49" t="s">
        <v>4745</v>
      </c>
      <c r="P232" s="49" t="s">
        <v>4746</v>
      </c>
      <c r="Q232" s="49" t="s">
        <v>4747</v>
      </c>
      <c r="R232" s="49" t="s">
        <v>4748</v>
      </c>
      <c r="S232" s="49" t="s">
        <v>4749</v>
      </c>
      <c r="T232" s="49" t="s">
        <v>4750</v>
      </c>
    </row>
    <row r="233" spans="1:21" x14ac:dyDescent="0.2">
      <c r="A233" s="49" t="s">
        <v>30</v>
      </c>
      <c r="D233" s="49" t="s">
        <v>9041</v>
      </c>
      <c r="G233" s="49" t="s">
        <v>14332</v>
      </c>
      <c r="H233" s="49" t="s">
        <v>9042</v>
      </c>
      <c r="I233" s="49" t="s">
        <v>9043</v>
      </c>
      <c r="J233" s="49" t="s">
        <v>9044</v>
      </c>
      <c r="K233" s="49" t="s">
        <v>9045</v>
      </c>
      <c r="L233" s="49" t="s">
        <v>9046</v>
      </c>
      <c r="M233" s="49" t="s">
        <v>9047</v>
      </c>
      <c r="N233" s="49" t="s">
        <v>9048</v>
      </c>
      <c r="O233" s="49" t="s">
        <v>12762</v>
      </c>
      <c r="P233" s="49" t="s">
        <v>12764</v>
      </c>
      <c r="Q233" s="49" t="s">
        <v>12766</v>
      </c>
      <c r="R233" s="49" t="s">
        <v>12768</v>
      </c>
      <c r="S233" s="49" t="s">
        <v>12770</v>
      </c>
      <c r="T233" s="49" t="s">
        <v>12772</v>
      </c>
    </row>
    <row r="234" spans="1:21" x14ac:dyDescent="0.2">
      <c r="A234" s="49" t="s">
        <v>30</v>
      </c>
      <c r="D234" s="49" t="s">
        <v>1026</v>
      </c>
      <c r="G234" s="49" t="s">
        <v>14333</v>
      </c>
      <c r="H234" s="49" t="s">
        <v>1027</v>
      </c>
      <c r="I234" s="49" t="s">
        <v>1028</v>
      </c>
      <c r="J234" s="49" t="s">
        <v>1029</v>
      </c>
      <c r="K234" s="49" t="s">
        <v>1030</v>
      </c>
      <c r="L234" s="49" t="s">
        <v>1031</v>
      </c>
      <c r="M234" s="49" t="s">
        <v>1032</v>
      </c>
      <c r="N234" s="49" t="s">
        <v>1033</v>
      </c>
      <c r="O234" s="49" t="s">
        <v>12763</v>
      </c>
      <c r="P234" s="49" t="s">
        <v>12765</v>
      </c>
      <c r="Q234" s="49" t="s">
        <v>12767</v>
      </c>
      <c r="R234" s="49" t="s">
        <v>12769</v>
      </c>
      <c r="S234" s="49" t="s">
        <v>12771</v>
      </c>
      <c r="T234" s="49" t="s">
        <v>12773</v>
      </c>
    </row>
    <row r="235" spans="1:21" x14ac:dyDescent="0.2">
      <c r="A235" s="49" t="s">
        <v>30</v>
      </c>
      <c r="D235" s="49" t="s">
        <v>1034</v>
      </c>
      <c r="G235" s="49" t="s">
        <v>14334</v>
      </c>
      <c r="H235" s="49" t="s">
        <v>1035</v>
      </c>
      <c r="I235" s="49" t="s">
        <v>1036</v>
      </c>
      <c r="J235" s="49" t="s">
        <v>1037</v>
      </c>
      <c r="K235" s="49" t="s">
        <v>1038</v>
      </c>
      <c r="L235" s="49" t="s">
        <v>1039</v>
      </c>
      <c r="M235" s="49" t="s">
        <v>1040</v>
      </c>
      <c r="N235" s="49" t="s">
        <v>1041</v>
      </c>
      <c r="O235" s="49" t="s">
        <v>31762</v>
      </c>
      <c r="P235" s="49" t="s">
        <v>31765</v>
      </c>
      <c r="Q235" s="49" t="s">
        <v>31768</v>
      </c>
      <c r="R235" s="49" t="s">
        <v>31771</v>
      </c>
      <c r="S235" s="49" t="s">
        <v>31774</v>
      </c>
      <c r="T235" s="49" t="s">
        <v>31777</v>
      </c>
    </row>
    <row r="236" spans="1:21" x14ac:dyDescent="0.2">
      <c r="A236" s="49" t="s">
        <v>30</v>
      </c>
      <c r="D236" s="49" t="s">
        <v>3124</v>
      </c>
      <c r="G236" s="49" t="s">
        <v>14335</v>
      </c>
      <c r="H236" s="49" t="s">
        <v>3125</v>
      </c>
      <c r="I236" s="49" t="s">
        <v>3126</v>
      </c>
      <c r="J236" s="49" t="s">
        <v>3127</v>
      </c>
      <c r="K236" s="49" t="s">
        <v>3128</v>
      </c>
      <c r="L236" s="49" t="s">
        <v>3129</v>
      </c>
      <c r="M236" s="49" t="s">
        <v>3130</v>
      </c>
      <c r="N236" s="49" t="s">
        <v>3131</v>
      </c>
      <c r="O236" s="49" t="s">
        <v>31763</v>
      </c>
      <c r="P236" s="49" t="s">
        <v>31766</v>
      </c>
      <c r="Q236" s="49" t="s">
        <v>31769</v>
      </c>
      <c r="R236" s="49" t="s">
        <v>31772</v>
      </c>
      <c r="S236" s="49" t="s">
        <v>31775</v>
      </c>
      <c r="T236" s="49" t="s">
        <v>31778</v>
      </c>
    </row>
    <row r="237" spans="1:21" x14ac:dyDescent="0.2">
      <c r="A237" s="49" t="s">
        <v>30</v>
      </c>
      <c r="D237" s="49" t="s">
        <v>2371</v>
      </c>
      <c r="G237" s="49" t="s">
        <v>14336</v>
      </c>
      <c r="H237" s="49" t="s">
        <v>2372</v>
      </c>
      <c r="I237" s="49" t="s">
        <v>2373</v>
      </c>
      <c r="J237" s="49" t="s">
        <v>2374</v>
      </c>
      <c r="K237" s="49" t="s">
        <v>2375</v>
      </c>
      <c r="L237" s="49" t="s">
        <v>2376</v>
      </c>
      <c r="M237" s="49" t="s">
        <v>2377</v>
      </c>
      <c r="N237" s="49" t="s">
        <v>2378</v>
      </c>
      <c r="O237" s="49" t="s">
        <v>31764</v>
      </c>
      <c r="P237" s="49" t="s">
        <v>31767</v>
      </c>
      <c r="Q237" s="49" t="s">
        <v>31770</v>
      </c>
      <c r="R237" s="49" t="s">
        <v>31773</v>
      </c>
      <c r="S237" s="49" t="s">
        <v>31776</v>
      </c>
      <c r="T237" s="49" t="s">
        <v>31779</v>
      </c>
    </row>
    <row r="238" spans="1:21" x14ac:dyDescent="0.2">
      <c r="A238" s="49" t="s">
        <v>30</v>
      </c>
      <c r="D238" s="49" t="s">
        <v>2379</v>
      </c>
      <c r="G238" s="49" t="s">
        <v>14337</v>
      </c>
      <c r="H238" s="49" t="s">
        <v>2380</v>
      </c>
      <c r="I238" s="49" t="s">
        <v>2381</v>
      </c>
      <c r="J238" s="49" t="s">
        <v>2382</v>
      </c>
      <c r="K238" s="49" t="s">
        <v>2383</v>
      </c>
      <c r="L238" s="49" t="s">
        <v>2384</v>
      </c>
      <c r="M238" s="49" t="s">
        <v>2385</v>
      </c>
      <c r="N238" s="49" t="s">
        <v>2386</v>
      </c>
      <c r="O238" s="49" t="s">
        <v>4416</v>
      </c>
      <c r="P238" s="49" t="s">
        <v>4417</v>
      </c>
      <c r="Q238" s="49" t="s">
        <v>4418</v>
      </c>
      <c r="R238" s="49" t="s">
        <v>4419</v>
      </c>
      <c r="S238" s="49" t="s">
        <v>4420</v>
      </c>
      <c r="T238" s="49" t="s">
        <v>4421</v>
      </c>
    </row>
    <row r="239" spans="1:21" x14ac:dyDescent="0.2">
      <c r="A239" s="49" t="s">
        <v>30</v>
      </c>
      <c r="D239" s="49" t="s">
        <v>1042</v>
      </c>
      <c r="G239" s="49" t="s">
        <v>14338</v>
      </c>
      <c r="H239" s="49" t="s">
        <v>1043</v>
      </c>
      <c r="I239" s="49" t="s">
        <v>1044</v>
      </c>
      <c r="J239" s="49" t="s">
        <v>1045</v>
      </c>
      <c r="K239" s="49" t="s">
        <v>1046</v>
      </c>
      <c r="L239" s="49" t="s">
        <v>1047</v>
      </c>
      <c r="M239" s="49" t="s">
        <v>1048</v>
      </c>
      <c r="N239" s="49" t="s">
        <v>1049</v>
      </c>
      <c r="O239" s="49" t="s">
        <v>4422</v>
      </c>
      <c r="P239" s="49" t="s">
        <v>4423</v>
      </c>
      <c r="Q239" s="49" t="s">
        <v>4424</v>
      </c>
      <c r="R239" s="49" t="s">
        <v>4425</v>
      </c>
      <c r="S239" s="49" t="s">
        <v>4426</v>
      </c>
      <c r="T239" s="49" t="s">
        <v>4427</v>
      </c>
    </row>
    <row r="240" spans="1:21" x14ac:dyDescent="0.2">
      <c r="A240" s="49" t="s">
        <v>30</v>
      </c>
      <c r="D240" s="49" t="s">
        <v>2065</v>
      </c>
      <c r="G240" s="49" t="s">
        <v>14339</v>
      </c>
      <c r="H240" s="49" t="s">
        <v>2066</v>
      </c>
      <c r="I240" s="49" t="s">
        <v>2067</v>
      </c>
      <c r="J240" s="49" t="s">
        <v>2068</v>
      </c>
      <c r="K240" s="49" t="s">
        <v>2069</v>
      </c>
      <c r="L240" s="49" t="s">
        <v>2070</v>
      </c>
      <c r="M240" s="49" t="s">
        <v>2071</v>
      </c>
      <c r="N240" s="49" t="s">
        <v>2072</v>
      </c>
      <c r="O240" s="49" t="s">
        <v>4218</v>
      </c>
      <c r="P240" s="49" t="s">
        <v>4219</v>
      </c>
      <c r="Q240" s="49" t="s">
        <v>4220</v>
      </c>
      <c r="R240" s="49" t="s">
        <v>4221</v>
      </c>
      <c r="S240" s="49" t="s">
        <v>4222</v>
      </c>
      <c r="T240" s="49" t="s">
        <v>4223</v>
      </c>
    </row>
    <row r="241" spans="1:21" x14ac:dyDescent="0.2">
      <c r="A241" s="49" t="s">
        <v>30</v>
      </c>
      <c r="D241" s="49" t="s">
        <v>2073</v>
      </c>
      <c r="G241" s="49" t="s">
        <v>14340</v>
      </c>
      <c r="H241" s="49" t="s">
        <v>2074</v>
      </c>
      <c r="I241" s="49" t="s">
        <v>2075</v>
      </c>
      <c r="J241" s="49" t="s">
        <v>2076</v>
      </c>
      <c r="K241" s="49" t="s">
        <v>2077</v>
      </c>
      <c r="L241" s="49" t="s">
        <v>2078</v>
      </c>
      <c r="M241" s="49" t="s">
        <v>2079</v>
      </c>
      <c r="N241" s="49" t="s">
        <v>2080</v>
      </c>
      <c r="O241" s="49" t="s">
        <v>3132</v>
      </c>
      <c r="P241" s="49" t="s">
        <v>3133</v>
      </c>
      <c r="Q241" s="49" t="s">
        <v>3134</v>
      </c>
      <c r="R241" s="49" t="s">
        <v>3135</v>
      </c>
      <c r="S241" s="49" t="s">
        <v>3136</v>
      </c>
      <c r="T241" s="49" t="s">
        <v>3137</v>
      </c>
    </row>
    <row r="242" spans="1:21" x14ac:dyDescent="0.2">
      <c r="A242" s="49" t="s">
        <v>30</v>
      </c>
      <c r="D242" s="49" t="s">
        <v>2691</v>
      </c>
      <c r="G242" s="49" t="s">
        <v>14341</v>
      </c>
      <c r="H242" s="49" t="s">
        <v>2692</v>
      </c>
      <c r="I242" s="49" t="s">
        <v>2693</v>
      </c>
      <c r="J242" s="49" t="s">
        <v>2694</v>
      </c>
      <c r="K242" s="49" t="s">
        <v>2695</v>
      </c>
      <c r="L242" s="49" t="s">
        <v>2696</v>
      </c>
      <c r="M242" s="49" t="s">
        <v>2697</v>
      </c>
      <c r="N242" s="49" t="s">
        <v>2698</v>
      </c>
      <c r="O242" s="49" t="s">
        <v>3138</v>
      </c>
      <c r="P242" s="49" t="s">
        <v>3139</v>
      </c>
      <c r="Q242" s="49" t="s">
        <v>3140</v>
      </c>
      <c r="R242" s="49" t="s">
        <v>3141</v>
      </c>
      <c r="S242" s="49" t="s">
        <v>3142</v>
      </c>
      <c r="T242" s="49" t="s">
        <v>3143</v>
      </c>
    </row>
    <row r="243" spans="1:21" x14ac:dyDescent="0.2">
      <c r="A243" s="49" t="s">
        <v>30</v>
      </c>
    </row>
    <row r="244" spans="1:21" x14ac:dyDescent="0.2">
      <c r="A244" s="49" t="s">
        <v>30</v>
      </c>
      <c r="E244" s="49" t="s">
        <v>31</v>
      </c>
      <c r="F244" s="49" t="s">
        <v>31</v>
      </c>
      <c r="G244" s="49" t="s">
        <v>31</v>
      </c>
      <c r="J244" s="49" t="s">
        <v>31</v>
      </c>
      <c r="K244" s="49" t="s">
        <v>31</v>
      </c>
      <c r="L244" s="49" t="s">
        <v>31</v>
      </c>
      <c r="M244" s="49" t="s">
        <v>31</v>
      </c>
    </row>
    <row r="245" spans="1:21" x14ac:dyDescent="0.2">
      <c r="A245" s="49" t="s">
        <v>30</v>
      </c>
      <c r="D245" s="49" t="s">
        <v>10145</v>
      </c>
      <c r="E245" s="49" t="s">
        <v>4601</v>
      </c>
      <c r="F245" s="49" t="s">
        <v>10146</v>
      </c>
      <c r="H245" s="49" t="s">
        <v>10147</v>
      </c>
      <c r="O245" s="49" t="s">
        <v>14342</v>
      </c>
      <c r="P245" s="49" t="s">
        <v>14343</v>
      </c>
      <c r="Q245" s="49" t="s">
        <v>14344</v>
      </c>
      <c r="R245" s="49" t="s">
        <v>14345</v>
      </c>
      <c r="S245" s="49" t="s">
        <v>14346</v>
      </c>
      <c r="T245" s="49" t="s">
        <v>14347</v>
      </c>
      <c r="U245" s="49" t="s">
        <v>14348</v>
      </c>
    </row>
    <row r="246" spans="1:21" x14ac:dyDescent="0.2">
      <c r="A246" s="49" t="s">
        <v>30</v>
      </c>
      <c r="D246" s="49" t="s">
        <v>2589</v>
      </c>
      <c r="G246" s="49" t="s">
        <v>14349</v>
      </c>
      <c r="H246" s="49" t="s">
        <v>2590</v>
      </c>
      <c r="I246" s="49" t="s">
        <v>2591</v>
      </c>
      <c r="J246" s="49" t="s">
        <v>2592</v>
      </c>
      <c r="K246" s="49" t="s">
        <v>2593</v>
      </c>
      <c r="L246" s="49" t="s">
        <v>2594</v>
      </c>
      <c r="M246" s="49" t="s">
        <v>2595</v>
      </c>
      <c r="N246" s="49" t="s">
        <v>2596</v>
      </c>
      <c r="O246" s="49" t="s">
        <v>31744</v>
      </c>
      <c r="P246" s="49" t="s">
        <v>31747</v>
      </c>
      <c r="Q246" s="49" t="s">
        <v>31750</v>
      </c>
      <c r="R246" s="49" t="s">
        <v>31753</v>
      </c>
      <c r="S246" s="49" t="s">
        <v>31756</v>
      </c>
      <c r="T246" s="49" t="s">
        <v>31759</v>
      </c>
    </row>
    <row r="247" spans="1:21" x14ac:dyDescent="0.2">
      <c r="A247" s="49" t="s">
        <v>30</v>
      </c>
      <c r="D247" s="49" t="s">
        <v>1058</v>
      </c>
      <c r="G247" s="49" t="s">
        <v>14350</v>
      </c>
      <c r="H247" s="49" t="s">
        <v>1059</v>
      </c>
      <c r="I247" s="49" t="s">
        <v>1060</v>
      </c>
      <c r="J247" s="49" t="s">
        <v>1061</v>
      </c>
      <c r="K247" s="49" t="s">
        <v>1062</v>
      </c>
      <c r="L247" s="49" t="s">
        <v>1063</v>
      </c>
      <c r="M247" s="49" t="s">
        <v>1064</v>
      </c>
      <c r="N247" s="49" t="s">
        <v>1065</v>
      </c>
      <c r="O247" s="49" t="s">
        <v>31745</v>
      </c>
      <c r="P247" s="49" t="s">
        <v>31748</v>
      </c>
      <c r="Q247" s="49" t="s">
        <v>31751</v>
      </c>
      <c r="R247" s="49" t="s">
        <v>31754</v>
      </c>
      <c r="S247" s="49" t="s">
        <v>31757</v>
      </c>
      <c r="T247" s="49" t="s">
        <v>31760</v>
      </c>
    </row>
    <row r="248" spans="1:21" x14ac:dyDescent="0.2">
      <c r="A248" s="49" t="s">
        <v>30</v>
      </c>
      <c r="D248" s="49" t="s">
        <v>2699</v>
      </c>
      <c r="G248" s="49" t="s">
        <v>14351</v>
      </c>
      <c r="H248" s="49" t="s">
        <v>2700</v>
      </c>
      <c r="I248" s="49" t="s">
        <v>2701</v>
      </c>
      <c r="J248" s="49" t="s">
        <v>2702</v>
      </c>
      <c r="K248" s="49" t="s">
        <v>2703</v>
      </c>
      <c r="L248" s="49" t="s">
        <v>2704</v>
      </c>
      <c r="M248" s="49" t="s">
        <v>2705</v>
      </c>
      <c r="N248" s="49" t="s">
        <v>2706</v>
      </c>
      <c r="O248" s="49" t="s">
        <v>31746</v>
      </c>
      <c r="P248" s="49" t="s">
        <v>31749</v>
      </c>
      <c r="Q248" s="49" t="s">
        <v>31752</v>
      </c>
      <c r="R248" s="49" t="s">
        <v>31755</v>
      </c>
      <c r="S248" s="49" t="s">
        <v>31758</v>
      </c>
      <c r="T248" s="49" t="s">
        <v>31761</v>
      </c>
    </row>
    <row r="249" spans="1:21" x14ac:dyDescent="0.2">
      <c r="A249" s="49" t="s">
        <v>30</v>
      </c>
      <c r="D249" s="49" t="s">
        <v>2089</v>
      </c>
      <c r="G249" s="49" t="s">
        <v>14352</v>
      </c>
      <c r="H249" s="49" t="s">
        <v>2090</v>
      </c>
      <c r="I249" s="49" t="s">
        <v>2091</v>
      </c>
      <c r="J249" s="49" t="s">
        <v>2092</v>
      </c>
      <c r="K249" s="49" t="s">
        <v>2093</v>
      </c>
      <c r="L249" s="49" t="s">
        <v>2094</v>
      </c>
      <c r="M249" s="49" t="s">
        <v>2095</v>
      </c>
      <c r="N249" s="49" t="s">
        <v>2096</v>
      </c>
      <c r="O249" s="49" t="s">
        <v>3144</v>
      </c>
      <c r="P249" s="49" t="s">
        <v>3145</v>
      </c>
      <c r="Q249" s="49" t="s">
        <v>3146</v>
      </c>
      <c r="R249" s="49" t="s">
        <v>3147</v>
      </c>
      <c r="S249" s="49" t="s">
        <v>3148</v>
      </c>
      <c r="T249" s="49" t="s">
        <v>3149</v>
      </c>
    </row>
    <row r="250" spans="1:21" x14ac:dyDescent="0.2">
      <c r="A250" s="49" t="s">
        <v>30</v>
      </c>
      <c r="D250" s="49" t="s">
        <v>2097</v>
      </c>
      <c r="G250" s="49" t="s">
        <v>14353</v>
      </c>
      <c r="H250" s="49" t="s">
        <v>2098</v>
      </c>
      <c r="I250" s="49" t="s">
        <v>2099</v>
      </c>
      <c r="J250" s="49" t="s">
        <v>2100</v>
      </c>
      <c r="K250" s="49" t="s">
        <v>2101</v>
      </c>
      <c r="L250" s="49" t="s">
        <v>2102</v>
      </c>
      <c r="M250" s="49" t="s">
        <v>2103</v>
      </c>
      <c r="N250" s="49" t="s">
        <v>2104</v>
      </c>
      <c r="O250" s="49" t="s">
        <v>3150</v>
      </c>
      <c r="P250" s="49" t="s">
        <v>3151</v>
      </c>
      <c r="Q250" s="49" t="s">
        <v>3152</v>
      </c>
      <c r="R250" s="49" t="s">
        <v>3153</v>
      </c>
      <c r="S250" s="49" t="s">
        <v>3154</v>
      </c>
      <c r="T250" s="49" t="s">
        <v>3155</v>
      </c>
    </row>
    <row r="251" spans="1:21" x14ac:dyDescent="0.2">
      <c r="A251" s="49" t="s">
        <v>30</v>
      </c>
      <c r="D251" s="49" t="s">
        <v>1066</v>
      </c>
      <c r="G251" s="49" t="s">
        <v>14354</v>
      </c>
      <c r="H251" s="49" t="s">
        <v>1067</v>
      </c>
      <c r="I251" s="49" t="s">
        <v>1068</v>
      </c>
      <c r="J251" s="49" t="s">
        <v>1069</v>
      </c>
      <c r="K251" s="49" t="s">
        <v>1070</v>
      </c>
      <c r="L251" s="49" t="s">
        <v>1071</v>
      </c>
      <c r="M251" s="49" t="s">
        <v>1072</v>
      </c>
      <c r="N251" s="49" t="s">
        <v>1073</v>
      </c>
      <c r="O251" s="49" t="s">
        <v>3156</v>
      </c>
      <c r="P251" s="49" t="s">
        <v>3157</v>
      </c>
      <c r="Q251" s="49" t="s">
        <v>3158</v>
      </c>
      <c r="R251" s="49" t="s">
        <v>3159</v>
      </c>
      <c r="S251" s="49" t="s">
        <v>3160</v>
      </c>
      <c r="T251" s="49" t="s">
        <v>3161</v>
      </c>
    </row>
    <row r="252" spans="1:21" x14ac:dyDescent="0.2">
      <c r="A252" s="49" t="s">
        <v>30</v>
      </c>
      <c r="D252" s="49" t="s">
        <v>1074</v>
      </c>
      <c r="G252" s="49" t="s">
        <v>14355</v>
      </c>
      <c r="H252" s="49" t="s">
        <v>1075</v>
      </c>
      <c r="I252" s="49" t="s">
        <v>1076</v>
      </c>
      <c r="J252" s="49" t="s">
        <v>1077</v>
      </c>
      <c r="K252" s="49" t="s">
        <v>1078</v>
      </c>
      <c r="L252" s="49" t="s">
        <v>1079</v>
      </c>
      <c r="M252" s="49" t="s">
        <v>1080</v>
      </c>
      <c r="N252" s="49" t="s">
        <v>1081</v>
      </c>
      <c r="O252" s="49" t="s">
        <v>4224</v>
      </c>
      <c r="P252" s="49" t="s">
        <v>4225</v>
      </c>
      <c r="Q252" s="49" t="s">
        <v>4226</v>
      </c>
      <c r="R252" s="49" t="s">
        <v>4227</v>
      </c>
      <c r="S252" s="49" t="s">
        <v>4228</v>
      </c>
      <c r="T252" s="49" t="s">
        <v>4229</v>
      </c>
    </row>
    <row r="253" spans="1:21" x14ac:dyDescent="0.2">
      <c r="A253" s="49" t="s">
        <v>30</v>
      </c>
      <c r="D253" s="49" t="s">
        <v>1082</v>
      </c>
      <c r="G253" s="49" t="s">
        <v>14356</v>
      </c>
      <c r="H253" s="49" t="s">
        <v>1083</v>
      </c>
      <c r="I253" s="49" t="s">
        <v>1084</v>
      </c>
      <c r="J253" s="49" t="s">
        <v>1085</v>
      </c>
      <c r="K253" s="49" t="s">
        <v>1086</v>
      </c>
      <c r="L253" s="49" t="s">
        <v>1087</v>
      </c>
      <c r="M253" s="49" t="s">
        <v>1088</v>
      </c>
      <c r="N253" s="49" t="s">
        <v>1089</v>
      </c>
      <c r="O253" s="49" t="s">
        <v>4230</v>
      </c>
      <c r="P253" s="49" t="s">
        <v>4231</v>
      </c>
      <c r="Q253" s="49" t="s">
        <v>4232</v>
      </c>
      <c r="R253" s="49" t="s">
        <v>4233</v>
      </c>
      <c r="S253" s="49" t="s">
        <v>4234</v>
      </c>
      <c r="T253" s="49" t="s">
        <v>4235</v>
      </c>
    </row>
    <row r="254" spans="1:21" x14ac:dyDescent="0.2">
      <c r="A254" s="49" t="s">
        <v>30</v>
      </c>
      <c r="D254" s="49" t="s">
        <v>2597</v>
      </c>
      <c r="G254" s="49" t="s">
        <v>14357</v>
      </c>
      <c r="H254" s="49" t="s">
        <v>2598</v>
      </c>
      <c r="I254" s="49" t="s">
        <v>2599</v>
      </c>
      <c r="J254" s="49" t="s">
        <v>2600</v>
      </c>
      <c r="K254" s="49" t="s">
        <v>2601</v>
      </c>
      <c r="L254" s="49" t="s">
        <v>2602</v>
      </c>
      <c r="M254" s="49" t="s">
        <v>2603</v>
      </c>
      <c r="N254" s="49" t="s">
        <v>2604</v>
      </c>
      <c r="O254" s="49" t="s">
        <v>4236</v>
      </c>
      <c r="P254" s="49" t="s">
        <v>4237</v>
      </c>
      <c r="Q254" s="49" t="s">
        <v>4238</v>
      </c>
      <c r="R254" s="49" t="s">
        <v>4239</v>
      </c>
      <c r="S254" s="49" t="s">
        <v>4240</v>
      </c>
      <c r="T254" s="49" t="s">
        <v>4241</v>
      </c>
    </row>
    <row r="255" spans="1:21" x14ac:dyDescent="0.2">
      <c r="A255" s="49" t="s">
        <v>30</v>
      </c>
      <c r="D255" s="49" t="s">
        <v>2105</v>
      </c>
      <c r="G255" s="49" t="s">
        <v>14358</v>
      </c>
      <c r="H255" s="49" t="s">
        <v>2106</v>
      </c>
      <c r="I255" s="49" t="s">
        <v>2107</v>
      </c>
      <c r="J255" s="49" t="s">
        <v>2108</v>
      </c>
      <c r="K255" s="49" t="s">
        <v>2109</v>
      </c>
      <c r="L255" s="49" t="s">
        <v>2110</v>
      </c>
      <c r="M255" s="49" t="s">
        <v>2111</v>
      </c>
      <c r="N255" s="49" t="s">
        <v>2112</v>
      </c>
      <c r="O255" s="49" t="s">
        <v>3162</v>
      </c>
      <c r="P255" s="49" t="s">
        <v>3163</v>
      </c>
      <c r="Q255" s="49" t="s">
        <v>3164</v>
      </c>
      <c r="R255" s="49" t="s">
        <v>3165</v>
      </c>
      <c r="S255" s="49" t="s">
        <v>3166</v>
      </c>
      <c r="T255" s="49" t="s">
        <v>3167</v>
      </c>
    </row>
    <row r="256" spans="1:21" x14ac:dyDescent="0.2">
      <c r="A256" s="49" t="s">
        <v>30</v>
      </c>
      <c r="D256" s="49" t="s">
        <v>2707</v>
      </c>
      <c r="G256" s="49" t="s">
        <v>14359</v>
      </c>
      <c r="H256" s="49" t="s">
        <v>2708</v>
      </c>
      <c r="I256" s="49" t="s">
        <v>2709</v>
      </c>
      <c r="J256" s="49" t="s">
        <v>2710</v>
      </c>
      <c r="K256" s="49" t="s">
        <v>2711</v>
      </c>
      <c r="L256" s="49" t="s">
        <v>2712</v>
      </c>
      <c r="M256" s="49" t="s">
        <v>2713</v>
      </c>
      <c r="N256" s="49" t="s">
        <v>2714</v>
      </c>
      <c r="O256" s="49" t="s">
        <v>3168</v>
      </c>
      <c r="P256" s="49" t="s">
        <v>3169</v>
      </c>
      <c r="Q256" s="49" t="s">
        <v>3170</v>
      </c>
      <c r="R256" s="49" t="s">
        <v>3171</v>
      </c>
      <c r="S256" s="49" t="s">
        <v>3172</v>
      </c>
      <c r="T256" s="49" t="s">
        <v>3173</v>
      </c>
    </row>
    <row r="257" spans="1:21" x14ac:dyDescent="0.2">
      <c r="A257" s="49" t="s">
        <v>30</v>
      </c>
      <c r="D257" s="49" t="s">
        <v>1090</v>
      </c>
      <c r="G257" s="49" t="s">
        <v>14360</v>
      </c>
      <c r="H257" s="49" t="s">
        <v>1091</v>
      </c>
      <c r="I257" s="49" t="s">
        <v>1092</v>
      </c>
      <c r="J257" s="49" t="s">
        <v>1093</v>
      </c>
      <c r="K257" s="49" t="s">
        <v>1094</v>
      </c>
      <c r="L257" s="49" t="s">
        <v>1095</v>
      </c>
      <c r="M257" s="49" t="s">
        <v>1096</v>
      </c>
      <c r="N257" s="49" t="s">
        <v>1097</v>
      </c>
      <c r="O257" s="49" t="s">
        <v>4242</v>
      </c>
      <c r="P257" s="49" t="s">
        <v>4243</v>
      </c>
      <c r="Q257" s="49" t="s">
        <v>4244</v>
      </c>
      <c r="R257" s="49" t="s">
        <v>4245</v>
      </c>
      <c r="S257" s="49" t="s">
        <v>4246</v>
      </c>
      <c r="T257" s="49" t="s">
        <v>4247</v>
      </c>
    </row>
    <row r="258" spans="1:21" x14ac:dyDescent="0.2">
      <c r="A258" s="49" t="s">
        <v>30</v>
      </c>
    </row>
    <row r="259" spans="1:21" x14ac:dyDescent="0.2">
      <c r="A259" s="49" t="s">
        <v>30</v>
      </c>
      <c r="E259" s="49" t="s">
        <v>31</v>
      </c>
      <c r="F259" s="49" t="s">
        <v>31</v>
      </c>
      <c r="G259" s="49" t="s">
        <v>31</v>
      </c>
      <c r="J259" s="49" t="s">
        <v>31</v>
      </c>
      <c r="K259" s="49" t="s">
        <v>31</v>
      </c>
      <c r="L259" s="49" t="s">
        <v>31</v>
      </c>
      <c r="M259" s="49" t="s">
        <v>31</v>
      </c>
    </row>
    <row r="260" spans="1:21" x14ac:dyDescent="0.2">
      <c r="A260" s="49" t="s">
        <v>30</v>
      </c>
      <c r="D260" s="49" t="s">
        <v>10164</v>
      </c>
      <c r="E260" s="49" t="s">
        <v>4615</v>
      </c>
      <c r="F260" s="49" t="s">
        <v>10165</v>
      </c>
      <c r="H260" s="49" t="s">
        <v>10166</v>
      </c>
      <c r="O260" s="49" t="s">
        <v>14361</v>
      </c>
      <c r="P260" s="49" t="s">
        <v>14362</v>
      </c>
      <c r="Q260" s="49" t="s">
        <v>14363</v>
      </c>
      <c r="R260" s="49" t="s">
        <v>14364</v>
      </c>
      <c r="S260" s="49" t="s">
        <v>14365</v>
      </c>
      <c r="T260" s="49" t="s">
        <v>14366</v>
      </c>
      <c r="U260" s="49" t="s">
        <v>14367</v>
      </c>
    </row>
    <row r="261" spans="1:21" x14ac:dyDescent="0.2">
      <c r="A261" s="49" t="s">
        <v>30</v>
      </c>
      <c r="D261" s="49" t="s">
        <v>2121</v>
      </c>
      <c r="G261" s="49" t="s">
        <v>10784</v>
      </c>
      <c r="H261" s="49" t="s">
        <v>2122</v>
      </c>
      <c r="I261" s="49" t="s">
        <v>2123</v>
      </c>
      <c r="J261" s="49" t="s">
        <v>2124</v>
      </c>
      <c r="K261" s="49" t="s">
        <v>2125</v>
      </c>
      <c r="L261" s="49" t="s">
        <v>2126</v>
      </c>
      <c r="M261" s="49" t="s">
        <v>2127</v>
      </c>
      <c r="N261" s="49" t="s">
        <v>2128</v>
      </c>
      <c r="O261" s="49" t="s">
        <v>12744</v>
      </c>
      <c r="P261" s="49" t="s">
        <v>12747</v>
      </c>
      <c r="Q261" s="49" t="s">
        <v>12750</v>
      </c>
      <c r="R261" s="49" t="s">
        <v>12753</v>
      </c>
      <c r="S261" s="49" t="s">
        <v>12756</v>
      </c>
      <c r="T261" s="49" t="s">
        <v>12759</v>
      </c>
    </row>
    <row r="262" spans="1:21" x14ac:dyDescent="0.2">
      <c r="A262" s="49" t="s">
        <v>30</v>
      </c>
      <c r="D262" s="49" t="s">
        <v>2715</v>
      </c>
      <c r="G262" s="49" t="s">
        <v>14368</v>
      </c>
      <c r="H262" s="49" t="s">
        <v>2716</v>
      </c>
      <c r="I262" s="49" t="s">
        <v>2717</v>
      </c>
      <c r="J262" s="49" t="s">
        <v>2718</v>
      </c>
      <c r="K262" s="49" t="s">
        <v>2719</v>
      </c>
      <c r="L262" s="49" t="s">
        <v>2720</v>
      </c>
      <c r="M262" s="49" t="s">
        <v>2721</v>
      </c>
      <c r="N262" s="49" t="s">
        <v>2722</v>
      </c>
      <c r="O262" s="49" t="s">
        <v>12745</v>
      </c>
      <c r="P262" s="49" t="s">
        <v>12748</v>
      </c>
      <c r="Q262" s="49" t="s">
        <v>12751</v>
      </c>
      <c r="R262" s="49" t="s">
        <v>12754</v>
      </c>
      <c r="S262" s="49" t="s">
        <v>12757</v>
      </c>
      <c r="T262" s="49" t="s">
        <v>12760</v>
      </c>
    </row>
    <row r="263" spans="1:21" x14ac:dyDescent="0.2">
      <c r="A263" s="49" t="s">
        <v>30</v>
      </c>
      <c r="D263" s="49" t="s">
        <v>1114</v>
      </c>
      <c r="G263" s="49" t="s">
        <v>14369</v>
      </c>
      <c r="H263" s="49" t="s">
        <v>1115</v>
      </c>
      <c r="I263" s="49" t="s">
        <v>1116</v>
      </c>
      <c r="J263" s="49" t="s">
        <v>1117</v>
      </c>
      <c r="K263" s="49" t="s">
        <v>1118</v>
      </c>
      <c r="L263" s="49" t="s">
        <v>1119</v>
      </c>
      <c r="M263" s="49" t="s">
        <v>1120</v>
      </c>
      <c r="N263" s="49" t="s">
        <v>1121</v>
      </c>
      <c r="O263" s="49" t="s">
        <v>12746</v>
      </c>
      <c r="P263" s="49" t="s">
        <v>12749</v>
      </c>
      <c r="Q263" s="49" t="s">
        <v>12752</v>
      </c>
      <c r="R263" s="49" t="s">
        <v>12755</v>
      </c>
      <c r="S263" s="49" t="s">
        <v>12758</v>
      </c>
      <c r="T263" s="49" t="s">
        <v>12761</v>
      </c>
    </row>
    <row r="264" spans="1:21" x14ac:dyDescent="0.2">
      <c r="A264" s="49" t="s">
        <v>30</v>
      </c>
      <c r="D264" s="49" t="s">
        <v>1122</v>
      </c>
      <c r="G264" s="49" t="s">
        <v>14370</v>
      </c>
      <c r="H264" s="49" t="s">
        <v>1123</v>
      </c>
      <c r="I264" s="49" t="s">
        <v>1124</v>
      </c>
      <c r="J264" s="49" t="s">
        <v>1125</v>
      </c>
      <c r="K264" s="49" t="s">
        <v>1126</v>
      </c>
      <c r="L264" s="49" t="s">
        <v>1127</v>
      </c>
      <c r="M264" s="49" t="s">
        <v>1128</v>
      </c>
      <c r="N264" s="49" t="s">
        <v>1129</v>
      </c>
      <c r="O264" s="49" t="s">
        <v>4248</v>
      </c>
      <c r="P264" s="49" t="s">
        <v>4249</v>
      </c>
      <c r="Q264" s="49" t="s">
        <v>4250</v>
      </c>
      <c r="R264" s="49" t="s">
        <v>4251</v>
      </c>
      <c r="S264" s="49" t="s">
        <v>4252</v>
      </c>
      <c r="T264" s="49" t="s">
        <v>4253</v>
      </c>
    </row>
    <row r="265" spans="1:21" x14ac:dyDescent="0.2">
      <c r="A265" s="49" t="s">
        <v>30</v>
      </c>
      <c r="D265" s="49" t="s">
        <v>1130</v>
      </c>
      <c r="G265" s="49" t="s">
        <v>14371</v>
      </c>
      <c r="H265" s="49" t="s">
        <v>1131</v>
      </c>
      <c r="I265" s="49" t="s">
        <v>1132</v>
      </c>
      <c r="J265" s="49" t="s">
        <v>1133</v>
      </c>
      <c r="K265" s="49" t="s">
        <v>1134</v>
      </c>
      <c r="L265" s="49" t="s">
        <v>1135</v>
      </c>
      <c r="M265" s="49" t="s">
        <v>1136</v>
      </c>
      <c r="N265" s="49" t="s">
        <v>1137</v>
      </c>
      <c r="O265" s="49" t="s">
        <v>3174</v>
      </c>
      <c r="P265" s="49" t="s">
        <v>3175</v>
      </c>
      <c r="Q265" s="49" t="s">
        <v>3176</v>
      </c>
      <c r="R265" s="49" t="s">
        <v>3177</v>
      </c>
      <c r="S265" s="49" t="s">
        <v>3178</v>
      </c>
      <c r="T265" s="49" t="s">
        <v>3179</v>
      </c>
    </row>
    <row r="266" spans="1:21" x14ac:dyDescent="0.2">
      <c r="A266" s="49" t="s">
        <v>30</v>
      </c>
      <c r="D266" s="49" t="s">
        <v>2395</v>
      </c>
      <c r="G266" s="49" t="s">
        <v>14372</v>
      </c>
      <c r="H266" s="49" t="s">
        <v>2396</v>
      </c>
      <c r="I266" s="49" t="s">
        <v>2397</v>
      </c>
      <c r="J266" s="49" t="s">
        <v>2398</v>
      </c>
      <c r="K266" s="49" t="s">
        <v>2399</v>
      </c>
      <c r="L266" s="49" t="s">
        <v>2400</v>
      </c>
      <c r="M266" s="49" t="s">
        <v>2401</v>
      </c>
      <c r="N266" s="49" t="s">
        <v>2402</v>
      </c>
      <c r="O266" s="49" t="s">
        <v>31706</v>
      </c>
      <c r="P266" s="49" t="s">
        <v>31712</v>
      </c>
      <c r="Q266" s="49" t="s">
        <v>31718</v>
      </c>
      <c r="R266" s="49" t="s">
        <v>31724</v>
      </c>
      <c r="S266" s="49" t="s">
        <v>31730</v>
      </c>
      <c r="T266" s="49" t="s">
        <v>31736</v>
      </c>
    </row>
    <row r="267" spans="1:21" x14ac:dyDescent="0.2">
      <c r="A267" s="49" t="s">
        <v>30</v>
      </c>
      <c r="D267" s="49" t="s">
        <v>14373</v>
      </c>
      <c r="G267" s="49" t="s">
        <v>14374</v>
      </c>
      <c r="H267" s="49" t="s">
        <v>31704</v>
      </c>
      <c r="I267" s="49" t="s">
        <v>31705</v>
      </c>
      <c r="J267" s="49" t="s">
        <v>31742</v>
      </c>
      <c r="K267" s="49" t="s">
        <v>31743</v>
      </c>
      <c r="L267" s="49" t="s">
        <v>14375</v>
      </c>
      <c r="M267" s="49" t="s">
        <v>14376</v>
      </c>
      <c r="N267" s="49" t="s">
        <v>14377</v>
      </c>
      <c r="O267" s="49" t="s">
        <v>31707</v>
      </c>
      <c r="P267" s="49" t="s">
        <v>31713</v>
      </c>
      <c r="Q267" s="49" t="s">
        <v>31719</v>
      </c>
      <c r="R267" s="49" t="s">
        <v>31725</v>
      </c>
      <c r="S267" s="49" t="s">
        <v>31731</v>
      </c>
      <c r="T267" s="49" t="s">
        <v>31737</v>
      </c>
    </row>
    <row r="268" spans="1:21" x14ac:dyDescent="0.2">
      <c r="A268" s="49" t="s">
        <v>30</v>
      </c>
      <c r="D268" s="49" t="s">
        <v>2403</v>
      </c>
      <c r="G268" s="49" t="s">
        <v>14378</v>
      </c>
      <c r="H268" s="49" t="s">
        <v>2404</v>
      </c>
      <c r="I268" s="49" t="s">
        <v>2405</v>
      </c>
      <c r="J268" s="49" t="s">
        <v>2406</v>
      </c>
      <c r="K268" s="49" t="s">
        <v>2407</v>
      </c>
      <c r="L268" s="49" t="s">
        <v>2408</v>
      </c>
      <c r="M268" s="49" t="s">
        <v>2409</v>
      </c>
      <c r="N268" s="49" t="s">
        <v>2410</v>
      </c>
      <c r="O268" s="49" t="s">
        <v>31708</v>
      </c>
      <c r="P268" s="49" t="s">
        <v>31714</v>
      </c>
      <c r="Q268" s="49" t="s">
        <v>31720</v>
      </c>
      <c r="R268" s="49" t="s">
        <v>31726</v>
      </c>
      <c r="S268" s="49" t="s">
        <v>31732</v>
      </c>
      <c r="T268" s="49" t="s">
        <v>31738</v>
      </c>
    </row>
    <row r="269" spans="1:21" x14ac:dyDescent="0.2">
      <c r="A269" s="49" t="s">
        <v>30</v>
      </c>
      <c r="D269" s="49" t="s">
        <v>4763</v>
      </c>
      <c r="G269" s="49" t="s">
        <v>14379</v>
      </c>
      <c r="H269" s="49" t="s">
        <v>4764</v>
      </c>
      <c r="I269" s="49" t="s">
        <v>4765</v>
      </c>
      <c r="J269" s="49" t="s">
        <v>4766</v>
      </c>
      <c r="K269" s="49" t="s">
        <v>4767</v>
      </c>
      <c r="L269" s="49" t="s">
        <v>4768</v>
      </c>
      <c r="M269" s="49" t="s">
        <v>4769</v>
      </c>
      <c r="N269" s="49" t="s">
        <v>4770</v>
      </c>
      <c r="O269" s="49" t="s">
        <v>4771</v>
      </c>
      <c r="P269" s="49" t="s">
        <v>4772</v>
      </c>
      <c r="Q269" s="49" t="s">
        <v>4773</v>
      </c>
      <c r="R269" s="49" t="s">
        <v>4774</v>
      </c>
      <c r="S269" s="49" t="s">
        <v>4775</v>
      </c>
      <c r="T269" s="49" t="s">
        <v>4776</v>
      </c>
    </row>
    <row r="270" spans="1:21" x14ac:dyDescent="0.2">
      <c r="A270" s="49" t="s">
        <v>30</v>
      </c>
      <c r="D270" s="49" t="s">
        <v>4777</v>
      </c>
      <c r="G270" s="49" t="s">
        <v>14380</v>
      </c>
      <c r="H270" s="49" t="s">
        <v>4778</v>
      </c>
      <c r="I270" s="49" t="s">
        <v>4779</v>
      </c>
      <c r="J270" s="49" t="s">
        <v>4780</v>
      </c>
      <c r="K270" s="49" t="s">
        <v>4781</v>
      </c>
      <c r="L270" s="49" t="s">
        <v>4782</v>
      </c>
      <c r="M270" s="49" t="s">
        <v>4783</v>
      </c>
      <c r="N270" s="49" t="s">
        <v>4784</v>
      </c>
      <c r="O270" s="49" t="s">
        <v>4785</v>
      </c>
      <c r="P270" s="49" t="s">
        <v>4786</v>
      </c>
      <c r="Q270" s="49" t="s">
        <v>4787</v>
      </c>
      <c r="R270" s="49" t="s">
        <v>4788</v>
      </c>
      <c r="S270" s="49" t="s">
        <v>4789</v>
      </c>
      <c r="T270" s="49" t="s">
        <v>4790</v>
      </c>
    </row>
    <row r="271" spans="1:21" x14ac:dyDescent="0.2">
      <c r="A271" s="49" t="s">
        <v>30</v>
      </c>
      <c r="D271" s="49" t="s">
        <v>4791</v>
      </c>
      <c r="G271" s="49" t="s">
        <v>14381</v>
      </c>
      <c r="H271" s="49" t="s">
        <v>4792</v>
      </c>
      <c r="I271" s="49" t="s">
        <v>4793</v>
      </c>
      <c r="J271" s="49" t="s">
        <v>4794</v>
      </c>
      <c r="K271" s="49" t="s">
        <v>4795</v>
      </c>
      <c r="L271" s="49" t="s">
        <v>4796</v>
      </c>
      <c r="M271" s="49" t="s">
        <v>4797</v>
      </c>
      <c r="N271" s="49" t="s">
        <v>4798</v>
      </c>
      <c r="O271" s="49" t="s">
        <v>4799</v>
      </c>
      <c r="P271" s="49" t="s">
        <v>4800</v>
      </c>
      <c r="Q271" s="49" t="s">
        <v>4801</v>
      </c>
      <c r="R271" s="49" t="s">
        <v>4802</v>
      </c>
      <c r="S271" s="49" t="s">
        <v>4803</v>
      </c>
      <c r="T271" s="49" t="s">
        <v>4804</v>
      </c>
    </row>
    <row r="272" spans="1:21" x14ac:dyDescent="0.2">
      <c r="A272" s="49" t="s">
        <v>30</v>
      </c>
      <c r="D272" s="49" t="s">
        <v>1138</v>
      </c>
      <c r="G272" s="49" t="s">
        <v>14382</v>
      </c>
      <c r="H272" s="49" t="s">
        <v>1139</v>
      </c>
      <c r="I272" s="49" t="s">
        <v>1140</v>
      </c>
      <c r="J272" s="49" t="s">
        <v>1141</v>
      </c>
      <c r="K272" s="49" t="s">
        <v>1142</v>
      </c>
      <c r="L272" s="49" t="s">
        <v>1143</v>
      </c>
      <c r="M272" s="49" t="s">
        <v>1144</v>
      </c>
      <c r="N272" s="49" t="s">
        <v>1145</v>
      </c>
      <c r="O272" s="49" t="s">
        <v>12724</v>
      </c>
      <c r="P272" s="49" t="s">
        <v>12727</v>
      </c>
      <c r="Q272" s="49" t="s">
        <v>12730</v>
      </c>
      <c r="R272" s="49" t="s">
        <v>12733</v>
      </c>
      <c r="S272" s="49" t="s">
        <v>12736</v>
      </c>
      <c r="T272" s="49" t="s">
        <v>12739</v>
      </c>
    </row>
    <row r="273" spans="1:21" x14ac:dyDescent="0.2">
      <c r="A273" s="49" t="s">
        <v>30</v>
      </c>
      <c r="D273" s="49" t="s">
        <v>1146</v>
      </c>
      <c r="G273" s="49" t="s">
        <v>14383</v>
      </c>
      <c r="H273" s="49" t="s">
        <v>1147</v>
      </c>
      <c r="I273" s="49" t="s">
        <v>1148</v>
      </c>
      <c r="J273" s="49" t="s">
        <v>1149</v>
      </c>
      <c r="K273" s="49" t="s">
        <v>1150</v>
      </c>
      <c r="L273" s="49" t="s">
        <v>1151</v>
      </c>
      <c r="M273" s="49" t="s">
        <v>1152</v>
      </c>
      <c r="N273" s="49" t="s">
        <v>1153</v>
      </c>
      <c r="O273" s="49" t="s">
        <v>12725</v>
      </c>
      <c r="P273" s="49" t="s">
        <v>12728</v>
      </c>
      <c r="Q273" s="49" t="s">
        <v>12731</v>
      </c>
      <c r="R273" s="49" t="s">
        <v>12734</v>
      </c>
      <c r="S273" s="49" t="s">
        <v>12737</v>
      </c>
      <c r="T273" s="49" t="s">
        <v>12740</v>
      </c>
    </row>
    <row r="274" spans="1:21" x14ac:dyDescent="0.2">
      <c r="A274" s="49" t="s">
        <v>30</v>
      </c>
      <c r="D274" s="49" t="s">
        <v>10788</v>
      </c>
      <c r="G274" s="49" t="s">
        <v>14384</v>
      </c>
      <c r="H274" s="49" t="s">
        <v>12722</v>
      </c>
      <c r="I274" s="49" t="s">
        <v>12723</v>
      </c>
      <c r="J274" s="49" t="s">
        <v>12742</v>
      </c>
      <c r="K274" s="49" t="s">
        <v>12743</v>
      </c>
      <c r="L274" s="49" t="s">
        <v>10789</v>
      </c>
      <c r="M274" s="49" t="s">
        <v>10790</v>
      </c>
      <c r="N274" s="49" t="s">
        <v>10791</v>
      </c>
      <c r="O274" s="49" t="s">
        <v>12726</v>
      </c>
      <c r="P274" s="49" t="s">
        <v>12729</v>
      </c>
      <c r="Q274" s="49" t="s">
        <v>12732</v>
      </c>
      <c r="R274" s="49" t="s">
        <v>12735</v>
      </c>
      <c r="S274" s="49" t="s">
        <v>12738</v>
      </c>
      <c r="T274" s="49" t="s">
        <v>12741</v>
      </c>
    </row>
    <row r="275" spans="1:21" x14ac:dyDescent="0.2">
      <c r="A275" s="49" t="s">
        <v>30</v>
      </c>
      <c r="D275" s="49" t="s">
        <v>1154</v>
      </c>
      <c r="G275" s="49" t="s">
        <v>14385</v>
      </c>
      <c r="H275" s="49" t="s">
        <v>1155</v>
      </c>
      <c r="I275" s="49" t="s">
        <v>1156</v>
      </c>
      <c r="J275" s="49" t="s">
        <v>1157</v>
      </c>
      <c r="K275" s="49" t="s">
        <v>1158</v>
      </c>
      <c r="L275" s="49" t="s">
        <v>1159</v>
      </c>
      <c r="M275" s="49" t="s">
        <v>1160</v>
      </c>
      <c r="N275" s="49" t="s">
        <v>1161</v>
      </c>
      <c r="O275" s="49" t="s">
        <v>4428</v>
      </c>
      <c r="P275" s="49" t="s">
        <v>4429</v>
      </c>
      <c r="Q275" s="49" t="s">
        <v>4430</v>
      </c>
      <c r="R275" s="49" t="s">
        <v>4431</v>
      </c>
      <c r="S275" s="49" t="s">
        <v>4432</v>
      </c>
      <c r="T275" s="49" t="s">
        <v>4433</v>
      </c>
    </row>
    <row r="276" spans="1:21" x14ac:dyDescent="0.2">
      <c r="A276" s="49" t="s">
        <v>30</v>
      </c>
      <c r="D276" s="49" t="s">
        <v>1162</v>
      </c>
      <c r="G276" s="49" t="s">
        <v>14386</v>
      </c>
      <c r="H276" s="49" t="s">
        <v>1163</v>
      </c>
      <c r="I276" s="49" t="s">
        <v>1164</v>
      </c>
      <c r="J276" s="49" t="s">
        <v>1165</v>
      </c>
      <c r="K276" s="49" t="s">
        <v>1166</v>
      </c>
      <c r="L276" s="49" t="s">
        <v>1167</v>
      </c>
      <c r="M276" s="49" t="s">
        <v>1168</v>
      </c>
      <c r="N276" s="49" t="s">
        <v>1169</v>
      </c>
      <c r="O276" s="49" t="s">
        <v>4434</v>
      </c>
      <c r="P276" s="49" t="s">
        <v>4435</v>
      </c>
      <c r="Q276" s="49" t="s">
        <v>4436</v>
      </c>
      <c r="R276" s="49" t="s">
        <v>4437</v>
      </c>
      <c r="S276" s="49" t="s">
        <v>4438</v>
      </c>
      <c r="T276" s="49" t="s">
        <v>4439</v>
      </c>
    </row>
    <row r="277" spans="1:21" x14ac:dyDescent="0.2">
      <c r="A277" s="49" t="s">
        <v>30</v>
      </c>
      <c r="D277" s="49" t="s">
        <v>1170</v>
      </c>
      <c r="G277" s="49" t="s">
        <v>14387</v>
      </c>
      <c r="H277" s="49" t="s">
        <v>1171</v>
      </c>
      <c r="I277" s="49" t="s">
        <v>1172</v>
      </c>
      <c r="J277" s="49" t="s">
        <v>1173</v>
      </c>
      <c r="K277" s="49" t="s">
        <v>1174</v>
      </c>
      <c r="L277" s="49" t="s">
        <v>1175</v>
      </c>
      <c r="M277" s="49" t="s">
        <v>1176</v>
      </c>
      <c r="N277" s="49" t="s">
        <v>1177</v>
      </c>
      <c r="O277" s="49" t="s">
        <v>31709</v>
      </c>
      <c r="P277" s="49" t="s">
        <v>31715</v>
      </c>
      <c r="Q277" s="49" t="s">
        <v>31721</v>
      </c>
      <c r="R277" s="49" t="s">
        <v>31727</v>
      </c>
      <c r="S277" s="49" t="s">
        <v>31733</v>
      </c>
      <c r="T277" s="49" t="s">
        <v>31739</v>
      </c>
    </row>
    <row r="278" spans="1:21" x14ac:dyDescent="0.2">
      <c r="A278" s="49" t="s">
        <v>30</v>
      </c>
      <c r="D278" s="49" t="s">
        <v>2414</v>
      </c>
      <c r="G278" s="49" t="s">
        <v>14388</v>
      </c>
      <c r="H278" s="49" t="s">
        <v>2415</v>
      </c>
      <c r="I278" s="49" t="s">
        <v>2416</v>
      </c>
      <c r="J278" s="49" t="s">
        <v>2417</v>
      </c>
      <c r="K278" s="49" t="s">
        <v>2418</v>
      </c>
      <c r="L278" s="49" t="s">
        <v>2419</v>
      </c>
      <c r="M278" s="49" t="s">
        <v>2420</v>
      </c>
      <c r="N278" s="49" t="s">
        <v>2421</v>
      </c>
      <c r="O278" s="49" t="s">
        <v>31710</v>
      </c>
      <c r="P278" s="49" t="s">
        <v>31716</v>
      </c>
      <c r="Q278" s="49" t="s">
        <v>31722</v>
      </c>
      <c r="R278" s="49" t="s">
        <v>31728</v>
      </c>
      <c r="S278" s="49" t="s">
        <v>31734</v>
      </c>
      <c r="T278" s="49" t="s">
        <v>31740</v>
      </c>
    </row>
    <row r="279" spans="1:21" x14ac:dyDescent="0.2">
      <c r="A279" s="49" t="s">
        <v>30</v>
      </c>
      <c r="D279" s="49" t="s">
        <v>2422</v>
      </c>
      <c r="G279" s="49" t="s">
        <v>14389</v>
      </c>
      <c r="H279" s="49" t="s">
        <v>2423</v>
      </c>
      <c r="I279" s="49" t="s">
        <v>2424</v>
      </c>
      <c r="J279" s="49" t="s">
        <v>2425</v>
      </c>
      <c r="K279" s="49" t="s">
        <v>2426</v>
      </c>
      <c r="L279" s="49" t="s">
        <v>2427</v>
      </c>
      <c r="M279" s="49" t="s">
        <v>2428</v>
      </c>
      <c r="N279" s="49" t="s">
        <v>2429</v>
      </c>
      <c r="O279" s="49" t="s">
        <v>31711</v>
      </c>
      <c r="P279" s="49" t="s">
        <v>31717</v>
      </c>
      <c r="Q279" s="49" t="s">
        <v>31723</v>
      </c>
      <c r="R279" s="49" t="s">
        <v>31729</v>
      </c>
      <c r="S279" s="49" t="s">
        <v>31735</v>
      </c>
      <c r="T279" s="49" t="s">
        <v>31741</v>
      </c>
    </row>
    <row r="280" spans="1:21" x14ac:dyDescent="0.2">
      <c r="A280" s="49" t="s">
        <v>30</v>
      </c>
    </row>
    <row r="281" spans="1:21" x14ac:dyDescent="0.2">
      <c r="A281" s="49" t="s">
        <v>30</v>
      </c>
      <c r="E281" s="49" t="s">
        <v>31</v>
      </c>
      <c r="F281" s="49" t="s">
        <v>31</v>
      </c>
      <c r="G281" s="49" t="s">
        <v>31</v>
      </c>
      <c r="J281" s="49" t="s">
        <v>31</v>
      </c>
      <c r="K281" s="49" t="s">
        <v>31</v>
      </c>
      <c r="L281" s="49" t="s">
        <v>31</v>
      </c>
      <c r="M281" s="49" t="s">
        <v>31</v>
      </c>
    </row>
    <row r="282" spans="1:21" x14ac:dyDescent="0.2">
      <c r="A282" s="49" t="s">
        <v>30</v>
      </c>
      <c r="D282" s="49" t="s">
        <v>9678</v>
      </c>
      <c r="E282" s="49" t="s">
        <v>4618</v>
      </c>
      <c r="F282" s="49" t="s">
        <v>9679</v>
      </c>
      <c r="H282" s="49" t="s">
        <v>9680</v>
      </c>
      <c r="O282" s="49" t="s">
        <v>14390</v>
      </c>
      <c r="P282" s="49" t="s">
        <v>14391</v>
      </c>
      <c r="Q282" s="49" t="s">
        <v>14392</v>
      </c>
      <c r="R282" s="49" t="s">
        <v>14393</v>
      </c>
      <c r="S282" s="49" t="s">
        <v>14394</v>
      </c>
      <c r="T282" s="49" t="s">
        <v>14395</v>
      </c>
      <c r="U282" s="49" t="s">
        <v>14396</v>
      </c>
    </row>
    <row r="283" spans="1:21" x14ac:dyDescent="0.2">
      <c r="A283" s="49" t="s">
        <v>30</v>
      </c>
      <c r="D283" s="49" t="s">
        <v>4822</v>
      </c>
      <c r="G283" s="49" t="s">
        <v>14397</v>
      </c>
      <c r="H283" s="49" t="s">
        <v>4823</v>
      </c>
      <c r="I283" s="49" t="s">
        <v>4824</v>
      </c>
      <c r="J283" s="49" t="s">
        <v>4825</v>
      </c>
      <c r="K283" s="49" t="s">
        <v>4826</v>
      </c>
      <c r="L283" s="49" t="s">
        <v>4827</v>
      </c>
      <c r="M283" s="49" t="s">
        <v>4828</v>
      </c>
      <c r="N283" s="49" t="s">
        <v>4829</v>
      </c>
      <c r="O283" s="49" t="s">
        <v>4830</v>
      </c>
      <c r="P283" s="49" t="s">
        <v>4831</v>
      </c>
      <c r="Q283" s="49" t="s">
        <v>4832</v>
      </c>
      <c r="R283" s="49" t="s">
        <v>4833</v>
      </c>
      <c r="S283" s="49" t="s">
        <v>4834</v>
      </c>
      <c r="T283" s="49" t="s">
        <v>4835</v>
      </c>
    </row>
    <row r="284" spans="1:21" x14ac:dyDescent="0.2">
      <c r="A284" s="49" t="s">
        <v>30</v>
      </c>
      <c r="D284" s="49" t="s">
        <v>2723</v>
      </c>
      <c r="G284" s="49" t="s">
        <v>14398</v>
      </c>
      <c r="H284" s="49" t="s">
        <v>2724</v>
      </c>
      <c r="I284" s="49" t="s">
        <v>2725</v>
      </c>
      <c r="J284" s="49" t="s">
        <v>2726</v>
      </c>
      <c r="K284" s="49" t="s">
        <v>2727</v>
      </c>
      <c r="L284" s="49" t="s">
        <v>2728</v>
      </c>
      <c r="M284" s="49" t="s">
        <v>2729</v>
      </c>
      <c r="N284" s="49" t="s">
        <v>2730</v>
      </c>
      <c r="O284" s="49" t="s">
        <v>3180</v>
      </c>
      <c r="P284" s="49" t="s">
        <v>3181</v>
      </c>
      <c r="Q284" s="49" t="s">
        <v>3182</v>
      </c>
      <c r="R284" s="49" t="s">
        <v>3183</v>
      </c>
      <c r="S284" s="49" t="s">
        <v>3184</v>
      </c>
      <c r="T284" s="49" t="s">
        <v>3185</v>
      </c>
    </row>
    <row r="285" spans="1:21" x14ac:dyDescent="0.2">
      <c r="A285" s="49" t="s">
        <v>30</v>
      </c>
      <c r="D285" s="49" t="s">
        <v>2731</v>
      </c>
      <c r="G285" s="49" t="s">
        <v>14399</v>
      </c>
      <c r="H285" s="49" t="s">
        <v>2732</v>
      </c>
      <c r="I285" s="49" t="s">
        <v>2733</v>
      </c>
      <c r="J285" s="49" t="s">
        <v>2734</v>
      </c>
      <c r="K285" s="49" t="s">
        <v>2735</v>
      </c>
      <c r="L285" s="49" t="s">
        <v>2736</v>
      </c>
      <c r="M285" s="49" t="s">
        <v>2737</v>
      </c>
      <c r="N285" s="49" t="s">
        <v>2738</v>
      </c>
      <c r="O285" s="49" t="s">
        <v>3186</v>
      </c>
      <c r="P285" s="49" t="s">
        <v>3187</v>
      </c>
      <c r="Q285" s="49" t="s">
        <v>3188</v>
      </c>
      <c r="R285" s="49" t="s">
        <v>3189</v>
      </c>
      <c r="S285" s="49" t="s">
        <v>3190</v>
      </c>
      <c r="T285" s="49" t="s">
        <v>3191</v>
      </c>
    </row>
    <row r="286" spans="1:21" x14ac:dyDescent="0.2">
      <c r="A286" s="49" t="s">
        <v>30</v>
      </c>
      <c r="D286" s="49" t="s">
        <v>13448</v>
      </c>
      <c r="G286" s="49" t="s">
        <v>14400</v>
      </c>
      <c r="H286" s="49" t="s">
        <v>13449</v>
      </c>
      <c r="I286" s="49" t="s">
        <v>13450</v>
      </c>
      <c r="J286" s="49" t="s">
        <v>13451</v>
      </c>
      <c r="K286" s="49" t="s">
        <v>13452</v>
      </c>
      <c r="L286" s="49" t="s">
        <v>13453</v>
      </c>
      <c r="M286" s="49" t="s">
        <v>13454</v>
      </c>
      <c r="N286" s="49" t="s">
        <v>13455</v>
      </c>
      <c r="O286" s="49" t="s">
        <v>31668</v>
      </c>
      <c r="P286" s="49" t="s">
        <v>31674</v>
      </c>
      <c r="Q286" s="49" t="s">
        <v>31680</v>
      </c>
      <c r="R286" s="49" t="s">
        <v>31686</v>
      </c>
      <c r="S286" s="49" t="s">
        <v>31692</v>
      </c>
      <c r="T286" s="49" t="s">
        <v>31698</v>
      </c>
    </row>
    <row r="287" spans="1:21" x14ac:dyDescent="0.2">
      <c r="A287" s="49" t="s">
        <v>30</v>
      </c>
      <c r="D287" s="49" t="s">
        <v>1178</v>
      </c>
      <c r="G287" s="49" t="s">
        <v>14401</v>
      </c>
      <c r="H287" s="49" t="s">
        <v>1179</v>
      </c>
      <c r="I287" s="49" t="s">
        <v>1180</v>
      </c>
      <c r="J287" s="49" t="s">
        <v>1181</v>
      </c>
      <c r="K287" s="49" t="s">
        <v>1182</v>
      </c>
      <c r="L287" s="49" t="s">
        <v>1183</v>
      </c>
      <c r="M287" s="49" t="s">
        <v>1184</v>
      </c>
      <c r="N287" s="49" t="s">
        <v>1185</v>
      </c>
      <c r="O287" s="49" t="s">
        <v>31669</v>
      </c>
      <c r="P287" s="49" t="s">
        <v>31675</v>
      </c>
      <c r="Q287" s="49" t="s">
        <v>31681</v>
      </c>
      <c r="R287" s="49" t="s">
        <v>31687</v>
      </c>
      <c r="S287" s="49" t="s">
        <v>31693</v>
      </c>
      <c r="T287" s="49" t="s">
        <v>31699</v>
      </c>
    </row>
    <row r="288" spans="1:21" x14ac:dyDescent="0.2">
      <c r="A288" s="49" t="s">
        <v>30</v>
      </c>
      <c r="D288" s="49" t="s">
        <v>1186</v>
      </c>
      <c r="G288" s="49" t="s">
        <v>14402</v>
      </c>
      <c r="H288" s="49" t="s">
        <v>1187</v>
      </c>
      <c r="I288" s="49" t="s">
        <v>1188</v>
      </c>
      <c r="J288" s="49" t="s">
        <v>1189</v>
      </c>
      <c r="K288" s="49" t="s">
        <v>1190</v>
      </c>
      <c r="L288" s="49" t="s">
        <v>1191</v>
      </c>
      <c r="M288" s="49" t="s">
        <v>1192</v>
      </c>
      <c r="N288" s="49" t="s">
        <v>1193</v>
      </c>
      <c r="O288" s="49" t="s">
        <v>31670</v>
      </c>
      <c r="P288" s="49" t="s">
        <v>31676</v>
      </c>
      <c r="Q288" s="49" t="s">
        <v>31682</v>
      </c>
      <c r="R288" s="49" t="s">
        <v>31688</v>
      </c>
      <c r="S288" s="49" t="s">
        <v>31694</v>
      </c>
      <c r="T288" s="49" t="s">
        <v>31700</v>
      </c>
    </row>
    <row r="289" spans="1:21" x14ac:dyDescent="0.2">
      <c r="A289" s="49" t="s">
        <v>30</v>
      </c>
      <c r="D289" s="49" t="s">
        <v>1194</v>
      </c>
      <c r="G289" s="49" t="s">
        <v>14403</v>
      </c>
      <c r="H289" s="49" t="s">
        <v>1195</v>
      </c>
      <c r="I289" s="49" t="s">
        <v>1196</v>
      </c>
      <c r="J289" s="49" t="s">
        <v>1197</v>
      </c>
      <c r="K289" s="49" t="s">
        <v>1198</v>
      </c>
      <c r="L289" s="49" t="s">
        <v>1199</v>
      </c>
      <c r="M289" s="49" t="s">
        <v>1200</v>
      </c>
      <c r="N289" s="49" t="s">
        <v>1201</v>
      </c>
      <c r="O289" s="49" t="s">
        <v>3192</v>
      </c>
      <c r="P289" s="49" t="s">
        <v>3193</v>
      </c>
      <c r="Q289" s="49" t="s">
        <v>3194</v>
      </c>
      <c r="R289" s="49" t="s">
        <v>3195</v>
      </c>
      <c r="S289" s="49" t="s">
        <v>3196</v>
      </c>
      <c r="T289" s="49" t="s">
        <v>3197</v>
      </c>
    </row>
    <row r="290" spans="1:21" x14ac:dyDescent="0.2">
      <c r="A290" s="49" t="s">
        <v>30</v>
      </c>
      <c r="D290" s="49" t="s">
        <v>2129</v>
      </c>
      <c r="G290" s="49" t="s">
        <v>14404</v>
      </c>
      <c r="H290" s="49" t="s">
        <v>2130</v>
      </c>
      <c r="I290" s="49" t="s">
        <v>2131</v>
      </c>
      <c r="J290" s="49" t="s">
        <v>2132</v>
      </c>
      <c r="K290" s="49" t="s">
        <v>2133</v>
      </c>
      <c r="L290" s="49" t="s">
        <v>2134</v>
      </c>
      <c r="M290" s="49" t="s">
        <v>2135</v>
      </c>
      <c r="N290" s="49" t="s">
        <v>2136</v>
      </c>
      <c r="O290" s="49" t="s">
        <v>3198</v>
      </c>
      <c r="P290" s="49" t="s">
        <v>3199</v>
      </c>
      <c r="Q290" s="49" t="s">
        <v>3200</v>
      </c>
      <c r="R290" s="49" t="s">
        <v>3201</v>
      </c>
      <c r="S290" s="49" t="s">
        <v>3202</v>
      </c>
      <c r="T290" s="49" t="s">
        <v>3203</v>
      </c>
    </row>
    <row r="291" spans="1:21" x14ac:dyDescent="0.2">
      <c r="A291" s="49" t="s">
        <v>30</v>
      </c>
      <c r="D291" s="49" t="s">
        <v>2739</v>
      </c>
      <c r="G291" s="49" t="s">
        <v>14405</v>
      </c>
      <c r="H291" s="49" t="s">
        <v>2740</v>
      </c>
      <c r="I291" s="49" t="s">
        <v>2741</v>
      </c>
      <c r="J291" s="49" t="s">
        <v>2742</v>
      </c>
      <c r="K291" s="49" t="s">
        <v>2743</v>
      </c>
      <c r="L291" s="49" t="s">
        <v>2744</v>
      </c>
      <c r="M291" s="49" t="s">
        <v>2745</v>
      </c>
      <c r="N291" s="49" t="s">
        <v>2746</v>
      </c>
      <c r="O291" s="49" t="s">
        <v>4254</v>
      </c>
      <c r="P291" s="49" t="s">
        <v>4255</v>
      </c>
      <c r="Q291" s="49" t="s">
        <v>4256</v>
      </c>
      <c r="R291" s="49" t="s">
        <v>4257</v>
      </c>
      <c r="S291" s="49" t="s">
        <v>4258</v>
      </c>
      <c r="T291" s="49" t="s">
        <v>4259</v>
      </c>
    </row>
    <row r="292" spans="1:21" x14ac:dyDescent="0.2">
      <c r="A292" s="49" t="s">
        <v>30</v>
      </c>
      <c r="D292" s="49" t="s">
        <v>3817</v>
      </c>
      <c r="G292" s="49" t="s">
        <v>14406</v>
      </c>
      <c r="H292" s="49" t="s">
        <v>3818</v>
      </c>
      <c r="I292" s="49" t="s">
        <v>3819</v>
      </c>
      <c r="J292" s="49" t="s">
        <v>3820</v>
      </c>
      <c r="K292" s="49" t="s">
        <v>3821</v>
      </c>
      <c r="L292" s="49" t="s">
        <v>3822</v>
      </c>
      <c r="M292" s="49" t="s">
        <v>3823</v>
      </c>
      <c r="N292" s="49" t="s">
        <v>3824</v>
      </c>
      <c r="O292" s="49" t="s">
        <v>31671</v>
      </c>
      <c r="P292" s="49" t="s">
        <v>31677</v>
      </c>
      <c r="Q292" s="49" t="s">
        <v>31683</v>
      </c>
      <c r="R292" s="49" t="s">
        <v>31689</v>
      </c>
      <c r="S292" s="49" t="s">
        <v>31695</v>
      </c>
      <c r="T292" s="49" t="s">
        <v>31701</v>
      </c>
    </row>
    <row r="293" spans="1:21" x14ac:dyDescent="0.2">
      <c r="A293" s="49" t="s">
        <v>30</v>
      </c>
      <c r="D293" s="49" t="s">
        <v>1202</v>
      </c>
      <c r="G293" s="49" t="s">
        <v>14407</v>
      </c>
      <c r="H293" s="49" t="s">
        <v>1203</v>
      </c>
      <c r="I293" s="49" t="s">
        <v>1204</v>
      </c>
      <c r="J293" s="49" t="s">
        <v>1205</v>
      </c>
      <c r="K293" s="49" t="s">
        <v>1206</v>
      </c>
      <c r="L293" s="49" t="s">
        <v>1207</v>
      </c>
      <c r="M293" s="49" t="s">
        <v>1208</v>
      </c>
      <c r="N293" s="49" t="s">
        <v>1209</v>
      </c>
      <c r="O293" s="49" t="s">
        <v>31672</v>
      </c>
      <c r="P293" s="49" t="s">
        <v>31678</v>
      </c>
      <c r="Q293" s="49" t="s">
        <v>31684</v>
      </c>
      <c r="R293" s="49" t="s">
        <v>31690</v>
      </c>
      <c r="S293" s="49" t="s">
        <v>31696</v>
      </c>
      <c r="T293" s="49" t="s">
        <v>31702</v>
      </c>
    </row>
    <row r="294" spans="1:21" x14ac:dyDescent="0.2">
      <c r="A294" s="49" t="s">
        <v>30</v>
      </c>
      <c r="D294" s="49" t="s">
        <v>1210</v>
      </c>
      <c r="G294" s="49" t="s">
        <v>14408</v>
      </c>
      <c r="H294" s="49" t="s">
        <v>1211</v>
      </c>
      <c r="I294" s="49" t="s">
        <v>1212</v>
      </c>
      <c r="J294" s="49" t="s">
        <v>1213</v>
      </c>
      <c r="K294" s="49" t="s">
        <v>1214</v>
      </c>
      <c r="L294" s="49" t="s">
        <v>1215</v>
      </c>
      <c r="M294" s="49" t="s">
        <v>1216</v>
      </c>
      <c r="N294" s="49" t="s">
        <v>1217</v>
      </c>
      <c r="O294" s="49" t="s">
        <v>31673</v>
      </c>
      <c r="P294" s="49" t="s">
        <v>31679</v>
      </c>
      <c r="Q294" s="49" t="s">
        <v>31685</v>
      </c>
      <c r="R294" s="49" t="s">
        <v>31691</v>
      </c>
      <c r="S294" s="49" t="s">
        <v>31697</v>
      </c>
      <c r="T294" s="49" t="s">
        <v>31703</v>
      </c>
    </row>
    <row r="295" spans="1:21" x14ac:dyDescent="0.2">
      <c r="A295" s="49" t="s">
        <v>30</v>
      </c>
      <c r="D295" s="49" t="s">
        <v>10792</v>
      </c>
      <c r="G295" s="49" t="s">
        <v>14409</v>
      </c>
      <c r="H295" s="49" t="s">
        <v>10793</v>
      </c>
      <c r="I295" s="49" t="s">
        <v>10794</v>
      </c>
      <c r="J295" s="49" t="s">
        <v>10795</v>
      </c>
      <c r="K295" s="49" t="s">
        <v>10796</v>
      </c>
      <c r="L295" s="49" t="s">
        <v>10797</v>
      </c>
      <c r="M295" s="49" t="s">
        <v>10798</v>
      </c>
      <c r="N295" s="49" t="s">
        <v>10799</v>
      </c>
      <c r="O295" s="49" t="s">
        <v>10800</v>
      </c>
      <c r="P295" s="49" t="s">
        <v>10801</v>
      </c>
      <c r="Q295" s="49" t="s">
        <v>10802</v>
      </c>
      <c r="R295" s="49" t="s">
        <v>10803</v>
      </c>
      <c r="S295" s="49" t="s">
        <v>10804</v>
      </c>
      <c r="T295" s="49" t="s">
        <v>10805</v>
      </c>
    </row>
    <row r="296" spans="1:21" x14ac:dyDescent="0.2">
      <c r="A296" s="49" t="s">
        <v>30</v>
      </c>
      <c r="D296" s="49" t="s">
        <v>2747</v>
      </c>
      <c r="G296" s="49" t="s">
        <v>14410</v>
      </c>
      <c r="H296" s="49" t="s">
        <v>2748</v>
      </c>
      <c r="I296" s="49" t="s">
        <v>2749</v>
      </c>
      <c r="J296" s="49" t="s">
        <v>2750</v>
      </c>
      <c r="K296" s="49" t="s">
        <v>2751</v>
      </c>
      <c r="L296" s="49" t="s">
        <v>2752</v>
      </c>
      <c r="M296" s="49" t="s">
        <v>2753</v>
      </c>
      <c r="N296" s="49" t="s">
        <v>2754</v>
      </c>
      <c r="O296" s="49" t="s">
        <v>10806</v>
      </c>
      <c r="P296" s="49" t="s">
        <v>10807</v>
      </c>
      <c r="Q296" s="49" t="s">
        <v>10808</v>
      </c>
      <c r="R296" s="49" t="s">
        <v>10809</v>
      </c>
      <c r="S296" s="49" t="s">
        <v>10810</v>
      </c>
      <c r="T296" s="49" t="s">
        <v>10811</v>
      </c>
    </row>
    <row r="297" spans="1:21" x14ac:dyDescent="0.2">
      <c r="A297" s="49" t="s">
        <v>30</v>
      </c>
      <c r="D297" s="49" t="s">
        <v>2430</v>
      </c>
      <c r="G297" s="49" t="s">
        <v>14411</v>
      </c>
      <c r="H297" s="49" t="s">
        <v>2431</v>
      </c>
      <c r="I297" s="49" t="s">
        <v>2432</v>
      </c>
      <c r="J297" s="49" t="s">
        <v>2433</v>
      </c>
      <c r="K297" s="49" t="s">
        <v>2434</v>
      </c>
      <c r="L297" s="49" t="s">
        <v>2435</v>
      </c>
      <c r="M297" s="49" t="s">
        <v>2436</v>
      </c>
      <c r="N297" s="49" t="s">
        <v>2437</v>
      </c>
      <c r="O297" s="49" t="s">
        <v>4260</v>
      </c>
      <c r="P297" s="49" t="s">
        <v>4261</v>
      </c>
      <c r="Q297" s="49" t="s">
        <v>4262</v>
      </c>
      <c r="R297" s="49" t="s">
        <v>4263</v>
      </c>
      <c r="S297" s="49" t="s">
        <v>4264</v>
      </c>
      <c r="T297" s="49" t="s">
        <v>4265</v>
      </c>
    </row>
    <row r="298" spans="1:21" x14ac:dyDescent="0.2">
      <c r="A298" s="49" t="s">
        <v>30</v>
      </c>
      <c r="D298" s="49" t="s">
        <v>1218</v>
      </c>
      <c r="G298" s="49" t="s">
        <v>14412</v>
      </c>
      <c r="H298" s="49" t="s">
        <v>1219</v>
      </c>
      <c r="I298" s="49" t="s">
        <v>1220</v>
      </c>
      <c r="J298" s="49" t="s">
        <v>1221</v>
      </c>
      <c r="K298" s="49" t="s">
        <v>1222</v>
      </c>
      <c r="L298" s="49" t="s">
        <v>1223</v>
      </c>
      <c r="M298" s="49" t="s">
        <v>1224</v>
      </c>
      <c r="N298" s="49" t="s">
        <v>1225</v>
      </c>
      <c r="O298" s="49" t="s">
        <v>4440</v>
      </c>
      <c r="P298" s="49" t="s">
        <v>4441</v>
      </c>
      <c r="Q298" s="49" t="s">
        <v>4442</v>
      </c>
      <c r="R298" s="49" t="s">
        <v>4443</v>
      </c>
      <c r="S298" s="49" t="s">
        <v>4444</v>
      </c>
      <c r="T298" s="49" t="s">
        <v>4445</v>
      </c>
    </row>
    <row r="299" spans="1:21" x14ac:dyDescent="0.2">
      <c r="A299" s="49" t="s">
        <v>30</v>
      </c>
    </row>
    <row r="300" spans="1:21" x14ac:dyDescent="0.2">
      <c r="A300" s="49" t="s">
        <v>30</v>
      </c>
      <c r="E300" s="49" t="s">
        <v>31</v>
      </c>
      <c r="F300" s="49" t="s">
        <v>31</v>
      </c>
      <c r="G300" s="49" t="s">
        <v>31</v>
      </c>
      <c r="J300" s="49" t="s">
        <v>31</v>
      </c>
      <c r="K300" s="49" t="s">
        <v>31</v>
      </c>
      <c r="L300" s="49" t="s">
        <v>31</v>
      </c>
      <c r="M300" s="49" t="s">
        <v>31</v>
      </c>
    </row>
    <row r="301" spans="1:21" x14ac:dyDescent="0.2">
      <c r="A301" s="49" t="s">
        <v>30</v>
      </c>
      <c r="D301" s="49" t="s">
        <v>10812</v>
      </c>
      <c r="E301" s="49" t="s">
        <v>4619</v>
      </c>
      <c r="F301" s="49" t="s">
        <v>10813</v>
      </c>
      <c r="H301" s="49" t="s">
        <v>10814</v>
      </c>
      <c r="O301" s="49" t="s">
        <v>14413</v>
      </c>
      <c r="P301" s="49" t="s">
        <v>14414</v>
      </c>
      <c r="Q301" s="49" t="s">
        <v>14415</v>
      </c>
      <c r="R301" s="49" t="s">
        <v>14416</v>
      </c>
      <c r="S301" s="49" t="s">
        <v>14417</v>
      </c>
      <c r="T301" s="49" t="s">
        <v>14418</v>
      </c>
      <c r="U301" s="49" t="s">
        <v>14419</v>
      </c>
    </row>
    <row r="302" spans="1:21" x14ac:dyDescent="0.2">
      <c r="A302" s="49" t="s">
        <v>30</v>
      </c>
      <c r="D302" s="49" t="s">
        <v>2137</v>
      </c>
      <c r="G302" s="49" t="s">
        <v>10815</v>
      </c>
      <c r="H302" s="49" t="s">
        <v>2138</v>
      </c>
      <c r="I302" s="49" t="s">
        <v>2139</v>
      </c>
      <c r="J302" s="49" t="s">
        <v>2140</v>
      </c>
      <c r="K302" s="49" t="s">
        <v>2141</v>
      </c>
      <c r="L302" s="49" t="s">
        <v>2142</v>
      </c>
      <c r="M302" s="49" t="s">
        <v>2143</v>
      </c>
      <c r="N302" s="49" t="s">
        <v>2144</v>
      </c>
      <c r="O302" s="49" t="s">
        <v>4266</v>
      </c>
      <c r="P302" s="49" t="s">
        <v>4267</v>
      </c>
      <c r="Q302" s="49" t="s">
        <v>4268</v>
      </c>
      <c r="R302" s="49" t="s">
        <v>4269</v>
      </c>
      <c r="S302" s="49" t="s">
        <v>4270</v>
      </c>
      <c r="T302" s="49" t="s">
        <v>4271</v>
      </c>
    </row>
    <row r="303" spans="1:21" x14ac:dyDescent="0.2">
      <c r="A303" s="49" t="s">
        <v>30</v>
      </c>
      <c r="D303" s="49" t="s">
        <v>1226</v>
      </c>
      <c r="G303" s="49" t="s">
        <v>14420</v>
      </c>
      <c r="H303" s="49" t="s">
        <v>1227</v>
      </c>
      <c r="I303" s="49" t="s">
        <v>1228</v>
      </c>
      <c r="J303" s="49" t="s">
        <v>1229</v>
      </c>
      <c r="K303" s="49" t="s">
        <v>1230</v>
      </c>
      <c r="L303" s="49" t="s">
        <v>1231</v>
      </c>
      <c r="M303" s="49" t="s">
        <v>1232</v>
      </c>
      <c r="N303" s="49" t="s">
        <v>1233</v>
      </c>
      <c r="O303" s="49" t="s">
        <v>4272</v>
      </c>
      <c r="P303" s="49" t="s">
        <v>4273</v>
      </c>
      <c r="Q303" s="49" t="s">
        <v>4274</v>
      </c>
      <c r="R303" s="49" t="s">
        <v>4275</v>
      </c>
      <c r="S303" s="49" t="s">
        <v>4276</v>
      </c>
      <c r="T303" s="49" t="s">
        <v>4277</v>
      </c>
    </row>
    <row r="304" spans="1:21" x14ac:dyDescent="0.2">
      <c r="A304" s="49" t="s">
        <v>30</v>
      </c>
      <c r="D304" s="49" t="s">
        <v>1234</v>
      </c>
      <c r="G304" s="49" t="s">
        <v>14421</v>
      </c>
      <c r="H304" s="49" t="s">
        <v>1235</v>
      </c>
      <c r="I304" s="49" t="s">
        <v>1236</v>
      </c>
      <c r="J304" s="49" t="s">
        <v>1237</v>
      </c>
      <c r="K304" s="49" t="s">
        <v>1238</v>
      </c>
      <c r="L304" s="49" t="s">
        <v>1239</v>
      </c>
      <c r="M304" s="49" t="s">
        <v>1240</v>
      </c>
      <c r="N304" s="49" t="s">
        <v>1241</v>
      </c>
      <c r="O304" s="49" t="s">
        <v>4278</v>
      </c>
      <c r="P304" s="49" t="s">
        <v>4279</v>
      </c>
      <c r="Q304" s="49" t="s">
        <v>4280</v>
      </c>
      <c r="R304" s="49" t="s">
        <v>4281</v>
      </c>
      <c r="S304" s="49" t="s">
        <v>4282</v>
      </c>
      <c r="T304" s="49" t="s">
        <v>4283</v>
      </c>
    </row>
    <row r="305" spans="1:21" x14ac:dyDescent="0.2">
      <c r="A305" s="49" t="s">
        <v>30</v>
      </c>
      <c r="D305" s="49" t="s">
        <v>1242</v>
      </c>
      <c r="G305" s="49" t="s">
        <v>14422</v>
      </c>
      <c r="H305" s="49" t="s">
        <v>1243</v>
      </c>
      <c r="I305" s="49" t="s">
        <v>1244</v>
      </c>
      <c r="J305" s="49" t="s">
        <v>1245</v>
      </c>
      <c r="K305" s="49" t="s">
        <v>1246</v>
      </c>
      <c r="L305" s="49" t="s">
        <v>1247</v>
      </c>
      <c r="M305" s="49" t="s">
        <v>1248</v>
      </c>
      <c r="N305" s="49" t="s">
        <v>1249</v>
      </c>
      <c r="O305" s="49" t="s">
        <v>3204</v>
      </c>
      <c r="P305" s="49" t="s">
        <v>3205</v>
      </c>
      <c r="Q305" s="49" t="s">
        <v>3206</v>
      </c>
      <c r="R305" s="49" t="s">
        <v>3207</v>
      </c>
      <c r="S305" s="49" t="s">
        <v>3208</v>
      </c>
      <c r="T305" s="49" t="s">
        <v>3209</v>
      </c>
    </row>
    <row r="306" spans="1:21" x14ac:dyDescent="0.2">
      <c r="A306" s="49" t="s">
        <v>30</v>
      </c>
      <c r="D306" s="49" t="s">
        <v>2145</v>
      </c>
      <c r="G306" s="49" t="s">
        <v>14423</v>
      </c>
      <c r="H306" s="49" t="s">
        <v>2146</v>
      </c>
      <c r="I306" s="49" t="s">
        <v>2147</v>
      </c>
      <c r="J306" s="49" t="s">
        <v>2148</v>
      </c>
      <c r="K306" s="49" t="s">
        <v>2149</v>
      </c>
      <c r="L306" s="49" t="s">
        <v>2150</v>
      </c>
      <c r="M306" s="49" t="s">
        <v>2151</v>
      </c>
      <c r="N306" s="49" t="s">
        <v>2152</v>
      </c>
      <c r="O306" s="49" t="s">
        <v>3210</v>
      </c>
      <c r="P306" s="49" t="s">
        <v>3211</v>
      </c>
      <c r="Q306" s="49" t="s">
        <v>3212</v>
      </c>
      <c r="R306" s="49" t="s">
        <v>3213</v>
      </c>
      <c r="S306" s="49" t="s">
        <v>3214</v>
      </c>
      <c r="T306" s="49" t="s">
        <v>3215</v>
      </c>
    </row>
    <row r="307" spans="1:21" x14ac:dyDescent="0.2">
      <c r="A307" s="49" t="s">
        <v>30</v>
      </c>
      <c r="D307" s="49" t="s">
        <v>2755</v>
      </c>
      <c r="G307" s="49" t="s">
        <v>14424</v>
      </c>
      <c r="H307" s="49" t="s">
        <v>2756</v>
      </c>
      <c r="I307" s="49" t="s">
        <v>2757</v>
      </c>
      <c r="J307" s="49" t="s">
        <v>2758</v>
      </c>
      <c r="K307" s="49" t="s">
        <v>2759</v>
      </c>
      <c r="L307" s="49" t="s">
        <v>2760</v>
      </c>
      <c r="M307" s="49" t="s">
        <v>2761</v>
      </c>
      <c r="N307" s="49" t="s">
        <v>2762</v>
      </c>
      <c r="O307" s="49" t="s">
        <v>12708</v>
      </c>
      <c r="P307" s="49" t="s">
        <v>12710</v>
      </c>
      <c r="Q307" s="49" t="s">
        <v>12712</v>
      </c>
      <c r="R307" s="49" t="s">
        <v>12714</v>
      </c>
      <c r="S307" s="49" t="s">
        <v>12716</v>
      </c>
      <c r="T307" s="49" t="s">
        <v>12718</v>
      </c>
    </row>
    <row r="308" spans="1:21" x14ac:dyDescent="0.2">
      <c r="A308" s="49" t="s">
        <v>30</v>
      </c>
      <c r="D308" s="49" t="s">
        <v>10816</v>
      </c>
      <c r="G308" s="49" t="s">
        <v>14425</v>
      </c>
      <c r="H308" s="49" t="s">
        <v>12706</v>
      </c>
      <c r="I308" s="49" t="s">
        <v>12707</v>
      </c>
      <c r="J308" s="49" t="s">
        <v>12720</v>
      </c>
      <c r="K308" s="49" t="s">
        <v>12721</v>
      </c>
      <c r="L308" s="49" t="s">
        <v>10817</v>
      </c>
      <c r="M308" s="49" t="s">
        <v>10818</v>
      </c>
      <c r="N308" s="49" t="s">
        <v>10819</v>
      </c>
      <c r="O308" s="49" t="s">
        <v>12709</v>
      </c>
      <c r="P308" s="49" t="s">
        <v>12711</v>
      </c>
      <c r="Q308" s="49" t="s">
        <v>12713</v>
      </c>
      <c r="R308" s="49" t="s">
        <v>12715</v>
      </c>
      <c r="S308" s="49" t="s">
        <v>12717</v>
      </c>
      <c r="T308" s="49" t="s">
        <v>12719</v>
      </c>
    </row>
    <row r="309" spans="1:21" x14ac:dyDescent="0.2">
      <c r="A309" s="49" t="s">
        <v>30</v>
      </c>
      <c r="D309" s="49" t="s">
        <v>1250</v>
      </c>
      <c r="G309" s="49" t="s">
        <v>14426</v>
      </c>
      <c r="H309" s="49" t="s">
        <v>1251</v>
      </c>
      <c r="I309" s="49" t="s">
        <v>1252</v>
      </c>
      <c r="J309" s="49" t="s">
        <v>1253</v>
      </c>
      <c r="K309" s="49" t="s">
        <v>1254</v>
      </c>
      <c r="L309" s="49" t="s">
        <v>1255</v>
      </c>
      <c r="M309" s="49" t="s">
        <v>1256</v>
      </c>
      <c r="N309" s="49" t="s">
        <v>1257</v>
      </c>
      <c r="O309" s="49" t="s">
        <v>31650</v>
      </c>
      <c r="P309" s="49" t="s">
        <v>31653</v>
      </c>
      <c r="Q309" s="49" t="s">
        <v>31656</v>
      </c>
      <c r="R309" s="49" t="s">
        <v>31659</v>
      </c>
      <c r="S309" s="49" t="s">
        <v>31662</v>
      </c>
      <c r="T309" s="49" t="s">
        <v>31665</v>
      </c>
    </row>
    <row r="310" spans="1:21" x14ac:dyDescent="0.2">
      <c r="A310" s="49" t="s">
        <v>30</v>
      </c>
      <c r="D310" s="49" t="s">
        <v>1258</v>
      </c>
      <c r="G310" s="49" t="s">
        <v>14427</v>
      </c>
      <c r="H310" s="49" t="s">
        <v>1259</v>
      </c>
      <c r="I310" s="49" t="s">
        <v>1260</v>
      </c>
      <c r="J310" s="49" t="s">
        <v>1261</v>
      </c>
      <c r="K310" s="49" t="s">
        <v>1262</v>
      </c>
      <c r="L310" s="49" t="s">
        <v>1263</v>
      </c>
      <c r="M310" s="49" t="s">
        <v>1264</v>
      </c>
      <c r="N310" s="49" t="s">
        <v>1265</v>
      </c>
      <c r="O310" s="49" t="s">
        <v>31651</v>
      </c>
      <c r="P310" s="49" t="s">
        <v>31654</v>
      </c>
      <c r="Q310" s="49" t="s">
        <v>31657</v>
      </c>
      <c r="R310" s="49" t="s">
        <v>31660</v>
      </c>
      <c r="S310" s="49" t="s">
        <v>31663</v>
      </c>
      <c r="T310" s="49" t="s">
        <v>31666</v>
      </c>
    </row>
    <row r="311" spans="1:21" x14ac:dyDescent="0.2">
      <c r="A311" s="49" t="s">
        <v>30</v>
      </c>
      <c r="D311" s="49" t="s">
        <v>2153</v>
      </c>
      <c r="G311" s="49" t="s">
        <v>14428</v>
      </c>
      <c r="H311" s="49" t="s">
        <v>2154</v>
      </c>
      <c r="I311" s="49" t="s">
        <v>2155</v>
      </c>
      <c r="J311" s="49" t="s">
        <v>2156</v>
      </c>
      <c r="K311" s="49" t="s">
        <v>2157</v>
      </c>
      <c r="L311" s="49" t="s">
        <v>2158</v>
      </c>
      <c r="M311" s="49" t="s">
        <v>2159</v>
      </c>
      <c r="N311" s="49" t="s">
        <v>2160</v>
      </c>
      <c r="O311" s="49" t="s">
        <v>31652</v>
      </c>
      <c r="P311" s="49" t="s">
        <v>31655</v>
      </c>
      <c r="Q311" s="49" t="s">
        <v>31658</v>
      </c>
      <c r="R311" s="49" t="s">
        <v>31661</v>
      </c>
      <c r="S311" s="49" t="s">
        <v>31664</v>
      </c>
      <c r="T311" s="49" t="s">
        <v>31667</v>
      </c>
    </row>
    <row r="312" spans="1:21" x14ac:dyDescent="0.2">
      <c r="A312" s="49" t="s">
        <v>30</v>
      </c>
      <c r="D312" s="49" t="s">
        <v>4845</v>
      </c>
      <c r="G312" s="49" t="s">
        <v>14429</v>
      </c>
      <c r="H312" s="49" t="s">
        <v>4846</v>
      </c>
      <c r="I312" s="49" t="s">
        <v>4847</v>
      </c>
      <c r="J312" s="49" t="s">
        <v>4848</v>
      </c>
      <c r="K312" s="49" t="s">
        <v>4849</v>
      </c>
      <c r="L312" s="49" t="s">
        <v>4850</v>
      </c>
      <c r="M312" s="49" t="s">
        <v>4851</v>
      </c>
      <c r="N312" s="49" t="s">
        <v>4852</v>
      </c>
      <c r="O312" s="49" t="s">
        <v>4853</v>
      </c>
      <c r="P312" s="49" t="s">
        <v>4854</v>
      </c>
      <c r="Q312" s="49" t="s">
        <v>4855</v>
      </c>
      <c r="R312" s="49" t="s">
        <v>4856</v>
      </c>
      <c r="S312" s="49" t="s">
        <v>4857</v>
      </c>
      <c r="T312" s="49" t="s">
        <v>4858</v>
      </c>
    </row>
    <row r="313" spans="1:21" x14ac:dyDescent="0.2">
      <c r="A313" s="49" t="s">
        <v>30</v>
      </c>
    </row>
    <row r="314" spans="1:21" x14ac:dyDescent="0.2">
      <c r="A314" s="49" t="s">
        <v>30</v>
      </c>
      <c r="E314" s="49" t="s">
        <v>31</v>
      </c>
      <c r="F314" s="49" t="s">
        <v>31</v>
      </c>
      <c r="G314" s="49" t="s">
        <v>31</v>
      </c>
      <c r="J314" s="49" t="s">
        <v>31</v>
      </c>
      <c r="K314" s="49" t="s">
        <v>31</v>
      </c>
      <c r="L314" s="49" t="s">
        <v>31</v>
      </c>
      <c r="M314" s="49" t="s">
        <v>31</v>
      </c>
    </row>
    <row r="315" spans="1:21" x14ac:dyDescent="0.2">
      <c r="A315" s="49" t="s">
        <v>30</v>
      </c>
      <c r="D315" s="49" t="s">
        <v>14430</v>
      </c>
      <c r="E315" s="49" t="s">
        <v>4655</v>
      </c>
      <c r="F315" s="49" t="s">
        <v>14431</v>
      </c>
      <c r="H315" s="49" t="s">
        <v>14432</v>
      </c>
      <c r="O315" s="49" t="s">
        <v>14433</v>
      </c>
      <c r="P315" s="49" t="s">
        <v>14434</v>
      </c>
      <c r="Q315" s="49" t="s">
        <v>14435</v>
      </c>
      <c r="R315" s="49" t="s">
        <v>14436</v>
      </c>
      <c r="S315" s="49" t="s">
        <v>14437</v>
      </c>
      <c r="T315" s="49" t="s">
        <v>14438</v>
      </c>
      <c r="U315" s="49" t="s">
        <v>14439</v>
      </c>
    </row>
    <row r="316" spans="1:21" x14ac:dyDescent="0.2">
      <c r="A316" s="49" t="s">
        <v>30</v>
      </c>
      <c r="D316" s="49" t="s">
        <v>1266</v>
      </c>
      <c r="G316" s="49" t="s">
        <v>14440</v>
      </c>
      <c r="H316" s="49" t="s">
        <v>1267</v>
      </c>
      <c r="I316" s="49" t="s">
        <v>1268</v>
      </c>
      <c r="J316" s="49" t="s">
        <v>1269</v>
      </c>
      <c r="K316" s="49" t="s">
        <v>1270</v>
      </c>
      <c r="L316" s="49" t="s">
        <v>1271</v>
      </c>
      <c r="M316" s="49" t="s">
        <v>1272</v>
      </c>
      <c r="N316" s="49" t="s">
        <v>1273</v>
      </c>
      <c r="O316" s="49" t="s">
        <v>12700</v>
      </c>
      <c r="P316" s="49" t="s">
        <v>12701</v>
      </c>
      <c r="Q316" s="49" t="s">
        <v>12702</v>
      </c>
      <c r="R316" s="49" t="s">
        <v>12703</v>
      </c>
      <c r="S316" s="49" t="s">
        <v>12704</v>
      </c>
      <c r="T316" s="49" t="s">
        <v>12705</v>
      </c>
    </row>
    <row r="317" spans="1:21" x14ac:dyDescent="0.2">
      <c r="A317" s="49" t="s">
        <v>30</v>
      </c>
      <c r="D317" s="49" t="s">
        <v>1274</v>
      </c>
      <c r="G317" s="49" t="s">
        <v>14441</v>
      </c>
      <c r="H317" s="49" t="s">
        <v>1275</v>
      </c>
      <c r="I317" s="49" t="s">
        <v>1276</v>
      </c>
      <c r="J317" s="49" t="s">
        <v>1277</v>
      </c>
      <c r="K317" s="49" t="s">
        <v>1278</v>
      </c>
      <c r="L317" s="49" t="s">
        <v>1279</v>
      </c>
      <c r="M317" s="49" t="s">
        <v>1280</v>
      </c>
      <c r="N317" s="49" t="s">
        <v>1281</v>
      </c>
      <c r="O317" s="49" t="s">
        <v>31592</v>
      </c>
      <c r="P317" s="49" t="s">
        <v>31601</v>
      </c>
      <c r="Q317" s="49" t="s">
        <v>31610</v>
      </c>
      <c r="R317" s="49" t="s">
        <v>31619</v>
      </c>
      <c r="S317" s="49" t="s">
        <v>31628</v>
      </c>
      <c r="T317" s="49" t="s">
        <v>31637</v>
      </c>
    </row>
    <row r="318" spans="1:21" x14ac:dyDescent="0.2">
      <c r="A318" s="49" t="s">
        <v>30</v>
      </c>
      <c r="D318" s="49" t="s">
        <v>14442</v>
      </c>
      <c r="G318" s="49" t="s">
        <v>14443</v>
      </c>
      <c r="H318" s="49" t="s">
        <v>31588</v>
      </c>
      <c r="I318" s="49" t="s">
        <v>31590</v>
      </c>
      <c r="J318" s="49" t="s">
        <v>31646</v>
      </c>
      <c r="K318" s="49" t="s">
        <v>31648</v>
      </c>
      <c r="L318" s="49" t="s">
        <v>14444</v>
      </c>
      <c r="M318" s="49" t="s">
        <v>14445</v>
      </c>
      <c r="N318" s="49" t="s">
        <v>14446</v>
      </c>
      <c r="O318" s="49" t="s">
        <v>31593</v>
      </c>
      <c r="P318" s="49" t="s">
        <v>31602</v>
      </c>
      <c r="Q318" s="49" t="s">
        <v>31611</v>
      </c>
      <c r="R318" s="49" t="s">
        <v>31620</v>
      </c>
      <c r="S318" s="49" t="s">
        <v>31629</v>
      </c>
      <c r="T318" s="49" t="s">
        <v>31638</v>
      </c>
    </row>
    <row r="319" spans="1:21" x14ac:dyDescent="0.2">
      <c r="A319" s="49" t="s">
        <v>30</v>
      </c>
      <c r="D319" s="49" t="s">
        <v>2613</v>
      </c>
      <c r="G319" s="49" t="s">
        <v>14447</v>
      </c>
      <c r="H319" s="49" t="s">
        <v>2614</v>
      </c>
      <c r="I319" s="49" t="s">
        <v>2615</v>
      </c>
      <c r="J319" s="49" t="s">
        <v>2616</v>
      </c>
      <c r="K319" s="49" t="s">
        <v>2617</v>
      </c>
      <c r="L319" s="49" t="s">
        <v>2618</v>
      </c>
      <c r="M319" s="49" t="s">
        <v>2619</v>
      </c>
      <c r="N319" s="49" t="s">
        <v>2620</v>
      </c>
      <c r="O319" s="49" t="s">
        <v>31594</v>
      </c>
      <c r="P319" s="49" t="s">
        <v>31603</v>
      </c>
      <c r="Q319" s="49" t="s">
        <v>31612</v>
      </c>
      <c r="R319" s="49" t="s">
        <v>31621</v>
      </c>
      <c r="S319" s="49" t="s">
        <v>31630</v>
      </c>
      <c r="T319" s="49" t="s">
        <v>31639</v>
      </c>
    </row>
    <row r="320" spans="1:21" x14ac:dyDescent="0.2">
      <c r="A320" s="49" t="s">
        <v>30</v>
      </c>
      <c r="D320" s="49" t="s">
        <v>2446</v>
      </c>
      <c r="G320" s="49" t="s">
        <v>14448</v>
      </c>
      <c r="H320" s="49" t="s">
        <v>2447</v>
      </c>
      <c r="I320" s="49" t="s">
        <v>2448</v>
      </c>
      <c r="J320" s="49" t="s">
        <v>2449</v>
      </c>
      <c r="K320" s="49" t="s">
        <v>2450</v>
      </c>
      <c r="L320" s="49" t="s">
        <v>2451</v>
      </c>
      <c r="M320" s="49" t="s">
        <v>2452</v>
      </c>
      <c r="N320" s="49" t="s">
        <v>2453</v>
      </c>
      <c r="O320" s="49" t="s">
        <v>3216</v>
      </c>
      <c r="P320" s="49" t="s">
        <v>3217</v>
      </c>
      <c r="Q320" s="49" t="s">
        <v>3218</v>
      </c>
      <c r="R320" s="49" t="s">
        <v>3219</v>
      </c>
      <c r="S320" s="49" t="s">
        <v>3220</v>
      </c>
      <c r="T320" s="49" t="s">
        <v>3221</v>
      </c>
    </row>
    <row r="321" spans="1:20" x14ac:dyDescent="0.2">
      <c r="A321" s="49" t="s">
        <v>30</v>
      </c>
      <c r="D321" s="49" t="s">
        <v>1282</v>
      </c>
      <c r="G321" s="49" t="s">
        <v>14449</v>
      </c>
      <c r="H321" s="49" t="s">
        <v>1283</v>
      </c>
      <c r="I321" s="49" t="s">
        <v>1284</v>
      </c>
      <c r="J321" s="49" t="s">
        <v>1285</v>
      </c>
      <c r="K321" s="49" t="s">
        <v>1286</v>
      </c>
      <c r="L321" s="49" t="s">
        <v>1287</v>
      </c>
      <c r="M321" s="49" t="s">
        <v>1288</v>
      </c>
      <c r="N321" s="49" t="s">
        <v>1289</v>
      </c>
      <c r="O321" s="49" t="s">
        <v>3222</v>
      </c>
      <c r="P321" s="49" t="s">
        <v>3223</v>
      </c>
      <c r="Q321" s="49" t="s">
        <v>3224</v>
      </c>
      <c r="R321" s="49" t="s">
        <v>3225</v>
      </c>
      <c r="S321" s="49" t="s">
        <v>3226</v>
      </c>
      <c r="T321" s="49" t="s">
        <v>3227</v>
      </c>
    </row>
    <row r="322" spans="1:20" x14ac:dyDescent="0.2">
      <c r="A322" s="49" t="s">
        <v>30</v>
      </c>
      <c r="D322" s="49" t="s">
        <v>1290</v>
      </c>
      <c r="G322" s="49" t="s">
        <v>14450</v>
      </c>
      <c r="H322" s="49" t="s">
        <v>1291</v>
      </c>
      <c r="I322" s="49" t="s">
        <v>1292</v>
      </c>
      <c r="J322" s="49" t="s">
        <v>1293</v>
      </c>
      <c r="K322" s="49" t="s">
        <v>1294</v>
      </c>
      <c r="L322" s="49" t="s">
        <v>1295</v>
      </c>
      <c r="M322" s="49" t="s">
        <v>1296</v>
      </c>
      <c r="N322" s="49" t="s">
        <v>1297</v>
      </c>
      <c r="O322" s="49" t="s">
        <v>3228</v>
      </c>
      <c r="P322" s="49" t="s">
        <v>3229</v>
      </c>
      <c r="Q322" s="49" t="s">
        <v>3230</v>
      </c>
      <c r="R322" s="49" t="s">
        <v>3231</v>
      </c>
      <c r="S322" s="49" t="s">
        <v>3232</v>
      </c>
      <c r="T322" s="49" t="s">
        <v>3233</v>
      </c>
    </row>
    <row r="323" spans="1:20" x14ac:dyDescent="0.2">
      <c r="A323" s="49" t="s">
        <v>30</v>
      </c>
      <c r="D323" s="49" t="s">
        <v>2621</v>
      </c>
      <c r="G323" s="49" t="s">
        <v>14451</v>
      </c>
      <c r="H323" s="49" t="s">
        <v>2622</v>
      </c>
      <c r="I323" s="49" t="s">
        <v>2623</v>
      </c>
      <c r="J323" s="49" t="s">
        <v>2624</v>
      </c>
      <c r="K323" s="49" t="s">
        <v>2625</v>
      </c>
      <c r="L323" s="49" t="s">
        <v>2626</v>
      </c>
      <c r="M323" s="49" t="s">
        <v>2627</v>
      </c>
      <c r="N323" s="49" t="s">
        <v>2628</v>
      </c>
      <c r="O323" s="49" t="s">
        <v>12682</v>
      </c>
      <c r="P323" s="49" t="s">
        <v>12685</v>
      </c>
      <c r="Q323" s="49" t="s">
        <v>12688</v>
      </c>
      <c r="R323" s="49" t="s">
        <v>12691</v>
      </c>
      <c r="S323" s="49" t="s">
        <v>12694</v>
      </c>
      <c r="T323" s="49" t="s">
        <v>12697</v>
      </c>
    </row>
    <row r="324" spans="1:20" x14ac:dyDescent="0.2">
      <c r="A324" s="49" t="s">
        <v>30</v>
      </c>
      <c r="D324" s="49" t="s">
        <v>2454</v>
      </c>
      <c r="G324" s="49" t="s">
        <v>14452</v>
      </c>
      <c r="H324" s="49" t="s">
        <v>2455</v>
      </c>
      <c r="I324" s="49" t="s">
        <v>2456</v>
      </c>
      <c r="J324" s="49" t="s">
        <v>2457</v>
      </c>
      <c r="K324" s="49" t="s">
        <v>2458</v>
      </c>
      <c r="L324" s="49" t="s">
        <v>2459</v>
      </c>
      <c r="M324" s="49" t="s">
        <v>2460</v>
      </c>
      <c r="N324" s="49" t="s">
        <v>2461</v>
      </c>
      <c r="O324" s="49" t="s">
        <v>12683</v>
      </c>
      <c r="P324" s="49" t="s">
        <v>12686</v>
      </c>
      <c r="Q324" s="49" t="s">
        <v>12689</v>
      </c>
      <c r="R324" s="49" t="s">
        <v>12692</v>
      </c>
      <c r="S324" s="49" t="s">
        <v>12695</v>
      </c>
      <c r="T324" s="49" t="s">
        <v>12698</v>
      </c>
    </row>
    <row r="325" spans="1:20" x14ac:dyDescent="0.2">
      <c r="A325" s="49" t="s">
        <v>30</v>
      </c>
      <c r="D325" s="49" t="s">
        <v>2161</v>
      </c>
      <c r="G325" s="49" t="s">
        <v>14453</v>
      </c>
      <c r="H325" s="49" t="s">
        <v>2162</v>
      </c>
      <c r="I325" s="49" t="s">
        <v>2163</v>
      </c>
      <c r="J325" s="49" t="s">
        <v>2164</v>
      </c>
      <c r="K325" s="49" t="s">
        <v>2165</v>
      </c>
      <c r="L325" s="49" t="s">
        <v>2166</v>
      </c>
      <c r="M325" s="49" t="s">
        <v>2167</v>
      </c>
      <c r="N325" s="49" t="s">
        <v>2168</v>
      </c>
      <c r="O325" s="49" t="s">
        <v>12684</v>
      </c>
      <c r="P325" s="49" t="s">
        <v>12687</v>
      </c>
      <c r="Q325" s="49" t="s">
        <v>12690</v>
      </c>
      <c r="R325" s="49" t="s">
        <v>12693</v>
      </c>
      <c r="S325" s="49" t="s">
        <v>12696</v>
      </c>
      <c r="T325" s="49" t="s">
        <v>12699</v>
      </c>
    </row>
    <row r="326" spans="1:20" x14ac:dyDescent="0.2">
      <c r="A326" s="49" t="s">
        <v>30</v>
      </c>
      <c r="D326" s="49" t="s">
        <v>1298</v>
      </c>
      <c r="G326" s="49" t="s">
        <v>14454</v>
      </c>
      <c r="H326" s="49" t="s">
        <v>1299</v>
      </c>
      <c r="I326" s="49" t="s">
        <v>1300</v>
      </c>
      <c r="J326" s="49" t="s">
        <v>1301</v>
      </c>
      <c r="K326" s="49" t="s">
        <v>1302</v>
      </c>
      <c r="L326" s="49" t="s">
        <v>1303</v>
      </c>
      <c r="M326" s="49" t="s">
        <v>1304</v>
      </c>
      <c r="N326" s="49" t="s">
        <v>1305</v>
      </c>
      <c r="O326" s="49" t="s">
        <v>31595</v>
      </c>
      <c r="P326" s="49" t="s">
        <v>31604</v>
      </c>
      <c r="Q326" s="49" t="s">
        <v>31613</v>
      </c>
      <c r="R326" s="49" t="s">
        <v>31622</v>
      </c>
      <c r="S326" s="49" t="s">
        <v>31631</v>
      </c>
      <c r="T326" s="49" t="s">
        <v>31640</v>
      </c>
    </row>
    <row r="327" spans="1:20" x14ac:dyDescent="0.2">
      <c r="A327" s="49" t="s">
        <v>30</v>
      </c>
      <c r="D327" s="49" t="s">
        <v>14455</v>
      </c>
      <c r="G327" s="49" t="s">
        <v>14456</v>
      </c>
      <c r="H327" s="49" t="s">
        <v>31589</v>
      </c>
      <c r="I327" s="49" t="s">
        <v>31591</v>
      </c>
      <c r="J327" s="49" t="s">
        <v>31647</v>
      </c>
      <c r="K327" s="49" t="s">
        <v>31649</v>
      </c>
      <c r="L327" s="49" t="s">
        <v>14457</v>
      </c>
      <c r="M327" s="49" t="s">
        <v>14458</v>
      </c>
      <c r="N327" s="49" t="s">
        <v>14459</v>
      </c>
      <c r="O327" s="49" t="s">
        <v>31596</v>
      </c>
      <c r="P327" s="49" t="s">
        <v>31605</v>
      </c>
      <c r="Q327" s="49" t="s">
        <v>31614</v>
      </c>
      <c r="R327" s="49" t="s">
        <v>31623</v>
      </c>
      <c r="S327" s="49" t="s">
        <v>31632</v>
      </c>
      <c r="T327" s="49" t="s">
        <v>31641</v>
      </c>
    </row>
    <row r="328" spans="1:20" x14ac:dyDescent="0.2">
      <c r="A328" s="49" t="s">
        <v>30</v>
      </c>
      <c r="D328" s="49" t="s">
        <v>2629</v>
      </c>
      <c r="G328" s="49" t="s">
        <v>14460</v>
      </c>
      <c r="H328" s="49" t="s">
        <v>2630</v>
      </c>
      <c r="I328" s="49" t="s">
        <v>2631</v>
      </c>
      <c r="J328" s="49" t="s">
        <v>2632</v>
      </c>
      <c r="K328" s="49" t="s">
        <v>2633</v>
      </c>
      <c r="L328" s="49" t="s">
        <v>2634</v>
      </c>
      <c r="M328" s="49" t="s">
        <v>2635</v>
      </c>
      <c r="N328" s="49" t="s">
        <v>2636</v>
      </c>
      <c r="O328" s="49" t="s">
        <v>31597</v>
      </c>
      <c r="P328" s="49" t="s">
        <v>31606</v>
      </c>
      <c r="Q328" s="49" t="s">
        <v>31615</v>
      </c>
      <c r="R328" s="49" t="s">
        <v>31624</v>
      </c>
      <c r="S328" s="49" t="s">
        <v>31633</v>
      </c>
      <c r="T328" s="49" t="s">
        <v>31642</v>
      </c>
    </row>
    <row r="329" spans="1:20" x14ac:dyDescent="0.2">
      <c r="A329" s="49" t="s">
        <v>30</v>
      </c>
      <c r="D329" s="49" t="s">
        <v>2169</v>
      </c>
      <c r="G329" s="49" t="s">
        <v>14461</v>
      </c>
      <c r="H329" s="49" t="s">
        <v>2170</v>
      </c>
      <c r="I329" s="49" t="s">
        <v>2171</v>
      </c>
      <c r="J329" s="49" t="s">
        <v>2172</v>
      </c>
      <c r="K329" s="49" t="s">
        <v>2173</v>
      </c>
      <c r="L329" s="49" t="s">
        <v>2174</v>
      </c>
      <c r="M329" s="49" t="s">
        <v>2175</v>
      </c>
      <c r="N329" s="49" t="s">
        <v>2176</v>
      </c>
      <c r="O329" s="49" t="s">
        <v>4284</v>
      </c>
      <c r="P329" s="49" t="s">
        <v>4285</v>
      </c>
      <c r="Q329" s="49" t="s">
        <v>4286</v>
      </c>
      <c r="R329" s="49" t="s">
        <v>4287</v>
      </c>
      <c r="S329" s="49" t="s">
        <v>4288</v>
      </c>
      <c r="T329" s="49" t="s">
        <v>4289</v>
      </c>
    </row>
    <row r="330" spans="1:20" x14ac:dyDescent="0.2">
      <c r="A330" s="49" t="s">
        <v>30</v>
      </c>
      <c r="D330" s="49" t="s">
        <v>1306</v>
      </c>
      <c r="G330" s="49" t="s">
        <v>14462</v>
      </c>
      <c r="H330" s="49" t="s">
        <v>1307</v>
      </c>
      <c r="I330" s="49" t="s">
        <v>1308</v>
      </c>
      <c r="J330" s="49" t="s">
        <v>1309</v>
      </c>
      <c r="K330" s="49" t="s">
        <v>1310</v>
      </c>
      <c r="L330" s="49" t="s">
        <v>1311</v>
      </c>
      <c r="M330" s="49" t="s">
        <v>1312</v>
      </c>
      <c r="N330" s="49" t="s">
        <v>1313</v>
      </c>
      <c r="O330" s="49" t="s">
        <v>10823</v>
      </c>
      <c r="P330" s="49" t="s">
        <v>10824</v>
      </c>
      <c r="Q330" s="49" t="s">
        <v>10825</v>
      </c>
      <c r="R330" s="49" t="s">
        <v>10826</v>
      </c>
      <c r="S330" s="49" t="s">
        <v>10827</v>
      </c>
      <c r="T330" s="49" t="s">
        <v>10828</v>
      </c>
    </row>
    <row r="331" spans="1:20" x14ac:dyDescent="0.2">
      <c r="A331" s="49" t="s">
        <v>30</v>
      </c>
      <c r="D331" s="49" t="s">
        <v>1314</v>
      </c>
      <c r="G331" s="49" t="s">
        <v>14463</v>
      </c>
      <c r="H331" s="49" t="s">
        <v>1315</v>
      </c>
      <c r="I331" s="49" t="s">
        <v>1316</v>
      </c>
      <c r="J331" s="49" t="s">
        <v>1317</v>
      </c>
      <c r="K331" s="49" t="s">
        <v>1318</v>
      </c>
      <c r="L331" s="49" t="s">
        <v>1319</v>
      </c>
      <c r="M331" s="49" t="s">
        <v>1320</v>
      </c>
      <c r="N331" s="49" t="s">
        <v>1321</v>
      </c>
      <c r="O331" s="49" t="s">
        <v>10829</v>
      </c>
      <c r="P331" s="49" t="s">
        <v>10830</v>
      </c>
      <c r="Q331" s="49" t="s">
        <v>10831</v>
      </c>
      <c r="R331" s="49" t="s">
        <v>10832</v>
      </c>
      <c r="S331" s="49" t="s">
        <v>10833</v>
      </c>
      <c r="T331" s="49" t="s">
        <v>10834</v>
      </c>
    </row>
    <row r="332" spans="1:20" x14ac:dyDescent="0.2">
      <c r="A332" s="49" t="s">
        <v>30</v>
      </c>
      <c r="D332" s="49" t="s">
        <v>1322</v>
      </c>
      <c r="G332" s="49" t="s">
        <v>14464</v>
      </c>
      <c r="H332" s="49" t="s">
        <v>1323</v>
      </c>
      <c r="I332" s="49" t="s">
        <v>1324</v>
      </c>
      <c r="J332" s="49" t="s">
        <v>1325</v>
      </c>
      <c r="K332" s="49" t="s">
        <v>1326</v>
      </c>
      <c r="L332" s="49" t="s">
        <v>1327</v>
      </c>
      <c r="M332" s="49" t="s">
        <v>1328</v>
      </c>
      <c r="N332" s="49" t="s">
        <v>1329</v>
      </c>
      <c r="O332" s="49" t="s">
        <v>10835</v>
      </c>
      <c r="P332" s="49" t="s">
        <v>10836</v>
      </c>
      <c r="Q332" s="49" t="s">
        <v>10837</v>
      </c>
      <c r="R332" s="49" t="s">
        <v>10838</v>
      </c>
      <c r="S332" s="49" t="s">
        <v>10839</v>
      </c>
      <c r="T332" s="49" t="s">
        <v>10840</v>
      </c>
    </row>
    <row r="333" spans="1:20" x14ac:dyDescent="0.2">
      <c r="A333" s="49" t="s">
        <v>30</v>
      </c>
      <c r="D333" s="49" t="s">
        <v>1330</v>
      </c>
      <c r="G333" s="49" t="s">
        <v>14465</v>
      </c>
      <c r="H333" s="49" t="s">
        <v>1331</v>
      </c>
      <c r="I333" s="49" t="s">
        <v>1332</v>
      </c>
      <c r="J333" s="49" t="s">
        <v>1333</v>
      </c>
      <c r="K333" s="49" t="s">
        <v>1334</v>
      </c>
      <c r="L333" s="49" t="s">
        <v>1335</v>
      </c>
      <c r="M333" s="49" t="s">
        <v>1336</v>
      </c>
      <c r="N333" s="49" t="s">
        <v>1337</v>
      </c>
      <c r="O333" s="49" t="s">
        <v>31598</v>
      </c>
      <c r="P333" s="49" t="s">
        <v>31607</v>
      </c>
      <c r="Q333" s="49" t="s">
        <v>31616</v>
      </c>
      <c r="R333" s="49" t="s">
        <v>31625</v>
      </c>
      <c r="S333" s="49" t="s">
        <v>31634</v>
      </c>
      <c r="T333" s="49" t="s">
        <v>31643</v>
      </c>
    </row>
    <row r="334" spans="1:20" x14ac:dyDescent="0.2">
      <c r="A334" s="49" t="s">
        <v>30</v>
      </c>
      <c r="D334" s="49" t="s">
        <v>1338</v>
      </c>
      <c r="G334" s="49" t="s">
        <v>14466</v>
      </c>
      <c r="H334" s="49" t="s">
        <v>1339</v>
      </c>
      <c r="I334" s="49" t="s">
        <v>1340</v>
      </c>
      <c r="J334" s="49" t="s">
        <v>1341</v>
      </c>
      <c r="K334" s="49" t="s">
        <v>1342</v>
      </c>
      <c r="L334" s="49" t="s">
        <v>1343</v>
      </c>
      <c r="M334" s="49" t="s">
        <v>1344</v>
      </c>
      <c r="N334" s="49" t="s">
        <v>1345</v>
      </c>
      <c r="O334" s="49" t="s">
        <v>31599</v>
      </c>
      <c r="P334" s="49" t="s">
        <v>31608</v>
      </c>
      <c r="Q334" s="49" t="s">
        <v>31617</v>
      </c>
      <c r="R334" s="49" t="s">
        <v>31626</v>
      </c>
      <c r="S334" s="49" t="s">
        <v>31635</v>
      </c>
      <c r="T334" s="49" t="s">
        <v>31644</v>
      </c>
    </row>
    <row r="335" spans="1:20" x14ac:dyDescent="0.2">
      <c r="A335" s="49" t="s">
        <v>30</v>
      </c>
      <c r="D335" s="49" t="s">
        <v>4884</v>
      </c>
      <c r="G335" s="49" t="s">
        <v>14467</v>
      </c>
      <c r="H335" s="49" t="s">
        <v>4885</v>
      </c>
      <c r="I335" s="49" t="s">
        <v>4886</v>
      </c>
      <c r="J335" s="49" t="s">
        <v>4887</v>
      </c>
      <c r="K335" s="49" t="s">
        <v>4888</v>
      </c>
      <c r="L335" s="49" t="s">
        <v>4889</v>
      </c>
      <c r="M335" s="49" t="s">
        <v>4890</v>
      </c>
      <c r="N335" s="49" t="s">
        <v>4891</v>
      </c>
      <c r="O335" s="49" t="s">
        <v>31600</v>
      </c>
      <c r="P335" s="49" t="s">
        <v>31609</v>
      </c>
      <c r="Q335" s="49" t="s">
        <v>31618</v>
      </c>
      <c r="R335" s="49" t="s">
        <v>31627</v>
      </c>
      <c r="S335" s="49" t="s">
        <v>31636</v>
      </c>
      <c r="T335" s="49" t="s">
        <v>31645</v>
      </c>
    </row>
    <row r="336" spans="1:20" x14ac:dyDescent="0.2">
      <c r="A336" s="49" t="s">
        <v>30</v>
      </c>
      <c r="D336" s="49" t="s">
        <v>4892</v>
      </c>
      <c r="G336" s="49" t="s">
        <v>14468</v>
      </c>
      <c r="H336" s="49" t="s">
        <v>4893</v>
      </c>
      <c r="I336" s="49" t="s">
        <v>4894</v>
      </c>
      <c r="J336" s="49" t="s">
        <v>4895</v>
      </c>
      <c r="K336" s="49" t="s">
        <v>4896</v>
      </c>
      <c r="L336" s="49" t="s">
        <v>4897</v>
      </c>
      <c r="M336" s="49" t="s">
        <v>4898</v>
      </c>
      <c r="N336" s="49" t="s">
        <v>4899</v>
      </c>
      <c r="O336" s="49" t="s">
        <v>4900</v>
      </c>
      <c r="P336" s="49" t="s">
        <v>4901</v>
      </c>
      <c r="Q336" s="49" t="s">
        <v>4902</v>
      </c>
      <c r="R336" s="49" t="s">
        <v>4903</v>
      </c>
      <c r="S336" s="49" t="s">
        <v>4904</v>
      </c>
      <c r="T336" s="49" t="s">
        <v>4905</v>
      </c>
    </row>
    <row r="337" spans="1:21" x14ac:dyDescent="0.2">
      <c r="A337" s="49" t="s">
        <v>30</v>
      </c>
      <c r="D337" s="49" t="s">
        <v>4906</v>
      </c>
      <c r="G337" s="49" t="s">
        <v>14469</v>
      </c>
      <c r="H337" s="49" t="s">
        <v>4907</v>
      </c>
      <c r="I337" s="49" t="s">
        <v>4908</v>
      </c>
      <c r="J337" s="49" t="s">
        <v>4909</v>
      </c>
      <c r="K337" s="49" t="s">
        <v>4910</v>
      </c>
      <c r="L337" s="49" t="s">
        <v>4911</v>
      </c>
      <c r="M337" s="49" t="s">
        <v>4912</v>
      </c>
      <c r="N337" s="49" t="s">
        <v>4913</v>
      </c>
      <c r="O337" s="49" t="s">
        <v>4914</v>
      </c>
      <c r="P337" s="49" t="s">
        <v>4915</v>
      </c>
      <c r="Q337" s="49" t="s">
        <v>4916</v>
      </c>
      <c r="R337" s="49" t="s">
        <v>4917</v>
      </c>
      <c r="S337" s="49" t="s">
        <v>4918</v>
      </c>
      <c r="T337" s="49" t="s">
        <v>4919</v>
      </c>
    </row>
    <row r="338" spans="1:21" x14ac:dyDescent="0.2">
      <c r="A338" s="49" t="s">
        <v>30</v>
      </c>
    </row>
    <row r="339" spans="1:21" x14ac:dyDescent="0.2">
      <c r="A339" s="49" t="s">
        <v>30</v>
      </c>
      <c r="E339" s="49" t="s">
        <v>31</v>
      </c>
      <c r="F339" s="49" t="s">
        <v>31</v>
      </c>
      <c r="G339" s="49" t="s">
        <v>31</v>
      </c>
      <c r="J339" s="49" t="s">
        <v>31</v>
      </c>
      <c r="K339" s="49" t="s">
        <v>31</v>
      </c>
      <c r="L339" s="49" t="s">
        <v>31</v>
      </c>
      <c r="M339" s="49" t="s">
        <v>31</v>
      </c>
    </row>
    <row r="340" spans="1:21" x14ac:dyDescent="0.2">
      <c r="A340" s="49" t="s">
        <v>30</v>
      </c>
      <c r="D340" s="49" t="s">
        <v>14470</v>
      </c>
      <c r="E340" s="49" t="s">
        <v>4675</v>
      </c>
      <c r="F340" s="49" t="s">
        <v>14471</v>
      </c>
      <c r="H340" s="49" t="s">
        <v>14472</v>
      </c>
      <c r="O340" s="49" t="s">
        <v>14473</v>
      </c>
      <c r="P340" s="49" t="s">
        <v>14474</v>
      </c>
      <c r="Q340" s="49" t="s">
        <v>14475</v>
      </c>
      <c r="R340" s="49" t="s">
        <v>14476</v>
      </c>
      <c r="S340" s="49" t="s">
        <v>14477</v>
      </c>
      <c r="T340" s="49" t="s">
        <v>14478</v>
      </c>
      <c r="U340" s="49" t="s">
        <v>14479</v>
      </c>
    </row>
    <row r="341" spans="1:21" x14ac:dyDescent="0.2">
      <c r="A341" s="49" t="s">
        <v>30</v>
      </c>
      <c r="D341" s="49" t="s">
        <v>1354</v>
      </c>
      <c r="G341" s="49" t="s">
        <v>14480</v>
      </c>
      <c r="H341" s="49" t="s">
        <v>1355</v>
      </c>
      <c r="I341" s="49" t="s">
        <v>1356</v>
      </c>
      <c r="J341" s="49" t="s">
        <v>1357</v>
      </c>
      <c r="K341" s="49" t="s">
        <v>1358</v>
      </c>
      <c r="L341" s="49" t="s">
        <v>1359</v>
      </c>
      <c r="M341" s="49" t="s">
        <v>1360</v>
      </c>
      <c r="N341" s="49" t="s">
        <v>1361</v>
      </c>
      <c r="O341" s="49" t="s">
        <v>31532</v>
      </c>
      <c r="P341" s="49" t="s">
        <v>31541</v>
      </c>
      <c r="Q341" s="49" t="s">
        <v>31550</v>
      </c>
      <c r="R341" s="49" t="s">
        <v>31559</v>
      </c>
      <c r="S341" s="49" t="s">
        <v>31568</v>
      </c>
      <c r="T341" s="49" t="s">
        <v>31577</v>
      </c>
    </row>
    <row r="342" spans="1:21" x14ac:dyDescent="0.2">
      <c r="A342" s="49" t="s">
        <v>30</v>
      </c>
      <c r="D342" s="49" t="s">
        <v>1362</v>
      </c>
      <c r="G342" s="49" t="s">
        <v>14481</v>
      </c>
      <c r="H342" s="49" t="s">
        <v>1363</v>
      </c>
      <c r="I342" s="49" t="s">
        <v>1364</v>
      </c>
      <c r="J342" s="49" t="s">
        <v>1365</v>
      </c>
      <c r="K342" s="49" t="s">
        <v>1366</v>
      </c>
      <c r="L342" s="49" t="s">
        <v>1367</v>
      </c>
      <c r="M342" s="49" t="s">
        <v>1368</v>
      </c>
      <c r="N342" s="49" t="s">
        <v>1369</v>
      </c>
      <c r="O342" s="49" t="s">
        <v>31533</v>
      </c>
      <c r="P342" s="49" t="s">
        <v>31542</v>
      </c>
      <c r="Q342" s="49" t="s">
        <v>31551</v>
      </c>
      <c r="R342" s="49" t="s">
        <v>31560</v>
      </c>
      <c r="S342" s="49" t="s">
        <v>31569</v>
      </c>
      <c r="T342" s="49" t="s">
        <v>31578</v>
      </c>
    </row>
    <row r="343" spans="1:21" x14ac:dyDescent="0.2">
      <c r="A343" s="49" t="s">
        <v>30</v>
      </c>
      <c r="D343" s="49" t="s">
        <v>1370</v>
      </c>
      <c r="G343" s="49" t="s">
        <v>14482</v>
      </c>
      <c r="H343" s="49" t="s">
        <v>1371</v>
      </c>
      <c r="I343" s="49" t="s">
        <v>1372</v>
      </c>
      <c r="J343" s="49" t="s">
        <v>1373</v>
      </c>
      <c r="K343" s="49" t="s">
        <v>1374</v>
      </c>
      <c r="L343" s="49" t="s">
        <v>1375</v>
      </c>
      <c r="M343" s="49" t="s">
        <v>1376</v>
      </c>
      <c r="N343" s="49" t="s">
        <v>1377</v>
      </c>
      <c r="O343" s="49" t="s">
        <v>3234</v>
      </c>
      <c r="P343" s="49" t="s">
        <v>3235</v>
      </c>
      <c r="Q343" s="49" t="s">
        <v>3236</v>
      </c>
      <c r="R343" s="49" t="s">
        <v>3237</v>
      </c>
      <c r="S343" s="49" t="s">
        <v>3238</v>
      </c>
      <c r="T343" s="49" t="s">
        <v>3239</v>
      </c>
    </row>
    <row r="344" spans="1:21" x14ac:dyDescent="0.2">
      <c r="A344" s="49" t="s">
        <v>30</v>
      </c>
      <c r="D344" s="49" t="s">
        <v>1378</v>
      </c>
      <c r="G344" s="49" t="s">
        <v>14483</v>
      </c>
      <c r="H344" s="49" t="s">
        <v>1379</v>
      </c>
      <c r="I344" s="49" t="s">
        <v>1380</v>
      </c>
      <c r="J344" s="49" t="s">
        <v>1381</v>
      </c>
      <c r="K344" s="49" t="s">
        <v>1382</v>
      </c>
      <c r="L344" s="49" t="s">
        <v>1383</v>
      </c>
      <c r="M344" s="49" t="s">
        <v>1384</v>
      </c>
      <c r="N344" s="49" t="s">
        <v>1385</v>
      </c>
      <c r="O344" s="49" t="s">
        <v>4290</v>
      </c>
      <c r="P344" s="49" t="s">
        <v>4291</v>
      </c>
      <c r="Q344" s="49" t="s">
        <v>4292</v>
      </c>
      <c r="R344" s="49" t="s">
        <v>4293</v>
      </c>
      <c r="S344" s="49" t="s">
        <v>4294</v>
      </c>
      <c r="T344" s="49" t="s">
        <v>4295</v>
      </c>
    </row>
    <row r="345" spans="1:21" x14ac:dyDescent="0.2">
      <c r="A345" s="49" t="s">
        <v>30</v>
      </c>
      <c r="D345" s="49" t="s">
        <v>2637</v>
      </c>
      <c r="G345" s="49" t="s">
        <v>14484</v>
      </c>
      <c r="H345" s="49" t="s">
        <v>2638</v>
      </c>
      <c r="I345" s="49" t="s">
        <v>2639</v>
      </c>
      <c r="J345" s="49" t="s">
        <v>2640</v>
      </c>
      <c r="K345" s="49" t="s">
        <v>2641</v>
      </c>
      <c r="L345" s="49" t="s">
        <v>2642</v>
      </c>
      <c r="M345" s="49" t="s">
        <v>2643</v>
      </c>
      <c r="N345" s="49" t="s">
        <v>2644</v>
      </c>
      <c r="O345" s="49" t="s">
        <v>4296</v>
      </c>
      <c r="P345" s="49" t="s">
        <v>4297</v>
      </c>
      <c r="Q345" s="49" t="s">
        <v>4298</v>
      </c>
      <c r="R345" s="49" t="s">
        <v>4299</v>
      </c>
      <c r="S345" s="49" t="s">
        <v>4300</v>
      </c>
      <c r="T345" s="49" t="s">
        <v>4301</v>
      </c>
    </row>
    <row r="346" spans="1:21" x14ac:dyDescent="0.2">
      <c r="A346" s="49" t="s">
        <v>30</v>
      </c>
      <c r="D346" s="49" t="s">
        <v>4302</v>
      </c>
      <c r="G346" s="49" t="s">
        <v>14485</v>
      </c>
      <c r="H346" s="49" t="s">
        <v>4303</v>
      </c>
      <c r="I346" s="49" t="s">
        <v>4304</v>
      </c>
      <c r="J346" s="49" t="s">
        <v>4305</v>
      </c>
      <c r="K346" s="49" t="s">
        <v>4306</v>
      </c>
      <c r="L346" s="49" t="s">
        <v>4307</v>
      </c>
      <c r="M346" s="49" t="s">
        <v>4308</v>
      </c>
      <c r="N346" s="49" t="s">
        <v>4309</v>
      </c>
      <c r="O346" s="49" t="s">
        <v>4310</v>
      </c>
      <c r="P346" s="49" t="s">
        <v>4311</v>
      </c>
      <c r="Q346" s="49" t="s">
        <v>4312</v>
      </c>
      <c r="R346" s="49" t="s">
        <v>4313</v>
      </c>
      <c r="S346" s="49" t="s">
        <v>4314</v>
      </c>
      <c r="T346" s="49" t="s">
        <v>4315</v>
      </c>
    </row>
    <row r="347" spans="1:21" x14ac:dyDescent="0.2">
      <c r="A347" s="49" t="s">
        <v>30</v>
      </c>
      <c r="D347" s="49" t="s">
        <v>4921</v>
      </c>
      <c r="G347" s="49" t="s">
        <v>14486</v>
      </c>
      <c r="H347" s="49" t="s">
        <v>4922</v>
      </c>
      <c r="I347" s="49" t="s">
        <v>4923</v>
      </c>
      <c r="J347" s="49" t="s">
        <v>4924</v>
      </c>
      <c r="K347" s="49" t="s">
        <v>4925</v>
      </c>
      <c r="L347" s="49" t="s">
        <v>4926</v>
      </c>
      <c r="M347" s="49" t="s">
        <v>4927</v>
      </c>
      <c r="N347" s="49" t="s">
        <v>4928</v>
      </c>
      <c r="O347" s="49" t="s">
        <v>4929</v>
      </c>
      <c r="P347" s="49" t="s">
        <v>4930</v>
      </c>
      <c r="Q347" s="49" t="s">
        <v>4931</v>
      </c>
      <c r="R347" s="49" t="s">
        <v>4932</v>
      </c>
      <c r="S347" s="49" t="s">
        <v>4933</v>
      </c>
      <c r="T347" s="49" t="s">
        <v>4934</v>
      </c>
    </row>
    <row r="348" spans="1:21" x14ac:dyDescent="0.2">
      <c r="A348" s="49" t="s">
        <v>30</v>
      </c>
      <c r="D348" s="49" t="s">
        <v>4935</v>
      </c>
      <c r="G348" s="49" t="s">
        <v>14487</v>
      </c>
      <c r="H348" s="49" t="s">
        <v>4936</v>
      </c>
      <c r="I348" s="49" t="s">
        <v>4937</v>
      </c>
      <c r="J348" s="49" t="s">
        <v>4938</v>
      </c>
      <c r="K348" s="49" t="s">
        <v>4939</v>
      </c>
      <c r="L348" s="49" t="s">
        <v>4940</v>
      </c>
      <c r="M348" s="49" t="s">
        <v>4941</v>
      </c>
      <c r="N348" s="49" t="s">
        <v>4942</v>
      </c>
      <c r="O348" s="49" t="s">
        <v>4943</v>
      </c>
      <c r="P348" s="49" t="s">
        <v>4944</v>
      </c>
      <c r="Q348" s="49" t="s">
        <v>4945</v>
      </c>
      <c r="R348" s="49" t="s">
        <v>4946</v>
      </c>
      <c r="S348" s="49" t="s">
        <v>4947</v>
      </c>
      <c r="T348" s="49" t="s">
        <v>4948</v>
      </c>
    </row>
    <row r="349" spans="1:21" x14ac:dyDescent="0.2">
      <c r="A349" s="49" t="s">
        <v>30</v>
      </c>
      <c r="D349" s="49" t="s">
        <v>10470</v>
      </c>
      <c r="G349" s="49" t="s">
        <v>14488</v>
      </c>
      <c r="H349" s="49" t="s">
        <v>10471</v>
      </c>
      <c r="I349" s="49" t="s">
        <v>10472</v>
      </c>
      <c r="J349" s="49" t="s">
        <v>10473</v>
      </c>
      <c r="K349" s="49" t="s">
        <v>10474</v>
      </c>
      <c r="L349" s="49" t="s">
        <v>10475</v>
      </c>
      <c r="M349" s="49" t="s">
        <v>10476</v>
      </c>
      <c r="N349" s="49" t="s">
        <v>10477</v>
      </c>
      <c r="O349" s="49" t="s">
        <v>12670</v>
      </c>
      <c r="P349" s="49" t="s">
        <v>12672</v>
      </c>
      <c r="Q349" s="49" t="s">
        <v>12674</v>
      </c>
      <c r="R349" s="49" t="s">
        <v>12676</v>
      </c>
      <c r="S349" s="49" t="s">
        <v>12678</v>
      </c>
      <c r="T349" s="49" t="s">
        <v>12680</v>
      </c>
    </row>
    <row r="350" spans="1:21" x14ac:dyDescent="0.2">
      <c r="A350" s="49" t="s">
        <v>30</v>
      </c>
      <c r="D350" s="49" t="s">
        <v>1386</v>
      </c>
      <c r="G350" s="49" t="s">
        <v>14489</v>
      </c>
      <c r="H350" s="49" t="s">
        <v>1387</v>
      </c>
      <c r="I350" s="49" t="s">
        <v>1388</v>
      </c>
      <c r="J350" s="49" t="s">
        <v>1389</v>
      </c>
      <c r="K350" s="49" t="s">
        <v>1390</v>
      </c>
      <c r="L350" s="49" t="s">
        <v>1391</v>
      </c>
      <c r="M350" s="49" t="s">
        <v>1392</v>
      </c>
      <c r="N350" s="49" t="s">
        <v>1393</v>
      </c>
      <c r="O350" s="49" t="s">
        <v>12671</v>
      </c>
      <c r="P350" s="49" t="s">
        <v>12673</v>
      </c>
      <c r="Q350" s="49" t="s">
        <v>12675</v>
      </c>
      <c r="R350" s="49" t="s">
        <v>12677</v>
      </c>
      <c r="S350" s="49" t="s">
        <v>12679</v>
      </c>
      <c r="T350" s="49" t="s">
        <v>12681</v>
      </c>
    </row>
    <row r="351" spans="1:21" x14ac:dyDescent="0.2">
      <c r="A351" s="49" t="s">
        <v>30</v>
      </c>
      <c r="D351" s="49" t="s">
        <v>1394</v>
      </c>
      <c r="G351" s="49" t="s">
        <v>14490</v>
      </c>
      <c r="H351" s="49" t="s">
        <v>1395</v>
      </c>
      <c r="I351" s="49" t="s">
        <v>1396</v>
      </c>
      <c r="J351" s="49" t="s">
        <v>1397</v>
      </c>
      <c r="K351" s="49" t="s">
        <v>1398</v>
      </c>
      <c r="L351" s="49" t="s">
        <v>1399</v>
      </c>
      <c r="M351" s="49" t="s">
        <v>1400</v>
      </c>
      <c r="N351" s="49" t="s">
        <v>1401</v>
      </c>
      <c r="O351" s="49" t="s">
        <v>31534</v>
      </c>
      <c r="P351" s="49" t="s">
        <v>31543</v>
      </c>
      <c r="Q351" s="49" t="s">
        <v>31552</v>
      </c>
      <c r="R351" s="49" t="s">
        <v>31561</v>
      </c>
      <c r="S351" s="49" t="s">
        <v>31570</v>
      </c>
      <c r="T351" s="49" t="s">
        <v>31579</v>
      </c>
    </row>
    <row r="352" spans="1:21" x14ac:dyDescent="0.2">
      <c r="A352" s="49" t="s">
        <v>30</v>
      </c>
      <c r="D352" s="49" t="s">
        <v>14491</v>
      </c>
      <c r="G352" s="49" t="s">
        <v>14492</v>
      </c>
      <c r="H352" s="49" t="s">
        <v>31530</v>
      </c>
      <c r="I352" s="49" t="s">
        <v>31531</v>
      </c>
      <c r="J352" s="49" t="s">
        <v>31586</v>
      </c>
      <c r="K352" s="49" t="s">
        <v>31587</v>
      </c>
      <c r="L352" s="49" t="s">
        <v>14493</v>
      </c>
      <c r="M352" s="49" t="s">
        <v>14494</v>
      </c>
      <c r="N352" s="49" t="s">
        <v>14495</v>
      </c>
      <c r="O352" s="49" t="s">
        <v>31535</v>
      </c>
      <c r="P352" s="49" t="s">
        <v>31544</v>
      </c>
      <c r="Q352" s="49" t="s">
        <v>31553</v>
      </c>
      <c r="R352" s="49" t="s">
        <v>31562</v>
      </c>
      <c r="S352" s="49" t="s">
        <v>31571</v>
      </c>
      <c r="T352" s="49" t="s">
        <v>31580</v>
      </c>
    </row>
    <row r="353" spans="1:20" x14ac:dyDescent="0.2">
      <c r="A353" s="49" t="s">
        <v>30</v>
      </c>
      <c r="D353" s="49" t="s">
        <v>2470</v>
      </c>
      <c r="G353" s="49" t="s">
        <v>14496</v>
      </c>
      <c r="H353" s="49" t="s">
        <v>2471</v>
      </c>
      <c r="I353" s="49" t="s">
        <v>2472</v>
      </c>
      <c r="J353" s="49" t="s">
        <v>2473</v>
      </c>
      <c r="K353" s="49" t="s">
        <v>2474</v>
      </c>
      <c r="L353" s="49" t="s">
        <v>2475</v>
      </c>
      <c r="M353" s="49" t="s">
        <v>2476</v>
      </c>
      <c r="N353" s="49" t="s">
        <v>2477</v>
      </c>
      <c r="O353" s="49" t="s">
        <v>31536</v>
      </c>
      <c r="P353" s="49" t="s">
        <v>31545</v>
      </c>
      <c r="Q353" s="49" t="s">
        <v>31554</v>
      </c>
      <c r="R353" s="49" t="s">
        <v>31563</v>
      </c>
      <c r="S353" s="49" t="s">
        <v>31572</v>
      </c>
      <c r="T353" s="49" t="s">
        <v>31581</v>
      </c>
    </row>
    <row r="354" spans="1:20" x14ac:dyDescent="0.2">
      <c r="A354" s="49" t="s">
        <v>30</v>
      </c>
      <c r="D354" s="49" t="s">
        <v>2763</v>
      </c>
      <c r="G354" s="49" t="s">
        <v>14497</v>
      </c>
      <c r="H354" s="49" t="s">
        <v>2764</v>
      </c>
      <c r="I354" s="49" t="s">
        <v>2765</v>
      </c>
      <c r="J354" s="49" t="s">
        <v>2766</v>
      </c>
      <c r="K354" s="49" t="s">
        <v>2767</v>
      </c>
      <c r="L354" s="49" t="s">
        <v>2768</v>
      </c>
      <c r="M354" s="49" t="s">
        <v>2769</v>
      </c>
      <c r="N354" s="49" t="s">
        <v>2770</v>
      </c>
      <c r="O354" s="49" t="s">
        <v>3240</v>
      </c>
      <c r="P354" s="49" t="s">
        <v>3241</v>
      </c>
      <c r="Q354" s="49" t="s">
        <v>3242</v>
      </c>
      <c r="R354" s="49" t="s">
        <v>3243</v>
      </c>
      <c r="S354" s="49" t="s">
        <v>3244</v>
      </c>
      <c r="T354" s="49" t="s">
        <v>3245</v>
      </c>
    </row>
    <row r="355" spans="1:20" x14ac:dyDescent="0.2">
      <c r="A355" s="49" t="s">
        <v>30</v>
      </c>
      <c r="D355" s="49" t="s">
        <v>1402</v>
      </c>
      <c r="G355" s="49" t="s">
        <v>14498</v>
      </c>
      <c r="H355" s="49" t="s">
        <v>1403</v>
      </c>
      <c r="I355" s="49" t="s">
        <v>1404</v>
      </c>
      <c r="J355" s="49" t="s">
        <v>1405</v>
      </c>
      <c r="K355" s="49" t="s">
        <v>1406</v>
      </c>
      <c r="L355" s="49" t="s">
        <v>1407</v>
      </c>
      <c r="M355" s="49" t="s">
        <v>1408</v>
      </c>
      <c r="N355" s="49" t="s">
        <v>1409</v>
      </c>
      <c r="O355" s="49" t="s">
        <v>3246</v>
      </c>
      <c r="P355" s="49" t="s">
        <v>3247</v>
      </c>
      <c r="Q355" s="49" t="s">
        <v>3248</v>
      </c>
      <c r="R355" s="49" t="s">
        <v>3249</v>
      </c>
      <c r="S355" s="49" t="s">
        <v>3250</v>
      </c>
      <c r="T355" s="49" t="s">
        <v>3251</v>
      </c>
    </row>
    <row r="356" spans="1:20" x14ac:dyDescent="0.2">
      <c r="A356" s="49" t="s">
        <v>30</v>
      </c>
      <c r="D356" s="49" t="s">
        <v>1410</v>
      </c>
      <c r="G356" s="49" t="s">
        <v>14499</v>
      </c>
      <c r="H356" s="49" t="s">
        <v>1411</v>
      </c>
      <c r="I356" s="49" t="s">
        <v>1412</v>
      </c>
      <c r="J356" s="49" t="s">
        <v>1413</v>
      </c>
      <c r="K356" s="49" t="s">
        <v>1414</v>
      </c>
      <c r="L356" s="49" t="s">
        <v>1415</v>
      </c>
      <c r="M356" s="49" t="s">
        <v>1416</v>
      </c>
      <c r="N356" s="49" t="s">
        <v>1417</v>
      </c>
      <c r="O356" s="49" t="s">
        <v>3252</v>
      </c>
      <c r="P356" s="49" t="s">
        <v>3253</v>
      </c>
      <c r="Q356" s="49" t="s">
        <v>3254</v>
      </c>
      <c r="R356" s="49" t="s">
        <v>3255</v>
      </c>
      <c r="S356" s="49" t="s">
        <v>3256</v>
      </c>
      <c r="T356" s="49" t="s">
        <v>3257</v>
      </c>
    </row>
    <row r="357" spans="1:20" x14ac:dyDescent="0.2">
      <c r="A357" s="49" t="s">
        <v>30</v>
      </c>
      <c r="D357" s="49" t="s">
        <v>1418</v>
      </c>
      <c r="G357" s="49" t="s">
        <v>14500</v>
      </c>
      <c r="H357" s="49" t="s">
        <v>1419</v>
      </c>
      <c r="I357" s="49" t="s">
        <v>1420</v>
      </c>
      <c r="J357" s="49" t="s">
        <v>1421</v>
      </c>
      <c r="K357" s="49" t="s">
        <v>1422</v>
      </c>
      <c r="L357" s="49" t="s">
        <v>1423</v>
      </c>
      <c r="M357" s="49" t="s">
        <v>1424</v>
      </c>
      <c r="N357" s="49" t="s">
        <v>1425</v>
      </c>
      <c r="O357" s="49" t="s">
        <v>3258</v>
      </c>
      <c r="P357" s="49" t="s">
        <v>3259</v>
      </c>
      <c r="Q357" s="49" t="s">
        <v>3260</v>
      </c>
      <c r="R357" s="49" t="s">
        <v>3261</v>
      </c>
      <c r="S357" s="49" t="s">
        <v>3262</v>
      </c>
      <c r="T357" s="49" t="s">
        <v>3263</v>
      </c>
    </row>
    <row r="358" spans="1:20" x14ac:dyDescent="0.2">
      <c r="A358" s="49" t="s">
        <v>30</v>
      </c>
      <c r="D358" s="49" t="s">
        <v>1426</v>
      </c>
      <c r="G358" s="49" t="s">
        <v>14501</v>
      </c>
      <c r="H358" s="49" t="s">
        <v>1427</v>
      </c>
      <c r="I358" s="49" t="s">
        <v>1428</v>
      </c>
      <c r="J358" s="49" t="s">
        <v>1429</v>
      </c>
      <c r="K358" s="49" t="s">
        <v>1430</v>
      </c>
      <c r="L358" s="49" t="s">
        <v>1431</v>
      </c>
      <c r="M358" s="49" t="s">
        <v>1432</v>
      </c>
      <c r="N358" s="49" t="s">
        <v>1433</v>
      </c>
      <c r="O358" s="49" t="s">
        <v>31537</v>
      </c>
      <c r="P358" s="49" t="s">
        <v>31546</v>
      </c>
      <c r="Q358" s="49" t="s">
        <v>31555</v>
      </c>
      <c r="R358" s="49" t="s">
        <v>31564</v>
      </c>
      <c r="S358" s="49" t="s">
        <v>31573</v>
      </c>
      <c r="T358" s="49" t="s">
        <v>31582</v>
      </c>
    </row>
    <row r="359" spans="1:20" x14ac:dyDescent="0.2">
      <c r="A359" s="49" t="s">
        <v>30</v>
      </c>
      <c r="D359" s="49" t="s">
        <v>9337</v>
      </c>
      <c r="G359" s="49" t="s">
        <v>14502</v>
      </c>
      <c r="H359" s="49" t="s">
        <v>9338</v>
      </c>
      <c r="I359" s="49" t="s">
        <v>9339</v>
      </c>
      <c r="J359" s="49" t="s">
        <v>9340</v>
      </c>
      <c r="K359" s="49" t="s">
        <v>9341</v>
      </c>
      <c r="L359" s="49" t="s">
        <v>9342</v>
      </c>
      <c r="M359" s="49" t="s">
        <v>9343</v>
      </c>
      <c r="N359" s="49" t="s">
        <v>9344</v>
      </c>
      <c r="O359" s="49" t="s">
        <v>31538</v>
      </c>
      <c r="P359" s="49" t="s">
        <v>31547</v>
      </c>
      <c r="Q359" s="49" t="s">
        <v>31556</v>
      </c>
      <c r="R359" s="49" t="s">
        <v>31565</v>
      </c>
      <c r="S359" s="49" t="s">
        <v>31574</v>
      </c>
      <c r="T359" s="49" t="s">
        <v>31583</v>
      </c>
    </row>
    <row r="360" spans="1:20" x14ac:dyDescent="0.2">
      <c r="A360" s="49" t="s">
        <v>30</v>
      </c>
      <c r="D360" s="49" t="s">
        <v>9351</v>
      </c>
      <c r="G360" s="49" t="s">
        <v>14503</v>
      </c>
      <c r="H360" s="49" t="s">
        <v>9352</v>
      </c>
      <c r="I360" s="49" t="s">
        <v>9353</v>
      </c>
      <c r="J360" s="49" t="s">
        <v>9354</v>
      </c>
      <c r="K360" s="49" t="s">
        <v>9355</v>
      </c>
      <c r="L360" s="49" t="s">
        <v>9356</v>
      </c>
      <c r="M360" s="49" t="s">
        <v>9357</v>
      </c>
      <c r="N360" s="49" t="s">
        <v>9358</v>
      </c>
      <c r="O360" s="49" t="s">
        <v>31539</v>
      </c>
      <c r="P360" s="49" t="s">
        <v>31548</v>
      </c>
      <c r="Q360" s="49" t="s">
        <v>31557</v>
      </c>
      <c r="R360" s="49" t="s">
        <v>31566</v>
      </c>
      <c r="S360" s="49" t="s">
        <v>31575</v>
      </c>
      <c r="T360" s="49" t="s">
        <v>31584</v>
      </c>
    </row>
    <row r="361" spans="1:20" x14ac:dyDescent="0.2">
      <c r="A361" s="49" t="s">
        <v>30</v>
      </c>
      <c r="D361" s="49" t="s">
        <v>4954</v>
      </c>
      <c r="G361" s="49" t="s">
        <v>14504</v>
      </c>
      <c r="H361" s="49" t="s">
        <v>4955</v>
      </c>
      <c r="I361" s="49" t="s">
        <v>4956</v>
      </c>
      <c r="J361" s="49" t="s">
        <v>4957</v>
      </c>
      <c r="K361" s="49" t="s">
        <v>4958</v>
      </c>
      <c r="L361" s="49" t="s">
        <v>4959</v>
      </c>
      <c r="M361" s="49" t="s">
        <v>4960</v>
      </c>
      <c r="N361" s="49" t="s">
        <v>4961</v>
      </c>
      <c r="O361" s="49" t="s">
        <v>4962</v>
      </c>
      <c r="P361" s="49" t="s">
        <v>4963</v>
      </c>
      <c r="Q361" s="49" t="s">
        <v>4964</v>
      </c>
      <c r="R361" s="49" t="s">
        <v>4965</v>
      </c>
      <c r="S361" s="49" t="s">
        <v>4966</v>
      </c>
      <c r="T361" s="49" t="s">
        <v>4967</v>
      </c>
    </row>
    <row r="362" spans="1:20" x14ac:dyDescent="0.2">
      <c r="A362" s="49" t="s">
        <v>30</v>
      </c>
      <c r="D362" s="49" t="s">
        <v>2478</v>
      </c>
      <c r="G362" s="49" t="s">
        <v>14505</v>
      </c>
      <c r="H362" s="49" t="s">
        <v>2479</v>
      </c>
      <c r="I362" s="49" t="s">
        <v>2480</v>
      </c>
      <c r="J362" s="49" t="s">
        <v>2481</v>
      </c>
      <c r="K362" s="49" t="s">
        <v>2482</v>
      </c>
      <c r="L362" s="49" t="s">
        <v>2483</v>
      </c>
      <c r="M362" s="49" t="s">
        <v>2484</v>
      </c>
      <c r="N362" s="49" t="s">
        <v>2485</v>
      </c>
      <c r="O362" s="49" t="s">
        <v>3264</v>
      </c>
      <c r="P362" s="49" t="s">
        <v>3265</v>
      </c>
      <c r="Q362" s="49" t="s">
        <v>3266</v>
      </c>
      <c r="R362" s="49" t="s">
        <v>3267</v>
      </c>
      <c r="S362" s="49" t="s">
        <v>3268</v>
      </c>
      <c r="T362" s="49" t="s">
        <v>3269</v>
      </c>
    </row>
    <row r="363" spans="1:20" x14ac:dyDescent="0.2">
      <c r="A363" s="49" t="s">
        <v>30</v>
      </c>
      <c r="D363" s="49" t="s">
        <v>1434</v>
      </c>
      <c r="G363" s="49" t="s">
        <v>14506</v>
      </c>
      <c r="H363" s="49" t="s">
        <v>1435</v>
      </c>
      <c r="I363" s="49" t="s">
        <v>1436</v>
      </c>
      <c r="J363" s="49" t="s">
        <v>1437</v>
      </c>
      <c r="K363" s="49" t="s">
        <v>1438</v>
      </c>
      <c r="L363" s="49" t="s">
        <v>1439</v>
      </c>
      <c r="M363" s="49" t="s">
        <v>1440</v>
      </c>
      <c r="N363" s="49" t="s">
        <v>1441</v>
      </c>
      <c r="O363" s="49" t="s">
        <v>4316</v>
      </c>
      <c r="P363" s="49" t="s">
        <v>4317</v>
      </c>
      <c r="Q363" s="49" t="s">
        <v>4318</v>
      </c>
      <c r="R363" s="49" t="s">
        <v>4319</v>
      </c>
      <c r="S363" s="49" t="s">
        <v>4320</v>
      </c>
      <c r="T363" s="49" t="s">
        <v>4321</v>
      </c>
    </row>
    <row r="364" spans="1:20" x14ac:dyDescent="0.2">
      <c r="A364" s="49" t="s">
        <v>30</v>
      </c>
      <c r="D364" s="49" t="s">
        <v>1442</v>
      </c>
      <c r="G364" s="49" t="s">
        <v>14507</v>
      </c>
      <c r="H364" s="49" t="s">
        <v>1443</v>
      </c>
      <c r="I364" s="49" t="s">
        <v>1444</v>
      </c>
      <c r="J364" s="49" t="s">
        <v>1445</v>
      </c>
      <c r="K364" s="49" t="s">
        <v>1446</v>
      </c>
      <c r="L364" s="49" t="s">
        <v>1447</v>
      </c>
      <c r="M364" s="49" t="s">
        <v>1448</v>
      </c>
      <c r="N364" s="49" t="s">
        <v>1449</v>
      </c>
      <c r="O364" s="49" t="s">
        <v>4446</v>
      </c>
      <c r="P364" s="49" t="s">
        <v>4447</v>
      </c>
      <c r="Q364" s="49" t="s">
        <v>4448</v>
      </c>
      <c r="R364" s="49" t="s">
        <v>4449</v>
      </c>
      <c r="S364" s="49" t="s">
        <v>4450</v>
      </c>
      <c r="T364" s="49" t="s">
        <v>4451</v>
      </c>
    </row>
    <row r="365" spans="1:20" x14ac:dyDescent="0.2">
      <c r="A365" s="49" t="s">
        <v>30</v>
      </c>
      <c r="D365" s="49" t="s">
        <v>1450</v>
      </c>
      <c r="G365" s="49" t="s">
        <v>14508</v>
      </c>
      <c r="H365" s="49" t="s">
        <v>1451</v>
      </c>
      <c r="I365" s="49" t="s">
        <v>1452</v>
      </c>
      <c r="J365" s="49" t="s">
        <v>1453</v>
      </c>
      <c r="K365" s="49" t="s">
        <v>1454</v>
      </c>
      <c r="L365" s="49" t="s">
        <v>1455</v>
      </c>
      <c r="M365" s="49" t="s">
        <v>1456</v>
      </c>
      <c r="N365" s="49" t="s">
        <v>1457</v>
      </c>
      <c r="O365" s="49" t="s">
        <v>12664</v>
      </c>
      <c r="P365" s="49" t="s">
        <v>12665</v>
      </c>
      <c r="Q365" s="49" t="s">
        <v>12666</v>
      </c>
      <c r="R365" s="49" t="s">
        <v>12667</v>
      </c>
      <c r="S365" s="49" t="s">
        <v>12668</v>
      </c>
      <c r="T365" s="49" t="s">
        <v>12669</v>
      </c>
    </row>
    <row r="366" spans="1:20" x14ac:dyDescent="0.2">
      <c r="A366" s="49" t="s">
        <v>30</v>
      </c>
      <c r="D366" s="49" t="s">
        <v>1458</v>
      </c>
      <c r="G366" s="49" t="s">
        <v>14509</v>
      </c>
      <c r="H366" s="49" t="s">
        <v>1459</v>
      </c>
      <c r="I366" s="49" t="s">
        <v>1460</v>
      </c>
      <c r="J366" s="49" t="s">
        <v>1461</v>
      </c>
      <c r="K366" s="49" t="s">
        <v>1462</v>
      </c>
      <c r="L366" s="49" t="s">
        <v>1463</v>
      </c>
      <c r="M366" s="49" t="s">
        <v>1464</v>
      </c>
      <c r="N366" s="49" t="s">
        <v>1465</v>
      </c>
      <c r="O366" s="49" t="s">
        <v>31540</v>
      </c>
      <c r="P366" s="49" t="s">
        <v>31549</v>
      </c>
      <c r="Q366" s="49" t="s">
        <v>31558</v>
      </c>
      <c r="R366" s="49" t="s">
        <v>31567</v>
      </c>
      <c r="S366" s="49" t="s">
        <v>31576</v>
      </c>
      <c r="T366" s="49" t="s">
        <v>31585</v>
      </c>
    </row>
    <row r="367" spans="1:20" x14ac:dyDescent="0.2">
      <c r="A367" s="49" t="s">
        <v>30</v>
      </c>
    </row>
    <row r="368" spans="1:20" x14ac:dyDescent="0.2">
      <c r="A368" s="49" t="s">
        <v>30</v>
      </c>
      <c r="E368" s="49" t="s">
        <v>31</v>
      </c>
      <c r="F368" s="49" t="s">
        <v>31</v>
      </c>
      <c r="G368" s="49" t="s">
        <v>31</v>
      </c>
      <c r="J368" s="49" t="s">
        <v>31</v>
      </c>
      <c r="K368" s="49" t="s">
        <v>31</v>
      </c>
      <c r="L368" s="49" t="s">
        <v>31</v>
      </c>
      <c r="M368" s="49" t="s">
        <v>31</v>
      </c>
    </row>
    <row r="369" spans="1:21" x14ac:dyDescent="0.2">
      <c r="A369" s="49" t="s">
        <v>30</v>
      </c>
      <c r="D369" s="49" t="s">
        <v>13524</v>
      </c>
      <c r="E369" s="49" t="s">
        <v>4679</v>
      </c>
      <c r="F369" s="49" t="s">
        <v>13525</v>
      </c>
      <c r="H369" s="49" t="s">
        <v>13526</v>
      </c>
      <c r="O369" s="49" t="s">
        <v>14510</v>
      </c>
      <c r="P369" s="49" t="s">
        <v>14511</v>
      </c>
      <c r="Q369" s="49" t="s">
        <v>14512</v>
      </c>
      <c r="R369" s="49" t="s">
        <v>14513</v>
      </c>
      <c r="S369" s="49" t="s">
        <v>14514</v>
      </c>
      <c r="T369" s="49" t="s">
        <v>14515</v>
      </c>
      <c r="U369" s="49" t="s">
        <v>14516</v>
      </c>
    </row>
    <row r="370" spans="1:21" x14ac:dyDescent="0.2">
      <c r="A370" s="49" t="s">
        <v>30</v>
      </c>
      <c r="D370" s="49" t="s">
        <v>2193</v>
      </c>
      <c r="G370" s="49" t="s">
        <v>14517</v>
      </c>
      <c r="H370" s="49" t="s">
        <v>2194</v>
      </c>
      <c r="I370" s="49" t="s">
        <v>2195</v>
      </c>
      <c r="J370" s="49" t="s">
        <v>2196</v>
      </c>
      <c r="K370" s="49" t="s">
        <v>2197</v>
      </c>
      <c r="L370" s="49" t="s">
        <v>2198</v>
      </c>
      <c r="M370" s="49" t="s">
        <v>2199</v>
      </c>
      <c r="N370" s="49" t="s">
        <v>2200</v>
      </c>
      <c r="O370" s="49" t="s">
        <v>3270</v>
      </c>
      <c r="P370" s="49" t="s">
        <v>3271</v>
      </c>
      <c r="Q370" s="49" t="s">
        <v>3272</v>
      </c>
      <c r="R370" s="49" t="s">
        <v>3273</v>
      </c>
      <c r="S370" s="49" t="s">
        <v>3274</v>
      </c>
      <c r="T370" s="49" t="s">
        <v>3275</v>
      </c>
    </row>
    <row r="371" spans="1:21" x14ac:dyDescent="0.2">
      <c r="A371" s="49" t="s">
        <v>30</v>
      </c>
      <c r="D371" s="49" t="s">
        <v>1474</v>
      </c>
      <c r="G371" s="49" t="s">
        <v>14518</v>
      </c>
      <c r="H371" s="49" t="s">
        <v>1475</v>
      </c>
      <c r="I371" s="49" t="s">
        <v>1476</v>
      </c>
      <c r="J371" s="49" t="s">
        <v>1477</v>
      </c>
      <c r="K371" s="49" t="s">
        <v>1478</v>
      </c>
      <c r="L371" s="49" t="s">
        <v>1479</v>
      </c>
      <c r="M371" s="49" t="s">
        <v>1480</v>
      </c>
      <c r="N371" s="49" t="s">
        <v>1481</v>
      </c>
      <c r="O371" s="49" t="s">
        <v>3276</v>
      </c>
      <c r="P371" s="49" t="s">
        <v>3277</v>
      </c>
      <c r="Q371" s="49" t="s">
        <v>3278</v>
      </c>
      <c r="R371" s="49" t="s">
        <v>3279</v>
      </c>
      <c r="S371" s="49" t="s">
        <v>3280</v>
      </c>
      <c r="T371" s="49" t="s">
        <v>3281</v>
      </c>
    </row>
    <row r="372" spans="1:21" x14ac:dyDescent="0.2">
      <c r="A372" s="49" t="s">
        <v>30</v>
      </c>
      <c r="D372" s="49" t="s">
        <v>14519</v>
      </c>
      <c r="G372" s="49" t="s">
        <v>14520</v>
      </c>
      <c r="H372" s="49" t="s">
        <v>31482</v>
      </c>
      <c r="I372" s="49" t="s">
        <v>31485</v>
      </c>
      <c r="J372" s="49" t="s">
        <v>31524</v>
      </c>
      <c r="K372" s="49" t="s">
        <v>31527</v>
      </c>
      <c r="L372" s="49" t="s">
        <v>14521</v>
      </c>
      <c r="M372" s="49" t="s">
        <v>14522</v>
      </c>
      <c r="N372" s="49" t="s">
        <v>14523</v>
      </c>
      <c r="O372" s="49" t="s">
        <v>31488</v>
      </c>
      <c r="P372" s="49" t="s">
        <v>31494</v>
      </c>
      <c r="Q372" s="49" t="s">
        <v>31500</v>
      </c>
      <c r="R372" s="49" t="s">
        <v>31506</v>
      </c>
      <c r="S372" s="49" t="s">
        <v>31512</v>
      </c>
      <c r="T372" s="49" t="s">
        <v>31518</v>
      </c>
    </row>
    <row r="373" spans="1:21" x14ac:dyDescent="0.2">
      <c r="A373" s="49" t="s">
        <v>30</v>
      </c>
      <c r="D373" s="49" t="s">
        <v>14524</v>
      </c>
      <c r="G373" s="49" t="s">
        <v>14525</v>
      </c>
      <c r="H373" s="49" t="s">
        <v>31483</v>
      </c>
      <c r="I373" s="49" t="s">
        <v>31486</v>
      </c>
      <c r="J373" s="49" t="s">
        <v>31525</v>
      </c>
      <c r="K373" s="49" t="s">
        <v>31528</v>
      </c>
      <c r="L373" s="49" t="s">
        <v>14526</v>
      </c>
      <c r="M373" s="49" t="s">
        <v>14527</v>
      </c>
      <c r="N373" s="49" t="s">
        <v>14528</v>
      </c>
      <c r="O373" s="49" t="s">
        <v>31489</v>
      </c>
      <c r="P373" s="49" t="s">
        <v>31495</v>
      </c>
      <c r="Q373" s="49" t="s">
        <v>31501</v>
      </c>
      <c r="R373" s="49" t="s">
        <v>31507</v>
      </c>
      <c r="S373" s="49" t="s">
        <v>31513</v>
      </c>
      <c r="T373" s="49" t="s">
        <v>31519</v>
      </c>
    </row>
    <row r="374" spans="1:21" x14ac:dyDescent="0.2">
      <c r="A374" s="49" t="s">
        <v>30</v>
      </c>
      <c r="D374" s="49" t="s">
        <v>14529</v>
      </c>
      <c r="G374" s="49" t="s">
        <v>14530</v>
      </c>
      <c r="H374" s="49" t="s">
        <v>31484</v>
      </c>
      <c r="I374" s="49" t="s">
        <v>31487</v>
      </c>
      <c r="J374" s="49" t="s">
        <v>31526</v>
      </c>
      <c r="K374" s="49" t="s">
        <v>31529</v>
      </c>
      <c r="L374" s="49" t="s">
        <v>14531</v>
      </c>
      <c r="M374" s="49" t="s">
        <v>14532</v>
      </c>
      <c r="N374" s="49" t="s">
        <v>14533</v>
      </c>
      <c r="O374" s="49" t="s">
        <v>31490</v>
      </c>
      <c r="P374" s="49" t="s">
        <v>31496</v>
      </c>
      <c r="Q374" s="49" t="s">
        <v>31502</v>
      </c>
      <c r="R374" s="49" t="s">
        <v>31508</v>
      </c>
      <c r="S374" s="49" t="s">
        <v>31514</v>
      </c>
      <c r="T374" s="49" t="s">
        <v>31520</v>
      </c>
    </row>
    <row r="375" spans="1:21" x14ac:dyDescent="0.2">
      <c r="A375" s="49" t="s">
        <v>30</v>
      </c>
      <c r="D375" s="49" t="s">
        <v>2486</v>
      </c>
      <c r="G375" s="49" t="s">
        <v>14534</v>
      </c>
      <c r="H375" s="49" t="s">
        <v>2487</v>
      </c>
      <c r="I375" s="49" t="s">
        <v>2488</v>
      </c>
      <c r="J375" s="49" t="s">
        <v>2489</v>
      </c>
      <c r="K375" s="49" t="s">
        <v>2490</v>
      </c>
      <c r="L375" s="49" t="s">
        <v>2491</v>
      </c>
      <c r="M375" s="49" t="s">
        <v>2492</v>
      </c>
      <c r="N375" s="49" t="s">
        <v>2493</v>
      </c>
      <c r="O375" s="49" t="s">
        <v>10851</v>
      </c>
      <c r="P375" s="49" t="s">
        <v>10852</v>
      </c>
      <c r="Q375" s="49" t="s">
        <v>10853</v>
      </c>
      <c r="R375" s="49" t="s">
        <v>10854</v>
      </c>
      <c r="S375" s="49" t="s">
        <v>10855</v>
      </c>
      <c r="T375" s="49" t="s">
        <v>10856</v>
      </c>
    </row>
    <row r="376" spans="1:21" x14ac:dyDescent="0.2">
      <c r="A376" s="49" t="s">
        <v>30</v>
      </c>
      <c r="D376" s="49" t="s">
        <v>2494</v>
      </c>
      <c r="G376" s="49" t="s">
        <v>14535</v>
      </c>
      <c r="H376" s="49" t="s">
        <v>2495</v>
      </c>
      <c r="I376" s="49" t="s">
        <v>2496</v>
      </c>
      <c r="J376" s="49" t="s">
        <v>2497</v>
      </c>
      <c r="K376" s="49" t="s">
        <v>2498</v>
      </c>
      <c r="L376" s="49" t="s">
        <v>2499</v>
      </c>
      <c r="M376" s="49" t="s">
        <v>2500</v>
      </c>
      <c r="N376" s="49" t="s">
        <v>2501</v>
      </c>
      <c r="O376" s="49" t="s">
        <v>10857</v>
      </c>
      <c r="P376" s="49" t="s">
        <v>10858</v>
      </c>
      <c r="Q376" s="49" t="s">
        <v>10859</v>
      </c>
      <c r="R376" s="49" t="s">
        <v>10860</v>
      </c>
      <c r="S376" s="49" t="s">
        <v>10861</v>
      </c>
      <c r="T376" s="49" t="s">
        <v>10862</v>
      </c>
    </row>
    <row r="377" spans="1:21" x14ac:dyDescent="0.2">
      <c r="A377" s="49" t="s">
        <v>30</v>
      </c>
      <c r="D377" s="49" t="s">
        <v>10863</v>
      </c>
      <c r="G377" s="49" t="s">
        <v>14536</v>
      </c>
      <c r="H377" s="49" t="s">
        <v>10864</v>
      </c>
      <c r="I377" s="49" t="s">
        <v>10865</v>
      </c>
      <c r="J377" s="49" t="s">
        <v>10866</v>
      </c>
      <c r="K377" s="49" t="s">
        <v>10867</v>
      </c>
      <c r="L377" s="49" t="s">
        <v>10868</v>
      </c>
      <c r="M377" s="49" t="s">
        <v>10869</v>
      </c>
      <c r="N377" s="49" t="s">
        <v>10870</v>
      </c>
      <c r="O377" s="49" t="s">
        <v>10871</v>
      </c>
      <c r="P377" s="49" t="s">
        <v>10872</v>
      </c>
      <c r="Q377" s="49" t="s">
        <v>10873</v>
      </c>
      <c r="R377" s="49" t="s">
        <v>10874</v>
      </c>
      <c r="S377" s="49" t="s">
        <v>10875</v>
      </c>
      <c r="T377" s="49" t="s">
        <v>10876</v>
      </c>
    </row>
    <row r="378" spans="1:21" x14ac:dyDescent="0.2">
      <c r="A378" s="49" t="s">
        <v>30</v>
      </c>
      <c r="D378" s="49" t="s">
        <v>1482</v>
      </c>
      <c r="G378" s="49" t="s">
        <v>14537</v>
      </c>
      <c r="H378" s="49" t="s">
        <v>1483</v>
      </c>
      <c r="I378" s="49" t="s">
        <v>1484</v>
      </c>
      <c r="J378" s="49" t="s">
        <v>1485</v>
      </c>
      <c r="K378" s="49" t="s">
        <v>1486</v>
      </c>
      <c r="L378" s="49" t="s">
        <v>1487</v>
      </c>
      <c r="M378" s="49" t="s">
        <v>1488</v>
      </c>
      <c r="N378" s="49" t="s">
        <v>1489</v>
      </c>
      <c r="O378" s="49" t="s">
        <v>31491</v>
      </c>
      <c r="P378" s="49" t="s">
        <v>31497</v>
      </c>
      <c r="Q378" s="49" t="s">
        <v>31503</v>
      </c>
      <c r="R378" s="49" t="s">
        <v>31509</v>
      </c>
      <c r="S378" s="49" t="s">
        <v>31515</v>
      </c>
      <c r="T378" s="49" t="s">
        <v>31521</v>
      </c>
    </row>
    <row r="379" spans="1:21" x14ac:dyDescent="0.2">
      <c r="A379" s="49" t="s">
        <v>30</v>
      </c>
      <c r="D379" s="49" t="s">
        <v>1490</v>
      </c>
      <c r="G379" s="49" t="s">
        <v>14538</v>
      </c>
      <c r="H379" s="49" t="s">
        <v>1491</v>
      </c>
      <c r="I379" s="49" t="s">
        <v>1492</v>
      </c>
      <c r="J379" s="49" t="s">
        <v>1493</v>
      </c>
      <c r="K379" s="49" t="s">
        <v>1494</v>
      </c>
      <c r="L379" s="49" t="s">
        <v>1495</v>
      </c>
      <c r="M379" s="49" t="s">
        <v>1496</v>
      </c>
      <c r="N379" s="49" t="s">
        <v>1497</v>
      </c>
      <c r="O379" s="49" t="s">
        <v>31492</v>
      </c>
      <c r="P379" s="49" t="s">
        <v>31498</v>
      </c>
      <c r="Q379" s="49" t="s">
        <v>31504</v>
      </c>
      <c r="R379" s="49" t="s">
        <v>31510</v>
      </c>
      <c r="S379" s="49" t="s">
        <v>31516</v>
      </c>
      <c r="T379" s="49" t="s">
        <v>31522</v>
      </c>
    </row>
    <row r="380" spans="1:21" x14ac:dyDescent="0.2">
      <c r="A380" s="49" t="s">
        <v>30</v>
      </c>
      <c r="D380" s="49" t="s">
        <v>1498</v>
      </c>
      <c r="G380" s="49" t="s">
        <v>14539</v>
      </c>
      <c r="H380" s="49" t="s">
        <v>1499</v>
      </c>
      <c r="I380" s="49" t="s">
        <v>1500</v>
      </c>
      <c r="J380" s="49" t="s">
        <v>1501</v>
      </c>
      <c r="K380" s="49" t="s">
        <v>1502</v>
      </c>
      <c r="L380" s="49" t="s">
        <v>1503</v>
      </c>
      <c r="M380" s="49" t="s">
        <v>1504</v>
      </c>
      <c r="N380" s="49" t="s">
        <v>1505</v>
      </c>
      <c r="O380" s="49" t="s">
        <v>31493</v>
      </c>
      <c r="P380" s="49" t="s">
        <v>31499</v>
      </c>
      <c r="Q380" s="49" t="s">
        <v>31505</v>
      </c>
      <c r="R380" s="49" t="s">
        <v>31511</v>
      </c>
      <c r="S380" s="49" t="s">
        <v>31517</v>
      </c>
      <c r="T380" s="49" t="s">
        <v>31523</v>
      </c>
    </row>
    <row r="381" spans="1:21" x14ac:dyDescent="0.2">
      <c r="A381" s="49" t="s">
        <v>30</v>
      </c>
    </row>
    <row r="382" spans="1:21" x14ac:dyDescent="0.2">
      <c r="A382" s="49" t="s">
        <v>30</v>
      </c>
      <c r="E382" s="49" t="s">
        <v>31</v>
      </c>
      <c r="F382" s="49" t="s">
        <v>31</v>
      </c>
      <c r="G382" s="49" t="s">
        <v>31</v>
      </c>
      <c r="J382" s="49" t="s">
        <v>31</v>
      </c>
      <c r="K382" s="49" t="s">
        <v>31</v>
      </c>
      <c r="L382" s="49" t="s">
        <v>31</v>
      </c>
      <c r="M382" s="49" t="s">
        <v>31</v>
      </c>
    </row>
    <row r="383" spans="1:21" x14ac:dyDescent="0.2">
      <c r="A383" s="49" t="s">
        <v>30</v>
      </c>
      <c r="D383" s="49" t="s">
        <v>13912</v>
      </c>
      <c r="E383" s="49" t="s">
        <v>4683</v>
      </c>
      <c r="F383" s="49" t="s">
        <v>13913</v>
      </c>
      <c r="H383" s="49" t="s">
        <v>13914</v>
      </c>
      <c r="O383" s="49" t="s">
        <v>14540</v>
      </c>
      <c r="P383" s="49" t="s">
        <v>14541</v>
      </c>
      <c r="Q383" s="49" t="s">
        <v>14542</v>
      </c>
      <c r="R383" s="49" t="s">
        <v>14543</v>
      </c>
      <c r="S383" s="49" t="s">
        <v>14544</v>
      </c>
      <c r="T383" s="49" t="s">
        <v>14545</v>
      </c>
      <c r="U383" s="49" t="s">
        <v>14546</v>
      </c>
    </row>
    <row r="384" spans="1:21" x14ac:dyDescent="0.2">
      <c r="A384" s="49" t="s">
        <v>30</v>
      </c>
      <c r="D384" s="49" t="s">
        <v>1530</v>
      </c>
      <c r="G384" s="49" t="s">
        <v>14547</v>
      </c>
      <c r="H384" s="49" t="s">
        <v>1531</v>
      </c>
      <c r="I384" s="49" t="s">
        <v>1532</v>
      </c>
      <c r="J384" s="49" t="s">
        <v>1533</v>
      </c>
      <c r="K384" s="49" t="s">
        <v>1534</v>
      </c>
      <c r="L384" s="49" t="s">
        <v>1535</v>
      </c>
      <c r="M384" s="49" t="s">
        <v>1536</v>
      </c>
      <c r="N384" s="49" t="s">
        <v>1537</v>
      </c>
      <c r="O384" s="49" t="s">
        <v>3282</v>
      </c>
      <c r="P384" s="49" t="s">
        <v>3283</v>
      </c>
      <c r="Q384" s="49" t="s">
        <v>3284</v>
      </c>
      <c r="R384" s="49" t="s">
        <v>3285</v>
      </c>
      <c r="S384" s="49" t="s">
        <v>3286</v>
      </c>
      <c r="T384" s="49" t="s">
        <v>3287</v>
      </c>
    </row>
    <row r="385" spans="1:20" x14ac:dyDescent="0.2">
      <c r="A385" s="49" t="s">
        <v>30</v>
      </c>
      <c r="D385" s="49" t="s">
        <v>1538</v>
      </c>
      <c r="G385" s="49" t="s">
        <v>14548</v>
      </c>
      <c r="H385" s="49" t="s">
        <v>1539</v>
      </c>
      <c r="I385" s="49" t="s">
        <v>1540</v>
      </c>
      <c r="J385" s="49" t="s">
        <v>1541</v>
      </c>
      <c r="K385" s="49" t="s">
        <v>1542</v>
      </c>
      <c r="L385" s="49" t="s">
        <v>1543</v>
      </c>
      <c r="M385" s="49" t="s">
        <v>1544</v>
      </c>
      <c r="N385" s="49" t="s">
        <v>1545</v>
      </c>
      <c r="O385" s="49" t="s">
        <v>3288</v>
      </c>
      <c r="P385" s="49" t="s">
        <v>3289</v>
      </c>
      <c r="Q385" s="49" t="s">
        <v>3290</v>
      </c>
      <c r="R385" s="49" t="s">
        <v>3291</v>
      </c>
      <c r="S385" s="49" t="s">
        <v>3292</v>
      </c>
      <c r="T385" s="49" t="s">
        <v>3293</v>
      </c>
    </row>
    <row r="386" spans="1:20" x14ac:dyDescent="0.2">
      <c r="A386" s="49" t="s">
        <v>30</v>
      </c>
      <c r="D386" s="49" t="s">
        <v>1546</v>
      </c>
      <c r="G386" s="49" t="s">
        <v>14549</v>
      </c>
      <c r="H386" s="49" t="s">
        <v>1547</v>
      </c>
      <c r="I386" s="49" t="s">
        <v>1548</v>
      </c>
      <c r="J386" s="49" t="s">
        <v>1549</v>
      </c>
      <c r="K386" s="49" t="s">
        <v>1550</v>
      </c>
      <c r="L386" s="49" t="s">
        <v>1551</v>
      </c>
      <c r="M386" s="49" t="s">
        <v>1552</v>
      </c>
      <c r="N386" s="49" t="s">
        <v>1553</v>
      </c>
      <c r="O386" s="49" t="s">
        <v>3294</v>
      </c>
      <c r="P386" s="49" t="s">
        <v>3295</v>
      </c>
      <c r="Q386" s="49" t="s">
        <v>3296</v>
      </c>
      <c r="R386" s="49" t="s">
        <v>3297</v>
      </c>
      <c r="S386" s="49" t="s">
        <v>3298</v>
      </c>
      <c r="T386" s="49" t="s">
        <v>3299</v>
      </c>
    </row>
    <row r="387" spans="1:20" x14ac:dyDescent="0.2">
      <c r="A387" s="49" t="s">
        <v>30</v>
      </c>
      <c r="D387" s="49" t="s">
        <v>14550</v>
      </c>
      <c r="G387" s="49" t="s">
        <v>14551</v>
      </c>
      <c r="H387" s="49" t="s">
        <v>31384</v>
      </c>
      <c r="I387" s="49" t="s">
        <v>31392</v>
      </c>
      <c r="J387" s="49" t="s">
        <v>31466</v>
      </c>
      <c r="K387" s="49" t="s">
        <v>31474</v>
      </c>
      <c r="L387" s="49" t="s">
        <v>14552</v>
      </c>
      <c r="M387" s="49" t="s">
        <v>14553</v>
      </c>
      <c r="N387" s="49" t="s">
        <v>14554</v>
      </c>
      <c r="O387" s="49" t="s">
        <v>31400</v>
      </c>
      <c r="P387" s="49" t="s">
        <v>31411</v>
      </c>
      <c r="Q387" s="49" t="s">
        <v>31422</v>
      </c>
      <c r="R387" s="49" t="s">
        <v>31433</v>
      </c>
      <c r="S387" s="49" t="s">
        <v>31444</v>
      </c>
      <c r="T387" s="49" t="s">
        <v>31455</v>
      </c>
    </row>
    <row r="388" spans="1:20" x14ac:dyDescent="0.2">
      <c r="A388" s="49" t="s">
        <v>30</v>
      </c>
      <c r="D388" s="49" t="s">
        <v>14555</v>
      </c>
      <c r="G388" s="49" t="s">
        <v>14556</v>
      </c>
      <c r="H388" s="49" t="s">
        <v>31385</v>
      </c>
      <c r="I388" s="49" t="s">
        <v>31393</v>
      </c>
      <c r="J388" s="49" t="s">
        <v>31467</v>
      </c>
      <c r="K388" s="49" t="s">
        <v>31475</v>
      </c>
      <c r="L388" s="49" t="s">
        <v>14557</v>
      </c>
      <c r="M388" s="49" t="s">
        <v>14558</v>
      </c>
      <c r="N388" s="49" t="s">
        <v>14559</v>
      </c>
      <c r="O388" s="49" t="s">
        <v>31401</v>
      </c>
      <c r="P388" s="49" t="s">
        <v>31412</v>
      </c>
      <c r="Q388" s="49" t="s">
        <v>31423</v>
      </c>
      <c r="R388" s="49" t="s">
        <v>31434</v>
      </c>
      <c r="S388" s="49" t="s">
        <v>31445</v>
      </c>
      <c r="T388" s="49" t="s">
        <v>31456</v>
      </c>
    </row>
    <row r="389" spans="1:20" x14ac:dyDescent="0.2">
      <c r="A389" s="49" t="s">
        <v>30</v>
      </c>
      <c r="D389" s="49" t="s">
        <v>2201</v>
      </c>
      <c r="G389" s="49" t="s">
        <v>14560</v>
      </c>
      <c r="H389" s="49" t="s">
        <v>2202</v>
      </c>
      <c r="I389" s="49" t="s">
        <v>2203</v>
      </c>
      <c r="J389" s="49" t="s">
        <v>2204</v>
      </c>
      <c r="K389" s="49" t="s">
        <v>2205</v>
      </c>
      <c r="L389" s="49" t="s">
        <v>2206</v>
      </c>
      <c r="M389" s="49" t="s">
        <v>2207</v>
      </c>
      <c r="N389" s="49" t="s">
        <v>2208</v>
      </c>
      <c r="O389" s="49" t="s">
        <v>31402</v>
      </c>
      <c r="P389" s="49" t="s">
        <v>31413</v>
      </c>
      <c r="Q389" s="49" t="s">
        <v>31424</v>
      </c>
      <c r="R389" s="49" t="s">
        <v>31435</v>
      </c>
      <c r="S389" s="49" t="s">
        <v>31446</v>
      </c>
      <c r="T389" s="49" t="s">
        <v>31457</v>
      </c>
    </row>
    <row r="390" spans="1:20" x14ac:dyDescent="0.2">
      <c r="A390" s="49" t="s">
        <v>30</v>
      </c>
      <c r="D390" s="49" t="s">
        <v>2209</v>
      </c>
      <c r="G390" s="49" t="s">
        <v>14561</v>
      </c>
      <c r="H390" s="49" t="s">
        <v>2210</v>
      </c>
      <c r="I390" s="49" t="s">
        <v>2211</v>
      </c>
      <c r="J390" s="49" t="s">
        <v>2212</v>
      </c>
      <c r="K390" s="49" t="s">
        <v>2213</v>
      </c>
      <c r="L390" s="49" t="s">
        <v>2214</v>
      </c>
      <c r="M390" s="49" t="s">
        <v>2215</v>
      </c>
      <c r="N390" s="49" t="s">
        <v>2216</v>
      </c>
      <c r="O390" s="49" t="s">
        <v>10880</v>
      </c>
      <c r="P390" s="49" t="s">
        <v>10881</v>
      </c>
      <c r="Q390" s="49" t="s">
        <v>10882</v>
      </c>
      <c r="R390" s="49" t="s">
        <v>10883</v>
      </c>
      <c r="S390" s="49" t="s">
        <v>10884</v>
      </c>
      <c r="T390" s="49" t="s">
        <v>10885</v>
      </c>
    </row>
    <row r="391" spans="1:20" x14ac:dyDescent="0.2">
      <c r="A391" s="49" t="s">
        <v>30</v>
      </c>
      <c r="D391" s="49" t="s">
        <v>1554</v>
      </c>
      <c r="G391" s="49" t="s">
        <v>14562</v>
      </c>
      <c r="H391" s="49" t="s">
        <v>1555</v>
      </c>
      <c r="I391" s="49" t="s">
        <v>1556</v>
      </c>
      <c r="J391" s="49" t="s">
        <v>1557</v>
      </c>
      <c r="K391" s="49" t="s">
        <v>1558</v>
      </c>
      <c r="L391" s="49" t="s">
        <v>1559</v>
      </c>
      <c r="M391" s="49" t="s">
        <v>1560</v>
      </c>
      <c r="N391" s="49" t="s">
        <v>1561</v>
      </c>
      <c r="O391" s="49" t="s">
        <v>10886</v>
      </c>
      <c r="P391" s="49" t="s">
        <v>10887</v>
      </c>
      <c r="Q391" s="49" t="s">
        <v>10888</v>
      </c>
      <c r="R391" s="49" t="s">
        <v>10889</v>
      </c>
      <c r="S391" s="49" t="s">
        <v>10890</v>
      </c>
      <c r="T391" s="49" t="s">
        <v>10891</v>
      </c>
    </row>
    <row r="392" spans="1:20" x14ac:dyDescent="0.2">
      <c r="A392" s="49" t="s">
        <v>30</v>
      </c>
      <c r="D392" s="49" t="s">
        <v>14563</v>
      </c>
      <c r="G392" s="49" t="s">
        <v>14564</v>
      </c>
      <c r="H392" s="49" t="s">
        <v>31386</v>
      </c>
      <c r="I392" s="49" t="s">
        <v>31394</v>
      </c>
      <c r="J392" s="49" t="s">
        <v>31468</v>
      </c>
      <c r="K392" s="49" t="s">
        <v>31476</v>
      </c>
      <c r="L392" s="49" t="s">
        <v>14565</v>
      </c>
      <c r="M392" s="49" t="s">
        <v>14566</v>
      </c>
      <c r="N392" s="49" t="s">
        <v>14567</v>
      </c>
      <c r="O392" s="49" t="s">
        <v>31403</v>
      </c>
      <c r="P392" s="49" t="s">
        <v>31414</v>
      </c>
      <c r="Q392" s="49" t="s">
        <v>31425</v>
      </c>
      <c r="R392" s="49" t="s">
        <v>31436</v>
      </c>
      <c r="S392" s="49" t="s">
        <v>31447</v>
      </c>
      <c r="T392" s="49" t="s">
        <v>31458</v>
      </c>
    </row>
    <row r="393" spans="1:20" x14ac:dyDescent="0.2">
      <c r="A393" s="49" t="s">
        <v>30</v>
      </c>
      <c r="D393" s="49" t="s">
        <v>4971</v>
      </c>
      <c r="G393" s="49" t="s">
        <v>14568</v>
      </c>
      <c r="H393" s="49" t="s">
        <v>4972</v>
      </c>
      <c r="I393" s="49" t="s">
        <v>4973</v>
      </c>
      <c r="J393" s="49" t="s">
        <v>4974</v>
      </c>
      <c r="K393" s="49" t="s">
        <v>4975</v>
      </c>
      <c r="L393" s="49" t="s">
        <v>4976</v>
      </c>
      <c r="M393" s="49" t="s">
        <v>4977</v>
      </c>
      <c r="N393" s="49" t="s">
        <v>4978</v>
      </c>
      <c r="O393" s="49" t="s">
        <v>31404</v>
      </c>
      <c r="P393" s="49" t="s">
        <v>31415</v>
      </c>
      <c r="Q393" s="49" t="s">
        <v>31426</v>
      </c>
      <c r="R393" s="49" t="s">
        <v>31437</v>
      </c>
      <c r="S393" s="49" t="s">
        <v>31448</v>
      </c>
      <c r="T393" s="49" t="s">
        <v>31459</v>
      </c>
    </row>
    <row r="394" spans="1:20" x14ac:dyDescent="0.2">
      <c r="A394" s="49" t="s">
        <v>30</v>
      </c>
      <c r="D394" s="49" t="s">
        <v>4979</v>
      </c>
      <c r="G394" s="49" t="s">
        <v>14569</v>
      </c>
      <c r="H394" s="49" t="s">
        <v>4980</v>
      </c>
      <c r="I394" s="49" t="s">
        <v>4981</v>
      </c>
      <c r="J394" s="49" t="s">
        <v>4982</v>
      </c>
      <c r="K394" s="49" t="s">
        <v>4983</v>
      </c>
      <c r="L394" s="49" t="s">
        <v>4984</v>
      </c>
      <c r="M394" s="49" t="s">
        <v>4985</v>
      </c>
      <c r="N394" s="49" t="s">
        <v>4986</v>
      </c>
      <c r="O394" s="49" t="s">
        <v>31405</v>
      </c>
      <c r="P394" s="49" t="s">
        <v>31416</v>
      </c>
      <c r="Q394" s="49" t="s">
        <v>31427</v>
      </c>
      <c r="R394" s="49" t="s">
        <v>31438</v>
      </c>
      <c r="S394" s="49" t="s">
        <v>31449</v>
      </c>
      <c r="T394" s="49" t="s">
        <v>31460</v>
      </c>
    </row>
    <row r="395" spans="1:20" x14ac:dyDescent="0.2">
      <c r="A395" s="49" t="s">
        <v>30</v>
      </c>
      <c r="D395" s="49" t="s">
        <v>1565</v>
      </c>
      <c r="G395" s="49" t="s">
        <v>14570</v>
      </c>
      <c r="H395" s="49" t="s">
        <v>1566</v>
      </c>
      <c r="I395" s="49" t="s">
        <v>1567</v>
      </c>
      <c r="J395" s="49" t="s">
        <v>1568</v>
      </c>
      <c r="K395" s="49" t="s">
        <v>1569</v>
      </c>
      <c r="L395" s="49" t="s">
        <v>1570</v>
      </c>
      <c r="M395" s="49" t="s">
        <v>1571</v>
      </c>
      <c r="N395" s="49" t="s">
        <v>1572</v>
      </c>
      <c r="O395" s="49" t="s">
        <v>4452</v>
      </c>
      <c r="P395" s="49" t="s">
        <v>4453</v>
      </c>
      <c r="Q395" s="49" t="s">
        <v>4454</v>
      </c>
      <c r="R395" s="49" t="s">
        <v>4455</v>
      </c>
      <c r="S395" s="49" t="s">
        <v>4456</v>
      </c>
      <c r="T395" s="49" t="s">
        <v>4457</v>
      </c>
    </row>
    <row r="396" spans="1:20" x14ac:dyDescent="0.2">
      <c r="A396" s="49" t="s">
        <v>30</v>
      </c>
      <c r="D396" s="49" t="s">
        <v>1573</v>
      </c>
      <c r="G396" s="49" t="s">
        <v>14571</v>
      </c>
      <c r="H396" s="49" t="s">
        <v>1574</v>
      </c>
      <c r="I396" s="49" t="s">
        <v>1575</v>
      </c>
      <c r="J396" s="49" t="s">
        <v>1576</v>
      </c>
      <c r="K396" s="49" t="s">
        <v>1577</v>
      </c>
      <c r="L396" s="49" t="s">
        <v>1578</v>
      </c>
      <c r="M396" s="49" t="s">
        <v>1579</v>
      </c>
      <c r="N396" s="49" t="s">
        <v>1580</v>
      </c>
      <c r="O396" s="49" t="s">
        <v>10892</v>
      </c>
      <c r="P396" s="49" t="s">
        <v>10893</v>
      </c>
      <c r="Q396" s="49" t="s">
        <v>10894</v>
      </c>
      <c r="R396" s="49" t="s">
        <v>10895</v>
      </c>
      <c r="S396" s="49" t="s">
        <v>10896</v>
      </c>
      <c r="T396" s="49" t="s">
        <v>10897</v>
      </c>
    </row>
    <row r="397" spans="1:20" x14ac:dyDescent="0.2">
      <c r="A397" s="49" t="s">
        <v>30</v>
      </c>
      <c r="D397" s="49" t="s">
        <v>3825</v>
      </c>
      <c r="G397" s="49" t="s">
        <v>14572</v>
      </c>
      <c r="H397" s="49" t="s">
        <v>3826</v>
      </c>
      <c r="I397" s="49" t="s">
        <v>3827</v>
      </c>
      <c r="J397" s="49" t="s">
        <v>3828</v>
      </c>
      <c r="K397" s="49" t="s">
        <v>3829</v>
      </c>
      <c r="L397" s="49" t="s">
        <v>3830</v>
      </c>
      <c r="M397" s="49" t="s">
        <v>3831</v>
      </c>
      <c r="N397" s="49" t="s">
        <v>3832</v>
      </c>
      <c r="O397" s="49" t="s">
        <v>10898</v>
      </c>
      <c r="P397" s="49" t="s">
        <v>10899</v>
      </c>
      <c r="Q397" s="49" t="s">
        <v>10900</v>
      </c>
      <c r="R397" s="49" t="s">
        <v>10901</v>
      </c>
      <c r="S397" s="49" t="s">
        <v>10902</v>
      </c>
      <c r="T397" s="49" t="s">
        <v>10903</v>
      </c>
    </row>
    <row r="398" spans="1:20" x14ac:dyDescent="0.2">
      <c r="A398" s="49" t="s">
        <v>30</v>
      </c>
      <c r="D398" s="49" t="s">
        <v>3300</v>
      </c>
      <c r="G398" s="49" t="s">
        <v>14573</v>
      </c>
      <c r="H398" s="49" t="s">
        <v>3301</v>
      </c>
      <c r="I398" s="49" t="s">
        <v>3302</v>
      </c>
      <c r="J398" s="49" t="s">
        <v>3303</v>
      </c>
      <c r="K398" s="49" t="s">
        <v>3304</v>
      </c>
      <c r="L398" s="49" t="s">
        <v>3305</v>
      </c>
      <c r="M398" s="49" t="s">
        <v>3306</v>
      </c>
      <c r="N398" s="49" t="s">
        <v>3307</v>
      </c>
      <c r="O398" s="49" t="s">
        <v>10904</v>
      </c>
      <c r="P398" s="49" t="s">
        <v>10905</v>
      </c>
      <c r="Q398" s="49" t="s">
        <v>10906</v>
      </c>
      <c r="R398" s="49" t="s">
        <v>10907</v>
      </c>
      <c r="S398" s="49" t="s">
        <v>10908</v>
      </c>
      <c r="T398" s="49" t="s">
        <v>10909</v>
      </c>
    </row>
    <row r="399" spans="1:20" x14ac:dyDescent="0.2">
      <c r="A399" s="49" t="s">
        <v>30</v>
      </c>
      <c r="D399" s="49" t="s">
        <v>14574</v>
      </c>
      <c r="G399" s="49" t="s">
        <v>14575</v>
      </c>
      <c r="H399" s="49" t="s">
        <v>31387</v>
      </c>
      <c r="I399" s="49" t="s">
        <v>31395</v>
      </c>
      <c r="J399" s="49" t="s">
        <v>31469</v>
      </c>
      <c r="K399" s="49" t="s">
        <v>31477</v>
      </c>
      <c r="L399" s="49" t="s">
        <v>14576</v>
      </c>
      <c r="M399" s="49" t="s">
        <v>14577</v>
      </c>
      <c r="N399" s="49" t="s">
        <v>14578</v>
      </c>
      <c r="O399" s="49" t="s">
        <v>31406</v>
      </c>
      <c r="P399" s="49" t="s">
        <v>31417</v>
      </c>
      <c r="Q399" s="49" t="s">
        <v>31428</v>
      </c>
      <c r="R399" s="49" t="s">
        <v>31439</v>
      </c>
      <c r="S399" s="49" t="s">
        <v>31450</v>
      </c>
      <c r="T399" s="49" t="s">
        <v>31461</v>
      </c>
    </row>
    <row r="400" spans="1:20" x14ac:dyDescent="0.2">
      <c r="A400" s="49" t="s">
        <v>30</v>
      </c>
      <c r="D400" s="49" t="s">
        <v>14579</v>
      </c>
      <c r="G400" s="49" t="s">
        <v>14580</v>
      </c>
      <c r="H400" s="49" t="s">
        <v>31388</v>
      </c>
      <c r="I400" s="49" t="s">
        <v>31396</v>
      </c>
      <c r="J400" s="49" t="s">
        <v>31470</v>
      </c>
      <c r="K400" s="49" t="s">
        <v>31478</v>
      </c>
      <c r="L400" s="49" t="s">
        <v>14581</v>
      </c>
      <c r="M400" s="49" t="s">
        <v>14582</v>
      </c>
      <c r="N400" s="49" t="s">
        <v>14583</v>
      </c>
      <c r="O400" s="49" t="s">
        <v>31407</v>
      </c>
      <c r="P400" s="49" t="s">
        <v>31418</v>
      </c>
      <c r="Q400" s="49" t="s">
        <v>31429</v>
      </c>
      <c r="R400" s="49" t="s">
        <v>31440</v>
      </c>
      <c r="S400" s="49" t="s">
        <v>31451</v>
      </c>
      <c r="T400" s="49" t="s">
        <v>31462</v>
      </c>
    </row>
    <row r="401" spans="1:21" x14ac:dyDescent="0.2">
      <c r="A401" s="49" t="s">
        <v>30</v>
      </c>
      <c r="D401" s="49" t="s">
        <v>14584</v>
      </c>
      <c r="G401" s="49" t="s">
        <v>14585</v>
      </c>
      <c r="H401" s="49" t="s">
        <v>31389</v>
      </c>
      <c r="I401" s="49" t="s">
        <v>31397</v>
      </c>
      <c r="J401" s="49" t="s">
        <v>31471</v>
      </c>
      <c r="K401" s="49" t="s">
        <v>31479</v>
      </c>
      <c r="L401" s="49" t="s">
        <v>14586</v>
      </c>
      <c r="M401" s="49" t="s">
        <v>14587</v>
      </c>
      <c r="N401" s="49" t="s">
        <v>14588</v>
      </c>
      <c r="O401" s="49" t="s">
        <v>31408</v>
      </c>
      <c r="P401" s="49" t="s">
        <v>31419</v>
      </c>
      <c r="Q401" s="49" t="s">
        <v>31430</v>
      </c>
      <c r="R401" s="49" t="s">
        <v>31441</v>
      </c>
      <c r="S401" s="49" t="s">
        <v>31452</v>
      </c>
      <c r="T401" s="49" t="s">
        <v>31463</v>
      </c>
    </row>
    <row r="402" spans="1:21" x14ac:dyDescent="0.2">
      <c r="A402" s="49" t="s">
        <v>30</v>
      </c>
      <c r="D402" s="49" t="s">
        <v>4988</v>
      </c>
      <c r="G402" s="49" t="s">
        <v>14589</v>
      </c>
      <c r="H402" s="49" t="s">
        <v>4989</v>
      </c>
      <c r="I402" s="49" t="s">
        <v>4990</v>
      </c>
      <c r="J402" s="49" t="s">
        <v>4991</v>
      </c>
      <c r="K402" s="49" t="s">
        <v>4992</v>
      </c>
      <c r="L402" s="49" t="s">
        <v>4993</v>
      </c>
      <c r="M402" s="49" t="s">
        <v>4994</v>
      </c>
      <c r="N402" s="49" t="s">
        <v>4995</v>
      </c>
      <c r="O402" s="49" t="s">
        <v>4996</v>
      </c>
      <c r="P402" s="49" t="s">
        <v>4997</v>
      </c>
      <c r="Q402" s="49" t="s">
        <v>4998</v>
      </c>
      <c r="R402" s="49" t="s">
        <v>4999</v>
      </c>
      <c r="S402" s="49" t="s">
        <v>5000</v>
      </c>
      <c r="T402" s="49" t="s">
        <v>5001</v>
      </c>
    </row>
    <row r="403" spans="1:21" x14ac:dyDescent="0.2">
      <c r="A403" s="49" t="s">
        <v>30</v>
      </c>
      <c r="D403" s="49" t="s">
        <v>1581</v>
      </c>
      <c r="G403" s="49" t="s">
        <v>14590</v>
      </c>
      <c r="H403" s="49" t="s">
        <v>1582</v>
      </c>
      <c r="I403" s="49" t="s">
        <v>1583</v>
      </c>
      <c r="J403" s="49" t="s">
        <v>1584</v>
      </c>
      <c r="K403" s="49" t="s">
        <v>1585</v>
      </c>
      <c r="L403" s="49" t="s">
        <v>1586</v>
      </c>
      <c r="M403" s="49" t="s">
        <v>1587</v>
      </c>
      <c r="N403" s="49" t="s">
        <v>1588</v>
      </c>
      <c r="O403" s="49" t="s">
        <v>4458</v>
      </c>
      <c r="P403" s="49" t="s">
        <v>4459</v>
      </c>
      <c r="Q403" s="49" t="s">
        <v>4460</v>
      </c>
      <c r="R403" s="49" t="s">
        <v>4461</v>
      </c>
      <c r="S403" s="49" t="s">
        <v>4462</v>
      </c>
      <c r="T403" s="49" t="s">
        <v>4463</v>
      </c>
    </row>
    <row r="404" spans="1:21" x14ac:dyDescent="0.2">
      <c r="A404" s="49" t="s">
        <v>30</v>
      </c>
      <c r="D404" s="49" t="s">
        <v>14591</v>
      </c>
      <c r="G404" s="49" t="s">
        <v>14592</v>
      </c>
      <c r="H404" s="49" t="s">
        <v>31390</v>
      </c>
      <c r="I404" s="49" t="s">
        <v>31398</v>
      </c>
      <c r="J404" s="49" t="s">
        <v>31472</v>
      </c>
      <c r="K404" s="49" t="s">
        <v>31480</v>
      </c>
      <c r="L404" s="49" t="s">
        <v>14593</v>
      </c>
      <c r="M404" s="49" t="s">
        <v>14594</v>
      </c>
      <c r="N404" s="49" t="s">
        <v>14595</v>
      </c>
      <c r="O404" s="49" t="s">
        <v>31409</v>
      </c>
      <c r="P404" s="49" t="s">
        <v>31420</v>
      </c>
      <c r="Q404" s="49" t="s">
        <v>31431</v>
      </c>
      <c r="R404" s="49" t="s">
        <v>31442</v>
      </c>
      <c r="S404" s="49" t="s">
        <v>31453</v>
      </c>
      <c r="T404" s="49" t="s">
        <v>31464</v>
      </c>
    </row>
    <row r="405" spans="1:21" x14ac:dyDescent="0.2">
      <c r="A405" s="49" t="s">
        <v>30</v>
      </c>
      <c r="D405" s="49" t="s">
        <v>14596</v>
      </c>
      <c r="G405" s="49" t="s">
        <v>14597</v>
      </c>
      <c r="H405" s="49" t="s">
        <v>31391</v>
      </c>
      <c r="I405" s="49" t="s">
        <v>31399</v>
      </c>
      <c r="J405" s="49" t="s">
        <v>31473</v>
      </c>
      <c r="K405" s="49" t="s">
        <v>31481</v>
      </c>
      <c r="L405" s="49" t="s">
        <v>14598</v>
      </c>
      <c r="M405" s="49" t="s">
        <v>14599</v>
      </c>
      <c r="N405" s="49" t="s">
        <v>14600</v>
      </c>
      <c r="O405" s="49" t="s">
        <v>31410</v>
      </c>
      <c r="P405" s="49" t="s">
        <v>31421</v>
      </c>
      <c r="Q405" s="49" t="s">
        <v>31432</v>
      </c>
      <c r="R405" s="49" t="s">
        <v>31443</v>
      </c>
      <c r="S405" s="49" t="s">
        <v>31454</v>
      </c>
      <c r="T405" s="49" t="s">
        <v>31465</v>
      </c>
    </row>
    <row r="406" spans="1:21" x14ac:dyDescent="0.2">
      <c r="A406" s="49" t="s">
        <v>30</v>
      </c>
    </row>
    <row r="407" spans="1:21" x14ac:dyDescent="0.2">
      <c r="A407" s="49" t="s">
        <v>30</v>
      </c>
      <c r="E407" s="49" t="s">
        <v>31</v>
      </c>
      <c r="F407" s="49" t="s">
        <v>31</v>
      </c>
      <c r="G407" s="49" t="s">
        <v>31</v>
      </c>
      <c r="J407" s="49" t="s">
        <v>31</v>
      </c>
      <c r="K407" s="49" t="s">
        <v>31</v>
      </c>
      <c r="L407" s="49" t="s">
        <v>31</v>
      </c>
      <c r="M407" s="49" t="s">
        <v>31</v>
      </c>
    </row>
    <row r="408" spans="1:21" x14ac:dyDescent="0.2">
      <c r="A408" s="49" t="s">
        <v>30</v>
      </c>
      <c r="D408" s="49" t="s">
        <v>14601</v>
      </c>
      <c r="E408" s="49" t="s">
        <v>4686</v>
      </c>
      <c r="F408" s="49" t="s">
        <v>14602</v>
      </c>
      <c r="H408" s="49" t="s">
        <v>14603</v>
      </c>
      <c r="O408" s="49" t="s">
        <v>14604</v>
      </c>
      <c r="P408" s="49" t="s">
        <v>14605</v>
      </c>
      <c r="Q408" s="49" t="s">
        <v>14606</v>
      </c>
      <c r="R408" s="49" t="s">
        <v>14607</v>
      </c>
      <c r="S408" s="49" t="s">
        <v>14608</v>
      </c>
      <c r="T408" s="49" t="s">
        <v>14609</v>
      </c>
      <c r="U408" s="49" t="s">
        <v>14610</v>
      </c>
    </row>
    <row r="409" spans="1:21" x14ac:dyDescent="0.2">
      <c r="A409" s="49" t="s">
        <v>30</v>
      </c>
      <c r="D409" s="49" t="s">
        <v>5011</v>
      </c>
      <c r="G409" s="49" t="s">
        <v>14611</v>
      </c>
      <c r="H409" s="49" t="s">
        <v>5012</v>
      </c>
      <c r="I409" s="49" t="s">
        <v>5013</v>
      </c>
      <c r="J409" s="49" t="s">
        <v>5014</v>
      </c>
      <c r="K409" s="49" t="s">
        <v>5015</v>
      </c>
      <c r="L409" s="49" t="s">
        <v>5016</v>
      </c>
      <c r="M409" s="49" t="s">
        <v>5017</v>
      </c>
      <c r="N409" s="49" t="s">
        <v>5018</v>
      </c>
      <c r="O409" s="49" t="s">
        <v>5019</v>
      </c>
      <c r="P409" s="49" t="s">
        <v>5020</v>
      </c>
      <c r="Q409" s="49" t="s">
        <v>5021</v>
      </c>
      <c r="R409" s="49" t="s">
        <v>5022</v>
      </c>
      <c r="S409" s="49" t="s">
        <v>5023</v>
      </c>
      <c r="T409" s="49" t="s">
        <v>5024</v>
      </c>
    </row>
    <row r="410" spans="1:21" x14ac:dyDescent="0.2">
      <c r="A410" s="49" t="s">
        <v>30</v>
      </c>
      <c r="D410" s="49" t="s">
        <v>5025</v>
      </c>
      <c r="G410" s="49" t="s">
        <v>14612</v>
      </c>
      <c r="H410" s="49" t="s">
        <v>5026</v>
      </c>
      <c r="I410" s="49" t="s">
        <v>5027</v>
      </c>
      <c r="J410" s="49" t="s">
        <v>5028</v>
      </c>
      <c r="K410" s="49" t="s">
        <v>5029</v>
      </c>
      <c r="L410" s="49" t="s">
        <v>5030</v>
      </c>
      <c r="M410" s="49" t="s">
        <v>5031</v>
      </c>
      <c r="N410" s="49" t="s">
        <v>5032</v>
      </c>
      <c r="O410" s="49" t="s">
        <v>5033</v>
      </c>
      <c r="P410" s="49" t="s">
        <v>5034</v>
      </c>
      <c r="Q410" s="49" t="s">
        <v>5035</v>
      </c>
      <c r="R410" s="49" t="s">
        <v>5036</v>
      </c>
      <c r="S410" s="49" t="s">
        <v>5037</v>
      </c>
      <c r="T410" s="49" t="s">
        <v>5038</v>
      </c>
    </row>
    <row r="411" spans="1:21" x14ac:dyDescent="0.2">
      <c r="A411" s="49" t="s">
        <v>30</v>
      </c>
      <c r="D411" s="49" t="s">
        <v>2502</v>
      </c>
      <c r="G411" s="49" t="s">
        <v>14613</v>
      </c>
      <c r="H411" s="49" t="s">
        <v>2503</v>
      </c>
      <c r="I411" s="49" t="s">
        <v>2504</v>
      </c>
      <c r="J411" s="49" t="s">
        <v>2505</v>
      </c>
      <c r="K411" s="49" t="s">
        <v>2506</v>
      </c>
      <c r="L411" s="49" t="s">
        <v>2507</v>
      </c>
      <c r="M411" s="49" t="s">
        <v>2508</v>
      </c>
      <c r="N411" s="49" t="s">
        <v>2509</v>
      </c>
      <c r="O411" s="49" t="s">
        <v>12642</v>
      </c>
      <c r="P411" s="49" t="s">
        <v>12645</v>
      </c>
      <c r="Q411" s="49" t="s">
        <v>12648</v>
      </c>
      <c r="R411" s="49" t="s">
        <v>12651</v>
      </c>
      <c r="S411" s="49" t="s">
        <v>12654</v>
      </c>
      <c r="T411" s="49" t="s">
        <v>12657</v>
      </c>
    </row>
    <row r="412" spans="1:21" x14ac:dyDescent="0.2">
      <c r="A412" s="49" t="s">
        <v>30</v>
      </c>
      <c r="D412" s="49" t="s">
        <v>9838</v>
      </c>
      <c r="G412" s="49" t="s">
        <v>14614</v>
      </c>
      <c r="H412" s="49" t="s">
        <v>9839</v>
      </c>
      <c r="I412" s="49" t="s">
        <v>9840</v>
      </c>
      <c r="J412" s="49" t="s">
        <v>9841</v>
      </c>
      <c r="K412" s="49" t="s">
        <v>9842</v>
      </c>
      <c r="L412" s="49" t="s">
        <v>9843</v>
      </c>
      <c r="M412" s="49" t="s">
        <v>9844</v>
      </c>
      <c r="N412" s="49" t="s">
        <v>9845</v>
      </c>
      <c r="O412" s="49" t="s">
        <v>12643</v>
      </c>
      <c r="P412" s="49" t="s">
        <v>12646</v>
      </c>
      <c r="Q412" s="49" t="s">
        <v>12649</v>
      </c>
      <c r="R412" s="49" t="s">
        <v>12652</v>
      </c>
      <c r="S412" s="49" t="s">
        <v>12655</v>
      </c>
      <c r="T412" s="49" t="s">
        <v>12658</v>
      </c>
    </row>
    <row r="413" spans="1:21" x14ac:dyDescent="0.2">
      <c r="A413" s="49" t="s">
        <v>30</v>
      </c>
      <c r="D413" s="49" t="s">
        <v>10914</v>
      </c>
      <c r="G413" s="49" t="s">
        <v>14615</v>
      </c>
      <c r="H413" s="49" t="s">
        <v>12639</v>
      </c>
      <c r="I413" s="49" t="s">
        <v>12641</v>
      </c>
      <c r="J413" s="49" t="s">
        <v>12661</v>
      </c>
      <c r="K413" s="49" t="s">
        <v>12663</v>
      </c>
      <c r="L413" s="49" t="s">
        <v>10915</v>
      </c>
      <c r="M413" s="49" t="s">
        <v>10916</v>
      </c>
      <c r="N413" s="49" t="s">
        <v>10917</v>
      </c>
      <c r="O413" s="49" t="s">
        <v>12644</v>
      </c>
      <c r="P413" s="49" t="s">
        <v>12647</v>
      </c>
      <c r="Q413" s="49" t="s">
        <v>12650</v>
      </c>
      <c r="R413" s="49" t="s">
        <v>12653</v>
      </c>
      <c r="S413" s="49" t="s">
        <v>12656</v>
      </c>
      <c r="T413" s="49" t="s">
        <v>12659</v>
      </c>
    </row>
    <row r="414" spans="1:21" x14ac:dyDescent="0.2">
      <c r="A414" s="49" t="s">
        <v>30</v>
      </c>
      <c r="D414" s="49" t="s">
        <v>5043</v>
      </c>
      <c r="G414" s="49" t="s">
        <v>14616</v>
      </c>
      <c r="H414" s="49" t="s">
        <v>5044</v>
      </c>
      <c r="I414" s="49" t="s">
        <v>5045</v>
      </c>
      <c r="J414" s="49" t="s">
        <v>5046</v>
      </c>
      <c r="K414" s="49" t="s">
        <v>5047</v>
      </c>
      <c r="L414" s="49" t="s">
        <v>5048</v>
      </c>
      <c r="M414" s="49" t="s">
        <v>5049</v>
      </c>
      <c r="N414" s="49" t="s">
        <v>5050</v>
      </c>
      <c r="O414" s="49" t="s">
        <v>31320</v>
      </c>
      <c r="P414" s="49" t="s">
        <v>31329</v>
      </c>
      <c r="Q414" s="49" t="s">
        <v>31338</v>
      </c>
      <c r="R414" s="49" t="s">
        <v>31347</v>
      </c>
      <c r="S414" s="49" t="s">
        <v>31356</v>
      </c>
      <c r="T414" s="49" t="s">
        <v>31365</v>
      </c>
    </row>
    <row r="415" spans="1:21" x14ac:dyDescent="0.2">
      <c r="A415" s="49" t="s">
        <v>30</v>
      </c>
      <c r="D415" s="49" t="s">
        <v>1589</v>
      </c>
      <c r="G415" s="49" t="s">
        <v>14617</v>
      </c>
      <c r="H415" s="49" t="s">
        <v>1590</v>
      </c>
      <c r="I415" s="49" t="s">
        <v>1591</v>
      </c>
      <c r="J415" s="49" t="s">
        <v>1592</v>
      </c>
      <c r="K415" s="49" t="s">
        <v>1593</v>
      </c>
      <c r="L415" s="49" t="s">
        <v>1594</v>
      </c>
      <c r="M415" s="49" t="s">
        <v>1595</v>
      </c>
      <c r="N415" s="49" t="s">
        <v>1596</v>
      </c>
      <c r="O415" s="49" t="s">
        <v>31321</v>
      </c>
      <c r="P415" s="49" t="s">
        <v>31330</v>
      </c>
      <c r="Q415" s="49" t="s">
        <v>31339</v>
      </c>
      <c r="R415" s="49" t="s">
        <v>31348</v>
      </c>
      <c r="S415" s="49" t="s">
        <v>31357</v>
      </c>
      <c r="T415" s="49" t="s">
        <v>31366</v>
      </c>
    </row>
    <row r="416" spans="1:21" x14ac:dyDescent="0.2">
      <c r="A416" s="49" t="s">
        <v>30</v>
      </c>
      <c r="D416" s="49" t="s">
        <v>14618</v>
      </c>
      <c r="G416" s="49" t="s">
        <v>14619</v>
      </c>
      <c r="H416" s="49" t="s">
        <v>31310</v>
      </c>
      <c r="I416" s="49" t="s">
        <v>31315</v>
      </c>
      <c r="J416" s="49" t="s">
        <v>31374</v>
      </c>
      <c r="K416" s="49" t="s">
        <v>31379</v>
      </c>
      <c r="L416" s="49" t="s">
        <v>14620</v>
      </c>
      <c r="M416" s="49" t="s">
        <v>14621</v>
      </c>
      <c r="N416" s="49" t="s">
        <v>14622</v>
      </c>
      <c r="O416" s="49" t="s">
        <v>31322</v>
      </c>
      <c r="P416" s="49" t="s">
        <v>31331</v>
      </c>
      <c r="Q416" s="49" t="s">
        <v>31340</v>
      </c>
      <c r="R416" s="49" t="s">
        <v>31349</v>
      </c>
      <c r="S416" s="49" t="s">
        <v>31358</v>
      </c>
      <c r="T416" s="49" t="s">
        <v>31367</v>
      </c>
    </row>
    <row r="417" spans="1:21" x14ac:dyDescent="0.2">
      <c r="A417" s="49" t="s">
        <v>30</v>
      </c>
      <c r="D417" s="49" t="s">
        <v>5051</v>
      </c>
      <c r="G417" s="49" t="s">
        <v>14623</v>
      </c>
      <c r="H417" s="49" t="s">
        <v>5052</v>
      </c>
      <c r="I417" s="49" t="s">
        <v>5053</v>
      </c>
      <c r="J417" s="49" t="s">
        <v>5054</v>
      </c>
      <c r="K417" s="49" t="s">
        <v>5055</v>
      </c>
      <c r="L417" s="49" t="s">
        <v>5056</v>
      </c>
      <c r="M417" s="49" t="s">
        <v>5057</v>
      </c>
      <c r="N417" s="49" t="s">
        <v>5058</v>
      </c>
      <c r="O417" s="49" t="s">
        <v>5059</v>
      </c>
      <c r="P417" s="49" t="s">
        <v>5060</v>
      </c>
      <c r="Q417" s="49" t="s">
        <v>5061</v>
      </c>
      <c r="R417" s="49" t="s">
        <v>5062</v>
      </c>
      <c r="S417" s="49" t="s">
        <v>5063</v>
      </c>
      <c r="T417" s="49" t="s">
        <v>5064</v>
      </c>
    </row>
    <row r="418" spans="1:21" x14ac:dyDescent="0.2">
      <c r="A418" s="49" t="s">
        <v>30</v>
      </c>
      <c r="D418" s="49" t="s">
        <v>14624</v>
      </c>
      <c r="G418" s="49" t="s">
        <v>14625</v>
      </c>
      <c r="H418" s="49" t="s">
        <v>31311</v>
      </c>
      <c r="I418" s="49" t="s">
        <v>31316</v>
      </c>
      <c r="J418" s="49" t="s">
        <v>31375</v>
      </c>
      <c r="K418" s="49" t="s">
        <v>31380</v>
      </c>
      <c r="L418" s="49" t="s">
        <v>14626</v>
      </c>
      <c r="M418" s="49" t="s">
        <v>14627</v>
      </c>
      <c r="N418" s="49" t="s">
        <v>14628</v>
      </c>
      <c r="O418" s="49" t="s">
        <v>31323</v>
      </c>
      <c r="P418" s="49" t="s">
        <v>31332</v>
      </c>
      <c r="Q418" s="49" t="s">
        <v>31341</v>
      </c>
      <c r="R418" s="49" t="s">
        <v>31350</v>
      </c>
      <c r="S418" s="49" t="s">
        <v>31359</v>
      </c>
      <c r="T418" s="49" t="s">
        <v>31368</v>
      </c>
    </row>
    <row r="419" spans="1:21" x14ac:dyDescent="0.2">
      <c r="A419" s="49" t="s">
        <v>30</v>
      </c>
      <c r="D419" s="49" t="s">
        <v>13555</v>
      </c>
      <c r="G419" s="49" t="s">
        <v>14629</v>
      </c>
      <c r="H419" s="49" t="s">
        <v>13556</v>
      </c>
      <c r="I419" s="49" t="s">
        <v>13557</v>
      </c>
      <c r="J419" s="49" t="s">
        <v>13558</v>
      </c>
      <c r="K419" s="49" t="s">
        <v>13559</v>
      </c>
      <c r="L419" s="49" t="s">
        <v>13560</v>
      </c>
      <c r="M419" s="49" t="s">
        <v>13561</v>
      </c>
      <c r="N419" s="49" t="s">
        <v>13562</v>
      </c>
      <c r="O419" s="49" t="s">
        <v>31324</v>
      </c>
      <c r="P419" s="49" t="s">
        <v>31333</v>
      </c>
      <c r="Q419" s="49" t="s">
        <v>31342</v>
      </c>
      <c r="R419" s="49" t="s">
        <v>31351</v>
      </c>
      <c r="S419" s="49" t="s">
        <v>31360</v>
      </c>
      <c r="T419" s="49" t="s">
        <v>31369</v>
      </c>
    </row>
    <row r="420" spans="1:21" x14ac:dyDescent="0.2">
      <c r="A420" s="49" t="s">
        <v>30</v>
      </c>
      <c r="D420" s="49" t="s">
        <v>14630</v>
      </c>
      <c r="G420" s="49" t="s">
        <v>14631</v>
      </c>
      <c r="H420" s="49" t="s">
        <v>31312</v>
      </c>
      <c r="I420" s="49" t="s">
        <v>31317</v>
      </c>
      <c r="J420" s="49" t="s">
        <v>31376</v>
      </c>
      <c r="K420" s="49" t="s">
        <v>31381</v>
      </c>
      <c r="L420" s="49" t="s">
        <v>14632</v>
      </c>
      <c r="M420" s="49" t="s">
        <v>14633</v>
      </c>
      <c r="N420" s="49" t="s">
        <v>14634</v>
      </c>
      <c r="O420" s="49" t="s">
        <v>31325</v>
      </c>
      <c r="P420" s="49" t="s">
        <v>31334</v>
      </c>
      <c r="Q420" s="49" t="s">
        <v>31343</v>
      </c>
      <c r="R420" s="49" t="s">
        <v>31352</v>
      </c>
      <c r="S420" s="49" t="s">
        <v>31361</v>
      </c>
      <c r="T420" s="49" t="s">
        <v>31370</v>
      </c>
    </row>
    <row r="421" spans="1:21" x14ac:dyDescent="0.2">
      <c r="A421" s="49" t="s">
        <v>30</v>
      </c>
      <c r="D421" s="49" t="s">
        <v>5069</v>
      </c>
      <c r="G421" s="49" t="s">
        <v>14635</v>
      </c>
      <c r="H421" s="49" t="s">
        <v>5070</v>
      </c>
      <c r="I421" s="49" t="s">
        <v>5071</v>
      </c>
      <c r="J421" s="49" t="s">
        <v>5072</v>
      </c>
      <c r="K421" s="49" t="s">
        <v>5073</v>
      </c>
      <c r="L421" s="49" t="s">
        <v>5074</v>
      </c>
      <c r="M421" s="49" t="s">
        <v>5075</v>
      </c>
      <c r="N421" s="49" t="s">
        <v>5076</v>
      </c>
      <c r="O421" s="49" t="s">
        <v>5077</v>
      </c>
      <c r="P421" s="49" t="s">
        <v>5078</v>
      </c>
      <c r="Q421" s="49" t="s">
        <v>5079</v>
      </c>
      <c r="R421" s="49" t="s">
        <v>5080</v>
      </c>
      <c r="S421" s="49" t="s">
        <v>5081</v>
      </c>
      <c r="T421" s="49" t="s">
        <v>5082</v>
      </c>
    </row>
    <row r="422" spans="1:21" x14ac:dyDescent="0.2">
      <c r="A422" s="49" t="s">
        <v>30</v>
      </c>
      <c r="D422" s="49" t="s">
        <v>14636</v>
      </c>
      <c r="G422" s="49" t="s">
        <v>14637</v>
      </c>
      <c r="H422" s="49" t="s">
        <v>31313</v>
      </c>
      <c r="I422" s="49" t="s">
        <v>31318</v>
      </c>
      <c r="J422" s="49" t="s">
        <v>31377</v>
      </c>
      <c r="K422" s="49" t="s">
        <v>31382</v>
      </c>
      <c r="L422" s="49" t="s">
        <v>14638</v>
      </c>
      <c r="M422" s="49" t="s">
        <v>14639</v>
      </c>
      <c r="N422" s="49" t="s">
        <v>14640</v>
      </c>
      <c r="O422" s="49" t="s">
        <v>31326</v>
      </c>
      <c r="P422" s="49" t="s">
        <v>31335</v>
      </c>
      <c r="Q422" s="49" t="s">
        <v>31344</v>
      </c>
      <c r="R422" s="49" t="s">
        <v>31353</v>
      </c>
      <c r="S422" s="49" t="s">
        <v>31362</v>
      </c>
      <c r="T422" s="49" t="s">
        <v>31371</v>
      </c>
    </row>
    <row r="423" spans="1:21" x14ac:dyDescent="0.2">
      <c r="A423" s="49" t="s">
        <v>30</v>
      </c>
      <c r="D423" s="49" t="s">
        <v>5083</v>
      </c>
      <c r="G423" s="49" t="s">
        <v>14641</v>
      </c>
      <c r="H423" s="49" t="s">
        <v>5084</v>
      </c>
      <c r="I423" s="49" t="s">
        <v>5085</v>
      </c>
      <c r="J423" s="49" t="s">
        <v>5086</v>
      </c>
      <c r="K423" s="49" t="s">
        <v>5087</v>
      </c>
      <c r="L423" s="49" t="s">
        <v>5088</v>
      </c>
      <c r="M423" s="49" t="s">
        <v>5089</v>
      </c>
      <c r="N423" s="49" t="s">
        <v>5090</v>
      </c>
      <c r="O423" s="49" t="s">
        <v>31327</v>
      </c>
      <c r="P423" s="49" t="s">
        <v>31336</v>
      </c>
      <c r="Q423" s="49" t="s">
        <v>31345</v>
      </c>
      <c r="R423" s="49" t="s">
        <v>31354</v>
      </c>
      <c r="S423" s="49" t="s">
        <v>31363</v>
      </c>
      <c r="T423" s="49" t="s">
        <v>31372</v>
      </c>
    </row>
    <row r="424" spans="1:21" x14ac:dyDescent="0.2">
      <c r="A424" s="49" t="s">
        <v>30</v>
      </c>
      <c r="D424" s="49" t="s">
        <v>14642</v>
      </c>
      <c r="G424" s="49" t="s">
        <v>14643</v>
      </c>
      <c r="H424" s="49" t="s">
        <v>31314</v>
      </c>
      <c r="I424" s="49" t="s">
        <v>31319</v>
      </c>
      <c r="J424" s="49" t="s">
        <v>31378</v>
      </c>
      <c r="K424" s="49" t="s">
        <v>31383</v>
      </c>
      <c r="L424" s="49" t="s">
        <v>14644</v>
      </c>
      <c r="M424" s="49" t="s">
        <v>14645</v>
      </c>
      <c r="N424" s="49" t="s">
        <v>14646</v>
      </c>
      <c r="O424" s="49" t="s">
        <v>31328</v>
      </c>
      <c r="P424" s="49" t="s">
        <v>31337</v>
      </c>
      <c r="Q424" s="49" t="s">
        <v>31346</v>
      </c>
      <c r="R424" s="49" t="s">
        <v>31355</v>
      </c>
      <c r="S424" s="49" t="s">
        <v>31364</v>
      </c>
      <c r="T424" s="49" t="s">
        <v>31373</v>
      </c>
    </row>
    <row r="425" spans="1:21" x14ac:dyDescent="0.2">
      <c r="A425" s="49" t="s">
        <v>30</v>
      </c>
      <c r="D425" s="49" t="s">
        <v>1597</v>
      </c>
      <c r="G425" s="49" t="s">
        <v>14647</v>
      </c>
      <c r="H425" s="49" t="s">
        <v>1598</v>
      </c>
      <c r="I425" s="49" t="s">
        <v>1599</v>
      </c>
      <c r="J425" s="49" t="s">
        <v>1600</v>
      </c>
      <c r="K425" s="49" t="s">
        <v>1601</v>
      </c>
      <c r="L425" s="49" t="s">
        <v>1602</v>
      </c>
      <c r="M425" s="49" t="s">
        <v>1603</v>
      </c>
      <c r="N425" s="49" t="s">
        <v>1604</v>
      </c>
      <c r="O425" s="49" t="s">
        <v>3308</v>
      </c>
      <c r="P425" s="49" t="s">
        <v>3309</v>
      </c>
      <c r="Q425" s="49" t="s">
        <v>3310</v>
      </c>
      <c r="R425" s="49" t="s">
        <v>3311</v>
      </c>
      <c r="S425" s="49" t="s">
        <v>3312</v>
      </c>
      <c r="T425" s="49" t="s">
        <v>3313</v>
      </c>
    </row>
    <row r="426" spans="1:21" x14ac:dyDescent="0.2">
      <c r="A426" s="49" t="s">
        <v>30</v>
      </c>
      <c r="D426" s="49" t="s">
        <v>1605</v>
      </c>
      <c r="G426" s="49" t="s">
        <v>14648</v>
      </c>
      <c r="H426" s="49" t="s">
        <v>1606</v>
      </c>
      <c r="I426" s="49" t="s">
        <v>1607</v>
      </c>
      <c r="J426" s="49" t="s">
        <v>1608</v>
      </c>
      <c r="K426" s="49" t="s">
        <v>1609</v>
      </c>
      <c r="L426" s="49" t="s">
        <v>1610</v>
      </c>
      <c r="M426" s="49" t="s">
        <v>1611</v>
      </c>
      <c r="N426" s="49" t="s">
        <v>1612</v>
      </c>
      <c r="O426" s="49" t="s">
        <v>3314</v>
      </c>
      <c r="P426" s="49" t="s">
        <v>3315</v>
      </c>
      <c r="Q426" s="49" t="s">
        <v>3316</v>
      </c>
      <c r="R426" s="49" t="s">
        <v>3317</v>
      </c>
      <c r="S426" s="49" t="s">
        <v>3318</v>
      </c>
      <c r="T426" s="49" t="s">
        <v>3319</v>
      </c>
    </row>
    <row r="427" spans="1:21" x14ac:dyDescent="0.2">
      <c r="A427" s="49" t="s">
        <v>30</v>
      </c>
      <c r="D427" s="49" t="s">
        <v>1613</v>
      </c>
      <c r="G427" s="49" t="s">
        <v>14649</v>
      </c>
      <c r="H427" s="49" t="s">
        <v>1614</v>
      </c>
      <c r="I427" s="49" t="s">
        <v>1615</v>
      </c>
      <c r="J427" s="49" t="s">
        <v>1616</v>
      </c>
      <c r="K427" s="49" t="s">
        <v>1617</v>
      </c>
      <c r="L427" s="49" t="s">
        <v>1618</v>
      </c>
      <c r="M427" s="49" t="s">
        <v>1619</v>
      </c>
      <c r="N427" s="49" t="s">
        <v>1620</v>
      </c>
      <c r="O427" s="49" t="s">
        <v>12626</v>
      </c>
      <c r="P427" s="49" t="s">
        <v>12628</v>
      </c>
      <c r="Q427" s="49" t="s">
        <v>12630</v>
      </c>
      <c r="R427" s="49" t="s">
        <v>12632</v>
      </c>
      <c r="S427" s="49" t="s">
        <v>12634</v>
      </c>
      <c r="T427" s="49" t="s">
        <v>12636</v>
      </c>
    </row>
    <row r="428" spans="1:21" x14ac:dyDescent="0.2">
      <c r="A428" s="49" t="s">
        <v>30</v>
      </c>
      <c r="D428" s="49" t="s">
        <v>9852</v>
      </c>
      <c r="G428" s="49" t="s">
        <v>14650</v>
      </c>
      <c r="H428" s="49" t="s">
        <v>9853</v>
      </c>
      <c r="I428" s="49" t="s">
        <v>9854</v>
      </c>
      <c r="J428" s="49" t="s">
        <v>9855</v>
      </c>
      <c r="K428" s="49" t="s">
        <v>9856</v>
      </c>
      <c r="L428" s="49" t="s">
        <v>9857</v>
      </c>
      <c r="M428" s="49" t="s">
        <v>9858</v>
      </c>
      <c r="N428" s="49" t="s">
        <v>9859</v>
      </c>
      <c r="O428" s="49" t="s">
        <v>12627</v>
      </c>
      <c r="P428" s="49" t="s">
        <v>12629</v>
      </c>
      <c r="Q428" s="49" t="s">
        <v>12631</v>
      </c>
      <c r="R428" s="49" t="s">
        <v>12633</v>
      </c>
      <c r="S428" s="49" t="s">
        <v>12635</v>
      </c>
      <c r="T428" s="49" t="s">
        <v>12637</v>
      </c>
    </row>
    <row r="429" spans="1:21" x14ac:dyDescent="0.2">
      <c r="A429" s="49" t="s">
        <v>30</v>
      </c>
    </row>
    <row r="430" spans="1:21" x14ac:dyDescent="0.2">
      <c r="A430" s="49" t="s">
        <v>30</v>
      </c>
      <c r="E430" s="49" t="s">
        <v>31</v>
      </c>
      <c r="F430" s="49" t="s">
        <v>31</v>
      </c>
      <c r="G430" s="49" t="s">
        <v>31</v>
      </c>
      <c r="J430" s="49" t="s">
        <v>31</v>
      </c>
      <c r="K430" s="49" t="s">
        <v>31</v>
      </c>
      <c r="L430" s="49" t="s">
        <v>31</v>
      </c>
      <c r="M430" s="49" t="s">
        <v>31</v>
      </c>
    </row>
    <row r="431" spans="1:21" x14ac:dyDescent="0.2">
      <c r="A431" s="49" t="s">
        <v>30</v>
      </c>
      <c r="D431" s="49" t="s">
        <v>13579</v>
      </c>
      <c r="E431" s="49" t="s">
        <v>4752</v>
      </c>
      <c r="F431" s="49" t="s">
        <v>13580</v>
      </c>
      <c r="H431" s="49" t="s">
        <v>13581</v>
      </c>
      <c r="O431" s="49" t="s">
        <v>14651</v>
      </c>
      <c r="P431" s="49" t="s">
        <v>14652</v>
      </c>
      <c r="Q431" s="49" t="s">
        <v>14653</v>
      </c>
      <c r="R431" s="49" t="s">
        <v>14654</v>
      </c>
      <c r="S431" s="49" t="s">
        <v>14655</v>
      </c>
      <c r="T431" s="49" t="s">
        <v>14656</v>
      </c>
      <c r="U431" s="49" t="s">
        <v>14657</v>
      </c>
    </row>
    <row r="432" spans="1:21" x14ac:dyDescent="0.2">
      <c r="A432" s="49" t="s">
        <v>30</v>
      </c>
      <c r="D432" s="49" t="s">
        <v>13589</v>
      </c>
      <c r="G432" s="49" t="s">
        <v>14658</v>
      </c>
      <c r="H432" s="49" t="s">
        <v>13591</v>
      </c>
      <c r="I432" s="49" t="s">
        <v>13592</v>
      </c>
      <c r="J432" s="49" t="s">
        <v>13593</v>
      </c>
      <c r="K432" s="49" t="s">
        <v>13594</v>
      </c>
      <c r="L432" s="49" t="s">
        <v>13595</v>
      </c>
      <c r="M432" s="49" t="s">
        <v>13596</v>
      </c>
      <c r="N432" s="49" t="s">
        <v>13597</v>
      </c>
      <c r="O432" s="49" t="s">
        <v>31252</v>
      </c>
      <c r="P432" s="49" t="s">
        <v>31260</v>
      </c>
      <c r="Q432" s="49" t="s">
        <v>31268</v>
      </c>
      <c r="R432" s="49" t="s">
        <v>31276</v>
      </c>
      <c r="S432" s="49" t="s">
        <v>31284</v>
      </c>
      <c r="T432" s="49" t="s">
        <v>31292</v>
      </c>
    </row>
    <row r="433" spans="1:20" x14ac:dyDescent="0.2">
      <c r="A433" s="49" t="s">
        <v>30</v>
      </c>
      <c r="D433" s="49" t="s">
        <v>14659</v>
      </c>
      <c r="G433" s="49" t="s">
        <v>14660</v>
      </c>
      <c r="H433" s="49" t="s">
        <v>31242</v>
      </c>
      <c r="I433" s="49" t="s">
        <v>31247</v>
      </c>
      <c r="J433" s="49" t="s">
        <v>31300</v>
      </c>
      <c r="K433" s="49" t="s">
        <v>31305</v>
      </c>
      <c r="L433" s="49" t="s">
        <v>14661</v>
      </c>
      <c r="M433" s="49" t="s">
        <v>14662</v>
      </c>
      <c r="N433" s="49" t="s">
        <v>14663</v>
      </c>
      <c r="O433" s="49" t="s">
        <v>31253</v>
      </c>
      <c r="P433" s="49" t="s">
        <v>31261</v>
      </c>
      <c r="Q433" s="49" t="s">
        <v>31269</v>
      </c>
      <c r="R433" s="49" t="s">
        <v>31277</v>
      </c>
      <c r="S433" s="49" t="s">
        <v>31285</v>
      </c>
      <c r="T433" s="49" t="s">
        <v>31293</v>
      </c>
    </row>
    <row r="434" spans="1:20" x14ac:dyDescent="0.2">
      <c r="A434" s="49" t="s">
        <v>30</v>
      </c>
      <c r="D434" s="49" t="s">
        <v>10918</v>
      </c>
      <c r="G434" s="49" t="s">
        <v>14664</v>
      </c>
      <c r="H434" s="49" t="s">
        <v>10919</v>
      </c>
      <c r="I434" s="49" t="s">
        <v>10920</v>
      </c>
      <c r="J434" s="49" t="s">
        <v>10921</v>
      </c>
      <c r="K434" s="49" t="s">
        <v>10922</v>
      </c>
      <c r="L434" s="49" t="s">
        <v>10923</v>
      </c>
      <c r="M434" s="49" t="s">
        <v>10924</v>
      </c>
      <c r="N434" s="49" t="s">
        <v>10925</v>
      </c>
      <c r="O434" s="49" t="s">
        <v>10926</v>
      </c>
      <c r="P434" s="49" t="s">
        <v>10927</v>
      </c>
      <c r="Q434" s="49" t="s">
        <v>10928</v>
      </c>
      <c r="R434" s="49" t="s">
        <v>10929</v>
      </c>
      <c r="S434" s="49" t="s">
        <v>10930</v>
      </c>
      <c r="T434" s="49" t="s">
        <v>10931</v>
      </c>
    </row>
    <row r="435" spans="1:20" x14ac:dyDescent="0.2">
      <c r="A435" s="49" t="s">
        <v>30</v>
      </c>
      <c r="D435" s="49" t="s">
        <v>5101</v>
      </c>
      <c r="G435" s="49" t="s">
        <v>14665</v>
      </c>
      <c r="H435" s="49" t="s">
        <v>5102</v>
      </c>
      <c r="I435" s="49" t="s">
        <v>5103</v>
      </c>
      <c r="J435" s="49" t="s">
        <v>5104</v>
      </c>
      <c r="K435" s="49" t="s">
        <v>5105</v>
      </c>
      <c r="L435" s="49" t="s">
        <v>5106</v>
      </c>
      <c r="M435" s="49" t="s">
        <v>5107</v>
      </c>
      <c r="N435" s="49" t="s">
        <v>5108</v>
      </c>
      <c r="O435" s="49" t="s">
        <v>5109</v>
      </c>
      <c r="P435" s="49" t="s">
        <v>5110</v>
      </c>
      <c r="Q435" s="49" t="s">
        <v>5111</v>
      </c>
      <c r="R435" s="49" t="s">
        <v>5112</v>
      </c>
      <c r="S435" s="49" t="s">
        <v>5113</v>
      </c>
      <c r="T435" s="49" t="s">
        <v>5114</v>
      </c>
    </row>
    <row r="436" spans="1:20" x14ac:dyDescent="0.2">
      <c r="A436" s="49" t="s">
        <v>30</v>
      </c>
      <c r="D436" s="49" t="s">
        <v>1621</v>
      </c>
      <c r="G436" s="49" t="s">
        <v>14666</v>
      </c>
      <c r="H436" s="49" t="s">
        <v>1622</v>
      </c>
      <c r="I436" s="49" t="s">
        <v>1623</v>
      </c>
      <c r="J436" s="49" t="s">
        <v>1624</v>
      </c>
      <c r="K436" s="49" t="s">
        <v>1625</v>
      </c>
      <c r="L436" s="49" t="s">
        <v>1626</v>
      </c>
      <c r="M436" s="49" t="s">
        <v>1627</v>
      </c>
      <c r="N436" s="49" t="s">
        <v>1628</v>
      </c>
      <c r="O436" s="49" t="s">
        <v>31254</v>
      </c>
      <c r="P436" s="49" t="s">
        <v>31262</v>
      </c>
      <c r="Q436" s="49" t="s">
        <v>31270</v>
      </c>
      <c r="R436" s="49" t="s">
        <v>31278</v>
      </c>
      <c r="S436" s="49" t="s">
        <v>31286</v>
      </c>
      <c r="T436" s="49" t="s">
        <v>31294</v>
      </c>
    </row>
    <row r="437" spans="1:20" x14ac:dyDescent="0.2">
      <c r="A437" s="49" t="s">
        <v>30</v>
      </c>
      <c r="D437" s="49" t="s">
        <v>14667</v>
      </c>
      <c r="G437" s="49" t="s">
        <v>14668</v>
      </c>
      <c r="H437" s="49" t="s">
        <v>31243</v>
      </c>
      <c r="I437" s="49" t="s">
        <v>31248</v>
      </c>
      <c r="J437" s="49" t="s">
        <v>31301</v>
      </c>
      <c r="K437" s="49" t="s">
        <v>31306</v>
      </c>
      <c r="L437" s="49" t="s">
        <v>14669</v>
      </c>
      <c r="M437" s="49" t="s">
        <v>14670</v>
      </c>
      <c r="N437" s="49" t="s">
        <v>14671</v>
      </c>
      <c r="O437" s="49" t="s">
        <v>31255</v>
      </c>
      <c r="P437" s="49" t="s">
        <v>31263</v>
      </c>
      <c r="Q437" s="49" t="s">
        <v>31271</v>
      </c>
      <c r="R437" s="49" t="s">
        <v>31279</v>
      </c>
      <c r="S437" s="49" t="s">
        <v>31287</v>
      </c>
      <c r="T437" s="49" t="s">
        <v>31295</v>
      </c>
    </row>
    <row r="438" spans="1:20" x14ac:dyDescent="0.2">
      <c r="A438" s="49" t="s">
        <v>30</v>
      </c>
      <c r="D438" s="49" t="s">
        <v>14672</v>
      </c>
      <c r="G438" s="49" t="s">
        <v>14673</v>
      </c>
      <c r="H438" s="49" t="s">
        <v>31244</v>
      </c>
      <c r="I438" s="49" t="s">
        <v>31249</v>
      </c>
      <c r="J438" s="49" t="s">
        <v>31302</v>
      </c>
      <c r="K438" s="49" t="s">
        <v>31307</v>
      </c>
      <c r="L438" s="49" t="s">
        <v>14674</v>
      </c>
      <c r="M438" s="49" t="s">
        <v>14675</v>
      </c>
      <c r="N438" s="49" t="s">
        <v>14676</v>
      </c>
      <c r="O438" s="49" t="s">
        <v>31256</v>
      </c>
      <c r="P438" s="49" t="s">
        <v>31264</v>
      </c>
      <c r="Q438" s="49" t="s">
        <v>31272</v>
      </c>
      <c r="R438" s="49" t="s">
        <v>31280</v>
      </c>
      <c r="S438" s="49" t="s">
        <v>31288</v>
      </c>
      <c r="T438" s="49" t="s">
        <v>31296</v>
      </c>
    </row>
    <row r="439" spans="1:20" x14ac:dyDescent="0.2">
      <c r="A439" s="49" t="s">
        <v>30</v>
      </c>
      <c r="D439" s="49" t="s">
        <v>1629</v>
      </c>
      <c r="G439" s="49" t="s">
        <v>14677</v>
      </c>
      <c r="H439" s="49" t="s">
        <v>1630</v>
      </c>
      <c r="I439" s="49" t="s">
        <v>1631</v>
      </c>
      <c r="J439" s="49" t="s">
        <v>1632</v>
      </c>
      <c r="K439" s="49" t="s">
        <v>1633</v>
      </c>
      <c r="L439" s="49" t="s">
        <v>1634</v>
      </c>
      <c r="M439" s="49" t="s">
        <v>1635</v>
      </c>
      <c r="N439" s="49" t="s">
        <v>1636</v>
      </c>
      <c r="O439" s="49" t="s">
        <v>3320</v>
      </c>
      <c r="P439" s="49" t="s">
        <v>3321</v>
      </c>
      <c r="Q439" s="49" t="s">
        <v>3322</v>
      </c>
      <c r="R439" s="49" t="s">
        <v>3323</v>
      </c>
      <c r="S439" s="49" t="s">
        <v>3324</v>
      </c>
      <c r="T439" s="49" t="s">
        <v>3325</v>
      </c>
    </row>
    <row r="440" spans="1:20" x14ac:dyDescent="0.2">
      <c r="A440" s="49" t="s">
        <v>30</v>
      </c>
      <c r="D440" s="49" t="s">
        <v>10935</v>
      </c>
      <c r="G440" s="49" t="s">
        <v>14678</v>
      </c>
      <c r="H440" s="49" t="s">
        <v>10936</v>
      </c>
      <c r="I440" s="49" t="s">
        <v>10937</v>
      </c>
      <c r="J440" s="49" t="s">
        <v>10938</v>
      </c>
      <c r="K440" s="49" t="s">
        <v>10939</v>
      </c>
      <c r="L440" s="49" t="s">
        <v>10940</v>
      </c>
      <c r="M440" s="49" t="s">
        <v>10941</v>
      </c>
      <c r="N440" s="49" t="s">
        <v>10942</v>
      </c>
      <c r="O440" s="49" t="s">
        <v>10943</v>
      </c>
      <c r="P440" s="49" t="s">
        <v>10944</v>
      </c>
      <c r="Q440" s="49" t="s">
        <v>10945</v>
      </c>
      <c r="R440" s="49" t="s">
        <v>10946</v>
      </c>
      <c r="S440" s="49" t="s">
        <v>10947</v>
      </c>
      <c r="T440" s="49" t="s">
        <v>10948</v>
      </c>
    </row>
    <row r="441" spans="1:20" x14ac:dyDescent="0.2">
      <c r="A441" s="49" t="s">
        <v>30</v>
      </c>
      <c r="D441" s="49" t="s">
        <v>9874</v>
      </c>
      <c r="G441" s="49" t="s">
        <v>14679</v>
      </c>
      <c r="H441" s="49" t="s">
        <v>9875</v>
      </c>
      <c r="I441" s="49" t="s">
        <v>9876</v>
      </c>
      <c r="J441" s="49" t="s">
        <v>9877</v>
      </c>
      <c r="K441" s="49" t="s">
        <v>9878</v>
      </c>
      <c r="L441" s="49" t="s">
        <v>9879</v>
      </c>
      <c r="M441" s="49" t="s">
        <v>9880</v>
      </c>
      <c r="N441" s="49" t="s">
        <v>9881</v>
      </c>
      <c r="O441" s="49" t="s">
        <v>10949</v>
      </c>
      <c r="P441" s="49" t="s">
        <v>10950</v>
      </c>
      <c r="Q441" s="49" t="s">
        <v>10951</v>
      </c>
      <c r="R441" s="49" t="s">
        <v>10952</v>
      </c>
      <c r="S441" s="49" t="s">
        <v>10953</v>
      </c>
      <c r="T441" s="49" t="s">
        <v>10954</v>
      </c>
    </row>
    <row r="442" spans="1:20" x14ac:dyDescent="0.2">
      <c r="A442" s="49" t="s">
        <v>30</v>
      </c>
      <c r="D442" s="49" t="s">
        <v>14680</v>
      </c>
      <c r="G442" s="49" t="s">
        <v>14681</v>
      </c>
      <c r="H442" s="49" t="s">
        <v>31245</v>
      </c>
      <c r="I442" s="49" t="s">
        <v>31250</v>
      </c>
      <c r="J442" s="49" t="s">
        <v>31303</v>
      </c>
      <c r="K442" s="49" t="s">
        <v>31308</v>
      </c>
      <c r="L442" s="49" t="s">
        <v>14682</v>
      </c>
      <c r="M442" s="49" t="s">
        <v>14683</v>
      </c>
      <c r="N442" s="49" t="s">
        <v>14684</v>
      </c>
      <c r="O442" s="49" t="s">
        <v>31257</v>
      </c>
      <c r="P442" s="49" t="s">
        <v>31265</v>
      </c>
      <c r="Q442" s="49" t="s">
        <v>31273</v>
      </c>
      <c r="R442" s="49" t="s">
        <v>31281</v>
      </c>
      <c r="S442" s="49" t="s">
        <v>31289</v>
      </c>
      <c r="T442" s="49" t="s">
        <v>31297</v>
      </c>
    </row>
    <row r="443" spans="1:20" x14ac:dyDescent="0.2">
      <c r="A443" s="49" t="s">
        <v>30</v>
      </c>
      <c r="D443" s="49" t="s">
        <v>14685</v>
      </c>
      <c r="G443" s="49" t="s">
        <v>14686</v>
      </c>
      <c r="H443" s="49" t="s">
        <v>31246</v>
      </c>
      <c r="I443" s="49" t="s">
        <v>31251</v>
      </c>
      <c r="J443" s="49" t="s">
        <v>31304</v>
      </c>
      <c r="K443" s="49" t="s">
        <v>31309</v>
      </c>
      <c r="L443" s="49" t="s">
        <v>14687</v>
      </c>
      <c r="M443" s="49" t="s">
        <v>14688</v>
      </c>
      <c r="N443" s="49" t="s">
        <v>14689</v>
      </c>
      <c r="O443" s="49" t="s">
        <v>31258</v>
      </c>
      <c r="P443" s="49" t="s">
        <v>31266</v>
      </c>
      <c r="Q443" s="49" t="s">
        <v>31274</v>
      </c>
      <c r="R443" s="49" t="s">
        <v>31282</v>
      </c>
      <c r="S443" s="49" t="s">
        <v>31290</v>
      </c>
      <c r="T443" s="49" t="s">
        <v>31298</v>
      </c>
    </row>
    <row r="444" spans="1:20" x14ac:dyDescent="0.2">
      <c r="A444" s="49" t="s">
        <v>30</v>
      </c>
      <c r="D444" s="49" t="s">
        <v>2510</v>
      </c>
      <c r="G444" s="49" t="s">
        <v>14690</v>
      </c>
      <c r="H444" s="49" t="s">
        <v>2511</v>
      </c>
      <c r="I444" s="49" t="s">
        <v>2512</v>
      </c>
      <c r="J444" s="49" t="s">
        <v>2513</v>
      </c>
      <c r="K444" s="49" t="s">
        <v>2514</v>
      </c>
      <c r="L444" s="49" t="s">
        <v>2515</v>
      </c>
      <c r="M444" s="49" t="s">
        <v>2516</v>
      </c>
      <c r="N444" s="49" t="s">
        <v>2517</v>
      </c>
      <c r="O444" s="49" t="s">
        <v>31259</v>
      </c>
      <c r="P444" s="49" t="s">
        <v>31267</v>
      </c>
      <c r="Q444" s="49" t="s">
        <v>31275</v>
      </c>
      <c r="R444" s="49" t="s">
        <v>31283</v>
      </c>
      <c r="S444" s="49" t="s">
        <v>31291</v>
      </c>
      <c r="T444" s="49" t="s">
        <v>31299</v>
      </c>
    </row>
    <row r="445" spans="1:20" x14ac:dyDescent="0.2">
      <c r="A445" s="49" t="s">
        <v>30</v>
      </c>
      <c r="D445" s="49" t="s">
        <v>5116</v>
      </c>
      <c r="G445" s="49" t="s">
        <v>14691</v>
      </c>
      <c r="H445" s="49" t="s">
        <v>5117</v>
      </c>
      <c r="I445" s="49" t="s">
        <v>5118</v>
      </c>
      <c r="J445" s="49" t="s">
        <v>5119</v>
      </c>
      <c r="K445" s="49" t="s">
        <v>5120</v>
      </c>
      <c r="L445" s="49" t="s">
        <v>5121</v>
      </c>
      <c r="M445" s="49" t="s">
        <v>5122</v>
      </c>
      <c r="N445" s="49" t="s">
        <v>5123</v>
      </c>
      <c r="O445" s="49" t="s">
        <v>5124</v>
      </c>
      <c r="P445" s="49" t="s">
        <v>5125</v>
      </c>
      <c r="Q445" s="49" t="s">
        <v>5126</v>
      </c>
      <c r="R445" s="49" t="s">
        <v>5127</v>
      </c>
      <c r="S445" s="49" t="s">
        <v>5128</v>
      </c>
      <c r="T445" s="49" t="s">
        <v>5129</v>
      </c>
    </row>
    <row r="446" spans="1:20" x14ac:dyDescent="0.2">
      <c r="A446" s="49" t="s">
        <v>30</v>
      </c>
      <c r="D446" s="49" t="s">
        <v>9882</v>
      </c>
      <c r="G446" s="49" t="s">
        <v>14692</v>
      </c>
      <c r="H446" s="49" t="s">
        <v>9883</v>
      </c>
      <c r="I446" s="49" t="s">
        <v>9884</v>
      </c>
      <c r="J446" s="49" t="s">
        <v>9885</v>
      </c>
      <c r="K446" s="49" t="s">
        <v>9886</v>
      </c>
      <c r="L446" s="49" t="s">
        <v>9887</v>
      </c>
      <c r="M446" s="49" t="s">
        <v>9888</v>
      </c>
      <c r="N446" s="49" t="s">
        <v>9889</v>
      </c>
      <c r="O446" s="49" t="s">
        <v>10955</v>
      </c>
      <c r="P446" s="49" t="s">
        <v>10956</v>
      </c>
      <c r="Q446" s="49" t="s">
        <v>10957</v>
      </c>
      <c r="R446" s="49" t="s">
        <v>10958</v>
      </c>
      <c r="S446" s="49" t="s">
        <v>10959</v>
      </c>
      <c r="T446" s="49" t="s">
        <v>10960</v>
      </c>
    </row>
    <row r="447" spans="1:20" x14ac:dyDescent="0.2">
      <c r="A447" s="49" t="s">
        <v>30</v>
      </c>
      <c r="D447" s="49" t="s">
        <v>10961</v>
      </c>
      <c r="G447" s="49" t="s">
        <v>14693</v>
      </c>
      <c r="H447" s="49" t="s">
        <v>10962</v>
      </c>
      <c r="I447" s="49" t="s">
        <v>10963</v>
      </c>
      <c r="J447" s="49" t="s">
        <v>10964</v>
      </c>
      <c r="K447" s="49" t="s">
        <v>10965</v>
      </c>
      <c r="L447" s="49" t="s">
        <v>10966</v>
      </c>
      <c r="M447" s="49" t="s">
        <v>10967</v>
      </c>
      <c r="N447" s="49" t="s">
        <v>10968</v>
      </c>
      <c r="O447" s="49" t="s">
        <v>10969</v>
      </c>
      <c r="P447" s="49" t="s">
        <v>10970</v>
      </c>
      <c r="Q447" s="49" t="s">
        <v>10971</v>
      </c>
      <c r="R447" s="49" t="s">
        <v>10972</v>
      </c>
      <c r="S447" s="49" t="s">
        <v>10973</v>
      </c>
      <c r="T447" s="49" t="s">
        <v>10974</v>
      </c>
    </row>
    <row r="448" spans="1:20" x14ac:dyDescent="0.2">
      <c r="A448" s="49" t="s">
        <v>30</v>
      </c>
    </row>
    <row r="449" spans="1:21" x14ac:dyDescent="0.2">
      <c r="A449" s="49" t="s">
        <v>30</v>
      </c>
      <c r="E449" s="49" t="s">
        <v>31</v>
      </c>
      <c r="F449" s="49" t="s">
        <v>31</v>
      </c>
      <c r="G449" s="49" t="s">
        <v>31</v>
      </c>
      <c r="J449" s="49" t="s">
        <v>31</v>
      </c>
      <c r="K449" s="49" t="s">
        <v>31</v>
      </c>
      <c r="L449" s="49" t="s">
        <v>31</v>
      </c>
      <c r="M449" s="49" t="s">
        <v>31</v>
      </c>
    </row>
    <row r="450" spans="1:21" x14ac:dyDescent="0.2">
      <c r="A450" s="49" t="s">
        <v>30</v>
      </c>
      <c r="D450" s="49" t="s">
        <v>14694</v>
      </c>
      <c r="E450" s="49" t="s">
        <v>4756</v>
      </c>
      <c r="F450" s="49" t="s">
        <v>14695</v>
      </c>
      <c r="H450" s="49" t="s">
        <v>14696</v>
      </c>
      <c r="O450" s="49" t="s">
        <v>14697</v>
      </c>
      <c r="P450" s="49" t="s">
        <v>14698</v>
      </c>
      <c r="Q450" s="49" t="s">
        <v>14699</v>
      </c>
      <c r="R450" s="49" t="s">
        <v>14700</v>
      </c>
      <c r="S450" s="49" t="s">
        <v>14701</v>
      </c>
      <c r="T450" s="49" t="s">
        <v>14702</v>
      </c>
      <c r="U450" s="49" t="s">
        <v>14703</v>
      </c>
    </row>
    <row r="451" spans="1:21" x14ac:dyDescent="0.2">
      <c r="A451" s="49" t="s">
        <v>30</v>
      </c>
      <c r="D451" s="49" t="s">
        <v>14704</v>
      </c>
      <c r="G451" s="49" t="s">
        <v>14705</v>
      </c>
      <c r="H451" s="49" t="s">
        <v>31206</v>
      </c>
      <c r="I451" s="49" t="s">
        <v>31209</v>
      </c>
      <c r="J451" s="49" t="s">
        <v>31236</v>
      </c>
      <c r="K451" s="49" t="s">
        <v>31239</v>
      </c>
      <c r="L451" s="49" t="s">
        <v>14706</v>
      </c>
      <c r="M451" s="49" t="s">
        <v>14707</v>
      </c>
      <c r="N451" s="49" t="s">
        <v>14708</v>
      </c>
      <c r="O451" s="49" t="s">
        <v>31212</v>
      </c>
      <c r="P451" s="49" t="s">
        <v>31216</v>
      </c>
      <c r="Q451" s="49" t="s">
        <v>31220</v>
      </c>
      <c r="R451" s="49" t="s">
        <v>31224</v>
      </c>
      <c r="S451" s="49" t="s">
        <v>31228</v>
      </c>
      <c r="T451" s="49" t="s">
        <v>31232</v>
      </c>
    </row>
    <row r="452" spans="1:21" x14ac:dyDescent="0.2">
      <c r="A452" s="49" t="s">
        <v>30</v>
      </c>
      <c r="D452" s="49" t="s">
        <v>1637</v>
      </c>
      <c r="G452" s="49" t="s">
        <v>14709</v>
      </c>
      <c r="H452" s="49" t="s">
        <v>1638</v>
      </c>
      <c r="I452" s="49" t="s">
        <v>1639</v>
      </c>
      <c r="J452" s="49" t="s">
        <v>1640</v>
      </c>
      <c r="K452" s="49" t="s">
        <v>1641</v>
      </c>
      <c r="L452" s="49" t="s">
        <v>1642</v>
      </c>
      <c r="M452" s="49" t="s">
        <v>1643</v>
      </c>
      <c r="N452" s="49" t="s">
        <v>1644</v>
      </c>
      <c r="O452" s="49" t="s">
        <v>3326</v>
      </c>
      <c r="P452" s="49" t="s">
        <v>3327</v>
      </c>
      <c r="Q452" s="49" t="s">
        <v>3328</v>
      </c>
      <c r="R452" s="49" t="s">
        <v>3329</v>
      </c>
      <c r="S452" s="49" t="s">
        <v>3330</v>
      </c>
      <c r="T452" s="49" t="s">
        <v>3331</v>
      </c>
    </row>
    <row r="453" spans="1:21" x14ac:dyDescent="0.2">
      <c r="A453" s="49" t="s">
        <v>30</v>
      </c>
      <c r="D453" s="49" t="s">
        <v>5131</v>
      </c>
      <c r="G453" s="49" t="s">
        <v>14710</v>
      </c>
      <c r="H453" s="49" t="s">
        <v>5132</v>
      </c>
      <c r="I453" s="49" t="s">
        <v>5133</v>
      </c>
      <c r="J453" s="49" t="s">
        <v>5134</v>
      </c>
      <c r="K453" s="49" t="s">
        <v>5135</v>
      </c>
      <c r="L453" s="49" t="s">
        <v>5136</v>
      </c>
      <c r="M453" s="49" t="s">
        <v>5137</v>
      </c>
      <c r="N453" s="49" t="s">
        <v>5138</v>
      </c>
      <c r="O453" s="49" t="s">
        <v>5139</v>
      </c>
      <c r="P453" s="49" t="s">
        <v>5140</v>
      </c>
      <c r="Q453" s="49" t="s">
        <v>5141</v>
      </c>
      <c r="R453" s="49" t="s">
        <v>5142</v>
      </c>
      <c r="S453" s="49" t="s">
        <v>5143</v>
      </c>
      <c r="T453" s="49" t="s">
        <v>5144</v>
      </c>
    </row>
    <row r="454" spans="1:21" x14ac:dyDescent="0.2">
      <c r="A454" s="49" t="s">
        <v>30</v>
      </c>
      <c r="D454" s="49" t="s">
        <v>5145</v>
      </c>
      <c r="G454" s="49" t="s">
        <v>14711</v>
      </c>
      <c r="H454" s="49" t="s">
        <v>5146</v>
      </c>
      <c r="I454" s="49" t="s">
        <v>5147</v>
      </c>
      <c r="J454" s="49" t="s">
        <v>5148</v>
      </c>
      <c r="K454" s="49" t="s">
        <v>5149</v>
      </c>
      <c r="L454" s="49" t="s">
        <v>5150</v>
      </c>
      <c r="M454" s="49" t="s">
        <v>5151</v>
      </c>
      <c r="N454" s="49" t="s">
        <v>5152</v>
      </c>
      <c r="O454" s="49" t="s">
        <v>5153</v>
      </c>
      <c r="P454" s="49" t="s">
        <v>5154</v>
      </c>
      <c r="Q454" s="49" t="s">
        <v>5155</v>
      </c>
      <c r="R454" s="49" t="s">
        <v>5156</v>
      </c>
      <c r="S454" s="49" t="s">
        <v>5157</v>
      </c>
      <c r="T454" s="49" t="s">
        <v>5158</v>
      </c>
    </row>
    <row r="455" spans="1:21" x14ac:dyDescent="0.2">
      <c r="A455" s="49" t="s">
        <v>30</v>
      </c>
      <c r="D455" s="49" t="s">
        <v>14712</v>
      </c>
      <c r="G455" s="49" t="s">
        <v>14713</v>
      </c>
      <c r="H455" s="49" t="s">
        <v>31207</v>
      </c>
      <c r="I455" s="49" t="s">
        <v>31210</v>
      </c>
      <c r="J455" s="49" t="s">
        <v>31237</v>
      </c>
      <c r="K455" s="49" t="s">
        <v>31240</v>
      </c>
      <c r="L455" s="49" t="s">
        <v>14714</v>
      </c>
      <c r="M455" s="49" t="s">
        <v>14715</v>
      </c>
      <c r="N455" s="49" t="s">
        <v>14716</v>
      </c>
      <c r="O455" s="49" t="s">
        <v>31213</v>
      </c>
      <c r="P455" s="49" t="s">
        <v>31217</v>
      </c>
      <c r="Q455" s="49" t="s">
        <v>31221</v>
      </c>
      <c r="R455" s="49" t="s">
        <v>31225</v>
      </c>
      <c r="S455" s="49" t="s">
        <v>31229</v>
      </c>
      <c r="T455" s="49" t="s">
        <v>31233</v>
      </c>
    </row>
    <row r="456" spans="1:21" x14ac:dyDescent="0.2">
      <c r="A456" s="49" t="s">
        <v>30</v>
      </c>
      <c r="D456" s="49" t="s">
        <v>14717</v>
      </c>
      <c r="G456" s="49" t="s">
        <v>14718</v>
      </c>
      <c r="H456" s="49" t="s">
        <v>31208</v>
      </c>
      <c r="I456" s="49" t="s">
        <v>31211</v>
      </c>
      <c r="J456" s="49" t="s">
        <v>31238</v>
      </c>
      <c r="K456" s="49" t="s">
        <v>31241</v>
      </c>
      <c r="L456" s="49" t="s">
        <v>14719</v>
      </c>
      <c r="M456" s="49" t="s">
        <v>14720</v>
      </c>
      <c r="N456" s="49" t="s">
        <v>14721</v>
      </c>
      <c r="O456" s="49" t="s">
        <v>31214</v>
      </c>
      <c r="P456" s="49" t="s">
        <v>31218</v>
      </c>
      <c r="Q456" s="49" t="s">
        <v>31222</v>
      </c>
      <c r="R456" s="49" t="s">
        <v>31226</v>
      </c>
      <c r="S456" s="49" t="s">
        <v>31230</v>
      </c>
      <c r="T456" s="49" t="s">
        <v>31234</v>
      </c>
    </row>
    <row r="457" spans="1:21" x14ac:dyDescent="0.2">
      <c r="A457" s="49" t="s">
        <v>30</v>
      </c>
      <c r="D457" s="49" t="s">
        <v>13660</v>
      </c>
      <c r="G457" s="49" t="s">
        <v>14722</v>
      </c>
      <c r="H457" s="49" t="s">
        <v>13661</v>
      </c>
      <c r="I457" s="49" t="s">
        <v>13662</v>
      </c>
      <c r="J457" s="49" t="s">
        <v>13663</v>
      </c>
      <c r="K457" s="49" t="s">
        <v>13664</v>
      </c>
      <c r="L457" s="49" t="s">
        <v>13665</v>
      </c>
      <c r="M457" s="49" t="s">
        <v>13666</v>
      </c>
      <c r="N457" s="49" t="s">
        <v>13667</v>
      </c>
      <c r="O457" s="49" t="s">
        <v>31215</v>
      </c>
      <c r="P457" s="49" t="s">
        <v>31219</v>
      </c>
      <c r="Q457" s="49" t="s">
        <v>31223</v>
      </c>
      <c r="R457" s="49" t="s">
        <v>31227</v>
      </c>
      <c r="S457" s="49" t="s">
        <v>31231</v>
      </c>
      <c r="T457" s="49" t="s">
        <v>31235</v>
      </c>
    </row>
    <row r="458" spans="1:21" x14ac:dyDescent="0.2">
      <c r="A458" s="49" t="s">
        <v>30</v>
      </c>
      <c r="D458" s="49" t="s">
        <v>10989</v>
      </c>
      <c r="G458" s="49" t="s">
        <v>14723</v>
      </c>
      <c r="H458" s="49" t="s">
        <v>12580</v>
      </c>
      <c r="I458" s="49" t="s">
        <v>12584</v>
      </c>
      <c r="J458" s="49" t="s">
        <v>12618</v>
      </c>
      <c r="K458" s="49" t="s">
        <v>12622</v>
      </c>
      <c r="L458" s="49" t="s">
        <v>10990</v>
      </c>
      <c r="M458" s="49" t="s">
        <v>10991</v>
      </c>
      <c r="N458" s="49" t="s">
        <v>10992</v>
      </c>
      <c r="O458" s="49" t="s">
        <v>12588</v>
      </c>
      <c r="P458" s="49" t="s">
        <v>12593</v>
      </c>
      <c r="Q458" s="49" t="s">
        <v>12598</v>
      </c>
      <c r="R458" s="49" t="s">
        <v>12603</v>
      </c>
      <c r="S458" s="49" t="s">
        <v>12608</v>
      </c>
      <c r="T458" s="49" t="s">
        <v>12613</v>
      </c>
    </row>
    <row r="459" spans="1:21" x14ac:dyDescent="0.2">
      <c r="A459" s="49" t="s">
        <v>30</v>
      </c>
      <c r="D459" s="49" t="s">
        <v>5160</v>
      </c>
      <c r="G459" s="49" t="s">
        <v>14724</v>
      </c>
      <c r="H459" s="49" t="s">
        <v>5161</v>
      </c>
      <c r="I459" s="49" t="s">
        <v>5162</v>
      </c>
      <c r="J459" s="49" t="s">
        <v>5163</v>
      </c>
      <c r="K459" s="49" t="s">
        <v>5164</v>
      </c>
      <c r="L459" s="49" t="s">
        <v>5165</v>
      </c>
      <c r="M459" s="49" t="s">
        <v>5166</v>
      </c>
      <c r="N459" s="49" t="s">
        <v>5167</v>
      </c>
      <c r="O459" s="49" t="s">
        <v>5168</v>
      </c>
      <c r="P459" s="49" t="s">
        <v>5169</v>
      </c>
      <c r="Q459" s="49" t="s">
        <v>5170</v>
      </c>
      <c r="R459" s="49" t="s">
        <v>5171</v>
      </c>
      <c r="S459" s="49" t="s">
        <v>5172</v>
      </c>
      <c r="T459" s="49" t="s">
        <v>5173</v>
      </c>
    </row>
    <row r="460" spans="1:21" x14ac:dyDescent="0.2">
      <c r="A460" s="49" t="s">
        <v>30</v>
      </c>
      <c r="D460" s="49" t="s">
        <v>9890</v>
      </c>
      <c r="G460" s="49" t="s">
        <v>14725</v>
      </c>
      <c r="H460" s="49" t="s">
        <v>9891</v>
      </c>
      <c r="I460" s="49" t="s">
        <v>9892</v>
      </c>
      <c r="J460" s="49" t="s">
        <v>9893</v>
      </c>
      <c r="K460" s="49" t="s">
        <v>9894</v>
      </c>
      <c r="L460" s="49" t="s">
        <v>9895</v>
      </c>
      <c r="M460" s="49" t="s">
        <v>9896</v>
      </c>
      <c r="N460" s="49" t="s">
        <v>9897</v>
      </c>
      <c r="O460" s="49" t="s">
        <v>12589</v>
      </c>
      <c r="P460" s="49" t="s">
        <v>12594</v>
      </c>
      <c r="Q460" s="49" t="s">
        <v>12599</v>
      </c>
      <c r="R460" s="49" t="s">
        <v>12604</v>
      </c>
      <c r="S460" s="49" t="s">
        <v>12609</v>
      </c>
      <c r="T460" s="49" t="s">
        <v>12614</v>
      </c>
    </row>
    <row r="461" spans="1:21" x14ac:dyDescent="0.2">
      <c r="A461" s="49" t="s">
        <v>30</v>
      </c>
      <c r="D461" s="49" t="s">
        <v>9898</v>
      </c>
      <c r="G461" s="49" t="s">
        <v>14726</v>
      </c>
      <c r="H461" s="49" t="s">
        <v>9899</v>
      </c>
      <c r="I461" s="49" t="s">
        <v>9900</v>
      </c>
      <c r="J461" s="49" t="s">
        <v>9901</v>
      </c>
      <c r="K461" s="49" t="s">
        <v>9902</v>
      </c>
      <c r="L461" s="49" t="s">
        <v>9903</v>
      </c>
      <c r="M461" s="49" t="s">
        <v>9904</v>
      </c>
      <c r="N461" s="49" t="s">
        <v>9905</v>
      </c>
      <c r="O461" s="49" t="s">
        <v>12590</v>
      </c>
      <c r="P461" s="49" t="s">
        <v>12595</v>
      </c>
      <c r="Q461" s="49" t="s">
        <v>12600</v>
      </c>
      <c r="R461" s="49" t="s">
        <v>12605</v>
      </c>
      <c r="S461" s="49" t="s">
        <v>12610</v>
      </c>
      <c r="T461" s="49" t="s">
        <v>12615</v>
      </c>
    </row>
    <row r="462" spans="1:21" x14ac:dyDescent="0.2">
      <c r="A462" s="49" t="s">
        <v>30</v>
      </c>
      <c r="D462" s="49" t="s">
        <v>10993</v>
      </c>
      <c r="G462" s="49" t="s">
        <v>14727</v>
      </c>
      <c r="H462" s="49" t="s">
        <v>12581</v>
      </c>
      <c r="I462" s="49" t="s">
        <v>12585</v>
      </c>
      <c r="J462" s="49" t="s">
        <v>12619</v>
      </c>
      <c r="K462" s="49" t="s">
        <v>12623</v>
      </c>
      <c r="L462" s="49" t="s">
        <v>10994</v>
      </c>
      <c r="M462" s="49" t="s">
        <v>10995</v>
      </c>
      <c r="N462" s="49" t="s">
        <v>10996</v>
      </c>
      <c r="O462" s="49" t="s">
        <v>12591</v>
      </c>
      <c r="P462" s="49" t="s">
        <v>12596</v>
      </c>
      <c r="Q462" s="49" t="s">
        <v>12601</v>
      </c>
      <c r="R462" s="49" t="s">
        <v>12606</v>
      </c>
      <c r="S462" s="49" t="s">
        <v>12611</v>
      </c>
      <c r="T462" s="49" t="s">
        <v>12616</v>
      </c>
    </row>
    <row r="463" spans="1:21" x14ac:dyDescent="0.2">
      <c r="A463" s="49" t="s">
        <v>30</v>
      </c>
      <c r="D463" s="49" t="s">
        <v>5175</v>
      </c>
      <c r="G463" s="49" t="s">
        <v>14728</v>
      </c>
      <c r="H463" s="49" t="s">
        <v>5176</v>
      </c>
      <c r="I463" s="49" t="s">
        <v>5177</v>
      </c>
      <c r="J463" s="49" t="s">
        <v>5178</v>
      </c>
      <c r="K463" s="49" t="s">
        <v>5179</v>
      </c>
      <c r="L463" s="49" t="s">
        <v>5180</v>
      </c>
      <c r="M463" s="49" t="s">
        <v>5181</v>
      </c>
      <c r="N463" s="49" t="s">
        <v>5182</v>
      </c>
      <c r="O463" s="49" t="s">
        <v>5183</v>
      </c>
      <c r="P463" s="49" t="s">
        <v>5184</v>
      </c>
      <c r="Q463" s="49" t="s">
        <v>5185</v>
      </c>
      <c r="R463" s="49" t="s">
        <v>5186</v>
      </c>
      <c r="S463" s="49" t="s">
        <v>5187</v>
      </c>
      <c r="T463" s="49" t="s">
        <v>5188</v>
      </c>
    </row>
    <row r="464" spans="1:21" x14ac:dyDescent="0.2">
      <c r="A464" s="49" t="s">
        <v>30</v>
      </c>
      <c r="D464" s="49" t="s">
        <v>10997</v>
      </c>
      <c r="G464" s="49" t="s">
        <v>14729</v>
      </c>
      <c r="H464" s="49" t="s">
        <v>12582</v>
      </c>
      <c r="I464" s="49" t="s">
        <v>12586</v>
      </c>
      <c r="J464" s="49" t="s">
        <v>12620</v>
      </c>
      <c r="K464" s="49" t="s">
        <v>12624</v>
      </c>
      <c r="L464" s="49" t="s">
        <v>10998</v>
      </c>
      <c r="M464" s="49" t="s">
        <v>10999</v>
      </c>
      <c r="N464" s="49" t="s">
        <v>11000</v>
      </c>
      <c r="O464" s="49" t="s">
        <v>12592</v>
      </c>
      <c r="P464" s="49" t="s">
        <v>12597</v>
      </c>
      <c r="Q464" s="49" t="s">
        <v>12602</v>
      </c>
      <c r="R464" s="49" t="s">
        <v>12607</v>
      </c>
      <c r="S464" s="49" t="s">
        <v>12612</v>
      </c>
      <c r="T464" s="49" t="s">
        <v>12617</v>
      </c>
    </row>
    <row r="465" spans="1:21" x14ac:dyDescent="0.2">
      <c r="A465" s="49" t="s">
        <v>30</v>
      </c>
    </row>
    <row r="466" spans="1:21" x14ac:dyDescent="0.2">
      <c r="A466" s="49" t="s">
        <v>30</v>
      </c>
      <c r="E466" s="49" t="s">
        <v>31</v>
      </c>
      <c r="F466" s="49" t="s">
        <v>31</v>
      </c>
      <c r="G466" s="49" t="s">
        <v>31</v>
      </c>
      <c r="J466" s="49" t="s">
        <v>31</v>
      </c>
      <c r="K466" s="49" t="s">
        <v>31</v>
      </c>
      <c r="L466" s="49" t="s">
        <v>31</v>
      </c>
      <c r="M466" s="49" t="s">
        <v>31</v>
      </c>
    </row>
    <row r="467" spans="1:21" x14ac:dyDescent="0.2">
      <c r="A467" s="49" t="s">
        <v>30</v>
      </c>
      <c r="D467" s="49" t="s">
        <v>14730</v>
      </c>
      <c r="E467" s="49" t="s">
        <v>4760</v>
      </c>
      <c r="F467" s="49" t="s">
        <v>14731</v>
      </c>
      <c r="H467" s="49" t="s">
        <v>14732</v>
      </c>
      <c r="O467" s="49" t="s">
        <v>14733</v>
      </c>
      <c r="P467" s="49" t="s">
        <v>14734</v>
      </c>
      <c r="Q467" s="49" t="s">
        <v>14735</v>
      </c>
      <c r="R467" s="49" t="s">
        <v>14736</v>
      </c>
      <c r="S467" s="49" t="s">
        <v>14737</v>
      </c>
      <c r="T467" s="49" t="s">
        <v>14738</v>
      </c>
      <c r="U467" s="49" t="s">
        <v>14739</v>
      </c>
    </row>
    <row r="468" spans="1:21" x14ac:dyDescent="0.2">
      <c r="A468" s="49" t="s">
        <v>30</v>
      </c>
      <c r="D468" s="49" t="s">
        <v>5198</v>
      </c>
      <c r="G468" s="49" t="s">
        <v>14740</v>
      </c>
      <c r="H468" s="49" t="s">
        <v>5199</v>
      </c>
      <c r="I468" s="49" t="s">
        <v>5200</v>
      </c>
      <c r="J468" s="49" t="s">
        <v>5201</v>
      </c>
      <c r="K468" s="49" t="s">
        <v>5202</v>
      </c>
      <c r="L468" s="49" t="s">
        <v>5203</v>
      </c>
      <c r="M468" s="49" t="s">
        <v>5204</v>
      </c>
      <c r="N468" s="49" t="s">
        <v>5205</v>
      </c>
      <c r="O468" s="49" t="s">
        <v>5206</v>
      </c>
      <c r="P468" s="49" t="s">
        <v>5207</v>
      </c>
      <c r="Q468" s="49" t="s">
        <v>5208</v>
      </c>
      <c r="R468" s="49" t="s">
        <v>5209</v>
      </c>
      <c r="S468" s="49" t="s">
        <v>5210</v>
      </c>
      <c r="T468" s="49" t="s">
        <v>5211</v>
      </c>
    </row>
    <row r="469" spans="1:21" x14ac:dyDescent="0.2">
      <c r="A469" s="49" t="s">
        <v>30</v>
      </c>
      <c r="D469" s="49" t="s">
        <v>5212</v>
      </c>
      <c r="G469" s="49" t="s">
        <v>14741</v>
      </c>
      <c r="H469" s="49" t="s">
        <v>5213</v>
      </c>
      <c r="I469" s="49" t="s">
        <v>5214</v>
      </c>
      <c r="J469" s="49" t="s">
        <v>5215</v>
      </c>
      <c r="K469" s="49" t="s">
        <v>5216</v>
      </c>
      <c r="L469" s="49" t="s">
        <v>5217</v>
      </c>
      <c r="M469" s="49" t="s">
        <v>5218</v>
      </c>
      <c r="N469" s="49" t="s">
        <v>5219</v>
      </c>
      <c r="O469" s="49" t="s">
        <v>5220</v>
      </c>
      <c r="P469" s="49" t="s">
        <v>5221</v>
      </c>
      <c r="Q469" s="49" t="s">
        <v>5222</v>
      </c>
      <c r="R469" s="49" t="s">
        <v>5223</v>
      </c>
      <c r="S469" s="49" t="s">
        <v>5224</v>
      </c>
      <c r="T469" s="49" t="s">
        <v>5225</v>
      </c>
    </row>
    <row r="470" spans="1:21" x14ac:dyDescent="0.2">
      <c r="A470" s="49" t="s">
        <v>30</v>
      </c>
      <c r="D470" s="49" t="s">
        <v>14742</v>
      </c>
      <c r="G470" s="49" t="s">
        <v>14743</v>
      </c>
      <c r="H470" s="49" t="s">
        <v>31116</v>
      </c>
      <c r="I470" s="49" t="s">
        <v>31125</v>
      </c>
      <c r="J470" s="49" t="s">
        <v>31188</v>
      </c>
      <c r="K470" s="49" t="s">
        <v>31197</v>
      </c>
      <c r="L470" s="49" t="s">
        <v>14744</v>
      </c>
      <c r="M470" s="49" t="s">
        <v>14745</v>
      </c>
      <c r="N470" s="49" t="s">
        <v>14746</v>
      </c>
      <c r="O470" s="49" t="s">
        <v>31134</v>
      </c>
      <c r="P470" s="49" t="s">
        <v>31143</v>
      </c>
      <c r="Q470" s="49" t="s">
        <v>31152</v>
      </c>
      <c r="R470" s="49" t="s">
        <v>31161</v>
      </c>
      <c r="S470" s="49" t="s">
        <v>31170</v>
      </c>
      <c r="T470" s="49" t="s">
        <v>31179</v>
      </c>
    </row>
    <row r="471" spans="1:21" x14ac:dyDescent="0.2">
      <c r="A471" s="49" t="s">
        <v>30</v>
      </c>
      <c r="D471" s="49" t="s">
        <v>14747</v>
      </c>
      <c r="G471" s="49" t="s">
        <v>14748</v>
      </c>
      <c r="H471" s="49" t="s">
        <v>31117</v>
      </c>
      <c r="I471" s="49" t="s">
        <v>31126</v>
      </c>
      <c r="J471" s="49" t="s">
        <v>31189</v>
      </c>
      <c r="K471" s="49" t="s">
        <v>31198</v>
      </c>
      <c r="L471" s="49" t="s">
        <v>14749</v>
      </c>
      <c r="M471" s="49" t="s">
        <v>14750</v>
      </c>
      <c r="N471" s="49" t="s">
        <v>14751</v>
      </c>
      <c r="O471" s="49" t="s">
        <v>31135</v>
      </c>
      <c r="P471" s="49" t="s">
        <v>31144</v>
      </c>
      <c r="Q471" s="49" t="s">
        <v>31153</v>
      </c>
      <c r="R471" s="49" t="s">
        <v>31162</v>
      </c>
      <c r="S471" s="49" t="s">
        <v>31171</v>
      </c>
      <c r="T471" s="49" t="s">
        <v>31180</v>
      </c>
    </row>
    <row r="472" spans="1:21" x14ac:dyDescent="0.2">
      <c r="A472" s="49" t="s">
        <v>30</v>
      </c>
      <c r="D472" s="49" t="s">
        <v>14752</v>
      </c>
      <c r="G472" s="49" t="s">
        <v>14753</v>
      </c>
      <c r="H472" s="49" t="s">
        <v>31118</v>
      </c>
      <c r="I472" s="49" t="s">
        <v>31127</v>
      </c>
      <c r="J472" s="49" t="s">
        <v>31190</v>
      </c>
      <c r="K472" s="49" t="s">
        <v>31199</v>
      </c>
      <c r="L472" s="49" t="s">
        <v>14754</v>
      </c>
      <c r="M472" s="49" t="s">
        <v>14755</v>
      </c>
      <c r="N472" s="49" t="s">
        <v>14756</v>
      </c>
      <c r="O472" s="49" t="s">
        <v>31136</v>
      </c>
      <c r="P472" s="49" t="s">
        <v>31145</v>
      </c>
      <c r="Q472" s="49" t="s">
        <v>31154</v>
      </c>
      <c r="R472" s="49" t="s">
        <v>31163</v>
      </c>
      <c r="S472" s="49" t="s">
        <v>31172</v>
      </c>
      <c r="T472" s="49" t="s">
        <v>31181</v>
      </c>
    </row>
    <row r="473" spans="1:21" x14ac:dyDescent="0.2">
      <c r="A473" s="49" t="s">
        <v>30</v>
      </c>
      <c r="D473" s="49" t="s">
        <v>11005</v>
      </c>
      <c r="G473" s="49" t="s">
        <v>14757</v>
      </c>
      <c r="H473" s="49" t="s">
        <v>12558</v>
      </c>
      <c r="I473" s="49" t="s">
        <v>12559</v>
      </c>
      <c r="J473" s="49" t="s">
        <v>12578</v>
      </c>
      <c r="K473" s="49" t="s">
        <v>12579</v>
      </c>
      <c r="L473" s="49" t="s">
        <v>11006</v>
      </c>
      <c r="M473" s="49" t="s">
        <v>11007</v>
      </c>
      <c r="N473" s="49" t="s">
        <v>11008</v>
      </c>
      <c r="O473" s="49" t="s">
        <v>12560</v>
      </c>
      <c r="P473" s="49" t="s">
        <v>12563</v>
      </c>
      <c r="Q473" s="49" t="s">
        <v>12566</v>
      </c>
      <c r="R473" s="49" t="s">
        <v>12569</v>
      </c>
      <c r="S473" s="49" t="s">
        <v>12572</v>
      </c>
      <c r="T473" s="49" t="s">
        <v>12575</v>
      </c>
    </row>
    <row r="474" spans="1:21" x14ac:dyDescent="0.2">
      <c r="A474" s="49" t="s">
        <v>30</v>
      </c>
      <c r="D474" s="49" t="s">
        <v>9914</v>
      </c>
      <c r="G474" s="49" t="s">
        <v>14758</v>
      </c>
      <c r="H474" s="49" t="s">
        <v>9915</v>
      </c>
      <c r="I474" s="49" t="s">
        <v>9916</v>
      </c>
      <c r="J474" s="49" t="s">
        <v>9917</v>
      </c>
      <c r="K474" s="49" t="s">
        <v>9918</v>
      </c>
      <c r="L474" s="49" t="s">
        <v>9919</v>
      </c>
      <c r="M474" s="49" t="s">
        <v>9920</v>
      </c>
      <c r="N474" s="49" t="s">
        <v>9921</v>
      </c>
      <c r="O474" s="49" t="s">
        <v>12561</v>
      </c>
      <c r="P474" s="49" t="s">
        <v>12564</v>
      </c>
      <c r="Q474" s="49" t="s">
        <v>12567</v>
      </c>
      <c r="R474" s="49" t="s">
        <v>12570</v>
      </c>
      <c r="S474" s="49" t="s">
        <v>12573</v>
      </c>
      <c r="T474" s="49" t="s">
        <v>12576</v>
      </c>
    </row>
    <row r="475" spans="1:21" x14ac:dyDescent="0.2">
      <c r="A475" s="49" t="s">
        <v>30</v>
      </c>
      <c r="D475" s="49" t="s">
        <v>9922</v>
      </c>
      <c r="G475" s="49" t="s">
        <v>14759</v>
      </c>
      <c r="H475" s="49" t="s">
        <v>9923</v>
      </c>
      <c r="I475" s="49" t="s">
        <v>9924</v>
      </c>
      <c r="J475" s="49" t="s">
        <v>9925</v>
      </c>
      <c r="K475" s="49" t="s">
        <v>9926</v>
      </c>
      <c r="L475" s="49" t="s">
        <v>9927</v>
      </c>
      <c r="M475" s="49" t="s">
        <v>9928</v>
      </c>
      <c r="N475" s="49" t="s">
        <v>9929</v>
      </c>
      <c r="O475" s="49" t="s">
        <v>12562</v>
      </c>
      <c r="P475" s="49" t="s">
        <v>12565</v>
      </c>
      <c r="Q475" s="49" t="s">
        <v>12568</v>
      </c>
      <c r="R475" s="49" t="s">
        <v>12571</v>
      </c>
      <c r="S475" s="49" t="s">
        <v>12574</v>
      </c>
      <c r="T475" s="49" t="s">
        <v>12577</v>
      </c>
    </row>
    <row r="476" spans="1:21" x14ac:dyDescent="0.2">
      <c r="A476" s="49" t="s">
        <v>30</v>
      </c>
      <c r="D476" s="49" t="s">
        <v>5227</v>
      </c>
      <c r="G476" s="49" t="s">
        <v>14760</v>
      </c>
      <c r="H476" s="49" t="s">
        <v>5228</v>
      </c>
      <c r="I476" s="49" t="s">
        <v>5229</v>
      </c>
      <c r="J476" s="49" t="s">
        <v>5230</v>
      </c>
      <c r="K476" s="49" t="s">
        <v>5231</v>
      </c>
      <c r="L476" s="49" t="s">
        <v>5232</v>
      </c>
      <c r="M476" s="49" t="s">
        <v>5233</v>
      </c>
      <c r="N476" s="49" t="s">
        <v>5234</v>
      </c>
      <c r="O476" s="49" t="s">
        <v>5235</v>
      </c>
      <c r="P476" s="49" t="s">
        <v>5236</v>
      </c>
      <c r="Q476" s="49" t="s">
        <v>5237</v>
      </c>
      <c r="R476" s="49" t="s">
        <v>5238</v>
      </c>
      <c r="S476" s="49" t="s">
        <v>5239</v>
      </c>
      <c r="T476" s="49" t="s">
        <v>5240</v>
      </c>
    </row>
    <row r="477" spans="1:21" x14ac:dyDescent="0.2">
      <c r="A477" s="49" t="s">
        <v>30</v>
      </c>
      <c r="D477" s="49" t="s">
        <v>5241</v>
      </c>
      <c r="G477" s="49" t="s">
        <v>14761</v>
      </c>
      <c r="H477" s="49" t="s">
        <v>5242</v>
      </c>
      <c r="I477" s="49" t="s">
        <v>5243</v>
      </c>
      <c r="J477" s="49" t="s">
        <v>5244</v>
      </c>
      <c r="K477" s="49" t="s">
        <v>5245</v>
      </c>
      <c r="L477" s="49" t="s">
        <v>5246</v>
      </c>
      <c r="M477" s="49" t="s">
        <v>5247</v>
      </c>
      <c r="N477" s="49" t="s">
        <v>5248</v>
      </c>
      <c r="O477" s="49" t="s">
        <v>5249</v>
      </c>
      <c r="P477" s="49" t="s">
        <v>5250</v>
      </c>
      <c r="Q477" s="49" t="s">
        <v>5251</v>
      </c>
      <c r="R477" s="49" t="s">
        <v>5252</v>
      </c>
      <c r="S477" s="49" t="s">
        <v>5253</v>
      </c>
      <c r="T477" s="49" t="s">
        <v>5254</v>
      </c>
    </row>
    <row r="478" spans="1:21" x14ac:dyDescent="0.2">
      <c r="A478" s="49" t="s">
        <v>30</v>
      </c>
      <c r="D478" s="49" t="s">
        <v>14762</v>
      </c>
      <c r="G478" s="49" t="s">
        <v>14763</v>
      </c>
      <c r="H478" s="49" t="s">
        <v>31119</v>
      </c>
      <c r="I478" s="49" t="s">
        <v>31128</v>
      </c>
      <c r="J478" s="49" t="s">
        <v>31191</v>
      </c>
      <c r="K478" s="49" t="s">
        <v>31200</v>
      </c>
      <c r="L478" s="49" t="s">
        <v>14764</v>
      </c>
      <c r="M478" s="49" t="s">
        <v>14765</v>
      </c>
      <c r="N478" s="49" t="s">
        <v>14766</v>
      </c>
      <c r="O478" s="49" t="s">
        <v>31137</v>
      </c>
      <c r="P478" s="49" t="s">
        <v>31146</v>
      </c>
      <c r="Q478" s="49" t="s">
        <v>31155</v>
      </c>
      <c r="R478" s="49" t="s">
        <v>31164</v>
      </c>
      <c r="S478" s="49" t="s">
        <v>31173</v>
      </c>
      <c r="T478" s="49" t="s">
        <v>31182</v>
      </c>
    </row>
    <row r="479" spans="1:21" x14ac:dyDescent="0.2">
      <c r="A479" s="49" t="s">
        <v>30</v>
      </c>
      <c r="D479" s="49" t="s">
        <v>14767</v>
      </c>
      <c r="G479" s="49" t="s">
        <v>14768</v>
      </c>
      <c r="H479" s="49" t="s">
        <v>31120</v>
      </c>
      <c r="I479" s="49" t="s">
        <v>31129</v>
      </c>
      <c r="J479" s="49" t="s">
        <v>31192</v>
      </c>
      <c r="K479" s="49" t="s">
        <v>31201</v>
      </c>
      <c r="L479" s="49" t="s">
        <v>14769</v>
      </c>
      <c r="M479" s="49" t="s">
        <v>14770</v>
      </c>
      <c r="N479" s="49" t="s">
        <v>14771</v>
      </c>
      <c r="O479" s="49" t="s">
        <v>31138</v>
      </c>
      <c r="P479" s="49" t="s">
        <v>31147</v>
      </c>
      <c r="Q479" s="49" t="s">
        <v>31156</v>
      </c>
      <c r="R479" s="49" t="s">
        <v>31165</v>
      </c>
      <c r="S479" s="49" t="s">
        <v>31174</v>
      </c>
      <c r="T479" s="49" t="s">
        <v>31183</v>
      </c>
    </row>
    <row r="480" spans="1:21" x14ac:dyDescent="0.2">
      <c r="A480" s="49" t="s">
        <v>30</v>
      </c>
      <c r="D480" s="49" t="s">
        <v>14772</v>
      </c>
      <c r="G480" s="49" t="s">
        <v>14773</v>
      </c>
      <c r="H480" s="49" t="s">
        <v>31121</v>
      </c>
      <c r="I480" s="49" t="s">
        <v>31130</v>
      </c>
      <c r="J480" s="49" t="s">
        <v>31193</v>
      </c>
      <c r="K480" s="49" t="s">
        <v>31202</v>
      </c>
      <c r="L480" s="49" t="s">
        <v>14774</v>
      </c>
      <c r="M480" s="49" t="s">
        <v>14775</v>
      </c>
      <c r="N480" s="49" t="s">
        <v>14776</v>
      </c>
      <c r="O480" s="49" t="s">
        <v>31139</v>
      </c>
      <c r="P480" s="49" t="s">
        <v>31148</v>
      </c>
      <c r="Q480" s="49" t="s">
        <v>31157</v>
      </c>
      <c r="R480" s="49" t="s">
        <v>31166</v>
      </c>
      <c r="S480" s="49" t="s">
        <v>31175</v>
      </c>
      <c r="T480" s="49" t="s">
        <v>31184</v>
      </c>
    </row>
    <row r="481" spans="1:21" x14ac:dyDescent="0.2">
      <c r="A481" s="49" t="s">
        <v>30</v>
      </c>
      <c r="D481" s="49" t="s">
        <v>5259</v>
      </c>
      <c r="G481" s="49" t="s">
        <v>14777</v>
      </c>
      <c r="H481" s="49" t="s">
        <v>5260</v>
      </c>
      <c r="I481" s="49" t="s">
        <v>5261</v>
      </c>
      <c r="J481" s="49" t="s">
        <v>5262</v>
      </c>
      <c r="K481" s="49" t="s">
        <v>5263</v>
      </c>
      <c r="L481" s="49" t="s">
        <v>5264</v>
      </c>
      <c r="M481" s="49" t="s">
        <v>5265</v>
      </c>
      <c r="N481" s="49" t="s">
        <v>5266</v>
      </c>
      <c r="O481" s="49" t="s">
        <v>5267</v>
      </c>
      <c r="P481" s="49" t="s">
        <v>5268</v>
      </c>
      <c r="Q481" s="49" t="s">
        <v>5269</v>
      </c>
      <c r="R481" s="49" t="s">
        <v>5270</v>
      </c>
      <c r="S481" s="49" t="s">
        <v>5271</v>
      </c>
      <c r="T481" s="49" t="s">
        <v>5272</v>
      </c>
    </row>
    <row r="482" spans="1:21" x14ac:dyDescent="0.2">
      <c r="A482" s="49" t="s">
        <v>30</v>
      </c>
      <c r="D482" s="49" t="s">
        <v>5273</v>
      </c>
      <c r="G482" s="49" t="s">
        <v>14778</v>
      </c>
      <c r="H482" s="49" t="s">
        <v>5274</v>
      </c>
      <c r="I482" s="49" t="s">
        <v>5275</v>
      </c>
      <c r="J482" s="49" t="s">
        <v>5276</v>
      </c>
      <c r="K482" s="49" t="s">
        <v>5277</v>
      </c>
      <c r="L482" s="49" t="s">
        <v>5278</v>
      </c>
      <c r="M482" s="49" t="s">
        <v>5279</v>
      </c>
      <c r="N482" s="49" t="s">
        <v>5280</v>
      </c>
      <c r="O482" s="49" t="s">
        <v>5281</v>
      </c>
      <c r="P482" s="49" t="s">
        <v>5282</v>
      </c>
      <c r="Q482" s="49" t="s">
        <v>5283</v>
      </c>
      <c r="R482" s="49" t="s">
        <v>5284</v>
      </c>
      <c r="S482" s="49" t="s">
        <v>5285</v>
      </c>
      <c r="T482" s="49" t="s">
        <v>5286</v>
      </c>
    </row>
    <row r="483" spans="1:21" x14ac:dyDescent="0.2">
      <c r="A483" s="49" t="s">
        <v>30</v>
      </c>
      <c r="D483" s="49" t="s">
        <v>5287</v>
      </c>
      <c r="G483" s="49" t="s">
        <v>14779</v>
      </c>
      <c r="H483" s="49" t="s">
        <v>5288</v>
      </c>
      <c r="I483" s="49" t="s">
        <v>5289</v>
      </c>
      <c r="J483" s="49" t="s">
        <v>5290</v>
      </c>
      <c r="K483" s="49" t="s">
        <v>5291</v>
      </c>
      <c r="L483" s="49" t="s">
        <v>5292</v>
      </c>
      <c r="M483" s="49" t="s">
        <v>5293</v>
      </c>
      <c r="N483" s="49" t="s">
        <v>5294</v>
      </c>
      <c r="O483" s="49" t="s">
        <v>5295</v>
      </c>
      <c r="P483" s="49" t="s">
        <v>5296</v>
      </c>
      <c r="Q483" s="49" t="s">
        <v>5297</v>
      </c>
      <c r="R483" s="49" t="s">
        <v>5298</v>
      </c>
      <c r="S483" s="49" t="s">
        <v>5299</v>
      </c>
      <c r="T483" s="49" t="s">
        <v>5300</v>
      </c>
    </row>
    <row r="484" spans="1:21" x14ac:dyDescent="0.2">
      <c r="A484" s="49" t="s">
        <v>30</v>
      </c>
      <c r="D484" s="49" t="s">
        <v>9930</v>
      </c>
      <c r="G484" s="49" t="s">
        <v>14780</v>
      </c>
      <c r="H484" s="49" t="s">
        <v>9931</v>
      </c>
      <c r="I484" s="49" t="s">
        <v>9932</v>
      </c>
      <c r="J484" s="49" t="s">
        <v>9933</v>
      </c>
      <c r="K484" s="49" t="s">
        <v>9934</v>
      </c>
      <c r="L484" s="49" t="s">
        <v>9935</v>
      </c>
      <c r="M484" s="49" t="s">
        <v>9936</v>
      </c>
      <c r="N484" s="49" t="s">
        <v>9937</v>
      </c>
      <c r="O484" s="49" t="s">
        <v>12538</v>
      </c>
      <c r="P484" s="49" t="s">
        <v>12541</v>
      </c>
      <c r="Q484" s="49" t="s">
        <v>12544</v>
      </c>
      <c r="R484" s="49" t="s">
        <v>12547</v>
      </c>
      <c r="S484" s="49" t="s">
        <v>12550</v>
      </c>
      <c r="T484" s="49" t="s">
        <v>12553</v>
      </c>
    </row>
    <row r="485" spans="1:21" x14ac:dyDescent="0.2">
      <c r="A485" s="49" t="s">
        <v>30</v>
      </c>
      <c r="D485" s="49" t="s">
        <v>9938</v>
      </c>
      <c r="G485" s="49" t="s">
        <v>14781</v>
      </c>
      <c r="H485" s="49" t="s">
        <v>9939</v>
      </c>
      <c r="I485" s="49" t="s">
        <v>9940</v>
      </c>
      <c r="J485" s="49" t="s">
        <v>9941</v>
      </c>
      <c r="K485" s="49" t="s">
        <v>9942</v>
      </c>
      <c r="L485" s="49" t="s">
        <v>9943</v>
      </c>
      <c r="M485" s="49" t="s">
        <v>9944</v>
      </c>
      <c r="N485" s="49" t="s">
        <v>9945</v>
      </c>
      <c r="O485" s="49" t="s">
        <v>12539</v>
      </c>
      <c r="P485" s="49" t="s">
        <v>12542</v>
      </c>
      <c r="Q485" s="49" t="s">
        <v>12545</v>
      </c>
      <c r="R485" s="49" t="s">
        <v>12548</v>
      </c>
      <c r="S485" s="49" t="s">
        <v>12551</v>
      </c>
      <c r="T485" s="49" t="s">
        <v>12554</v>
      </c>
    </row>
    <row r="486" spans="1:21" x14ac:dyDescent="0.2">
      <c r="A486" s="49" t="s">
        <v>30</v>
      </c>
      <c r="D486" s="49" t="s">
        <v>11009</v>
      </c>
      <c r="G486" s="49" t="s">
        <v>14782</v>
      </c>
      <c r="H486" s="49" t="s">
        <v>12536</v>
      </c>
      <c r="I486" s="49" t="s">
        <v>12537</v>
      </c>
      <c r="J486" s="49" t="s">
        <v>12556</v>
      </c>
      <c r="K486" s="49" t="s">
        <v>12557</v>
      </c>
      <c r="L486" s="49" t="s">
        <v>11010</v>
      </c>
      <c r="M486" s="49" t="s">
        <v>11011</v>
      </c>
      <c r="N486" s="49" t="s">
        <v>11012</v>
      </c>
      <c r="O486" s="49" t="s">
        <v>12540</v>
      </c>
      <c r="P486" s="49" t="s">
        <v>12543</v>
      </c>
      <c r="Q486" s="49" t="s">
        <v>12546</v>
      </c>
      <c r="R486" s="49" t="s">
        <v>12549</v>
      </c>
      <c r="S486" s="49" t="s">
        <v>12552</v>
      </c>
      <c r="T486" s="49" t="s">
        <v>12555</v>
      </c>
    </row>
    <row r="487" spans="1:21" x14ac:dyDescent="0.2">
      <c r="A487" s="49" t="s">
        <v>30</v>
      </c>
      <c r="D487" s="49" t="s">
        <v>14783</v>
      </c>
      <c r="G487" s="49" t="s">
        <v>14784</v>
      </c>
      <c r="H487" s="49" t="s">
        <v>31122</v>
      </c>
      <c r="I487" s="49" t="s">
        <v>31131</v>
      </c>
      <c r="J487" s="49" t="s">
        <v>31194</v>
      </c>
      <c r="K487" s="49" t="s">
        <v>31203</v>
      </c>
      <c r="L487" s="49" t="s">
        <v>14785</v>
      </c>
      <c r="M487" s="49" t="s">
        <v>14786</v>
      </c>
      <c r="N487" s="49" t="s">
        <v>14787</v>
      </c>
      <c r="O487" s="49" t="s">
        <v>31140</v>
      </c>
      <c r="P487" s="49" t="s">
        <v>31149</v>
      </c>
      <c r="Q487" s="49" t="s">
        <v>31158</v>
      </c>
      <c r="R487" s="49" t="s">
        <v>31167</v>
      </c>
      <c r="S487" s="49" t="s">
        <v>31176</v>
      </c>
      <c r="T487" s="49" t="s">
        <v>31185</v>
      </c>
    </row>
    <row r="488" spans="1:21" x14ac:dyDescent="0.2">
      <c r="A488" s="49" t="s">
        <v>30</v>
      </c>
      <c r="D488" s="49" t="s">
        <v>14788</v>
      </c>
      <c r="G488" s="49" t="s">
        <v>14789</v>
      </c>
      <c r="H488" s="49" t="s">
        <v>31123</v>
      </c>
      <c r="I488" s="49" t="s">
        <v>31132</v>
      </c>
      <c r="J488" s="49" t="s">
        <v>31195</v>
      </c>
      <c r="K488" s="49" t="s">
        <v>31204</v>
      </c>
      <c r="L488" s="49" t="s">
        <v>14790</v>
      </c>
      <c r="M488" s="49" t="s">
        <v>14791</v>
      </c>
      <c r="N488" s="49" t="s">
        <v>14792</v>
      </c>
      <c r="O488" s="49" t="s">
        <v>31141</v>
      </c>
      <c r="P488" s="49" t="s">
        <v>31150</v>
      </c>
      <c r="Q488" s="49" t="s">
        <v>31159</v>
      </c>
      <c r="R488" s="49" t="s">
        <v>31168</v>
      </c>
      <c r="S488" s="49" t="s">
        <v>31177</v>
      </c>
      <c r="T488" s="49" t="s">
        <v>31186</v>
      </c>
    </row>
    <row r="489" spans="1:21" x14ac:dyDescent="0.2">
      <c r="A489" s="49" t="s">
        <v>30</v>
      </c>
      <c r="D489" s="49" t="s">
        <v>14793</v>
      </c>
      <c r="G489" s="49" t="s">
        <v>14794</v>
      </c>
      <c r="H489" s="49" t="s">
        <v>31124</v>
      </c>
      <c r="I489" s="49" t="s">
        <v>31133</v>
      </c>
      <c r="J489" s="49" t="s">
        <v>31196</v>
      </c>
      <c r="K489" s="49" t="s">
        <v>31205</v>
      </c>
      <c r="L489" s="49" t="s">
        <v>14795</v>
      </c>
      <c r="M489" s="49" t="s">
        <v>14796</v>
      </c>
      <c r="N489" s="49" t="s">
        <v>14797</v>
      </c>
      <c r="O489" s="49" t="s">
        <v>31142</v>
      </c>
      <c r="P489" s="49" t="s">
        <v>31151</v>
      </c>
      <c r="Q489" s="49" t="s">
        <v>31160</v>
      </c>
      <c r="R489" s="49" t="s">
        <v>31169</v>
      </c>
      <c r="S489" s="49" t="s">
        <v>31178</v>
      </c>
      <c r="T489" s="49" t="s">
        <v>31187</v>
      </c>
    </row>
    <row r="490" spans="1:21" x14ac:dyDescent="0.2">
      <c r="A490" s="49" t="s">
        <v>30</v>
      </c>
      <c r="D490" s="49" t="s">
        <v>5302</v>
      </c>
      <c r="G490" s="49" t="s">
        <v>14798</v>
      </c>
      <c r="H490" s="49" t="s">
        <v>5303</v>
      </c>
      <c r="I490" s="49" t="s">
        <v>5304</v>
      </c>
      <c r="J490" s="49" t="s">
        <v>5305</v>
      </c>
      <c r="K490" s="49" t="s">
        <v>5306</v>
      </c>
      <c r="L490" s="49" t="s">
        <v>5307</v>
      </c>
      <c r="M490" s="49" t="s">
        <v>5308</v>
      </c>
      <c r="N490" s="49" t="s">
        <v>5309</v>
      </c>
      <c r="O490" s="49" t="s">
        <v>5310</v>
      </c>
      <c r="P490" s="49" t="s">
        <v>5311</v>
      </c>
      <c r="Q490" s="49" t="s">
        <v>5312</v>
      </c>
      <c r="R490" s="49" t="s">
        <v>5313</v>
      </c>
      <c r="S490" s="49" t="s">
        <v>5314</v>
      </c>
      <c r="T490" s="49" t="s">
        <v>5315</v>
      </c>
    </row>
    <row r="491" spans="1:21" x14ac:dyDescent="0.2">
      <c r="A491" s="49" t="s">
        <v>30</v>
      </c>
      <c r="D491" s="49" t="s">
        <v>11016</v>
      </c>
      <c r="G491" s="49" t="s">
        <v>14799</v>
      </c>
      <c r="H491" s="49" t="s">
        <v>11017</v>
      </c>
      <c r="I491" s="49" t="s">
        <v>11018</v>
      </c>
      <c r="J491" s="49" t="s">
        <v>11019</v>
      </c>
      <c r="K491" s="49" t="s">
        <v>11020</v>
      </c>
      <c r="L491" s="49" t="s">
        <v>11021</v>
      </c>
      <c r="M491" s="49" t="s">
        <v>11022</v>
      </c>
      <c r="N491" s="49" t="s">
        <v>11023</v>
      </c>
      <c r="O491" s="49" t="s">
        <v>11024</v>
      </c>
      <c r="P491" s="49" t="s">
        <v>11025</v>
      </c>
      <c r="Q491" s="49" t="s">
        <v>11026</v>
      </c>
      <c r="R491" s="49" t="s">
        <v>11027</v>
      </c>
      <c r="S491" s="49" t="s">
        <v>11028</v>
      </c>
      <c r="T491" s="49" t="s">
        <v>11029</v>
      </c>
    </row>
    <row r="492" spans="1:21" x14ac:dyDescent="0.2">
      <c r="A492" s="49" t="s">
        <v>30</v>
      </c>
    </row>
    <row r="493" spans="1:21" x14ac:dyDescent="0.2">
      <c r="A493" s="49" t="s">
        <v>30</v>
      </c>
      <c r="E493" s="49" t="s">
        <v>31</v>
      </c>
      <c r="F493" s="49" t="s">
        <v>31</v>
      </c>
      <c r="G493" s="49" t="s">
        <v>31</v>
      </c>
      <c r="J493" s="49" t="s">
        <v>31</v>
      </c>
      <c r="K493" s="49" t="s">
        <v>31</v>
      </c>
      <c r="L493" s="49" t="s">
        <v>31</v>
      </c>
      <c r="M493" s="49" t="s">
        <v>31</v>
      </c>
    </row>
    <row r="494" spans="1:21" x14ac:dyDescent="0.2">
      <c r="A494" s="49" t="s">
        <v>30</v>
      </c>
      <c r="D494" s="49" t="s">
        <v>14800</v>
      </c>
      <c r="E494" s="49" t="s">
        <v>4805</v>
      </c>
      <c r="F494" s="49" t="s">
        <v>14801</v>
      </c>
      <c r="H494" s="49" t="s">
        <v>14802</v>
      </c>
      <c r="O494" s="49" t="s">
        <v>14803</v>
      </c>
      <c r="P494" s="49" t="s">
        <v>14804</v>
      </c>
      <c r="Q494" s="49" t="s">
        <v>14805</v>
      </c>
      <c r="R494" s="49" t="s">
        <v>14806</v>
      </c>
      <c r="S494" s="49" t="s">
        <v>14807</v>
      </c>
      <c r="T494" s="49" t="s">
        <v>14808</v>
      </c>
      <c r="U494" s="49" t="s">
        <v>14809</v>
      </c>
    </row>
    <row r="495" spans="1:21" x14ac:dyDescent="0.2">
      <c r="A495" s="49" t="s">
        <v>30</v>
      </c>
      <c r="D495" s="49" t="s">
        <v>14810</v>
      </c>
      <c r="G495" s="49" t="s">
        <v>14811</v>
      </c>
      <c r="H495" s="49" t="s">
        <v>31036</v>
      </c>
      <c r="I495" s="49" t="s">
        <v>31044</v>
      </c>
      <c r="J495" s="49" t="s">
        <v>31100</v>
      </c>
      <c r="K495" s="49" t="s">
        <v>31108</v>
      </c>
      <c r="L495" s="49" t="s">
        <v>14812</v>
      </c>
      <c r="M495" s="49" t="s">
        <v>14813</v>
      </c>
      <c r="N495" s="49" t="s">
        <v>14814</v>
      </c>
      <c r="O495" s="49" t="s">
        <v>31052</v>
      </c>
      <c r="P495" s="49" t="s">
        <v>31060</v>
      </c>
      <c r="Q495" s="49" t="s">
        <v>31068</v>
      </c>
      <c r="R495" s="49" t="s">
        <v>31076</v>
      </c>
      <c r="S495" s="49" t="s">
        <v>31084</v>
      </c>
      <c r="T495" s="49" t="s">
        <v>31092</v>
      </c>
    </row>
    <row r="496" spans="1:21" x14ac:dyDescent="0.2">
      <c r="A496" s="49" t="s">
        <v>30</v>
      </c>
      <c r="D496" s="49" t="s">
        <v>14815</v>
      </c>
      <c r="G496" s="49" t="s">
        <v>14816</v>
      </c>
      <c r="H496" s="49" t="s">
        <v>31037</v>
      </c>
      <c r="I496" s="49" t="s">
        <v>31045</v>
      </c>
      <c r="J496" s="49" t="s">
        <v>31101</v>
      </c>
      <c r="K496" s="49" t="s">
        <v>31109</v>
      </c>
      <c r="L496" s="49" t="s">
        <v>14817</v>
      </c>
      <c r="M496" s="49" t="s">
        <v>14818</v>
      </c>
      <c r="N496" s="49" t="s">
        <v>14819</v>
      </c>
      <c r="O496" s="49" t="s">
        <v>31053</v>
      </c>
      <c r="P496" s="49" t="s">
        <v>31061</v>
      </c>
      <c r="Q496" s="49" t="s">
        <v>31069</v>
      </c>
      <c r="R496" s="49" t="s">
        <v>31077</v>
      </c>
      <c r="S496" s="49" t="s">
        <v>31085</v>
      </c>
      <c r="T496" s="49" t="s">
        <v>31093</v>
      </c>
    </row>
    <row r="497" spans="1:20" x14ac:dyDescent="0.2">
      <c r="A497" s="49" t="s">
        <v>30</v>
      </c>
      <c r="D497" s="49" t="s">
        <v>5317</v>
      </c>
      <c r="G497" s="49" t="s">
        <v>14820</v>
      </c>
      <c r="H497" s="49" t="s">
        <v>5318</v>
      </c>
      <c r="I497" s="49" t="s">
        <v>5319</v>
      </c>
      <c r="J497" s="49" t="s">
        <v>5320</v>
      </c>
      <c r="K497" s="49" t="s">
        <v>5321</v>
      </c>
      <c r="L497" s="49" t="s">
        <v>5322</v>
      </c>
      <c r="M497" s="49" t="s">
        <v>5323</v>
      </c>
      <c r="N497" s="49" t="s">
        <v>5324</v>
      </c>
      <c r="O497" s="49" t="s">
        <v>5325</v>
      </c>
      <c r="P497" s="49" t="s">
        <v>5326</v>
      </c>
      <c r="Q497" s="49" t="s">
        <v>5327</v>
      </c>
      <c r="R497" s="49" t="s">
        <v>5328</v>
      </c>
      <c r="S497" s="49" t="s">
        <v>5329</v>
      </c>
      <c r="T497" s="49" t="s">
        <v>5330</v>
      </c>
    </row>
    <row r="498" spans="1:20" x14ac:dyDescent="0.2">
      <c r="A498" s="49" t="s">
        <v>30</v>
      </c>
      <c r="D498" s="49" t="s">
        <v>11038</v>
      </c>
      <c r="G498" s="49" t="s">
        <v>14821</v>
      </c>
      <c r="H498" s="49" t="s">
        <v>11039</v>
      </c>
      <c r="I498" s="49" t="s">
        <v>11040</v>
      </c>
      <c r="J498" s="49" t="s">
        <v>11041</v>
      </c>
      <c r="K498" s="49" t="s">
        <v>11042</v>
      </c>
      <c r="L498" s="49" t="s">
        <v>11043</v>
      </c>
      <c r="M498" s="49" t="s">
        <v>11044</v>
      </c>
      <c r="N498" s="49" t="s">
        <v>11045</v>
      </c>
      <c r="O498" s="49" t="s">
        <v>11046</v>
      </c>
      <c r="P498" s="49" t="s">
        <v>11047</v>
      </c>
      <c r="Q498" s="49" t="s">
        <v>11048</v>
      </c>
      <c r="R498" s="49" t="s">
        <v>11049</v>
      </c>
      <c r="S498" s="49" t="s">
        <v>11050</v>
      </c>
      <c r="T498" s="49" t="s">
        <v>11051</v>
      </c>
    </row>
    <row r="499" spans="1:20" x14ac:dyDescent="0.2">
      <c r="A499" s="49" t="s">
        <v>30</v>
      </c>
      <c r="D499" s="49" t="s">
        <v>11052</v>
      </c>
      <c r="G499" s="49" t="s">
        <v>14822</v>
      </c>
      <c r="H499" s="49" t="s">
        <v>11053</v>
      </c>
      <c r="I499" s="49" t="s">
        <v>11054</v>
      </c>
      <c r="J499" s="49" t="s">
        <v>11055</v>
      </c>
      <c r="K499" s="49" t="s">
        <v>11056</v>
      </c>
      <c r="L499" s="49" t="s">
        <v>11057</v>
      </c>
      <c r="M499" s="49" t="s">
        <v>11058</v>
      </c>
      <c r="N499" s="49" t="s">
        <v>11059</v>
      </c>
      <c r="O499" s="49" t="s">
        <v>11060</v>
      </c>
      <c r="P499" s="49" t="s">
        <v>11061</v>
      </c>
      <c r="Q499" s="49" t="s">
        <v>11062</v>
      </c>
      <c r="R499" s="49" t="s">
        <v>11063</v>
      </c>
      <c r="S499" s="49" t="s">
        <v>11064</v>
      </c>
      <c r="T499" s="49" t="s">
        <v>11065</v>
      </c>
    </row>
    <row r="500" spans="1:20" x14ac:dyDescent="0.2">
      <c r="A500" s="49" t="s">
        <v>30</v>
      </c>
      <c r="D500" s="49" t="s">
        <v>11066</v>
      </c>
      <c r="G500" s="49" t="s">
        <v>14823</v>
      </c>
      <c r="H500" s="49" t="s">
        <v>11067</v>
      </c>
      <c r="I500" s="49" t="s">
        <v>11068</v>
      </c>
      <c r="J500" s="49" t="s">
        <v>11069</v>
      </c>
      <c r="K500" s="49" t="s">
        <v>11070</v>
      </c>
      <c r="L500" s="49" t="s">
        <v>11071</v>
      </c>
      <c r="M500" s="49" t="s">
        <v>11072</v>
      </c>
      <c r="N500" s="49" t="s">
        <v>11073</v>
      </c>
      <c r="O500" s="49" t="s">
        <v>11074</v>
      </c>
      <c r="P500" s="49" t="s">
        <v>11075</v>
      </c>
      <c r="Q500" s="49" t="s">
        <v>11076</v>
      </c>
      <c r="R500" s="49" t="s">
        <v>11077</v>
      </c>
      <c r="S500" s="49" t="s">
        <v>11078</v>
      </c>
      <c r="T500" s="49" t="s">
        <v>11079</v>
      </c>
    </row>
    <row r="501" spans="1:20" x14ac:dyDescent="0.2">
      <c r="A501" s="49" t="s">
        <v>30</v>
      </c>
      <c r="D501" s="49" t="s">
        <v>14824</v>
      </c>
      <c r="G501" s="49" t="s">
        <v>14825</v>
      </c>
      <c r="H501" s="49" t="s">
        <v>31038</v>
      </c>
      <c r="I501" s="49" t="s">
        <v>31046</v>
      </c>
      <c r="J501" s="49" t="s">
        <v>31102</v>
      </c>
      <c r="K501" s="49" t="s">
        <v>31110</v>
      </c>
      <c r="L501" s="49" t="s">
        <v>14826</v>
      </c>
      <c r="M501" s="49" t="s">
        <v>14827</v>
      </c>
      <c r="N501" s="49" t="s">
        <v>14828</v>
      </c>
      <c r="O501" s="49" t="s">
        <v>31054</v>
      </c>
      <c r="P501" s="49" t="s">
        <v>31062</v>
      </c>
      <c r="Q501" s="49" t="s">
        <v>31070</v>
      </c>
      <c r="R501" s="49" t="s">
        <v>31078</v>
      </c>
      <c r="S501" s="49" t="s">
        <v>31086</v>
      </c>
      <c r="T501" s="49" t="s">
        <v>31094</v>
      </c>
    </row>
    <row r="502" spans="1:20" x14ac:dyDescent="0.2">
      <c r="A502" s="49" t="s">
        <v>30</v>
      </c>
      <c r="D502" s="49" t="s">
        <v>14829</v>
      </c>
      <c r="G502" s="49" t="s">
        <v>14830</v>
      </c>
      <c r="H502" s="49" t="s">
        <v>31039</v>
      </c>
      <c r="I502" s="49" t="s">
        <v>31047</v>
      </c>
      <c r="J502" s="49" t="s">
        <v>31103</v>
      </c>
      <c r="K502" s="49" t="s">
        <v>31111</v>
      </c>
      <c r="L502" s="49" t="s">
        <v>14831</v>
      </c>
      <c r="M502" s="49" t="s">
        <v>14832</v>
      </c>
      <c r="N502" s="49" t="s">
        <v>14833</v>
      </c>
      <c r="O502" s="49" t="s">
        <v>31055</v>
      </c>
      <c r="P502" s="49" t="s">
        <v>31063</v>
      </c>
      <c r="Q502" s="49" t="s">
        <v>31071</v>
      </c>
      <c r="R502" s="49" t="s">
        <v>31079</v>
      </c>
      <c r="S502" s="49" t="s">
        <v>31087</v>
      </c>
      <c r="T502" s="49" t="s">
        <v>31095</v>
      </c>
    </row>
    <row r="503" spans="1:20" x14ac:dyDescent="0.2">
      <c r="A503" s="49" t="s">
        <v>30</v>
      </c>
      <c r="D503" s="49" t="s">
        <v>14834</v>
      </c>
      <c r="G503" s="49" t="s">
        <v>14835</v>
      </c>
      <c r="H503" s="49" t="s">
        <v>31040</v>
      </c>
      <c r="I503" s="49" t="s">
        <v>31048</v>
      </c>
      <c r="J503" s="49" t="s">
        <v>31104</v>
      </c>
      <c r="K503" s="49" t="s">
        <v>31112</v>
      </c>
      <c r="L503" s="49" t="s">
        <v>14836</v>
      </c>
      <c r="M503" s="49" t="s">
        <v>14837</v>
      </c>
      <c r="N503" s="49" t="s">
        <v>14838</v>
      </c>
      <c r="O503" s="49" t="s">
        <v>31056</v>
      </c>
      <c r="P503" s="49" t="s">
        <v>31064</v>
      </c>
      <c r="Q503" s="49" t="s">
        <v>31072</v>
      </c>
      <c r="R503" s="49" t="s">
        <v>31080</v>
      </c>
      <c r="S503" s="49" t="s">
        <v>31088</v>
      </c>
      <c r="T503" s="49" t="s">
        <v>31096</v>
      </c>
    </row>
    <row r="504" spans="1:20" x14ac:dyDescent="0.2">
      <c r="A504" s="49" t="s">
        <v>30</v>
      </c>
      <c r="D504" s="49" t="s">
        <v>5332</v>
      </c>
      <c r="G504" s="49" t="s">
        <v>14839</v>
      </c>
      <c r="H504" s="49" t="s">
        <v>5333</v>
      </c>
      <c r="I504" s="49" t="s">
        <v>5334</v>
      </c>
      <c r="J504" s="49" t="s">
        <v>5335</v>
      </c>
      <c r="K504" s="49" t="s">
        <v>5336</v>
      </c>
      <c r="L504" s="49" t="s">
        <v>5337</v>
      </c>
      <c r="M504" s="49" t="s">
        <v>5338</v>
      </c>
      <c r="N504" s="49" t="s">
        <v>5339</v>
      </c>
      <c r="O504" s="49" t="s">
        <v>5340</v>
      </c>
      <c r="P504" s="49" t="s">
        <v>5341</v>
      </c>
      <c r="Q504" s="49" t="s">
        <v>5342</v>
      </c>
      <c r="R504" s="49" t="s">
        <v>5343</v>
      </c>
      <c r="S504" s="49" t="s">
        <v>5344</v>
      </c>
      <c r="T504" s="49" t="s">
        <v>5345</v>
      </c>
    </row>
    <row r="505" spans="1:20" x14ac:dyDescent="0.2">
      <c r="A505" s="49" t="s">
        <v>30</v>
      </c>
      <c r="D505" s="49" t="s">
        <v>5346</v>
      </c>
      <c r="G505" s="49" t="s">
        <v>14840</v>
      </c>
      <c r="H505" s="49" t="s">
        <v>5347</v>
      </c>
      <c r="I505" s="49" t="s">
        <v>5348</v>
      </c>
      <c r="J505" s="49" t="s">
        <v>5349</v>
      </c>
      <c r="K505" s="49" t="s">
        <v>5350</v>
      </c>
      <c r="L505" s="49" t="s">
        <v>5351</v>
      </c>
      <c r="M505" s="49" t="s">
        <v>5352</v>
      </c>
      <c r="N505" s="49" t="s">
        <v>5353</v>
      </c>
      <c r="O505" s="49" t="s">
        <v>5354</v>
      </c>
      <c r="P505" s="49" t="s">
        <v>5355</v>
      </c>
      <c r="Q505" s="49" t="s">
        <v>5356</v>
      </c>
      <c r="R505" s="49" t="s">
        <v>5357</v>
      </c>
      <c r="S505" s="49" t="s">
        <v>5358</v>
      </c>
      <c r="T505" s="49" t="s">
        <v>5359</v>
      </c>
    </row>
    <row r="506" spans="1:20" x14ac:dyDescent="0.2">
      <c r="A506" s="49" t="s">
        <v>30</v>
      </c>
      <c r="D506" s="49" t="s">
        <v>5360</v>
      </c>
      <c r="G506" s="49" t="s">
        <v>14841</v>
      </c>
      <c r="H506" s="49" t="s">
        <v>5361</v>
      </c>
      <c r="I506" s="49" t="s">
        <v>5362</v>
      </c>
      <c r="J506" s="49" t="s">
        <v>5363</v>
      </c>
      <c r="K506" s="49" t="s">
        <v>5364</v>
      </c>
      <c r="L506" s="49" t="s">
        <v>5365</v>
      </c>
      <c r="M506" s="49" t="s">
        <v>5366</v>
      </c>
      <c r="N506" s="49" t="s">
        <v>5367</v>
      </c>
      <c r="O506" s="49" t="s">
        <v>5368</v>
      </c>
      <c r="P506" s="49" t="s">
        <v>5369</v>
      </c>
      <c r="Q506" s="49" t="s">
        <v>5370</v>
      </c>
      <c r="R506" s="49" t="s">
        <v>5371</v>
      </c>
      <c r="S506" s="49" t="s">
        <v>5372</v>
      </c>
      <c r="T506" s="49" t="s">
        <v>5373</v>
      </c>
    </row>
    <row r="507" spans="1:20" x14ac:dyDescent="0.2">
      <c r="A507" s="49" t="s">
        <v>30</v>
      </c>
      <c r="D507" s="49" t="s">
        <v>14842</v>
      </c>
      <c r="G507" s="49" t="s">
        <v>14843</v>
      </c>
      <c r="H507" s="49" t="s">
        <v>31041</v>
      </c>
      <c r="I507" s="49" t="s">
        <v>31049</v>
      </c>
      <c r="J507" s="49" t="s">
        <v>31105</v>
      </c>
      <c r="K507" s="49" t="s">
        <v>31113</v>
      </c>
      <c r="L507" s="49" t="s">
        <v>14844</v>
      </c>
      <c r="M507" s="49" t="s">
        <v>14845</v>
      </c>
      <c r="N507" s="49" t="s">
        <v>14846</v>
      </c>
      <c r="O507" s="49" t="s">
        <v>31057</v>
      </c>
      <c r="P507" s="49" t="s">
        <v>31065</v>
      </c>
      <c r="Q507" s="49" t="s">
        <v>31073</v>
      </c>
      <c r="R507" s="49" t="s">
        <v>31081</v>
      </c>
      <c r="S507" s="49" t="s">
        <v>31089</v>
      </c>
      <c r="T507" s="49" t="s">
        <v>31097</v>
      </c>
    </row>
    <row r="508" spans="1:20" x14ac:dyDescent="0.2">
      <c r="A508" s="49" t="s">
        <v>30</v>
      </c>
      <c r="D508" s="49" t="s">
        <v>14847</v>
      </c>
      <c r="G508" s="49" t="s">
        <v>14848</v>
      </c>
      <c r="H508" s="49" t="s">
        <v>31042</v>
      </c>
      <c r="I508" s="49" t="s">
        <v>31050</v>
      </c>
      <c r="J508" s="49" t="s">
        <v>31106</v>
      </c>
      <c r="K508" s="49" t="s">
        <v>31114</v>
      </c>
      <c r="L508" s="49" t="s">
        <v>14849</v>
      </c>
      <c r="M508" s="49" t="s">
        <v>14850</v>
      </c>
      <c r="N508" s="49" t="s">
        <v>14851</v>
      </c>
      <c r="O508" s="49" t="s">
        <v>31058</v>
      </c>
      <c r="P508" s="49" t="s">
        <v>31066</v>
      </c>
      <c r="Q508" s="49" t="s">
        <v>31074</v>
      </c>
      <c r="R508" s="49" t="s">
        <v>31082</v>
      </c>
      <c r="S508" s="49" t="s">
        <v>31090</v>
      </c>
      <c r="T508" s="49" t="s">
        <v>31098</v>
      </c>
    </row>
    <row r="509" spans="1:20" x14ac:dyDescent="0.2">
      <c r="A509" s="49" t="s">
        <v>30</v>
      </c>
      <c r="D509" s="49" t="s">
        <v>14852</v>
      </c>
      <c r="G509" s="49" t="s">
        <v>14853</v>
      </c>
      <c r="H509" s="49" t="s">
        <v>31043</v>
      </c>
      <c r="I509" s="49" t="s">
        <v>31051</v>
      </c>
      <c r="J509" s="49" t="s">
        <v>31107</v>
      </c>
      <c r="K509" s="49" t="s">
        <v>31115</v>
      </c>
      <c r="L509" s="49" t="s">
        <v>14854</v>
      </c>
      <c r="M509" s="49" t="s">
        <v>14855</v>
      </c>
      <c r="N509" s="49" t="s">
        <v>14856</v>
      </c>
      <c r="O509" s="49" t="s">
        <v>31059</v>
      </c>
      <c r="P509" s="49" t="s">
        <v>31067</v>
      </c>
      <c r="Q509" s="49" t="s">
        <v>31075</v>
      </c>
      <c r="R509" s="49" t="s">
        <v>31083</v>
      </c>
      <c r="S509" s="49" t="s">
        <v>31091</v>
      </c>
      <c r="T509" s="49" t="s">
        <v>31099</v>
      </c>
    </row>
    <row r="510" spans="1:20" x14ac:dyDescent="0.2">
      <c r="A510" s="49" t="s">
        <v>30</v>
      </c>
      <c r="D510" s="49" t="s">
        <v>5374</v>
      </c>
      <c r="G510" s="49" t="s">
        <v>14857</v>
      </c>
      <c r="H510" s="49" t="s">
        <v>5375</v>
      </c>
      <c r="I510" s="49" t="s">
        <v>5376</v>
      </c>
      <c r="J510" s="49" t="s">
        <v>5377</v>
      </c>
      <c r="K510" s="49" t="s">
        <v>5378</v>
      </c>
      <c r="L510" s="49" t="s">
        <v>5379</v>
      </c>
      <c r="M510" s="49" t="s">
        <v>5380</v>
      </c>
      <c r="N510" s="49" t="s">
        <v>5381</v>
      </c>
      <c r="O510" s="49" t="s">
        <v>5382</v>
      </c>
      <c r="P510" s="49" t="s">
        <v>5383</v>
      </c>
      <c r="Q510" s="49" t="s">
        <v>5384</v>
      </c>
      <c r="R510" s="49" t="s">
        <v>5385</v>
      </c>
      <c r="S510" s="49" t="s">
        <v>5386</v>
      </c>
      <c r="T510" s="49" t="s">
        <v>5387</v>
      </c>
    </row>
    <row r="511" spans="1:20" x14ac:dyDescent="0.2">
      <c r="A511" s="49" t="s">
        <v>30</v>
      </c>
      <c r="D511" s="49" t="s">
        <v>5388</v>
      </c>
      <c r="G511" s="49" t="s">
        <v>14858</v>
      </c>
      <c r="H511" s="49" t="s">
        <v>5389</v>
      </c>
      <c r="I511" s="49" t="s">
        <v>5390</v>
      </c>
      <c r="J511" s="49" t="s">
        <v>5391</v>
      </c>
      <c r="K511" s="49" t="s">
        <v>5392</v>
      </c>
      <c r="L511" s="49" t="s">
        <v>5393</v>
      </c>
      <c r="M511" s="49" t="s">
        <v>5394</v>
      </c>
      <c r="N511" s="49" t="s">
        <v>5395</v>
      </c>
      <c r="O511" s="49" t="s">
        <v>5396</v>
      </c>
      <c r="P511" s="49" t="s">
        <v>5397</v>
      </c>
      <c r="Q511" s="49" t="s">
        <v>5398</v>
      </c>
      <c r="R511" s="49" t="s">
        <v>5399</v>
      </c>
      <c r="S511" s="49" t="s">
        <v>5400</v>
      </c>
      <c r="T511" s="49" t="s">
        <v>5401</v>
      </c>
    </row>
    <row r="512" spans="1:20" x14ac:dyDescent="0.2">
      <c r="A512" s="49" t="s">
        <v>30</v>
      </c>
      <c r="D512" s="49" t="s">
        <v>5402</v>
      </c>
      <c r="G512" s="49" t="s">
        <v>14859</v>
      </c>
      <c r="H512" s="49" t="s">
        <v>5403</v>
      </c>
      <c r="I512" s="49" t="s">
        <v>5404</v>
      </c>
      <c r="J512" s="49" t="s">
        <v>5405</v>
      </c>
      <c r="K512" s="49" t="s">
        <v>5406</v>
      </c>
      <c r="L512" s="49" t="s">
        <v>5407</v>
      </c>
      <c r="M512" s="49" t="s">
        <v>5408</v>
      </c>
      <c r="N512" s="49" t="s">
        <v>5409</v>
      </c>
      <c r="O512" s="49" t="s">
        <v>5410</v>
      </c>
      <c r="P512" s="49" t="s">
        <v>5411</v>
      </c>
      <c r="Q512" s="49" t="s">
        <v>5412</v>
      </c>
      <c r="R512" s="49" t="s">
        <v>5413</v>
      </c>
      <c r="S512" s="49" t="s">
        <v>5414</v>
      </c>
      <c r="T512" s="49" t="s">
        <v>5415</v>
      </c>
    </row>
    <row r="513" spans="1:21" x14ac:dyDescent="0.2">
      <c r="A513" s="49" t="s">
        <v>30</v>
      </c>
      <c r="D513" s="49" t="s">
        <v>9946</v>
      </c>
      <c r="G513" s="49" t="s">
        <v>14860</v>
      </c>
      <c r="H513" s="49" t="s">
        <v>9947</v>
      </c>
      <c r="I513" s="49" t="s">
        <v>9948</v>
      </c>
      <c r="J513" s="49" t="s">
        <v>9949</v>
      </c>
      <c r="K513" s="49" t="s">
        <v>9950</v>
      </c>
      <c r="L513" s="49" t="s">
        <v>9951</v>
      </c>
      <c r="M513" s="49" t="s">
        <v>9952</v>
      </c>
      <c r="N513" s="49" t="s">
        <v>9953</v>
      </c>
      <c r="O513" s="49" t="s">
        <v>12528</v>
      </c>
      <c r="P513" s="49" t="s">
        <v>12529</v>
      </c>
      <c r="Q513" s="49" t="s">
        <v>12530</v>
      </c>
      <c r="R513" s="49" t="s">
        <v>12531</v>
      </c>
      <c r="S513" s="49" t="s">
        <v>12532</v>
      </c>
      <c r="T513" s="49" t="s">
        <v>12533</v>
      </c>
    </row>
    <row r="514" spans="1:21" x14ac:dyDescent="0.2">
      <c r="A514" s="49" t="s">
        <v>30</v>
      </c>
    </row>
    <row r="515" spans="1:21" x14ac:dyDescent="0.2">
      <c r="A515" s="49" t="s">
        <v>30</v>
      </c>
      <c r="E515" s="49" t="s">
        <v>31</v>
      </c>
      <c r="F515" s="49" t="s">
        <v>31</v>
      </c>
      <c r="G515" s="49" t="s">
        <v>31</v>
      </c>
      <c r="J515" s="49" t="s">
        <v>31</v>
      </c>
      <c r="K515" s="49" t="s">
        <v>31</v>
      </c>
      <c r="L515" s="49" t="s">
        <v>31</v>
      </c>
      <c r="M515" s="49" t="s">
        <v>31</v>
      </c>
    </row>
    <row r="516" spans="1:21" x14ac:dyDescent="0.2">
      <c r="A516" s="49" t="s">
        <v>30</v>
      </c>
      <c r="D516" s="49" t="s">
        <v>14861</v>
      </c>
      <c r="E516" s="49" t="s">
        <v>4837</v>
      </c>
      <c r="F516" s="49" t="s">
        <v>14862</v>
      </c>
      <c r="H516" s="49" t="s">
        <v>14863</v>
      </c>
      <c r="O516" s="49" t="s">
        <v>14864</v>
      </c>
      <c r="P516" s="49" t="s">
        <v>14865</v>
      </c>
      <c r="Q516" s="49" t="s">
        <v>14866</v>
      </c>
      <c r="R516" s="49" t="s">
        <v>14867</v>
      </c>
      <c r="S516" s="49" t="s">
        <v>14868</v>
      </c>
      <c r="T516" s="49" t="s">
        <v>14869</v>
      </c>
      <c r="U516" s="49" t="s">
        <v>14870</v>
      </c>
    </row>
    <row r="517" spans="1:21" x14ac:dyDescent="0.2">
      <c r="A517" s="49" t="s">
        <v>30</v>
      </c>
      <c r="D517" s="49" t="s">
        <v>14871</v>
      </c>
      <c r="G517" s="49" t="s">
        <v>14872</v>
      </c>
      <c r="H517" s="49" t="s">
        <v>31026</v>
      </c>
      <c r="I517" s="49" t="s">
        <v>31027</v>
      </c>
      <c r="J517" s="49" t="s">
        <v>31034</v>
      </c>
      <c r="K517" s="49" t="s">
        <v>31035</v>
      </c>
      <c r="L517" s="49" t="s">
        <v>14873</v>
      </c>
      <c r="M517" s="49" t="s">
        <v>14874</v>
      </c>
      <c r="N517" s="49" t="s">
        <v>14875</v>
      </c>
      <c r="O517" s="49" t="s">
        <v>31028</v>
      </c>
      <c r="P517" s="49" t="s">
        <v>31029</v>
      </c>
      <c r="Q517" s="49" t="s">
        <v>31030</v>
      </c>
      <c r="R517" s="49" t="s">
        <v>31031</v>
      </c>
      <c r="S517" s="49" t="s">
        <v>31032</v>
      </c>
      <c r="T517" s="49" t="s">
        <v>31033</v>
      </c>
    </row>
    <row r="518" spans="1:21" x14ac:dyDescent="0.2">
      <c r="A518" s="49" t="s">
        <v>30</v>
      </c>
      <c r="D518" s="49" t="s">
        <v>5417</v>
      </c>
      <c r="G518" s="49" t="s">
        <v>14876</v>
      </c>
      <c r="H518" s="49" t="s">
        <v>5418</v>
      </c>
      <c r="I518" s="49" t="s">
        <v>5419</v>
      </c>
      <c r="J518" s="49" t="s">
        <v>5420</v>
      </c>
      <c r="K518" s="49" t="s">
        <v>5421</v>
      </c>
      <c r="L518" s="49" t="s">
        <v>5422</v>
      </c>
      <c r="M518" s="49" t="s">
        <v>5423</v>
      </c>
      <c r="N518" s="49" t="s">
        <v>5424</v>
      </c>
      <c r="O518" s="49" t="s">
        <v>5425</v>
      </c>
      <c r="P518" s="49" t="s">
        <v>5426</v>
      </c>
      <c r="Q518" s="49" t="s">
        <v>5427</v>
      </c>
      <c r="R518" s="49" t="s">
        <v>5428</v>
      </c>
      <c r="S518" s="49" t="s">
        <v>5429</v>
      </c>
      <c r="T518" s="49" t="s">
        <v>5430</v>
      </c>
    </row>
    <row r="519" spans="1:21" x14ac:dyDescent="0.2">
      <c r="A519" s="49" t="s">
        <v>30</v>
      </c>
      <c r="D519" s="49" t="s">
        <v>5431</v>
      </c>
      <c r="G519" s="49" t="s">
        <v>14877</v>
      </c>
      <c r="H519" s="49" t="s">
        <v>5432</v>
      </c>
      <c r="I519" s="49" t="s">
        <v>5433</v>
      </c>
      <c r="J519" s="49" t="s">
        <v>5434</v>
      </c>
      <c r="K519" s="49" t="s">
        <v>5435</v>
      </c>
      <c r="L519" s="49" t="s">
        <v>5436</v>
      </c>
      <c r="M519" s="49" t="s">
        <v>5437</v>
      </c>
      <c r="N519" s="49" t="s">
        <v>5438</v>
      </c>
      <c r="O519" s="49" t="s">
        <v>5439</v>
      </c>
      <c r="P519" s="49" t="s">
        <v>5440</v>
      </c>
      <c r="Q519" s="49" t="s">
        <v>5441</v>
      </c>
      <c r="R519" s="49" t="s">
        <v>5442</v>
      </c>
      <c r="S519" s="49" t="s">
        <v>5443</v>
      </c>
      <c r="T519" s="49" t="s">
        <v>5444</v>
      </c>
    </row>
    <row r="520" spans="1:21" x14ac:dyDescent="0.2">
      <c r="A520" s="49" t="s">
        <v>30</v>
      </c>
      <c r="D520" s="49" t="s">
        <v>5445</v>
      </c>
      <c r="G520" s="49" t="s">
        <v>14878</v>
      </c>
      <c r="H520" s="49" t="s">
        <v>5446</v>
      </c>
      <c r="I520" s="49" t="s">
        <v>5447</v>
      </c>
      <c r="J520" s="49" t="s">
        <v>5448</v>
      </c>
      <c r="K520" s="49" t="s">
        <v>5449</v>
      </c>
      <c r="L520" s="49" t="s">
        <v>5450</v>
      </c>
      <c r="M520" s="49" t="s">
        <v>5451</v>
      </c>
      <c r="N520" s="49" t="s">
        <v>5452</v>
      </c>
      <c r="O520" s="49" t="s">
        <v>5453</v>
      </c>
      <c r="P520" s="49" t="s">
        <v>5454</v>
      </c>
      <c r="Q520" s="49" t="s">
        <v>5455</v>
      </c>
      <c r="R520" s="49" t="s">
        <v>5456</v>
      </c>
      <c r="S520" s="49" t="s">
        <v>5457</v>
      </c>
      <c r="T520" s="49" t="s">
        <v>5458</v>
      </c>
    </row>
    <row r="521" spans="1:21" x14ac:dyDescent="0.2">
      <c r="A521" s="49" t="s">
        <v>30</v>
      </c>
      <c r="D521" s="49" t="s">
        <v>11100</v>
      </c>
      <c r="G521" s="49" t="s">
        <v>14879</v>
      </c>
      <c r="H521" s="49" t="s">
        <v>12496</v>
      </c>
      <c r="I521" s="49" t="s">
        <v>12499</v>
      </c>
      <c r="J521" s="49" t="s">
        <v>12520</v>
      </c>
      <c r="K521" s="49" t="s">
        <v>12523</v>
      </c>
      <c r="L521" s="49" t="s">
        <v>11101</v>
      </c>
      <c r="M521" s="49" t="s">
        <v>11102</v>
      </c>
      <c r="N521" s="49" t="s">
        <v>11103</v>
      </c>
      <c r="O521" s="49" t="s">
        <v>12502</v>
      </c>
      <c r="P521" s="49" t="s">
        <v>12505</v>
      </c>
      <c r="Q521" s="49" t="s">
        <v>12508</v>
      </c>
      <c r="R521" s="49" t="s">
        <v>12511</v>
      </c>
      <c r="S521" s="49" t="s">
        <v>12514</v>
      </c>
      <c r="T521" s="49" t="s">
        <v>12517</v>
      </c>
    </row>
    <row r="522" spans="1:21" x14ac:dyDescent="0.2">
      <c r="A522" s="49" t="s">
        <v>30</v>
      </c>
      <c r="D522" s="49" t="s">
        <v>11104</v>
      </c>
      <c r="G522" s="49" t="s">
        <v>14880</v>
      </c>
      <c r="H522" s="49" t="s">
        <v>12497</v>
      </c>
      <c r="I522" s="49" t="s">
        <v>12500</v>
      </c>
      <c r="J522" s="49" t="s">
        <v>12521</v>
      </c>
      <c r="K522" s="49" t="s">
        <v>12524</v>
      </c>
      <c r="L522" s="49" t="s">
        <v>11105</v>
      </c>
      <c r="M522" s="49" t="s">
        <v>11106</v>
      </c>
      <c r="N522" s="49" t="s">
        <v>11107</v>
      </c>
      <c r="O522" s="49" t="s">
        <v>12503</v>
      </c>
      <c r="P522" s="49" t="s">
        <v>12506</v>
      </c>
      <c r="Q522" s="49" t="s">
        <v>12509</v>
      </c>
      <c r="R522" s="49" t="s">
        <v>12512</v>
      </c>
      <c r="S522" s="49" t="s">
        <v>12515</v>
      </c>
      <c r="T522" s="49" t="s">
        <v>12518</v>
      </c>
    </row>
    <row r="523" spans="1:21" x14ac:dyDescent="0.2">
      <c r="A523" s="49" t="s">
        <v>30</v>
      </c>
      <c r="D523" s="49" t="s">
        <v>11108</v>
      </c>
      <c r="G523" s="49" t="s">
        <v>14881</v>
      </c>
      <c r="H523" s="49" t="s">
        <v>12498</v>
      </c>
      <c r="I523" s="49" t="s">
        <v>12501</v>
      </c>
      <c r="J523" s="49" t="s">
        <v>12522</v>
      </c>
      <c r="K523" s="49" t="s">
        <v>12525</v>
      </c>
      <c r="L523" s="49" t="s">
        <v>11109</v>
      </c>
      <c r="M523" s="49" t="s">
        <v>11110</v>
      </c>
      <c r="N523" s="49" t="s">
        <v>11111</v>
      </c>
      <c r="O523" s="49" t="s">
        <v>12504</v>
      </c>
      <c r="P523" s="49" t="s">
        <v>12507</v>
      </c>
      <c r="Q523" s="49" t="s">
        <v>12510</v>
      </c>
      <c r="R523" s="49" t="s">
        <v>12513</v>
      </c>
      <c r="S523" s="49" t="s">
        <v>12516</v>
      </c>
      <c r="T523" s="49" t="s">
        <v>12519</v>
      </c>
    </row>
    <row r="524" spans="1:21" x14ac:dyDescent="0.2">
      <c r="A524" s="49" t="s">
        <v>30</v>
      </c>
      <c r="D524" s="49" t="s">
        <v>5460</v>
      </c>
      <c r="G524" s="49" t="s">
        <v>14882</v>
      </c>
      <c r="H524" s="49" t="s">
        <v>5461</v>
      </c>
      <c r="I524" s="49" t="s">
        <v>5462</v>
      </c>
      <c r="J524" s="49" t="s">
        <v>5463</v>
      </c>
      <c r="K524" s="49" t="s">
        <v>5464</v>
      </c>
      <c r="L524" s="49" t="s">
        <v>5465</v>
      </c>
      <c r="M524" s="49" t="s">
        <v>5466</v>
      </c>
      <c r="N524" s="49" t="s">
        <v>5467</v>
      </c>
      <c r="O524" s="49" t="s">
        <v>5468</v>
      </c>
      <c r="P524" s="49" t="s">
        <v>5469</v>
      </c>
      <c r="Q524" s="49" t="s">
        <v>5470</v>
      </c>
      <c r="R524" s="49" t="s">
        <v>5471</v>
      </c>
      <c r="S524" s="49" t="s">
        <v>5472</v>
      </c>
      <c r="T524" s="49" t="s">
        <v>5473</v>
      </c>
    </row>
    <row r="525" spans="1:21" x14ac:dyDescent="0.2">
      <c r="A525" s="49" t="s">
        <v>30</v>
      </c>
    </row>
    <row r="526" spans="1:21" x14ac:dyDescent="0.2">
      <c r="A526" s="49" t="s">
        <v>30</v>
      </c>
      <c r="E526" s="49" t="s">
        <v>31</v>
      </c>
      <c r="F526" s="49" t="s">
        <v>31</v>
      </c>
      <c r="G526" s="49" t="s">
        <v>31</v>
      </c>
      <c r="J526" s="49" t="s">
        <v>31</v>
      </c>
      <c r="K526" s="49" t="s">
        <v>31</v>
      </c>
      <c r="L526" s="49" t="s">
        <v>31</v>
      </c>
      <c r="M526" s="49" t="s">
        <v>31</v>
      </c>
    </row>
    <row r="527" spans="1:21" x14ac:dyDescent="0.2">
      <c r="A527" s="49" t="s">
        <v>30</v>
      </c>
      <c r="D527" s="49" t="s">
        <v>14883</v>
      </c>
      <c r="E527" s="49" t="s">
        <v>4841</v>
      </c>
      <c r="F527" s="49" t="s">
        <v>14884</v>
      </c>
      <c r="H527" s="49" t="s">
        <v>14885</v>
      </c>
      <c r="O527" s="49" t="s">
        <v>14886</v>
      </c>
      <c r="P527" s="49" t="s">
        <v>14887</v>
      </c>
      <c r="Q527" s="49" t="s">
        <v>14888</v>
      </c>
      <c r="R527" s="49" t="s">
        <v>14889</v>
      </c>
      <c r="S527" s="49" t="s">
        <v>14890</v>
      </c>
      <c r="T527" s="49" t="s">
        <v>14891</v>
      </c>
      <c r="U527" s="49" t="s">
        <v>14892</v>
      </c>
    </row>
    <row r="528" spans="1:21" x14ac:dyDescent="0.2">
      <c r="A528" s="49" t="s">
        <v>30</v>
      </c>
      <c r="D528" s="49" t="s">
        <v>14893</v>
      </c>
      <c r="G528" s="49" t="s">
        <v>14894</v>
      </c>
      <c r="H528" s="49" t="s">
        <v>30966</v>
      </c>
      <c r="I528" s="49" t="s">
        <v>30972</v>
      </c>
      <c r="J528" s="49" t="s">
        <v>31014</v>
      </c>
      <c r="K528" s="49" t="s">
        <v>31020</v>
      </c>
      <c r="L528" s="49" t="s">
        <v>14895</v>
      </c>
      <c r="M528" s="49" t="s">
        <v>14896</v>
      </c>
      <c r="N528" s="49" t="s">
        <v>14897</v>
      </c>
      <c r="O528" s="49" t="s">
        <v>30978</v>
      </c>
      <c r="P528" s="49" t="s">
        <v>30984</v>
      </c>
      <c r="Q528" s="49" t="s">
        <v>30990</v>
      </c>
      <c r="R528" s="49" t="s">
        <v>30996</v>
      </c>
      <c r="S528" s="49" t="s">
        <v>31002</v>
      </c>
      <c r="T528" s="49" t="s">
        <v>31008</v>
      </c>
    </row>
    <row r="529" spans="1:20" x14ac:dyDescent="0.2">
      <c r="A529" s="49" t="s">
        <v>30</v>
      </c>
      <c r="D529" s="49" t="s">
        <v>14898</v>
      </c>
      <c r="G529" s="49" t="s">
        <v>14899</v>
      </c>
      <c r="H529" s="49" t="s">
        <v>30967</v>
      </c>
      <c r="I529" s="49" t="s">
        <v>30973</v>
      </c>
      <c r="J529" s="49" t="s">
        <v>31015</v>
      </c>
      <c r="K529" s="49" t="s">
        <v>31021</v>
      </c>
      <c r="L529" s="49" t="s">
        <v>14900</v>
      </c>
      <c r="M529" s="49" t="s">
        <v>14901</v>
      </c>
      <c r="N529" s="49" t="s">
        <v>14902</v>
      </c>
      <c r="O529" s="49" t="s">
        <v>30979</v>
      </c>
      <c r="P529" s="49" t="s">
        <v>30985</v>
      </c>
      <c r="Q529" s="49" t="s">
        <v>30991</v>
      </c>
      <c r="R529" s="49" t="s">
        <v>30997</v>
      </c>
      <c r="S529" s="49" t="s">
        <v>31003</v>
      </c>
      <c r="T529" s="49" t="s">
        <v>31009</v>
      </c>
    </row>
    <row r="530" spans="1:20" x14ac:dyDescent="0.2">
      <c r="A530" s="49" t="s">
        <v>30</v>
      </c>
      <c r="D530" s="49" t="s">
        <v>14903</v>
      </c>
      <c r="G530" s="49" t="s">
        <v>14904</v>
      </c>
      <c r="H530" s="49" t="s">
        <v>30968</v>
      </c>
      <c r="I530" s="49" t="s">
        <v>30974</v>
      </c>
      <c r="J530" s="49" t="s">
        <v>31016</v>
      </c>
      <c r="K530" s="49" t="s">
        <v>31022</v>
      </c>
      <c r="L530" s="49" t="s">
        <v>14905</v>
      </c>
      <c r="M530" s="49" t="s">
        <v>14906</v>
      </c>
      <c r="N530" s="49" t="s">
        <v>14907</v>
      </c>
      <c r="O530" s="49" t="s">
        <v>30980</v>
      </c>
      <c r="P530" s="49" t="s">
        <v>30986</v>
      </c>
      <c r="Q530" s="49" t="s">
        <v>30992</v>
      </c>
      <c r="R530" s="49" t="s">
        <v>30998</v>
      </c>
      <c r="S530" s="49" t="s">
        <v>31004</v>
      </c>
      <c r="T530" s="49" t="s">
        <v>31010</v>
      </c>
    </row>
    <row r="531" spans="1:20" x14ac:dyDescent="0.2">
      <c r="A531" s="49" t="s">
        <v>30</v>
      </c>
      <c r="D531" s="49" t="s">
        <v>11115</v>
      </c>
      <c r="G531" s="49" t="s">
        <v>14908</v>
      </c>
      <c r="H531" s="49" t="s">
        <v>12446</v>
      </c>
      <c r="I531" s="49" t="s">
        <v>12451</v>
      </c>
      <c r="J531" s="49" t="s">
        <v>12486</v>
      </c>
      <c r="K531" s="49" t="s">
        <v>12491</v>
      </c>
      <c r="L531" s="49" t="s">
        <v>11116</v>
      </c>
      <c r="M531" s="49" t="s">
        <v>11117</v>
      </c>
      <c r="N531" s="49" t="s">
        <v>11118</v>
      </c>
      <c r="O531" s="49" t="s">
        <v>12456</v>
      </c>
      <c r="P531" s="49" t="s">
        <v>12461</v>
      </c>
      <c r="Q531" s="49" t="s">
        <v>12466</v>
      </c>
      <c r="R531" s="49" t="s">
        <v>12471</v>
      </c>
      <c r="S531" s="49" t="s">
        <v>12476</v>
      </c>
      <c r="T531" s="49" t="s">
        <v>12481</v>
      </c>
    </row>
    <row r="532" spans="1:20" x14ac:dyDescent="0.2">
      <c r="A532" s="49" t="s">
        <v>30</v>
      </c>
      <c r="D532" s="49" t="s">
        <v>11119</v>
      </c>
      <c r="G532" s="49" t="s">
        <v>14909</v>
      </c>
      <c r="H532" s="49" t="s">
        <v>12447</v>
      </c>
      <c r="I532" s="49" t="s">
        <v>12452</v>
      </c>
      <c r="J532" s="49" t="s">
        <v>12487</v>
      </c>
      <c r="K532" s="49" t="s">
        <v>12492</v>
      </c>
      <c r="L532" s="49" t="s">
        <v>11120</v>
      </c>
      <c r="M532" s="49" t="s">
        <v>11121</v>
      </c>
      <c r="N532" s="49" t="s">
        <v>11122</v>
      </c>
      <c r="O532" s="49" t="s">
        <v>12457</v>
      </c>
      <c r="P532" s="49" t="s">
        <v>12462</v>
      </c>
      <c r="Q532" s="49" t="s">
        <v>12467</v>
      </c>
      <c r="R532" s="49" t="s">
        <v>12472</v>
      </c>
      <c r="S532" s="49" t="s">
        <v>12477</v>
      </c>
      <c r="T532" s="49" t="s">
        <v>12482</v>
      </c>
    </row>
    <row r="533" spans="1:20" x14ac:dyDescent="0.2">
      <c r="A533" s="49" t="s">
        <v>30</v>
      </c>
      <c r="D533" s="49" t="s">
        <v>5499</v>
      </c>
      <c r="G533" s="49" t="s">
        <v>14910</v>
      </c>
      <c r="H533" s="49" t="s">
        <v>5500</v>
      </c>
      <c r="I533" s="49" t="s">
        <v>5501</v>
      </c>
      <c r="J533" s="49" t="s">
        <v>5502</v>
      </c>
      <c r="K533" s="49" t="s">
        <v>5503</v>
      </c>
      <c r="L533" s="49" t="s">
        <v>5504</v>
      </c>
      <c r="M533" s="49" t="s">
        <v>5505</v>
      </c>
      <c r="N533" s="49" t="s">
        <v>5506</v>
      </c>
      <c r="O533" s="49" t="s">
        <v>5507</v>
      </c>
      <c r="P533" s="49" t="s">
        <v>5508</v>
      </c>
      <c r="Q533" s="49" t="s">
        <v>5509</v>
      </c>
      <c r="R533" s="49" t="s">
        <v>5510</v>
      </c>
      <c r="S533" s="49" t="s">
        <v>5511</v>
      </c>
      <c r="T533" s="49" t="s">
        <v>5512</v>
      </c>
    </row>
    <row r="534" spans="1:20" x14ac:dyDescent="0.2">
      <c r="A534" s="49" t="s">
        <v>30</v>
      </c>
      <c r="D534" s="49" t="s">
        <v>5513</v>
      </c>
      <c r="G534" s="49" t="s">
        <v>14911</v>
      </c>
      <c r="H534" s="49" t="s">
        <v>5514</v>
      </c>
      <c r="I534" s="49" t="s">
        <v>5515</v>
      </c>
      <c r="J534" s="49" t="s">
        <v>5516</v>
      </c>
      <c r="K534" s="49" t="s">
        <v>5517</v>
      </c>
      <c r="L534" s="49" t="s">
        <v>5518</v>
      </c>
      <c r="M534" s="49" t="s">
        <v>5519</v>
      </c>
      <c r="N534" s="49" t="s">
        <v>5520</v>
      </c>
      <c r="O534" s="49" t="s">
        <v>5521</v>
      </c>
      <c r="P534" s="49" t="s">
        <v>5522</v>
      </c>
      <c r="Q534" s="49" t="s">
        <v>5523</v>
      </c>
      <c r="R534" s="49" t="s">
        <v>5524</v>
      </c>
      <c r="S534" s="49" t="s">
        <v>5525</v>
      </c>
      <c r="T534" s="49" t="s">
        <v>5526</v>
      </c>
    </row>
    <row r="535" spans="1:20" x14ac:dyDescent="0.2">
      <c r="A535" s="49" t="s">
        <v>30</v>
      </c>
      <c r="D535" s="49" t="s">
        <v>5527</v>
      </c>
      <c r="G535" s="49" t="s">
        <v>14912</v>
      </c>
      <c r="H535" s="49" t="s">
        <v>5528</v>
      </c>
      <c r="I535" s="49" t="s">
        <v>5529</v>
      </c>
      <c r="J535" s="49" t="s">
        <v>5530</v>
      </c>
      <c r="K535" s="49" t="s">
        <v>5531</v>
      </c>
      <c r="L535" s="49" t="s">
        <v>5532</v>
      </c>
      <c r="M535" s="49" t="s">
        <v>5533</v>
      </c>
      <c r="N535" s="49" t="s">
        <v>5534</v>
      </c>
      <c r="O535" s="49" t="s">
        <v>5535</v>
      </c>
      <c r="P535" s="49" t="s">
        <v>5536</v>
      </c>
      <c r="Q535" s="49" t="s">
        <v>5537</v>
      </c>
      <c r="R535" s="49" t="s">
        <v>5538</v>
      </c>
      <c r="S535" s="49" t="s">
        <v>5539</v>
      </c>
      <c r="T535" s="49" t="s">
        <v>5540</v>
      </c>
    </row>
    <row r="536" spans="1:20" x14ac:dyDescent="0.2">
      <c r="A536" s="49" t="s">
        <v>30</v>
      </c>
      <c r="D536" s="49" t="s">
        <v>5541</v>
      </c>
      <c r="G536" s="49" t="s">
        <v>14913</v>
      </c>
      <c r="H536" s="49" t="s">
        <v>5542</v>
      </c>
      <c r="I536" s="49" t="s">
        <v>5543</v>
      </c>
      <c r="J536" s="49" t="s">
        <v>5544</v>
      </c>
      <c r="K536" s="49" t="s">
        <v>5545</v>
      </c>
      <c r="L536" s="49" t="s">
        <v>5546</v>
      </c>
      <c r="M536" s="49" t="s">
        <v>5547</v>
      </c>
      <c r="N536" s="49" t="s">
        <v>5548</v>
      </c>
      <c r="O536" s="49" t="s">
        <v>5549</v>
      </c>
      <c r="P536" s="49" t="s">
        <v>5550</v>
      </c>
      <c r="Q536" s="49" t="s">
        <v>5551</v>
      </c>
      <c r="R536" s="49" t="s">
        <v>5552</v>
      </c>
      <c r="S536" s="49" t="s">
        <v>5553</v>
      </c>
      <c r="T536" s="49" t="s">
        <v>5554</v>
      </c>
    </row>
    <row r="537" spans="1:20" x14ac:dyDescent="0.2">
      <c r="A537" s="49" t="s">
        <v>30</v>
      </c>
      <c r="D537" s="49" t="s">
        <v>11123</v>
      </c>
      <c r="G537" s="49" t="s">
        <v>14914</v>
      </c>
      <c r="H537" s="49" t="s">
        <v>12448</v>
      </c>
      <c r="I537" s="49" t="s">
        <v>12453</v>
      </c>
      <c r="J537" s="49" t="s">
        <v>12488</v>
      </c>
      <c r="K537" s="49" t="s">
        <v>12493</v>
      </c>
      <c r="L537" s="49" t="s">
        <v>11124</v>
      </c>
      <c r="M537" s="49" t="s">
        <v>11125</v>
      </c>
      <c r="N537" s="49" t="s">
        <v>11126</v>
      </c>
      <c r="O537" s="49" t="s">
        <v>12458</v>
      </c>
      <c r="P537" s="49" t="s">
        <v>12463</v>
      </c>
      <c r="Q537" s="49" t="s">
        <v>12468</v>
      </c>
      <c r="R537" s="49" t="s">
        <v>12473</v>
      </c>
      <c r="S537" s="49" t="s">
        <v>12478</v>
      </c>
      <c r="T537" s="49" t="s">
        <v>12483</v>
      </c>
    </row>
    <row r="538" spans="1:20" x14ac:dyDescent="0.2">
      <c r="A538" s="49" t="s">
        <v>30</v>
      </c>
      <c r="D538" s="49" t="s">
        <v>11127</v>
      </c>
      <c r="G538" s="49" t="s">
        <v>14915</v>
      </c>
      <c r="H538" s="49" t="s">
        <v>12449</v>
      </c>
      <c r="I538" s="49" t="s">
        <v>12454</v>
      </c>
      <c r="J538" s="49" t="s">
        <v>12489</v>
      </c>
      <c r="K538" s="49" t="s">
        <v>12494</v>
      </c>
      <c r="L538" s="49" t="s">
        <v>11128</v>
      </c>
      <c r="M538" s="49" t="s">
        <v>11129</v>
      </c>
      <c r="N538" s="49" t="s">
        <v>11130</v>
      </c>
      <c r="O538" s="49" t="s">
        <v>12459</v>
      </c>
      <c r="P538" s="49" t="s">
        <v>12464</v>
      </c>
      <c r="Q538" s="49" t="s">
        <v>12469</v>
      </c>
      <c r="R538" s="49" t="s">
        <v>12474</v>
      </c>
      <c r="S538" s="49" t="s">
        <v>12479</v>
      </c>
      <c r="T538" s="49" t="s">
        <v>12484</v>
      </c>
    </row>
    <row r="539" spans="1:20" x14ac:dyDescent="0.2">
      <c r="A539" s="49" t="s">
        <v>30</v>
      </c>
      <c r="D539" s="49" t="s">
        <v>11131</v>
      </c>
      <c r="G539" s="49" t="s">
        <v>14916</v>
      </c>
      <c r="H539" s="49" t="s">
        <v>12450</v>
      </c>
      <c r="I539" s="49" t="s">
        <v>12455</v>
      </c>
      <c r="J539" s="49" t="s">
        <v>12490</v>
      </c>
      <c r="K539" s="49" t="s">
        <v>12495</v>
      </c>
      <c r="L539" s="49" t="s">
        <v>11132</v>
      </c>
      <c r="M539" s="49" t="s">
        <v>11133</v>
      </c>
      <c r="N539" s="49" t="s">
        <v>11134</v>
      </c>
      <c r="O539" s="49" t="s">
        <v>12460</v>
      </c>
      <c r="P539" s="49" t="s">
        <v>12465</v>
      </c>
      <c r="Q539" s="49" t="s">
        <v>12470</v>
      </c>
      <c r="R539" s="49" t="s">
        <v>12475</v>
      </c>
      <c r="S539" s="49" t="s">
        <v>12480</v>
      </c>
      <c r="T539" s="49" t="s">
        <v>12485</v>
      </c>
    </row>
    <row r="540" spans="1:20" x14ac:dyDescent="0.2">
      <c r="A540" s="49" t="s">
        <v>30</v>
      </c>
      <c r="D540" s="49" t="s">
        <v>14917</v>
      </c>
      <c r="G540" s="49" t="s">
        <v>14918</v>
      </c>
      <c r="H540" s="49" t="s">
        <v>30969</v>
      </c>
      <c r="I540" s="49" t="s">
        <v>30975</v>
      </c>
      <c r="J540" s="49" t="s">
        <v>31017</v>
      </c>
      <c r="K540" s="49" t="s">
        <v>31023</v>
      </c>
      <c r="L540" s="49" t="s">
        <v>14919</v>
      </c>
      <c r="M540" s="49" t="s">
        <v>14920</v>
      </c>
      <c r="N540" s="49" t="s">
        <v>14921</v>
      </c>
      <c r="O540" s="49" t="s">
        <v>30981</v>
      </c>
      <c r="P540" s="49" t="s">
        <v>30987</v>
      </c>
      <c r="Q540" s="49" t="s">
        <v>30993</v>
      </c>
      <c r="R540" s="49" t="s">
        <v>30999</v>
      </c>
      <c r="S540" s="49" t="s">
        <v>31005</v>
      </c>
      <c r="T540" s="49" t="s">
        <v>31011</v>
      </c>
    </row>
    <row r="541" spans="1:20" x14ac:dyDescent="0.2">
      <c r="A541" s="49" t="s">
        <v>30</v>
      </c>
      <c r="D541" s="49" t="s">
        <v>14922</v>
      </c>
      <c r="G541" s="49" t="s">
        <v>14923</v>
      </c>
      <c r="H541" s="49" t="s">
        <v>30970</v>
      </c>
      <c r="I541" s="49" t="s">
        <v>30976</v>
      </c>
      <c r="J541" s="49" t="s">
        <v>31018</v>
      </c>
      <c r="K541" s="49" t="s">
        <v>31024</v>
      </c>
      <c r="L541" s="49" t="s">
        <v>14924</v>
      </c>
      <c r="M541" s="49" t="s">
        <v>14925</v>
      </c>
      <c r="N541" s="49" t="s">
        <v>14926</v>
      </c>
      <c r="O541" s="49" t="s">
        <v>30982</v>
      </c>
      <c r="P541" s="49" t="s">
        <v>30988</v>
      </c>
      <c r="Q541" s="49" t="s">
        <v>30994</v>
      </c>
      <c r="R541" s="49" t="s">
        <v>31000</v>
      </c>
      <c r="S541" s="49" t="s">
        <v>31006</v>
      </c>
      <c r="T541" s="49" t="s">
        <v>31012</v>
      </c>
    </row>
    <row r="542" spans="1:20" x14ac:dyDescent="0.2">
      <c r="A542" s="49" t="s">
        <v>30</v>
      </c>
      <c r="D542" s="49" t="s">
        <v>14927</v>
      </c>
      <c r="G542" s="49" t="s">
        <v>14928</v>
      </c>
      <c r="H542" s="49" t="s">
        <v>30971</v>
      </c>
      <c r="I542" s="49" t="s">
        <v>30977</v>
      </c>
      <c r="J542" s="49" t="s">
        <v>31019</v>
      </c>
      <c r="K542" s="49" t="s">
        <v>31025</v>
      </c>
      <c r="L542" s="49" t="s">
        <v>14929</v>
      </c>
      <c r="M542" s="49" t="s">
        <v>14930</v>
      </c>
      <c r="N542" s="49" t="s">
        <v>14931</v>
      </c>
      <c r="O542" s="49" t="s">
        <v>30983</v>
      </c>
      <c r="P542" s="49" t="s">
        <v>30989</v>
      </c>
      <c r="Q542" s="49" t="s">
        <v>30995</v>
      </c>
      <c r="R542" s="49" t="s">
        <v>31001</v>
      </c>
      <c r="S542" s="49" t="s">
        <v>31007</v>
      </c>
      <c r="T542" s="49" t="s">
        <v>31013</v>
      </c>
    </row>
    <row r="543" spans="1:20" x14ac:dyDescent="0.2">
      <c r="A543" s="49" t="s">
        <v>30</v>
      </c>
      <c r="D543" s="49" t="s">
        <v>5556</v>
      </c>
      <c r="G543" s="49" t="s">
        <v>14932</v>
      </c>
      <c r="H543" s="49" t="s">
        <v>5557</v>
      </c>
      <c r="I543" s="49" t="s">
        <v>5558</v>
      </c>
      <c r="J543" s="49" t="s">
        <v>5559</v>
      </c>
      <c r="K543" s="49" t="s">
        <v>5560</v>
      </c>
      <c r="L543" s="49" t="s">
        <v>5561</v>
      </c>
      <c r="M543" s="49" t="s">
        <v>5562</v>
      </c>
      <c r="N543" s="49" t="s">
        <v>5563</v>
      </c>
      <c r="O543" s="49" t="s">
        <v>5564</v>
      </c>
      <c r="P543" s="49" t="s">
        <v>5565</v>
      </c>
      <c r="Q543" s="49" t="s">
        <v>5566</v>
      </c>
      <c r="R543" s="49" t="s">
        <v>5567</v>
      </c>
      <c r="S543" s="49" t="s">
        <v>5568</v>
      </c>
      <c r="T543" s="49" t="s">
        <v>5569</v>
      </c>
    </row>
    <row r="544" spans="1:20" x14ac:dyDescent="0.2">
      <c r="A544" s="49" t="s">
        <v>30</v>
      </c>
      <c r="D544" s="49" t="s">
        <v>5570</v>
      </c>
      <c r="G544" s="49" t="s">
        <v>14933</v>
      </c>
      <c r="H544" s="49" t="s">
        <v>5571</v>
      </c>
      <c r="I544" s="49" t="s">
        <v>5572</v>
      </c>
      <c r="J544" s="49" t="s">
        <v>5573</v>
      </c>
      <c r="K544" s="49" t="s">
        <v>5574</v>
      </c>
      <c r="L544" s="49" t="s">
        <v>5575</v>
      </c>
      <c r="M544" s="49" t="s">
        <v>5576</v>
      </c>
      <c r="N544" s="49" t="s">
        <v>5577</v>
      </c>
      <c r="O544" s="49" t="s">
        <v>5578</v>
      </c>
      <c r="P544" s="49" t="s">
        <v>5579</v>
      </c>
      <c r="Q544" s="49" t="s">
        <v>5580</v>
      </c>
      <c r="R544" s="49" t="s">
        <v>5581</v>
      </c>
      <c r="S544" s="49" t="s">
        <v>5582</v>
      </c>
      <c r="T544" s="49" t="s">
        <v>5583</v>
      </c>
    </row>
    <row r="545" spans="1:21" x14ac:dyDescent="0.2">
      <c r="A545" s="49" t="s">
        <v>30</v>
      </c>
      <c r="D545" s="49" t="s">
        <v>11138</v>
      </c>
      <c r="G545" s="49" t="s">
        <v>14934</v>
      </c>
      <c r="H545" s="49" t="s">
        <v>12416</v>
      </c>
      <c r="I545" s="49" t="s">
        <v>12419</v>
      </c>
      <c r="J545" s="49" t="s">
        <v>12440</v>
      </c>
      <c r="K545" s="49" t="s">
        <v>12443</v>
      </c>
      <c r="L545" s="49" t="s">
        <v>11139</v>
      </c>
      <c r="M545" s="49" t="s">
        <v>11140</v>
      </c>
      <c r="N545" s="49" t="s">
        <v>11141</v>
      </c>
      <c r="O545" s="49" t="s">
        <v>12422</v>
      </c>
      <c r="P545" s="49" t="s">
        <v>12425</v>
      </c>
      <c r="Q545" s="49" t="s">
        <v>12428</v>
      </c>
      <c r="R545" s="49" t="s">
        <v>12431</v>
      </c>
      <c r="S545" s="49" t="s">
        <v>12434</v>
      </c>
      <c r="T545" s="49" t="s">
        <v>12437</v>
      </c>
    </row>
    <row r="546" spans="1:21" x14ac:dyDescent="0.2">
      <c r="A546" s="49" t="s">
        <v>30</v>
      </c>
      <c r="D546" s="49" t="s">
        <v>11142</v>
      </c>
      <c r="G546" s="49" t="s">
        <v>14935</v>
      </c>
      <c r="H546" s="49" t="s">
        <v>12417</v>
      </c>
      <c r="I546" s="49" t="s">
        <v>12420</v>
      </c>
      <c r="J546" s="49" t="s">
        <v>12441</v>
      </c>
      <c r="K546" s="49" t="s">
        <v>12444</v>
      </c>
      <c r="L546" s="49" t="s">
        <v>11143</v>
      </c>
      <c r="M546" s="49" t="s">
        <v>11144</v>
      </c>
      <c r="N546" s="49" t="s">
        <v>11145</v>
      </c>
      <c r="O546" s="49" t="s">
        <v>12423</v>
      </c>
      <c r="P546" s="49" t="s">
        <v>12426</v>
      </c>
      <c r="Q546" s="49" t="s">
        <v>12429</v>
      </c>
      <c r="R546" s="49" t="s">
        <v>12432</v>
      </c>
      <c r="S546" s="49" t="s">
        <v>12435</v>
      </c>
      <c r="T546" s="49" t="s">
        <v>12438</v>
      </c>
    </row>
    <row r="547" spans="1:21" x14ac:dyDescent="0.2">
      <c r="A547" s="49" t="s">
        <v>30</v>
      </c>
      <c r="D547" s="49" t="s">
        <v>11146</v>
      </c>
      <c r="G547" s="49" t="s">
        <v>14936</v>
      </c>
      <c r="H547" s="49" t="s">
        <v>12418</v>
      </c>
      <c r="I547" s="49" t="s">
        <v>12421</v>
      </c>
      <c r="J547" s="49" t="s">
        <v>12442</v>
      </c>
      <c r="K547" s="49" t="s">
        <v>12445</v>
      </c>
      <c r="L547" s="49" t="s">
        <v>11147</v>
      </c>
      <c r="M547" s="49" t="s">
        <v>11148</v>
      </c>
      <c r="N547" s="49" t="s">
        <v>11149</v>
      </c>
      <c r="O547" s="49" t="s">
        <v>12424</v>
      </c>
      <c r="P547" s="49" t="s">
        <v>12427</v>
      </c>
      <c r="Q547" s="49" t="s">
        <v>12430</v>
      </c>
      <c r="R547" s="49" t="s">
        <v>12433</v>
      </c>
      <c r="S547" s="49" t="s">
        <v>12436</v>
      </c>
      <c r="T547" s="49" t="s">
        <v>12439</v>
      </c>
    </row>
    <row r="548" spans="1:21" x14ac:dyDescent="0.2">
      <c r="A548" s="49" t="s">
        <v>30</v>
      </c>
      <c r="D548" s="49" t="s">
        <v>5585</v>
      </c>
      <c r="G548" s="49" t="s">
        <v>14937</v>
      </c>
      <c r="H548" s="49" t="s">
        <v>5586</v>
      </c>
      <c r="I548" s="49" t="s">
        <v>5587</v>
      </c>
      <c r="J548" s="49" t="s">
        <v>5588</v>
      </c>
      <c r="K548" s="49" t="s">
        <v>5589</v>
      </c>
      <c r="L548" s="49" t="s">
        <v>5590</v>
      </c>
      <c r="M548" s="49" t="s">
        <v>5591</v>
      </c>
      <c r="N548" s="49" t="s">
        <v>5592</v>
      </c>
      <c r="O548" s="49" t="s">
        <v>5593</v>
      </c>
      <c r="P548" s="49" t="s">
        <v>5594</v>
      </c>
      <c r="Q548" s="49" t="s">
        <v>5595</v>
      </c>
      <c r="R548" s="49" t="s">
        <v>5596</v>
      </c>
      <c r="S548" s="49" t="s">
        <v>5597</v>
      </c>
      <c r="T548" s="49" t="s">
        <v>5598</v>
      </c>
    </row>
    <row r="549" spans="1:21" x14ac:dyDescent="0.2">
      <c r="A549" s="49" t="s">
        <v>30</v>
      </c>
      <c r="D549" s="49" t="s">
        <v>5599</v>
      </c>
      <c r="G549" s="49" t="s">
        <v>14938</v>
      </c>
      <c r="H549" s="49" t="s">
        <v>5600</v>
      </c>
      <c r="I549" s="49" t="s">
        <v>5601</v>
      </c>
      <c r="J549" s="49" t="s">
        <v>5602</v>
      </c>
      <c r="K549" s="49" t="s">
        <v>5603</v>
      </c>
      <c r="L549" s="49" t="s">
        <v>5604</v>
      </c>
      <c r="M549" s="49" t="s">
        <v>5605</v>
      </c>
      <c r="N549" s="49" t="s">
        <v>5606</v>
      </c>
      <c r="O549" s="49" t="s">
        <v>5607</v>
      </c>
      <c r="P549" s="49" t="s">
        <v>5608</v>
      </c>
      <c r="Q549" s="49" t="s">
        <v>5609</v>
      </c>
      <c r="R549" s="49" t="s">
        <v>5610</v>
      </c>
      <c r="S549" s="49" t="s">
        <v>5611</v>
      </c>
      <c r="T549" s="49" t="s">
        <v>5612</v>
      </c>
    </row>
    <row r="550" spans="1:21" x14ac:dyDescent="0.2">
      <c r="A550" s="49" t="s">
        <v>30</v>
      </c>
      <c r="D550" s="49" t="s">
        <v>5613</v>
      </c>
      <c r="G550" s="49" t="s">
        <v>14939</v>
      </c>
      <c r="H550" s="49" t="s">
        <v>5614</v>
      </c>
      <c r="I550" s="49" t="s">
        <v>5615</v>
      </c>
      <c r="J550" s="49" t="s">
        <v>5616</v>
      </c>
      <c r="K550" s="49" t="s">
        <v>5617</v>
      </c>
      <c r="L550" s="49" t="s">
        <v>5618</v>
      </c>
      <c r="M550" s="49" t="s">
        <v>5619</v>
      </c>
      <c r="N550" s="49" t="s">
        <v>5620</v>
      </c>
      <c r="O550" s="49" t="s">
        <v>5621</v>
      </c>
      <c r="P550" s="49" t="s">
        <v>5622</v>
      </c>
      <c r="Q550" s="49" t="s">
        <v>5623</v>
      </c>
      <c r="R550" s="49" t="s">
        <v>5624</v>
      </c>
      <c r="S550" s="49" t="s">
        <v>5625</v>
      </c>
      <c r="T550" s="49" t="s">
        <v>5626</v>
      </c>
    </row>
    <row r="551" spans="1:21" x14ac:dyDescent="0.2">
      <c r="A551" s="49" t="s">
        <v>30</v>
      </c>
    </row>
    <row r="552" spans="1:21" x14ac:dyDescent="0.2">
      <c r="A552" s="49" t="s">
        <v>30</v>
      </c>
      <c r="E552" s="49" t="s">
        <v>31</v>
      </c>
      <c r="F552" s="49" t="s">
        <v>31</v>
      </c>
      <c r="G552" s="49" t="s">
        <v>31</v>
      </c>
      <c r="J552" s="49" t="s">
        <v>31</v>
      </c>
      <c r="K552" s="49" t="s">
        <v>31</v>
      </c>
      <c r="L552" s="49" t="s">
        <v>31</v>
      </c>
      <c r="M552" s="49" t="s">
        <v>31</v>
      </c>
    </row>
    <row r="553" spans="1:21" x14ac:dyDescent="0.2">
      <c r="A553" s="49" t="s">
        <v>30</v>
      </c>
      <c r="D553" s="49" t="s">
        <v>11150</v>
      </c>
      <c r="E553" s="49" t="s">
        <v>4844</v>
      </c>
      <c r="F553" s="49" t="s">
        <v>11151</v>
      </c>
      <c r="H553" s="49" t="s">
        <v>11152</v>
      </c>
      <c r="O553" s="49" t="s">
        <v>14940</v>
      </c>
      <c r="P553" s="49" t="s">
        <v>14941</v>
      </c>
      <c r="Q553" s="49" t="s">
        <v>14942</v>
      </c>
      <c r="R553" s="49" t="s">
        <v>14943</v>
      </c>
      <c r="S553" s="49" t="s">
        <v>14944</v>
      </c>
      <c r="T553" s="49" t="s">
        <v>14945</v>
      </c>
      <c r="U553" s="49" t="s">
        <v>14946</v>
      </c>
    </row>
    <row r="554" spans="1:21" x14ac:dyDescent="0.2">
      <c r="A554" s="49" t="s">
        <v>30</v>
      </c>
      <c r="D554" s="49" t="s">
        <v>11153</v>
      </c>
      <c r="G554" s="49" t="s">
        <v>11154</v>
      </c>
      <c r="H554" s="49" t="s">
        <v>12382</v>
      </c>
      <c r="I554" s="49" t="s">
        <v>12386</v>
      </c>
      <c r="J554" s="49" t="s">
        <v>12408</v>
      </c>
      <c r="K554" s="49" t="s">
        <v>12412</v>
      </c>
      <c r="L554" s="49" t="s">
        <v>11155</v>
      </c>
      <c r="M554" s="49" t="s">
        <v>11156</v>
      </c>
      <c r="N554" s="49" t="s">
        <v>11157</v>
      </c>
      <c r="O554" s="49" t="s">
        <v>12390</v>
      </c>
      <c r="P554" s="49" t="s">
        <v>12393</v>
      </c>
      <c r="Q554" s="49" t="s">
        <v>12396</v>
      </c>
      <c r="R554" s="49" t="s">
        <v>12399</v>
      </c>
      <c r="S554" s="49" t="s">
        <v>12402</v>
      </c>
      <c r="T554" s="49" t="s">
        <v>12405</v>
      </c>
    </row>
    <row r="555" spans="1:21" x14ac:dyDescent="0.2">
      <c r="A555" s="49" t="s">
        <v>30</v>
      </c>
      <c r="D555" s="49" t="s">
        <v>5628</v>
      </c>
      <c r="G555" s="49" t="s">
        <v>14947</v>
      </c>
      <c r="H555" s="49" t="s">
        <v>5629</v>
      </c>
      <c r="I555" s="49" t="s">
        <v>5630</v>
      </c>
      <c r="J555" s="49" t="s">
        <v>5631</v>
      </c>
      <c r="K555" s="49" t="s">
        <v>5632</v>
      </c>
      <c r="L555" s="49" t="s">
        <v>5633</v>
      </c>
      <c r="M555" s="49" t="s">
        <v>5634</v>
      </c>
      <c r="N555" s="49" t="s">
        <v>5635</v>
      </c>
      <c r="O555" s="49" t="s">
        <v>5636</v>
      </c>
      <c r="P555" s="49" t="s">
        <v>5637</v>
      </c>
      <c r="Q555" s="49" t="s">
        <v>5638</v>
      </c>
      <c r="R555" s="49" t="s">
        <v>5639</v>
      </c>
      <c r="S555" s="49" t="s">
        <v>5640</v>
      </c>
      <c r="T555" s="49" t="s">
        <v>5641</v>
      </c>
    </row>
    <row r="556" spans="1:21" x14ac:dyDescent="0.2">
      <c r="A556" s="49" t="s">
        <v>30</v>
      </c>
      <c r="D556" s="49" t="s">
        <v>5642</v>
      </c>
      <c r="G556" s="49" t="s">
        <v>14948</v>
      </c>
      <c r="H556" s="49" t="s">
        <v>5643</v>
      </c>
      <c r="I556" s="49" t="s">
        <v>5644</v>
      </c>
      <c r="J556" s="49" t="s">
        <v>5645</v>
      </c>
      <c r="K556" s="49" t="s">
        <v>5646</v>
      </c>
      <c r="L556" s="49" t="s">
        <v>5647</v>
      </c>
      <c r="M556" s="49" t="s">
        <v>5648</v>
      </c>
      <c r="N556" s="49" t="s">
        <v>5649</v>
      </c>
      <c r="O556" s="49" t="s">
        <v>5650</v>
      </c>
      <c r="P556" s="49" t="s">
        <v>5651</v>
      </c>
      <c r="Q556" s="49" t="s">
        <v>5652</v>
      </c>
      <c r="R556" s="49" t="s">
        <v>5653</v>
      </c>
      <c r="S556" s="49" t="s">
        <v>5654</v>
      </c>
      <c r="T556" s="49" t="s">
        <v>5655</v>
      </c>
    </row>
    <row r="557" spans="1:21" x14ac:dyDescent="0.2">
      <c r="A557" s="49" t="s">
        <v>30</v>
      </c>
      <c r="D557" s="49" t="s">
        <v>5656</v>
      </c>
      <c r="G557" s="49" t="s">
        <v>14949</v>
      </c>
      <c r="H557" s="49" t="s">
        <v>5657</v>
      </c>
      <c r="I557" s="49" t="s">
        <v>5658</v>
      </c>
      <c r="J557" s="49" t="s">
        <v>5659</v>
      </c>
      <c r="K557" s="49" t="s">
        <v>5660</v>
      </c>
      <c r="L557" s="49" t="s">
        <v>5661</v>
      </c>
      <c r="M557" s="49" t="s">
        <v>5662</v>
      </c>
      <c r="N557" s="49" t="s">
        <v>5663</v>
      </c>
      <c r="O557" s="49" t="s">
        <v>5664</v>
      </c>
      <c r="P557" s="49" t="s">
        <v>5665</v>
      </c>
      <c r="Q557" s="49" t="s">
        <v>5666</v>
      </c>
      <c r="R557" s="49" t="s">
        <v>5667</v>
      </c>
      <c r="S557" s="49" t="s">
        <v>5668</v>
      </c>
      <c r="T557" s="49" t="s">
        <v>5669</v>
      </c>
    </row>
    <row r="558" spans="1:21" x14ac:dyDescent="0.2">
      <c r="A558" s="49" t="s">
        <v>30</v>
      </c>
      <c r="D558" s="49" t="s">
        <v>5670</v>
      </c>
      <c r="G558" s="49" t="s">
        <v>14950</v>
      </c>
      <c r="H558" s="49" t="s">
        <v>5671</v>
      </c>
      <c r="I558" s="49" t="s">
        <v>5672</v>
      </c>
      <c r="J558" s="49" t="s">
        <v>5673</v>
      </c>
      <c r="K558" s="49" t="s">
        <v>5674</v>
      </c>
      <c r="L558" s="49" t="s">
        <v>5675</v>
      </c>
      <c r="M558" s="49" t="s">
        <v>5676</v>
      </c>
      <c r="N558" s="49" t="s">
        <v>5677</v>
      </c>
      <c r="O558" s="49" t="s">
        <v>5678</v>
      </c>
      <c r="P558" s="49" t="s">
        <v>5679</v>
      </c>
      <c r="Q558" s="49" t="s">
        <v>5680</v>
      </c>
      <c r="R558" s="49" t="s">
        <v>5681</v>
      </c>
      <c r="S558" s="49" t="s">
        <v>5682</v>
      </c>
      <c r="T558" s="49" t="s">
        <v>5683</v>
      </c>
    </row>
    <row r="559" spans="1:21" x14ac:dyDescent="0.2">
      <c r="A559" s="49" t="s">
        <v>30</v>
      </c>
      <c r="D559" s="49" t="s">
        <v>5684</v>
      </c>
      <c r="G559" s="49" t="s">
        <v>14951</v>
      </c>
      <c r="H559" s="49" t="s">
        <v>5685</v>
      </c>
      <c r="I559" s="49" t="s">
        <v>5686</v>
      </c>
      <c r="J559" s="49" t="s">
        <v>5687</v>
      </c>
      <c r="K559" s="49" t="s">
        <v>5688</v>
      </c>
      <c r="L559" s="49" t="s">
        <v>5689</v>
      </c>
      <c r="M559" s="49" t="s">
        <v>5690</v>
      </c>
      <c r="N559" s="49" t="s">
        <v>5691</v>
      </c>
      <c r="O559" s="49" t="s">
        <v>5692</v>
      </c>
      <c r="P559" s="49" t="s">
        <v>5693</v>
      </c>
      <c r="Q559" s="49" t="s">
        <v>5694</v>
      </c>
      <c r="R559" s="49" t="s">
        <v>5695</v>
      </c>
      <c r="S559" s="49" t="s">
        <v>5696</v>
      </c>
      <c r="T559" s="49" t="s">
        <v>5697</v>
      </c>
    </row>
    <row r="560" spans="1:21" x14ac:dyDescent="0.2">
      <c r="A560" s="49" t="s">
        <v>30</v>
      </c>
      <c r="D560" s="49" t="s">
        <v>11158</v>
      </c>
      <c r="G560" s="49" t="s">
        <v>14952</v>
      </c>
      <c r="H560" s="49" t="s">
        <v>12383</v>
      </c>
      <c r="I560" s="49" t="s">
        <v>12387</v>
      </c>
      <c r="J560" s="49" t="s">
        <v>12409</v>
      </c>
      <c r="K560" s="49" t="s">
        <v>12413</v>
      </c>
      <c r="L560" s="49" t="s">
        <v>11159</v>
      </c>
      <c r="M560" s="49" t="s">
        <v>11160</v>
      </c>
      <c r="N560" s="49" t="s">
        <v>11161</v>
      </c>
      <c r="O560" s="49" t="s">
        <v>12391</v>
      </c>
      <c r="P560" s="49" t="s">
        <v>12394</v>
      </c>
      <c r="Q560" s="49" t="s">
        <v>12397</v>
      </c>
      <c r="R560" s="49" t="s">
        <v>12400</v>
      </c>
      <c r="S560" s="49" t="s">
        <v>12403</v>
      </c>
      <c r="T560" s="49" t="s">
        <v>12406</v>
      </c>
    </row>
    <row r="561" spans="1:21" x14ac:dyDescent="0.2">
      <c r="A561" s="49" t="s">
        <v>30</v>
      </c>
      <c r="D561" s="49" t="s">
        <v>11162</v>
      </c>
      <c r="G561" s="49" t="s">
        <v>14953</v>
      </c>
      <c r="H561" s="49" t="s">
        <v>12384</v>
      </c>
      <c r="I561" s="49" t="s">
        <v>12388</v>
      </c>
      <c r="J561" s="49" t="s">
        <v>12410</v>
      </c>
      <c r="K561" s="49" t="s">
        <v>12414</v>
      </c>
      <c r="L561" s="49" t="s">
        <v>11163</v>
      </c>
      <c r="M561" s="49" t="s">
        <v>11164</v>
      </c>
      <c r="N561" s="49" t="s">
        <v>11165</v>
      </c>
      <c r="O561" s="49" t="s">
        <v>12392</v>
      </c>
      <c r="P561" s="49" t="s">
        <v>12395</v>
      </c>
      <c r="Q561" s="49" t="s">
        <v>12398</v>
      </c>
      <c r="R561" s="49" t="s">
        <v>12401</v>
      </c>
      <c r="S561" s="49" t="s">
        <v>12404</v>
      </c>
      <c r="T561" s="49" t="s">
        <v>12407</v>
      </c>
    </row>
    <row r="562" spans="1:21" x14ac:dyDescent="0.2">
      <c r="A562" s="49" t="s">
        <v>30</v>
      </c>
    </row>
    <row r="563" spans="1:21" x14ac:dyDescent="0.2">
      <c r="A563" s="49" t="s">
        <v>30</v>
      </c>
      <c r="E563" s="49" t="s">
        <v>31</v>
      </c>
      <c r="F563" s="49" t="s">
        <v>31</v>
      </c>
      <c r="G563" s="49" t="s">
        <v>31</v>
      </c>
      <c r="J563" s="49" t="s">
        <v>31</v>
      </c>
      <c r="K563" s="49" t="s">
        <v>31</v>
      </c>
      <c r="L563" s="49" t="s">
        <v>31</v>
      </c>
      <c r="M563" s="49" t="s">
        <v>31</v>
      </c>
    </row>
    <row r="564" spans="1:21" x14ac:dyDescent="0.2">
      <c r="A564" s="49" t="s">
        <v>30</v>
      </c>
      <c r="D564" s="49" t="s">
        <v>14954</v>
      </c>
      <c r="E564" s="49" t="s">
        <v>4875</v>
      </c>
      <c r="F564" s="49" t="s">
        <v>14955</v>
      </c>
      <c r="H564" s="49" t="s">
        <v>14956</v>
      </c>
      <c r="O564" s="49" t="s">
        <v>14957</v>
      </c>
      <c r="P564" s="49" t="s">
        <v>14958</v>
      </c>
      <c r="Q564" s="49" t="s">
        <v>14959</v>
      </c>
      <c r="R564" s="49" t="s">
        <v>14960</v>
      </c>
      <c r="S564" s="49" t="s">
        <v>14961</v>
      </c>
      <c r="T564" s="49" t="s">
        <v>14962</v>
      </c>
      <c r="U564" s="49" t="s">
        <v>14963</v>
      </c>
    </row>
    <row r="565" spans="1:21" x14ac:dyDescent="0.2">
      <c r="A565" s="49" t="s">
        <v>30</v>
      </c>
      <c r="D565" s="49" t="s">
        <v>14964</v>
      </c>
      <c r="G565" s="49" t="s">
        <v>14965</v>
      </c>
      <c r="H565" s="49" t="s">
        <v>30946</v>
      </c>
      <c r="I565" s="49" t="s">
        <v>30948</v>
      </c>
      <c r="J565" s="49" t="s">
        <v>30962</v>
      </c>
      <c r="K565" s="49" t="s">
        <v>30964</v>
      </c>
      <c r="L565" s="49" t="s">
        <v>14966</v>
      </c>
      <c r="M565" s="49" t="s">
        <v>14967</v>
      </c>
      <c r="N565" s="49" t="s">
        <v>14968</v>
      </c>
      <c r="O565" s="49" t="s">
        <v>30950</v>
      </c>
      <c r="P565" s="49" t="s">
        <v>30952</v>
      </c>
      <c r="Q565" s="49" t="s">
        <v>30954</v>
      </c>
      <c r="R565" s="49" t="s">
        <v>30956</v>
      </c>
      <c r="S565" s="49" t="s">
        <v>30958</v>
      </c>
      <c r="T565" s="49" t="s">
        <v>30960</v>
      </c>
    </row>
    <row r="566" spans="1:21" x14ac:dyDescent="0.2">
      <c r="A566" s="49" t="s">
        <v>30</v>
      </c>
      <c r="D566" s="49" t="s">
        <v>14969</v>
      </c>
      <c r="G566" s="49" t="s">
        <v>14970</v>
      </c>
      <c r="H566" s="49" t="s">
        <v>30947</v>
      </c>
      <c r="I566" s="49" t="s">
        <v>30949</v>
      </c>
      <c r="J566" s="49" t="s">
        <v>30963</v>
      </c>
      <c r="K566" s="49" t="s">
        <v>30965</v>
      </c>
      <c r="L566" s="49" t="s">
        <v>14971</v>
      </c>
      <c r="M566" s="49" t="s">
        <v>14972</v>
      </c>
      <c r="N566" s="49" t="s">
        <v>14973</v>
      </c>
      <c r="O566" s="49" t="s">
        <v>30951</v>
      </c>
      <c r="P566" s="49" t="s">
        <v>30953</v>
      </c>
      <c r="Q566" s="49" t="s">
        <v>30955</v>
      </c>
      <c r="R566" s="49" t="s">
        <v>30957</v>
      </c>
      <c r="S566" s="49" t="s">
        <v>30959</v>
      </c>
      <c r="T566" s="49" t="s">
        <v>30961</v>
      </c>
    </row>
    <row r="567" spans="1:21" x14ac:dyDescent="0.2">
      <c r="A567" s="49" t="s">
        <v>30</v>
      </c>
      <c r="D567" s="49" t="s">
        <v>5707</v>
      </c>
      <c r="G567" s="49" t="s">
        <v>14974</v>
      </c>
      <c r="H567" s="49" t="s">
        <v>5708</v>
      </c>
      <c r="I567" s="49" t="s">
        <v>5709</v>
      </c>
      <c r="J567" s="49" t="s">
        <v>5710</v>
      </c>
      <c r="K567" s="49" t="s">
        <v>5711</v>
      </c>
      <c r="L567" s="49" t="s">
        <v>5712</v>
      </c>
      <c r="M567" s="49" t="s">
        <v>5713</v>
      </c>
      <c r="N567" s="49" t="s">
        <v>5714</v>
      </c>
      <c r="O567" s="49" t="s">
        <v>5715</v>
      </c>
      <c r="P567" s="49" t="s">
        <v>5716</v>
      </c>
      <c r="Q567" s="49" t="s">
        <v>5717</v>
      </c>
      <c r="R567" s="49" t="s">
        <v>5718</v>
      </c>
      <c r="S567" s="49" t="s">
        <v>5719</v>
      </c>
      <c r="T567" s="49" t="s">
        <v>5720</v>
      </c>
    </row>
    <row r="568" spans="1:21" x14ac:dyDescent="0.2">
      <c r="A568" s="49" t="s">
        <v>30</v>
      </c>
      <c r="D568" s="49" t="s">
        <v>5721</v>
      </c>
      <c r="G568" s="49" t="s">
        <v>14975</v>
      </c>
      <c r="H568" s="49" t="s">
        <v>5722</v>
      </c>
      <c r="I568" s="49" t="s">
        <v>5723</v>
      </c>
      <c r="J568" s="49" t="s">
        <v>5724</v>
      </c>
      <c r="K568" s="49" t="s">
        <v>5725</v>
      </c>
      <c r="L568" s="49" t="s">
        <v>5726</v>
      </c>
      <c r="M568" s="49" t="s">
        <v>5727</v>
      </c>
      <c r="N568" s="49" t="s">
        <v>5728</v>
      </c>
      <c r="O568" s="49" t="s">
        <v>5729</v>
      </c>
      <c r="P568" s="49" t="s">
        <v>5730</v>
      </c>
      <c r="Q568" s="49" t="s">
        <v>5731</v>
      </c>
      <c r="R568" s="49" t="s">
        <v>5732</v>
      </c>
      <c r="S568" s="49" t="s">
        <v>5733</v>
      </c>
      <c r="T568" s="49" t="s">
        <v>5734</v>
      </c>
    </row>
    <row r="569" spans="1:21" x14ac:dyDescent="0.2">
      <c r="A569" s="49" t="s">
        <v>30</v>
      </c>
      <c r="D569" s="49" t="s">
        <v>5735</v>
      </c>
      <c r="G569" s="49" t="s">
        <v>14976</v>
      </c>
      <c r="H569" s="49" t="s">
        <v>5736</v>
      </c>
      <c r="I569" s="49" t="s">
        <v>5737</v>
      </c>
      <c r="J569" s="49" t="s">
        <v>5738</v>
      </c>
      <c r="K569" s="49" t="s">
        <v>5739</v>
      </c>
      <c r="L569" s="49" t="s">
        <v>5740</v>
      </c>
      <c r="M569" s="49" t="s">
        <v>5741</v>
      </c>
      <c r="N569" s="49" t="s">
        <v>5742</v>
      </c>
      <c r="O569" s="49" t="s">
        <v>5743</v>
      </c>
      <c r="P569" s="49" t="s">
        <v>5744</v>
      </c>
      <c r="Q569" s="49" t="s">
        <v>5745</v>
      </c>
      <c r="R569" s="49" t="s">
        <v>5746</v>
      </c>
      <c r="S569" s="49" t="s">
        <v>5747</v>
      </c>
      <c r="T569" s="49" t="s">
        <v>5748</v>
      </c>
    </row>
    <row r="570" spans="1:21" x14ac:dyDescent="0.2">
      <c r="A570" s="49" t="s">
        <v>30</v>
      </c>
      <c r="D570" s="49" t="s">
        <v>5749</v>
      </c>
      <c r="G570" s="49" t="s">
        <v>14977</v>
      </c>
      <c r="H570" s="49" t="s">
        <v>5750</v>
      </c>
      <c r="I570" s="49" t="s">
        <v>5751</v>
      </c>
      <c r="J570" s="49" t="s">
        <v>5752</v>
      </c>
      <c r="K570" s="49" t="s">
        <v>5753</v>
      </c>
      <c r="L570" s="49" t="s">
        <v>5754</v>
      </c>
      <c r="M570" s="49" t="s">
        <v>5755</v>
      </c>
      <c r="N570" s="49" t="s">
        <v>5756</v>
      </c>
      <c r="O570" s="49" t="s">
        <v>5757</v>
      </c>
      <c r="P570" s="49" t="s">
        <v>5758</v>
      </c>
      <c r="Q570" s="49" t="s">
        <v>5759</v>
      </c>
      <c r="R570" s="49" t="s">
        <v>5760</v>
      </c>
      <c r="S570" s="49" t="s">
        <v>5761</v>
      </c>
      <c r="T570" s="49" t="s">
        <v>5762</v>
      </c>
    </row>
    <row r="571" spans="1:21" x14ac:dyDescent="0.2">
      <c r="A571" s="49" t="s">
        <v>30</v>
      </c>
      <c r="D571" s="49" t="s">
        <v>5763</v>
      </c>
      <c r="G571" s="49" t="s">
        <v>14978</v>
      </c>
      <c r="H571" s="49" t="s">
        <v>5764</v>
      </c>
      <c r="I571" s="49" t="s">
        <v>5765</v>
      </c>
      <c r="J571" s="49" t="s">
        <v>5766</v>
      </c>
      <c r="K571" s="49" t="s">
        <v>5767</v>
      </c>
      <c r="L571" s="49" t="s">
        <v>5768</v>
      </c>
      <c r="M571" s="49" t="s">
        <v>5769</v>
      </c>
      <c r="N571" s="49" t="s">
        <v>5770</v>
      </c>
      <c r="O571" s="49" t="s">
        <v>5771</v>
      </c>
      <c r="P571" s="49" t="s">
        <v>5772</v>
      </c>
      <c r="Q571" s="49" t="s">
        <v>5773</v>
      </c>
      <c r="R571" s="49" t="s">
        <v>5774</v>
      </c>
      <c r="S571" s="49" t="s">
        <v>5775</v>
      </c>
      <c r="T571" s="49" t="s">
        <v>5776</v>
      </c>
    </row>
    <row r="572" spans="1:21" x14ac:dyDescent="0.2">
      <c r="A572" s="49" t="s">
        <v>30</v>
      </c>
      <c r="D572" s="49" t="s">
        <v>5777</v>
      </c>
      <c r="G572" s="49" t="s">
        <v>14979</v>
      </c>
      <c r="H572" s="49" t="s">
        <v>5778</v>
      </c>
      <c r="I572" s="49" t="s">
        <v>5779</v>
      </c>
      <c r="J572" s="49" t="s">
        <v>5780</v>
      </c>
      <c r="K572" s="49" t="s">
        <v>5781</v>
      </c>
      <c r="L572" s="49" t="s">
        <v>5782</v>
      </c>
      <c r="M572" s="49" t="s">
        <v>5783</v>
      </c>
      <c r="N572" s="49" t="s">
        <v>5784</v>
      </c>
      <c r="O572" s="49" t="s">
        <v>5785</v>
      </c>
      <c r="P572" s="49" t="s">
        <v>5786</v>
      </c>
      <c r="Q572" s="49" t="s">
        <v>5787</v>
      </c>
      <c r="R572" s="49" t="s">
        <v>5788</v>
      </c>
      <c r="S572" s="49" t="s">
        <v>5789</v>
      </c>
      <c r="T572" s="49" t="s">
        <v>5790</v>
      </c>
    </row>
    <row r="573" spans="1:21" x14ac:dyDescent="0.2">
      <c r="A573" s="49" t="s">
        <v>30</v>
      </c>
      <c r="D573" s="49" t="s">
        <v>5791</v>
      </c>
      <c r="G573" s="49" t="s">
        <v>14980</v>
      </c>
      <c r="H573" s="49" t="s">
        <v>5792</v>
      </c>
      <c r="I573" s="49" t="s">
        <v>5793</v>
      </c>
      <c r="J573" s="49" t="s">
        <v>5794</v>
      </c>
      <c r="K573" s="49" t="s">
        <v>5795</v>
      </c>
      <c r="L573" s="49" t="s">
        <v>5796</v>
      </c>
      <c r="M573" s="49" t="s">
        <v>5797</v>
      </c>
      <c r="N573" s="49" t="s">
        <v>5798</v>
      </c>
      <c r="O573" s="49" t="s">
        <v>5799</v>
      </c>
      <c r="P573" s="49" t="s">
        <v>5800</v>
      </c>
      <c r="Q573" s="49" t="s">
        <v>5801</v>
      </c>
      <c r="R573" s="49" t="s">
        <v>5802</v>
      </c>
      <c r="S573" s="49" t="s">
        <v>5803</v>
      </c>
      <c r="T573" s="49" t="s">
        <v>5804</v>
      </c>
    </row>
    <row r="574" spans="1:21" x14ac:dyDescent="0.2">
      <c r="A574" s="49" t="s">
        <v>30</v>
      </c>
      <c r="D574" s="49" t="s">
        <v>11173</v>
      </c>
      <c r="G574" s="49" t="s">
        <v>14981</v>
      </c>
      <c r="H574" s="49" t="s">
        <v>12358</v>
      </c>
      <c r="I574" s="49" t="s">
        <v>12361</v>
      </c>
      <c r="J574" s="49" t="s">
        <v>12376</v>
      </c>
      <c r="K574" s="49" t="s">
        <v>12379</v>
      </c>
      <c r="L574" s="49" t="s">
        <v>11174</v>
      </c>
      <c r="M574" s="49" t="s">
        <v>11175</v>
      </c>
      <c r="N574" s="49" t="s">
        <v>11176</v>
      </c>
      <c r="O574" s="49" t="s">
        <v>12364</v>
      </c>
      <c r="P574" s="49" t="s">
        <v>12366</v>
      </c>
      <c r="Q574" s="49" t="s">
        <v>12368</v>
      </c>
      <c r="R574" s="49" t="s">
        <v>12370</v>
      </c>
      <c r="S574" s="49" t="s">
        <v>12372</v>
      </c>
      <c r="T574" s="49" t="s">
        <v>12374</v>
      </c>
    </row>
    <row r="575" spans="1:21" x14ac:dyDescent="0.2">
      <c r="A575" s="49" t="s">
        <v>30</v>
      </c>
      <c r="D575" s="49" t="s">
        <v>11177</v>
      </c>
      <c r="G575" s="49" t="s">
        <v>14982</v>
      </c>
      <c r="H575" s="49" t="s">
        <v>12359</v>
      </c>
      <c r="I575" s="49" t="s">
        <v>12362</v>
      </c>
      <c r="J575" s="49" t="s">
        <v>12377</v>
      </c>
      <c r="K575" s="49" t="s">
        <v>12380</v>
      </c>
      <c r="L575" s="49" t="s">
        <v>11178</v>
      </c>
      <c r="M575" s="49" t="s">
        <v>11179</v>
      </c>
      <c r="N575" s="49" t="s">
        <v>11180</v>
      </c>
      <c r="O575" s="49" t="s">
        <v>12365</v>
      </c>
      <c r="P575" s="49" t="s">
        <v>12367</v>
      </c>
      <c r="Q575" s="49" t="s">
        <v>12369</v>
      </c>
      <c r="R575" s="49" t="s">
        <v>12371</v>
      </c>
      <c r="S575" s="49" t="s">
        <v>12373</v>
      </c>
      <c r="T575" s="49" t="s">
        <v>12375</v>
      </c>
    </row>
    <row r="576" spans="1:21" x14ac:dyDescent="0.2">
      <c r="A576" s="49" t="s">
        <v>30</v>
      </c>
    </row>
    <row r="577" spans="1:21" x14ac:dyDescent="0.2">
      <c r="A577" s="49" t="s">
        <v>30</v>
      </c>
      <c r="E577" s="49" t="s">
        <v>31</v>
      </c>
      <c r="F577" s="49" t="s">
        <v>31</v>
      </c>
      <c r="G577" s="49" t="s">
        <v>31</v>
      </c>
      <c r="J577" s="49" t="s">
        <v>31</v>
      </c>
      <c r="K577" s="49" t="s">
        <v>31</v>
      </c>
      <c r="L577" s="49" t="s">
        <v>31</v>
      </c>
      <c r="M577" s="49" t="s">
        <v>31</v>
      </c>
    </row>
    <row r="578" spans="1:21" x14ac:dyDescent="0.2">
      <c r="A578" s="49" t="s">
        <v>30</v>
      </c>
      <c r="D578" s="49" t="s">
        <v>14983</v>
      </c>
      <c r="E578" s="49" t="s">
        <v>4877</v>
      </c>
      <c r="F578" s="49" t="s">
        <v>14984</v>
      </c>
      <c r="H578" s="49" t="s">
        <v>14985</v>
      </c>
      <c r="O578" s="49" t="s">
        <v>14986</v>
      </c>
      <c r="P578" s="49" t="s">
        <v>14987</v>
      </c>
      <c r="Q578" s="49" t="s">
        <v>14988</v>
      </c>
      <c r="R578" s="49" t="s">
        <v>14989</v>
      </c>
      <c r="S578" s="49" t="s">
        <v>14990</v>
      </c>
      <c r="T578" s="49" t="s">
        <v>14991</v>
      </c>
      <c r="U578" s="49" t="s">
        <v>14992</v>
      </c>
    </row>
    <row r="579" spans="1:21" x14ac:dyDescent="0.2">
      <c r="A579" s="49" t="s">
        <v>30</v>
      </c>
      <c r="D579" s="49" t="s">
        <v>14993</v>
      </c>
      <c r="G579" s="49" t="s">
        <v>14994</v>
      </c>
      <c r="H579" s="49" t="s">
        <v>30906</v>
      </c>
      <c r="I579" s="49" t="s">
        <v>30910</v>
      </c>
      <c r="J579" s="49" t="s">
        <v>30938</v>
      </c>
      <c r="K579" s="49" t="s">
        <v>30942</v>
      </c>
      <c r="L579" s="49" t="s">
        <v>14995</v>
      </c>
      <c r="M579" s="49" t="s">
        <v>14996</v>
      </c>
      <c r="N579" s="49" t="s">
        <v>14997</v>
      </c>
      <c r="O579" s="49" t="s">
        <v>30914</v>
      </c>
      <c r="P579" s="49" t="s">
        <v>30918</v>
      </c>
      <c r="Q579" s="49" t="s">
        <v>30922</v>
      </c>
      <c r="R579" s="49" t="s">
        <v>30926</v>
      </c>
      <c r="S579" s="49" t="s">
        <v>30930</v>
      </c>
      <c r="T579" s="49" t="s">
        <v>30934</v>
      </c>
    </row>
    <row r="580" spans="1:21" x14ac:dyDescent="0.2">
      <c r="A580" s="49" t="s">
        <v>30</v>
      </c>
      <c r="D580" s="49" t="s">
        <v>5806</v>
      </c>
      <c r="G580" s="49" t="s">
        <v>14998</v>
      </c>
      <c r="H580" s="49" t="s">
        <v>5807</v>
      </c>
      <c r="I580" s="49" t="s">
        <v>5808</v>
      </c>
      <c r="J580" s="49" t="s">
        <v>5809</v>
      </c>
      <c r="K580" s="49" t="s">
        <v>5810</v>
      </c>
      <c r="L580" s="49" t="s">
        <v>5811</v>
      </c>
      <c r="M580" s="49" t="s">
        <v>5812</v>
      </c>
      <c r="N580" s="49" t="s">
        <v>5813</v>
      </c>
      <c r="O580" s="49" t="s">
        <v>5814</v>
      </c>
      <c r="P580" s="49" t="s">
        <v>5815</v>
      </c>
      <c r="Q580" s="49" t="s">
        <v>5816</v>
      </c>
      <c r="R580" s="49" t="s">
        <v>5817</v>
      </c>
      <c r="S580" s="49" t="s">
        <v>5818</v>
      </c>
      <c r="T580" s="49" t="s">
        <v>5819</v>
      </c>
    </row>
    <row r="581" spans="1:21" x14ac:dyDescent="0.2">
      <c r="A581" s="49" t="s">
        <v>30</v>
      </c>
      <c r="D581" s="49" t="s">
        <v>5820</v>
      </c>
      <c r="G581" s="49" t="s">
        <v>14999</v>
      </c>
      <c r="H581" s="49" t="s">
        <v>5821</v>
      </c>
      <c r="I581" s="49" t="s">
        <v>5822</v>
      </c>
      <c r="J581" s="49" t="s">
        <v>5823</v>
      </c>
      <c r="K581" s="49" t="s">
        <v>5824</v>
      </c>
      <c r="L581" s="49" t="s">
        <v>5825</v>
      </c>
      <c r="M581" s="49" t="s">
        <v>5826</v>
      </c>
      <c r="N581" s="49" t="s">
        <v>5827</v>
      </c>
      <c r="O581" s="49" t="s">
        <v>5828</v>
      </c>
      <c r="P581" s="49" t="s">
        <v>5829</v>
      </c>
      <c r="Q581" s="49" t="s">
        <v>5830</v>
      </c>
      <c r="R581" s="49" t="s">
        <v>5831</v>
      </c>
      <c r="S581" s="49" t="s">
        <v>5832</v>
      </c>
      <c r="T581" s="49" t="s">
        <v>5833</v>
      </c>
    </row>
    <row r="582" spans="1:21" x14ac:dyDescent="0.2">
      <c r="A582" s="49" t="s">
        <v>30</v>
      </c>
      <c r="D582" s="49" t="s">
        <v>5834</v>
      </c>
      <c r="G582" s="49" t="s">
        <v>15000</v>
      </c>
      <c r="H582" s="49" t="s">
        <v>5835</v>
      </c>
      <c r="I582" s="49" t="s">
        <v>5836</v>
      </c>
      <c r="J582" s="49" t="s">
        <v>5837</v>
      </c>
      <c r="K582" s="49" t="s">
        <v>5838</v>
      </c>
      <c r="L582" s="49" t="s">
        <v>5839</v>
      </c>
      <c r="M582" s="49" t="s">
        <v>5840</v>
      </c>
      <c r="N582" s="49" t="s">
        <v>5841</v>
      </c>
      <c r="O582" s="49" t="s">
        <v>5842</v>
      </c>
      <c r="P582" s="49" t="s">
        <v>5843</v>
      </c>
      <c r="Q582" s="49" t="s">
        <v>5844</v>
      </c>
      <c r="R582" s="49" t="s">
        <v>5845</v>
      </c>
      <c r="S582" s="49" t="s">
        <v>5846</v>
      </c>
      <c r="T582" s="49" t="s">
        <v>5847</v>
      </c>
    </row>
    <row r="583" spans="1:21" x14ac:dyDescent="0.2">
      <c r="A583" s="49" t="s">
        <v>30</v>
      </c>
      <c r="D583" s="49" t="s">
        <v>5848</v>
      </c>
      <c r="G583" s="49" t="s">
        <v>15001</v>
      </c>
      <c r="H583" s="49" t="s">
        <v>5849</v>
      </c>
      <c r="I583" s="49" t="s">
        <v>5850</v>
      </c>
      <c r="J583" s="49" t="s">
        <v>5851</v>
      </c>
      <c r="K583" s="49" t="s">
        <v>5852</v>
      </c>
      <c r="L583" s="49" t="s">
        <v>5853</v>
      </c>
      <c r="M583" s="49" t="s">
        <v>5854</v>
      </c>
      <c r="N583" s="49" t="s">
        <v>5855</v>
      </c>
      <c r="O583" s="49" t="s">
        <v>5856</v>
      </c>
      <c r="P583" s="49" t="s">
        <v>5857</v>
      </c>
      <c r="Q583" s="49" t="s">
        <v>5858</v>
      </c>
      <c r="R583" s="49" t="s">
        <v>5859</v>
      </c>
      <c r="S583" s="49" t="s">
        <v>5860</v>
      </c>
      <c r="T583" s="49" t="s">
        <v>5861</v>
      </c>
    </row>
    <row r="584" spans="1:21" x14ac:dyDescent="0.2">
      <c r="A584" s="49" t="s">
        <v>30</v>
      </c>
      <c r="D584" s="49" t="s">
        <v>5862</v>
      </c>
      <c r="G584" s="49" t="s">
        <v>15002</v>
      </c>
      <c r="H584" s="49" t="s">
        <v>5863</v>
      </c>
      <c r="I584" s="49" t="s">
        <v>5864</v>
      </c>
      <c r="J584" s="49" t="s">
        <v>5865</v>
      </c>
      <c r="K584" s="49" t="s">
        <v>5866</v>
      </c>
      <c r="L584" s="49" t="s">
        <v>5867</v>
      </c>
      <c r="M584" s="49" t="s">
        <v>5868</v>
      </c>
      <c r="N584" s="49" t="s">
        <v>5869</v>
      </c>
      <c r="O584" s="49" t="s">
        <v>5870</v>
      </c>
      <c r="P584" s="49" t="s">
        <v>5871</v>
      </c>
      <c r="Q584" s="49" t="s">
        <v>5872</v>
      </c>
      <c r="R584" s="49" t="s">
        <v>5873</v>
      </c>
      <c r="S584" s="49" t="s">
        <v>5874</v>
      </c>
      <c r="T584" s="49" t="s">
        <v>5875</v>
      </c>
    </row>
    <row r="585" spans="1:21" x14ac:dyDescent="0.2">
      <c r="A585" s="49" t="s">
        <v>30</v>
      </c>
      <c r="D585" s="49" t="s">
        <v>5876</v>
      </c>
      <c r="G585" s="49" t="s">
        <v>15003</v>
      </c>
      <c r="H585" s="49" t="s">
        <v>5877</v>
      </c>
      <c r="I585" s="49" t="s">
        <v>5878</v>
      </c>
      <c r="J585" s="49" t="s">
        <v>5879</v>
      </c>
      <c r="K585" s="49" t="s">
        <v>5880</v>
      </c>
      <c r="L585" s="49" t="s">
        <v>5881</v>
      </c>
      <c r="M585" s="49" t="s">
        <v>5882</v>
      </c>
      <c r="N585" s="49" t="s">
        <v>5883</v>
      </c>
      <c r="O585" s="49" t="s">
        <v>5884</v>
      </c>
      <c r="P585" s="49" t="s">
        <v>5885</v>
      </c>
      <c r="Q585" s="49" t="s">
        <v>5886</v>
      </c>
      <c r="R585" s="49" t="s">
        <v>5887</v>
      </c>
      <c r="S585" s="49" t="s">
        <v>5888</v>
      </c>
      <c r="T585" s="49" t="s">
        <v>5889</v>
      </c>
    </row>
    <row r="586" spans="1:21" x14ac:dyDescent="0.2">
      <c r="A586" s="49" t="s">
        <v>30</v>
      </c>
      <c r="D586" s="49" t="s">
        <v>11185</v>
      </c>
      <c r="G586" s="49" t="s">
        <v>15004</v>
      </c>
      <c r="H586" s="49" t="s">
        <v>12348</v>
      </c>
      <c r="I586" s="49" t="s">
        <v>12349</v>
      </c>
      <c r="J586" s="49" t="s">
        <v>12356</v>
      </c>
      <c r="K586" s="49" t="s">
        <v>12357</v>
      </c>
      <c r="L586" s="49" t="s">
        <v>11186</v>
      </c>
      <c r="M586" s="49" t="s">
        <v>11187</v>
      </c>
      <c r="N586" s="49" t="s">
        <v>11188</v>
      </c>
      <c r="O586" s="49" t="s">
        <v>12350</v>
      </c>
      <c r="P586" s="49" t="s">
        <v>12351</v>
      </c>
      <c r="Q586" s="49" t="s">
        <v>12352</v>
      </c>
      <c r="R586" s="49" t="s">
        <v>12353</v>
      </c>
      <c r="S586" s="49" t="s">
        <v>12354</v>
      </c>
      <c r="T586" s="49" t="s">
        <v>12355</v>
      </c>
    </row>
    <row r="587" spans="1:21" x14ac:dyDescent="0.2">
      <c r="A587" s="49" t="s">
        <v>30</v>
      </c>
      <c r="D587" s="49" t="s">
        <v>15005</v>
      </c>
      <c r="G587" s="49" t="s">
        <v>15006</v>
      </c>
      <c r="H587" s="49" t="s">
        <v>30907</v>
      </c>
      <c r="I587" s="49" t="s">
        <v>30911</v>
      </c>
      <c r="J587" s="49" t="s">
        <v>30939</v>
      </c>
      <c r="K587" s="49" t="s">
        <v>30943</v>
      </c>
      <c r="L587" s="49" t="s">
        <v>15007</v>
      </c>
      <c r="M587" s="49" t="s">
        <v>15008</v>
      </c>
      <c r="N587" s="49" t="s">
        <v>15009</v>
      </c>
      <c r="O587" s="49" t="s">
        <v>30915</v>
      </c>
      <c r="P587" s="49" t="s">
        <v>30919</v>
      </c>
      <c r="Q587" s="49" t="s">
        <v>30923</v>
      </c>
      <c r="R587" s="49" t="s">
        <v>30927</v>
      </c>
      <c r="S587" s="49" t="s">
        <v>30931</v>
      </c>
      <c r="T587" s="49" t="s">
        <v>30935</v>
      </c>
    </row>
    <row r="588" spans="1:21" x14ac:dyDescent="0.2">
      <c r="A588" s="49" t="s">
        <v>30</v>
      </c>
      <c r="D588" s="49" t="s">
        <v>15010</v>
      </c>
      <c r="G588" s="49" t="s">
        <v>15011</v>
      </c>
      <c r="H588" s="49" t="s">
        <v>30908</v>
      </c>
      <c r="I588" s="49" t="s">
        <v>30912</v>
      </c>
      <c r="J588" s="49" t="s">
        <v>30940</v>
      </c>
      <c r="K588" s="49" t="s">
        <v>30944</v>
      </c>
      <c r="L588" s="49" t="s">
        <v>15012</v>
      </c>
      <c r="M588" s="49" t="s">
        <v>15013</v>
      </c>
      <c r="N588" s="49" t="s">
        <v>15014</v>
      </c>
      <c r="O588" s="49" t="s">
        <v>30916</v>
      </c>
      <c r="P588" s="49" t="s">
        <v>30920</v>
      </c>
      <c r="Q588" s="49" t="s">
        <v>30924</v>
      </c>
      <c r="R588" s="49" t="s">
        <v>30928</v>
      </c>
      <c r="S588" s="49" t="s">
        <v>30932</v>
      </c>
      <c r="T588" s="49" t="s">
        <v>30936</v>
      </c>
    </row>
    <row r="589" spans="1:21" x14ac:dyDescent="0.2">
      <c r="A589" s="49" t="s">
        <v>30</v>
      </c>
      <c r="D589" s="49" t="s">
        <v>15015</v>
      </c>
      <c r="G589" s="49" t="s">
        <v>15016</v>
      </c>
      <c r="H589" s="49" t="s">
        <v>30909</v>
      </c>
      <c r="I589" s="49" t="s">
        <v>30913</v>
      </c>
      <c r="J589" s="49" t="s">
        <v>30941</v>
      </c>
      <c r="K589" s="49" t="s">
        <v>30945</v>
      </c>
      <c r="L589" s="49" t="s">
        <v>15017</v>
      </c>
      <c r="M589" s="49" t="s">
        <v>15018</v>
      </c>
      <c r="N589" s="49" t="s">
        <v>15019</v>
      </c>
      <c r="O589" s="49" t="s">
        <v>30917</v>
      </c>
      <c r="P589" s="49" t="s">
        <v>30921</v>
      </c>
      <c r="Q589" s="49" t="s">
        <v>30925</v>
      </c>
      <c r="R589" s="49" t="s">
        <v>30929</v>
      </c>
      <c r="S589" s="49" t="s">
        <v>30933</v>
      </c>
      <c r="T589" s="49" t="s">
        <v>30937</v>
      </c>
    </row>
    <row r="590" spans="1:21" x14ac:dyDescent="0.2">
      <c r="A590" s="49" t="s">
        <v>30</v>
      </c>
    </row>
    <row r="591" spans="1:21" x14ac:dyDescent="0.2">
      <c r="A591" s="49" t="s">
        <v>30</v>
      </c>
      <c r="E591" s="49" t="s">
        <v>31</v>
      </c>
      <c r="F591" s="49" t="s">
        <v>31</v>
      </c>
      <c r="G591" s="49" t="s">
        <v>31</v>
      </c>
      <c r="J591" s="49" t="s">
        <v>31</v>
      </c>
      <c r="K591" s="49" t="s">
        <v>31</v>
      </c>
      <c r="L591" s="49" t="s">
        <v>31</v>
      </c>
      <c r="M591" s="49" t="s">
        <v>31</v>
      </c>
    </row>
    <row r="592" spans="1:21" x14ac:dyDescent="0.2">
      <c r="A592" s="49" t="s">
        <v>30</v>
      </c>
      <c r="D592" s="49" t="s">
        <v>15020</v>
      </c>
      <c r="E592" s="49" t="s">
        <v>4881</v>
      </c>
      <c r="F592" s="49" t="s">
        <v>15021</v>
      </c>
      <c r="H592" s="49" t="s">
        <v>15022</v>
      </c>
      <c r="O592" s="49" t="s">
        <v>15023</v>
      </c>
      <c r="P592" s="49" t="s">
        <v>15024</v>
      </c>
      <c r="Q592" s="49" t="s">
        <v>15025</v>
      </c>
      <c r="R592" s="49" t="s">
        <v>15026</v>
      </c>
      <c r="S592" s="49" t="s">
        <v>15027</v>
      </c>
      <c r="T592" s="49" t="s">
        <v>15028</v>
      </c>
      <c r="U592" s="49" t="s">
        <v>15029</v>
      </c>
    </row>
    <row r="593" spans="1:21" x14ac:dyDescent="0.2">
      <c r="A593" s="49" t="s">
        <v>30</v>
      </c>
      <c r="D593" s="49" t="s">
        <v>5915</v>
      </c>
      <c r="G593" s="49" t="s">
        <v>15030</v>
      </c>
      <c r="H593" s="49" t="s">
        <v>5916</v>
      </c>
      <c r="I593" s="49" t="s">
        <v>5917</v>
      </c>
      <c r="J593" s="49" t="s">
        <v>5918</v>
      </c>
      <c r="K593" s="49" t="s">
        <v>5919</v>
      </c>
      <c r="L593" s="49" t="s">
        <v>5920</v>
      </c>
      <c r="M593" s="49" t="s">
        <v>5921</v>
      </c>
      <c r="N593" s="49" t="s">
        <v>5922</v>
      </c>
      <c r="O593" s="49" t="s">
        <v>5923</v>
      </c>
      <c r="P593" s="49" t="s">
        <v>5924</v>
      </c>
      <c r="Q593" s="49" t="s">
        <v>5925</v>
      </c>
      <c r="R593" s="49" t="s">
        <v>5926</v>
      </c>
      <c r="S593" s="49" t="s">
        <v>5927</v>
      </c>
      <c r="T593" s="49" t="s">
        <v>5928</v>
      </c>
    </row>
    <row r="594" spans="1:21" x14ac:dyDescent="0.2">
      <c r="A594" s="49" t="s">
        <v>30</v>
      </c>
      <c r="D594" s="49" t="s">
        <v>5929</v>
      </c>
      <c r="G594" s="49" t="s">
        <v>15031</v>
      </c>
      <c r="H594" s="49" t="s">
        <v>5930</v>
      </c>
      <c r="I594" s="49" t="s">
        <v>5931</v>
      </c>
      <c r="J594" s="49" t="s">
        <v>5932</v>
      </c>
      <c r="K594" s="49" t="s">
        <v>5933</v>
      </c>
      <c r="L594" s="49" t="s">
        <v>5934</v>
      </c>
      <c r="M594" s="49" t="s">
        <v>5935</v>
      </c>
      <c r="N594" s="49" t="s">
        <v>5936</v>
      </c>
      <c r="O594" s="49" t="s">
        <v>5937</v>
      </c>
      <c r="P594" s="49" t="s">
        <v>5938</v>
      </c>
      <c r="Q594" s="49" t="s">
        <v>5939</v>
      </c>
      <c r="R594" s="49" t="s">
        <v>5940</v>
      </c>
      <c r="S594" s="49" t="s">
        <v>5941</v>
      </c>
      <c r="T594" s="49" t="s">
        <v>5942</v>
      </c>
    </row>
    <row r="595" spans="1:21" x14ac:dyDescent="0.2">
      <c r="A595" s="49" t="s">
        <v>30</v>
      </c>
      <c r="D595" s="49" t="s">
        <v>5943</v>
      </c>
      <c r="G595" s="49" t="s">
        <v>15032</v>
      </c>
      <c r="H595" s="49" t="s">
        <v>5944</v>
      </c>
      <c r="I595" s="49" t="s">
        <v>5945</v>
      </c>
      <c r="J595" s="49" t="s">
        <v>5946</v>
      </c>
      <c r="K595" s="49" t="s">
        <v>5947</v>
      </c>
      <c r="L595" s="49" t="s">
        <v>5948</v>
      </c>
      <c r="M595" s="49" t="s">
        <v>5949</v>
      </c>
      <c r="N595" s="49" t="s">
        <v>5950</v>
      </c>
      <c r="O595" s="49" t="s">
        <v>5951</v>
      </c>
      <c r="P595" s="49" t="s">
        <v>5952</v>
      </c>
      <c r="Q595" s="49" t="s">
        <v>5953</v>
      </c>
      <c r="R595" s="49" t="s">
        <v>5954</v>
      </c>
      <c r="S595" s="49" t="s">
        <v>5955</v>
      </c>
      <c r="T595" s="49" t="s">
        <v>5956</v>
      </c>
    </row>
    <row r="596" spans="1:21" x14ac:dyDescent="0.2">
      <c r="A596" s="49" t="s">
        <v>30</v>
      </c>
      <c r="D596" s="49" t="s">
        <v>5957</v>
      </c>
      <c r="G596" s="49" t="s">
        <v>15033</v>
      </c>
      <c r="H596" s="49" t="s">
        <v>5958</v>
      </c>
      <c r="I596" s="49" t="s">
        <v>5959</v>
      </c>
      <c r="J596" s="49" t="s">
        <v>5960</v>
      </c>
      <c r="K596" s="49" t="s">
        <v>5961</v>
      </c>
      <c r="L596" s="49" t="s">
        <v>5962</v>
      </c>
      <c r="M596" s="49" t="s">
        <v>5963</v>
      </c>
      <c r="N596" s="49" t="s">
        <v>5964</v>
      </c>
      <c r="O596" s="49" t="s">
        <v>5965</v>
      </c>
      <c r="P596" s="49" t="s">
        <v>5966</v>
      </c>
      <c r="Q596" s="49" t="s">
        <v>5967</v>
      </c>
      <c r="R596" s="49" t="s">
        <v>5968</v>
      </c>
      <c r="S596" s="49" t="s">
        <v>5969</v>
      </c>
      <c r="T596" s="49" t="s">
        <v>5970</v>
      </c>
    </row>
    <row r="597" spans="1:21" x14ac:dyDescent="0.2">
      <c r="A597" s="49" t="s">
        <v>30</v>
      </c>
      <c r="D597" s="49" t="s">
        <v>5971</v>
      </c>
      <c r="G597" s="49" t="s">
        <v>15034</v>
      </c>
      <c r="H597" s="49" t="s">
        <v>5972</v>
      </c>
      <c r="I597" s="49" t="s">
        <v>5973</v>
      </c>
      <c r="J597" s="49" t="s">
        <v>5974</v>
      </c>
      <c r="K597" s="49" t="s">
        <v>5975</v>
      </c>
      <c r="L597" s="49" t="s">
        <v>5976</v>
      </c>
      <c r="M597" s="49" t="s">
        <v>5977</v>
      </c>
      <c r="N597" s="49" t="s">
        <v>5978</v>
      </c>
      <c r="O597" s="49" t="s">
        <v>5979</v>
      </c>
      <c r="P597" s="49" t="s">
        <v>5980</v>
      </c>
      <c r="Q597" s="49" t="s">
        <v>5981</v>
      </c>
      <c r="R597" s="49" t="s">
        <v>5982</v>
      </c>
      <c r="S597" s="49" t="s">
        <v>5983</v>
      </c>
      <c r="T597" s="49" t="s">
        <v>5984</v>
      </c>
    </row>
    <row r="598" spans="1:21" x14ac:dyDescent="0.2">
      <c r="A598" s="49" t="s">
        <v>30</v>
      </c>
      <c r="D598" s="49" t="s">
        <v>11189</v>
      </c>
      <c r="G598" s="49" t="s">
        <v>15035</v>
      </c>
      <c r="H598" s="49" t="s">
        <v>12328</v>
      </c>
      <c r="I598" s="49" t="s">
        <v>12330</v>
      </c>
      <c r="J598" s="49" t="s">
        <v>12344</v>
      </c>
      <c r="K598" s="49" t="s">
        <v>12346</v>
      </c>
      <c r="L598" s="49" t="s">
        <v>11190</v>
      </c>
      <c r="M598" s="49" t="s">
        <v>11191</v>
      </c>
      <c r="N598" s="49" t="s">
        <v>11192</v>
      </c>
      <c r="O598" s="49" t="s">
        <v>12332</v>
      </c>
      <c r="P598" s="49" t="s">
        <v>12334</v>
      </c>
      <c r="Q598" s="49" t="s">
        <v>12336</v>
      </c>
      <c r="R598" s="49" t="s">
        <v>12338</v>
      </c>
      <c r="S598" s="49" t="s">
        <v>12340</v>
      </c>
      <c r="T598" s="49" t="s">
        <v>12342</v>
      </c>
    </row>
    <row r="599" spans="1:21" x14ac:dyDescent="0.2">
      <c r="A599" s="49" t="s">
        <v>30</v>
      </c>
      <c r="D599" s="49" t="s">
        <v>11193</v>
      </c>
      <c r="G599" s="49" t="s">
        <v>15036</v>
      </c>
      <c r="H599" s="49" t="s">
        <v>12329</v>
      </c>
      <c r="I599" s="49" t="s">
        <v>12331</v>
      </c>
      <c r="J599" s="49" t="s">
        <v>12345</v>
      </c>
      <c r="K599" s="49" t="s">
        <v>12347</v>
      </c>
      <c r="L599" s="49" t="s">
        <v>11194</v>
      </c>
      <c r="M599" s="49" t="s">
        <v>11195</v>
      </c>
      <c r="N599" s="49" t="s">
        <v>11196</v>
      </c>
      <c r="O599" s="49" t="s">
        <v>12333</v>
      </c>
      <c r="P599" s="49" t="s">
        <v>12335</v>
      </c>
      <c r="Q599" s="49" t="s">
        <v>12337</v>
      </c>
      <c r="R599" s="49" t="s">
        <v>12339</v>
      </c>
      <c r="S599" s="49" t="s">
        <v>12341</v>
      </c>
      <c r="T599" s="49" t="s">
        <v>12343</v>
      </c>
    </row>
    <row r="600" spans="1:21" x14ac:dyDescent="0.2">
      <c r="A600" s="49" t="s">
        <v>30</v>
      </c>
      <c r="D600" s="49" t="s">
        <v>15037</v>
      </c>
      <c r="G600" s="49" t="s">
        <v>15038</v>
      </c>
      <c r="H600" s="49" t="s">
        <v>30886</v>
      </c>
      <c r="I600" s="49" t="s">
        <v>30888</v>
      </c>
      <c r="J600" s="49" t="s">
        <v>30902</v>
      </c>
      <c r="K600" s="49" t="s">
        <v>30904</v>
      </c>
      <c r="L600" s="49" t="s">
        <v>15039</v>
      </c>
      <c r="M600" s="49" t="s">
        <v>15040</v>
      </c>
      <c r="N600" s="49" t="s">
        <v>15041</v>
      </c>
      <c r="O600" s="49" t="s">
        <v>30890</v>
      </c>
      <c r="P600" s="49" t="s">
        <v>30892</v>
      </c>
      <c r="Q600" s="49" t="s">
        <v>30894</v>
      </c>
      <c r="R600" s="49" t="s">
        <v>30896</v>
      </c>
      <c r="S600" s="49" t="s">
        <v>30898</v>
      </c>
      <c r="T600" s="49" t="s">
        <v>30900</v>
      </c>
    </row>
    <row r="601" spans="1:21" x14ac:dyDescent="0.2">
      <c r="A601" s="49" t="s">
        <v>30</v>
      </c>
      <c r="D601" s="49" t="s">
        <v>15042</v>
      </c>
      <c r="G601" s="49" t="s">
        <v>15043</v>
      </c>
      <c r="H601" s="49" t="s">
        <v>30887</v>
      </c>
      <c r="I601" s="49" t="s">
        <v>30889</v>
      </c>
      <c r="J601" s="49" t="s">
        <v>30903</v>
      </c>
      <c r="K601" s="49" t="s">
        <v>30905</v>
      </c>
      <c r="L601" s="49" t="s">
        <v>15044</v>
      </c>
      <c r="M601" s="49" t="s">
        <v>15045</v>
      </c>
      <c r="N601" s="49" t="s">
        <v>15046</v>
      </c>
      <c r="O601" s="49" t="s">
        <v>30891</v>
      </c>
      <c r="P601" s="49" t="s">
        <v>30893</v>
      </c>
      <c r="Q601" s="49" t="s">
        <v>30895</v>
      </c>
      <c r="R601" s="49" t="s">
        <v>30897</v>
      </c>
      <c r="S601" s="49" t="s">
        <v>30899</v>
      </c>
      <c r="T601" s="49" t="s">
        <v>30901</v>
      </c>
    </row>
    <row r="602" spans="1:21" x14ac:dyDescent="0.2">
      <c r="A602" s="49" t="s">
        <v>30</v>
      </c>
    </row>
    <row r="603" spans="1:21" x14ac:dyDescent="0.2">
      <c r="A603" s="49" t="s">
        <v>30</v>
      </c>
      <c r="E603" s="49" t="s">
        <v>31</v>
      </c>
      <c r="F603" s="49" t="s">
        <v>31</v>
      </c>
      <c r="G603" s="49" t="s">
        <v>31</v>
      </c>
      <c r="J603" s="49" t="s">
        <v>31</v>
      </c>
      <c r="K603" s="49" t="s">
        <v>31</v>
      </c>
      <c r="L603" s="49" t="s">
        <v>31</v>
      </c>
      <c r="M603" s="49" t="s">
        <v>31</v>
      </c>
    </row>
    <row r="604" spans="1:21" x14ac:dyDescent="0.2">
      <c r="A604" s="49" t="s">
        <v>30</v>
      </c>
      <c r="D604" s="49" t="s">
        <v>15047</v>
      </c>
      <c r="E604" s="49" t="s">
        <v>4920</v>
      </c>
      <c r="F604" s="49" t="s">
        <v>15048</v>
      </c>
      <c r="H604" s="49" t="s">
        <v>15049</v>
      </c>
      <c r="O604" s="49" t="s">
        <v>15050</v>
      </c>
      <c r="P604" s="49" t="s">
        <v>15051</v>
      </c>
      <c r="Q604" s="49" t="s">
        <v>15052</v>
      </c>
      <c r="R604" s="49" t="s">
        <v>15053</v>
      </c>
      <c r="S604" s="49" t="s">
        <v>15054</v>
      </c>
      <c r="T604" s="49" t="s">
        <v>15055</v>
      </c>
      <c r="U604" s="49" t="s">
        <v>15056</v>
      </c>
    </row>
    <row r="605" spans="1:21" x14ac:dyDescent="0.2">
      <c r="A605" s="49" t="s">
        <v>30</v>
      </c>
      <c r="D605" s="49" t="s">
        <v>6002</v>
      </c>
      <c r="G605" s="49" t="s">
        <v>15057</v>
      </c>
      <c r="H605" s="49" t="s">
        <v>6003</v>
      </c>
      <c r="I605" s="49" t="s">
        <v>6004</v>
      </c>
      <c r="J605" s="49" t="s">
        <v>6005</v>
      </c>
      <c r="K605" s="49" t="s">
        <v>6006</v>
      </c>
      <c r="L605" s="49" t="s">
        <v>6007</v>
      </c>
      <c r="M605" s="49" t="s">
        <v>6008</v>
      </c>
      <c r="N605" s="49" t="s">
        <v>6009</v>
      </c>
      <c r="O605" s="49" t="s">
        <v>6010</v>
      </c>
      <c r="P605" s="49" t="s">
        <v>6011</v>
      </c>
      <c r="Q605" s="49" t="s">
        <v>6012</v>
      </c>
      <c r="R605" s="49" t="s">
        <v>6013</v>
      </c>
      <c r="S605" s="49" t="s">
        <v>6014</v>
      </c>
      <c r="T605" s="49" t="s">
        <v>6015</v>
      </c>
    </row>
    <row r="606" spans="1:21" x14ac:dyDescent="0.2">
      <c r="A606" s="49" t="s">
        <v>30</v>
      </c>
      <c r="D606" s="49" t="s">
        <v>6016</v>
      </c>
      <c r="G606" s="49" t="s">
        <v>15058</v>
      </c>
      <c r="H606" s="49" t="s">
        <v>6017</v>
      </c>
      <c r="I606" s="49" t="s">
        <v>6018</v>
      </c>
      <c r="J606" s="49" t="s">
        <v>6019</v>
      </c>
      <c r="K606" s="49" t="s">
        <v>6020</v>
      </c>
      <c r="L606" s="49" t="s">
        <v>6021</v>
      </c>
      <c r="M606" s="49" t="s">
        <v>6022</v>
      </c>
      <c r="N606" s="49" t="s">
        <v>6023</v>
      </c>
      <c r="O606" s="49" t="s">
        <v>6024</v>
      </c>
      <c r="P606" s="49" t="s">
        <v>6025</v>
      </c>
      <c r="Q606" s="49" t="s">
        <v>6026</v>
      </c>
      <c r="R606" s="49" t="s">
        <v>6027</v>
      </c>
      <c r="S606" s="49" t="s">
        <v>6028</v>
      </c>
      <c r="T606" s="49" t="s">
        <v>6029</v>
      </c>
    </row>
    <row r="607" spans="1:21" x14ac:dyDescent="0.2">
      <c r="A607" s="49" t="s">
        <v>30</v>
      </c>
      <c r="D607" s="49" t="s">
        <v>6030</v>
      </c>
      <c r="G607" s="49" t="s">
        <v>15059</v>
      </c>
      <c r="H607" s="49" t="s">
        <v>6031</v>
      </c>
      <c r="I607" s="49" t="s">
        <v>6032</v>
      </c>
      <c r="J607" s="49" t="s">
        <v>6033</v>
      </c>
      <c r="K607" s="49" t="s">
        <v>6034</v>
      </c>
      <c r="L607" s="49" t="s">
        <v>6035</v>
      </c>
      <c r="M607" s="49" t="s">
        <v>6036</v>
      </c>
      <c r="N607" s="49" t="s">
        <v>6037</v>
      </c>
      <c r="O607" s="49" t="s">
        <v>6038</v>
      </c>
      <c r="P607" s="49" t="s">
        <v>6039</v>
      </c>
      <c r="Q607" s="49" t="s">
        <v>6040</v>
      </c>
      <c r="R607" s="49" t="s">
        <v>6041</v>
      </c>
      <c r="S607" s="49" t="s">
        <v>6042</v>
      </c>
      <c r="T607" s="49" t="s">
        <v>6043</v>
      </c>
    </row>
    <row r="608" spans="1:21" x14ac:dyDescent="0.2">
      <c r="A608" s="49" t="s">
        <v>30</v>
      </c>
      <c r="D608" s="49" t="s">
        <v>6044</v>
      </c>
      <c r="G608" s="49" t="s">
        <v>15060</v>
      </c>
      <c r="H608" s="49" t="s">
        <v>6045</v>
      </c>
      <c r="I608" s="49" t="s">
        <v>6046</v>
      </c>
      <c r="J608" s="49" t="s">
        <v>6047</v>
      </c>
      <c r="K608" s="49" t="s">
        <v>6048</v>
      </c>
      <c r="L608" s="49" t="s">
        <v>6049</v>
      </c>
      <c r="M608" s="49" t="s">
        <v>6050</v>
      </c>
      <c r="N608" s="49" t="s">
        <v>6051</v>
      </c>
      <c r="O608" s="49" t="s">
        <v>6052</v>
      </c>
      <c r="P608" s="49" t="s">
        <v>6053</v>
      </c>
      <c r="Q608" s="49" t="s">
        <v>6054</v>
      </c>
      <c r="R608" s="49" t="s">
        <v>6055</v>
      </c>
      <c r="S608" s="49" t="s">
        <v>6056</v>
      </c>
      <c r="T608" s="49" t="s">
        <v>6057</v>
      </c>
    </row>
    <row r="609" spans="1:21" x14ac:dyDescent="0.2">
      <c r="A609" s="49" t="s">
        <v>30</v>
      </c>
      <c r="D609" s="49" t="s">
        <v>6058</v>
      </c>
      <c r="G609" s="49" t="s">
        <v>15061</v>
      </c>
      <c r="H609" s="49" t="s">
        <v>6059</v>
      </c>
      <c r="I609" s="49" t="s">
        <v>6060</v>
      </c>
      <c r="J609" s="49" t="s">
        <v>6061</v>
      </c>
      <c r="K609" s="49" t="s">
        <v>6062</v>
      </c>
      <c r="L609" s="49" t="s">
        <v>6063</v>
      </c>
      <c r="M609" s="49" t="s">
        <v>6064</v>
      </c>
      <c r="N609" s="49" t="s">
        <v>6065</v>
      </c>
      <c r="O609" s="49" t="s">
        <v>6066</v>
      </c>
      <c r="P609" s="49" t="s">
        <v>6067</v>
      </c>
      <c r="Q609" s="49" t="s">
        <v>6068</v>
      </c>
      <c r="R609" s="49" t="s">
        <v>6069</v>
      </c>
      <c r="S609" s="49" t="s">
        <v>6070</v>
      </c>
      <c r="T609" s="49" t="s">
        <v>6071</v>
      </c>
    </row>
    <row r="610" spans="1:21" x14ac:dyDescent="0.2">
      <c r="A610" s="49" t="s">
        <v>30</v>
      </c>
      <c r="D610" s="49" t="s">
        <v>6072</v>
      </c>
      <c r="G610" s="49" t="s">
        <v>15062</v>
      </c>
      <c r="H610" s="49" t="s">
        <v>6073</v>
      </c>
      <c r="I610" s="49" t="s">
        <v>6074</v>
      </c>
      <c r="J610" s="49" t="s">
        <v>6075</v>
      </c>
      <c r="K610" s="49" t="s">
        <v>6076</v>
      </c>
      <c r="L610" s="49" t="s">
        <v>6077</v>
      </c>
      <c r="M610" s="49" t="s">
        <v>6078</v>
      </c>
      <c r="N610" s="49" t="s">
        <v>6079</v>
      </c>
      <c r="O610" s="49" t="s">
        <v>6080</v>
      </c>
      <c r="P610" s="49" t="s">
        <v>6081</v>
      </c>
      <c r="Q610" s="49" t="s">
        <v>6082</v>
      </c>
      <c r="R610" s="49" t="s">
        <v>6083</v>
      </c>
      <c r="S610" s="49" t="s">
        <v>6084</v>
      </c>
      <c r="T610" s="49" t="s">
        <v>6085</v>
      </c>
    </row>
    <row r="611" spans="1:21" x14ac:dyDescent="0.2">
      <c r="A611" s="49" t="s">
        <v>30</v>
      </c>
      <c r="D611" s="49" t="s">
        <v>6086</v>
      </c>
      <c r="G611" s="49" t="s">
        <v>15063</v>
      </c>
      <c r="H611" s="49" t="s">
        <v>6087</v>
      </c>
      <c r="I611" s="49" t="s">
        <v>6088</v>
      </c>
      <c r="J611" s="49" t="s">
        <v>6089</v>
      </c>
      <c r="K611" s="49" t="s">
        <v>6090</v>
      </c>
      <c r="L611" s="49" t="s">
        <v>6091</v>
      </c>
      <c r="M611" s="49" t="s">
        <v>6092</v>
      </c>
      <c r="N611" s="49" t="s">
        <v>6093</v>
      </c>
      <c r="O611" s="49" t="s">
        <v>6094</v>
      </c>
      <c r="P611" s="49" t="s">
        <v>6095</v>
      </c>
      <c r="Q611" s="49" t="s">
        <v>6096</v>
      </c>
      <c r="R611" s="49" t="s">
        <v>6097</v>
      </c>
      <c r="S611" s="49" t="s">
        <v>6098</v>
      </c>
      <c r="T611" s="49" t="s">
        <v>6099</v>
      </c>
    </row>
    <row r="612" spans="1:21" x14ac:dyDescent="0.2">
      <c r="A612" s="49" t="s">
        <v>30</v>
      </c>
      <c r="D612" s="49" t="s">
        <v>6100</v>
      </c>
      <c r="G612" s="49" t="s">
        <v>15064</v>
      </c>
      <c r="H612" s="49" t="s">
        <v>6101</v>
      </c>
      <c r="I612" s="49" t="s">
        <v>6102</v>
      </c>
      <c r="J612" s="49" t="s">
        <v>6103</v>
      </c>
      <c r="K612" s="49" t="s">
        <v>6104</v>
      </c>
      <c r="L612" s="49" t="s">
        <v>6105</v>
      </c>
      <c r="M612" s="49" t="s">
        <v>6106</v>
      </c>
      <c r="N612" s="49" t="s">
        <v>6107</v>
      </c>
      <c r="O612" s="49" t="s">
        <v>6108</v>
      </c>
      <c r="P612" s="49" t="s">
        <v>6109</v>
      </c>
      <c r="Q612" s="49" t="s">
        <v>6110</v>
      </c>
      <c r="R612" s="49" t="s">
        <v>6111</v>
      </c>
      <c r="S612" s="49" t="s">
        <v>6112</v>
      </c>
      <c r="T612" s="49" t="s">
        <v>6113</v>
      </c>
    </row>
    <row r="613" spans="1:21" x14ac:dyDescent="0.2">
      <c r="A613" s="49" t="s">
        <v>30</v>
      </c>
      <c r="D613" s="49" t="s">
        <v>11200</v>
      </c>
      <c r="G613" s="49" t="s">
        <v>15065</v>
      </c>
      <c r="H613" s="49" t="s">
        <v>12314</v>
      </c>
      <c r="I613" s="49" t="s">
        <v>12316</v>
      </c>
      <c r="J613" s="49" t="s">
        <v>12324</v>
      </c>
      <c r="K613" s="49" t="s">
        <v>12326</v>
      </c>
      <c r="L613" s="49" t="s">
        <v>11201</v>
      </c>
      <c r="M613" s="49" t="s">
        <v>11202</v>
      </c>
      <c r="N613" s="49" t="s">
        <v>11203</v>
      </c>
      <c r="O613" s="49" t="s">
        <v>12318</v>
      </c>
      <c r="P613" s="49" t="s">
        <v>12319</v>
      </c>
      <c r="Q613" s="49" t="s">
        <v>12320</v>
      </c>
      <c r="R613" s="49" t="s">
        <v>12321</v>
      </c>
      <c r="S613" s="49" t="s">
        <v>12322</v>
      </c>
      <c r="T613" s="49" t="s">
        <v>12323</v>
      </c>
    </row>
    <row r="614" spans="1:21" x14ac:dyDescent="0.2">
      <c r="A614" s="49" t="s">
        <v>30</v>
      </c>
    </row>
    <row r="615" spans="1:21" x14ac:dyDescent="0.2">
      <c r="A615" s="49" t="s">
        <v>30</v>
      </c>
      <c r="E615" s="49" t="s">
        <v>31</v>
      </c>
      <c r="F615" s="49" t="s">
        <v>31</v>
      </c>
      <c r="G615" s="49" t="s">
        <v>31</v>
      </c>
      <c r="J615" s="49" t="s">
        <v>31</v>
      </c>
      <c r="K615" s="49" t="s">
        <v>31</v>
      </c>
      <c r="L615" s="49" t="s">
        <v>31</v>
      </c>
      <c r="M615" s="49" t="s">
        <v>31</v>
      </c>
    </row>
    <row r="616" spans="1:21" x14ac:dyDescent="0.2">
      <c r="A616" s="49" t="s">
        <v>30</v>
      </c>
      <c r="D616" s="49" t="s">
        <v>15066</v>
      </c>
      <c r="E616" s="49" t="s">
        <v>4949</v>
      </c>
      <c r="F616" s="49" t="s">
        <v>15067</v>
      </c>
      <c r="H616" s="49" t="s">
        <v>15068</v>
      </c>
      <c r="O616" s="49" t="s">
        <v>15069</v>
      </c>
      <c r="P616" s="49" t="s">
        <v>15070</v>
      </c>
      <c r="Q616" s="49" t="s">
        <v>15071</v>
      </c>
      <c r="R616" s="49" t="s">
        <v>15072</v>
      </c>
      <c r="S616" s="49" t="s">
        <v>15073</v>
      </c>
      <c r="T616" s="49" t="s">
        <v>15074</v>
      </c>
      <c r="U616" s="49" t="s">
        <v>15075</v>
      </c>
    </row>
    <row r="617" spans="1:21" x14ac:dyDescent="0.2">
      <c r="A617" s="49" t="s">
        <v>30</v>
      </c>
      <c r="D617" s="49" t="s">
        <v>15076</v>
      </c>
      <c r="G617" s="49" t="s">
        <v>15077</v>
      </c>
      <c r="H617" s="49" t="s">
        <v>30866</v>
      </c>
      <c r="I617" s="49" t="s">
        <v>30868</v>
      </c>
      <c r="J617" s="49" t="s">
        <v>30882</v>
      </c>
      <c r="K617" s="49" t="s">
        <v>30884</v>
      </c>
      <c r="L617" s="49" t="s">
        <v>15078</v>
      </c>
      <c r="M617" s="49" t="s">
        <v>15079</v>
      </c>
      <c r="N617" s="49" t="s">
        <v>15080</v>
      </c>
      <c r="O617" s="49" t="s">
        <v>30870</v>
      </c>
      <c r="P617" s="49" t="s">
        <v>30872</v>
      </c>
      <c r="Q617" s="49" t="s">
        <v>30874</v>
      </c>
      <c r="R617" s="49" t="s">
        <v>30876</v>
      </c>
      <c r="S617" s="49" t="s">
        <v>30878</v>
      </c>
      <c r="T617" s="49" t="s">
        <v>30880</v>
      </c>
    </row>
    <row r="618" spans="1:21" x14ac:dyDescent="0.2">
      <c r="A618" s="49" t="s">
        <v>30</v>
      </c>
      <c r="D618" s="49" t="s">
        <v>6115</v>
      </c>
      <c r="G618" s="49" t="s">
        <v>15081</v>
      </c>
      <c r="H618" s="49" t="s">
        <v>6116</v>
      </c>
      <c r="I618" s="49" t="s">
        <v>6117</v>
      </c>
      <c r="J618" s="49" t="s">
        <v>6118</v>
      </c>
      <c r="K618" s="49" t="s">
        <v>6119</v>
      </c>
      <c r="L618" s="49" t="s">
        <v>6120</v>
      </c>
      <c r="M618" s="49" t="s">
        <v>6121</v>
      </c>
      <c r="N618" s="49" t="s">
        <v>6122</v>
      </c>
      <c r="O618" s="49" t="s">
        <v>6123</v>
      </c>
      <c r="P618" s="49" t="s">
        <v>6124</v>
      </c>
      <c r="Q618" s="49" t="s">
        <v>6125</v>
      </c>
      <c r="R618" s="49" t="s">
        <v>6126</v>
      </c>
      <c r="S618" s="49" t="s">
        <v>6127</v>
      </c>
      <c r="T618" s="49" t="s">
        <v>6128</v>
      </c>
    </row>
    <row r="619" spans="1:21" x14ac:dyDescent="0.2">
      <c r="A619" s="49" t="s">
        <v>30</v>
      </c>
      <c r="D619" s="49" t="s">
        <v>6129</v>
      </c>
      <c r="G619" s="49" t="s">
        <v>15082</v>
      </c>
      <c r="H619" s="49" t="s">
        <v>6130</v>
      </c>
      <c r="I619" s="49" t="s">
        <v>6131</v>
      </c>
      <c r="J619" s="49" t="s">
        <v>6132</v>
      </c>
      <c r="K619" s="49" t="s">
        <v>6133</v>
      </c>
      <c r="L619" s="49" t="s">
        <v>6134</v>
      </c>
      <c r="M619" s="49" t="s">
        <v>6135</v>
      </c>
      <c r="N619" s="49" t="s">
        <v>6136</v>
      </c>
      <c r="O619" s="49" t="s">
        <v>6137</v>
      </c>
      <c r="P619" s="49" t="s">
        <v>6138</v>
      </c>
      <c r="Q619" s="49" t="s">
        <v>6139</v>
      </c>
      <c r="R619" s="49" t="s">
        <v>6140</v>
      </c>
      <c r="S619" s="49" t="s">
        <v>6141</v>
      </c>
      <c r="T619" s="49" t="s">
        <v>6142</v>
      </c>
    </row>
    <row r="620" spans="1:21" x14ac:dyDescent="0.2">
      <c r="A620" s="49" t="s">
        <v>30</v>
      </c>
      <c r="D620" s="49" t="s">
        <v>6143</v>
      </c>
      <c r="G620" s="49" t="s">
        <v>15083</v>
      </c>
      <c r="H620" s="49" t="s">
        <v>6144</v>
      </c>
      <c r="I620" s="49" t="s">
        <v>6145</v>
      </c>
      <c r="J620" s="49" t="s">
        <v>6146</v>
      </c>
      <c r="K620" s="49" t="s">
        <v>6147</v>
      </c>
      <c r="L620" s="49" t="s">
        <v>6148</v>
      </c>
      <c r="M620" s="49" t="s">
        <v>6149</v>
      </c>
      <c r="N620" s="49" t="s">
        <v>6150</v>
      </c>
      <c r="O620" s="49" t="s">
        <v>6151</v>
      </c>
      <c r="P620" s="49" t="s">
        <v>6152</v>
      </c>
      <c r="Q620" s="49" t="s">
        <v>6153</v>
      </c>
      <c r="R620" s="49" t="s">
        <v>6154</v>
      </c>
      <c r="S620" s="49" t="s">
        <v>6155</v>
      </c>
      <c r="T620" s="49" t="s">
        <v>6156</v>
      </c>
    </row>
    <row r="621" spans="1:21" x14ac:dyDescent="0.2">
      <c r="A621" s="49" t="s">
        <v>30</v>
      </c>
      <c r="D621" s="49" t="s">
        <v>6157</v>
      </c>
      <c r="G621" s="49" t="s">
        <v>15084</v>
      </c>
      <c r="H621" s="49" t="s">
        <v>6158</v>
      </c>
      <c r="I621" s="49" t="s">
        <v>6159</v>
      </c>
      <c r="J621" s="49" t="s">
        <v>6160</v>
      </c>
      <c r="K621" s="49" t="s">
        <v>6161</v>
      </c>
      <c r="L621" s="49" t="s">
        <v>6162</v>
      </c>
      <c r="M621" s="49" t="s">
        <v>6163</v>
      </c>
      <c r="N621" s="49" t="s">
        <v>6164</v>
      </c>
      <c r="O621" s="49" t="s">
        <v>6165</v>
      </c>
      <c r="P621" s="49" t="s">
        <v>6166</v>
      </c>
      <c r="Q621" s="49" t="s">
        <v>6167</v>
      </c>
      <c r="R621" s="49" t="s">
        <v>6168</v>
      </c>
      <c r="S621" s="49" t="s">
        <v>6169</v>
      </c>
      <c r="T621" s="49" t="s">
        <v>6170</v>
      </c>
    </row>
    <row r="622" spans="1:21" x14ac:dyDescent="0.2">
      <c r="A622" s="49" t="s">
        <v>30</v>
      </c>
      <c r="D622" s="49" t="s">
        <v>6171</v>
      </c>
      <c r="G622" s="49" t="s">
        <v>15085</v>
      </c>
      <c r="H622" s="49" t="s">
        <v>6172</v>
      </c>
      <c r="I622" s="49" t="s">
        <v>6173</v>
      </c>
      <c r="J622" s="49" t="s">
        <v>6174</v>
      </c>
      <c r="K622" s="49" t="s">
        <v>6175</v>
      </c>
      <c r="L622" s="49" t="s">
        <v>6176</v>
      </c>
      <c r="M622" s="49" t="s">
        <v>6177</v>
      </c>
      <c r="N622" s="49" t="s">
        <v>6178</v>
      </c>
      <c r="O622" s="49" t="s">
        <v>6179</v>
      </c>
      <c r="P622" s="49" t="s">
        <v>6180</v>
      </c>
      <c r="Q622" s="49" t="s">
        <v>6181</v>
      </c>
      <c r="R622" s="49" t="s">
        <v>6182</v>
      </c>
      <c r="S622" s="49" t="s">
        <v>6183</v>
      </c>
      <c r="T622" s="49" t="s">
        <v>6184</v>
      </c>
    </row>
    <row r="623" spans="1:21" x14ac:dyDescent="0.2">
      <c r="A623" s="49" t="s">
        <v>30</v>
      </c>
      <c r="D623" s="49" t="s">
        <v>6185</v>
      </c>
      <c r="G623" s="49" t="s">
        <v>15086</v>
      </c>
      <c r="H623" s="49" t="s">
        <v>6186</v>
      </c>
      <c r="I623" s="49" t="s">
        <v>6187</v>
      </c>
      <c r="J623" s="49" t="s">
        <v>6188</v>
      </c>
      <c r="K623" s="49" t="s">
        <v>6189</v>
      </c>
      <c r="L623" s="49" t="s">
        <v>6190</v>
      </c>
      <c r="M623" s="49" t="s">
        <v>6191</v>
      </c>
      <c r="N623" s="49" t="s">
        <v>6192</v>
      </c>
      <c r="O623" s="49" t="s">
        <v>6193</v>
      </c>
      <c r="P623" s="49" t="s">
        <v>6194</v>
      </c>
      <c r="Q623" s="49" t="s">
        <v>6195</v>
      </c>
      <c r="R623" s="49" t="s">
        <v>6196</v>
      </c>
      <c r="S623" s="49" t="s">
        <v>6197</v>
      </c>
      <c r="T623" s="49" t="s">
        <v>6198</v>
      </c>
    </row>
    <row r="624" spans="1:21" x14ac:dyDescent="0.2">
      <c r="A624" s="49" t="s">
        <v>30</v>
      </c>
      <c r="D624" s="49" t="s">
        <v>6199</v>
      </c>
      <c r="G624" s="49" t="s">
        <v>15087</v>
      </c>
      <c r="H624" s="49" t="s">
        <v>6200</v>
      </c>
      <c r="I624" s="49" t="s">
        <v>6201</v>
      </c>
      <c r="J624" s="49" t="s">
        <v>6202</v>
      </c>
      <c r="K624" s="49" t="s">
        <v>6203</v>
      </c>
      <c r="L624" s="49" t="s">
        <v>6204</v>
      </c>
      <c r="M624" s="49" t="s">
        <v>6205</v>
      </c>
      <c r="N624" s="49" t="s">
        <v>6206</v>
      </c>
      <c r="O624" s="49" t="s">
        <v>6207</v>
      </c>
      <c r="P624" s="49" t="s">
        <v>6208</v>
      </c>
      <c r="Q624" s="49" t="s">
        <v>6209</v>
      </c>
      <c r="R624" s="49" t="s">
        <v>6210</v>
      </c>
      <c r="S624" s="49" t="s">
        <v>6211</v>
      </c>
      <c r="T624" s="49" t="s">
        <v>6212</v>
      </c>
    </row>
    <row r="625" spans="1:21" x14ac:dyDescent="0.2">
      <c r="A625" s="49" t="s">
        <v>30</v>
      </c>
      <c r="D625" s="49" t="s">
        <v>6213</v>
      </c>
      <c r="G625" s="49" t="s">
        <v>15088</v>
      </c>
      <c r="H625" s="49" t="s">
        <v>6214</v>
      </c>
      <c r="I625" s="49" t="s">
        <v>6215</v>
      </c>
      <c r="J625" s="49" t="s">
        <v>6216</v>
      </c>
      <c r="K625" s="49" t="s">
        <v>6217</v>
      </c>
      <c r="L625" s="49" t="s">
        <v>6218</v>
      </c>
      <c r="M625" s="49" t="s">
        <v>6219</v>
      </c>
      <c r="N625" s="49" t="s">
        <v>6220</v>
      </c>
      <c r="O625" s="49" t="s">
        <v>6221</v>
      </c>
      <c r="P625" s="49" t="s">
        <v>6222</v>
      </c>
      <c r="Q625" s="49" t="s">
        <v>6223</v>
      </c>
      <c r="R625" s="49" t="s">
        <v>6224</v>
      </c>
      <c r="S625" s="49" t="s">
        <v>6225</v>
      </c>
      <c r="T625" s="49" t="s">
        <v>6226</v>
      </c>
    </row>
    <row r="626" spans="1:21" x14ac:dyDescent="0.2">
      <c r="A626" s="49" t="s">
        <v>30</v>
      </c>
      <c r="D626" s="49" t="s">
        <v>6227</v>
      </c>
      <c r="G626" s="49" t="s">
        <v>15089</v>
      </c>
      <c r="H626" s="49" t="s">
        <v>6228</v>
      </c>
      <c r="I626" s="49" t="s">
        <v>6229</v>
      </c>
      <c r="J626" s="49" t="s">
        <v>6230</v>
      </c>
      <c r="K626" s="49" t="s">
        <v>6231</v>
      </c>
      <c r="L626" s="49" t="s">
        <v>6232</v>
      </c>
      <c r="M626" s="49" t="s">
        <v>6233</v>
      </c>
      <c r="N626" s="49" t="s">
        <v>6234</v>
      </c>
      <c r="O626" s="49" t="s">
        <v>6235</v>
      </c>
      <c r="P626" s="49" t="s">
        <v>6236</v>
      </c>
      <c r="Q626" s="49" t="s">
        <v>6237</v>
      </c>
      <c r="R626" s="49" t="s">
        <v>6238</v>
      </c>
      <c r="S626" s="49" t="s">
        <v>6239</v>
      </c>
      <c r="T626" s="49" t="s">
        <v>6240</v>
      </c>
    </row>
    <row r="627" spans="1:21" x14ac:dyDescent="0.2">
      <c r="A627" s="49" t="s">
        <v>30</v>
      </c>
      <c r="D627" s="49" t="s">
        <v>15090</v>
      </c>
      <c r="G627" s="49" t="s">
        <v>15091</v>
      </c>
      <c r="H627" s="49" t="s">
        <v>30867</v>
      </c>
      <c r="I627" s="49" t="s">
        <v>30869</v>
      </c>
      <c r="J627" s="49" t="s">
        <v>30883</v>
      </c>
      <c r="K627" s="49" t="s">
        <v>30885</v>
      </c>
      <c r="L627" s="49" t="s">
        <v>15092</v>
      </c>
      <c r="M627" s="49" t="s">
        <v>15093</v>
      </c>
      <c r="N627" s="49" t="s">
        <v>15094</v>
      </c>
      <c r="O627" s="49" t="s">
        <v>30871</v>
      </c>
      <c r="P627" s="49" t="s">
        <v>30873</v>
      </c>
      <c r="Q627" s="49" t="s">
        <v>30875</v>
      </c>
      <c r="R627" s="49" t="s">
        <v>30877</v>
      </c>
      <c r="S627" s="49" t="s">
        <v>30879</v>
      </c>
      <c r="T627" s="49" t="s">
        <v>30881</v>
      </c>
    </row>
    <row r="628" spans="1:21" x14ac:dyDescent="0.2">
      <c r="A628" s="49" t="s">
        <v>30</v>
      </c>
    </row>
    <row r="629" spans="1:21" x14ac:dyDescent="0.2">
      <c r="A629" s="49" t="s">
        <v>30</v>
      </c>
      <c r="E629" s="49" t="s">
        <v>31</v>
      </c>
      <c r="F629" s="49" t="s">
        <v>31</v>
      </c>
      <c r="G629" s="49" t="s">
        <v>31</v>
      </c>
      <c r="J629" s="49" t="s">
        <v>31</v>
      </c>
      <c r="K629" s="49" t="s">
        <v>31</v>
      </c>
      <c r="L629" s="49" t="s">
        <v>31</v>
      </c>
      <c r="M629" s="49" t="s">
        <v>31</v>
      </c>
    </row>
    <row r="630" spans="1:21" x14ac:dyDescent="0.2">
      <c r="A630" s="49" t="s">
        <v>30</v>
      </c>
      <c r="D630" s="49" t="s">
        <v>15095</v>
      </c>
      <c r="E630" s="49" t="s">
        <v>4951</v>
      </c>
      <c r="F630" s="49" t="s">
        <v>15096</v>
      </c>
      <c r="H630" s="49" t="s">
        <v>15097</v>
      </c>
      <c r="O630" s="49" t="s">
        <v>15098</v>
      </c>
      <c r="P630" s="49" t="s">
        <v>15099</v>
      </c>
      <c r="Q630" s="49" t="s">
        <v>15100</v>
      </c>
      <c r="R630" s="49" t="s">
        <v>15101</v>
      </c>
      <c r="S630" s="49" t="s">
        <v>15102</v>
      </c>
      <c r="T630" s="49" t="s">
        <v>15103</v>
      </c>
      <c r="U630" s="49" t="s">
        <v>15104</v>
      </c>
    </row>
    <row r="631" spans="1:21" x14ac:dyDescent="0.2">
      <c r="A631" s="49" t="s">
        <v>30</v>
      </c>
      <c r="D631" s="49" t="s">
        <v>6253</v>
      </c>
      <c r="G631" s="49" t="s">
        <v>15105</v>
      </c>
      <c r="H631" s="49" t="s">
        <v>6254</v>
      </c>
      <c r="I631" s="49" t="s">
        <v>6255</v>
      </c>
      <c r="J631" s="49" t="s">
        <v>6256</v>
      </c>
      <c r="K631" s="49" t="s">
        <v>6257</v>
      </c>
      <c r="L631" s="49" t="s">
        <v>6258</v>
      </c>
      <c r="M631" s="49" t="s">
        <v>6259</v>
      </c>
      <c r="N631" s="49" t="s">
        <v>6260</v>
      </c>
      <c r="O631" s="49" t="s">
        <v>6261</v>
      </c>
      <c r="P631" s="49" t="s">
        <v>6262</v>
      </c>
      <c r="Q631" s="49" t="s">
        <v>6263</v>
      </c>
      <c r="R631" s="49" t="s">
        <v>6264</v>
      </c>
      <c r="S631" s="49" t="s">
        <v>6265</v>
      </c>
      <c r="T631" s="49" t="s">
        <v>6266</v>
      </c>
    </row>
    <row r="632" spans="1:21" x14ac:dyDescent="0.2">
      <c r="A632" s="49" t="s">
        <v>30</v>
      </c>
      <c r="D632" s="49" t="s">
        <v>6267</v>
      </c>
      <c r="G632" s="49" t="s">
        <v>15106</v>
      </c>
      <c r="H632" s="49" t="s">
        <v>6268</v>
      </c>
      <c r="I632" s="49" t="s">
        <v>6269</v>
      </c>
      <c r="J632" s="49" t="s">
        <v>6270</v>
      </c>
      <c r="K632" s="49" t="s">
        <v>6271</v>
      </c>
      <c r="L632" s="49" t="s">
        <v>6272</v>
      </c>
      <c r="M632" s="49" t="s">
        <v>6273</v>
      </c>
      <c r="N632" s="49" t="s">
        <v>6274</v>
      </c>
      <c r="O632" s="49" t="s">
        <v>6275</v>
      </c>
      <c r="P632" s="49" t="s">
        <v>6276</v>
      </c>
      <c r="Q632" s="49" t="s">
        <v>6277</v>
      </c>
      <c r="R632" s="49" t="s">
        <v>6278</v>
      </c>
      <c r="S632" s="49" t="s">
        <v>6279</v>
      </c>
      <c r="T632" s="49" t="s">
        <v>6280</v>
      </c>
    </row>
    <row r="633" spans="1:21" x14ac:dyDescent="0.2">
      <c r="A633" s="49" t="s">
        <v>30</v>
      </c>
      <c r="D633" s="49" t="s">
        <v>6281</v>
      </c>
      <c r="G633" s="49" t="s">
        <v>15107</v>
      </c>
      <c r="H633" s="49" t="s">
        <v>6282</v>
      </c>
      <c r="I633" s="49" t="s">
        <v>6283</v>
      </c>
      <c r="J633" s="49" t="s">
        <v>6284</v>
      </c>
      <c r="K633" s="49" t="s">
        <v>6285</v>
      </c>
      <c r="L633" s="49" t="s">
        <v>6286</v>
      </c>
      <c r="M633" s="49" t="s">
        <v>6287</v>
      </c>
      <c r="N633" s="49" t="s">
        <v>6288</v>
      </c>
      <c r="O633" s="49" t="s">
        <v>6289</v>
      </c>
      <c r="P633" s="49" t="s">
        <v>6290</v>
      </c>
      <c r="Q633" s="49" t="s">
        <v>6291</v>
      </c>
      <c r="R633" s="49" t="s">
        <v>6292</v>
      </c>
      <c r="S633" s="49" t="s">
        <v>6293</v>
      </c>
      <c r="T633" s="49" t="s">
        <v>6294</v>
      </c>
    </row>
    <row r="634" spans="1:21" x14ac:dyDescent="0.2">
      <c r="A634" s="49" t="s">
        <v>30</v>
      </c>
      <c r="D634" s="49" t="s">
        <v>6295</v>
      </c>
      <c r="G634" s="49" t="s">
        <v>15108</v>
      </c>
      <c r="H634" s="49" t="s">
        <v>6296</v>
      </c>
      <c r="I634" s="49" t="s">
        <v>6297</v>
      </c>
      <c r="J634" s="49" t="s">
        <v>6298</v>
      </c>
      <c r="K634" s="49" t="s">
        <v>6299</v>
      </c>
      <c r="L634" s="49" t="s">
        <v>6300</v>
      </c>
      <c r="M634" s="49" t="s">
        <v>6301</v>
      </c>
      <c r="N634" s="49" t="s">
        <v>6302</v>
      </c>
      <c r="O634" s="49" t="s">
        <v>6303</v>
      </c>
      <c r="P634" s="49" t="s">
        <v>6304</v>
      </c>
      <c r="Q634" s="49" t="s">
        <v>6305</v>
      </c>
      <c r="R634" s="49" t="s">
        <v>6306</v>
      </c>
      <c r="S634" s="49" t="s">
        <v>6307</v>
      </c>
      <c r="T634" s="49" t="s">
        <v>6308</v>
      </c>
    </row>
    <row r="635" spans="1:21" x14ac:dyDescent="0.2">
      <c r="A635" s="49" t="s">
        <v>30</v>
      </c>
      <c r="D635" s="49" t="s">
        <v>6309</v>
      </c>
      <c r="G635" s="49" t="s">
        <v>15109</v>
      </c>
      <c r="H635" s="49" t="s">
        <v>6310</v>
      </c>
      <c r="I635" s="49" t="s">
        <v>6311</v>
      </c>
      <c r="J635" s="49" t="s">
        <v>6312</v>
      </c>
      <c r="K635" s="49" t="s">
        <v>6313</v>
      </c>
      <c r="L635" s="49" t="s">
        <v>6314</v>
      </c>
      <c r="M635" s="49" t="s">
        <v>6315</v>
      </c>
      <c r="N635" s="49" t="s">
        <v>6316</v>
      </c>
      <c r="O635" s="49" t="s">
        <v>6317</v>
      </c>
      <c r="P635" s="49" t="s">
        <v>6318</v>
      </c>
      <c r="Q635" s="49" t="s">
        <v>6319</v>
      </c>
      <c r="R635" s="49" t="s">
        <v>6320</v>
      </c>
      <c r="S635" s="49" t="s">
        <v>6321</v>
      </c>
      <c r="T635" s="49" t="s">
        <v>6322</v>
      </c>
    </row>
    <row r="636" spans="1:21" x14ac:dyDescent="0.2">
      <c r="A636" s="49" t="s">
        <v>30</v>
      </c>
      <c r="D636" s="49" t="s">
        <v>6323</v>
      </c>
      <c r="G636" s="49" t="s">
        <v>15110</v>
      </c>
      <c r="H636" s="49" t="s">
        <v>6324</v>
      </c>
      <c r="I636" s="49" t="s">
        <v>6325</v>
      </c>
      <c r="J636" s="49" t="s">
        <v>6326</v>
      </c>
      <c r="K636" s="49" t="s">
        <v>6327</v>
      </c>
      <c r="L636" s="49" t="s">
        <v>6328</v>
      </c>
      <c r="M636" s="49" t="s">
        <v>6329</v>
      </c>
      <c r="N636" s="49" t="s">
        <v>6330</v>
      </c>
      <c r="O636" s="49" t="s">
        <v>6331</v>
      </c>
      <c r="P636" s="49" t="s">
        <v>6332</v>
      </c>
      <c r="Q636" s="49" t="s">
        <v>6333</v>
      </c>
      <c r="R636" s="49" t="s">
        <v>6334</v>
      </c>
      <c r="S636" s="49" t="s">
        <v>6335</v>
      </c>
      <c r="T636" s="49" t="s">
        <v>6336</v>
      </c>
    </row>
    <row r="637" spans="1:21" x14ac:dyDescent="0.2">
      <c r="A637" s="49" t="s">
        <v>30</v>
      </c>
      <c r="D637" s="49" t="s">
        <v>6337</v>
      </c>
      <c r="G637" s="49" t="s">
        <v>15111</v>
      </c>
      <c r="H637" s="49" t="s">
        <v>6338</v>
      </c>
      <c r="I637" s="49" t="s">
        <v>6339</v>
      </c>
      <c r="J637" s="49" t="s">
        <v>6340</v>
      </c>
      <c r="K637" s="49" t="s">
        <v>6341</v>
      </c>
      <c r="L637" s="49" t="s">
        <v>6342</v>
      </c>
      <c r="M637" s="49" t="s">
        <v>6343</v>
      </c>
      <c r="N637" s="49" t="s">
        <v>6344</v>
      </c>
      <c r="O637" s="49" t="s">
        <v>6345</v>
      </c>
      <c r="P637" s="49" t="s">
        <v>6346</v>
      </c>
      <c r="Q637" s="49" t="s">
        <v>6347</v>
      </c>
      <c r="R637" s="49" t="s">
        <v>6348</v>
      </c>
      <c r="S637" s="49" t="s">
        <v>6349</v>
      </c>
      <c r="T637" s="49" t="s">
        <v>6350</v>
      </c>
    </row>
    <row r="638" spans="1:21" x14ac:dyDescent="0.2">
      <c r="A638" s="49" t="s">
        <v>30</v>
      </c>
      <c r="D638" s="49" t="s">
        <v>11208</v>
      </c>
      <c r="G638" s="49" t="s">
        <v>15112</v>
      </c>
      <c r="H638" s="49" t="s">
        <v>12290</v>
      </c>
      <c r="I638" s="49" t="s">
        <v>12293</v>
      </c>
      <c r="J638" s="49" t="s">
        <v>12308</v>
      </c>
      <c r="K638" s="49" t="s">
        <v>12311</v>
      </c>
      <c r="L638" s="49" t="s">
        <v>11209</v>
      </c>
      <c r="M638" s="49" t="s">
        <v>11210</v>
      </c>
      <c r="N638" s="49" t="s">
        <v>11211</v>
      </c>
      <c r="O638" s="49" t="s">
        <v>12296</v>
      </c>
      <c r="P638" s="49" t="s">
        <v>12298</v>
      </c>
      <c r="Q638" s="49" t="s">
        <v>12300</v>
      </c>
      <c r="R638" s="49" t="s">
        <v>12302</v>
      </c>
      <c r="S638" s="49" t="s">
        <v>12304</v>
      </c>
      <c r="T638" s="49" t="s">
        <v>12306</v>
      </c>
    </row>
    <row r="639" spans="1:21" x14ac:dyDescent="0.2">
      <c r="A639" s="49" t="s">
        <v>30</v>
      </c>
      <c r="D639" s="49" t="s">
        <v>11212</v>
      </c>
      <c r="G639" s="49" t="s">
        <v>15113</v>
      </c>
      <c r="H639" s="49" t="s">
        <v>12291</v>
      </c>
      <c r="I639" s="49" t="s">
        <v>12294</v>
      </c>
      <c r="J639" s="49" t="s">
        <v>12309</v>
      </c>
      <c r="K639" s="49" t="s">
        <v>12312</v>
      </c>
      <c r="L639" s="49" t="s">
        <v>11213</v>
      </c>
      <c r="M639" s="49" t="s">
        <v>11214</v>
      </c>
      <c r="N639" s="49" t="s">
        <v>11215</v>
      </c>
      <c r="O639" s="49" t="s">
        <v>12297</v>
      </c>
      <c r="P639" s="49" t="s">
        <v>12299</v>
      </c>
      <c r="Q639" s="49" t="s">
        <v>12301</v>
      </c>
      <c r="R639" s="49" t="s">
        <v>12303</v>
      </c>
      <c r="S639" s="49" t="s">
        <v>12305</v>
      </c>
      <c r="T639" s="49" t="s">
        <v>12307</v>
      </c>
    </row>
    <row r="640" spans="1:21" x14ac:dyDescent="0.2">
      <c r="A640" s="49" t="s">
        <v>30</v>
      </c>
    </row>
    <row r="641" spans="1:21" x14ac:dyDescent="0.2">
      <c r="A641" s="49" t="s">
        <v>30</v>
      </c>
      <c r="E641" s="49" t="s">
        <v>31</v>
      </c>
      <c r="F641" s="49" t="s">
        <v>31</v>
      </c>
      <c r="G641" s="49" t="s">
        <v>31</v>
      </c>
      <c r="J641" s="49" t="s">
        <v>31</v>
      </c>
      <c r="K641" s="49" t="s">
        <v>31</v>
      </c>
      <c r="L641" s="49" t="s">
        <v>31</v>
      </c>
      <c r="M641" s="49" t="s">
        <v>31</v>
      </c>
    </row>
    <row r="642" spans="1:21" x14ac:dyDescent="0.2">
      <c r="A642" s="49" t="s">
        <v>30</v>
      </c>
      <c r="D642" s="49" t="s">
        <v>15114</v>
      </c>
      <c r="E642" s="49" t="s">
        <v>4968</v>
      </c>
      <c r="F642" s="49" t="s">
        <v>15115</v>
      </c>
      <c r="H642" s="49" t="s">
        <v>15116</v>
      </c>
      <c r="O642" s="49" t="s">
        <v>15117</v>
      </c>
      <c r="P642" s="49" t="s">
        <v>15118</v>
      </c>
      <c r="Q642" s="49" t="s">
        <v>15119</v>
      </c>
      <c r="R642" s="49" t="s">
        <v>15120</v>
      </c>
      <c r="S642" s="49" t="s">
        <v>15121</v>
      </c>
      <c r="T642" s="49" t="s">
        <v>15122</v>
      </c>
      <c r="U642" s="49" t="s">
        <v>15123</v>
      </c>
    </row>
    <row r="643" spans="1:21" x14ac:dyDescent="0.2">
      <c r="A643" s="49" t="s">
        <v>30</v>
      </c>
      <c r="D643" s="49" t="s">
        <v>15124</v>
      </c>
      <c r="G643" s="49" t="s">
        <v>15125</v>
      </c>
      <c r="H643" s="49" t="s">
        <v>30836</v>
      </c>
      <c r="I643" s="49" t="s">
        <v>30839</v>
      </c>
      <c r="J643" s="49" t="s">
        <v>30860</v>
      </c>
      <c r="K643" s="49" t="s">
        <v>30863</v>
      </c>
      <c r="L643" s="49" t="s">
        <v>15126</v>
      </c>
      <c r="M643" s="49" t="s">
        <v>15127</v>
      </c>
      <c r="N643" s="49" t="s">
        <v>15128</v>
      </c>
      <c r="O643" s="49" t="s">
        <v>30842</v>
      </c>
      <c r="P643" s="49" t="s">
        <v>30845</v>
      </c>
      <c r="Q643" s="49" t="s">
        <v>30848</v>
      </c>
      <c r="R643" s="49" t="s">
        <v>30851</v>
      </c>
      <c r="S643" s="49" t="s">
        <v>30854</v>
      </c>
      <c r="T643" s="49" t="s">
        <v>30857</v>
      </c>
    </row>
    <row r="644" spans="1:21" x14ac:dyDescent="0.2">
      <c r="A644" s="49" t="s">
        <v>30</v>
      </c>
      <c r="D644" s="49" t="s">
        <v>15129</v>
      </c>
      <c r="G644" s="49" t="s">
        <v>15130</v>
      </c>
      <c r="H644" s="49" t="s">
        <v>30837</v>
      </c>
      <c r="I644" s="49" t="s">
        <v>30840</v>
      </c>
      <c r="J644" s="49" t="s">
        <v>30861</v>
      </c>
      <c r="K644" s="49" t="s">
        <v>30864</v>
      </c>
      <c r="L644" s="49" t="s">
        <v>15131</v>
      </c>
      <c r="M644" s="49" t="s">
        <v>15132</v>
      </c>
      <c r="N644" s="49" t="s">
        <v>15133</v>
      </c>
      <c r="O644" s="49" t="s">
        <v>30843</v>
      </c>
      <c r="P644" s="49" t="s">
        <v>30846</v>
      </c>
      <c r="Q644" s="49" t="s">
        <v>30849</v>
      </c>
      <c r="R644" s="49" t="s">
        <v>30852</v>
      </c>
      <c r="S644" s="49" t="s">
        <v>30855</v>
      </c>
      <c r="T644" s="49" t="s">
        <v>30858</v>
      </c>
    </row>
    <row r="645" spans="1:21" x14ac:dyDescent="0.2">
      <c r="A645" s="49" t="s">
        <v>30</v>
      </c>
      <c r="D645" s="49" t="s">
        <v>15134</v>
      </c>
      <c r="G645" s="49" t="s">
        <v>15135</v>
      </c>
      <c r="H645" s="49" t="s">
        <v>30838</v>
      </c>
      <c r="I645" s="49" t="s">
        <v>30841</v>
      </c>
      <c r="J645" s="49" t="s">
        <v>30862</v>
      </c>
      <c r="K645" s="49" t="s">
        <v>30865</v>
      </c>
      <c r="L645" s="49" t="s">
        <v>15136</v>
      </c>
      <c r="M645" s="49" t="s">
        <v>15137</v>
      </c>
      <c r="N645" s="49" t="s">
        <v>15138</v>
      </c>
      <c r="O645" s="49" t="s">
        <v>30844</v>
      </c>
      <c r="P645" s="49" t="s">
        <v>30847</v>
      </c>
      <c r="Q645" s="49" t="s">
        <v>30850</v>
      </c>
      <c r="R645" s="49" t="s">
        <v>30853</v>
      </c>
      <c r="S645" s="49" t="s">
        <v>30856</v>
      </c>
      <c r="T645" s="49" t="s">
        <v>30859</v>
      </c>
    </row>
    <row r="646" spans="1:21" x14ac:dyDescent="0.2">
      <c r="A646" s="49" t="s">
        <v>30</v>
      </c>
      <c r="D646" s="49" t="s">
        <v>6368</v>
      </c>
      <c r="G646" s="49" t="s">
        <v>15139</v>
      </c>
      <c r="H646" s="49" t="s">
        <v>6369</v>
      </c>
      <c r="I646" s="49" t="s">
        <v>6370</v>
      </c>
      <c r="J646" s="49" t="s">
        <v>6371</v>
      </c>
      <c r="K646" s="49" t="s">
        <v>6372</v>
      </c>
      <c r="L646" s="49" t="s">
        <v>6373</v>
      </c>
      <c r="M646" s="49" t="s">
        <v>6374</v>
      </c>
      <c r="N646" s="49" t="s">
        <v>6375</v>
      </c>
      <c r="O646" s="49" t="s">
        <v>6376</v>
      </c>
      <c r="P646" s="49" t="s">
        <v>6377</v>
      </c>
      <c r="Q646" s="49" t="s">
        <v>6378</v>
      </c>
      <c r="R646" s="49" t="s">
        <v>6379</v>
      </c>
      <c r="S646" s="49" t="s">
        <v>6380</v>
      </c>
      <c r="T646" s="49" t="s">
        <v>6381</v>
      </c>
    </row>
    <row r="647" spans="1:21" x14ac:dyDescent="0.2">
      <c r="A647" s="49" t="s">
        <v>30</v>
      </c>
      <c r="D647" s="49" t="s">
        <v>6382</v>
      </c>
      <c r="G647" s="49" t="s">
        <v>15140</v>
      </c>
      <c r="H647" s="49" t="s">
        <v>6383</v>
      </c>
      <c r="I647" s="49" t="s">
        <v>6384</v>
      </c>
      <c r="J647" s="49" t="s">
        <v>6385</v>
      </c>
      <c r="K647" s="49" t="s">
        <v>6386</v>
      </c>
      <c r="L647" s="49" t="s">
        <v>6387</v>
      </c>
      <c r="M647" s="49" t="s">
        <v>6388</v>
      </c>
      <c r="N647" s="49" t="s">
        <v>6389</v>
      </c>
      <c r="O647" s="49" t="s">
        <v>6390</v>
      </c>
      <c r="P647" s="49" t="s">
        <v>6391</v>
      </c>
      <c r="Q647" s="49" t="s">
        <v>6392</v>
      </c>
      <c r="R647" s="49" t="s">
        <v>6393</v>
      </c>
      <c r="S647" s="49" t="s">
        <v>6394</v>
      </c>
      <c r="T647" s="49" t="s">
        <v>6395</v>
      </c>
    </row>
    <row r="648" spans="1:21" x14ac:dyDescent="0.2">
      <c r="A648" s="49" t="s">
        <v>30</v>
      </c>
      <c r="D648" s="49" t="s">
        <v>6396</v>
      </c>
      <c r="G648" s="49" t="s">
        <v>15141</v>
      </c>
      <c r="H648" s="49" t="s">
        <v>6397</v>
      </c>
      <c r="I648" s="49" t="s">
        <v>6398</v>
      </c>
      <c r="J648" s="49" t="s">
        <v>6399</v>
      </c>
      <c r="K648" s="49" t="s">
        <v>6400</v>
      </c>
      <c r="L648" s="49" t="s">
        <v>6401</v>
      </c>
      <c r="M648" s="49" t="s">
        <v>6402</v>
      </c>
      <c r="N648" s="49" t="s">
        <v>6403</v>
      </c>
      <c r="O648" s="49" t="s">
        <v>6404</v>
      </c>
      <c r="P648" s="49" t="s">
        <v>6405</v>
      </c>
      <c r="Q648" s="49" t="s">
        <v>6406</v>
      </c>
      <c r="R648" s="49" t="s">
        <v>6407</v>
      </c>
      <c r="S648" s="49" t="s">
        <v>6408</v>
      </c>
      <c r="T648" s="49" t="s">
        <v>6409</v>
      </c>
    </row>
    <row r="649" spans="1:21" x14ac:dyDescent="0.2">
      <c r="A649" s="49" t="s">
        <v>30</v>
      </c>
      <c r="D649" s="49" t="s">
        <v>6410</v>
      </c>
      <c r="G649" s="49" t="s">
        <v>15142</v>
      </c>
      <c r="H649" s="49" t="s">
        <v>6411</v>
      </c>
      <c r="I649" s="49" t="s">
        <v>6412</v>
      </c>
      <c r="J649" s="49" t="s">
        <v>6413</v>
      </c>
      <c r="K649" s="49" t="s">
        <v>6414</v>
      </c>
      <c r="L649" s="49" t="s">
        <v>6415</v>
      </c>
      <c r="M649" s="49" t="s">
        <v>6416</v>
      </c>
      <c r="N649" s="49" t="s">
        <v>6417</v>
      </c>
      <c r="O649" s="49" t="s">
        <v>6418</v>
      </c>
      <c r="P649" s="49" t="s">
        <v>6419</v>
      </c>
      <c r="Q649" s="49" t="s">
        <v>6420</v>
      </c>
      <c r="R649" s="49" t="s">
        <v>6421</v>
      </c>
      <c r="S649" s="49" t="s">
        <v>6422</v>
      </c>
      <c r="T649" s="49" t="s">
        <v>6423</v>
      </c>
    </row>
    <row r="650" spans="1:21" x14ac:dyDescent="0.2">
      <c r="A650" s="49" t="s">
        <v>30</v>
      </c>
      <c r="D650" s="49" t="s">
        <v>6424</v>
      </c>
      <c r="G650" s="49" t="s">
        <v>15143</v>
      </c>
      <c r="H650" s="49" t="s">
        <v>6425</v>
      </c>
      <c r="I650" s="49" t="s">
        <v>6426</v>
      </c>
      <c r="J650" s="49" t="s">
        <v>6427</v>
      </c>
      <c r="K650" s="49" t="s">
        <v>6428</v>
      </c>
      <c r="L650" s="49" t="s">
        <v>6429</v>
      </c>
      <c r="M650" s="49" t="s">
        <v>6430</v>
      </c>
      <c r="N650" s="49" t="s">
        <v>6431</v>
      </c>
      <c r="O650" s="49" t="s">
        <v>6432</v>
      </c>
      <c r="P650" s="49" t="s">
        <v>6433</v>
      </c>
      <c r="Q650" s="49" t="s">
        <v>6434</v>
      </c>
      <c r="R650" s="49" t="s">
        <v>6435</v>
      </c>
      <c r="S650" s="49" t="s">
        <v>6436</v>
      </c>
      <c r="T650" s="49" t="s">
        <v>6437</v>
      </c>
    </row>
    <row r="651" spans="1:21" x14ac:dyDescent="0.2">
      <c r="A651" s="49" t="s">
        <v>30</v>
      </c>
    </row>
    <row r="652" spans="1:21" x14ac:dyDescent="0.2">
      <c r="A652" s="49" t="s">
        <v>30</v>
      </c>
      <c r="E652" s="49" t="s">
        <v>31</v>
      </c>
      <c r="F652" s="49" t="s">
        <v>31</v>
      </c>
      <c r="G652" s="49" t="s">
        <v>31</v>
      </c>
      <c r="J652" s="49" t="s">
        <v>31</v>
      </c>
      <c r="K652" s="49" t="s">
        <v>31</v>
      </c>
      <c r="L652" s="49" t="s">
        <v>31</v>
      </c>
      <c r="M652" s="49" t="s">
        <v>31</v>
      </c>
    </row>
    <row r="653" spans="1:21" x14ac:dyDescent="0.2">
      <c r="A653" s="49" t="s">
        <v>30</v>
      </c>
      <c r="D653" s="49" t="s">
        <v>15144</v>
      </c>
      <c r="E653" s="49" t="s">
        <v>4969</v>
      </c>
      <c r="F653" s="49" t="s">
        <v>15145</v>
      </c>
      <c r="H653" s="49" t="s">
        <v>15146</v>
      </c>
      <c r="O653" s="49" t="s">
        <v>15147</v>
      </c>
      <c r="P653" s="49" t="s">
        <v>15148</v>
      </c>
      <c r="Q653" s="49" t="s">
        <v>15149</v>
      </c>
      <c r="R653" s="49" t="s">
        <v>15150</v>
      </c>
      <c r="S653" s="49" t="s">
        <v>15151</v>
      </c>
      <c r="T653" s="49" t="s">
        <v>15152</v>
      </c>
      <c r="U653" s="49" t="s">
        <v>15153</v>
      </c>
    </row>
    <row r="654" spans="1:21" x14ac:dyDescent="0.2">
      <c r="A654" s="49" t="s">
        <v>30</v>
      </c>
      <c r="D654" s="49" t="s">
        <v>11228</v>
      </c>
      <c r="G654" s="49" t="s">
        <v>15154</v>
      </c>
      <c r="H654" s="49" t="s">
        <v>12274</v>
      </c>
      <c r="I654" s="49" t="s">
        <v>12277</v>
      </c>
      <c r="J654" s="49" t="s">
        <v>12286</v>
      </c>
      <c r="K654" s="49" t="s">
        <v>12289</v>
      </c>
      <c r="L654" s="49" t="s">
        <v>11229</v>
      </c>
      <c r="M654" s="49" t="s">
        <v>11230</v>
      </c>
      <c r="N654" s="49" t="s">
        <v>11231</v>
      </c>
      <c r="O654" s="49" t="s">
        <v>12278</v>
      </c>
      <c r="P654" s="49" t="s">
        <v>12279</v>
      </c>
      <c r="Q654" s="49" t="s">
        <v>12280</v>
      </c>
      <c r="R654" s="49" t="s">
        <v>12281</v>
      </c>
      <c r="S654" s="49" t="s">
        <v>12282</v>
      </c>
      <c r="T654" s="49" t="s">
        <v>12283</v>
      </c>
    </row>
    <row r="655" spans="1:21" x14ac:dyDescent="0.2">
      <c r="A655" s="49" t="s">
        <v>30</v>
      </c>
      <c r="D655" s="49" t="s">
        <v>6447</v>
      </c>
      <c r="G655" s="49" t="s">
        <v>15155</v>
      </c>
      <c r="H655" s="49" t="s">
        <v>6448</v>
      </c>
      <c r="I655" s="49" t="s">
        <v>6449</v>
      </c>
      <c r="J655" s="49" t="s">
        <v>6450</v>
      </c>
      <c r="K655" s="49" t="s">
        <v>6451</v>
      </c>
      <c r="L655" s="49" t="s">
        <v>6452</v>
      </c>
      <c r="M655" s="49" t="s">
        <v>6453</v>
      </c>
      <c r="N655" s="49" t="s">
        <v>6454</v>
      </c>
      <c r="O655" s="49" t="s">
        <v>6455</v>
      </c>
      <c r="P655" s="49" t="s">
        <v>6456</v>
      </c>
      <c r="Q655" s="49" t="s">
        <v>6457</v>
      </c>
      <c r="R655" s="49" t="s">
        <v>6458</v>
      </c>
      <c r="S655" s="49" t="s">
        <v>6459</v>
      </c>
      <c r="T655" s="49" t="s">
        <v>6460</v>
      </c>
    </row>
    <row r="656" spans="1:21" x14ac:dyDescent="0.2">
      <c r="A656" s="49" t="s">
        <v>30</v>
      </c>
      <c r="D656" s="49" t="s">
        <v>6461</v>
      </c>
      <c r="G656" s="49" t="s">
        <v>15156</v>
      </c>
      <c r="H656" s="49" t="s">
        <v>6462</v>
      </c>
      <c r="I656" s="49" t="s">
        <v>6463</v>
      </c>
      <c r="J656" s="49" t="s">
        <v>6464</v>
      </c>
      <c r="K656" s="49" t="s">
        <v>6465</v>
      </c>
      <c r="L656" s="49" t="s">
        <v>6466</v>
      </c>
      <c r="M656" s="49" t="s">
        <v>6467</v>
      </c>
      <c r="N656" s="49" t="s">
        <v>6468</v>
      </c>
      <c r="O656" s="49" t="s">
        <v>6469</v>
      </c>
      <c r="P656" s="49" t="s">
        <v>6470</v>
      </c>
      <c r="Q656" s="49" t="s">
        <v>6471</v>
      </c>
      <c r="R656" s="49" t="s">
        <v>6472</v>
      </c>
      <c r="S656" s="49" t="s">
        <v>6473</v>
      </c>
      <c r="T656" s="49" t="s">
        <v>6474</v>
      </c>
    </row>
    <row r="657" spans="1:21" x14ac:dyDescent="0.2">
      <c r="A657" s="49" t="s">
        <v>30</v>
      </c>
      <c r="D657" s="49" t="s">
        <v>6475</v>
      </c>
      <c r="G657" s="49" t="s">
        <v>15157</v>
      </c>
      <c r="H657" s="49" t="s">
        <v>6476</v>
      </c>
      <c r="I657" s="49" t="s">
        <v>6477</v>
      </c>
      <c r="J657" s="49" t="s">
        <v>6478</v>
      </c>
      <c r="K657" s="49" t="s">
        <v>6479</v>
      </c>
      <c r="L657" s="49" t="s">
        <v>6480</v>
      </c>
      <c r="M657" s="49" t="s">
        <v>6481</v>
      </c>
      <c r="N657" s="49" t="s">
        <v>6482</v>
      </c>
      <c r="O657" s="49" t="s">
        <v>6483</v>
      </c>
      <c r="P657" s="49" t="s">
        <v>6484</v>
      </c>
      <c r="Q657" s="49" t="s">
        <v>6485</v>
      </c>
      <c r="R657" s="49" t="s">
        <v>6486</v>
      </c>
      <c r="S657" s="49" t="s">
        <v>6487</v>
      </c>
      <c r="T657" s="49" t="s">
        <v>6488</v>
      </c>
    </row>
    <row r="658" spans="1:21" x14ac:dyDescent="0.2">
      <c r="A658" s="49" t="s">
        <v>30</v>
      </c>
      <c r="D658" s="49" t="s">
        <v>6489</v>
      </c>
      <c r="G658" s="49" t="s">
        <v>15158</v>
      </c>
      <c r="H658" s="49" t="s">
        <v>6490</v>
      </c>
      <c r="I658" s="49" t="s">
        <v>6491</v>
      </c>
      <c r="J658" s="49" t="s">
        <v>6492</v>
      </c>
      <c r="K658" s="49" t="s">
        <v>6493</v>
      </c>
      <c r="L658" s="49" t="s">
        <v>6494</v>
      </c>
      <c r="M658" s="49" t="s">
        <v>6495</v>
      </c>
      <c r="N658" s="49" t="s">
        <v>6496</v>
      </c>
      <c r="O658" s="49" t="s">
        <v>6497</v>
      </c>
      <c r="P658" s="49" t="s">
        <v>6498</v>
      </c>
      <c r="Q658" s="49" t="s">
        <v>6499</v>
      </c>
      <c r="R658" s="49" t="s">
        <v>6500</v>
      </c>
      <c r="S658" s="49" t="s">
        <v>6501</v>
      </c>
      <c r="T658" s="49" t="s">
        <v>6502</v>
      </c>
    </row>
    <row r="659" spans="1:21" x14ac:dyDescent="0.2">
      <c r="A659" s="49" t="s">
        <v>30</v>
      </c>
      <c r="D659" s="49" t="s">
        <v>6503</v>
      </c>
      <c r="G659" s="49" t="s">
        <v>15159</v>
      </c>
      <c r="H659" s="49" t="s">
        <v>6504</v>
      </c>
      <c r="I659" s="49" t="s">
        <v>6505</v>
      </c>
      <c r="J659" s="49" t="s">
        <v>6506</v>
      </c>
      <c r="K659" s="49" t="s">
        <v>6507</v>
      </c>
      <c r="L659" s="49" t="s">
        <v>6508</v>
      </c>
      <c r="M659" s="49" t="s">
        <v>6509</v>
      </c>
      <c r="N659" s="49" t="s">
        <v>6510</v>
      </c>
      <c r="O659" s="49" t="s">
        <v>6511</v>
      </c>
      <c r="P659" s="49" t="s">
        <v>6512</v>
      </c>
      <c r="Q659" s="49" t="s">
        <v>6513</v>
      </c>
      <c r="R659" s="49" t="s">
        <v>6514</v>
      </c>
      <c r="S659" s="49" t="s">
        <v>6515</v>
      </c>
      <c r="T659" s="49" t="s">
        <v>6516</v>
      </c>
    </row>
    <row r="660" spans="1:21" x14ac:dyDescent="0.2">
      <c r="A660" s="49" t="s">
        <v>30</v>
      </c>
      <c r="D660" s="49" t="s">
        <v>6517</v>
      </c>
      <c r="G660" s="49" t="s">
        <v>15160</v>
      </c>
      <c r="H660" s="49" t="s">
        <v>6518</v>
      </c>
      <c r="I660" s="49" t="s">
        <v>6519</v>
      </c>
      <c r="J660" s="49" t="s">
        <v>6520</v>
      </c>
      <c r="K660" s="49" t="s">
        <v>6521</v>
      </c>
      <c r="L660" s="49" t="s">
        <v>6522</v>
      </c>
      <c r="M660" s="49" t="s">
        <v>6523</v>
      </c>
      <c r="N660" s="49" t="s">
        <v>6524</v>
      </c>
      <c r="O660" s="49" t="s">
        <v>6525</v>
      </c>
      <c r="P660" s="49" t="s">
        <v>6526</v>
      </c>
      <c r="Q660" s="49" t="s">
        <v>6527</v>
      </c>
      <c r="R660" s="49" t="s">
        <v>6528</v>
      </c>
      <c r="S660" s="49" t="s">
        <v>6529</v>
      </c>
      <c r="T660" s="49" t="s">
        <v>6530</v>
      </c>
    </row>
    <row r="661" spans="1:21" x14ac:dyDescent="0.2">
      <c r="A661" s="49" t="s">
        <v>30</v>
      </c>
      <c r="D661" s="49" t="s">
        <v>15161</v>
      </c>
      <c r="G661" s="49" t="s">
        <v>15162</v>
      </c>
      <c r="H661" s="49" t="s">
        <v>30806</v>
      </c>
      <c r="I661" s="49" t="s">
        <v>30809</v>
      </c>
      <c r="J661" s="49" t="s">
        <v>30830</v>
      </c>
      <c r="K661" s="49" t="s">
        <v>30833</v>
      </c>
      <c r="L661" s="49" t="s">
        <v>15163</v>
      </c>
      <c r="M661" s="49" t="s">
        <v>15164</v>
      </c>
      <c r="N661" s="49" t="s">
        <v>15165</v>
      </c>
      <c r="O661" s="49" t="s">
        <v>30812</v>
      </c>
      <c r="P661" s="49" t="s">
        <v>30815</v>
      </c>
      <c r="Q661" s="49" t="s">
        <v>30818</v>
      </c>
      <c r="R661" s="49" t="s">
        <v>30821</v>
      </c>
      <c r="S661" s="49" t="s">
        <v>30824</v>
      </c>
      <c r="T661" s="49" t="s">
        <v>30827</v>
      </c>
    </row>
    <row r="662" spans="1:21" x14ac:dyDescent="0.2">
      <c r="A662" s="49" t="s">
        <v>30</v>
      </c>
      <c r="D662" s="49" t="s">
        <v>15166</v>
      </c>
      <c r="G662" s="49" t="s">
        <v>15167</v>
      </c>
      <c r="H662" s="49" t="s">
        <v>30807</v>
      </c>
      <c r="I662" s="49" t="s">
        <v>30810</v>
      </c>
      <c r="J662" s="49" t="s">
        <v>30831</v>
      </c>
      <c r="K662" s="49" t="s">
        <v>30834</v>
      </c>
      <c r="L662" s="49" t="s">
        <v>15168</v>
      </c>
      <c r="M662" s="49" t="s">
        <v>15169</v>
      </c>
      <c r="N662" s="49" t="s">
        <v>15170</v>
      </c>
      <c r="O662" s="49" t="s">
        <v>30813</v>
      </c>
      <c r="P662" s="49" t="s">
        <v>30816</v>
      </c>
      <c r="Q662" s="49" t="s">
        <v>30819</v>
      </c>
      <c r="R662" s="49" t="s">
        <v>30822</v>
      </c>
      <c r="S662" s="49" t="s">
        <v>30825</v>
      </c>
      <c r="T662" s="49" t="s">
        <v>30828</v>
      </c>
    </row>
    <row r="663" spans="1:21" x14ac:dyDescent="0.2">
      <c r="A663" s="49" t="s">
        <v>30</v>
      </c>
      <c r="D663" s="49" t="s">
        <v>15171</v>
      </c>
      <c r="G663" s="49" t="s">
        <v>15172</v>
      </c>
      <c r="H663" s="49" t="s">
        <v>30808</v>
      </c>
      <c r="I663" s="49" t="s">
        <v>30811</v>
      </c>
      <c r="J663" s="49" t="s">
        <v>30832</v>
      </c>
      <c r="K663" s="49" t="s">
        <v>30835</v>
      </c>
      <c r="L663" s="49" t="s">
        <v>15173</v>
      </c>
      <c r="M663" s="49" t="s">
        <v>15174</v>
      </c>
      <c r="N663" s="49" t="s">
        <v>15175</v>
      </c>
      <c r="O663" s="49" t="s">
        <v>30814</v>
      </c>
      <c r="P663" s="49" t="s">
        <v>30817</v>
      </c>
      <c r="Q663" s="49" t="s">
        <v>30820</v>
      </c>
      <c r="R663" s="49" t="s">
        <v>30823</v>
      </c>
      <c r="S663" s="49" t="s">
        <v>30826</v>
      </c>
      <c r="T663" s="49" t="s">
        <v>30829</v>
      </c>
    </row>
    <row r="664" spans="1:21" x14ac:dyDescent="0.2">
      <c r="A664" s="49" t="s">
        <v>30</v>
      </c>
      <c r="D664" s="49" t="s">
        <v>6531</v>
      </c>
      <c r="G664" s="49" t="s">
        <v>15176</v>
      </c>
      <c r="H664" s="49" t="s">
        <v>6532</v>
      </c>
      <c r="I664" s="49" t="s">
        <v>6533</v>
      </c>
      <c r="J664" s="49" t="s">
        <v>6534</v>
      </c>
      <c r="K664" s="49" t="s">
        <v>6535</v>
      </c>
      <c r="L664" s="49" t="s">
        <v>6536</v>
      </c>
      <c r="M664" s="49" t="s">
        <v>6537</v>
      </c>
      <c r="N664" s="49" t="s">
        <v>6538</v>
      </c>
      <c r="O664" s="49" t="s">
        <v>6539</v>
      </c>
      <c r="P664" s="49" t="s">
        <v>6540</v>
      </c>
      <c r="Q664" s="49" t="s">
        <v>6541</v>
      </c>
      <c r="R664" s="49" t="s">
        <v>6542</v>
      </c>
      <c r="S664" s="49" t="s">
        <v>6543</v>
      </c>
      <c r="T664" s="49" t="s">
        <v>6544</v>
      </c>
    </row>
    <row r="665" spans="1:21" x14ac:dyDescent="0.2">
      <c r="A665" s="49" t="s">
        <v>30</v>
      </c>
      <c r="D665" s="49" t="s">
        <v>6545</v>
      </c>
      <c r="G665" s="49" t="s">
        <v>15177</v>
      </c>
      <c r="H665" s="49" t="s">
        <v>6546</v>
      </c>
      <c r="I665" s="49" t="s">
        <v>6547</v>
      </c>
      <c r="J665" s="49" t="s">
        <v>6548</v>
      </c>
      <c r="K665" s="49" t="s">
        <v>6549</v>
      </c>
      <c r="L665" s="49" t="s">
        <v>6550</v>
      </c>
      <c r="M665" s="49" t="s">
        <v>6551</v>
      </c>
      <c r="N665" s="49" t="s">
        <v>6552</v>
      </c>
      <c r="O665" s="49" t="s">
        <v>6553</v>
      </c>
      <c r="P665" s="49" t="s">
        <v>6554</v>
      </c>
      <c r="Q665" s="49" t="s">
        <v>6555</v>
      </c>
      <c r="R665" s="49" t="s">
        <v>6556</v>
      </c>
      <c r="S665" s="49" t="s">
        <v>6557</v>
      </c>
      <c r="T665" s="49" t="s">
        <v>6558</v>
      </c>
    </row>
    <row r="666" spans="1:21" x14ac:dyDescent="0.2">
      <c r="A666" s="49" t="s">
        <v>30</v>
      </c>
      <c r="D666" s="49" t="s">
        <v>6559</v>
      </c>
      <c r="G666" s="49" t="s">
        <v>15178</v>
      </c>
      <c r="H666" s="49" t="s">
        <v>6560</v>
      </c>
      <c r="I666" s="49" t="s">
        <v>6561</v>
      </c>
      <c r="J666" s="49" t="s">
        <v>6562</v>
      </c>
      <c r="K666" s="49" t="s">
        <v>6563</v>
      </c>
      <c r="L666" s="49" t="s">
        <v>6564</v>
      </c>
      <c r="M666" s="49" t="s">
        <v>6565</v>
      </c>
      <c r="N666" s="49" t="s">
        <v>6566</v>
      </c>
      <c r="O666" s="49" t="s">
        <v>6567</v>
      </c>
      <c r="P666" s="49" t="s">
        <v>6568</v>
      </c>
      <c r="Q666" s="49" t="s">
        <v>6569</v>
      </c>
      <c r="R666" s="49" t="s">
        <v>6570</v>
      </c>
      <c r="S666" s="49" t="s">
        <v>6571</v>
      </c>
      <c r="T666" s="49" t="s">
        <v>6572</v>
      </c>
    </row>
    <row r="667" spans="1:21" x14ac:dyDescent="0.2">
      <c r="A667" s="49" t="s">
        <v>30</v>
      </c>
      <c r="D667" s="49" t="s">
        <v>6573</v>
      </c>
      <c r="G667" s="49" t="s">
        <v>15179</v>
      </c>
      <c r="H667" s="49" t="s">
        <v>6574</v>
      </c>
      <c r="I667" s="49" t="s">
        <v>6575</v>
      </c>
      <c r="J667" s="49" t="s">
        <v>6576</v>
      </c>
      <c r="K667" s="49" t="s">
        <v>6577</v>
      </c>
      <c r="L667" s="49" t="s">
        <v>6578</v>
      </c>
      <c r="M667" s="49" t="s">
        <v>6579</v>
      </c>
      <c r="N667" s="49" t="s">
        <v>6580</v>
      </c>
      <c r="O667" s="49" t="s">
        <v>6581</v>
      </c>
      <c r="P667" s="49" t="s">
        <v>6582</v>
      </c>
      <c r="Q667" s="49" t="s">
        <v>6583</v>
      </c>
      <c r="R667" s="49" t="s">
        <v>6584</v>
      </c>
      <c r="S667" s="49" t="s">
        <v>6585</v>
      </c>
      <c r="T667" s="49" t="s">
        <v>6586</v>
      </c>
    </row>
    <row r="668" spans="1:21" x14ac:dyDescent="0.2">
      <c r="A668" s="49" t="s">
        <v>30</v>
      </c>
      <c r="D668" s="49" t="s">
        <v>6587</v>
      </c>
      <c r="G668" s="49" t="s">
        <v>15180</v>
      </c>
      <c r="H668" s="49" t="s">
        <v>6588</v>
      </c>
      <c r="I668" s="49" t="s">
        <v>6589</v>
      </c>
      <c r="J668" s="49" t="s">
        <v>6590</v>
      </c>
      <c r="K668" s="49" t="s">
        <v>6591</v>
      </c>
      <c r="L668" s="49" t="s">
        <v>6592</v>
      </c>
      <c r="M668" s="49" t="s">
        <v>6593</v>
      </c>
      <c r="N668" s="49" t="s">
        <v>6594</v>
      </c>
      <c r="O668" s="49" t="s">
        <v>6595</v>
      </c>
      <c r="P668" s="49" t="s">
        <v>6596</v>
      </c>
      <c r="Q668" s="49" t="s">
        <v>6597</v>
      </c>
      <c r="R668" s="49" t="s">
        <v>6598</v>
      </c>
      <c r="S668" s="49" t="s">
        <v>6599</v>
      </c>
      <c r="T668" s="49" t="s">
        <v>6600</v>
      </c>
    </row>
    <row r="669" spans="1:21" x14ac:dyDescent="0.2">
      <c r="A669" s="49" t="s">
        <v>30</v>
      </c>
      <c r="D669" s="49" t="s">
        <v>11232</v>
      </c>
      <c r="G669" s="49" t="s">
        <v>15181</v>
      </c>
      <c r="H669" s="49" t="s">
        <v>12254</v>
      </c>
      <c r="I669" s="49" t="s">
        <v>12257</v>
      </c>
      <c r="J669" s="49" t="s">
        <v>12266</v>
      </c>
      <c r="K669" s="49" t="s">
        <v>12269</v>
      </c>
      <c r="L669" s="49" t="s">
        <v>11233</v>
      </c>
      <c r="M669" s="49" t="s">
        <v>11234</v>
      </c>
      <c r="N669" s="49" t="s">
        <v>11235</v>
      </c>
      <c r="O669" s="49" t="s">
        <v>12260</v>
      </c>
      <c r="P669" s="49" t="s">
        <v>12261</v>
      </c>
      <c r="Q669" s="49" t="s">
        <v>12262</v>
      </c>
      <c r="R669" s="49" t="s">
        <v>12263</v>
      </c>
      <c r="S669" s="49" t="s">
        <v>12264</v>
      </c>
      <c r="T669" s="49" t="s">
        <v>12265</v>
      </c>
    </row>
    <row r="670" spans="1:21" x14ac:dyDescent="0.2">
      <c r="A670" s="49" t="s">
        <v>30</v>
      </c>
    </row>
    <row r="671" spans="1:21" x14ac:dyDescent="0.2">
      <c r="A671" s="49" t="s">
        <v>30</v>
      </c>
      <c r="E671" s="49" t="s">
        <v>31</v>
      </c>
      <c r="F671" s="49" t="s">
        <v>31</v>
      </c>
      <c r="G671" s="49" t="s">
        <v>31</v>
      </c>
      <c r="J671" s="49" t="s">
        <v>31</v>
      </c>
      <c r="K671" s="49" t="s">
        <v>31</v>
      </c>
      <c r="L671" s="49" t="s">
        <v>31</v>
      </c>
      <c r="M671" s="49" t="s">
        <v>31</v>
      </c>
    </row>
    <row r="672" spans="1:21" x14ac:dyDescent="0.2">
      <c r="A672" s="49" t="s">
        <v>30</v>
      </c>
      <c r="D672" s="49" t="s">
        <v>15182</v>
      </c>
      <c r="E672" s="49" t="s">
        <v>4970</v>
      </c>
      <c r="F672" s="49" t="s">
        <v>15183</v>
      </c>
      <c r="H672" s="49" t="s">
        <v>15184</v>
      </c>
      <c r="O672" s="49" t="s">
        <v>15185</v>
      </c>
      <c r="P672" s="49" t="s">
        <v>15186</v>
      </c>
      <c r="Q672" s="49" t="s">
        <v>15187</v>
      </c>
      <c r="R672" s="49" t="s">
        <v>15188</v>
      </c>
      <c r="S672" s="49" t="s">
        <v>15189</v>
      </c>
      <c r="T672" s="49" t="s">
        <v>15190</v>
      </c>
      <c r="U672" s="49" t="s">
        <v>15191</v>
      </c>
    </row>
    <row r="673" spans="1:21" x14ac:dyDescent="0.2">
      <c r="A673" s="49" t="s">
        <v>30</v>
      </c>
      <c r="D673" s="49" t="s">
        <v>6610</v>
      </c>
      <c r="G673" s="49" t="s">
        <v>15192</v>
      </c>
      <c r="H673" s="49" t="s">
        <v>6611</v>
      </c>
      <c r="I673" s="49" t="s">
        <v>6612</v>
      </c>
      <c r="J673" s="49" t="s">
        <v>6613</v>
      </c>
      <c r="K673" s="49" t="s">
        <v>6614</v>
      </c>
      <c r="L673" s="49" t="s">
        <v>6615</v>
      </c>
      <c r="M673" s="49" t="s">
        <v>6616</v>
      </c>
      <c r="N673" s="49" t="s">
        <v>6617</v>
      </c>
      <c r="O673" s="49" t="s">
        <v>6618</v>
      </c>
      <c r="P673" s="49" t="s">
        <v>6619</v>
      </c>
      <c r="Q673" s="49" t="s">
        <v>6620</v>
      </c>
      <c r="R673" s="49" t="s">
        <v>6621</v>
      </c>
      <c r="S673" s="49" t="s">
        <v>6622</v>
      </c>
      <c r="T673" s="49" t="s">
        <v>6623</v>
      </c>
    </row>
    <row r="674" spans="1:21" x14ac:dyDescent="0.2">
      <c r="A674" s="49" t="s">
        <v>30</v>
      </c>
      <c r="D674" s="49" t="s">
        <v>15193</v>
      </c>
      <c r="G674" s="49" t="s">
        <v>15194</v>
      </c>
      <c r="H674" s="49" t="s">
        <v>30776</v>
      </c>
      <c r="I674" s="49" t="s">
        <v>30779</v>
      </c>
      <c r="J674" s="49" t="s">
        <v>30800</v>
      </c>
      <c r="K674" s="49" t="s">
        <v>30803</v>
      </c>
      <c r="L674" s="49" t="s">
        <v>15195</v>
      </c>
      <c r="M674" s="49" t="s">
        <v>15196</v>
      </c>
      <c r="N674" s="49" t="s">
        <v>15197</v>
      </c>
      <c r="O674" s="49" t="s">
        <v>30782</v>
      </c>
      <c r="P674" s="49" t="s">
        <v>30785</v>
      </c>
      <c r="Q674" s="49" t="s">
        <v>30788</v>
      </c>
      <c r="R674" s="49" t="s">
        <v>30791</v>
      </c>
      <c r="S674" s="49" t="s">
        <v>30794</v>
      </c>
      <c r="T674" s="49" t="s">
        <v>30797</v>
      </c>
    </row>
    <row r="675" spans="1:21" x14ac:dyDescent="0.2">
      <c r="A675" s="49" t="s">
        <v>30</v>
      </c>
      <c r="D675" s="49" t="s">
        <v>15198</v>
      </c>
      <c r="G675" s="49" t="s">
        <v>15199</v>
      </c>
      <c r="H675" s="49" t="s">
        <v>30777</v>
      </c>
      <c r="I675" s="49" t="s">
        <v>30780</v>
      </c>
      <c r="J675" s="49" t="s">
        <v>30801</v>
      </c>
      <c r="K675" s="49" t="s">
        <v>30804</v>
      </c>
      <c r="L675" s="49" t="s">
        <v>15200</v>
      </c>
      <c r="M675" s="49" t="s">
        <v>15201</v>
      </c>
      <c r="N675" s="49" t="s">
        <v>15202</v>
      </c>
      <c r="O675" s="49" t="s">
        <v>30783</v>
      </c>
      <c r="P675" s="49" t="s">
        <v>30786</v>
      </c>
      <c r="Q675" s="49" t="s">
        <v>30789</v>
      </c>
      <c r="R675" s="49" t="s">
        <v>30792</v>
      </c>
      <c r="S675" s="49" t="s">
        <v>30795</v>
      </c>
      <c r="T675" s="49" t="s">
        <v>30798</v>
      </c>
    </row>
    <row r="676" spans="1:21" x14ac:dyDescent="0.2">
      <c r="A676" s="49" t="s">
        <v>30</v>
      </c>
      <c r="D676" s="49" t="s">
        <v>15203</v>
      </c>
      <c r="G676" s="49" t="s">
        <v>15204</v>
      </c>
      <c r="H676" s="49" t="s">
        <v>30778</v>
      </c>
      <c r="I676" s="49" t="s">
        <v>30781</v>
      </c>
      <c r="J676" s="49" t="s">
        <v>30802</v>
      </c>
      <c r="K676" s="49" t="s">
        <v>30805</v>
      </c>
      <c r="L676" s="49" t="s">
        <v>15205</v>
      </c>
      <c r="M676" s="49" t="s">
        <v>15206</v>
      </c>
      <c r="N676" s="49" t="s">
        <v>15207</v>
      </c>
      <c r="O676" s="49" t="s">
        <v>30784</v>
      </c>
      <c r="P676" s="49" t="s">
        <v>30787</v>
      </c>
      <c r="Q676" s="49" t="s">
        <v>30790</v>
      </c>
      <c r="R676" s="49" t="s">
        <v>30793</v>
      </c>
      <c r="S676" s="49" t="s">
        <v>30796</v>
      </c>
      <c r="T676" s="49" t="s">
        <v>30799</v>
      </c>
    </row>
    <row r="677" spans="1:21" x14ac:dyDescent="0.2">
      <c r="A677" s="49" t="s">
        <v>30</v>
      </c>
      <c r="D677" s="49" t="s">
        <v>6624</v>
      </c>
      <c r="G677" s="49" t="s">
        <v>15208</v>
      </c>
      <c r="H677" s="49" t="s">
        <v>6625</v>
      </c>
      <c r="I677" s="49" t="s">
        <v>6626</v>
      </c>
      <c r="J677" s="49" t="s">
        <v>6627</v>
      </c>
      <c r="K677" s="49" t="s">
        <v>6628</v>
      </c>
      <c r="L677" s="49" t="s">
        <v>6629</v>
      </c>
      <c r="M677" s="49" t="s">
        <v>6630</v>
      </c>
      <c r="N677" s="49" t="s">
        <v>6631</v>
      </c>
      <c r="O677" s="49" t="s">
        <v>6632</v>
      </c>
      <c r="P677" s="49" t="s">
        <v>6633</v>
      </c>
      <c r="Q677" s="49" t="s">
        <v>6634</v>
      </c>
      <c r="R677" s="49" t="s">
        <v>6635</v>
      </c>
      <c r="S677" s="49" t="s">
        <v>6636</v>
      </c>
      <c r="T677" s="49" t="s">
        <v>6637</v>
      </c>
    </row>
    <row r="678" spans="1:21" x14ac:dyDescent="0.2">
      <c r="A678" s="49" t="s">
        <v>30</v>
      </c>
      <c r="D678" s="49" t="s">
        <v>6638</v>
      </c>
      <c r="G678" s="49" t="s">
        <v>15209</v>
      </c>
      <c r="H678" s="49" t="s">
        <v>6639</v>
      </c>
      <c r="I678" s="49" t="s">
        <v>6640</v>
      </c>
      <c r="J678" s="49" t="s">
        <v>6641</v>
      </c>
      <c r="K678" s="49" t="s">
        <v>6642</v>
      </c>
      <c r="L678" s="49" t="s">
        <v>6643</v>
      </c>
      <c r="M678" s="49" t="s">
        <v>6644</v>
      </c>
      <c r="N678" s="49" t="s">
        <v>6645</v>
      </c>
      <c r="O678" s="49" t="s">
        <v>6646</v>
      </c>
      <c r="P678" s="49" t="s">
        <v>6647</v>
      </c>
      <c r="Q678" s="49" t="s">
        <v>6648</v>
      </c>
      <c r="R678" s="49" t="s">
        <v>6649</v>
      </c>
      <c r="S678" s="49" t="s">
        <v>6650</v>
      </c>
      <c r="T678" s="49" t="s">
        <v>6651</v>
      </c>
    </row>
    <row r="679" spans="1:21" x14ac:dyDescent="0.2">
      <c r="A679" s="49" t="s">
        <v>30</v>
      </c>
      <c r="D679" s="49" t="s">
        <v>6652</v>
      </c>
      <c r="G679" s="49" t="s">
        <v>15210</v>
      </c>
      <c r="H679" s="49" t="s">
        <v>6653</v>
      </c>
      <c r="I679" s="49" t="s">
        <v>6654</v>
      </c>
      <c r="J679" s="49" t="s">
        <v>6655</v>
      </c>
      <c r="K679" s="49" t="s">
        <v>6656</v>
      </c>
      <c r="L679" s="49" t="s">
        <v>6657</v>
      </c>
      <c r="M679" s="49" t="s">
        <v>6658</v>
      </c>
      <c r="N679" s="49" t="s">
        <v>6659</v>
      </c>
      <c r="O679" s="49" t="s">
        <v>6660</v>
      </c>
      <c r="P679" s="49" t="s">
        <v>6661</v>
      </c>
      <c r="Q679" s="49" t="s">
        <v>6662</v>
      </c>
      <c r="R679" s="49" t="s">
        <v>6663</v>
      </c>
      <c r="S679" s="49" t="s">
        <v>6664</v>
      </c>
      <c r="T679" s="49" t="s">
        <v>6665</v>
      </c>
    </row>
    <row r="680" spans="1:21" x14ac:dyDescent="0.2">
      <c r="A680" s="49" t="s">
        <v>30</v>
      </c>
    </row>
    <row r="681" spans="1:21" x14ac:dyDescent="0.2">
      <c r="A681" s="49" t="s">
        <v>30</v>
      </c>
      <c r="E681" s="49" t="s">
        <v>31</v>
      </c>
      <c r="F681" s="49" t="s">
        <v>31</v>
      </c>
      <c r="G681" s="49" t="s">
        <v>31</v>
      </c>
      <c r="J681" s="49" t="s">
        <v>31</v>
      </c>
      <c r="K681" s="49" t="s">
        <v>31</v>
      </c>
      <c r="L681" s="49" t="s">
        <v>31</v>
      </c>
      <c r="M681" s="49" t="s">
        <v>31</v>
      </c>
    </row>
    <row r="682" spans="1:21" x14ac:dyDescent="0.2">
      <c r="A682" s="49" t="s">
        <v>30</v>
      </c>
      <c r="D682" s="49" t="s">
        <v>15211</v>
      </c>
      <c r="E682" s="49" t="s">
        <v>4987</v>
      </c>
      <c r="F682" s="49" t="s">
        <v>15212</v>
      </c>
      <c r="H682" s="49" t="s">
        <v>15213</v>
      </c>
      <c r="O682" s="49" t="s">
        <v>15214</v>
      </c>
      <c r="P682" s="49" t="s">
        <v>15215</v>
      </c>
      <c r="Q682" s="49" t="s">
        <v>15216</v>
      </c>
      <c r="R682" s="49" t="s">
        <v>15217</v>
      </c>
      <c r="S682" s="49" t="s">
        <v>15218</v>
      </c>
      <c r="T682" s="49" t="s">
        <v>15219</v>
      </c>
      <c r="U682" s="49" t="s">
        <v>15220</v>
      </c>
    </row>
    <row r="683" spans="1:21" x14ac:dyDescent="0.2">
      <c r="A683" s="49" t="s">
        <v>30</v>
      </c>
      <c r="D683" s="49" t="s">
        <v>15221</v>
      </c>
      <c r="G683" s="49" t="s">
        <v>15222</v>
      </c>
      <c r="H683" s="49" t="s">
        <v>30766</v>
      </c>
      <c r="I683" s="49" t="s">
        <v>30767</v>
      </c>
      <c r="J683" s="49" t="s">
        <v>30774</v>
      </c>
      <c r="K683" s="49" t="s">
        <v>30775</v>
      </c>
      <c r="L683" s="49" t="s">
        <v>15223</v>
      </c>
      <c r="M683" s="49" t="s">
        <v>15224</v>
      </c>
      <c r="N683" s="49" t="s">
        <v>15225</v>
      </c>
      <c r="O683" s="49" t="s">
        <v>30768</v>
      </c>
      <c r="P683" s="49" t="s">
        <v>30769</v>
      </c>
      <c r="Q683" s="49" t="s">
        <v>30770</v>
      </c>
      <c r="R683" s="49" t="s">
        <v>30771</v>
      </c>
      <c r="S683" s="49" t="s">
        <v>30772</v>
      </c>
      <c r="T683" s="49" t="s">
        <v>30773</v>
      </c>
    </row>
    <row r="684" spans="1:21" x14ac:dyDescent="0.2">
      <c r="A684" s="49" t="s">
        <v>30</v>
      </c>
      <c r="D684" s="49" t="s">
        <v>6667</v>
      </c>
      <c r="G684" s="49" t="s">
        <v>15226</v>
      </c>
      <c r="H684" s="49" t="s">
        <v>6668</v>
      </c>
      <c r="I684" s="49" t="s">
        <v>6669</v>
      </c>
      <c r="J684" s="49" t="s">
        <v>6670</v>
      </c>
      <c r="K684" s="49" t="s">
        <v>6671</v>
      </c>
      <c r="L684" s="49" t="s">
        <v>6672</v>
      </c>
      <c r="M684" s="49" t="s">
        <v>6673</v>
      </c>
      <c r="N684" s="49" t="s">
        <v>6674</v>
      </c>
      <c r="O684" s="49" t="s">
        <v>6675</v>
      </c>
      <c r="P684" s="49" t="s">
        <v>6676</v>
      </c>
      <c r="Q684" s="49" t="s">
        <v>6677</v>
      </c>
      <c r="R684" s="49" t="s">
        <v>6678</v>
      </c>
      <c r="S684" s="49" t="s">
        <v>6679</v>
      </c>
      <c r="T684" s="49" t="s">
        <v>6680</v>
      </c>
    </row>
    <row r="685" spans="1:21" x14ac:dyDescent="0.2">
      <c r="A685" s="49" t="s">
        <v>30</v>
      </c>
      <c r="D685" s="49" t="s">
        <v>6681</v>
      </c>
      <c r="G685" s="49" t="s">
        <v>15227</v>
      </c>
      <c r="H685" s="49" t="s">
        <v>6682</v>
      </c>
      <c r="I685" s="49" t="s">
        <v>6683</v>
      </c>
      <c r="J685" s="49" t="s">
        <v>6684</v>
      </c>
      <c r="K685" s="49" t="s">
        <v>6685</v>
      </c>
      <c r="L685" s="49" t="s">
        <v>6686</v>
      </c>
      <c r="M685" s="49" t="s">
        <v>6687</v>
      </c>
      <c r="N685" s="49" t="s">
        <v>6688</v>
      </c>
      <c r="O685" s="49" t="s">
        <v>6689</v>
      </c>
      <c r="P685" s="49" t="s">
        <v>6690</v>
      </c>
      <c r="Q685" s="49" t="s">
        <v>6691</v>
      </c>
      <c r="R685" s="49" t="s">
        <v>6692</v>
      </c>
      <c r="S685" s="49" t="s">
        <v>6693</v>
      </c>
      <c r="T685" s="49" t="s">
        <v>6694</v>
      </c>
    </row>
    <row r="686" spans="1:21" x14ac:dyDescent="0.2">
      <c r="A686" s="49" t="s">
        <v>30</v>
      </c>
      <c r="D686" s="49" t="s">
        <v>6695</v>
      </c>
      <c r="G686" s="49" t="s">
        <v>15228</v>
      </c>
      <c r="H686" s="49" t="s">
        <v>6696</v>
      </c>
      <c r="I686" s="49" t="s">
        <v>6697</v>
      </c>
      <c r="J686" s="49" t="s">
        <v>6698</v>
      </c>
      <c r="K686" s="49" t="s">
        <v>6699</v>
      </c>
      <c r="L686" s="49" t="s">
        <v>6700</v>
      </c>
      <c r="M686" s="49" t="s">
        <v>6701</v>
      </c>
      <c r="N686" s="49" t="s">
        <v>6702</v>
      </c>
      <c r="O686" s="49" t="s">
        <v>6703</v>
      </c>
      <c r="P686" s="49" t="s">
        <v>6704</v>
      </c>
      <c r="Q686" s="49" t="s">
        <v>6705</v>
      </c>
      <c r="R686" s="49" t="s">
        <v>6706</v>
      </c>
      <c r="S686" s="49" t="s">
        <v>6707</v>
      </c>
      <c r="T686" s="49" t="s">
        <v>6708</v>
      </c>
    </row>
    <row r="687" spans="1:21" x14ac:dyDescent="0.2">
      <c r="A687" s="49" t="s">
        <v>30</v>
      </c>
      <c r="D687" s="49" t="s">
        <v>6709</v>
      </c>
      <c r="G687" s="49" t="s">
        <v>15229</v>
      </c>
      <c r="H687" s="49" t="s">
        <v>6710</v>
      </c>
      <c r="I687" s="49" t="s">
        <v>6711</v>
      </c>
      <c r="J687" s="49" t="s">
        <v>6712</v>
      </c>
      <c r="K687" s="49" t="s">
        <v>6713</v>
      </c>
      <c r="L687" s="49" t="s">
        <v>6714</v>
      </c>
      <c r="M687" s="49" t="s">
        <v>6715</v>
      </c>
      <c r="N687" s="49" t="s">
        <v>6716</v>
      </c>
      <c r="O687" s="49" t="s">
        <v>6717</v>
      </c>
      <c r="P687" s="49" t="s">
        <v>6718</v>
      </c>
      <c r="Q687" s="49" t="s">
        <v>6719</v>
      </c>
      <c r="R687" s="49" t="s">
        <v>6720</v>
      </c>
      <c r="S687" s="49" t="s">
        <v>6721</v>
      </c>
      <c r="T687" s="49" t="s">
        <v>6722</v>
      </c>
    </row>
    <row r="688" spans="1:21" x14ac:dyDescent="0.2">
      <c r="A688" s="49" t="s">
        <v>30</v>
      </c>
      <c r="D688" s="49" t="s">
        <v>6723</v>
      </c>
      <c r="G688" s="49" t="s">
        <v>15230</v>
      </c>
      <c r="H688" s="49" t="s">
        <v>6724</v>
      </c>
      <c r="I688" s="49" t="s">
        <v>6725</v>
      </c>
      <c r="J688" s="49" t="s">
        <v>6726</v>
      </c>
      <c r="K688" s="49" t="s">
        <v>6727</v>
      </c>
      <c r="L688" s="49" t="s">
        <v>6728</v>
      </c>
      <c r="M688" s="49" t="s">
        <v>6729</v>
      </c>
      <c r="N688" s="49" t="s">
        <v>6730</v>
      </c>
      <c r="O688" s="49" t="s">
        <v>6731</v>
      </c>
      <c r="P688" s="49" t="s">
        <v>6732</v>
      </c>
      <c r="Q688" s="49" t="s">
        <v>6733</v>
      </c>
      <c r="R688" s="49" t="s">
        <v>6734</v>
      </c>
      <c r="S688" s="49" t="s">
        <v>6735</v>
      </c>
      <c r="T688" s="49" t="s">
        <v>6736</v>
      </c>
    </row>
    <row r="689" spans="1:21" x14ac:dyDescent="0.2">
      <c r="A689" s="49" t="s">
        <v>30</v>
      </c>
      <c r="D689" s="49" t="s">
        <v>6737</v>
      </c>
      <c r="G689" s="49" t="s">
        <v>15231</v>
      </c>
      <c r="H689" s="49" t="s">
        <v>6738</v>
      </c>
      <c r="I689" s="49" t="s">
        <v>6739</v>
      </c>
      <c r="J689" s="49" t="s">
        <v>6740</v>
      </c>
      <c r="K689" s="49" t="s">
        <v>6741</v>
      </c>
      <c r="L689" s="49" t="s">
        <v>6742</v>
      </c>
      <c r="M689" s="49" t="s">
        <v>6743</v>
      </c>
      <c r="N689" s="49" t="s">
        <v>6744</v>
      </c>
      <c r="O689" s="49" t="s">
        <v>6745</v>
      </c>
      <c r="P689" s="49" t="s">
        <v>6746</v>
      </c>
      <c r="Q689" s="49" t="s">
        <v>6747</v>
      </c>
      <c r="R689" s="49" t="s">
        <v>6748</v>
      </c>
      <c r="S689" s="49" t="s">
        <v>6749</v>
      </c>
      <c r="T689" s="49" t="s">
        <v>6750</v>
      </c>
    </row>
    <row r="690" spans="1:21" x14ac:dyDescent="0.2">
      <c r="A690" s="49" t="s">
        <v>30</v>
      </c>
      <c r="D690" s="49" t="s">
        <v>6751</v>
      </c>
      <c r="G690" s="49" t="s">
        <v>15232</v>
      </c>
      <c r="H690" s="49" t="s">
        <v>6752</v>
      </c>
      <c r="I690" s="49" t="s">
        <v>6753</v>
      </c>
      <c r="J690" s="49" t="s">
        <v>6754</v>
      </c>
      <c r="K690" s="49" t="s">
        <v>6755</v>
      </c>
      <c r="L690" s="49" t="s">
        <v>6756</v>
      </c>
      <c r="M690" s="49" t="s">
        <v>6757</v>
      </c>
      <c r="N690" s="49" t="s">
        <v>6758</v>
      </c>
      <c r="O690" s="49" t="s">
        <v>6759</v>
      </c>
      <c r="P690" s="49" t="s">
        <v>6760</v>
      </c>
      <c r="Q690" s="49" t="s">
        <v>6761</v>
      </c>
      <c r="R690" s="49" t="s">
        <v>6762</v>
      </c>
      <c r="S690" s="49" t="s">
        <v>6763</v>
      </c>
      <c r="T690" s="49" t="s">
        <v>6764</v>
      </c>
    </row>
    <row r="691" spans="1:21" x14ac:dyDescent="0.2">
      <c r="A691" s="49" t="s">
        <v>30</v>
      </c>
      <c r="D691" s="49" t="s">
        <v>6765</v>
      </c>
      <c r="G691" s="49" t="s">
        <v>15233</v>
      </c>
      <c r="H691" s="49" t="s">
        <v>6766</v>
      </c>
      <c r="I691" s="49" t="s">
        <v>6767</v>
      </c>
      <c r="J691" s="49" t="s">
        <v>6768</v>
      </c>
      <c r="K691" s="49" t="s">
        <v>6769</v>
      </c>
      <c r="L691" s="49" t="s">
        <v>6770</v>
      </c>
      <c r="M691" s="49" t="s">
        <v>6771</v>
      </c>
      <c r="N691" s="49" t="s">
        <v>6772</v>
      </c>
      <c r="O691" s="49" t="s">
        <v>6773</v>
      </c>
      <c r="P691" s="49" t="s">
        <v>6774</v>
      </c>
      <c r="Q691" s="49" t="s">
        <v>6775</v>
      </c>
      <c r="R691" s="49" t="s">
        <v>6776</v>
      </c>
      <c r="S691" s="49" t="s">
        <v>6777</v>
      </c>
      <c r="T691" s="49" t="s">
        <v>6778</v>
      </c>
    </row>
    <row r="692" spans="1:21" x14ac:dyDescent="0.2">
      <c r="A692" s="49" t="s">
        <v>30</v>
      </c>
    </row>
    <row r="693" spans="1:21" x14ac:dyDescent="0.2">
      <c r="A693" s="49" t="s">
        <v>30</v>
      </c>
      <c r="E693" s="49" t="s">
        <v>31</v>
      </c>
      <c r="F693" s="49" t="s">
        <v>31</v>
      </c>
      <c r="G693" s="49" t="s">
        <v>31</v>
      </c>
      <c r="J693" s="49" t="s">
        <v>31</v>
      </c>
      <c r="K693" s="49" t="s">
        <v>31</v>
      </c>
      <c r="L693" s="49" t="s">
        <v>31</v>
      </c>
      <c r="M693" s="49" t="s">
        <v>31</v>
      </c>
    </row>
    <row r="694" spans="1:21" x14ac:dyDescent="0.2">
      <c r="A694" s="49" t="s">
        <v>30</v>
      </c>
      <c r="D694" s="49" t="s">
        <v>15234</v>
      </c>
      <c r="E694" s="49" t="s">
        <v>5002</v>
      </c>
      <c r="F694" s="49" t="s">
        <v>15235</v>
      </c>
      <c r="H694" s="49" t="s">
        <v>15236</v>
      </c>
      <c r="O694" s="49" t="s">
        <v>15237</v>
      </c>
      <c r="P694" s="49" t="s">
        <v>15238</v>
      </c>
      <c r="Q694" s="49" t="s">
        <v>15239</v>
      </c>
      <c r="R694" s="49" t="s">
        <v>15240</v>
      </c>
      <c r="S694" s="49" t="s">
        <v>15241</v>
      </c>
      <c r="T694" s="49" t="s">
        <v>15242</v>
      </c>
      <c r="U694" s="49" t="s">
        <v>15243</v>
      </c>
    </row>
    <row r="695" spans="1:21" x14ac:dyDescent="0.2">
      <c r="A695" s="49" t="s">
        <v>30</v>
      </c>
      <c r="D695" s="49" t="s">
        <v>15244</v>
      </c>
      <c r="G695" s="49" t="s">
        <v>15245</v>
      </c>
      <c r="H695" s="49" t="s">
        <v>30736</v>
      </c>
      <c r="I695" s="49" t="s">
        <v>30739</v>
      </c>
      <c r="J695" s="49" t="s">
        <v>30760</v>
      </c>
      <c r="K695" s="49" t="s">
        <v>30763</v>
      </c>
      <c r="L695" s="49" t="s">
        <v>15246</v>
      </c>
      <c r="M695" s="49" t="s">
        <v>15247</v>
      </c>
      <c r="N695" s="49" t="s">
        <v>15248</v>
      </c>
      <c r="O695" s="49" t="s">
        <v>30742</v>
      </c>
      <c r="P695" s="49" t="s">
        <v>30745</v>
      </c>
      <c r="Q695" s="49" t="s">
        <v>30748</v>
      </c>
      <c r="R695" s="49" t="s">
        <v>30751</v>
      </c>
      <c r="S695" s="49" t="s">
        <v>30754</v>
      </c>
      <c r="T695" s="49" t="s">
        <v>30757</v>
      </c>
    </row>
    <row r="696" spans="1:21" x14ac:dyDescent="0.2">
      <c r="A696" s="49" t="s">
        <v>30</v>
      </c>
      <c r="D696" s="49" t="s">
        <v>15249</v>
      </c>
      <c r="G696" s="49" t="s">
        <v>15250</v>
      </c>
      <c r="H696" s="49" t="s">
        <v>30737</v>
      </c>
      <c r="I696" s="49" t="s">
        <v>30740</v>
      </c>
      <c r="J696" s="49" t="s">
        <v>30761</v>
      </c>
      <c r="K696" s="49" t="s">
        <v>30764</v>
      </c>
      <c r="L696" s="49" t="s">
        <v>15251</v>
      </c>
      <c r="M696" s="49" t="s">
        <v>15252</v>
      </c>
      <c r="N696" s="49" t="s">
        <v>15253</v>
      </c>
      <c r="O696" s="49" t="s">
        <v>30743</v>
      </c>
      <c r="P696" s="49" t="s">
        <v>30746</v>
      </c>
      <c r="Q696" s="49" t="s">
        <v>30749</v>
      </c>
      <c r="R696" s="49" t="s">
        <v>30752</v>
      </c>
      <c r="S696" s="49" t="s">
        <v>30755</v>
      </c>
      <c r="T696" s="49" t="s">
        <v>30758</v>
      </c>
    </row>
    <row r="697" spans="1:21" x14ac:dyDescent="0.2">
      <c r="A697" s="49" t="s">
        <v>30</v>
      </c>
      <c r="D697" s="49" t="s">
        <v>15254</v>
      </c>
      <c r="G697" s="49" t="s">
        <v>15255</v>
      </c>
      <c r="H697" s="49" t="s">
        <v>30738</v>
      </c>
      <c r="I697" s="49" t="s">
        <v>30741</v>
      </c>
      <c r="J697" s="49" t="s">
        <v>30762</v>
      </c>
      <c r="K697" s="49" t="s">
        <v>30765</v>
      </c>
      <c r="L697" s="49" t="s">
        <v>15256</v>
      </c>
      <c r="M697" s="49" t="s">
        <v>15257</v>
      </c>
      <c r="N697" s="49" t="s">
        <v>15258</v>
      </c>
      <c r="O697" s="49" t="s">
        <v>30744</v>
      </c>
      <c r="P697" s="49" t="s">
        <v>30747</v>
      </c>
      <c r="Q697" s="49" t="s">
        <v>30750</v>
      </c>
      <c r="R697" s="49" t="s">
        <v>30753</v>
      </c>
      <c r="S697" s="49" t="s">
        <v>30756</v>
      </c>
      <c r="T697" s="49" t="s">
        <v>30759</v>
      </c>
    </row>
    <row r="698" spans="1:21" x14ac:dyDescent="0.2">
      <c r="A698" s="49" t="s">
        <v>30</v>
      </c>
      <c r="D698" s="49" t="s">
        <v>11244</v>
      </c>
      <c r="G698" s="49" t="s">
        <v>15259</v>
      </c>
      <c r="H698" s="49" t="s">
        <v>12224</v>
      </c>
      <c r="I698" s="49" t="s">
        <v>12227</v>
      </c>
      <c r="J698" s="49" t="s">
        <v>12248</v>
      </c>
      <c r="K698" s="49" t="s">
        <v>12251</v>
      </c>
      <c r="L698" s="49" t="s">
        <v>11245</v>
      </c>
      <c r="M698" s="49" t="s">
        <v>11246</v>
      </c>
      <c r="N698" s="49" t="s">
        <v>11247</v>
      </c>
      <c r="O698" s="49" t="s">
        <v>12230</v>
      </c>
      <c r="P698" s="49" t="s">
        <v>12233</v>
      </c>
      <c r="Q698" s="49" t="s">
        <v>12236</v>
      </c>
      <c r="R698" s="49" t="s">
        <v>12239</v>
      </c>
      <c r="S698" s="49" t="s">
        <v>12242</v>
      </c>
      <c r="T698" s="49" t="s">
        <v>12245</v>
      </c>
    </row>
    <row r="699" spans="1:21" x14ac:dyDescent="0.2">
      <c r="A699" s="49" t="s">
        <v>30</v>
      </c>
      <c r="D699" s="49" t="s">
        <v>11248</v>
      </c>
      <c r="G699" s="49" t="s">
        <v>15260</v>
      </c>
      <c r="H699" s="49" t="s">
        <v>12225</v>
      </c>
      <c r="I699" s="49" t="s">
        <v>12228</v>
      </c>
      <c r="J699" s="49" t="s">
        <v>12249</v>
      </c>
      <c r="K699" s="49" t="s">
        <v>12252</v>
      </c>
      <c r="L699" s="49" t="s">
        <v>11249</v>
      </c>
      <c r="M699" s="49" t="s">
        <v>11250</v>
      </c>
      <c r="N699" s="49" t="s">
        <v>11251</v>
      </c>
      <c r="O699" s="49" t="s">
        <v>12231</v>
      </c>
      <c r="P699" s="49" t="s">
        <v>12234</v>
      </c>
      <c r="Q699" s="49" t="s">
        <v>12237</v>
      </c>
      <c r="R699" s="49" t="s">
        <v>12240</v>
      </c>
      <c r="S699" s="49" t="s">
        <v>12243</v>
      </c>
      <c r="T699" s="49" t="s">
        <v>12246</v>
      </c>
    </row>
    <row r="700" spans="1:21" x14ac:dyDescent="0.2">
      <c r="A700" s="49" t="s">
        <v>30</v>
      </c>
      <c r="D700" s="49" t="s">
        <v>11252</v>
      </c>
      <c r="G700" s="49" t="s">
        <v>15261</v>
      </c>
      <c r="H700" s="49" t="s">
        <v>12226</v>
      </c>
      <c r="I700" s="49" t="s">
        <v>12229</v>
      </c>
      <c r="J700" s="49" t="s">
        <v>12250</v>
      </c>
      <c r="K700" s="49" t="s">
        <v>12253</v>
      </c>
      <c r="L700" s="49" t="s">
        <v>11253</v>
      </c>
      <c r="M700" s="49" t="s">
        <v>11254</v>
      </c>
      <c r="N700" s="49" t="s">
        <v>11255</v>
      </c>
      <c r="O700" s="49" t="s">
        <v>12232</v>
      </c>
      <c r="P700" s="49" t="s">
        <v>12235</v>
      </c>
      <c r="Q700" s="49" t="s">
        <v>12238</v>
      </c>
      <c r="R700" s="49" t="s">
        <v>12241</v>
      </c>
      <c r="S700" s="49" t="s">
        <v>12244</v>
      </c>
      <c r="T700" s="49" t="s">
        <v>12247</v>
      </c>
    </row>
    <row r="701" spans="1:21" x14ac:dyDescent="0.2">
      <c r="A701" s="49" t="s">
        <v>30</v>
      </c>
      <c r="D701" s="49" t="s">
        <v>6804</v>
      </c>
      <c r="G701" s="49" t="s">
        <v>15262</v>
      </c>
      <c r="H701" s="49" t="s">
        <v>6805</v>
      </c>
      <c r="I701" s="49" t="s">
        <v>6806</v>
      </c>
      <c r="J701" s="49" t="s">
        <v>6807</v>
      </c>
      <c r="K701" s="49" t="s">
        <v>6808</v>
      </c>
      <c r="L701" s="49" t="s">
        <v>6809</v>
      </c>
      <c r="M701" s="49" t="s">
        <v>6810</v>
      </c>
      <c r="N701" s="49" t="s">
        <v>6811</v>
      </c>
      <c r="O701" s="49" t="s">
        <v>6812</v>
      </c>
      <c r="P701" s="49" t="s">
        <v>6813</v>
      </c>
      <c r="Q701" s="49" t="s">
        <v>6814</v>
      </c>
      <c r="R701" s="49" t="s">
        <v>6815</v>
      </c>
      <c r="S701" s="49" t="s">
        <v>6816</v>
      </c>
      <c r="T701" s="49" t="s">
        <v>6817</v>
      </c>
    </row>
    <row r="702" spans="1:21" x14ac:dyDescent="0.2">
      <c r="A702" s="49" t="s">
        <v>30</v>
      </c>
      <c r="D702" s="49" t="s">
        <v>6818</v>
      </c>
      <c r="G702" s="49" t="s">
        <v>15263</v>
      </c>
      <c r="H702" s="49" t="s">
        <v>6819</v>
      </c>
      <c r="I702" s="49" t="s">
        <v>6820</v>
      </c>
      <c r="J702" s="49" t="s">
        <v>6821</v>
      </c>
      <c r="K702" s="49" t="s">
        <v>6822</v>
      </c>
      <c r="L702" s="49" t="s">
        <v>6823</v>
      </c>
      <c r="M702" s="49" t="s">
        <v>6824</v>
      </c>
      <c r="N702" s="49" t="s">
        <v>6825</v>
      </c>
      <c r="O702" s="49" t="s">
        <v>6826</v>
      </c>
      <c r="P702" s="49" t="s">
        <v>6827</v>
      </c>
      <c r="Q702" s="49" t="s">
        <v>6828</v>
      </c>
      <c r="R702" s="49" t="s">
        <v>6829</v>
      </c>
      <c r="S702" s="49" t="s">
        <v>6830</v>
      </c>
      <c r="T702" s="49" t="s">
        <v>6831</v>
      </c>
    </row>
    <row r="703" spans="1:21" x14ac:dyDescent="0.2">
      <c r="A703" s="49" t="s">
        <v>30</v>
      </c>
    </row>
    <row r="704" spans="1:21" x14ac:dyDescent="0.2">
      <c r="A704" s="49" t="s">
        <v>30</v>
      </c>
      <c r="E704" s="49" t="s">
        <v>31</v>
      </c>
      <c r="F704" s="49" t="s">
        <v>31</v>
      </c>
      <c r="G704" s="49" t="s">
        <v>31</v>
      </c>
      <c r="J704" s="49" t="s">
        <v>31</v>
      </c>
      <c r="K704" s="49" t="s">
        <v>31</v>
      </c>
      <c r="L704" s="49" t="s">
        <v>31</v>
      </c>
      <c r="M704" s="49" t="s">
        <v>31</v>
      </c>
    </row>
    <row r="705" spans="1:21" x14ac:dyDescent="0.2">
      <c r="A705" s="49" t="s">
        <v>30</v>
      </c>
      <c r="D705" s="49" t="s">
        <v>15264</v>
      </c>
      <c r="E705" s="49" t="s">
        <v>5040</v>
      </c>
      <c r="F705" s="49" t="s">
        <v>15265</v>
      </c>
      <c r="H705" s="49" t="s">
        <v>15266</v>
      </c>
      <c r="O705" s="49" t="s">
        <v>15267</v>
      </c>
      <c r="P705" s="49" t="s">
        <v>15268</v>
      </c>
      <c r="Q705" s="49" t="s">
        <v>15269</v>
      </c>
      <c r="R705" s="49" t="s">
        <v>15270</v>
      </c>
      <c r="S705" s="49" t="s">
        <v>15271</v>
      </c>
      <c r="T705" s="49" t="s">
        <v>15272</v>
      </c>
      <c r="U705" s="49" t="s">
        <v>15273</v>
      </c>
    </row>
    <row r="706" spans="1:21" x14ac:dyDescent="0.2">
      <c r="A706" s="49" t="s">
        <v>30</v>
      </c>
      <c r="D706" s="49" t="s">
        <v>6856</v>
      </c>
      <c r="G706" s="49" t="s">
        <v>15274</v>
      </c>
      <c r="H706" s="49" t="s">
        <v>6857</v>
      </c>
      <c r="I706" s="49" t="s">
        <v>6858</v>
      </c>
      <c r="J706" s="49" t="s">
        <v>6859</v>
      </c>
      <c r="K706" s="49" t="s">
        <v>6860</v>
      </c>
      <c r="L706" s="49" t="s">
        <v>6861</v>
      </c>
      <c r="M706" s="49" t="s">
        <v>6862</v>
      </c>
      <c r="N706" s="49" t="s">
        <v>6863</v>
      </c>
      <c r="O706" s="49" t="s">
        <v>6864</v>
      </c>
      <c r="P706" s="49" t="s">
        <v>6865</v>
      </c>
      <c r="Q706" s="49" t="s">
        <v>6866</v>
      </c>
      <c r="R706" s="49" t="s">
        <v>6867</v>
      </c>
      <c r="S706" s="49" t="s">
        <v>6868</v>
      </c>
      <c r="T706" s="49" t="s">
        <v>6869</v>
      </c>
    </row>
    <row r="707" spans="1:21" x14ac:dyDescent="0.2">
      <c r="A707" s="49" t="s">
        <v>30</v>
      </c>
      <c r="D707" s="49" t="s">
        <v>15275</v>
      </c>
      <c r="G707" s="49" t="s">
        <v>15276</v>
      </c>
      <c r="H707" s="49" t="s">
        <v>30706</v>
      </c>
      <c r="I707" s="49" t="s">
        <v>30709</v>
      </c>
      <c r="J707" s="49" t="s">
        <v>30730</v>
      </c>
      <c r="K707" s="49" t="s">
        <v>30733</v>
      </c>
      <c r="L707" s="49" t="s">
        <v>15277</v>
      </c>
      <c r="M707" s="49" t="s">
        <v>15278</v>
      </c>
      <c r="N707" s="49" t="s">
        <v>15279</v>
      </c>
      <c r="O707" s="49" t="s">
        <v>30712</v>
      </c>
      <c r="P707" s="49" t="s">
        <v>30715</v>
      </c>
      <c r="Q707" s="49" t="s">
        <v>30718</v>
      </c>
      <c r="R707" s="49" t="s">
        <v>30721</v>
      </c>
      <c r="S707" s="49" t="s">
        <v>30724</v>
      </c>
      <c r="T707" s="49" t="s">
        <v>30727</v>
      </c>
    </row>
    <row r="708" spans="1:21" x14ac:dyDescent="0.2">
      <c r="A708" s="49" t="s">
        <v>30</v>
      </c>
      <c r="D708" s="49" t="s">
        <v>15280</v>
      </c>
      <c r="G708" s="49" t="s">
        <v>15281</v>
      </c>
      <c r="H708" s="49" t="s">
        <v>30707</v>
      </c>
      <c r="I708" s="49" t="s">
        <v>30710</v>
      </c>
      <c r="J708" s="49" t="s">
        <v>30731</v>
      </c>
      <c r="K708" s="49" t="s">
        <v>30734</v>
      </c>
      <c r="L708" s="49" t="s">
        <v>15282</v>
      </c>
      <c r="M708" s="49" t="s">
        <v>15283</v>
      </c>
      <c r="N708" s="49" t="s">
        <v>15284</v>
      </c>
      <c r="O708" s="49" t="s">
        <v>30713</v>
      </c>
      <c r="P708" s="49" t="s">
        <v>30716</v>
      </c>
      <c r="Q708" s="49" t="s">
        <v>30719</v>
      </c>
      <c r="R708" s="49" t="s">
        <v>30722</v>
      </c>
      <c r="S708" s="49" t="s">
        <v>30725</v>
      </c>
      <c r="T708" s="49" t="s">
        <v>30728</v>
      </c>
    </row>
    <row r="709" spans="1:21" x14ac:dyDescent="0.2">
      <c r="A709" s="49" t="s">
        <v>30</v>
      </c>
      <c r="D709" s="49" t="s">
        <v>15285</v>
      </c>
      <c r="G709" s="49" t="s">
        <v>15286</v>
      </c>
      <c r="H709" s="49" t="s">
        <v>30708</v>
      </c>
      <c r="I709" s="49" t="s">
        <v>30711</v>
      </c>
      <c r="J709" s="49" t="s">
        <v>30732</v>
      </c>
      <c r="K709" s="49" t="s">
        <v>30735</v>
      </c>
      <c r="L709" s="49" t="s">
        <v>15287</v>
      </c>
      <c r="M709" s="49" t="s">
        <v>15288</v>
      </c>
      <c r="N709" s="49" t="s">
        <v>15289</v>
      </c>
      <c r="O709" s="49" t="s">
        <v>30714</v>
      </c>
      <c r="P709" s="49" t="s">
        <v>30717</v>
      </c>
      <c r="Q709" s="49" t="s">
        <v>30720</v>
      </c>
      <c r="R709" s="49" t="s">
        <v>30723</v>
      </c>
      <c r="S709" s="49" t="s">
        <v>30726</v>
      </c>
      <c r="T709" s="49" t="s">
        <v>30729</v>
      </c>
    </row>
    <row r="710" spans="1:21" x14ac:dyDescent="0.2">
      <c r="A710" s="49" t="s">
        <v>30</v>
      </c>
      <c r="D710" s="49" t="s">
        <v>6870</v>
      </c>
      <c r="G710" s="49" t="s">
        <v>15290</v>
      </c>
      <c r="H710" s="49" t="s">
        <v>6871</v>
      </c>
      <c r="I710" s="49" t="s">
        <v>6872</v>
      </c>
      <c r="J710" s="49" t="s">
        <v>6873</v>
      </c>
      <c r="K710" s="49" t="s">
        <v>6874</v>
      </c>
      <c r="L710" s="49" t="s">
        <v>6875</v>
      </c>
      <c r="M710" s="49" t="s">
        <v>6876</v>
      </c>
      <c r="N710" s="49" t="s">
        <v>6877</v>
      </c>
      <c r="O710" s="49" t="s">
        <v>6878</v>
      </c>
      <c r="P710" s="49" t="s">
        <v>6879</v>
      </c>
      <c r="Q710" s="49" t="s">
        <v>6880</v>
      </c>
      <c r="R710" s="49" t="s">
        <v>6881</v>
      </c>
      <c r="S710" s="49" t="s">
        <v>6882</v>
      </c>
      <c r="T710" s="49" t="s">
        <v>6883</v>
      </c>
    </row>
    <row r="711" spans="1:21" x14ac:dyDescent="0.2">
      <c r="A711" s="49" t="s">
        <v>30</v>
      </c>
      <c r="D711" s="49" t="s">
        <v>6884</v>
      </c>
      <c r="G711" s="49" t="s">
        <v>15291</v>
      </c>
      <c r="H711" s="49" t="s">
        <v>6885</v>
      </c>
      <c r="I711" s="49" t="s">
        <v>6886</v>
      </c>
      <c r="J711" s="49" t="s">
        <v>6887</v>
      </c>
      <c r="K711" s="49" t="s">
        <v>6888</v>
      </c>
      <c r="L711" s="49" t="s">
        <v>6889</v>
      </c>
      <c r="M711" s="49" t="s">
        <v>6890</v>
      </c>
      <c r="N711" s="49" t="s">
        <v>6891</v>
      </c>
      <c r="O711" s="49" t="s">
        <v>6892</v>
      </c>
      <c r="P711" s="49" t="s">
        <v>6893</v>
      </c>
      <c r="Q711" s="49" t="s">
        <v>6894</v>
      </c>
      <c r="R711" s="49" t="s">
        <v>6895</v>
      </c>
      <c r="S711" s="49" t="s">
        <v>6896</v>
      </c>
      <c r="T711" s="49" t="s">
        <v>6897</v>
      </c>
    </row>
    <row r="712" spans="1:21" x14ac:dyDescent="0.2">
      <c r="A712" s="49" t="s">
        <v>30</v>
      </c>
      <c r="D712" s="49" t="s">
        <v>6898</v>
      </c>
      <c r="G712" s="49" t="s">
        <v>15292</v>
      </c>
      <c r="H712" s="49" t="s">
        <v>6899</v>
      </c>
      <c r="I712" s="49" t="s">
        <v>6900</v>
      </c>
      <c r="J712" s="49" t="s">
        <v>6901</v>
      </c>
      <c r="K712" s="49" t="s">
        <v>6902</v>
      </c>
      <c r="L712" s="49" t="s">
        <v>6903</v>
      </c>
      <c r="M712" s="49" t="s">
        <v>6904</v>
      </c>
      <c r="N712" s="49" t="s">
        <v>6905</v>
      </c>
      <c r="O712" s="49" t="s">
        <v>6906</v>
      </c>
      <c r="P712" s="49" t="s">
        <v>6907</v>
      </c>
      <c r="Q712" s="49" t="s">
        <v>6908</v>
      </c>
      <c r="R712" s="49" t="s">
        <v>6909</v>
      </c>
      <c r="S712" s="49" t="s">
        <v>6910</v>
      </c>
      <c r="T712" s="49" t="s">
        <v>6911</v>
      </c>
    </row>
    <row r="713" spans="1:21" x14ac:dyDescent="0.2">
      <c r="A713" s="49" t="s">
        <v>30</v>
      </c>
      <c r="D713" s="49" t="s">
        <v>6912</v>
      </c>
      <c r="G713" s="49" t="s">
        <v>15293</v>
      </c>
      <c r="H713" s="49" t="s">
        <v>6913</v>
      </c>
      <c r="I713" s="49" t="s">
        <v>6914</v>
      </c>
      <c r="J713" s="49" t="s">
        <v>6915</v>
      </c>
      <c r="K713" s="49" t="s">
        <v>6916</v>
      </c>
      <c r="L713" s="49" t="s">
        <v>6917</v>
      </c>
      <c r="M713" s="49" t="s">
        <v>6918</v>
      </c>
      <c r="N713" s="49" t="s">
        <v>6919</v>
      </c>
      <c r="O713" s="49" t="s">
        <v>6920</v>
      </c>
      <c r="P713" s="49" t="s">
        <v>6921</v>
      </c>
      <c r="Q713" s="49" t="s">
        <v>6922</v>
      </c>
      <c r="R713" s="49" t="s">
        <v>6923</v>
      </c>
      <c r="S713" s="49" t="s">
        <v>6924</v>
      </c>
      <c r="T713" s="49" t="s">
        <v>6925</v>
      </c>
    </row>
    <row r="714" spans="1:21" x14ac:dyDescent="0.2">
      <c r="A714" s="49" t="s">
        <v>30</v>
      </c>
      <c r="D714" s="49" t="s">
        <v>6926</v>
      </c>
      <c r="G714" s="49" t="s">
        <v>15294</v>
      </c>
      <c r="H714" s="49" t="s">
        <v>6927</v>
      </c>
      <c r="I714" s="49" t="s">
        <v>6928</v>
      </c>
      <c r="J714" s="49" t="s">
        <v>6929</v>
      </c>
      <c r="K714" s="49" t="s">
        <v>6930</v>
      </c>
      <c r="L714" s="49" t="s">
        <v>6931</v>
      </c>
      <c r="M714" s="49" t="s">
        <v>6932</v>
      </c>
      <c r="N714" s="49" t="s">
        <v>6933</v>
      </c>
      <c r="O714" s="49" t="s">
        <v>6934</v>
      </c>
      <c r="P714" s="49" t="s">
        <v>6935</v>
      </c>
      <c r="Q714" s="49" t="s">
        <v>6936</v>
      </c>
      <c r="R714" s="49" t="s">
        <v>6937</v>
      </c>
      <c r="S714" s="49" t="s">
        <v>6938</v>
      </c>
      <c r="T714" s="49" t="s">
        <v>6939</v>
      </c>
    </row>
    <row r="715" spans="1:21" x14ac:dyDescent="0.2">
      <c r="A715" s="49" t="s">
        <v>30</v>
      </c>
      <c r="D715" s="49" t="s">
        <v>6940</v>
      </c>
      <c r="G715" s="49" t="s">
        <v>15295</v>
      </c>
      <c r="H715" s="49" t="s">
        <v>6941</v>
      </c>
      <c r="I715" s="49" t="s">
        <v>6942</v>
      </c>
      <c r="J715" s="49" t="s">
        <v>6943</v>
      </c>
      <c r="K715" s="49" t="s">
        <v>6944</v>
      </c>
      <c r="L715" s="49" t="s">
        <v>6945</v>
      </c>
      <c r="M715" s="49" t="s">
        <v>6946</v>
      </c>
      <c r="N715" s="49" t="s">
        <v>6947</v>
      </c>
      <c r="O715" s="49" t="s">
        <v>6948</v>
      </c>
      <c r="P715" s="49" t="s">
        <v>6949</v>
      </c>
      <c r="Q715" s="49" t="s">
        <v>6950</v>
      </c>
      <c r="R715" s="49" t="s">
        <v>6951</v>
      </c>
      <c r="S715" s="49" t="s">
        <v>6952</v>
      </c>
      <c r="T715" s="49" t="s">
        <v>6953</v>
      </c>
    </row>
    <row r="716" spans="1:21" x14ac:dyDescent="0.2">
      <c r="A716" s="49" t="s">
        <v>30</v>
      </c>
    </row>
    <row r="717" spans="1:21" x14ac:dyDescent="0.2">
      <c r="A717" s="49" t="s">
        <v>30</v>
      </c>
      <c r="E717" s="49" t="s">
        <v>31</v>
      </c>
      <c r="F717" s="49" t="s">
        <v>31</v>
      </c>
      <c r="G717" s="49" t="s">
        <v>31</v>
      </c>
      <c r="J717" s="49" t="s">
        <v>31</v>
      </c>
      <c r="K717" s="49" t="s">
        <v>31</v>
      </c>
      <c r="L717" s="49" t="s">
        <v>31</v>
      </c>
      <c r="M717" s="49" t="s">
        <v>31</v>
      </c>
    </row>
    <row r="718" spans="1:21" x14ac:dyDescent="0.2">
      <c r="A718" s="49" t="s">
        <v>30</v>
      </c>
      <c r="D718" s="49" t="s">
        <v>15296</v>
      </c>
      <c r="E718" s="49" t="s">
        <v>5066</v>
      </c>
      <c r="F718" s="49" t="s">
        <v>15297</v>
      </c>
      <c r="H718" s="49" t="s">
        <v>15298</v>
      </c>
      <c r="O718" s="49" t="s">
        <v>15299</v>
      </c>
      <c r="P718" s="49" t="s">
        <v>15300</v>
      </c>
      <c r="Q718" s="49" t="s">
        <v>15301</v>
      </c>
      <c r="R718" s="49" t="s">
        <v>15302</v>
      </c>
      <c r="S718" s="49" t="s">
        <v>15303</v>
      </c>
      <c r="T718" s="49" t="s">
        <v>15304</v>
      </c>
      <c r="U718" s="49" t="s">
        <v>15305</v>
      </c>
    </row>
    <row r="719" spans="1:21" x14ac:dyDescent="0.2">
      <c r="A719" s="49" t="s">
        <v>30</v>
      </c>
      <c r="D719" s="49" t="s">
        <v>15306</v>
      </c>
      <c r="G719" s="49" t="s">
        <v>15307</v>
      </c>
      <c r="H719" s="49" t="s">
        <v>30696</v>
      </c>
      <c r="I719" s="49" t="s">
        <v>30697</v>
      </c>
      <c r="J719" s="49" t="s">
        <v>30704</v>
      </c>
      <c r="K719" s="49" t="s">
        <v>30705</v>
      </c>
      <c r="L719" s="49" t="s">
        <v>15308</v>
      </c>
      <c r="M719" s="49" t="s">
        <v>15309</v>
      </c>
      <c r="N719" s="49" t="s">
        <v>15310</v>
      </c>
      <c r="O719" s="49" t="s">
        <v>30698</v>
      </c>
      <c r="P719" s="49" t="s">
        <v>30699</v>
      </c>
      <c r="Q719" s="49" t="s">
        <v>30700</v>
      </c>
      <c r="R719" s="49" t="s">
        <v>30701</v>
      </c>
      <c r="S719" s="49" t="s">
        <v>30702</v>
      </c>
      <c r="T719" s="49" t="s">
        <v>30703</v>
      </c>
    </row>
    <row r="720" spans="1:21" x14ac:dyDescent="0.2">
      <c r="A720" s="49" t="s">
        <v>30</v>
      </c>
      <c r="D720" s="49" t="s">
        <v>11256</v>
      </c>
      <c r="G720" s="49" t="s">
        <v>15311</v>
      </c>
      <c r="H720" s="49" t="s">
        <v>12194</v>
      </c>
      <c r="I720" s="49" t="s">
        <v>12197</v>
      </c>
      <c r="J720" s="49" t="s">
        <v>12218</v>
      </c>
      <c r="K720" s="49" t="s">
        <v>12221</v>
      </c>
      <c r="L720" s="49" t="s">
        <v>11257</v>
      </c>
      <c r="M720" s="49" t="s">
        <v>11258</v>
      </c>
      <c r="N720" s="49" t="s">
        <v>11259</v>
      </c>
      <c r="O720" s="49" t="s">
        <v>12200</v>
      </c>
      <c r="P720" s="49" t="s">
        <v>12203</v>
      </c>
      <c r="Q720" s="49" t="s">
        <v>12206</v>
      </c>
      <c r="R720" s="49" t="s">
        <v>12209</v>
      </c>
      <c r="S720" s="49" t="s">
        <v>12212</v>
      </c>
      <c r="T720" s="49" t="s">
        <v>12215</v>
      </c>
    </row>
    <row r="721" spans="1:21" x14ac:dyDescent="0.2">
      <c r="A721" s="49" t="s">
        <v>30</v>
      </c>
      <c r="D721" s="49" t="s">
        <v>11260</v>
      </c>
      <c r="G721" s="49" t="s">
        <v>15312</v>
      </c>
      <c r="H721" s="49" t="s">
        <v>12195</v>
      </c>
      <c r="I721" s="49" t="s">
        <v>12198</v>
      </c>
      <c r="J721" s="49" t="s">
        <v>12219</v>
      </c>
      <c r="K721" s="49" t="s">
        <v>12222</v>
      </c>
      <c r="L721" s="49" t="s">
        <v>11261</v>
      </c>
      <c r="M721" s="49" t="s">
        <v>11262</v>
      </c>
      <c r="N721" s="49" t="s">
        <v>11263</v>
      </c>
      <c r="O721" s="49" t="s">
        <v>12201</v>
      </c>
      <c r="P721" s="49" t="s">
        <v>12204</v>
      </c>
      <c r="Q721" s="49" t="s">
        <v>12207</v>
      </c>
      <c r="R721" s="49" t="s">
        <v>12210</v>
      </c>
      <c r="S721" s="49" t="s">
        <v>12213</v>
      </c>
      <c r="T721" s="49" t="s">
        <v>12216</v>
      </c>
    </row>
    <row r="722" spans="1:21" x14ac:dyDescent="0.2">
      <c r="A722" s="49" t="s">
        <v>30</v>
      </c>
      <c r="D722" s="49" t="s">
        <v>11264</v>
      </c>
      <c r="G722" s="49" t="s">
        <v>15313</v>
      </c>
      <c r="H722" s="49" t="s">
        <v>12196</v>
      </c>
      <c r="I722" s="49" t="s">
        <v>12199</v>
      </c>
      <c r="J722" s="49" t="s">
        <v>12220</v>
      </c>
      <c r="K722" s="49" t="s">
        <v>12223</v>
      </c>
      <c r="L722" s="49" t="s">
        <v>11265</v>
      </c>
      <c r="M722" s="49" t="s">
        <v>11266</v>
      </c>
      <c r="N722" s="49" t="s">
        <v>11267</v>
      </c>
      <c r="O722" s="49" t="s">
        <v>12202</v>
      </c>
      <c r="P722" s="49" t="s">
        <v>12205</v>
      </c>
      <c r="Q722" s="49" t="s">
        <v>12208</v>
      </c>
      <c r="R722" s="49" t="s">
        <v>12211</v>
      </c>
      <c r="S722" s="49" t="s">
        <v>12214</v>
      </c>
      <c r="T722" s="49" t="s">
        <v>12217</v>
      </c>
    </row>
    <row r="723" spans="1:21" x14ac:dyDescent="0.2">
      <c r="A723" s="49" t="s">
        <v>30</v>
      </c>
      <c r="D723" s="49" t="s">
        <v>6963</v>
      </c>
      <c r="G723" s="49" t="s">
        <v>15314</v>
      </c>
      <c r="H723" s="49" t="s">
        <v>6964</v>
      </c>
      <c r="I723" s="49" t="s">
        <v>6965</v>
      </c>
      <c r="J723" s="49" t="s">
        <v>6966</v>
      </c>
      <c r="K723" s="49" t="s">
        <v>6967</v>
      </c>
      <c r="L723" s="49" t="s">
        <v>6968</v>
      </c>
      <c r="M723" s="49" t="s">
        <v>6969</v>
      </c>
      <c r="N723" s="49" t="s">
        <v>6970</v>
      </c>
      <c r="O723" s="49" t="s">
        <v>6971</v>
      </c>
      <c r="P723" s="49" t="s">
        <v>6972</v>
      </c>
      <c r="Q723" s="49" t="s">
        <v>6973</v>
      </c>
      <c r="R723" s="49" t="s">
        <v>6974</v>
      </c>
      <c r="S723" s="49" t="s">
        <v>6975</v>
      </c>
      <c r="T723" s="49" t="s">
        <v>6976</v>
      </c>
    </row>
    <row r="724" spans="1:21" x14ac:dyDescent="0.2">
      <c r="A724" s="49" t="s">
        <v>30</v>
      </c>
      <c r="D724" s="49" t="s">
        <v>6977</v>
      </c>
      <c r="G724" s="49" t="s">
        <v>15315</v>
      </c>
      <c r="H724" s="49" t="s">
        <v>6978</v>
      </c>
      <c r="I724" s="49" t="s">
        <v>6979</v>
      </c>
      <c r="J724" s="49" t="s">
        <v>6980</v>
      </c>
      <c r="K724" s="49" t="s">
        <v>6981</v>
      </c>
      <c r="L724" s="49" t="s">
        <v>6982</v>
      </c>
      <c r="M724" s="49" t="s">
        <v>6983</v>
      </c>
      <c r="N724" s="49" t="s">
        <v>6984</v>
      </c>
      <c r="O724" s="49" t="s">
        <v>6985</v>
      </c>
      <c r="P724" s="49" t="s">
        <v>6986</v>
      </c>
      <c r="Q724" s="49" t="s">
        <v>6987</v>
      </c>
      <c r="R724" s="49" t="s">
        <v>6988</v>
      </c>
      <c r="S724" s="49" t="s">
        <v>6989</v>
      </c>
      <c r="T724" s="49" t="s">
        <v>6990</v>
      </c>
    </row>
    <row r="725" spans="1:21" x14ac:dyDescent="0.2">
      <c r="A725" s="49" t="s">
        <v>30</v>
      </c>
    </row>
    <row r="726" spans="1:21" x14ac:dyDescent="0.2">
      <c r="A726" s="49" t="s">
        <v>30</v>
      </c>
      <c r="E726" s="49" t="s">
        <v>31</v>
      </c>
      <c r="F726" s="49" t="s">
        <v>31</v>
      </c>
      <c r="G726" s="49" t="s">
        <v>31</v>
      </c>
      <c r="J726" s="49" t="s">
        <v>31</v>
      </c>
      <c r="K726" s="49" t="s">
        <v>31</v>
      </c>
      <c r="L726" s="49" t="s">
        <v>31</v>
      </c>
      <c r="M726" s="49" t="s">
        <v>31</v>
      </c>
    </row>
    <row r="727" spans="1:21" x14ac:dyDescent="0.2">
      <c r="A727" s="49" t="s">
        <v>30</v>
      </c>
      <c r="D727" s="49" t="s">
        <v>11268</v>
      </c>
      <c r="E727" s="49" t="s">
        <v>5091</v>
      </c>
      <c r="F727" s="49" t="s">
        <v>11269</v>
      </c>
      <c r="H727" s="49" t="s">
        <v>11270</v>
      </c>
      <c r="O727" s="49" t="s">
        <v>15316</v>
      </c>
      <c r="P727" s="49" t="s">
        <v>15317</v>
      </c>
      <c r="Q727" s="49" t="s">
        <v>15318</v>
      </c>
      <c r="R727" s="49" t="s">
        <v>15319</v>
      </c>
      <c r="S727" s="49" t="s">
        <v>15320</v>
      </c>
      <c r="T727" s="49" t="s">
        <v>15321</v>
      </c>
      <c r="U727" s="49" t="s">
        <v>15322</v>
      </c>
    </row>
    <row r="728" spans="1:21" x14ac:dyDescent="0.2">
      <c r="A728" s="49" t="s">
        <v>30</v>
      </c>
      <c r="D728" s="49" t="s">
        <v>6991</v>
      </c>
      <c r="G728" s="49" t="s">
        <v>11271</v>
      </c>
      <c r="H728" s="49" t="s">
        <v>6992</v>
      </c>
      <c r="I728" s="49" t="s">
        <v>6993</v>
      </c>
      <c r="J728" s="49" t="s">
        <v>6994</v>
      </c>
      <c r="K728" s="49" t="s">
        <v>6995</v>
      </c>
      <c r="L728" s="49" t="s">
        <v>6996</v>
      </c>
      <c r="M728" s="49" t="s">
        <v>6997</v>
      </c>
      <c r="N728" s="49" t="s">
        <v>6998</v>
      </c>
      <c r="O728" s="49" t="s">
        <v>6999</v>
      </c>
      <c r="P728" s="49" t="s">
        <v>7000</v>
      </c>
      <c r="Q728" s="49" t="s">
        <v>7001</v>
      </c>
      <c r="R728" s="49" t="s">
        <v>7002</v>
      </c>
      <c r="S728" s="49" t="s">
        <v>7003</v>
      </c>
      <c r="T728" s="49" t="s">
        <v>7004</v>
      </c>
    </row>
    <row r="729" spans="1:21" x14ac:dyDescent="0.2">
      <c r="A729" s="49" t="s">
        <v>30</v>
      </c>
      <c r="D729" s="49" t="s">
        <v>7005</v>
      </c>
      <c r="G729" s="49" t="s">
        <v>15323</v>
      </c>
      <c r="H729" s="49" t="s">
        <v>7006</v>
      </c>
      <c r="I729" s="49" t="s">
        <v>7007</v>
      </c>
      <c r="J729" s="49" t="s">
        <v>7008</v>
      </c>
      <c r="K729" s="49" t="s">
        <v>7009</v>
      </c>
      <c r="L729" s="49" t="s">
        <v>7010</v>
      </c>
      <c r="M729" s="49" t="s">
        <v>7011</v>
      </c>
      <c r="N729" s="49" t="s">
        <v>7012</v>
      </c>
      <c r="O729" s="49" t="s">
        <v>7013</v>
      </c>
      <c r="P729" s="49" t="s">
        <v>7014</v>
      </c>
      <c r="Q729" s="49" t="s">
        <v>7015</v>
      </c>
      <c r="R729" s="49" t="s">
        <v>7016</v>
      </c>
      <c r="S729" s="49" t="s">
        <v>7017</v>
      </c>
      <c r="T729" s="49" t="s">
        <v>7018</v>
      </c>
    </row>
    <row r="730" spans="1:21" x14ac:dyDescent="0.2">
      <c r="A730" s="49" t="s">
        <v>30</v>
      </c>
      <c r="D730" s="49" t="s">
        <v>7019</v>
      </c>
      <c r="G730" s="49" t="s">
        <v>15324</v>
      </c>
      <c r="H730" s="49" t="s">
        <v>7020</v>
      </c>
      <c r="I730" s="49" t="s">
        <v>7021</v>
      </c>
      <c r="J730" s="49" t="s">
        <v>7022</v>
      </c>
      <c r="K730" s="49" t="s">
        <v>7023</v>
      </c>
      <c r="L730" s="49" t="s">
        <v>7024</v>
      </c>
      <c r="M730" s="49" t="s">
        <v>7025</v>
      </c>
      <c r="N730" s="49" t="s">
        <v>7026</v>
      </c>
      <c r="O730" s="49" t="s">
        <v>7027</v>
      </c>
      <c r="P730" s="49" t="s">
        <v>7028</v>
      </c>
      <c r="Q730" s="49" t="s">
        <v>7029</v>
      </c>
      <c r="R730" s="49" t="s">
        <v>7030</v>
      </c>
      <c r="S730" s="49" t="s">
        <v>7031</v>
      </c>
      <c r="T730" s="49" t="s">
        <v>7032</v>
      </c>
    </row>
    <row r="731" spans="1:21" x14ac:dyDescent="0.2">
      <c r="A731" s="49" t="s">
        <v>30</v>
      </c>
      <c r="D731" s="49" t="s">
        <v>15325</v>
      </c>
      <c r="G731" s="49" t="s">
        <v>15326</v>
      </c>
      <c r="H731" s="49" t="s">
        <v>30676</v>
      </c>
      <c r="I731" s="49" t="s">
        <v>30678</v>
      </c>
      <c r="J731" s="49" t="s">
        <v>30692</v>
      </c>
      <c r="K731" s="49" t="s">
        <v>30694</v>
      </c>
      <c r="L731" s="49" t="s">
        <v>15327</v>
      </c>
      <c r="M731" s="49" t="s">
        <v>15328</v>
      </c>
      <c r="N731" s="49" t="s">
        <v>15329</v>
      </c>
      <c r="O731" s="49" t="s">
        <v>30680</v>
      </c>
      <c r="P731" s="49" t="s">
        <v>30682</v>
      </c>
      <c r="Q731" s="49" t="s">
        <v>30684</v>
      </c>
      <c r="R731" s="49" t="s">
        <v>30686</v>
      </c>
      <c r="S731" s="49" t="s">
        <v>30688</v>
      </c>
      <c r="T731" s="49" t="s">
        <v>30690</v>
      </c>
    </row>
    <row r="732" spans="1:21" x14ac:dyDescent="0.2">
      <c r="A732" s="49" t="s">
        <v>30</v>
      </c>
      <c r="D732" s="49" t="s">
        <v>15330</v>
      </c>
      <c r="G732" s="49" t="s">
        <v>15331</v>
      </c>
      <c r="H732" s="49" t="s">
        <v>30677</v>
      </c>
      <c r="I732" s="49" t="s">
        <v>30679</v>
      </c>
      <c r="J732" s="49" t="s">
        <v>30693</v>
      </c>
      <c r="K732" s="49" t="s">
        <v>30695</v>
      </c>
      <c r="L732" s="49" t="s">
        <v>15332</v>
      </c>
      <c r="M732" s="49" t="s">
        <v>15333</v>
      </c>
      <c r="N732" s="49" t="s">
        <v>15334</v>
      </c>
      <c r="O732" s="49" t="s">
        <v>30681</v>
      </c>
      <c r="P732" s="49" t="s">
        <v>30683</v>
      </c>
      <c r="Q732" s="49" t="s">
        <v>30685</v>
      </c>
      <c r="R732" s="49" t="s">
        <v>30687</v>
      </c>
      <c r="S732" s="49" t="s">
        <v>30689</v>
      </c>
      <c r="T732" s="49" t="s">
        <v>30691</v>
      </c>
    </row>
    <row r="733" spans="1:21" x14ac:dyDescent="0.2">
      <c r="A733" s="49" t="s">
        <v>30</v>
      </c>
    </row>
    <row r="734" spans="1:21" x14ac:dyDescent="0.2">
      <c r="A734" s="49" t="s">
        <v>30</v>
      </c>
      <c r="E734" s="49" t="s">
        <v>31</v>
      </c>
      <c r="F734" s="49" t="s">
        <v>31</v>
      </c>
      <c r="G734" s="49" t="s">
        <v>31</v>
      </c>
      <c r="J734" s="49" t="s">
        <v>31</v>
      </c>
      <c r="K734" s="49" t="s">
        <v>31</v>
      </c>
      <c r="L734" s="49" t="s">
        <v>31</v>
      </c>
      <c r="M734" s="49" t="s">
        <v>31</v>
      </c>
    </row>
    <row r="735" spans="1:21" x14ac:dyDescent="0.2">
      <c r="A735" s="49" t="s">
        <v>30</v>
      </c>
      <c r="D735" s="49" t="s">
        <v>15335</v>
      </c>
      <c r="E735" s="49" t="s">
        <v>5100</v>
      </c>
      <c r="F735" s="49" t="s">
        <v>15336</v>
      </c>
      <c r="H735" s="49" t="s">
        <v>15337</v>
      </c>
      <c r="O735" s="49" t="s">
        <v>15338</v>
      </c>
      <c r="P735" s="49" t="s">
        <v>15339</v>
      </c>
      <c r="Q735" s="49" t="s">
        <v>15340</v>
      </c>
      <c r="R735" s="49" t="s">
        <v>15341</v>
      </c>
      <c r="S735" s="49" t="s">
        <v>15342</v>
      </c>
      <c r="T735" s="49" t="s">
        <v>15343</v>
      </c>
      <c r="U735" s="49" t="s">
        <v>15344</v>
      </c>
    </row>
    <row r="736" spans="1:21" x14ac:dyDescent="0.2">
      <c r="A736" s="49" t="s">
        <v>30</v>
      </c>
      <c r="D736" s="49" t="s">
        <v>11276</v>
      </c>
      <c r="G736" s="49" t="s">
        <v>15345</v>
      </c>
      <c r="H736" s="49" t="s">
        <v>12171</v>
      </c>
      <c r="I736" s="49" t="s">
        <v>12174</v>
      </c>
      <c r="J736" s="49" t="s">
        <v>12189</v>
      </c>
      <c r="K736" s="49" t="s">
        <v>12192</v>
      </c>
      <c r="L736" s="49" t="s">
        <v>11277</v>
      </c>
      <c r="M736" s="49" t="s">
        <v>11278</v>
      </c>
      <c r="N736" s="49" t="s">
        <v>11279</v>
      </c>
      <c r="O736" s="49" t="s">
        <v>12176</v>
      </c>
      <c r="P736" s="49" t="s">
        <v>12178</v>
      </c>
      <c r="Q736" s="49" t="s">
        <v>12180</v>
      </c>
      <c r="R736" s="49" t="s">
        <v>12182</v>
      </c>
      <c r="S736" s="49" t="s">
        <v>12184</v>
      </c>
      <c r="T736" s="49" t="s">
        <v>12186</v>
      </c>
    </row>
    <row r="737" spans="1:21" x14ac:dyDescent="0.2">
      <c r="A737" s="49" t="s">
        <v>30</v>
      </c>
      <c r="D737" s="49" t="s">
        <v>11280</v>
      </c>
      <c r="G737" s="49" t="s">
        <v>15346</v>
      </c>
      <c r="H737" s="49" t="s">
        <v>12172</v>
      </c>
      <c r="I737" s="49" t="s">
        <v>12175</v>
      </c>
      <c r="J737" s="49" t="s">
        <v>12190</v>
      </c>
      <c r="K737" s="49" t="s">
        <v>12193</v>
      </c>
      <c r="L737" s="49" t="s">
        <v>11281</v>
      </c>
      <c r="M737" s="49" t="s">
        <v>11282</v>
      </c>
      <c r="N737" s="49" t="s">
        <v>11283</v>
      </c>
      <c r="O737" s="49" t="s">
        <v>12177</v>
      </c>
      <c r="P737" s="49" t="s">
        <v>12179</v>
      </c>
      <c r="Q737" s="49" t="s">
        <v>12181</v>
      </c>
      <c r="R737" s="49" t="s">
        <v>12183</v>
      </c>
      <c r="S737" s="49" t="s">
        <v>12185</v>
      </c>
      <c r="T737" s="49" t="s">
        <v>12187</v>
      </c>
    </row>
    <row r="738" spans="1:21" x14ac:dyDescent="0.2">
      <c r="A738" s="49" t="s">
        <v>30</v>
      </c>
      <c r="D738" s="49" t="s">
        <v>7042</v>
      </c>
      <c r="G738" s="49" t="s">
        <v>15347</v>
      </c>
      <c r="H738" s="49" t="s">
        <v>7043</v>
      </c>
      <c r="I738" s="49" t="s">
        <v>7044</v>
      </c>
      <c r="J738" s="49" t="s">
        <v>7045</v>
      </c>
      <c r="K738" s="49" t="s">
        <v>7046</v>
      </c>
      <c r="L738" s="49" t="s">
        <v>7047</v>
      </c>
      <c r="M738" s="49" t="s">
        <v>7048</v>
      </c>
      <c r="N738" s="49" t="s">
        <v>7049</v>
      </c>
      <c r="O738" s="49" t="s">
        <v>7050</v>
      </c>
      <c r="P738" s="49" t="s">
        <v>7051</v>
      </c>
      <c r="Q738" s="49" t="s">
        <v>7052</v>
      </c>
      <c r="R738" s="49" t="s">
        <v>7053</v>
      </c>
      <c r="S738" s="49" t="s">
        <v>7054</v>
      </c>
      <c r="T738" s="49" t="s">
        <v>7055</v>
      </c>
    </row>
    <row r="739" spans="1:21" x14ac:dyDescent="0.2">
      <c r="A739" s="49" t="s">
        <v>30</v>
      </c>
      <c r="D739" s="49" t="s">
        <v>7056</v>
      </c>
      <c r="G739" s="49" t="s">
        <v>15348</v>
      </c>
      <c r="H739" s="49" t="s">
        <v>7057</v>
      </c>
      <c r="I739" s="49" t="s">
        <v>7058</v>
      </c>
      <c r="J739" s="49" t="s">
        <v>7059</v>
      </c>
      <c r="K739" s="49" t="s">
        <v>7060</v>
      </c>
      <c r="L739" s="49" t="s">
        <v>7061</v>
      </c>
      <c r="M739" s="49" t="s">
        <v>7062</v>
      </c>
      <c r="N739" s="49" t="s">
        <v>7063</v>
      </c>
      <c r="O739" s="49" t="s">
        <v>7064</v>
      </c>
      <c r="P739" s="49" t="s">
        <v>7065</v>
      </c>
      <c r="Q739" s="49" t="s">
        <v>7066</v>
      </c>
      <c r="R739" s="49" t="s">
        <v>7067</v>
      </c>
      <c r="S739" s="49" t="s">
        <v>7068</v>
      </c>
      <c r="T739" s="49" t="s">
        <v>7069</v>
      </c>
    </row>
    <row r="740" spans="1:21" x14ac:dyDescent="0.2">
      <c r="A740" s="49" t="s">
        <v>30</v>
      </c>
      <c r="D740" s="49" t="s">
        <v>7070</v>
      </c>
      <c r="G740" s="49" t="s">
        <v>15349</v>
      </c>
      <c r="H740" s="49" t="s">
        <v>7071</v>
      </c>
      <c r="I740" s="49" t="s">
        <v>7072</v>
      </c>
      <c r="J740" s="49" t="s">
        <v>7073</v>
      </c>
      <c r="K740" s="49" t="s">
        <v>7074</v>
      </c>
      <c r="L740" s="49" t="s">
        <v>7075</v>
      </c>
      <c r="M740" s="49" t="s">
        <v>7076</v>
      </c>
      <c r="N740" s="49" t="s">
        <v>7077</v>
      </c>
      <c r="O740" s="49" t="s">
        <v>7078</v>
      </c>
      <c r="P740" s="49" t="s">
        <v>7079</v>
      </c>
      <c r="Q740" s="49" t="s">
        <v>7080</v>
      </c>
      <c r="R740" s="49" t="s">
        <v>7081</v>
      </c>
      <c r="S740" s="49" t="s">
        <v>7082</v>
      </c>
      <c r="T740" s="49" t="s">
        <v>7083</v>
      </c>
    </row>
    <row r="741" spans="1:21" x14ac:dyDescent="0.2">
      <c r="A741" s="49" t="s">
        <v>30</v>
      </c>
    </row>
    <row r="742" spans="1:21" x14ac:dyDescent="0.2">
      <c r="A742" s="49" t="s">
        <v>30</v>
      </c>
      <c r="E742" s="49" t="s">
        <v>31</v>
      </c>
      <c r="F742" s="49" t="s">
        <v>31</v>
      </c>
      <c r="G742" s="49" t="s">
        <v>31</v>
      </c>
      <c r="J742" s="49" t="s">
        <v>31</v>
      </c>
      <c r="K742" s="49" t="s">
        <v>31</v>
      </c>
      <c r="L742" s="49" t="s">
        <v>31</v>
      </c>
      <c r="M742" s="49" t="s">
        <v>31</v>
      </c>
    </row>
    <row r="743" spans="1:21" x14ac:dyDescent="0.2">
      <c r="A743" s="49" t="s">
        <v>30</v>
      </c>
      <c r="D743" s="49" t="s">
        <v>11284</v>
      </c>
      <c r="E743" s="49" t="s">
        <v>5115</v>
      </c>
      <c r="F743" s="49" t="s">
        <v>11285</v>
      </c>
      <c r="H743" s="49" t="s">
        <v>11286</v>
      </c>
      <c r="O743" s="49" t="s">
        <v>15350</v>
      </c>
      <c r="P743" s="49" t="s">
        <v>15351</v>
      </c>
      <c r="Q743" s="49" t="s">
        <v>15352</v>
      </c>
      <c r="R743" s="49" t="s">
        <v>15353</v>
      </c>
      <c r="S743" s="49" t="s">
        <v>15354</v>
      </c>
      <c r="T743" s="49" t="s">
        <v>15355</v>
      </c>
      <c r="U743" s="49" t="s">
        <v>15356</v>
      </c>
    </row>
    <row r="744" spans="1:21" x14ac:dyDescent="0.2">
      <c r="A744" s="49" t="s">
        <v>30</v>
      </c>
      <c r="D744" s="49" t="s">
        <v>11287</v>
      </c>
      <c r="G744" s="49" t="s">
        <v>11288</v>
      </c>
      <c r="H744" s="49" t="s">
        <v>11289</v>
      </c>
      <c r="I744" s="49" t="s">
        <v>11290</v>
      </c>
      <c r="J744" s="49" t="s">
        <v>11291</v>
      </c>
      <c r="K744" s="49" t="s">
        <v>11292</v>
      </c>
      <c r="L744" s="49" t="s">
        <v>11293</v>
      </c>
      <c r="M744" s="49" t="s">
        <v>11294</v>
      </c>
      <c r="N744" s="49" t="s">
        <v>11295</v>
      </c>
      <c r="O744" s="49" t="s">
        <v>11296</v>
      </c>
      <c r="P744" s="49" t="s">
        <v>11297</v>
      </c>
      <c r="Q744" s="49" t="s">
        <v>11298</v>
      </c>
      <c r="R744" s="49" t="s">
        <v>11299</v>
      </c>
      <c r="S744" s="49" t="s">
        <v>11300</v>
      </c>
      <c r="T744" s="49" t="s">
        <v>11301</v>
      </c>
    </row>
    <row r="745" spans="1:21" x14ac:dyDescent="0.2">
      <c r="A745" s="49" t="s">
        <v>30</v>
      </c>
      <c r="D745" s="49" t="s">
        <v>15357</v>
      </c>
      <c r="G745" s="49" t="s">
        <v>15358</v>
      </c>
      <c r="H745" s="49" t="s">
        <v>30646</v>
      </c>
      <c r="I745" s="49" t="s">
        <v>30649</v>
      </c>
      <c r="J745" s="49" t="s">
        <v>30670</v>
      </c>
      <c r="K745" s="49" t="s">
        <v>30673</v>
      </c>
      <c r="L745" s="49" t="s">
        <v>15359</v>
      </c>
      <c r="M745" s="49" t="s">
        <v>15360</v>
      </c>
      <c r="N745" s="49" t="s">
        <v>15361</v>
      </c>
      <c r="O745" s="49" t="s">
        <v>30652</v>
      </c>
      <c r="P745" s="49" t="s">
        <v>30655</v>
      </c>
      <c r="Q745" s="49" t="s">
        <v>30658</v>
      </c>
      <c r="R745" s="49" t="s">
        <v>30661</v>
      </c>
      <c r="S745" s="49" t="s">
        <v>30664</v>
      </c>
      <c r="T745" s="49" t="s">
        <v>30667</v>
      </c>
    </row>
    <row r="746" spans="1:21" x14ac:dyDescent="0.2">
      <c r="A746" s="49" t="s">
        <v>30</v>
      </c>
      <c r="D746" s="49" t="s">
        <v>15362</v>
      </c>
      <c r="G746" s="49" t="s">
        <v>15363</v>
      </c>
      <c r="H746" s="49" t="s">
        <v>30647</v>
      </c>
      <c r="I746" s="49" t="s">
        <v>30650</v>
      </c>
      <c r="J746" s="49" t="s">
        <v>30671</v>
      </c>
      <c r="K746" s="49" t="s">
        <v>30674</v>
      </c>
      <c r="L746" s="49" t="s">
        <v>15364</v>
      </c>
      <c r="M746" s="49" t="s">
        <v>15365</v>
      </c>
      <c r="N746" s="49" t="s">
        <v>15366</v>
      </c>
      <c r="O746" s="49" t="s">
        <v>30653</v>
      </c>
      <c r="P746" s="49" t="s">
        <v>30656</v>
      </c>
      <c r="Q746" s="49" t="s">
        <v>30659</v>
      </c>
      <c r="R746" s="49" t="s">
        <v>30662</v>
      </c>
      <c r="S746" s="49" t="s">
        <v>30665</v>
      </c>
      <c r="T746" s="49" t="s">
        <v>30668</v>
      </c>
    </row>
    <row r="747" spans="1:21" x14ac:dyDescent="0.2">
      <c r="A747" s="49" t="s">
        <v>30</v>
      </c>
      <c r="D747" s="49" t="s">
        <v>15367</v>
      </c>
      <c r="G747" s="49" t="s">
        <v>15368</v>
      </c>
      <c r="H747" s="49" t="s">
        <v>30648</v>
      </c>
      <c r="I747" s="49" t="s">
        <v>30651</v>
      </c>
      <c r="J747" s="49" t="s">
        <v>30672</v>
      </c>
      <c r="K747" s="49" t="s">
        <v>30675</v>
      </c>
      <c r="L747" s="49" t="s">
        <v>15369</v>
      </c>
      <c r="M747" s="49" t="s">
        <v>15370</v>
      </c>
      <c r="N747" s="49" t="s">
        <v>15371</v>
      </c>
      <c r="O747" s="49" t="s">
        <v>30654</v>
      </c>
      <c r="P747" s="49" t="s">
        <v>30657</v>
      </c>
      <c r="Q747" s="49" t="s">
        <v>30660</v>
      </c>
      <c r="R747" s="49" t="s">
        <v>30663</v>
      </c>
      <c r="S747" s="49" t="s">
        <v>30666</v>
      </c>
      <c r="T747" s="49" t="s">
        <v>30669</v>
      </c>
    </row>
    <row r="748" spans="1:21" x14ac:dyDescent="0.2">
      <c r="A748" s="49" t="s">
        <v>30</v>
      </c>
      <c r="D748" s="49" t="s">
        <v>7085</v>
      </c>
      <c r="G748" s="49" t="s">
        <v>15372</v>
      </c>
      <c r="H748" s="49" t="s">
        <v>7086</v>
      </c>
      <c r="I748" s="49" t="s">
        <v>7087</v>
      </c>
      <c r="J748" s="49" t="s">
        <v>7088</v>
      </c>
      <c r="K748" s="49" t="s">
        <v>7089</v>
      </c>
      <c r="L748" s="49" t="s">
        <v>7090</v>
      </c>
      <c r="M748" s="49" t="s">
        <v>7091</v>
      </c>
      <c r="N748" s="49" t="s">
        <v>7092</v>
      </c>
      <c r="O748" s="49" t="s">
        <v>7093</v>
      </c>
      <c r="P748" s="49" t="s">
        <v>7094</v>
      </c>
      <c r="Q748" s="49" t="s">
        <v>7095</v>
      </c>
      <c r="R748" s="49" t="s">
        <v>7096</v>
      </c>
      <c r="S748" s="49" t="s">
        <v>7097</v>
      </c>
      <c r="T748" s="49" t="s">
        <v>7098</v>
      </c>
    </row>
    <row r="749" spans="1:21" x14ac:dyDescent="0.2">
      <c r="A749" s="49" t="s">
        <v>30</v>
      </c>
    </row>
    <row r="750" spans="1:21" x14ac:dyDescent="0.2">
      <c r="A750" s="49" t="s">
        <v>30</v>
      </c>
      <c r="E750" s="49" t="s">
        <v>31</v>
      </c>
      <c r="F750" s="49" t="s">
        <v>31</v>
      </c>
      <c r="G750" s="49" t="s">
        <v>31</v>
      </c>
      <c r="J750" s="49" t="s">
        <v>31</v>
      </c>
      <c r="K750" s="49" t="s">
        <v>31</v>
      </c>
      <c r="L750" s="49" t="s">
        <v>31</v>
      </c>
      <c r="M750" s="49" t="s">
        <v>31</v>
      </c>
    </row>
    <row r="751" spans="1:21" x14ac:dyDescent="0.2">
      <c r="A751" s="49" t="s">
        <v>30</v>
      </c>
      <c r="D751" s="49" t="s">
        <v>15373</v>
      </c>
      <c r="E751" s="49" t="s">
        <v>5130</v>
      </c>
      <c r="F751" s="49" t="s">
        <v>15374</v>
      </c>
      <c r="H751" s="49" t="s">
        <v>15375</v>
      </c>
      <c r="O751" s="49" t="s">
        <v>15376</v>
      </c>
      <c r="P751" s="49" t="s">
        <v>15377</v>
      </c>
      <c r="Q751" s="49" t="s">
        <v>15378</v>
      </c>
      <c r="R751" s="49" t="s">
        <v>15379</v>
      </c>
      <c r="S751" s="49" t="s">
        <v>15380</v>
      </c>
      <c r="T751" s="49" t="s">
        <v>15381</v>
      </c>
      <c r="U751" s="49" t="s">
        <v>15382</v>
      </c>
    </row>
    <row r="752" spans="1:21" x14ac:dyDescent="0.2">
      <c r="A752" s="49" t="s">
        <v>30</v>
      </c>
      <c r="D752" s="49" t="s">
        <v>7123</v>
      </c>
      <c r="G752" s="49" t="s">
        <v>15383</v>
      </c>
      <c r="H752" s="49" t="s">
        <v>7124</v>
      </c>
      <c r="I752" s="49" t="s">
        <v>7125</v>
      </c>
      <c r="J752" s="49" t="s">
        <v>7126</v>
      </c>
      <c r="K752" s="49" t="s">
        <v>7127</v>
      </c>
      <c r="L752" s="49" t="s">
        <v>7128</v>
      </c>
      <c r="M752" s="49" t="s">
        <v>7129</v>
      </c>
      <c r="N752" s="49" t="s">
        <v>7130</v>
      </c>
      <c r="O752" s="49" t="s">
        <v>7131</v>
      </c>
      <c r="P752" s="49" t="s">
        <v>7132</v>
      </c>
      <c r="Q752" s="49" t="s">
        <v>7133</v>
      </c>
      <c r="R752" s="49" t="s">
        <v>7134</v>
      </c>
      <c r="S752" s="49" t="s">
        <v>7135</v>
      </c>
      <c r="T752" s="49" t="s">
        <v>7136</v>
      </c>
    </row>
    <row r="753" spans="1:21" x14ac:dyDescent="0.2">
      <c r="A753" s="49" t="s">
        <v>30</v>
      </c>
      <c r="D753" s="49" t="s">
        <v>15384</v>
      </c>
      <c r="G753" s="49" t="s">
        <v>15385</v>
      </c>
      <c r="H753" s="49" t="s">
        <v>30586</v>
      </c>
      <c r="I753" s="49" t="s">
        <v>30592</v>
      </c>
      <c r="J753" s="49" t="s">
        <v>30634</v>
      </c>
      <c r="K753" s="49" t="s">
        <v>30640</v>
      </c>
      <c r="L753" s="49" t="s">
        <v>15386</v>
      </c>
      <c r="M753" s="49" t="s">
        <v>15387</v>
      </c>
      <c r="N753" s="49" t="s">
        <v>15388</v>
      </c>
      <c r="O753" s="49" t="s">
        <v>30598</v>
      </c>
      <c r="P753" s="49" t="s">
        <v>30604</v>
      </c>
      <c r="Q753" s="49" t="s">
        <v>30610</v>
      </c>
      <c r="R753" s="49" t="s">
        <v>30616</v>
      </c>
      <c r="S753" s="49" t="s">
        <v>30622</v>
      </c>
      <c r="T753" s="49" t="s">
        <v>30628</v>
      </c>
    </row>
    <row r="754" spans="1:21" x14ac:dyDescent="0.2">
      <c r="A754" s="49" t="s">
        <v>30</v>
      </c>
      <c r="D754" s="49" t="s">
        <v>15389</v>
      </c>
      <c r="G754" s="49" t="s">
        <v>15390</v>
      </c>
      <c r="H754" s="49" t="s">
        <v>30587</v>
      </c>
      <c r="I754" s="49" t="s">
        <v>30593</v>
      </c>
      <c r="J754" s="49" t="s">
        <v>30635</v>
      </c>
      <c r="K754" s="49" t="s">
        <v>30641</v>
      </c>
      <c r="L754" s="49" t="s">
        <v>15391</v>
      </c>
      <c r="M754" s="49" t="s">
        <v>15392</v>
      </c>
      <c r="N754" s="49" t="s">
        <v>15393</v>
      </c>
      <c r="O754" s="49" t="s">
        <v>30599</v>
      </c>
      <c r="P754" s="49" t="s">
        <v>30605</v>
      </c>
      <c r="Q754" s="49" t="s">
        <v>30611</v>
      </c>
      <c r="R754" s="49" t="s">
        <v>30617</v>
      </c>
      <c r="S754" s="49" t="s">
        <v>30623</v>
      </c>
      <c r="T754" s="49" t="s">
        <v>30629</v>
      </c>
    </row>
    <row r="755" spans="1:21" x14ac:dyDescent="0.2">
      <c r="A755" s="49" t="s">
        <v>30</v>
      </c>
      <c r="D755" s="49" t="s">
        <v>15394</v>
      </c>
      <c r="G755" s="49" t="s">
        <v>15395</v>
      </c>
      <c r="H755" s="49" t="s">
        <v>30588</v>
      </c>
      <c r="I755" s="49" t="s">
        <v>30594</v>
      </c>
      <c r="J755" s="49" t="s">
        <v>30636</v>
      </c>
      <c r="K755" s="49" t="s">
        <v>30642</v>
      </c>
      <c r="L755" s="49" t="s">
        <v>15396</v>
      </c>
      <c r="M755" s="49" t="s">
        <v>15397</v>
      </c>
      <c r="N755" s="49" t="s">
        <v>15398</v>
      </c>
      <c r="O755" s="49" t="s">
        <v>30600</v>
      </c>
      <c r="P755" s="49" t="s">
        <v>30606</v>
      </c>
      <c r="Q755" s="49" t="s">
        <v>30612</v>
      </c>
      <c r="R755" s="49" t="s">
        <v>30618</v>
      </c>
      <c r="S755" s="49" t="s">
        <v>30624</v>
      </c>
      <c r="T755" s="49" t="s">
        <v>30630</v>
      </c>
    </row>
    <row r="756" spans="1:21" x14ac:dyDescent="0.2">
      <c r="A756" s="49" t="s">
        <v>30</v>
      </c>
      <c r="D756" s="49" t="s">
        <v>7137</v>
      </c>
      <c r="G756" s="49" t="s">
        <v>15399</v>
      </c>
      <c r="H756" s="49" t="s">
        <v>7138</v>
      </c>
      <c r="I756" s="49" t="s">
        <v>7139</v>
      </c>
      <c r="J756" s="49" t="s">
        <v>7140</v>
      </c>
      <c r="K756" s="49" t="s">
        <v>7141</v>
      </c>
      <c r="L756" s="49" t="s">
        <v>7142</v>
      </c>
      <c r="M756" s="49" t="s">
        <v>7143</v>
      </c>
      <c r="N756" s="49" t="s">
        <v>7144</v>
      </c>
      <c r="O756" s="49" t="s">
        <v>7145</v>
      </c>
      <c r="P756" s="49" t="s">
        <v>7146</v>
      </c>
      <c r="Q756" s="49" t="s">
        <v>7147</v>
      </c>
      <c r="R756" s="49" t="s">
        <v>7148</v>
      </c>
      <c r="S756" s="49" t="s">
        <v>7149</v>
      </c>
      <c r="T756" s="49" t="s">
        <v>7150</v>
      </c>
    </row>
    <row r="757" spans="1:21" x14ac:dyDescent="0.2">
      <c r="A757" s="49" t="s">
        <v>30</v>
      </c>
      <c r="D757" s="49" t="s">
        <v>7151</v>
      </c>
      <c r="G757" s="49" t="s">
        <v>15400</v>
      </c>
      <c r="H757" s="49" t="s">
        <v>7152</v>
      </c>
      <c r="I757" s="49" t="s">
        <v>7153</v>
      </c>
      <c r="J757" s="49" t="s">
        <v>7154</v>
      </c>
      <c r="K757" s="49" t="s">
        <v>7155</v>
      </c>
      <c r="L757" s="49" t="s">
        <v>7156</v>
      </c>
      <c r="M757" s="49" t="s">
        <v>7157</v>
      </c>
      <c r="N757" s="49" t="s">
        <v>7158</v>
      </c>
      <c r="O757" s="49" t="s">
        <v>7159</v>
      </c>
      <c r="P757" s="49" t="s">
        <v>7160</v>
      </c>
      <c r="Q757" s="49" t="s">
        <v>7161</v>
      </c>
      <c r="R757" s="49" t="s">
        <v>7162</v>
      </c>
      <c r="S757" s="49" t="s">
        <v>7163</v>
      </c>
      <c r="T757" s="49" t="s">
        <v>7164</v>
      </c>
    </row>
    <row r="758" spans="1:21" x14ac:dyDescent="0.2">
      <c r="A758" s="49" t="s">
        <v>30</v>
      </c>
      <c r="D758" s="49" t="s">
        <v>7165</v>
      </c>
      <c r="G758" s="49" t="s">
        <v>15401</v>
      </c>
      <c r="H758" s="49" t="s">
        <v>7166</v>
      </c>
      <c r="I758" s="49" t="s">
        <v>7167</v>
      </c>
      <c r="J758" s="49" t="s">
        <v>7168</v>
      </c>
      <c r="K758" s="49" t="s">
        <v>7169</v>
      </c>
      <c r="L758" s="49" t="s">
        <v>7170</v>
      </c>
      <c r="M758" s="49" t="s">
        <v>7171</v>
      </c>
      <c r="N758" s="49" t="s">
        <v>7172</v>
      </c>
      <c r="O758" s="49" t="s">
        <v>7173</v>
      </c>
      <c r="P758" s="49" t="s">
        <v>7174</v>
      </c>
      <c r="Q758" s="49" t="s">
        <v>7175</v>
      </c>
      <c r="R758" s="49" t="s">
        <v>7176</v>
      </c>
      <c r="S758" s="49" t="s">
        <v>7177</v>
      </c>
      <c r="T758" s="49" t="s">
        <v>7178</v>
      </c>
    </row>
    <row r="759" spans="1:21" x14ac:dyDescent="0.2">
      <c r="A759" s="49" t="s">
        <v>30</v>
      </c>
      <c r="D759" s="49" t="s">
        <v>15402</v>
      </c>
      <c r="G759" s="49" t="s">
        <v>15403</v>
      </c>
      <c r="H759" s="49" t="s">
        <v>30589</v>
      </c>
      <c r="I759" s="49" t="s">
        <v>30595</v>
      </c>
      <c r="J759" s="49" t="s">
        <v>30637</v>
      </c>
      <c r="K759" s="49" t="s">
        <v>30643</v>
      </c>
      <c r="L759" s="49" t="s">
        <v>15404</v>
      </c>
      <c r="M759" s="49" t="s">
        <v>15405</v>
      </c>
      <c r="N759" s="49" t="s">
        <v>15406</v>
      </c>
      <c r="O759" s="49" t="s">
        <v>30601</v>
      </c>
      <c r="P759" s="49" t="s">
        <v>30607</v>
      </c>
      <c r="Q759" s="49" t="s">
        <v>30613</v>
      </c>
      <c r="R759" s="49" t="s">
        <v>30619</v>
      </c>
      <c r="S759" s="49" t="s">
        <v>30625</v>
      </c>
      <c r="T759" s="49" t="s">
        <v>30631</v>
      </c>
    </row>
    <row r="760" spans="1:21" x14ac:dyDescent="0.2">
      <c r="A760" s="49" t="s">
        <v>30</v>
      </c>
      <c r="D760" s="49" t="s">
        <v>15407</v>
      </c>
      <c r="G760" s="49" t="s">
        <v>15408</v>
      </c>
      <c r="H760" s="49" t="s">
        <v>30590</v>
      </c>
      <c r="I760" s="49" t="s">
        <v>30596</v>
      </c>
      <c r="J760" s="49" t="s">
        <v>30638</v>
      </c>
      <c r="K760" s="49" t="s">
        <v>30644</v>
      </c>
      <c r="L760" s="49" t="s">
        <v>15409</v>
      </c>
      <c r="M760" s="49" t="s">
        <v>15410</v>
      </c>
      <c r="N760" s="49" t="s">
        <v>15411</v>
      </c>
      <c r="O760" s="49" t="s">
        <v>30602</v>
      </c>
      <c r="P760" s="49" t="s">
        <v>30608</v>
      </c>
      <c r="Q760" s="49" t="s">
        <v>30614</v>
      </c>
      <c r="R760" s="49" t="s">
        <v>30620</v>
      </c>
      <c r="S760" s="49" t="s">
        <v>30626</v>
      </c>
      <c r="T760" s="49" t="s">
        <v>30632</v>
      </c>
    </row>
    <row r="761" spans="1:21" x14ac:dyDescent="0.2">
      <c r="A761" s="49" t="s">
        <v>30</v>
      </c>
      <c r="D761" s="49" t="s">
        <v>15412</v>
      </c>
      <c r="G761" s="49" t="s">
        <v>15413</v>
      </c>
      <c r="H761" s="49" t="s">
        <v>30591</v>
      </c>
      <c r="I761" s="49" t="s">
        <v>30597</v>
      </c>
      <c r="J761" s="49" t="s">
        <v>30639</v>
      </c>
      <c r="K761" s="49" t="s">
        <v>30645</v>
      </c>
      <c r="L761" s="49" t="s">
        <v>15414</v>
      </c>
      <c r="M761" s="49" t="s">
        <v>15415</v>
      </c>
      <c r="N761" s="49" t="s">
        <v>15416</v>
      </c>
      <c r="O761" s="49" t="s">
        <v>30603</v>
      </c>
      <c r="P761" s="49" t="s">
        <v>30609</v>
      </c>
      <c r="Q761" s="49" t="s">
        <v>30615</v>
      </c>
      <c r="R761" s="49" t="s">
        <v>30621</v>
      </c>
      <c r="S761" s="49" t="s">
        <v>30627</v>
      </c>
      <c r="T761" s="49" t="s">
        <v>30633</v>
      </c>
    </row>
    <row r="762" spans="1:21" x14ac:dyDescent="0.2">
      <c r="A762" s="49" t="s">
        <v>30</v>
      </c>
    </row>
    <row r="763" spans="1:21" x14ac:dyDescent="0.2">
      <c r="A763" s="49" t="s">
        <v>30</v>
      </c>
      <c r="E763" s="49" t="s">
        <v>31</v>
      </c>
      <c r="F763" s="49" t="s">
        <v>31</v>
      </c>
      <c r="G763" s="49" t="s">
        <v>31</v>
      </c>
      <c r="J763" s="49" t="s">
        <v>31</v>
      </c>
      <c r="K763" s="49" t="s">
        <v>31</v>
      </c>
      <c r="L763" s="49" t="s">
        <v>31</v>
      </c>
      <c r="M763" s="49" t="s">
        <v>31</v>
      </c>
    </row>
    <row r="764" spans="1:21" x14ac:dyDescent="0.2">
      <c r="A764" s="49" t="s">
        <v>30</v>
      </c>
      <c r="D764" s="49" t="s">
        <v>15417</v>
      </c>
      <c r="E764" s="49" t="s">
        <v>5159</v>
      </c>
      <c r="F764" s="49" t="s">
        <v>15418</v>
      </c>
      <c r="H764" s="49" t="s">
        <v>15419</v>
      </c>
      <c r="O764" s="49" t="s">
        <v>15420</v>
      </c>
      <c r="P764" s="49" t="s">
        <v>15421</v>
      </c>
      <c r="Q764" s="49" t="s">
        <v>15422</v>
      </c>
      <c r="R764" s="49" t="s">
        <v>15423</v>
      </c>
      <c r="S764" s="49" t="s">
        <v>15424</v>
      </c>
      <c r="T764" s="49" t="s">
        <v>15425</v>
      </c>
      <c r="U764" s="49" t="s">
        <v>15426</v>
      </c>
    </row>
    <row r="765" spans="1:21" x14ac:dyDescent="0.2">
      <c r="A765" s="49" t="s">
        <v>30</v>
      </c>
      <c r="D765" s="49" t="s">
        <v>15427</v>
      </c>
      <c r="G765" s="49" t="s">
        <v>15428</v>
      </c>
      <c r="H765" s="49" t="s">
        <v>30526</v>
      </c>
      <c r="I765" s="49" t="s">
        <v>30532</v>
      </c>
      <c r="J765" s="49" t="s">
        <v>30574</v>
      </c>
      <c r="K765" s="49" t="s">
        <v>30580</v>
      </c>
      <c r="L765" s="49" t="s">
        <v>15429</v>
      </c>
      <c r="M765" s="49" t="s">
        <v>15430</v>
      </c>
      <c r="N765" s="49" t="s">
        <v>15431</v>
      </c>
      <c r="O765" s="49" t="s">
        <v>30538</v>
      </c>
      <c r="P765" s="49" t="s">
        <v>30544</v>
      </c>
      <c r="Q765" s="49" t="s">
        <v>30550</v>
      </c>
      <c r="R765" s="49" t="s">
        <v>30556</v>
      </c>
      <c r="S765" s="49" t="s">
        <v>30562</v>
      </c>
      <c r="T765" s="49" t="s">
        <v>30568</v>
      </c>
    </row>
    <row r="766" spans="1:21" x14ac:dyDescent="0.2">
      <c r="A766" s="49" t="s">
        <v>30</v>
      </c>
      <c r="D766" s="49" t="s">
        <v>15432</v>
      </c>
      <c r="G766" s="49" t="s">
        <v>15433</v>
      </c>
      <c r="H766" s="49" t="s">
        <v>30527</v>
      </c>
      <c r="I766" s="49" t="s">
        <v>30533</v>
      </c>
      <c r="J766" s="49" t="s">
        <v>30575</v>
      </c>
      <c r="K766" s="49" t="s">
        <v>30581</v>
      </c>
      <c r="L766" s="49" t="s">
        <v>15434</v>
      </c>
      <c r="M766" s="49" t="s">
        <v>15435</v>
      </c>
      <c r="N766" s="49" t="s">
        <v>15436</v>
      </c>
      <c r="O766" s="49" t="s">
        <v>30539</v>
      </c>
      <c r="P766" s="49" t="s">
        <v>30545</v>
      </c>
      <c r="Q766" s="49" t="s">
        <v>30551</v>
      </c>
      <c r="R766" s="49" t="s">
        <v>30557</v>
      </c>
      <c r="S766" s="49" t="s">
        <v>30563</v>
      </c>
      <c r="T766" s="49" t="s">
        <v>30569</v>
      </c>
    </row>
    <row r="767" spans="1:21" x14ac:dyDescent="0.2">
      <c r="A767" s="49" t="s">
        <v>30</v>
      </c>
      <c r="D767" s="49" t="s">
        <v>15437</v>
      </c>
      <c r="G767" s="49" t="s">
        <v>15438</v>
      </c>
      <c r="H767" s="49" t="s">
        <v>30528</v>
      </c>
      <c r="I767" s="49" t="s">
        <v>30534</v>
      </c>
      <c r="J767" s="49" t="s">
        <v>30576</v>
      </c>
      <c r="K767" s="49" t="s">
        <v>30582</v>
      </c>
      <c r="L767" s="49" t="s">
        <v>15439</v>
      </c>
      <c r="M767" s="49" t="s">
        <v>15440</v>
      </c>
      <c r="N767" s="49" t="s">
        <v>15441</v>
      </c>
      <c r="O767" s="49" t="s">
        <v>30540</v>
      </c>
      <c r="P767" s="49" t="s">
        <v>30546</v>
      </c>
      <c r="Q767" s="49" t="s">
        <v>30552</v>
      </c>
      <c r="R767" s="49" t="s">
        <v>30558</v>
      </c>
      <c r="S767" s="49" t="s">
        <v>30564</v>
      </c>
      <c r="T767" s="49" t="s">
        <v>30570</v>
      </c>
    </row>
    <row r="768" spans="1:21" x14ac:dyDescent="0.2">
      <c r="A768" s="49" t="s">
        <v>30</v>
      </c>
      <c r="D768" s="49" t="s">
        <v>7207</v>
      </c>
      <c r="G768" s="49" t="s">
        <v>15442</v>
      </c>
      <c r="H768" s="49" t="s">
        <v>7208</v>
      </c>
      <c r="I768" s="49" t="s">
        <v>7209</v>
      </c>
      <c r="J768" s="49" t="s">
        <v>7210</v>
      </c>
      <c r="K768" s="49" t="s">
        <v>7211</v>
      </c>
      <c r="L768" s="49" t="s">
        <v>7212</v>
      </c>
      <c r="M768" s="49" t="s">
        <v>7213</v>
      </c>
      <c r="N768" s="49" t="s">
        <v>7214</v>
      </c>
      <c r="O768" s="49" t="s">
        <v>7215</v>
      </c>
      <c r="P768" s="49" t="s">
        <v>7216</v>
      </c>
      <c r="Q768" s="49" t="s">
        <v>7217</v>
      </c>
      <c r="R768" s="49" t="s">
        <v>7218</v>
      </c>
      <c r="S768" s="49" t="s">
        <v>7219</v>
      </c>
      <c r="T768" s="49" t="s">
        <v>7220</v>
      </c>
    </row>
    <row r="769" spans="1:21" x14ac:dyDescent="0.2">
      <c r="A769" s="49" t="s">
        <v>30</v>
      </c>
      <c r="D769" s="49" t="s">
        <v>7221</v>
      </c>
      <c r="G769" s="49" t="s">
        <v>15443</v>
      </c>
      <c r="H769" s="49" t="s">
        <v>7222</v>
      </c>
      <c r="I769" s="49" t="s">
        <v>7223</v>
      </c>
      <c r="J769" s="49" t="s">
        <v>7224</v>
      </c>
      <c r="K769" s="49" t="s">
        <v>7225</v>
      </c>
      <c r="L769" s="49" t="s">
        <v>7226</v>
      </c>
      <c r="M769" s="49" t="s">
        <v>7227</v>
      </c>
      <c r="N769" s="49" t="s">
        <v>7228</v>
      </c>
      <c r="O769" s="49" t="s">
        <v>7229</v>
      </c>
      <c r="P769" s="49" t="s">
        <v>7230</v>
      </c>
      <c r="Q769" s="49" t="s">
        <v>7231</v>
      </c>
      <c r="R769" s="49" t="s">
        <v>7232</v>
      </c>
      <c r="S769" s="49" t="s">
        <v>7233</v>
      </c>
      <c r="T769" s="49" t="s">
        <v>7234</v>
      </c>
    </row>
    <row r="770" spans="1:21" x14ac:dyDescent="0.2">
      <c r="A770" s="49" t="s">
        <v>30</v>
      </c>
      <c r="D770" s="49" t="s">
        <v>7235</v>
      </c>
      <c r="G770" s="49" t="s">
        <v>15444</v>
      </c>
      <c r="H770" s="49" t="s">
        <v>7236</v>
      </c>
      <c r="I770" s="49" t="s">
        <v>7237</v>
      </c>
      <c r="J770" s="49" t="s">
        <v>7238</v>
      </c>
      <c r="K770" s="49" t="s">
        <v>7239</v>
      </c>
      <c r="L770" s="49" t="s">
        <v>7240</v>
      </c>
      <c r="M770" s="49" t="s">
        <v>7241</v>
      </c>
      <c r="N770" s="49" t="s">
        <v>7242</v>
      </c>
      <c r="O770" s="49" t="s">
        <v>7243</v>
      </c>
      <c r="P770" s="49" t="s">
        <v>7244</v>
      </c>
      <c r="Q770" s="49" t="s">
        <v>7245</v>
      </c>
      <c r="R770" s="49" t="s">
        <v>7246</v>
      </c>
      <c r="S770" s="49" t="s">
        <v>7247</v>
      </c>
      <c r="T770" s="49" t="s">
        <v>7248</v>
      </c>
    </row>
    <row r="771" spans="1:21" x14ac:dyDescent="0.2">
      <c r="A771" s="49" t="s">
        <v>30</v>
      </c>
      <c r="D771" s="49" t="s">
        <v>7249</v>
      </c>
      <c r="G771" s="49" t="s">
        <v>15445</v>
      </c>
      <c r="H771" s="49" t="s">
        <v>7250</v>
      </c>
      <c r="I771" s="49" t="s">
        <v>7251</v>
      </c>
      <c r="J771" s="49" t="s">
        <v>7252</v>
      </c>
      <c r="K771" s="49" t="s">
        <v>7253</v>
      </c>
      <c r="L771" s="49" t="s">
        <v>7254</v>
      </c>
      <c r="M771" s="49" t="s">
        <v>7255</v>
      </c>
      <c r="N771" s="49" t="s">
        <v>7256</v>
      </c>
      <c r="O771" s="49" t="s">
        <v>7257</v>
      </c>
      <c r="P771" s="49" t="s">
        <v>7258</v>
      </c>
      <c r="Q771" s="49" t="s">
        <v>7259</v>
      </c>
      <c r="R771" s="49" t="s">
        <v>7260</v>
      </c>
      <c r="S771" s="49" t="s">
        <v>7261</v>
      </c>
      <c r="T771" s="49" t="s">
        <v>7262</v>
      </c>
    </row>
    <row r="772" spans="1:21" x14ac:dyDescent="0.2">
      <c r="A772" s="49" t="s">
        <v>30</v>
      </c>
      <c r="D772" s="49" t="s">
        <v>7263</v>
      </c>
      <c r="G772" s="49" t="s">
        <v>15446</v>
      </c>
      <c r="H772" s="49" t="s">
        <v>7264</v>
      </c>
      <c r="I772" s="49" t="s">
        <v>7265</v>
      </c>
      <c r="J772" s="49" t="s">
        <v>7266</v>
      </c>
      <c r="K772" s="49" t="s">
        <v>7267</v>
      </c>
      <c r="L772" s="49" t="s">
        <v>7268</v>
      </c>
      <c r="M772" s="49" t="s">
        <v>7269</v>
      </c>
      <c r="N772" s="49" t="s">
        <v>7270</v>
      </c>
      <c r="O772" s="49" t="s">
        <v>7271</v>
      </c>
      <c r="P772" s="49" t="s">
        <v>7272</v>
      </c>
      <c r="Q772" s="49" t="s">
        <v>7273</v>
      </c>
      <c r="R772" s="49" t="s">
        <v>7274</v>
      </c>
      <c r="S772" s="49" t="s">
        <v>7275</v>
      </c>
      <c r="T772" s="49" t="s">
        <v>7276</v>
      </c>
    </row>
    <row r="773" spans="1:21" x14ac:dyDescent="0.2">
      <c r="A773" s="49" t="s">
        <v>30</v>
      </c>
      <c r="D773" s="49" t="s">
        <v>7277</v>
      </c>
      <c r="G773" s="49" t="s">
        <v>15447</v>
      </c>
      <c r="H773" s="49" t="s">
        <v>7278</v>
      </c>
      <c r="I773" s="49" t="s">
        <v>7279</v>
      </c>
      <c r="J773" s="49" t="s">
        <v>7280</v>
      </c>
      <c r="K773" s="49" t="s">
        <v>7281</v>
      </c>
      <c r="L773" s="49" t="s">
        <v>7282</v>
      </c>
      <c r="M773" s="49" t="s">
        <v>7283</v>
      </c>
      <c r="N773" s="49" t="s">
        <v>7284</v>
      </c>
      <c r="O773" s="49" t="s">
        <v>7285</v>
      </c>
      <c r="P773" s="49" t="s">
        <v>7286</v>
      </c>
      <c r="Q773" s="49" t="s">
        <v>7287</v>
      </c>
      <c r="R773" s="49" t="s">
        <v>7288</v>
      </c>
      <c r="S773" s="49" t="s">
        <v>7289</v>
      </c>
      <c r="T773" s="49" t="s">
        <v>7290</v>
      </c>
    </row>
    <row r="774" spans="1:21" x14ac:dyDescent="0.2">
      <c r="A774" s="49" t="s">
        <v>30</v>
      </c>
      <c r="D774" s="49" t="s">
        <v>15448</v>
      </c>
      <c r="G774" s="49" t="s">
        <v>15449</v>
      </c>
      <c r="H774" s="49" t="s">
        <v>30529</v>
      </c>
      <c r="I774" s="49" t="s">
        <v>30535</v>
      </c>
      <c r="J774" s="49" t="s">
        <v>30577</v>
      </c>
      <c r="K774" s="49" t="s">
        <v>30583</v>
      </c>
      <c r="L774" s="49" t="s">
        <v>15450</v>
      </c>
      <c r="M774" s="49" t="s">
        <v>15451</v>
      </c>
      <c r="N774" s="49" t="s">
        <v>15452</v>
      </c>
      <c r="O774" s="49" t="s">
        <v>30541</v>
      </c>
      <c r="P774" s="49" t="s">
        <v>30547</v>
      </c>
      <c r="Q774" s="49" t="s">
        <v>30553</v>
      </c>
      <c r="R774" s="49" t="s">
        <v>30559</v>
      </c>
      <c r="S774" s="49" t="s">
        <v>30565</v>
      </c>
      <c r="T774" s="49" t="s">
        <v>30571</v>
      </c>
    </row>
    <row r="775" spans="1:21" x14ac:dyDescent="0.2">
      <c r="A775" s="49" t="s">
        <v>30</v>
      </c>
      <c r="D775" s="49" t="s">
        <v>15453</v>
      </c>
      <c r="G775" s="49" t="s">
        <v>15454</v>
      </c>
      <c r="H775" s="49" t="s">
        <v>30530</v>
      </c>
      <c r="I775" s="49" t="s">
        <v>30536</v>
      </c>
      <c r="J775" s="49" t="s">
        <v>30578</v>
      </c>
      <c r="K775" s="49" t="s">
        <v>30584</v>
      </c>
      <c r="L775" s="49" t="s">
        <v>15455</v>
      </c>
      <c r="M775" s="49" t="s">
        <v>15456</v>
      </c>
      <c r="N775" s="49" t="s">
        <v>15457</v>
      </c>
      <c r="O775" s="49" t="s">
        <v>30542</v>
      </c>
      <c r="P775" s="49" t="s">
        <v>30548</v>
      </c>
      <c r="Q775" s="49" t="s">
        <v>30554</v>
      </c>
      <c r="R775" s="49" t="s">
        <v>30560</v>
      </c>
      <c r="S775" s="49" t="s">
        <v>30566</v>
      </c>
      <c r="T775" s="49" t="s">
        <v>30572</v>
      </c>
    </row>
    <row r="776" spans="1:21" x14ac:dyDescent="0.2">
      <c r="A776" s="49" t="s">
        <v>30</v>
      </c>
      <c r="D776" s="49" t="s">
        <v>15458</v>
      </c>
      <c r="G776" s="49" t="s">
        <v>15459</v>
      </c>
      <c r="H776" s="49" t="s">
        <v>30531</v>
      </c>
      <c r="I776" s="49" t="s">
        <v>30537</v>
      </c>
      <c r="J776" s="49" t="s">
        <v>30579</v>
      </c>
      <c r="K776" s="49" t="s">
        <v>30585</v>
      </c>
      <c r="L776" s="49" t="s">
        <v>15460</v>
      </c>
      <c r="M776" s="49" t="s">
        <v>15461</v>
      </c>
      <c r="N776" s="49" t="s">
        <v>15462</v>
      </c>
      <c r="O776" s="49" t="s">
        <v>30543</v>
      </c>
      <c r="P776" s="49" t="s">
        <v>30549</v>
      </c>
      <c r="Q776" s="49" t="s">
        <v>30555</v>
      </c>
      <c r="R776" s="49" t="s">
        <v>30561</v>
      </c>
      <c r="S776" s="49" t="s">
        <v>30567</v>
      </c>
      <c r="T776" s="49" t="s">
        <v>30573</v>
      </c>
    </row>
    <row r="777" spans="1:21" x14ac:dyDescent="0.2">
      <c r="A777" s="49" t="s">
        <v>30</v>
      </c>
      <c r="D777" s="49" t="s">
        <v>7292</v>
      </c>
      <c r="G777" s="49" t="s">
        <v>15463</v>
      </c>
      <c r="H777" s="49" t="s">
        <v>7293</v>
      </c>
      <c r="I777" s="49" t="s">
        <v>7294</v>
      </c>
      <c r="J777" s="49" t="s">
        <v>7295</v>
      </c>
      <c r="K777" s="49" t="s">
        <v>7296</v>
      </c>
      <c r="L777" s="49" t="s">
        <v>7297</v>
      </c>
      <c r="M777" s="49" t="s">
        <v>7298</v>
      </c>
      <c r="N777" s="49" t="s">
        <v>7299</v>
      </c>
      <c r="O777" s="49" t="s">
        <v>7300</v>
      </c>
      <c r="P777" s="49" t="s">
        <v>7301</v>
      </c>
      <c r="Q777" s="49" t="s">
        <v>7302</v>
      </c>
      <c r="R777" s="49" t="s">
        <v>7303</v>
      </c>
      <c r="S777" s="49" t="s">
        <v>7304</v>
      </c>
      <c r="T777" s="49" t="s">
        <v>7305</v>
      </c>
    </row>
    <row r="778" spans="1:21" x14ac:dyDescent="0.2">
      <c r="A778" s="49" t="s">
        <v>30</v>
      </c>
    </row>
    <row r="779" spans="1:21" x14ac:dyDescent="0.2">
      <c r="A779" s="49" t="s">
        <v>30</v>
      </c>
      <c r="E779" s="49" t="s">
        <v>31</v>
      </c>
      <c r="F779" s="49" t="s">
        <v>31</v>
      </c>
      <c r="G779" s="49" t="s">
        <v>31</v>
      </c>
      <c r="J779" s="49" t="s">
        <v>31</v>
      </c>
      <c r="K779" s="49" t="s">
        <v>31</v>
      </c>
      <c r="L779" s="49" t="s">
        <v>31</v>
      </c>
      <c r="M779" s="49" t="s">
        <v>31</v>
      </c>
    </row>
    <row r="780" spans="1:21" x14ac:dyDescent="0.2">
      <c r="A780" s="49" t="s">
        <v>30</v>
      </c>
      <c r="D780" s="49" t="s">
        <v>15464</v>
      </c>
      <c r="E780" s="49" t="s">
        <v>5174</v>
      </c>
      <c r="F780" s="49" t="s">
        <v>15465</v>
      </c>
      <c r="H780" s="49" t="s">
        <v>15466</v>
      </c>
      <c r="O780" s="49" t="s">
        <v>15467</v>
      </c>
      <c r="P780" s="49" t="s">
        <v>15468</v>
      </c>
      <c r="Q780" s="49" t="s">
        <v>15469</v>
      </c>
      <c r="R780" s="49" t="s">
        <v>15470</v>
      </c>
      <c r="S780" s="49" t="s">
        <v>15471</v>
      </c>
      <c r="T780" s="49" t="s">
        <v>15472</v>
      </c>
      <c r="U780" s="49" t="s">
        <v>15473</v>
      </c>
    </row>
    <row r="781" spans="1:21" x14ac:dyDescent="0.2">
      <c r="A781" s="49" t="s">
        <v>30</v>
      </c>
      <c r="D781" s="49" t="s">
        <v>7314</v>
      </c>
      <c r="G781" s="49" t="s">
        <v>15474</v>
      </c>
      <c r="H781" s="49" t="s">
        <v>7315</v>
      </c>
      <c r="I781" s="49" t="s">
        <v>7316</v>
      </c>
      <c r="J781" s="49" t="s">
        <v>7317</v>
      </c>
      <c r="K781" s="49" t="s">
        <v>7318</v>
      </c>
      <c r="L781" s="49" t="s">
        <v>7319</v>
      </c>
      <c r="M781" s="49" t="s">
        <v>7320</v>
      </c>
      <c r="N781" s="49" t="s">
        <v>7321</v>
      </c>
      <c r="O781" s="49" t="s">
        <v>7322</v>
      </c>
      <c r="P781" s="49" t="s">
        <v>7323</v>
      </c>
      <c r="Q781" s="49" t="s">
        <v>7324</v>
      </c>
      <c r="R781" s="49" t="s">
        <v>7325</v>
      </c>
      <c r="S781" s="49" t="s">
        <v>7326</v>
      </c>
      <c r="T781" s="49" t="s">
        <v>7327</v>
      </c>
    </row>
    <row r="782" spans="1:21" x14ac:dyDescent="0.2">
      <c r="A782" s="49" t="s">
        <v>30</v>
      </c>
      <c r="D782" s="49" t="s">
        <v>15475</v>
      </c>
      <c r="G782" s="49" t="s">
        <v>15476</v>
      </c>
      <c r="H782" s="49" t="s">
        <v>30466</v>
      </c>
      <c r="I782" s="49" t="s">
        <v>30472</v>
      </c>
      <c r="J782" s="49" t="s">
        <v>30514</v>
      </c>
      <c r="K782" s="49" t="s">
        <v>30520</v>
      </c>
      <c r="L782" s="49" t="s">
        <v>15477</v>
      </c>
      <c r="M782" s="49" t="s">
        <v>15478</v>
      </c>
      <c r="N782" s="49" t="s">
        <v>15479</v>
      </c>
      <c r="O782" s="49" t="s">
        <v>30478</v>
      </c>
      <c r="P782" s="49" t="s">
        <v>30484</v>
      </c>
      <c r="Q782" s="49" t="s">
        <v>30490</v>
      </c>
      <c r="R782" s="49" t="s">
        <v>30496</v>
      </c>
      <c r="S782" s="49" t="s">
        <v>30502</v>
      </c>
      <c r="T782" s="49" t="s">
        <v>30508</v>
      </c>
    </row>
    <row r="783" spans="1:21" x14ac:dyDescent="0.2">
      <c r="A783" s="49" t="s">
        <v>30</v>
      </c>
      <c r="D783" s="49" t="s">
        <v>15480</v>
      </c>
      <c r="G783" s="49" t="s">
        <v>15481</v>
      </c>
      <c r="H783" s="49" t="s">
        <v>30467</v>
      </c>
      <c r="I783" s="49" t="s">
        <v>30473</v>
      </c>
      <c r="J783" s="49" t="s">
        <v>30515</v>
      </c>
      <c r="K783" s="49" t="s">
        <v>30521</v>
      </c>
      <c r="L783" s="49" t="s">
        <v>15482</v>
      </c>
      <c r="M783" s="49" t="s">
        <v>15483</v>
      </c>
      <c r="N783" s="49" t="s">
        <v>15484</v>
      </c>
      <c r="O783" s="49" t="s">
        <v>30479</v>
      </c>
      <c r="P783" s="49" t="s">
        <v>30485</v>
      </c>
      <c r="Q783" s="49" t="s">
        <v>30491</v>
      </c>
      <c r="R783" s="49" t="s">
        <v>30497</v>
      </c>
      <c r="S783" s="49" t="s">
        <v>30503</v>
      </c>
      <c r="T783" s="49" t="s">
        <v>30509</v>
      </c>
    </row>
    <row r="784" spans="1:21" x14ac:dyDescent="0.2">
      <c r="A784" s="49" t="s">
        <v>30</v>
      </c>
      <c r="D784" s="49" t="s">
        <v>15485</v>
      </c>
      <c r="G784" s="49" t="s">
        <v>15486</v>
      </c>
      <c r="H784" s="49" t="s">
        <v>30468</v>
      </c>
      <c r="I784" s="49" t="s">
        <v>30474</v>
      </c>
      <c r="J784" s="49" t="s">
        <v>30516</v>
      </c>
      <c r="K784" s="49" t="s">
        <v>30522</v>
      </c>
      <c r="L784" s="49" t="s">
        <v>15487</v>
      </c>
      <c r="M784" s="49" t="s">
        <v>15488</v>
      </c>
      <c r="N784" s="49" t="s">
        <v>15489</v>
      </c>
      <c r="O784" s="49" t="s">
        <v>30480</v>
      </c>
      <c r="P784" s="49" t="s">
        <v>30486</v>
      </c>
      <c r="Q784" s="49" t="s">
        <v>30492</v>
      </c>
      <c r="R784" s="49" t="s">
        <v>30498</v>
      </c>
      <c r="S784" s="49" t="s">
        <v>30504</v>
      </c>
      <c r="T784" s="49" t="s">
        <v>30510</v>
      </c>
    </row>
    <row r="785" spans="1:21" x14ac:dyDescent="0.2">
      <c r="A785" s="49" t="s">
        <v>30</v>
      </c>
      <c r="D785" s="49" t="s">
        <v>11305</v>
      </c>
      <c r="G785" s="49" t="s">
        <v>15490</v>
      </c>
      <c r="H785" s="49" t="s">
        <v>11306</v>
      </c>
      <c r="I785" s="49" t="s">
        <v>11307</v>
      </c>
      <c r="J785" s="49" t="s">
        <v>11308</v>
      </c>
      <c r="K785" s="49" t="s">
        <v>11309</v>
      </c>
      <c r="L785" s="49" t="s">
        <v>11310</v>
      </c>
      <c r="M785" s="49" t="s">
        <v>11311</v>
      </c>
      <c r="N785" s="49" t="s">
        <v>11312</v>
      </c>
      <c r="O785" s="49" t="s">
        <v>11313</v>
      </c>
      <c r="P785" s="49" t="s">
        <v>11314</v>
      </c>
      <c r="Q785" s="49" t="s">
        <v>11315</v>
      </c>
      <c r="R785" s="49" t="s">
        <v>11316</v>
      </c>
      <c r="S785" s="49" t="s">
        <v>11317</v>
      </c>
      <c r="T785" s="49" t="s">
        <v>11318</v>
      </c>
    </row>
    <row r="786" spans="1:21" x14ac:dyDescent="0.2">
      <c r="A786" s="49" t="s">
        <v>30</v>
      </c>
      <c r="D786" s="49" t="s">
        <v>11319</v>
      </c>
      <c r="G786" s="49" t="s">
        <v>15491</v>
      </c>
      <c r="H786" s="49" t="s">
        <v>11320</v>
      </c>
      <c r="I786" s="49" t="s">
        <v>11321</v>
      </c>
      <c r="J786" s="49" t="s">
        <v>11322</v>
      </c>
      <c r="K786" s="49" t="s">
        <v>11323</v>
      </c>
      <c r="L786" s="49" t="s">
        <v>11324</v>
      </c>
      <c r="M786" s="49" t="s">
        <v>11325</v>
      </c>
      <c r="N786" s="49" t="s">
        <v>11326</v>
      </c>
      <c r="O786" s="49" t="s">
        <v>11327</v>
      </c>
      <c r="P786" s="49" t="s">
        <v>11328</v>
      </c>
      <c r="Q786" s="49" t="s">
        <v>11329</v>
      </c>
      <c r="R786" s="49" t="s">
        <v>11330</v>
      </c>
      <c r="S786" s="49" t="s">
        <v>11331</v>
      </c>
      <c r="T786" s="49" t="s">
        <v>11332</v>
      </c>
    </row>
    <row r="787" spans="1:21" x14ac:dyDescent="0.2">
      <c r="A787" s="49" t="s">
        <v>30</v>
      </c>
      <c r="D787" s="49" t="s">
        <v>7329</v>
      </c>
      <c r="G787" s="49" t="s">
        <v>15492</v>
      </c>
      <c r="H787" s="49" t="s">
        <v>7330</v>
      </c>
      <c r="I787" s="49" t="s">
        <v>7331</v>
      </c>
      <c r="J787" s="49" t="s">
        <v>7332</v>
      </c>
      <c r="K787" s="49" t="s">
        <v>7333</v>
      </c>
      <c r="L787" s="49" t="s">
        <v>7334</v>
      </c>
      <c r="M787" s="49" t="s">
        <v>7335</v>
      </c>
      <c r="N787" s="49" t="s">
        <v>7336</v>
      </c>
      <c r="O787" s="49" t="s">
        <v>7337</v>
      </c>
      <c r="P787" s="49" t="s">
        <v>7338</v>
      </c>
      <c r="Q787" s="49" t="s">
        <v>7339</v>
      </c>
      <c r="R787" s="49" t="s">
        <v>7340</v>
      </c>
      <c r="S787" s="49" t="s">
        <v>7341</v>
      </c>
      <c r="T787" s="49" t="s">
        <v>7342</v>
      </c>
    </row>
    <row r="788" spans="1:21" x14ac:dyDescent="0.2">
      <c r="A788" s="49" t="s">
        <v>30</v>
      </c>
      <c r="D788" s="49" t="s">
        <v>7343</v>
      </c>
      <c r="G788" s="49" t="s">
        <v>15493</v>
      </c>
      <c r="H788" s="49" t="s">
        <v>7344</v>
      </c>
      <c r="I788" s="49" t="s">
        <v>7345</v>
      </c>
      <c r="J788" s="49" t="s">
        <v>7346</v>
      </c>
      <c r="K788" s="49" t="s">
        <v>7347</v>
      </c>
      <c r="L788" s="49" t="s">
        <v>7348</v>
      </c>
      <c r="M788" s="49" t="s">
        <v>7349</v>
      </c>
      <c r="N788" s="49" t="s">
        <v>7350</v>
      </c>
      <c r="O788" s="49" t="s">
        <v>7351</v>
      </c>
      <c r="P788" s="49" t="s">
        <v>7352</v>
      </c>
      <c r="Q788" s="49" t="s">
        <v>7353</v>
      </c>
      <c r="R788" s="49" t="s">
        <v>7354</v>
      </c>
      <c r="S788" s="49" t="s">
        <v>7355</v>
      </c>
      <c r="T788" s="49" t="s">
        <v>7356</v>
      </c>
    </row>
    <row r="789" spans="1:21" x14ac:dyDescent="0.2">
      <c r="A789" s="49" t="s">
        <v>30</v>
      </c>
      <c r="D789" s="49" t="s">
        <v>15494</v>
      </c>
      <c r="G789" s="49" t="s">
        <v>15495</v>
      </c>
      <c r="H789" s="49" t="s">
        <v>30469</v>
      </c>
      <c r="I789" s="49" t="s">
        <v>30475</v>
      </c>
      <c r="J789" s="49" t="s">
        <v>30517</v>
      </c>
      <c r="K789" s="49" t="s">
        <v>30523</v>
      </c>
      <c r="L789" s="49" t="s">
        <v>15496</v>
      </c>
      <c r="M789" s="49" t="s">
        <v>15497</v>
      </c>
      <c r="N789" s="49" t="s">
        <v>15498</v>
      </c>
      <c r="O789" s="49" t="s">
        <v>30481</v>
      </c>
      <c r="P789" s="49" t="s">
        <v>30487</v>
      </c>
      <c r="Q789" s="49" t="s">
        <v>30493</v>
      </c>
      <c r="R789" s="49" t="s">
        <v>30499</v>
      </c>
      <c r="S789" s="49" t="s">
        <v>30505</v>
      </c>
      <c r="T789" s="49" t="s">
        <v>30511</v>
      </c>
    </row>
    <row r="790" spans="1:21" x14ac:dyDescent="0.2">
      <c r="A790" s="49" t="s">
        <v>30</v>
      </c>
      <c r="D790" s="49" t="s">
        <v>15499</v>
      </c>
      <c r="G790" s="49" t="s">
        <v>15500</v>
      </c>
      <c r="H790" s="49" t="s">
        <v>30470</v>
      </c>
      <c r="I790" s="49" t="s">
        <v>30476</v>
      </c>
      <c r="J790" s="49" t="s">
        <v>30518</v>
      </c>
      <c r="K790" s="49" t="s">
        <v>30524</v>
      </c>
      <c r="L790" s="49" t="s">
        <v>15501</v>
      </c>
      <c r="M790" s="49" t="s">
        <v>15502</v>
      </c>
      <c r="N790" s="49" t="s">
        <v>15503</v>
      </c>
      <c r="O790" s="49" t="s">
        <v>30482</v>
      </c>
      <c r="P790" s="49" t="s">
        <v>30488</v>
      </c>
      <c r="Q790" s="49" t="s">
        <v>30494</v>
      </c>
      <c r="R790" s="49" t="s">
        <v>30500</v>
      </c>
      <c r="S790" s="49" t="s">
        <v>30506</v>
      </c>
      <c r="T790" s="49" t="s">
        <v>30512</v>
      </c>
    </row>
    <row r="791" spans="1:21" x14ac:dyDescent="0.2">
      <c r="A791" s="49" t="s">
        <v>30</v>
      </c>
      <c r="D791" s="49" t="s">
        <v>15504</v>
      </c>
      <c r="G791" s="49" t="s">
        <v>15505</v>
      </c>
      <c r="H791" s="49" t="s">
        <v>30471</v>
      </c>
      <c r="I791" s="49" t="s">
        <v>30477</v>
      </c>
      <c r="J791" s="49" t="s">
        <v>30519</v>
      </c>
      <c r="K791" s="49" t="s">
        <v>30525</v>
      </c>
      <c r="L791" s="49" t="s">
        <v>15506</v>
      </c>
      <c r="M791" s="49" t="s">
        <v>15507</v>
      </c>
      <c r="N791" s="49" t="s">
        <v>15508</v>
      </c>
      <c r="O791" s="49" t="s">
        <v>30483</v>
      </c>
      <c r="P791" s="49" t="s">
        <v>30489</v>
      </c>
      <c r="Q791" s="49" t="s">
        <v>30495</v>
      </c>
      <c r="R791" s="49" t="s">
        <v>30501</v>
      </c>
      <c r="S791" s="49" t="s">
        <v>30507</v>
      </c>
      <c r="T791" s="49" t="s">
        <v>30513</v>
      </c>
    </row>
    <row r="792" spans="1:21" x14ac:dyDescent="0.2">
      <c r="A792" s="49" t="s">
        <v>30</v>
      </c>
      <c r="D792" s="49" t="s">
        <v>11333</v>
      </c>
      <c r="G792" s="49" t="s">
        <v>15509</v>
      </c>
      <c r="H792" s="49" t="s">
        <v>11334</v>
      </c>
      <c r="I792" s="49" t="s">
        <v>11335</v>
      </c>
      <c r="J792" s="49" t="s">
        <v>11336</v>
      </c>
      <c r="K792" s="49" t="s">
        <v>11337</v>
      </c>
      <c r="L792" s="49" t="s">
        <v>11338</v>
      </c>
      <c r="M792" s="49" t="s">
        <v>11339</v>
      </c>
      <c r="N792" s="49" t="s">
        <v>11340</v>
      </c>
      <c r="O792" s="49" t="s">
        <v>11341</v>
      </c>
      <c r="P792" s="49" t="s">
        <v>11342</v>
      </c>
      <c r="Q792" s="49" t="s">
        <v>11343</v>
      </c>
      <c r="R792" s="49" t="s">
        <v>11344</v>
      </c>
      <c r="S792" s="49" t="s">
        <v>11345</v>
      </c>
      <c r="T792" s="49" t="s">
        <v>11346</v>
      </c>
    </row>
    <row r="793" spans="1:21" x14ac:dyDescent="0.2">
      <c r="A793" s="49" t="s">
        <v>30</v>
      </c>
      <c r="D793" s="49" t="s">
        <v>11347</v>
      </c>
      <c r="G793" s="49" t="s">
        <v>15510</v>
      </c>
      <c r="H793" s="49" t="s">
        <v>11348</v>
      </c>
      <c r="I793" s="49" t="s">
        <v>11349</v>
      </c>
      <c r="J793" s="49" t="s">
        <v>11350</v>
      </c>
      <c r="K793" s="49" t="s">
        <v>11351</v>
      </c>
      <c r="L793" s="49" t="s">
        <v>11352</v>
      </c>
      <c r="M793" s="49" t="s">
        <v>11353</v>
      </c>
      <c r="N793" s="49" t="s">
        <v>11354</v>
      </c>
      <c r="O793" s="49" t="s">
        <v>11355</v>
      </c>
      <c r="P793" s="49" t="s">
        <v>11356</v>
      </c>
      <c r="Q793" s="49" t="s">
        <v>11357</v>
      </c>
      <c r="R793" s="49" t="s">
        <v>11358</v>
      </c>
      <c r="S793" s="49" t="s">
        <v>11359</v>
      </c>
      <c r="T793" s="49" t="s">
        <v>11360</v>
      </c>
    </row>
    <row r="794" spans="1:21" x14ac:dyDescent="0.2">
      <c r="A794" s="49" t="s">
        <v>30</v>
      </c>
    </row>
    <row r="795" spans="1:21" x14ac:dyDescent="0.2">
      <c r="A795" s="49" t="s">
        <v>30</v>
      </c>
      <c r="E795" s="49" t="s">
        <v>31</v>
      </c>
      <c r="F795" s="49" t="s">
        <v>31</v>
      </c>
      <c r="G795" s="49" t="s">
        <v>31</v>
      </c>
      <c r="J795" s="49" t="s">
        <v>31</v>
      </c>
      <c r="K795" s="49" t="s">
        <v>31</v>
      </c>
      <c r="L795" s="49" t="s">
        <v>31</v>
      </c>
      <c r="M795" s="49" t="s">
        <v>31</v>
      </c>
    </row>
    <row r="796" spans="1:21" x14ac:dyDescent="0.2">
      <c r="A796" s="49" t="s">
        <v>30</v>
      </c>
      <c r="D796" s="49" t="s">
        <v>15511</v>
      </c>
      <c r="E796" s="49" t="s">
        <v>5189</v>
      </c>
      <c r="F796" s="49" t="s">
        <v>15512</v>
      </c>
      <c r="H796" s="49" t="s">
        <v>15513</v>
      </c>
      <c r="O796" s="49" t="s">
        <v>15514</v>
      </c>
      <c r="P796" s="49" t="s">
        <v>15515</v>
      </c>
      <c r="Q796" s="49" t="s">
        <v>15516</v>
      </c>
      <c r="R796" s="49" t="s">
        <v>15517</v>
      </c>
      <c r="S796" s="49" t="s">
        <v>15518</v>
      </c>
      <c r="T796" s="49" t="s">
        <v>15519</v>
      </c>
      <c r="U796" s="49" t="s">
        <v>15520</v>
      </c>
    </row>
    <row r="797" spans="1:21" x14ac:dyDescent="0.2">
      <c r="A797" s="49" t="s">
        <v>30</v>
      </c>
      <c r="D797" s="49" t="s">
        <v>15521</v>
      </c>
      <c r="G797" s="49" t="s">
        <v>15522</v>
      </c>
      <c r="H797" s="49" t="s">
        <v>30416</v>
      </c>
      <c r="I797" s="49" t="s">
        <v>30421</v>
      </c>
      <c r="J797" s="49" t="s">
        <v>30456</v>
      </c>
      <c r="K797" s="49" t="s">
        <v>30461</v>
      </c>
      <c r="L797" s="49" t="s">
        <v>15523</v>
      </c>
      <c r="M797" s="49" t="s">
        <v>15524</v>
      </c>
      <c r="N797" s="49" t="s">
        <v>15525</v>
      </c>
      <c r="O797" s="49" t="s">
        <v>30426</v>
      </c>
      <c r="P797" s="49" t="s">
        <v>30431</v>
      </c>
      <c r="Q797" s="49" t="s">
        <v>30436</v>
      </c>
      <c r="R797" s="49" t="s">
        <v>30441</v>
      </c>
      <c r="S797" s="49" t="s">
        <v>30446</v>
      </c>
      <c r="T797" s="49" t="s">
        <v>30451</v>
      </c>
    </row>
    <row r="798" spans="1:21" x14ac:dyDescent="0.2">
      <c r="A798" s="49" t="s">
        <v>30</v>
      </c>
      <c r="D798" s="49" t="s">
        <v>15526</v>
      </c>
      <c r="G798" s="49" t="s">
        <v>15527</v>
      </c>
      <c r="H798" s="49" t="s">
        <v>30417</v>
      </c>
      <c r="I798" s="49" t="s">
        <v>30422</v>
      </c>
      <c r="J798" s="49" t="s">
        <v>30457</v>
      </c>
      <c r="K798" s="49" t="s">
        <v>30462</v>
      </c>
      <c r="L798" s="49" t="s">
        <v>15528</v>
      </c>
      <c r="M798" s="49" t="s">
        <v>15529</v>
      </c>
      <c r="N798" s="49" t="s">
        <v>15530</v>
      </c>
      <c r="O798" s="49" t="s">
        <v>30427</v>
      </c>
      <c r="P798" s="49" t="s">
        <v>30432</v>
      </c>
      <c r="Q798" s="49" t="s">
        <v>30437</v>
      </c>
      <c r="R798" s="49" t="s">
        <v>30442</v>
      </c>
      <c r="S798" s="49" t="s">
        <v>30447</v>
      </c>
      <c r="T798" s="49" t="s">
        <v>30452</v>
      </c>
    </row>
    <row r="799" spans="1:21" x14ac:dyDescent="0.2">
      <c r="A799" s="49" t="s">
        <v>30</v>
      </c>
      <c r="D799" s="49" t="s">
        <v>11361</v>
      </c>
      <c r="G799" s="49" t="s">
        <v>15531</v>
      </c>
      <c r="H799" s="49" t="s">
        <v>11362</v>
      </c>
      <c r="I799" s="49" t="s">
        <v>11363</v>
      </c>
      <c r="J799" s="49" t="s">
        <v>11364</v>
      </c>
      <c r="K799" s="49" t="s">
        <v>11365</v>
      </c>
      <c r="L799" s="49" t="s">
        <v>11366</v>
      </c>
      <c r="M799" s="49" t="s">
        <v>11367</v>
      </c>
      <c r="N799" s="49" t="s">
        <v>11368</v>
      </c>
      <c r="O799" s="49" t="s">
        <v>11369</v>
      </c>
      <c r="P799" s="49" t="s">
        <v>11370</v>
      </c>
      <c r="Q799" s="49" t="s">
        <v>11371</v>
      </c>
      <c r="R799" s="49" t="s">
        <v>11372</v>
      </c>
      <c r="S799" s="49" t="s">
        <v>11373</v>
      </c>
      <c r="T799" s="49" t="s">
        <v>11374</v>
      </c>
    </row>
    <row r="800" spans="1:21" x14ac:dyDescent="0.2">
      <c r="A800" s="49" t="s">
        <v>30</v>
      </c>
      <c r="D800" s="49" t="s">
        <v>11375</v>
      </c>
      <c r="G800" s="49" t="s">
        <v>15532</v>
      </c>
      <c r="H800" s="49" t="s">
        <v>11376</v>
      </c>
      <c r="I800" s="49" t="s">
        <v>11377</v>
      </c>
      <c r="J800" s="49" t="s">
        <v>11378</v>
      </c>
      <c r="K800" s="49" t="s">
        <v>11379</v>
      </c>
      <c r="L800" s="49" t="s">
        <v>11380</v>
      </c>
      <c r="M800" s="49" t="s">
        <v>11381</v>
      </c>
      <c r="N800" s="49" t="s">
        <v>11382</v>
      </c>
      <c r="O800" s="49" t="s">
        <v>11383</v>
      </c>
      <c r="P800" s="49" t="s">
        <v>11384</v>
      </c>
      <c r="Q800" s="49" t="s">
        <v>11385</v>
      </c>
      <c r="R800" s="49" t="s">
        <v>11386</v>
      </c>
      <c r="S800" s="49" t="s">
        <v>11387</v>
      </c>
      <c r="T800" s="49" t="s">
        <v>11388</v>
      </c>
    </row>
    <row r="801" spans="1:21" x14ac:dyDescent="0.2">
      <c r="A801" s="49" t="s">
        <v>30</v>
      </c>
      <c r="D801" s="49" t="s">
        <v>15533</v>
      </c>
      <c r="G801" s="49" t="s">
        <v>15534</v>
      </c>
      <c r="H801" s="49" t="s">
        <v>30418</v>
      </c>
      <c r="I801" s="49" t="s">
        <v>30423</v>
      </c>
      <c r="J801" s="49" t="s">
        <v>30458</v>
      </c>
      <c r="K801" s="49" t="s">
        <v>30463</v>
      </c>
      <c r="L801" s="49" t="s">
        <v>15535</v>
      </c>
      <c r="M801" s="49" t="s">
        <v>15536</v>
      </c>
      <c r="N801" s="49" t="s">
        <v>15537</v>
      </c>
      <c r="O801" s="49" t="s">
        <v>30428</v>
      </c>
      <c r="P801" s="49" t="s">
        <v>30433</v>
      </c>
      <c r="Q801" s="49" t="s">
        <v>30438</v>
      </c>
      <c r="R801" s="49" t="s">
        <v>30443</v>
      </c>
      <c r="S801" s="49" t="s">
        <v>30448</v>
      </c>
      <c r="T801" s="49" t="s">
        <v>30453</v>
      </c>
    </row>
    <row r="802" spans="1:21" x14ac:dyDescent="0.2">
      <c r="A802" s="49" t="s">
        <v>30</v>
      </c>
      <c r="D802" s="49" t="s">
        <v>15538</v>
      </c>
      <c r="G802" s="49" t="s">
        <v>15539</v>
      </c>
      <c r="H802" s="49" t="s">
        <v>30419</v>
      </c>
      <c r="I802" s="49" t="s">
        <v>30424</v>
      </c>
      <c r="J802" s="49" t="s">
        <v>30459</v>
      </c>
      <c r="K802" s="49" t="s">
        <v>30464</v>
      </c>
      <c r="L802" s="49" t="s">
        <v>15540</v>
      </c>
      <c r="M802" s="49" t="s">
        <v>15541</v>
      </c>
      <c r="N802" s="49" t="s">
        <v>15542</v>
      </c>
      <c r="O802" s="49" t="s">
        <v>30429</v>
      </c>
      <c r="P802" s="49" t="s">
        <v>30434</v>
      </c>
      <c r="Q802" s="49" t="s">
        <v>30439</v>
      </c>
      <c r="R802" s="49" t="s">
        <v>30444</v>
      </c>
      <c r="S802" s="49" t="s">
        <v>30449</v>
      </c>
      <c r="T802" s="49" t="s">
        <v>30454</v>
      </c>
    </row>
    <row r="803" spans="1:21" x14ac:dyDescent="0.2">
      <c r="A803" s="49" t="s">
        <v>30</v>
      </c>
      <c r="D803" s="49" t="s">
        <v>15543</v>
      </c>
      <c r="G803" s="49" t="s">
        <v>15544</v>
      </c>
      <c r="H803" s="49" t="s">
        <v>30420</v>
      </c>
      <c r="I803" s="49" t="s">
        <v>30425</v>
      </c>
      <c r="J803" s="49" t="s">
        <v>30460</v>
      </c>
      <c r="K803" s="49" t="s">
        <v>30465</v>
      </c>
      <c r="L803" s="49" t="s">
        <v>15545</v>
      </c>
      <c r="M803" s="49" t="s">
        <v>15546</v>
      </c>
      <c r="N803" s="49" t="s">
        <v>15547</v>
      </c>
      <c r="O803" s="49" t="s">
        <v>30430</v>
      </c>
      <c r="P803" s="49" t="s">
        <v>30435</v>
      </c>
      <c r="Q803" s="49" t="s">
        <v>30440</v>
      </c>
      <c r="R803" s="49" t="s">
        <v>30445</v>
      </c>
      <c r="S803" s="49" t="s">
        <v>30450</v>
      </c>
      <c r="T803" s="49" t="s">
        <v>30455</v>
      </c>
    </row>
    <row r="804" spans="1:21" x14ac:dyDescent="0.2">
      <c r="A804" s="49" t="s">
        <v>30</v>
      </c>
    </row>
    <row r="805" spans="1:21" x14ac:dyDescent="0.2">
      <c r="A805" s="49" t="s">
        <v>30</v>
      </c>
      <c r="E805" s="49" t="s">
        <v>31</v>
      </c>
      <c r="F805" s="49" t="s">
        <v>31</v>
      </c>
      <c r="G805" s="49" t="s">
        <v>31</v>
      </c>
      <c r="J805" s="49" t="s">
        <v>31</v>
      </c>
      <c r="K805" s="49" t="s">
        <v>31</v>
      </c>
      <c r="L805" s="49" t="s">
        <v>31</v>
      </c>
      <c r="M805" s="49" t="s">
        <v>31</v>
      </c>
    </row>
    <row r="806" spans="1:21" x14ac:dyDescent="0.2">
      <c r="A806" s="49" t="s">
        <v>30</v>
      </c>
      <c r="D806" s="49" t="s">
        <v>15548</v>
      </c>
      <c r="E806" s="49" t="s">
        <v>5226</v>
      </c>
      <c r="F806" s="49" t="s">
        <v>15549</v>
      </c>
      <c r="H806" s="49" t="s">
        <v>15550</v>
      </c>
      <c r="O806" s="49" t="s">
        <v>15551</v>
      </c>
      <c r="P806" s="49" t="s">
        <v>15552</v>
      </c>
      <c r="Q806" s="49" t="s">
        <v>15553</v>
      </c>
      <c r="R806" s="49" t="s">
        <v>15554</v>
      </c>
      <c r="S806" s="49" t="s">
        <v>15555</v>
      </c>
      <c r="T806" s="49" t="s">
        <v>15556</v>
      </c>
      <c r="U806" s="49" t="s">
        <v>15557</v>
      </c>
    </row>
    <row r="807" spans="1:21" x14ac:dyDescent="0.2">
      <c r="A807" s="49" t="s">
        <v>30</v>
      </c>
      <c r="D807" s="49" t="s">
        <v>7359</v>
      </c>
      <c r="G807" s="49" t="s">
        <v>15558</v>
      </c>
      <c r="H807" s="49" t="s">
        <v>7360</v>
      </c>
      <c r="I807" s="49" t="s">
        <v>7361</v>
      </c>
      <c r="J807" s="49" t="s">
        <v>7362</v>
      </c>
      <c r="K807" s="49" t="s">
        <v>7363</v>
      </c>
      <c r="L807" s="49" t="s">
        <v>7364</v>
      </c>
      <c r="M807" s="49" t="s">
        <v>7365</v>
      </c>
      <c r="N807" s="49" t="s">
        <v>7366</v>
      </c>
      <c r="O807" s="49" t="s">
        <v>7367</v>
      </c>
      <c r="P807" s="49" t="s">
        <v>7368</v>
      </c>
      <c r="Q807" s="49" t="s">
        <v>7369</v>
      </c>
      <c r="R807" s="49" t="s">
        <v>7370</v>
      </c>
      <c r="S807" s="49" t="s">
        <v>7371</v>
      </c>
      <c r="T807" s="49" t="s">
        <v>7372</v>
      </c>
    </row>
    <row r="808" spans="1:21" x14ac:dyDescent="0.2">
      <c r="A808" s="49" t="s">
        <v>30</v>
      </c>
      <c r="D808" s="49" t="s">
        <v>11389</v>
      </c>
      <c r="G808" s="49" t="s">
        <v>15559</v>
      </c>
      <c r="H808" s="49" t="s">
        <v>12140</v>
      </c>
      <c r="I808" s="49" t="s">
        <v>12143</v>
      </c>
      <c r="J808" s="49" t="s">
        <v>12164</v>
      </c>
      <c r="K808" s="49" t="s">
        <v>12167</v>
      </c>
      <c r="L808" s="49" t="s">
        <v>11390</v>
      </c>
      <c r="M808" s="49" t="s">
        <v>11391</v>
      </c>
      <c r="N808" s="49" t="s">
        <v>11392</v>
      </c>
      <c r="O808" s="49" t="s">
        <v>12146</v>
      </c>
      <c r="P808" s="49" t="s">
        <v>12149</v>
      </c>
      <c r="Q808" s="49" t="s">
        <v>12152</v>
      </c>
      <c r="R808" s="49" t="s">
        <v>12155</v>
      </c>
      <c r="S808" s="49" t="s">
        <v>12158</v>
      </c>
      <c r="T808" s="49" t="s">
        <v>12161</v>
      </c>
    </row>
    <row r="809" spans="1:21" x14ac:dyDescent="0.2">
      <c r="A809" s="49" t="s">
        <v>30</v>
      </c>
      <c r="D809" s="49" t="s">
        <v>11393</v>
      </c>
      <c r="G809" s="49" t="s">
        <v>15560</v>
      </c>
      <c r="H809" s="49" t="s">
        <v>12141</v>
      </c>
      <c r="I809" s="49" t="s">
        <v>12144</v>
      </c>
      <c r="J809" s="49" t="s">
        <v>12165</v>
      </c>
      <c r="K809" s="49" t="s">
        <v>12168</v>
      </c>
      <c r="L809" s="49" t="s">
        <v>11394</v>
      </c>
      <c r="M809" s="49" t="s">
        <v>11395</v>
      </c>
      <c r="N809" s="49" t="s">
        <v>11396</v>
      </c>
      <c r="O809" s="49" t="s">
        <v>12147</v>
      </c>
      <c r="P809" s="49" t="s">
        <v>12150</v>
      </c>
      <c r="Q809" s="49" t="s">
        <v>12153</v>
      </c>
      <c r="R809" s="49" t="s">
        <v>12156</v>
      </c>
      <c r="S809" s="49" t="s">
        <v>12159</v>
      </c>
      <c r="T809" s="49" t="s">
        <v>12162</v>
      </c>
    </row>
    <row r="810" spans="1:21" x14ac:dyDescent="0.2">
      <c r="A810" s="49" t="s">
        <v>30</v>
      </c>
      <c r="D810" s="49" t="s">
        <v>11397</v>
      </c>
      <c r="G810" s="49" t="s">
        <v>15561</v>
      </c>
      <c r="H810" s="49" t="s">
        <v>12142</v>
      </c>
      <c r="I810" s="49" t="s">
        <v>12145</v>
      </c>
      <c r="J810" s="49" t="s">
        <v>12166</v>
      </c>
      <c r="K810" s="49" t="s">
        <v>12169</v>
      </c>
      <c r="L810" s="49" t="s">
        <v>11398</v>
      </c>
      <c r="M810" s="49" t="s">
        <v>11399</v>
      </c>
      <c r="N810" s="49" t="s">
        <v>11400</v>
      </c>
      <c r="O810" s="49" t="s">
        <v>12148</v>
      </c>
      <c r="P810" s="49" t="s">
        <v>12151</v>
      </c>
      <c r="Q810" s="49" t="s">
        <v>12154</v>
      </c>
      <c r="R810" s="49" t="s">
        <v>12157</v>
      </c>
      <c r="S810" s="49" t="s">
        <v>12160</v>
      </c>
      <c r="T810" s="49" t="s">
        <v>12163</v>
      </c>
    </row>
    <row r="811" spans="1:21" x14ac:dyDescent="0.2">
      <c r="A811" s="49" t="s">
        <v>30</v>
      </c>
      <c r="D811" s="49" t="s">
        <v>15562</v>
      </c>
      <c r="G811" s="49" t="s">
        <v>15563</v>
      </c>
      <c r="H811" s="49" t="s">
        <v>30386</v>
      </c>
      <c r="I811" s="49" t="s">
        <v>30389</v>
      </c>
      <c r="J811" s="49" t="s">
        <v>30410</v>
      </c>
      <c r="K811" s="49" t="s">
        <v>30413</v>
      </c>
      <c r="L811" s="49" t="s">
        <v>15564</v>
      </c>
      <c r="M811" s="49" t="s">
        <v>15565</v>
      </c>
      <c r="N811" s="49" t="s">
        <v>15566</v>
      </c>
      <c r="O811" s="49" t="s">
        <v>30392</v>
      </c>
      <c r="P811" s="49" t="s">
        <v>30395</v>
      </c>
      <c r="Q811" s="49" t="s">
        <v>30398</v>
      </c>
      <c r="R811" s="49" t="s">
        <v>30401</v>
      </c>
      <c r="S811" s="49" t="s">
        <v>30404</v>
      </c>
      <c r="T811" s="49" t="s">
        <v>30407</v>
      </c>
    </row>
    <row r="812" spans="1:21" x14ac:dyDescent="0.2">
      <c r="A812" s="49" t="s">
        <v>30</v>
      </c>
      <c r="D812" s="49" t="s">
        <v>15567</v>
      </c>
      <c r="G812" s="49" t="s">
        <v>15568</v>
      </c>
      <c r="H812" s="49" t="s">
        <v>30387</v>
      </c>
      <c r="I812" s="49" t="s">
        <v>30390</v>
      </c>
      <c r="J812" s="49" t="s">
        <v>30411</v>
      </c>
      <c r="K812" s="49" t="s">
        <v>30414</v>
      </c>
      <c r="L812" s="49" t="s">
        <v>15569</v>
      </c>
      <c r="M812" s="49" t="s">
        <v>15570</v>
      </c>
      <c r="N812" s="49" t="s">
        <v>15571</v>
      </c>
      <c r="O812" s="49" t="s">
        <v>30393</v>
      </c>
      <c r="P812" s="49" t="s">
        <v>30396</v>
      </c>
      <c r="Q812" s="49" t="s">
        <v>30399</v>
      </c>
      <c r="R812" s="49" t="s">
        <v>30402</v>
      </c>
      <c r="S812" s="49" t="s">
        <v>30405</v>
      </c>
      <c r="T812" s="49" t="s">
        <v>30408</v>
      </c>
    </row>
    <row r="813" spans="1:21" x14ac:dyDescent="0.2">
      <c r="A813" s="49" t="s">
        <v>30</v>
      </c>
      <c r="D813" s="49" t="s">
        <v>15572</v>
      </c>
      <c r="G813" s="49" t="s">
        <v>15573</v>
      </c>
      <c r="H813" s="49" t="s">
        <v>30388</v>
      </c>
      <c r="I813" s="49" t="s">
        <v>30391</v>
      </c>
      <c r="J813" s="49" t="s">
        <v>30412</v>
      </c>
      <c r="K813" s="49" t="s">
        <v>30415</v>
      </c>
      <c r="L813" s="49" t="s">
        <v>15574</v>
      </c>
      <c r="M813" s="49" t="s">
        <v>15575</v>
      </c>
      <c r="N813" s="49" t="s">
        <v>15576</v>
      </c>
      <c r="O813" s="49" t="s">
        <v>30394</v>
      </c>
      <c r="P813" s="49" t="s">
        <v>30397</v>
      </c>
      <c r="Q813" s="49" t="s">
        <v>30400</v>
      </c>
      <c r="R813" s="49" t="s">
        <v>30403</v>
      </c>
      <c r="S813" s="49" t="s">
        <v>30406</v>
      </c>
      <c r="T813" s="49" t="s">
        <v>30409</v>
      </c>
    </row>
    <row r="814" spans="1:21" x14ac:dyDescent="0.2">
      <c r="A814" s="49" t="s">
        <v>30</v>
      </c>
      <c r="D814" s="49" t="s">
        <v>11401</v>
      </c>
      <c r="G814" s="49" t="s">
        <v>15577</v>
      </c>
      <c r="H814" s="49" t="s">
        <v>11402</v>
      </c>
      <c r="I814" s="49" t="s">
        <v>11403</v>
      </c>
      <c r="J814" s="49" t="s">
        <v>11404</v>
      </c>
      <c r="K814" s="49" t="s">
        <v>11405</v>
      </c>
      <c r="L814" s="49" t="s">
        <v>11406</v>
      </c>
      <c r="M814" s="49" t="s">
        <v>11407</v>
      </c>
      <c r="N814" s="49" t="s">
        <v>11408</v>
      </c>
      <c r="O814" s="49" t="s">
        <v>11409</v>
      </c>
      <c r="P814" s="49" t="s">
        <v>11410</v>
      </c>
      <c r="Q814" s="49" t="s">
        <v>11411</v>
      </c>
      <c r="R814" s="49" t="s">
        <v>11412</v>
      </c>
      <c r="S814" s="49" t="s">
        <v>11413</v>
      </c>
      <c r="T814" s="49" t="s">
        <v>11414</v>
      </c>
    </row>
    <row r="815" spans="1:21" x14ac:dyDescent="0.2">
      <c r="A815" s="49" t="s">
        <v>30</v>
      </c>
      <c r="D815" s="49" t="s">
        <v>7375</v>
      </c>
      <c r="G815" s="49" t="s">
        <v>15578</v>
      </c>
      <c r="H815" s="49" t="s">
        <v>7376</v>
      </c>
      <c r="I815" s="49" t="s">
        <v>7377</v>
      </c>
      <c r="J815" s="49" t="s">
        <v>7378</v>
      </c>
      <c r="K815" s="49" t="s">
        <v>7379</v>
      </c>
      <c r="L815" s="49" t="s">
        <v>7380</v>
      </c>
      <c r="M815" s="49" t="s">
        <v>7381</v>
      </c>
      <c r="N815" s="49" t="s">
        <v>7382</v>
      </c>
      <c r="O815" s="49" t="s">
        <v>7383</v>
      </c>
      <c r="P815" s="49" t="s">
        <v>7384</v>
      </c>
      <c r="Q815" s="49" t="s">
        <v>7385</v>
      </c>
      <c r="R815" s="49" t="s">
        <v>7386</v>
      </c>
      <c r="S815" s="49" t="s">
        <v>7387</v>
      </c>
      <c r="T815" s="49" t="s">
        <v>7388</v>
      </c>
    </row>
    <row r="816" spans="1:21" x14ac:dyDescent="0.2">
      <c r="A816" s="49" t="s">
        <v>30</v>
      </c>
    </row>
    <row r="817" spans="1:21" x14ac:dyDescent="0.2">
      <c r="A817" s="49" t="s">
        <v>30</v>
      </c>
      <c r="E817" s="49" t="s">
        <v>31</v>
      </c>
      <c r="F817" s="49" t="s">
        <v>31</v>
      </c>
      <c r="G817" s="49" t="s">
        <v>31</v>
      </c>
      <c r="J817" s="49" t="s">
        <v>31</v>
      </c>
      <c r="K817" s="49" t="s">
        <v>31</v>
      </c>
      <c r="L817" s="49" t="s">
        <v>31</v>
      </c>
      <c r="M817" s="49" t="s">
        <v>31</v>
      </c>
    </row>
    <row r="818" spans="1:21" x14ac:dyDescent="0.2">
      <c r="A818" s="49" t="s">
        <v>30</v>
      </c>
      <c r="D818" s="49" t="s">
        <v>11415</v>
      </c>
      <c r="E818" s="49" t="s">
        <v>5256</v>
      </c>
      <c r="F818" s="49" t="s">
        <v>11416</v>
      </c>
      <c r="H818" s="49" t="s">
        <v>11417</v>
      </c>
      <c r="O818" s="49" t="s">
        <v>15579</v>
      </c>
      <c r="P818" s="49" t="s">
        <v>15580</v>
      </c>
      <c r="Q818" s="49" t="s">
        <v>15581</v>
      </c>
      <c r="R818" s="49" t="s">
        <v>15582</v>
      </c>
      <c r="S818" s="49" t="s">
        <v>15583</v>
      </c>
      <c r="T818" s="49" t="s">
        <v>15584</v>
      </c>
      <c r="U818" s="49" t="s">
        <v>15585</v>
      </c>
    </row>
    <row r="819" spans="1:21" x14ac:dyDescent="0.2">
      <c r="A819" s="49" t="s">
        <v>30</v>
      </c>
      <c r="D819" s="49" t="s">
        <v>7389</v>
      </c>
      <c r="G819" s="49" t="s">
        <v>11418</v>
      </c>
      <c r="H819" s="49" t="s">
        <v>7390</v>
      </c>
      <c r="I819" s="49" t="s">
        <v>7391</v>
      </c>
      <c r="J819" s="49" t="s">
        <v>7392</v>
      </c>
      <c r="K819" s="49" t="s">
        <v>7393</v>
      </c>
      <c r="L819" s="49" t="s">
        <v>7394</v>
      </c>
      <c r="M819" s="49" t="s">
        <v>7395</v>
      </c>
      <c r="N819" s="49" t="s">
        <v>7396</v>
      </c>
      <c r="O819" s="49" t="s">
        <v>7397</v>
      </c>
      <c r="P819" s="49" t="s">
        <v>7398</v>
      </c>
      <c r="Q819" s="49" t="s">
        <v>7399</v>
      </c>
      <c r="R819" s="49" t="s">
        <v>7400</v>
      </c>
      <c r="S819" s="49" t="s">
        <v>7401</v>
      </c>
      <c r="T819" s="49" t="s">
        <v>7402</v>
      </c>
    </row>
    <row r="820" spans="1:21" x14ac:dyDescent="0.2">
      <c r="A820" s="49" t="s">
        <v>30</v>
      </c>
      <c r="D820" s="49" t="s">
        <v>7403</v>
      </c>
      <c r="G820" s="49" t="s">
        <v>15586</v>
      </c>
      <c r="H820" s="49" t="s">
        <v>7404</v>
      </c>
      <c r="I820" s="49" t="s">
        <v>7405</v>
      </c>
      <c r="J820" s="49" t="s">
        <v>7406</v>
      </c>
      <c r="K820" s="49" t="s">
        <v>7407</v>
      </c>
      <c r="L820" s="49" t="s">
        <v>7408</v>
      </c>
      <c r="M820" s="49" t="s">
        <v>7409</v>
      </c>
      <c r="N820" s="49" t="s">
        <v>7410</v>
      </c>
      <c r="O820" s="49" t="s">
        <v>7411</v>
      </c>
      <c r="P820" s="49" t="s">
        <v>7412</v>
      </c>
      <c r="Q820" s="49" t="s">
        <v>7413</v>
      </c>
      <c r="R820" s="49" t="s">
        <v>7414</v>
      </c>
      <c r="S820" s="49" t="s">
        <v>7415</v>
      </c>
      <c r="T820" s="49" t="s">
        <v>7416</v>
      </c>
    </row>
    <row r="821" spans="1:21" x14ac:dyDescent="0.2">
      <c r="A821" s="49" t="s">
        <v>30</v>
      </c>
      <c r="D821" s="49" t="s">
        <v>11419</v>
      </c>
      <c r="G821" s="49" t="s">
        <v>15587</v>
      </c>
      <c r="H821" s="49" t="s">
        <v>11420</v>
      </c>
      <c r="I821" s="49" t="s">
        <v>11421</v>
      </c>
      <c r="J821" s="49" t="s">
        <v>11422</v>
      </c>
      <c r="K821" s="49" t="s">
        <v>11423</v>
      </c>
      <c r="L821" s="49" t="s">
        <v>11424</v>
      </c>
      <c r="M821" s="49" t="s">
        <v>11425</v>
      </c>
      <c r="N821" s="49" t="s">
        <v>11426</v>
      </c>
      <c r="O821" s="49" t="s">
        <v>11427</v>
      </c>
      <c r="P821" s="49" t="s">
        <v>11428</v>
      </c>
      <c r="Q821" s="49" t="s">
        <v>11429</v>
      </c>
      <c r="R821" s="49" t="s">
        <v>11430</v>
      </c>
      <c r="S821" s="49" t="s">
        <v>11431</v>
      </c>
      <c r="T821" s="49" t="s">
        <v>11432</v>
      </c>
    </row>
    <row r="822" spans="1:21" x14ac:dyDescent="0.2">
      <c r="A822" s="49" t="s">
        <v>30</v>
      </c>
      <c r="D822" s="49" t="s">
        <v>15588</v>
      </c>
      <c r="G822" s="49" t="s">
        <v>15589</v>
      </c>
      <c r="H822" s="49" t="s">
        <v>30356</v>
      </c>
      <c r="I822" s="49" t="s">
        <v>30359</v>
      </c>
      <c r="J822" s="49" t="s">
        <v>30380</v>
      </c>
      <c r="K822" s="49" t="s">
        <v>30383</v>
      </c>
      <c r="L822" s="49" t="s">
        <v>15590</v>
      </c>
      <c r="M822" s="49" t="s">
        <v>15591</v>
      </c>
      <c r="N822" s="49" t="s">
        <v>15592</v>
      </c>
      <c r="O822" s="49" t="s">
        <v>30362</v>
      </c>
      <c r="P822" s="49" t="s">
        <v>30365</v>
      </c>
      <c r="Q822" s="49" t="s">
        <v>30368</v>
      </c>
      <c r="R822" s="49" t="s">
        <v>30371</v>
      </c>
      <c r="S822" s="49" t="s">
        <v>30374</v>
      </c>
      <c r="T822" s="49" t="s">
        <v>30377</v>
      </c>
    </row>
    <row r="823" spans="1:21" x14ac:dyDescent="0.2">
      <c r="A823" s="49" t="s">
        <v>30</v>
      </c>
      <c r="D823" s="49" t="s">
        <v>15593</v>
      </c>
      <c r="G823" s="49" t="s">
        <v>15594</v>
      </c>
      <c r="H823" s="49" t="s">
        <v>30357</v>
      </c>
      <c r="I823" s="49" t="s">
        <v>30360</v>
      </c>
      <c r="J823" s="49" t="s">
        <v>30381</v>
      </c>
      <c r="K823" s="49" t="s">
        <v>30384</v>
      </c>
      <c r="L823" s="49" t="s">
        <v>15595</v>
      </c>
      <c r="M823" s="49" t="s">
        <v>15596</v>
      </c>
      <c r="N823" s="49" t="s">
        <v>15597</v>
      </c>
      <c r="O823" s="49" t="s">
        <v>30363</v>
      </c>
      <c r="P823" s="49" t="s">
        <v>30366</v>
      </c>
      <c r="Q823" s="49" t="s">
        <v>30369</v>
      </c>
      <c r="R823" s="49" t="s">
        <v>30372</v>
      </c>
      <c r="S823" s="49" t="s">
        <v>30375</v>
      </c>
      <c r="T823" s="49" t="s">
        <v>30378</v>
      </c>
    </row>
    <row r="824" spans="1:21" x14ac:dyDescent="0.2">
      <c r="A824" s="49" t="s">
        <v>30</v>
      </c>
      <c r="D824" s="49" t="s">
        <v>15598</v>
      </c>
      <c r="G824" s="49" t="s">
        <v>15599</v>
      </c>
      <c r="H824" s="49" t="s">
        <v>30358</v>
      </c>
      <c r="I824" s="49" t="s">
        <v>30361</v>
      </c>
      <c r="J824" s="49" t="s">
        <v>30382</v>
      </c>
      <c r="K824" s="49" t="s">
        <v>30385</v>
      </c>
      <c r="L824" s="49" t="s">
        <v>15600</v>
      </c>
      <c r="M824" s="49" t="s">
        <v>15601</v>
      </c>
      <c r="N824" s="49" t="s">
        <v>15602</v>
      </c>
      <c r="O824" s="49" t="s">
        <v>30364</v>
      </c>
      <c r="P824" s="49" t="s">
        <v>30367</v>
      </c>
      <c r="Q824" s="49" t="s">
        <v>30370</v>
      </c>
      <c r="R824" s="49" t="s">
        <v>30373</v>
      </c>
      <c r="S824" s="49" t="s">
        <v>30376</v>
      </c>
      <c r="T824" s="49" t="s">
        <v>30379</v>
      </c>
    </row>
    <row r="825" spans="1:21" x14ac:dyDescent="0.2">
      <c r="A825" s="49" t="s">
        <v>30</v>
      </c>
      <c r="D825" s="49" t="s">
        <v>7418</v>
      </c>
      <c r="G825" s="49" t="s">
        <v>15603</v>
      </c>
      <c r="H825" s="49" t="s">
        <v>7419</v>
      </c>
      <c r="I825" s="49" t="s">
        <v>7420</v>
      </c>
      <c r="J825" s="49" t="s">
        <v>7421</v>
      </c>
      <c r="K825" s="49" t="s">
        <v>7422</v>
      </c>
      <c r="L825" s="49" t="s">
        <v>7423</v>
      </c>
      <c r="M825" s="49" t="s">
        <v>7424</v>
      </c>
      <c r="N825" s="49" t="s">
        <v>7425</v>
      </c>
      <c r="O825" s="49" t="s">
        <v>7426</v>
      </c>
      <c r="P825" s="49" t="s">
        <v>7427</v>
      </c>
      <c r="Q825" s="49" t="s">
        <v>7428</v>
      </c>
      <c r="R825" s="49" t="s">
        <v>7429</v>
      </c>
      <c r="S825" s="49" t="s">
        <v>7430</v>
      </c>
      <c r="T825" s="49" t="s">
        <v>7431</v>
      </c>
    </row>
    <row r="826" spans="1:21" x14ac:dyDescent="0.2">
      <c r="A826" s="49" t="s">
        <v>30</v>
      </c>
      <c r="D826" s="49" t="s">
        <v>7432</v>
      </c>
      <c r="G826" s="49" t="s">
        <v>15604</v>
      </c>
      <c r="H826" s="49" t="s">
        <v>7433</v>
      </c>
      <c r="I826" s="49" t="s">
        <v>7434</v>
      </c>
      <c r="J826" s="49" t="s">
        <v>7435</v>
      </c>
      <c r="K826" s="49" t="s">
        <v>7436</v>
      </c>
      <c r="L826" s="49" t="s">
        <v>7437</v>
      </c>
      <c r="M826" s="49" t="s">
        <v>7438</v>
      </c>
      <c r="N826" s="49" t="s">
        <v>7439</v>
      </c>
      <c r="O826" s="49" t="s">
        <v>7440</v>
      </c>
      <c r="P826" s="49" t="s">
        <v>7441</v>
      </c>
      <c r="Q826" s="49" t="s">
        <v>7442</v>
      </c>
      <c r="R826" s="49" t="s">
        <v>7443</v>
      </c>
      <c r="S826" s="49" t="s">
        <v>7444</v>
      </c>
      <c r="T826" s="49" t="s">
        <v>7445</v>
      </c>
    </row>
    <row r="827" spans="1:21" x14ac:dyDescent="0.2">
      <c r="A827" s="49" t="s">
        <v>30</v>
      </c>
    </row>
    <row r="828" spans="1:21" x14ac:dyDescent="0.2">
      <c r="A828" s="49" t="s">
        <v>30</v>
      </c>
      <c r="E828" s="49" t="s">
        <v>31</v>
      </c>
      <c r="F828" s="49" t="s">
        <v>31</v>
      </c>
      <c r="G828" s="49" t="s">
        <v>31</v>
      </c>
      <c r="J828" s="49" t="s">
        <v>31</v>
      </c>
      <c r="K828" s="49" t="s">
        <v>31</v>
      </c>
      <c r="L828" s="49" t="s">
        <v>31</v>
      </c>
      <c r="M828" s="49" t="s">
        <v>31</v>
      </c>
    </row>
    <row r="829" spans="1:21" x14ac:dyDescent="0.2">
      <c r="A829" s="49" t="s">
        <v>30</v>
      </c>
      <c r="D829" s="49" t="s">
        <v>7446</v>
      </c>
      <c r="E829" s="49" t="s">
        <v>5301</v>
      </c>
      <c r="F829" s="49" t="s">
        <v>7448</v>
      </c>
      <c r="H829" s="49" t="s">
        <v>7449</v>
      </c>
      <c r="O829" s="49" t="s">
        <v>15605</v>
      </c>
      <c r="P829" s="49" t="s">
        <v>15606</v>
      </c>
      <c r="Q829" s="49" t="s">
        <v>15607</v>
      </c>
      <c r="R829" s="49" t="s">
        <v>15608</v>
      </c>
      <c r="S829" s="49" t="s">
        <v>15609</v>
      </c>
      <c r="T829" s="49" t="s">
        <v>15610</v>
      </c>
      <c r="U829" s="49" t="s">
        <v>15611</v>
      </c>
    </row>
    <row r="830" spans="1:21" x14ac:dyDescent="0.2">
      <c r="A830" s="49" t="s">
        <v>30</v>
      </c>
      <c r="D830" s="49" t="s">
        <v>7450</v>
      </c>
      <c r="G830" s="49" t="s">
        <v>7451</v>
      </c>
      <c r="H830" s="49" t="s">
        <v>7452</v>
      </c>
      <c r="I830" s="49" t="s">
        <v>7453</v>
      </c>
      <c r="J830" s="49" t="s">
        <v>7454</v>
      </c>
      <c r="K830" s="49" t="s">
        <v>7455</v>
      </c>
      <c r="L830" s="49" t="s">
        <v>7456</v>
      </c>
      <c r="M830" s="49" t="s">
        <v>7457</v>
      </c>
      <c r="N830" s="49" t="s">
        <v>7458</v>
      </c>
      <c r="O830" s="49" t="s">
        <v>7459</v>
      </c>
      <c r="P830" s="49" t="s">
        <v>7460</v>
      </c>
      <c r="Q830" s="49" t="s">
        <v>7461</v>
      </c>
      <c r="R830" s="49" t="s">
        <v>7462</v>
      </c>
      <c r="S830" s="49" t="s">
        <v>7463</v>
      </c>
      <c r="T830" s="49" t="s">
        <v>7464</v>
      </c>
    </row>
    <row r="831" spans="1:21" x14ac:dyDescent="0.2">
      <c r="A831" s="49" t="s">
        <v>30</v>
      </c>
      <c r="D831" s="49" t="s">
        <v>7465</v>
      </c>
      <c r="G831" s="49" t="s">
        <v>15612</v>
      </c>
      <c r="H831" s="49" t="s">
        <v>7466</v>
      </c>
      <c r="I831" s="49" t="s">
        <v>7467</v>
      </c>
      <c r="J831" s="49" t="s">
        <v>7468</v>
      </c>
      <c r="K831" s="49" t="s">
        <v>7469</v>
      </c>
      <c r="L831" s="49" t="s">
        <v>7470</v>
      </c>
      <c r="M831" s="49" t="s">
        <v>7471</v>
      </c>
      <c r="N831" s="49" t="s">
        <v>7472</v>
      </c>
      <c r="O831" s="49" t="s">
        <v>7473</v>
      </c>
      <c r="P831" s="49" t="s">
        <v>7474</v>
      </c>
      <c r="Q831" s="49" t="s">
        <v>7475</v>
      </c>
      <c r="R831" s="49" t="s">
        <v>7476</v>
      </c>
      <c r="S831" s="49" t="s">
        <v>7477</v>
      </c>
      <c r="T831" s="49" t="s">
        <v>7478</v>
      </c>
    </row>
    <row r="832" spans="1:21" x14ac:dyDescent="0.2">
      <c r="A832" s="49" t="s">
        <v>30</v>
      </c>
      <c r="D832" s="49" t="s">
        <v>15613</v>
      </c>
      <c r="G832" s="49" t="s">
        <v>15614</v>
      </c>
      <c r="H832" s="49" t="s">
        <v>30326</v>
      </c>
      <c r="I832" s="49" t="s">
        <v>30329</v>
      </c>
      <c r="J832" s="49" t="s">
        <v>30350</v>
      </c>
      <c r="K832" s="49" t="s">
        <v>30353</v>
      </c>
      <c r="L832" s="49" t="s">
        <v>15615</v>
      </c>
      <c r="M832" s="49" t="s">
        <v>15616</v>
      </c>
      <c r="N832" s="49" t="s">
        <v>15617</v>
      </c>
      <c r="O832" s="49" t="s">
        <v>30332</v>
      </c>
      <c r="P832" s="49" t="s">
        <v>30335</v>
      </c>
      <c r="Q832" s="49" t="s">
        <v>30338</v>
      </c>
      <c r="R832" s="49" t="s">
        <v>30341</v>
      </c>
      <c r="S832" s="49" t="s">
        <v>30344</v>
      </c>
      <c r="T832" s="49" t="s">
        <v>30347</v>
      </c>
    </row>
    <row r="833" spans="1:21" x14ac:dyDescent="0.2">
      <c r="A833" s="49" t="s">
        <v>30</v>
      </c>
      <c r="D833" s="49" t="s">
        <v>15618</v>
      </c>
      <c r="G833" s="49" t="s">
        <v>15619</v>
      </c>
      <c r="H833" s="49" t="s">
        <v>30327</v>
      </c>
      <c r="I833" s="49" t="s">
        <v>30330</v>
      </c>
      <c r="J833" s="49" t="s">
        <v>30351</v>
      </c>
      <c r="K833" s="49" t="s">
        <v>30354</v>
      </c>
      <c r="L833" s="49" t="s">
        <v>15620</v>
      </c>
      <c r="M833" s="49" t="s">
        <v>15621</v>
      </c>
      <c r="N833" s="49" t="s">
        <v>15622</v>
      </c>
      <c r="O833" s="49" t="s">
        <v>30333</v>
      </c>
      <c r="P833" s="49" t="s">
        <v>30336</v>
      </c>
      <c r="Q833" s="49" t="s">
        <v>30339</v>
      </c>
      <c r="R833" s="49" t="s">
        <v>30342</v>
      </c>
      <c r="S833" s="49" t="s">
        <v>30345</v>
      </c>
      <c r="T833" s="49" t="s">
        <v>30348</v>
      </c>
    </row>
    <row r="834" spans="1:21" x14ac:dyDescent="0.2">
      <c r="A834" s="49" t="s">
        <v>30</v>
      </c>
      <c r="D834" s="49" t="s">
        <v>15623</v>
      </c>
      <c r="G834" s="49" t="s">
        <v>15624</v>
      </c>
      <c r="H834" s="49" t="s">
        <v>30328</v>
      </c>
      <c r="I834" s="49" t="s">
        <v>30331</v>
      </c>
      <c r="J834" s="49" t="s">
        <v>30352</v>
      </c>
      <c r="K834" s="49" t="s">
        <v>30355</v>
      </c>
      <c r="L834" s="49" t="s">
        <v>15625</v>
      </c>
      <c r="M834" s="49" t="s">
        <v>15626</v>
      </c>
      <c r="N834" s="49" t="s">
        <v>15627</v>
      </c>
      <c r="O834" s="49" t="s">
        <v>30334</v>
      </c>
      <c r="P834" s="49" t="s">
        <v>30337</v>
      </c>
      <c r="Q834" s="49" t="s">
        <v>30340</v>
      </c>
      <c r="R834" s="49" t="s">
        <v>30343</v>
      </c>
      <c r="S834" s="49" t="s">
        <v>30346</v>
      </c>
      <c r="T834" s="49" t="s">
        <v>30349</v>
      </c>
    </row>
    <row r="835" spans="1:21" x14ac:dyDescent="0.2">
      <c r="A835" s="49" t="s">
        <v>30</v>
      </c>
      <c r="D835" s="49" t="s">
        <v>11433</v>
      </c>
      <c r="G835" s="49" t="s">
        <v>15628</v>
      </c>
      <c r="H835" s="49" t="s">
        <v>11434</v>
      </c>
      <c r="I835" s="49" t="s">
        <v>11435</v>
      </c>
      <c r="J835" s="49" t="s">
        <v>11436</v>
      </c>
      <c r="K835" s="49" t="s">
        <v>11437</v>
      </c>
      <c r="L835" s="49" t="s">
        <v>11438</v>
      </c>
      <c r="M835" s="49" t="s">
        <v>11439</v>
      </c>
      <c r="N835" s="49" t="s">
        <v>11440</v>
      </c>
      <c r="O835" s="49" t="s">
        <v>11441</v>
      </c>
      <c r="P835" s="49" t="s">
        <v>11442</v>
      </c>
      <c r="Q835" s="49" t="s">
        <v>11443</v>
      </c>
      <c r="R835" s="49" t="s">
        <v>11444</v>
      </c>
      <c r="S835" s="49" t="s">
        <v>11445</v>
      </c>
      <c r="T835" s="49" t="s">
        <v>11446</v>
      </c>
    </row>
    <row r="836" spans="1:21" x14ac:dyDescent="0.2">
      <c r="A836" s="49" t="s">
        <v>30</v>
      </c>
    </row>
    <row r="837" spans="1:21" x14ac:dyDescent="0.2">
      <c r="A837" s="49" t="s">
        <v>30</v>
      </c>
      <c r="E837" s="49" t="s">
        <v>31</v>
      </c>
      <c r="F837" s="49" t="s">
        <v>31</v>
      </c>
      <c r="G837" s="49" t="s">
        <v>31</v>
      </c>
      <c r="J837" s="49" t="s">
        <v>31</v>
      </c>
      <c r="K837" s="49" t="s">
        <v>31</v>
      </c>
      <c r="L837" s="49" t="s">
        <v>31</v>
      </c>
      <c r="M837" s="49" t="s">
        <v>31</v>
      </c>
    </row>
    <row r="838" spans="1:21" x14ac:dyDescent="0.2">
      <c r="A838" s="49" t="s">
        <v>30</v>
      </c>
      <c r="D838" s="49" t="s">
        <v>15629</v>
      </c>
      <c r="E838" s="49" t="s">
        <v>5316</v>
      </c>
      <c r="F838" s="49" t="s">
        <v>15630</v>
      </c>
      <c r="H838" s="49" t="s">
        <v>15631</v>
      </c>
      <c r="O838" s="49" t="s">
        <v>15632</v>
      </c>
      <c r="P838" s="49" t="s">
        <v>15633</v>
      </c>
      <c r="Q838" s="49" t="s">
        <v>15634</v>
      </c>
      <c r="R838" s="49" t="s">
        <v>15635</v>
      </c>
      <c r="S838" s="49" t="s">
        <v>15636</v>
      </c>
      <c r="T838" s="49" t="s">
        <v>15637</v>
      </c>
      <c r="U838" s="49" t="s">
        <v>15638</v>
      </c>
    </row>
    <row r="839" spans="1:21" x14ac:dyDescent="0.2">
      <c r="A839" s="49" t="s">
        <v>30</v>
      </c>
      <c r="D839" s="49" t="s">
        <v>15639</v>
      </c>
      <c r="G839" s="49" t="s">
        <v>15640</v>
      </c>
      <c r="H839" s="49" t="s">
        <v>30286</v>
      </c>
      <c r="I839" s="49" t="s">
        <v>30290</v>
      </c>
      <c r="J839" s="49" t="s">
        <v>30318</v>
      </c>
      <c r="K839" s="49" t="s">
        <v>30322</v>
      </c>
      <c r="L839" s="49" t="s">
        <v>15641</v>
      </c>
      <c r="M839" s="49" t="s">
        <v>15642</v>
      </c>
      <c r="N839" s="49" t="s">
        <v>15643</v>
      </c>
      <c r="O839" s="49" t="s">
        <v>30294</v>
      </c>
      <c r="P839" s="49" t="s">
        <v>30298</v>
      </c>
      <c r="Q839" s="49" t="s">
        <v>30302</v>
      </c>
      <c r="R839" s="49" t="s">
        <v>30306</v>
      </c>
      <c r="S839" s="49" t="s">
        <v>30310</v>
      </c>
      <c r="T839" s="49" t="s">
        <v>30314</v>
      </c>
    </row>
    <row r="840" spans="1:21" x14ac:dyDescent="0.2">
      <c r="A840" s="49" t="s">
        <v>30</v>
      </c>
      <c r="D840" s="49" t="s">
        <v>7488</v>
      </c>
      <c r="G840" s="49" t="s">
        <v>15644</v>
      </c>
      <c r="H840" s="49" t="s">
        <v>7489</v>
      </c>
      <c r="I840" s="49" t="s">
        <v>7490</v>
      </c>
      <c r="J840" s="49" t="s">
        <v>7491</v>
      </c>
      <c r="K840" s="49" t="s">
        <v>7492</v>
      </c>
      <c r="L840" s="49" t="s">
        <v>7493</v>
      </c>
      <c r="M840" s="49" t="s">
        <v>7494</v>
      </c>
      <c r="N840" s="49" t="s">
        <v>7495</v>
      </c>
      <c r="O840" s="49" t="s">
        <v>7496</v>
      </c>
      <c r="P840" s="49" t="s">
        <v>7497</v>
      </c>
      <c r="Q840" s="49" t="s">
        <v>7498</v>
      </c>
      <c r="R840" s="49" t="s">
        <v>7499</v>
      </c>
      <c r="S840" s="49" t="s">
        <v>7500</v>
      </c>
      <c r="T840" s="49" t="s">
        <v>7501</v>
      </c>
    </row>
    <row r="841" spans="1:21" x14ac:dyDescent="0.2">
      <c r="A841" s="49" t="s">
        <v>30</v>
      </c>
      <c r="D841" s="49" t="s">
        <v>7502</v>
      </c>
      <c r="G841" s="49" t="s">
        <v>15645</v>
      </c>
      <c r="H841" s="49" t="s">
        <v>7503</v>
      </c>
      <c r="I841" s="49" t="s">
        <v>7504</v>
      </c>
      <c r="J841" s="49" t="s">
        <v>7505</v>
      </c>
      <c r="K841" s="49" t="s">
        <v>7506</v>
      </c>
      <c r="L841" s="49" t="s">
        <v>7507</v>
      </c>
      <c r="M841" s="49" t="s">
        <v>7508</v>
      </c>
      <c r="N841" s="49" t="s">
        <v>7509</v>
      </c>
      <c r="O841" s="49" t="s">
        <v>7510</v>
      </c>
      <c r="P841" s="49" t="s">
        <v>7511</v>
      </c>
      <c r="Q841" s="49" t="s">
        <v>7512</v>
      </c>
      <c r="R841" s="49" t="s">
        <v>7513</v>
      </c>
      <c r="S841" s="49" t="s">
        <v>7514</v>
      </c>
      <c r="T841" s="49" t="s">
        <v>7515</v>
      </c>
    </row>
    <row r="842" spans="1:21" x14ac:dyDescent="0.2">
      <c r="A842" s="49" t="s">
        <v>30</v>
      </c>
      <c r="D842" s="49" t="s">
        <v>7516</v>
      </c>
      <c r="G842" s="49" t="s">
        <v>15646</v>
      </c>
      <c r="H842" s="49" t="s">
        <v>7517</v>
      </c>
      <c r="I842" s="49" t="s">
        <v>7518</v>
      </c>
      <c r="J842" s="49" t="s">
        <v>7519</v>
      </c>
      <c r="K842" s="49" t="s">
        <v>7520</v>
      </c>
      <c r="L842" s="49" t="s">
        <v>7521</v>
      </c>
      <c r="M842" s="49" t="s">
        <v>7522</v>
      </c>
      <c r="N842" s="49" t="s">
        <v>7523</v>
      </c>
      <c r="O842" s="49" t="s">
        <v>7524</v>
      </c>
      <c r="P842" s="49" t="s">
        <v>7525</v>
      </c>
      <c r="Q842" s="49" t="s">
        <v>7526</v>
      </c>
      <c r="R842" s="49" t="s">
        <v>7527</v>
      </c>
      <c r="S842" s="49" t="s">
        <v>7528</v>
      </c>
      <c r="T842" s="49" t="s">
        <v>7529</v>
      </c>
    </row>
    <row r="843" spans="1:21" x14ac:dyDescent="0.2">
      <c r="A843" s="49" t="s">
        <v>30</v>
      </c>
      <c r="D843" s="49" t="s">
        <v>11447</v>
      </c>
      <c r="G843" s="49" t="s">
        <v>15647</v>
      </c>
      <c r="H843" s="49" t="s">
        <v>12120</v>
      </c>
      <c r="I843" s="49" t="s">
        <v>12122</v>
      </c>
      <c r="J843" s="49" t="s">
        <v>12136</v>
      </c>
      <c r="K843" s="49" t="s">
        <v>12138</v>
      </c>
      <c r="L843" s="49" t="s">
        <v>11448</v>
      </c>
      <c r="M843" s="49" t="s">
        <v>11449</v>
      </c>
      <c r="N843" s="49" t="s">
        <v>11450</v>
      </c>
      <c r="O843" s="49" t="s">
        <v>12124</v>
      </c>
      <c r="P843" s="49" t="s">
        <v>12126</v>
      </c>
      <c r="Q843" s="49" t="s">
        <v>12128</v>
      </c>
      <c r="R843" s="49" t="s">
        <v>12130</v>
      </c>
      <c r="S843" s="49" t="s">
        <v>12132</v>
      </c>
      <c r="T843" s="49" t="s">
        <v>12134</v>
      </c>
    </row>
    <row r="844" spans="1:21" x14ac:dyDescent="0.2">
      <c r="A844" s="49" t="s">
        <v>30</v>
      </c>
      <c r="D844" s="49" t="s">
        <v>11451</v>
      </c>
      <c r="G844" s="49" t="s">
        <v>15648</v>
      </c>
      <c r="H844" s="49" t="s">
        <v>12121</v>
      </c>
      <c r="I844" s="49" t="s">
        <v>12123</v>
      </c>
      <c r="J844" s="49" t="s">
        <v>12137</v>
      </c>
      <c r="K844" s="49" t="s">
        <v>12139</v>
      </c>
      <c r="L844" s="49" t="s">
        <v>11452</v>
      </c>
      <c r="M844" s="49" t="s">
        <v>11453</v>
      </c>
      <c r="N844" s="49" t="s">
        <v>11454</v>
      </c>
      <c r="O844" s="49" t="s">
        <v>12125</v>
      </c>
      <c r="P844" s="49" t="s">
        <v>12127</v>
      </c>
      <c r="Q844" s="49" t="s">
        <v>12129</v>
      </c>
      <c r="R844" s="49" t="s">
        <v>12131</v>
      </c>
      <c r="S844" s="49" t="s">
        <v>12133</v>
      </c>
      <c r="T844" s="49" t="s">
        <v>12135</v>
      </c>
    </row>
    <row r="845" spans="1:21" x14ac:dyDescent="0.2">
      <c r="A845" s="49" t="s">
        <v>30</v>
      </c>
      <c r="D845" s="49" t="s">
        <v>15649</v>
      </c>
      <c r="G845" s="49" t="s">
        <v>15650</v>
      </c>
      <c r="H845" s="49" t="s">
        <v>30287</v>
      </c>
      <c r="I845" s="49" t="s">
        <v>30291</v>
      </c>
      <c r="J845" s="49" t="s">
        <v>30319</v>
      </c>
      <c r="K845" s="49" t="s">
        <v>30323</v>
      </c>
      <c r="L845" s="49" t="s">
        <v>15651</v>
      </c>
      <c r="M845" s="49" t="s">
        <v>15652</v>
      </c>
      <c r="N845" s="49" t="s">
        <v>15653</v>
      </c>
      <c r="O845" s="49" t="s">
        <v>30295</v>
      </c>
      <c r="P845" s="49" t="s">
        <v>30299</v>
      </c>
      <c r="Q845" s="49" t="s">
        <v>30303</v>
      </c>
      <c r="R845" s="49" t="s">
        <v>30307</v>
      </c>
      <c r="S845" s="49" t="s">
        <v>30311</v>
      </c>
      <c r="T845" s="49" t="s">
        <v>30315</v>
      </c>
    </row>
    <row r="846" spans="1:21" x14ac:dyDescent="0.2">
      <c r="A846" s="49" t="s">
        <v>30</v>
      </c>
      <c r="D846" s="49" t="s">
        <v>15654</v>
      </c>
      <c r="G846" s="49" t="s">
        <v>15655</v>
      </c>
      <c r="H846" s="49" t="s">
        <v>30288</v>
      </c>
      <c r="I846" s="49" t="s">
        <v>30292</v>
      </c>
      <c r="J846" s="49" t="s">
        <v>30320</v>
      </c>
      <c r="K846" s="49" t="s">
        <v>30324</v>
      </c>
      <c r="L846" s="49" t="s">
        <v>15656</v>
      </c>
      <c r="M846" s="49" t="s">
        <v>15657</v>
      </c>
      <c r="N846" s="49" t="s">
        <v>15658</v>
      </c>
      <c r="O846" s="49" t="s">
        <v>30296</v>
      </c>
      <c r="P846" s="49" t="s">
        <v>30300</v>
      </c>
      <c r="Q846" s="49" t="s">
        <v>30304</v>
      </c>
      <c r="R846" s="49" t="s">
        <v>30308</v>
      </c>
      <c r="S846" s="49" t="s">
        <v>30312</v>
      </c>
      <c r="T846" s="49" t="s">
        <v>30316</v>
      </c>
    </row>
    <row r="847" spans="1:21" x14ac:dyDescent="0.2">
      <c r="A847" s="49" t="s">
        <v>30</v>
      </c>
      <c r="D847" s="49" t="s">
        <v>15659</v>
      </c>
      <c r="G847" s="49" t="s">
        <v>15660</v>
      </c>
      <c r="H847" s="49" t="s">
        <v>30289</v>
      </c>
      <c r="I847" s="49" t="s">
        <v>30293</v>
      </c>
      <c r="J847" s="49" t="s">
        <v>30321</v>
      </c>
      <c r="K847" s="49" t="s">
        <v>30325</v>
      </c>
      <c r="L847" s="49" t="s">
        <v>15661</v>
      </c>
      <c r="M847" s="49" t="s">
        <v>15662</v>
      </c>
      <c r="N847" s="49" t="s">
        <v>15663</v>
      </c>
      <c r="O847" s="49" t="s">
        <v>30297</v>
      </c>
      <c r="P847" s="49" t="s">
        <v>30301</v>
      </c>
      <c r="Q847" s="49" t="s">
        <v>30305</v>
      </c>
      <c r="R847" s="49" t="s">
        <v>30309</v>
      </c>
      <c r="S847" s="49" t="s">
        <v>30313</v>
      </c>
      <c r="T847" s="49" t="s">
        <v>30317</v>
      </c>
    </row>
    <row r="848" spans="1:21" x14ac:dyDescent="0.2">
      <c r="A848" s="49" t="s">
        <v>30</v>
      </c>
      <c r="D848" s="49" t="s">
        <v>7531</v>
      </c>
      <c r="G848" s="49" t="s">
        <v>15664</v>
      </c>
      <c r="H848" s="49" t="s">
        <v>7532</v>
      </c>
      <c r="I848" s="49" t="s">
        <v>7533</v>
      </c>
      <c r="J848" s="49" t="s">
        <v>7534</v>
      </c>
      <c r="K848" s="49" t="s">
        <v>7535</v>
      </c>
      <c r="L848" s="49" t="s">
        <v>7536</v>
      </c>
      <c r="M848" s="49" t="s">
        <v>7537</v>
      </c>
      <c r="N848" s="49" t="s">
        <v>7538</v>
      </c>
      <c r="O848" s="49" t="s">
        <v>7539</v>
      </c>
      <c r="P848" s="49" t="s">
        <v>7540</v>
      </c>
      <c r="Q848" s="49" t="s">
        <v>7541</v>
      </c>
      <c r="R848" s="49" t="s">
        <v>7542</v>
      </c>
      <c r="S848" s="49" t="s">
        <v>7543</v>
      </c>
      <c r="T848" s="49" t="s">
        <v>7544</v>
      </c>
    </row>
    <row r="849" spans="1:21" x14ac:dyDescent="0.2">
      <c r="A849" s="49" t="s">
        <v>30</v>
      </c>
    </row>
    <row r="850" spans="1:21" x14ac:dyDescent="0.2">
      <c r="A850" s="49" t="s">
        <v>30</v>
      </c>
      <c r="E850" s="49" t="s">
        <v>31</v>
      </c>
      <c r="F850" s="49" t="s">
        <v>31</v>
      </c>
      <c r="G850" s="49" t="s">
        <v>31</v>
      </c>
      <c r="J850" s="49" t="s">
        <v>31</v>
      </c>
      <c r="K850" s="49" t="s">
        <v>31</v>
      </c>
      <c r="L850" s="49" t="s">
        <v>31</v>
      </c>
      <c r="M850" s="49" t="s">
        <v>31</v>
      </c>
    </row>
    <row r="851" spans="1:21" x14ac:dyDescent="0.2">
      <c r="A851" s="49" t="s">
        <v>30</v>
      </c>
      <c r="D851" s="49" t="s">
        <v>11455</v>
      </c>
      <c r="E851" s="49" t="s">
        <v>15665</v>
      </c>
      <c r="F851" s="49" t="s">
        <v>11456</v>
      </c>
      <c r="H851" s="49" t="s">
        <v>11457</v>
      </c>
      <c r="O851" s="49" t="s">
        <v>15666</v>
      </c>
      <c r="P851" s="49" t="s">
        <v>15667</v>
      </c>
      <c r="Q851" s="49" t="s">
        <v>15668</v>
      </c>
      <c r="R851" s="49" t="s">
        <v>15669</v>
      </c>
      <c r="S851" s="49" t="s">
        <v>15670</v>
      </c>
      <c r="T851" s="49" t="s">
        <v>15671</v>
      </c>
      <c r="U851" s="49" t="s">
        <v>15672</v>
      </c>
    </row>
    <row r="852" spans="1:21" x14ac:dyDescent="0.2">
      <c r="A852" s="49" t="s">
        <v>30</v>
      </c>
      <c r="D852" s="49" t="s">
        <v>11458</v>
      </c>
      <c r="G852" s="49" t="s">
        <v>11459</v>
      </c>
      <c r="H852" s="49" t="s">
        <v>12100</v>
      </c>
      <c r="I852" s="49" t="s">
        <v>12102</v>
      </c>
      <c r="J852" s="49" t="s">
        <v>12116</v>
      </c>
      <c r="K852" s="49" t="s">
        <v>12118</v>
      </c>
      <c r="L852" s="49" t="s">
        <v>11460</v>
      </c>
      <c r="M852" s="49" t="s">
        <v>11461</v>
      </c>
      <c r="N852" s="49" t="s">
        <v>11462</v>
      </c>
      <c r="O852" s="49" t="s">
        <v>12104</v>
      </c>
      <c r="P852" s="49" t="s">
        <v>12106</v>
      </c>
      <c r="Q852" s="49" t="s">
        <v>12108</v>
      </c>
      <c r="R852" s="49" t="s">
        <v>12110</v>
      </c>
      <c r="S852" s="49" t="s">
        <v>12112</v>
      </c>
      <c r="T852" s="49" t="s">
        <v>12114</v>
      </c>
    </row>
    <row r="853" spans="1:21" x14ac:dyDescent="0.2">
      <c r="A853" s="49" t="s">
        <v>30</v>
      </c>
      <c r="D853" s="49" t="s">
        <v>11463</v>
      </c>
      <c r="G853" s="49" t="s">
        <v>15673</v>
      </c>
      <c r="H853" s="49" t="s">
        <v>12101</v>
      </c>
      <c r="I853" s="49" t="s">
        <v>12103</v>
      </c>
      <c r="J853" s="49" t="s">
        <v>12117</v>
      </c>
      <c r="K853" s="49" t="s">
        <v>12119</v>
      </c>
      <c r="L853" s="49" t="s">
        <v>11464</v>
      </c>
      <c r="M853" s="49" t="s">
        <v>11465</v>
      </c>
      <c r="N853" s="49" t="s">
        <v>11466</v>
      </c>
      <c r="O853" s="49" t="s">
        <v>12105</v>
      </c>
      <c r="P853" s="49" t="s">
        <v>12107</v>
      </c>
      <c r="Q853" s="49" t="s">
        <v>12109</v>
      </c>
      <c r="R853" s="49" t="s">
        <v>12111</v>
      </c>
      <c r="S853" s="49" t="s">
        <v>12113</v>
      </c>
      <c r="T853" s="49" t="s">
        <v>12115</v>
      </c>
    </row>
    <row r="854" spans="1:21" x14ac:dyDescent="0.2">
      <c r="A854" s="49" t="s">
        <v>30</v>
      </c>
      <c r="D854" s="49" t="s">
        <v>7546</v>
      </c>
      <c r="G854" s="49" t="s">
        <v>15674</v>
      </c>
      <c r="H854" s="49" t="s">
        <v>7547</v>
      </c>
      <c r="I854" s="49" t="s">
        <v>7548</v>
      </c>
      <c r="J854" s="49" t="s">
        <v>7549</v>
      </c>
      <c r="K854" s="49" t="s">
        <v>7550</v>
      </c>
      <c r="L854" s="49" t="s">
        <v>7551</v>
      </c>
      <c r="M854" s="49" t="s">
        <v>7552</v>
      </c>
      <c r="N854" s="49" t="s">
        <v>7553</v>
      </c>
      <c r="O854" s="49" t="s">
        <v>7554</v>
      </c>
      <c r="P854" s="49" t="s">
        <v>7555</v>
      </c>
      <c r="Q854" s="49" t="s">
        <v>7556</v>
      </c>
      <c r="R854" s="49" t="s">
        <v>7557</v>
      </c>
      <c r="S854" s="49" t="s">
        <v>7558</v>
      </c>
      <c r="T854" s="49" t="s">
        <v>7559</v>
      </c>
    </row>
    <row r="855" spans="1:21" x14ac:dyDescent="0.2">
      <c r="A855" s="49" t="s">
        <v>30</v>
      </c>
      <c r="D855" s="49" t="s">
        <v>7560</v>
      </c>
      <c r="G855" s="49" t="s">
        <v>15675</v>
      </c>
      <c r="H855" s="49" t="s">
        <v>7561</v>
      </c>
      <c r="I855" s="49" t="s">
        <v>7562</v>
      </c>
      <c r="J855" s="49" t="s">
        <v>7563</v>
      </c>
      <c r="K855" s="49" t="s">
        <v>7564</v>
      </c>
      <c r="L855" s="49" t="s">
        <v>7565</v>
      </c>
      <c r="M855" s="49" t="s">
        <v>7566</v>
      </c>
      <c r="N855" s="49" t="s">
        <v>7567</v>
      </c>
      <c r="O855" s="49" t="s">
        <v>7568</v>
      </c>
      <c r="P855" s="49" t="s">
        <v>7569</v>
      </c>
      <c r="Q855" s="49" t="s">
        <v>7570</v>
      </c>
      <c r="R855" s="49" t="s">
        <v>7571</v>
      </c>
      <c r="S855" s="49" t="s">
        <v>7572</v>
      </c>
      <c r="T855" s="49" t="s">
        <v>7573</v>
      </c>
    </row>
    <row r="856" spans="1:21" x14ac:dyDescent="0.2">
      <c r="A856" s="49" t="s">
        <v>30</v>
      </c>
    </row>
    <row r="857" spans="1:21" x14ac:dyDescent="0.2">
      <c r="A857" s="49" t="s">
        <v>30</v>
      </c>
      <c r="E857" s="49" t="s">
        <v>31</v>
      </c>
      <c r="F857" s="49" t="s">
        <v>31</v>
      </c>
      <c r="G857" s="49" t="s">
        <v>31</v>
      </c>
      <c r="J857" s="49" t="s">
        <v>31</v>
      </c>
      <c r="K857" s="49" t="s">
        <v>31</v>
      </c>
      <c r="L857" s="49" t="s">
        <v>31</v>
      </c>
      <c r="M857" s="49" t="s">
        <v>31</v>
      </c>
    </row>
    <row r="858" spans="1:21" x14ac:dyDescent="0.2">
      <c r="A858" s="49" t="s">
        <v>30</v>
      </c>
      <c r="D858" s="49" t="s">
        <v>15676</v>
      </c>
      <c r="E858" s="49" t="s">
        <v>5331</v>
      </c>
      <c r="F858" s="49" t="s">
        <v>15677</v>
      </c>
      <c r="H858" s="49" t="s">
        <v>15678</v>
      </c>
      <c r="O858" s="49" t="s">
        <v>15679</v>
      </c>
      <c r="P858" s="49" t="s">
        <v>15680</v>
      </c>
      <c r="Q858" s="49" t="s">
        <v>15681</v>
      </c>
      <c r="R858" s="49" t="s">
        <v>15682</v>
      </c>
      <c r="S858" s="49" t="s">
        <v>15683</v>
      </c>
      <c r="T858" s="49" t="s">
        <v>15684</v>
      </c>
      <c r="U858" s="49" t="s">
        <v>15685</v>
      </c>
    </row>
    <row r="859" spans="1:21" x14ac:dyDescent="0.2">
      <c r="A859" s="49" t="s">
        <v>30</v>
      </c>
      <c r="D859" s="49" t="s">
        <v>15686</v>
      </c>
      <c r="G859" s="49" t="s">
        <v>15687</v>
      </c>
      <c r="H859" s="49" t="s">
        <v>30226</v>
      </c>
      <c r="I859" s="49" t="s">
        <v>30232</v>
      </c>
      <c r="J859" s="49" t="s">
        <v>30274</v>
      </c>
      <c r="K859" s="49" t="s">
        <v>30280</v>
      </c>
      <c r="L859" s="49" t="s">
        <v>15688</v>
      </c>
      <c r="M859" s="49" t="s">
        <v>15689</v>
      </c>
      <c r="N859" s="49" t="s">
        <v>15690</v>
      </c>
      <c r="O859" s="49" t="s">
        <v>30238</v>
      </c>
      <c r="P859" s="49" t="s">
        <v>30244</v>
      </c>
      <c r="Q859" s="49" t="s">
        <v>30250</v>
      </c>
      <c r="R859" s="49" t="s">
        <v>30256</v>
      </c>
      <c r="S859" s="49" t="s">
        <v>30262</v>
      </c>
      <c r="T859" s="49" t="s">
        <v>30268</v>
      </c>
    </row>
    <row r="860" spans="1:21" x14ac:dyDescent="0.2">
      <c r="A860" s="49" t="s">
        <v>30</v>
      </c>
      <c r="D860" s="49" t="s">
        <v>15691</v>
      </c>
      <c r="G860" s="49" t="s">
        <v>15692</v>
      </c>
      <c r="H860" s="49" t="s">
        <v>30227</v>
      </c>
      <c r="I860" s="49" t="s">
        <v>30233</v>
      </c>
      <c r="J860" s="49" t="s">
        <v>30275</v>
      </c>
      <c r="K860" s="49" t="s">
        <v>30281</v>
      </c>
      <c r="L860" s="49" t="s">
        <v>15693</v>
      </c>
      <c r="M860" s="49" t="s">
        <v>15694</v>
      </c>
      <c r="N860" s="49" t="s">
        <v>15695</v>
      </c>
      <c r="O860" s="49" t="s">
        <v>30239</v>
      </c>
      <c r="P860" s="49" t="s">
        <v>30245</v>
      </c>
      <c r="Q860" s="49" t="s">
        <v>30251</v>
      </c>
      <c r="R860" s="49" t="s">
        <v>30257</v>
      </c>
      <c r="S860" s="49" t="s">
        <v>30263</v>
      </c>
      <c r="T860" s="49" t="s">
        <v>30269</v>
      </c>
    </row>
    <row r="861" spans="1:21" x14ac:dyDescent="0.2">
      <c r="A861" s="49" t="s">
        <v>30</v>
      </c>
      <c r="D861" s="49" t="s">
        <v>15696</v>
      </c>
      <c r="G861" s="49" t="s">
        <v>15697</v>
      </c>
      <c r="H861" s="49" t="s">
        <v>30228</v>
      </c>
      <c r="I861" s="49" t="s">
        <v>30234</v>
      </c>
      <c r="J861" s="49" t="s">
        <v>30276</v>
      </c>
      <c r="K861" s="49" t="s">
        <v>30282</v>
      </c>
      <c r="L861" s="49" t="s">
        <v>15698</v>
      </c>
      <c r="M861" s="49" t="s">
        <v>15699</v>
      </c>
      <c r="N861" s="49" t="s">
        <v>15700</v>
      </c>
      <c r="O861" s="49" t="s">
        <v>30240</v>
      </c>
      <c r="P861" s="49" t="s">
        <v>30246</v>
      </c>
      <c r="Q861" s="49" t="s">
        <v>30252</v>
      </c>
      <c r="R861" s="49" t="s">
        <v>30258</v>
      </c>
      <c r="S861" s="49" t="s">
        <v>30264</v>
      </c>
      <c r="T861" s="49" t="s">
        <v>30270</v>
      </c>
    </row>
    <row r="862" spans="1:21" x14ac:dyDescent="0.2">
      <c r="A862" s="49" t="s">
        <v>30</v>
      </c>
      <c r="D862" s="49" t="s">
        <v>7575</v>
      </c>
      <c r="G862" s="49" t="s">
        <v>15701</v>
      </c>
      <c r="H862" s="49" t="s">
        <v>7576</v>
      </c>
      <c r="I862" s="49" t="s">
        <v>7577</v>
      </c>
      <c r="J862" s="49" t="s">
        <v>7578</v>
      </c>
      <c r="K862" s="49" t="s">
        <v>7579</v>
      </c>
      <c r="L862" s="49" t="s">
        <v>7580</v>
      </c>
      <c r="M862" s="49" t="s">
        <v>7581</v>
      </c>
      <c r="N862" s="49" t="s">
        <v>7582</v>
      </c>
      <c r="O862" s="49" t="s">
        <v>7583</v>
      </c>
      <c r="P862" s="49" t="s">
        <v>7584</v>
      </c>
      <c r="Q862" s="49" t="s">
        <v>7585</v>
      </c>
      <c r="R862" s="49" t="s">
        <v>7586</v>
      </c>
      <c r="S862" s="49" t="s">
        <v>7587</v>
      </c>
      <c r="T862" s="49" t="s">
        <v>7588</v>
      </c>
    </row>
    <row r="863" spans="1:21" x14ac:dyDescent="0.2">
      <c r="A863" s="49" t="s">
        <v>30</v>
      </c>
      <c r="D863" s="49" t="s">
        <v>7589</v>
      </c>
      <c r="G863" s="49" t="s">
        <v>15702</v>
      </c>
      <c r="H863" s="49" t="s">
        <v>7590</v>
      </c>
      <c r="I863" s="49" t="s">
        <v>7591</v>
      </c>
      <c r="J863" s="49" t="s">
        <v>7592</v>
      </c>
      <c r="K863" s="49" t="s">
        <v>7593</v>
      </c>
      <c r="L863" s="49" t="s">
        <v>7594</v>
      </c>
      <c r="M863" s="49" t="s">
        <v>7595</v>
      </c>
      <c r="N863" s="49" t="s">
        <v>7596</v>
      </c>
      <c r="O863" s="49" t="s">
        <v>7597</v>
      </c>
      <c r="P863" s="49" t="s">
        <v>7598</v>
      </c>
      <c r="Q863" s="49" t="s">
        <v>7599</v>
      </c>
      <c r="R863" s="49" t="s">
        <v>7600</v>
      </c>
      <c r="S863" s="49" t="s">
        <v>7601</v>
      </c>
      <c r="T863" s="49" t="s">
        <v>7602</v>
      </c>
    </row>
    <row r="864" spans="1:21" x14ac:dyDescent="0.2">
      <c r="A864" s="49" t="s">
        <v>30</v>
      </c>
      <c r="D864" s="49" t="s">
        <v>7603</v>
      </c>
      <c r="G864" s="49" t="s">
        <v>15703</v>
      </c>
      <c r="H864" s="49" t="s">
        <v>7604</v>
      </c>
      <c r="I864" s="49" t="s">
        <v>7605</v>
      </c>
      <c r="J864" s="49" t="s">
        <v>7606</v>
      </c>
      <c r="K864" s="49" t="s">
        <v>7607</v>
      </c>
      <c r="L864" s="49" t="s">
        <v>7608</v>
      </c>
      <c r="M864" s="49" t="s">
        <v>7609</v>
      </c>
      <c r="N864" s="49" t="s">
        <v>7610</v>
      </c>
      <c r="O864" s="49" t="s">
        <v>7611</v>
      </c>
      <c r="P864" s="49" t="s">
        <v>7612</v>
      </c>
      <c r="Q864" s="49" t="s">
        <v>7613</v>
      </c>
      <c r="R864" s="49" t="s">
        <v>7614</v>
      </c>
      <c r="S864" s="49" t="s">
        <v>7615</v>
      </c>
      <c r="T864" s="49" t="s">
        <v>7616</v>
      </c>
    </row>
    <row r="865" spans="1:20" x14ac:dyDescent="0.2">
      <c r="A865" s="49" t="s">
        <v>30</v>
      </c>
      <c r="D865" s="49" t="s">
        <v>11467</v>
      </c>
      <c r="G865" s="49" t="s">
        <v>15704</v>
      </c>
      <c r="H865" s="49" t="s">
        <v>12070</v>
      </c>
      <c r="I865" s="49" t="s">
        <v>12073</v>
      </c>
      <c r="J865" s="49" t="s">
        <v>12094</v>
      </c>
      <c r="K865" s="49" t="s">
        <v>12097</v>
      </c>
      <c r="L865" s="49" t="s">
        <v>11468</v>
      </c>
      <c r="M865" s="49" t="s">
        <v>11469</v>
      </c>
      <c r="N865" s="49" t="s">
        <v>11470</v>
      </c>
      <c r="O865" s="49" t="s">
        <v>12076</v>
      </c>
      <c r="P865" s="49" t="s">
        <v>12079</v>
      </c>
      <c r="Q865" s="49" t="s">
        <v>12082</v>
      </c>
      <c r="R865" s="49" t="s">
        <v>12085</v>
      </c>
      <c r="S865" s="49" t="s">
        <v>12088</v>
      </c>
      <c r="T865" s="49" t="s">
        <v>12091</v>
      </c>
    </row>
    <row r="866" spans="1:20" x14ac:dyDescent="0.2">
      <c r="A866" s="49" t="s">
        <v>30</v>
      </c>
      <c r="D866" s="49" t="s">
        <v>11471</v>
      </c>
      <c r="G866" s="49" t="s">
        <v>15705</v>
      </c>
      <c r="H866" s="49" t="s">
        <v>12071</v>
      </c>
      <c r="I866" s="49" t="s">
        <v>12074</v>
      </c>
      <c r="J866" s="49" t="s">
        <v>12095</v>
      </c>
      <c r="K866" s="49" t="s">
        <v>12098</v>
      </c>
      <c r="L866" s="49" t="s">
        <v>11472</v>
      </c>
      <c r="M866" s="49" t="s">
        <v>11473</v>
      </c>
      <c r="N866" s="49" t="s">
        <v>11474</v>
      </c>
      <c r="O866" s="49" t="s">
        <v>12077</v>
      </c>
      <c r="P866" s="49" t="s">
        <v>12080</v>
      </c>
      <c r="Q866" s="49" t="s">
        <v>12083</v>
      </c>
      <c r="R866" s="49" t="s">
        <v>12086</v>
      </c>
      <c r="S866" s="49" t="s">
        <v>12089</v>
      </c>
      <c r="T866" s="49" t="s">
        <v>12092</v>
      </c>
    </row>
    <row r="867" spans="1:20" x14ac:dyDescent="0.2">
      <c r="A867" s="49" t="s">
        <v>30</v>
      </c>
      <c r="D867" s="49" t="s">
        <v>11475</v>
      </c>
      <c r="G867" s="49" t="s">
        <v>15706</v>
      </c>
      <c r="H867" s="49" t="s">
        <v>12072</v>
      </c>
      <c r="I867" s="49" t="s">
        <v>12075</v>
      </c>
      <c r="J867" s="49" t="s">
        <v>12096</v>
      </c>
      <c r="K867" s="49" t="s">
        <v>12099</v>
      </c>
      <c r="L867" s="49" t="s">
        <v>11476</v>
      </c>
      <c r="M867" s="49" t="s">
        <v>11477</v>
      </c>
      <c r="N867" s="49" t="s">
        <v>11478</v>
      </c>
      <c r="O867" s="49" t="s">
        <v>12078</v>
      </c>
      <c r="P867" s="49" t="s">
        <v>12081</v>
      </c>
      <c r="Q867" s="49" t="s">
        <v>12084</v>
      </c>
      <c r="R867" s="49" t="s">
        <v>12087</v>
      </c>
      <c r="S867" s="49" t="s">
        <v>12090</v>
      </c>
      <c r="T867" s="49" t="s">
        <v>12093</v>
      </c>
    </row>
    <row r="868" spans="1:20" x14ac:dyDescent="0.2">
      <c r="A868" s="49" t="s">
        <v>30</v>
      </c>
      <c r="D868" s="49" t="s">
        <v>7618</v>
      </c>
      <c r="G868" s="49" t="s">
        <v>15707</v>
      </c>
      <c r="H868" s="49" t="s">
        <v>7619</v>
      </c>
      <c r="I868" s="49" t="s">
        <v>7620</v>
      </c>
      <c r="J868" s="49" t="s">
        <v>7621</v>
      </c>
      <c r="K868" s="49" t="s">
        <v>7622</v>
      </c>
      <c r="L868" s="49" t="s">
        <v>7623</v>
      </c>
      <c r="M868" s="49" t="s">
        <v>7624</v>
      </c>
      <c r="N868" s="49" t="s">
        <v>7625</v>
      </c>
      <c r="O868" s="49" t="s">
        <v>7626</v>
      </c>
      <c r="P868" s="49" t="s">
        <v>7627</v>
      </c>
      <c r="Q868" s="49" t="s">
        <v>7628</v>
      </c>
      <c r="R868" s="49" t="s">
        <v>7629</v>
      </c>
      <c r="S868" s="49" t="s">
        <v>7630</v>
      </c>
      <c r="T868" s="49" t="s">
        <v>7631</v>
      </c>
    </row>
    <row r="869" spans="1:20" x14ac:dyDescent="0.2">
      <c r="A869" s="49" t="s">
        <v>30</v>
      </c>
      <c r="D869" s="49" t="s">
        <v>15708</v>
      </c>
      <c r="G869" s="49" t="s">
        <v>15709</v>
      </c>
      <c r="H869" s="49" t="s">
        <v>30229</v>
      </c>
      <c r="I869" s="49" t="s">
        <v>30235</v>
      </c>
      <c r="J869" s="49" t="s">
        <v>30277</v>
      </c>
      <c r="K869" s="49" t="s">
        <v>30283</v>
      </c>
      <c r="L869" s="49" t="s">
        <v>15710</v>
      </c>
      <c r="M869" s="49" t="s">
        <v>15711</v>
      </c>
      <c r="N869" s="49" t="s">
        <v>15712</v>
      </c>
      <c r="O869" s="49" t="s">
        <v>30241</v>
      </c>
      <c r="P869" s="49" t="s">
        <v>30247</v>
      </c>
      <c r="Q869" s="49" t="s">
        <v>30253</v>
      </c>
      <c r="R869" s="49" t="s">
        <v>30259</v>
      </c>
      <c r="S869" s="49" t="s">
        <v>30265</v>
      </c>
      <c r="T869" s="49" t="s">
        <v>30271</v>
      </c>
    </row>
    <row r="870" spans="1:20" x14ac:dyDescent="0.2">
      <c r="A870" s="49" t="s">
        <v>30</v>
      </c>
      <c r="D870" s="49" t="s">
        <v>15713</v>
      </c>
      <c r="G870" s="49" t="s">
        <v>15714</v>
      </c>
      <c r="H870" s="49" t="s">
        <v>30230</v>
      </c>
      <c r="I870" s="49" t="s">
        <v>30236</v>
      </c>
      <c r="J870" s="49" t="s">
        <v>30278</v>
      </c>
      <c r="K870" s="49" t="s">
        <v>30284</v>
      </c>
      <c r="L870" s="49" t="s">
        <v>15715</v>
      </c>
      <c r="M870" s="49" t="s">
        <v>15716</v>
      </c>
      <c r="N870" s="49" t="s">
        <v>15717</v>
      </c>
      <c r="O870" s="49" t="s">
        <v>30242</v>
      </c>
      <c r="P870" s="49" t="s">
        <v>30248</v>
      </c>
      <c r="Q870" s="49" t="s">
        <v>30254</v>
      </c>
      <c r="R870" s="49" t="s">
        <v>30260</v>
      </c>
      <c r="S870" s="49" t="s">
        <v>30266</v>
      </c>
      <c r="T870" s="49" t="s">
        <v>30272</v>
      </c>
    </row>
    <row r="871" spans="1:20" x14ac:dyDescent="0.2">
      <c r="A871" s="49" t="s">
        <v>30</v>
      </c>
      <c r="D871" s="49" t="s">
        <v>15718</v>
      </c>
      <c r="G871" s="49" t="s">
        <v>15719</v>
      </c>
      <c r="H871" s="49" t="s">
        <v>30231</v>
      </c>
      <c r="I871" s="49" t="s">
        <v>30237</v>
      </c>
      <c r="J871" s="49" t="s">
        <v>30279</v>
      </c>
      <c r="K871" s="49" t="s">
        <v>30285</v>
      </c>
      <c r="L871" s="49" t="s">
        <v>15720</v>
      </c>
      <c r="M871" s="49" t="s">
        <v>15721</v>
      </c>
      <c r="N871" s="49" t="s">
        <v>15722</v>
      </c>
      <c r="O871" s="49" t="s">
        <v>30243</v>
      </c>
      <c r="P871" s="49" t="s">
        <v>30249</v>
      </c>
      <c r="Q871" s="49" t="s">
        <v>30255</v>
      </c>
      <c r="R871" s="49" t="s">
        <v>30261</v>
      </c>
      <c r="S871" s="49" t="s">
        <v>30267</v>
      </c>
      <c r="T871" s="49" t="s">
        <v>30273</v>
      </c>
    </row>
    <row r="872" spans="1:20" x14ac:dyDescent="0.2">
      <c r="A872" s="49" t="s">
        <v>30</v>
      </c>
      <c r="D872" s="49" t="s">
        <v>11482</v>
      </c>
      <c r="G872" s="49" t="s">
        <v>15723</v>
      </c>
      <c r="H872" s="49" t="s">
        <v>12060</v>
      </c>
      <c r="I872" s="49" t="s">
        <v>12061</v>
      </c>
      <c r="J872" s="49" t="s">
        <v>12068</v>
      </c>
      <c r="K872" s="49" t="s">
        <v>12069</v>
      </c>
      <c r="L872" s="49" t="s">
        <v>11483</v>
      </c>
      <c r="M872" s="49" t="s">
        <v>11484</v>
      </c>
      <c r="N872" s="49" t="s">
        <v>11485</v>
      </c>
      <c r="O872" s="49" t="s">
        <v>12062</v>
      </c>
      <c r="P872" s="49" t="s">
        <v>12063</v>
      </c>
      <c r="Q872" s="49" t="s">
        <v>12064</v>
      </c>
      <c r="R872" s="49" t="s">
        <v>12065</v>
      </c>
      <c r="S872" s="49" t="s">
        <v>12066</v>
      </c>
      <c r="T872" s="49" t="s">
        <v>12067</v>
      </c>
    </row>
    <row r="873" spans="1:20" x14ac:dyDescent="0.2">
      <c r="A873" s="49" t="s">
        <v>30</v>
      </c>
      <c r="D873" s="49" t="s">
        <v>7633</v>
      </c>
      <c r="G873" s="49" t="s">
        <v>15724</v>
      </c>
      <c r="H873" s="49" t="s">
        <v>7634</v>
      </c>
      <c r="I873" s="49" t="s">
        <v>7635</v>
      </c>
      <c r="J873" s="49" t="s">
        <v>7636</v>
      </c>
      <c r="K873" s="49" t="s">
        <v>7637</v>
      </c>
      <c r="L873" s="49" t="s">
        <v>7638</v>
      </c>
      <c r="M873" s="49" t="s">
        <v>7639</v>
      </c>
      <c r="N873" s="49" t="s">
        <v>7640</v>
      </c>
      <c r="O873" s="49" t="s">
        <v>7641</v>
      </c>
      <c r="P873" s="49" t="s">
        <v>7642</v>
      </c>
      <c r="Q873" s="49" t="s">
        <v>7643</v>
      </c>
      <c r="R873" s="49" t="s">
        <v>7644</v>
      </c>
      <c r="S873" s="49" t="s">
        <v>7645</v>
      </c>
      <c r="T873" s="49" t="s">
        <v>7646</v>
      </c>
    </row>
    <row r="874" spans="1:20" x14ac:dyDescent="0.2">
      <c r="A874" s="49" t="s">
        <v>30</v>
      </c>
      <c r="D874" s="49" t="s">
        <v>7647</v>
      </c>
      <c r="G874" s="49" t="s">
        <v>15725</v>
      </c>
      <c r="H874" s="49" t="s">
        <v>7648</v>
      </c>
      <c r="I874" s="49" t="s">
        <v>7649</v>
      </c>
      <c r="J874" s="49" t="s">
        <v>7650</v>
      </c>
      <c r="K874" s="49" t="s">
        <v>7651</v>
      </c>
      <c r="L874" s="49" t="s">
        <v>7652</v>
      </c>
      <c r="M874" s="49" t="s">
        <v>7653</v>
      </c>
      <c r="N874" s="49" t="s">
        <v>7654</v>
      </c>
      <c r="O874" s="49" t="s">
        <v>7655</v>
      </c>
      <c r="P874" s="49" t="s">
        <v>7656</v>
      </c>
      <c r="Q874" s="49" t="s">
        <v>7657</v>
      </c>
      <c r="R874" s="49" t="s">
        <v>7658</v>
      </c>
      <c r="S874" s="49" t="s">
        <v>7659</v>
      </c>
      <c r="T874" s="49" t="s">
        <v>7660</v>
      </c>
    </row>
    <row r="875" spans="1:20" x14ac:dyDescent="0.2">
      <c r="A875" s="49" t="s">
        <v>30</v>
      </c>
      <c r="D875" s="49" t="s">
        <v>7661</v>
      </c>
      <c r="G875" s="49" t="s">
        <v>15726</v>
      </c>
      <c r="H875" s="49" t="s">
        <v>7662</v>
      </c>
      <c r="I875" s="49" t="s">
        <v>7663</v>
      </c>
      <c r="J875" s="49" t="s">
        <v>7664</v>
      </c>
      <c r="K875" s="49" t="s">
        <v>7665</v>
      </c>
      <c r="L875" s="49" t="s">
        <v>7666</v>
      </c>
      <c r="M875" s="49" t="s">
        <v>7667</v>
      </c>
      <c r="N875" s="49" t="s">
        <v>7668</v>
      </c>
      <c r="O875" s="49" t="s">
        <v>7669</v>
      </c>
      <c r="P875" s="49" t="s">
        <v>7670</v>
      </c>
      <c r="Q875" s="49" t="s">
        <v>7671</v>
      </c>
      <c r="R875" s="49" t="s">
        <v>7672</v>
      </c>
      <c r="S875" s="49" t="s">
        <v>7673</v>
      </c>
      <c r="T875" s="49" t="s">
        <v>7674</v>
      </c>
    </row>
    <row r="876" spans="1:20" x14ac:dyDescent="0.2">
      <c r="A876" s="49" t="s">
        <v>30</v>
      </c>
      <c r="D876" s="49" t="s">
        <v>7675</v>
      </c>
      <c r="G876" s="49" t="s">
        <v>15727</v>
      </c>
      <c r="H876" s="49" t="s">
        <v>7676</v>
      </c>
      <c r="I876" s="49" t="s">
        <v>7677</v>
      </c>
      <c r="J876" s="49" t="s">
        <v>7678</v>
      </c>
      <c r="K876" s="49" t="s">
        <v>7679</v>
      </c>
      <c r="L876" s="49" t="s">
        <v>7680</v>
      </c>
      <c r="M876" s="49" t="s">
        <v>7681</v>
      </c>
      <c r="N876" s="49" t="s">
        <v>7682</v>
      </c>
      <c r="O876" s="49" t="s">
        <v>7683</v>
      </c>
      <c r="P876" s="49" t="s">
        <v>7684</v>
      </c>
      <c r="Q876" s="49" t="s">
        <v>7685</v>
      </c>
      <c r="R876" s="49" t="s">
        <v>7686</v>
      </c>
      <c r="S876" s="49" t="s">
        <v>7687</v>
      </c>
      <c r="T876" s="49" t="s">
        <v>7688</v>
      </c>
    </row>
    <row r="877" spans="1:20" x14ac:dyDescent="0.2">
      <c r="A877" s="49" t="s">
        <v>30</v>
      </c>
      <c r="D877" s="49" t="s">
        <v>7689</v>
      </c>
      <c r="G877" s="49" t="s">
        <v>15728</v>
      </c>
      <c r="H877" s="49" t="s">
        <v>7690</v>
      </c>
      <c r="I877" s="49" t="s">
        <v>7691</v>
      </c>
      <c r="J877" s="49" t="s">
        <v>7692</v>
      </c>
      <c r="K877" s="49" t="s">
        <v>7693</v>
      </c>
      <c r="L877" s="49" t="s">
        <v>7694</v>
      </c>
      <c r="M877" s="49" t="s">
        <v>7695</v>
      </c>
      <c r="N877" s="49" t="s">
        <v>7696</v>
      </c>
      <c r="O877" s="49" t="s">
        <v>7697</v>
      </c>
      <c r="P877" s="49" t="s">
        <v>7698</v>
      </c>
      <c r="Q877" s="49" t="s">
        <v>7699</v>
      </c>
      <c r="R877" s="49" t="s">
        <v>7700</v>
      </c>
      <c r="S877" s="49" t="s">
        <v>7701</v>
      </c>
      <c r="T877" s="49" t="s">
        <v>7702</v>
      </c>
    </row>
    <row r="878" spans="1:20" x14ac:dyDescent="0.2">
      <c r="A878" s="49" t="s">
        <v>30</v>
      </c>
      <c r="D878" s="49" t="s">
        <v>7703</v>
      </c>
      <c r="G878" s="49" t="s">
        <v>15729</v>
      </c>
      <c r="H878" s="49" t="s">
        <v>7704</v>
      </c>
      <c r="I878" s="49" t="s">
        <v>7705</v>
      </c>
      <c r="J878" s="49" t="s">
        <v>7706</v>
      </c>
      <c r="K878" s="49" t="s">
        <v>7707</v>
      </c>
      <c r="L878" s="49" t="s">
        <v>7708</v>
      </c>
      <c r="M878" s="49" t="s">
        <v>7709</v>
      </c>
      <c r="N878" s="49" t="s">
        <v>7710</v>
      </c>
      <c r="O878" s="49" t="s">
        <v>7711</v>
      </c>
      <c r="P878" s="49" t="s">
        <v>7712</v>
      </c>
      <c r="Q878" s="49" t="s">
        <v>7713</v>
      </c>
      <c r="R878" s="49" t="s">
        <v>7714</v>
      </c>
      <c r="S878" s="49" t="s">
        <v>7715</v>
      </c>
      <c r="T878" s="49" t="s">
        <v>7716</v>
      </c>
    </row>
    <row r="879" spans="1:20" x14ac:dyDescent="0.2">
      <c r="A879" s="49" t="s">
        <v>30</v>
      </c>
      <c r="D879" s="49" t="s">
        <v>7717</v>
      </c>
      <c r="G879" s="49" t="s">
        <v>15730</v>
      </c>
      <c r="H879" s="49" t="s">
        <v>7718</v>
      </c>
      <c r="I879" s="49" t="s">
        <v>7719</v>
      </c>
      <c r="J879" s="49" t="s">
        <v>7720</v>
      </c>
      <c r="K879" s="49" t="s">
        <v>7721</v>
      </c>
      <c r="L879" s="49" t="s">
        <v>7722</v>
      </c>
      <c r="M879" s="49" t="s">
        <v>7723</v>
      </c>
      <c r="N879" s="49" t="s">
        <v>7724</v>
      </c>
      <c r="O879" s="49" t="s">
        <v>7725</v>
      </c>
      <c r="P879" s="49" t="s">
        <v>7726</v>
      </c>
      <c r="Q879" s="49" t="s">
        <v>7727</v>
      </c>
      <c r="R879" s="49" t="s">
        <v>7728</v>
      </c>
      <c r="S879" s="49" t="s">
        <v>7729</v>
      </c>
      <c r="T879" s="49" t="s">
        <v>7730</v>
      </c>
    </row>
    <row r="880" spans="1:20" x14ac:dyDescent="0.2">
      <c r="A880" s="49" t="s">
        <v>30</v>
      </c>
      <c r="D880" s="49" t="s">
        <v>7731</v>
      </c>
      <c r="G880" s="49" t="s">
        <v>15731</v>
      </c>
      <c r="H880" s="49" t="s">
        <v>7732</v>
      </c>
      <c r="I880" s="49" t="s">
        <v>7733</v>
      </c>
      <c r="J880" s="49" t="s">
        <v>7734</v>
      </c>
      <c r="K880" s="49" t="s">
        <v>7735</v>
      </c>
      <c r="L880" s="49" t="s">
        <v>7736</v>
      </c>
      <c r="M880" s="49" t="s">
        <v>7737</v>
      </c>
      <c r="N880" s="49" t="s">
        <v>7738</v>
      </c>
      <c r="O880" s="49" t="s">
        <v>7739</v>
      </c>
      <c r="P880" s="49" t="s">
        <v>7740</v>
      </c>
      <c r="Q880" s="49" t="s">
        <v>7741</v>
      </c>
      <c r="R880" s="49" t="s">
        <v>7742</v>
      </c>
      <c r="S880" s="49" t="s">
        <v>7743</v>
      </c>
      <c r="T880" s="49" t="s">
        <v>7744</v>
      </c>
    </row>
    <row r="881" spans="1:21" x14ac:dyDescent="0.2">
      <c r="A881" s="49" t="s">
        <v>30</v>
      </c>
    </row>
    <row r="882" spans="1:21" x14ac:dyDescent="0.2">
      <c r="A882" s="49" t="s">
        <v>30</v>
      </c>
      <c r="E882" s="49" t="s">
        <v>31</v>
      </c>
      <c r="F882" s="49" t="s">
        <v>31</v>
      </c>
      <c r="G882" s="49" t="s">
        <v>31</v>
      </c>
      <c r="J882" s="49" t="s">
        <v>31</v>
      </c>
      <c r="K882" s="49" t="s">
        <v>31</v>
      </c>
      <c r="L882" s="49" t="s">
        <v>31</v>
      </c>
      <c r="M882" s="49" t="s">
        <v>31</v>
      </c>
    </row>
    <row r="883" spans="1:21" x14ac:dyDescent="0.2">
      <c r="A883" s="49" t="s">
        <v>30</v>
      </c>
      <c r="D883" s="49" t="s">
        <v>15732</v>
      </c>
      <c r="E883" s="49" t="s">
        <v>5416</v>
      </c>
      <c r="F883" s="49" t="s">
        <v>15733</v>
      </c>
      <c r="H883" s="49" t="s">
        <v>15734</v>
      </c>
      <c r="O883" s="49" t="s">
        <v>15735</v>
      </c>
      <c r="P883" s="49" t="s">
        <v>15736</v>
      </c>
      <c r="Q883" s="49" t="s">
        <v>15737</v>
      </c>
      <c r="R883" s="49" t="s">
        <v>15738</v>
      </c>
      <c r="S883" s="49" t="s">
        <v>15739</v>
      </c>
      <c r="T883" s="49" t="s">
        <v>15740</v>
      </c>
      <c r="U883" s="49" t="s">
        <v>15741</v>
      </c>
    </row>
    <row r="884" spans="1:21" x14ac:dyDescent="0.2">
      <c r="A884" s="49" t="s">
        <v>30</v>
      </c>
      <c r="D884" s="49" t="s">
        <v>15742</v>
      </c>
      <c r="G884" s="49" t="s">
        <v>15743</v>
      </c>
      <c r="H884" s="49" t="s">
        <v>30206</v>
      </c>
      <c r="I884" s="49" t="s">
        <v>30208</v>
      </c>
      <c r="J884" s="49" t="s">
        <v>30222</v>
      </c>
      <c r="K884" s="49" t="s">
        <v>30224</v>
      </c>
      <c r="L884" s="49" t="s">
        <v>15744</v>
      </c>
      <c r="M884" s="49" t="s">
        <v>15745</v>
      </c>
      <c r="N884" s="49" t="s">
        <v>15746</v>
      </c>
      <c r="O884" s="49" t="s">
        <v>30210</v>
      </c>
      <c r="P884" s="49" t="s">
        <v>30212</v>
      </c>
      <c r="Q884" s="49" t="s">
        <v>30214</v>
      </c>
      <c r="R884" s="49" t="s">
        <v>30216</v>
      </c>
      <c r="S884" s="49" t="s">
        <v>30218</v>
      </c>
      <c r="T884" s="49" t="s">
        <v>30220</v>
      </c>
    </row>
    <row r="885" spans="1:21" x14ac:dyDescent="0.2">
      <c r="A885" s="49" t="s">
        <v>30</v>
      </c>
      <c r="D885" s="49" t="s">
        <v>7746</v>
      </c>
      <c r="G885" s="49" t="s">
        <v>15747</v>
      </c>
      <c r="H885" s="49" t="s">
        <v>7747</v>
      </c>
      <c r="I885" s="49" t="s">
        <v>7748</v>
      </c>
      <c r="J885" s="49" t="s">
        <v>7749</v>
      </c>
      <c r="K885" s="49" t="s">
        <v>7750</v>
      </c>
      <c r="L885" s="49" t="s">
        <v>7751</v>
      </c>
      <c r="M885" s="49" t="s">
        <v>7752</v>
      </c>
      <c r="N885" s="49" t="s">
        <v>7753</v>
      </c>
      <c r="O885" s="49" t="s">
        <v>7754</v>
      </c>
      <c r="P885" s="49" t="s">
        <v>7755</v>
      </c>
      <c r="Q885" s="49" t="s">
        <v>7756</v>
      </c>
      <c r="R885" s="49" t="s">
        <v>7757</v>
      </c>
      <c r="S885" s="49" t="s">
        <v>7758</v>
      </c>
      <c r="T885" s="49" t="s">
        <v>7759</v>
      </c>
    </row>
    <row r="886" spans="1:21" x14ac:dyDescent="0.2">
      <c r="A886" s="49" t="s">
        <v>30</v>
      </c>
      <c r="D886" s="49" t="s">
        <v>11486</v>
      </c>
      <c r="G886" s="49" t="s">
        <v>15748</v>
      </c>
      <c r="H886" s="49" t="s">
        <v>12030</v>
      </c>
      <c r="I886" s="49" t="s">
        <v>12033</v>
      </c>
      <c r="J886" s="49" t="s">
        <v>12054</v>
      </c>
      <c r="K886" s="49" t="s">
        <v>12057</v>
      </c>
      <c r="L886" s="49" t="s">
        <v>11487</v>
      </c>
      <c r="M886" s="49" t="s">
        <v>11488</v>
      </c>
      <c r="N886" s="49" t="s">
        <v>11489</v>
      </c>
      <c r="O886" s="49" t="s">
        <v>12036</v>
      </c>
      <c r="P886" s="49" t="s">
        <v>12039</v>
      </c>
      <c r="Q886" s="49" t="s">
        <v>12042</v>
      </c>
      <c r="R886" s="49" t="s">
        <v>12045</v>
      </c>
      <c r="S886" s="49" t="s">
        <v>12048</v>
      </c>
      <c r="T886" s="49" t="s">
        <v>12051</v>
      </c>
    </row>
    <row r="887" spans="1:21" x14ac:dyDescent="0.2">
      <c r="A887" s="49" t="s">
        <v>30</v>
      </c>
      <c r="D887" s="49" t="s">
        <v>11490</v>
      </c>
      <c r="G887" s="49" t="s">
        <v>15749</v>
      </c>
      <c r="H887" s="49" t="s">
        <v>12031</v>
      </c>
      <c r="I887" s="49" t="s">
        <v>12034</v>
      </c>
      <c r="J887" s="49" t="s">
        <v>12055</v>
      </c>
      <c r="K887" s="49" t="s">
        <v>12058</v>
      </c>
      <c r="L887" s="49" t="s">
        <v>11491</v>
      </c>
      <c r="M887" s="49" t="s">
        <v>11492</v>
      </c>
      <c r="N887" s="49" t="s">
        <v>11493</v>
      </c>
      <c r="O887" s="49" t="s">
        <v>12037</v>
      </c>
      <c r="P887" s="49" t="s">
        <v>12040</v>
      </c>
      <c r="Q887" s="49" t="s">
        <v>12043</v>
      </c>
      <c r="R887" s="49" t="s">
        <v>12046</v>
      </c>
      <c r="S887" s="49" t="s">
        <v>12049</v>
      </c>
      <c r="T887" s="49" t="s">
        <v>12052</v>
      </c>
    </row>
    <row r="888" spans="1:21" x14ac:dyDescent="0.2">
      <c r="A888" s="49" t="s">
        <v>30</v>
      </c>
      <c r="D888" s="49" t="s">
        <v>11494</v>
      </c>
      <c r="G888" s="49" t="s">
        <v>15750</v>
      </c>
      <c r="H888" s="49" t="s">
        <v>12032</v>
      </c>
      <c r="I888" s="49" t="s">
        <v>12035</v>
      </c>
      <c r="J888" s="49" t="s">
        <v>12056</v>
      </c>
      <c r="K888" s="49" t="s">
        <v>12059</v>
      </c>
      <c r="L888" s="49" t="s">
        <v>11495</v>
      </c>
      <c r="M888" s="49" t="s">
        <v>11496</v>
      </c>
      <c r="N888" s="49" t="s">
        <v>11497</v>
      </c>
      <c r="O888" s="49" t="s">
        <v>12038</v>
      </c>
      <c r="P888" s="49" t="s">
        <v>12041</v>
      </c>
      <c r="Q888" s="49" t="s">
        <v>12044</v>
      </c>
      <c r="R888" s="49" t="s">
        <v>12047</v>
      </c>
      <c r="S888" s="49" t="s">
        <v>12050</v>
      </c>
      <c r="T888" s="49" t="s">
        <v>12053</v>
      </c>
    </row>
    <row r="889" spans="1:21" x14ac:dyDescent="0.2">
      <c r="A889" s="49" t="s">
        <v>30</v>
      </c>
      <c r="D889" s="49" t="s">
        <v>7761</v>
      </c>
      <c r="G889" s="49" t="s">
        <v>15751</v>
      </c>
      <c r="H889" s="49" t="s">
        <v>7762</v>
      </c>
      <c r="I889" s="49" t="s">
        <v>7763</v>
      </c>
      <c r="J889" s="49" t="s">
        <v>7764</v>
      </c>
      <c r="K889" s="49" t="s">
        <v>7765</v>
      </c>
      <c r="L889" s="49" t="s">
        <v>7766</v>
      </c>
      <c r="M889" s="49" t="s">
        <v>7767</v>
      </c>
      <c r="N889" s="49" t="s">
        <v>7768</v>
      </c>
      <c r="O889" s="49" t="s">
        <v>7769</v>
      </c>
      <c r="P889" s="49" t="s">
        <v>7770</v>
      </c>
      <c r="Q889" s="49" t="s">
        <v>7771</v>
      </c>
      <c r="R889" s="49" t="s">
        <v>7772</v>
      </c>
      <c r="S889" s="49" t="s">
        <v>7773</v>
      </c>
      <c r="T889" s="49" t="s">
        <v>7774</v>
      </c>
    </row>
    <row r="890" spans="1:21" x14ac:dyDescent="0.2">
      <c r="A890" s="49" t="s">
        <v>30</v>
      </c>
      <c r="D890" s="49" t="s">
        <v>7775</v>
      </c>
      <c r="G890" s="49" t="s">
        <v>15752</v>
      </c>
      <c r="H890" s="49" t="s">
        <v>7776</v>
      </c>
      <c r="I890" s="49" t="s">
        <v>7777</v>
      </c>
      <c r="J890" s="49" t="s">
        <v>7778</v>
      </c>
      <c r="K890" s="49" t="s">
        <v>7779</v>
      </c>
      <c r="L890" s="49" t="s">
        <v>7780</v>
      </c>
      <c r="M890" s="49" t="s">
        <v>7781</v>
      </c>
      <c r="N890" s="49" t="s">
        <v>7782</v>
      </c>
      <c r="O890" s="49" t="s">
        <v>7783</v>
      </c>
      <c r="P890" s="49" t="s">
        <v>7784</v>
      </c>
      <c r="Q890" s="49" t="s">
        <v>7785</v>
      </c>
      <c r="R890" s="49" t="s">
        <v>7786</v>
      </c>
      <c r="S890" s="49" t="s">
        <v>7787</v>
      </c>
      <c r="T890" s="49" t="s">
        <v>7788</v>
      </c>
    </row>
    <row r="891" spans="1:21" x14ac:dyDescent="0.2">
      <c r="A891" s="49" t="s">
        <v>30</v>
      </c>
      <c r="D891" s="49" t="s">
        <v>7789</v>
      </c>
      <c r="G891" s="49" t="s">
        <v>15753</v>
      </c>
      <c r="H891" s="49" t="s">
        <v>7790</v>
      </c>
      <c r="I891" s="49" t="s">
        <v>7791</v>
      </c>
      <c r="J891" s="49" t="s">
        <v>7792</v>
      </c>
      <c r="K891" s="49" t="s">
        <v>7793</v>
      </c>
      <c r="L891" s="49" t="s">
        <v>7794</v>
      </c>
      <c r="M891" s="49" t="s">
        <v>7795</v>
      </c>
      <c r="N891" s="49" t="s">
        <v>7796</v>
      </c>
      <c r="O891" s="49" t="s">
        <v>7797</v>
      </c>
      <c r="P891" s="49" t="s">
        <v>7798</v>
      </c>
      <c r="Q891" s="49" t="s">
        <v>7799</v>
      </c>
      <c r="R891" s="49" t="s">
        <v>7800</v>
      </c>
      <c r="S891" s="49" t="s">
        <v>7801</v>
      </c>
      <c r="T891" s="49" t="s">
        <v>7802</v>
      </c>
    </row>
    <row r="892" spans="1:21" x14ac:dyDescent="0.2">
      <c r="A892" s="49" t="s">
        <v>30</v>
      </c>
      <c r="D892" s="49" t="s">
        <v>15754</v>
      </c>
      <c r="G892" s="49" t="s">
        <v>15755</v>
      </c>
      <c r="H892" s="49" t="s">
        <v>30207</v>
      </c>
      <c r="I892" s="49" t="s">
        <v>30209</v>
      </c>
      <c r="J892" s="49" t="s">
        <v>30223</v>
      </c>
      <c r="K892" s="49" t="s">
        <v>30225</v>
      </c>
      <c r="L892" s="49" t="s">
        <v>15756</v>
      </c>
      <c r="M892" s="49" t="s">
        <v>15757</v>
      </c>
      <c r="N892" s="49" t="s">
        <v>15758</v>
      </c>
      <c r="O892" s="49" t="s">
        <v>30211</v>
      </c>
      <c r="P892" s="49" t="s">
        <v>30213</v>
      </c>
      <c r="Q892" s="49" t="s">
        <v>30215</v>
      </c>
      <c r="R892" s="49" t="s">
        <v>30217</v>
      </c>
      <c r="S892" s="49" t="s">
        <v>30219</v>
      </c>
      <c r="T892" s="49" t="s">
        <v>30221</v>
      </c>
    </row>
    <row r="893" spans="1:21" x14ac:dyDescent="0.2">
      <c r="A893" s="49" t="s">
        <v>30</v>
      </c>
    </row>
    <row r="894" spans="1:21" x14ac:dyDescent="0.2">
      <c r="A894" s="49" t="s">
        <v>30</v>
      </c>
      <c r="E894" s="49" t="s">
        <v>31</v>
      </c>
      <c r="F894" s="49" t="s">
        <v>31</v>
      </c>
      <c r="G894" s="49" t="s">
        <v>31</v>
      </c>
      <c r="J894" s="49" t="s">
        <v>31</v>
      </c>
      <c r="K894" s="49" t="s">
        <v>31</v>
      </c>
      <c r="L894" s="49" t="s">
        <v>31</v>
      </c>
      <c r="M894" s="49" t="s">
        <v>31</v>
      </c>
    </row>
    <row r="895" spans="1:21" x14ac:dyDescent="0.2">
      <c r="A895" s="49" t="s">
        <v>30</v>
      </c>
      <c r="D895" s="49" t="s">
        <v>15759</v>
      </c>
      <c r="E895" s="49" t="s">
        <v>5459</v>
      </c>
      <c r="F895" s="49" t="s">
        <v>15760</v>
      </c>
      <c r="H895" s="49" t="s">
        <v>15761</v>
      </c>
      <c r="O895" s="49" t="s">
        <v>15762</v>
      </c>
      <c r="P895" s="49" t="s">
        <v>15763</v>
      </c>
      <c r="Q895" s="49" t="s">
        <v>15764</v>
      </c>
      <c r="R895" s="49" t="s">
        <v>15765</v>
      </c>
      <c r="S895" s="49" t="s">
        <v>15766</v>
      </c>
      <c r="T895" s="49" t="s">
        <v>15767</v>
      </c>
      <c r="U895" s="49" t="s">
        <v>15768</v>
      </c>
    </row>
    <row r="896" spans="1:21" x14ac:dyDescent="0.2">
      <c r="A896" s="49" t="s">
        <v>30</v>
      </c>
      <c r="D896" s="49" t="s">
        <v>7804</v>
      </c>
      <c r="G896" s="49" t="s">
        <v>15769</v>
      </c>
      <c r="H896" s="49" t="s">
        <v>7805</v>
      </c>
      <c r="I896" s="49" t="s">
        <v>7806</v>
      </c>
      <c r="J896" s="49" t="s">
        <v>7807</v>
      </c>
      <c r="K896" s="49" t="s">
        <v>7808</v>
      </c>
      <c r="L896" s="49" t="s">
        <v>7809</v>
      </c>
      <c r="M896" s="49" t="s">
        <v>7810</v>
      </c>
      <c r="N896" s="49" t="s">
        <v>7811</v>
      </c>
      <c r="O896" s="49" t="s">
        <v>7812</v>
      </c>
      <c r="P896" s="49" t="s">
        <v>7813</v>
      </c>
      <c r="Q896" s="49" t="s">
        <v>7814</v>
      </c>
      <c r="R896" s="49" t="s">
        <v>7815</v>
      </c>
      <c r="S896" s="49" t="s">
        <v>7816</v>
      </c>
      <c r="T896" s="49" t="s">
        <v>7817</v>
      </c>
    </row>
    <row r="897" spans="1:21" x14ac:dyDescent="0.2">
      <c r="A897" s="49" t="s">
        <v>30</v>
      </c>
      <c r="D897" s="49" t="s">
        <v>11498</v>
      </c>
      <c r="G897" s="49" t="s">
        <v>15770</v>
      </c>
      <c r="H897" s="49" t="s">
        <v>12000</v>
      </c>
      <c r="I897" s="49" t="s">
        <v>12003</v>
      </c>
      <c r="J897" s="49" t="s">
        <v>12024</v>
      </c>
      <c r="K897" s="49" t="s">
        <v>12027</v>
      </c>
      <c r="L897" s="49" t="s">
        <v>11499</v>
      </c>
      <c r="M897" s="49" t="s">
        <v>11500</v>
      </c>
      <c r="N897" s="49" t="s">
        <v>11501</v>
      </c>
      <c r="O897" s="49" t="s">
        <v>12006</v>
      </c>
      <c r="P897" s="49" t="s">
        <v>12009</v>
      </c>
      <c r="Q897" s="49" t="s">
        <v>12012</v>
      </c>
      <c r="R897" s="49" t="s">
        <v>12015</v>
      </c>
      <c r="S897" s="49" t="s">
        <v>12018</v>
      </c>
      <c r="T897" s="49" t="s">
        <v>12021</v>
      </c>
    </row>
    <row r="898" spans="1:21" x14ac:dyDescent="0.2">
      <c r="A898" s="49" t="s">
        <v>30</v>
      </c>
      <c r="D898" s="49" t="s">
        <v>11502</v>
      </c>
      <c r="G898" s="49" t="s">
        <v>15771</v>
      </c>
      <c r="H898" s="49" t="s">
        <v>12001</v>
      </c>
      <c r="I898" s="49" t="s">
        <v>12004</v>
      </c>
      <c r="J898" s="49" t="s">
        <v>12025</v>
      </c>
      <c r="K898" s="49" t="s">
        <v>12028</v>
      </c>
      <c r="L898" s="49" t="s">
        <v>11503</v>
      </c>
      <c r="M898" s="49" t="s">
        <v>11504</v>
      </c>
      <c r="N898" s="49" t="s">
        <v>11505</v>
      </c>
      <c r="O898" s="49" t="s">
        <v>12007</v>
      </c>
      <c r="P898" s="49" t="s">
        <v>12010</v>
      </c>
      <c r="Q898" s="49" t="s">
        <v>12013</v>
      </c>
      <c r="R898" s="49" t="s">
        <v>12016</v>
      </c>
      <c r="S898" s="49" t="s">
        <v>12019</v>
      </c>
      <c r="T898" s="49" t="s">
        <v>12022</v>
      </c>
    </row>
    <row r="899" spans="1:21" x14ac:dyDescent="0.2">
      <c r="A899" s="49" t="s">
        <v>30</v>
      </c>
      <c r="D899" s="49" t="s">
        <v>11506</v>
      </c>
      <c r="G899" s="49" t="s">
        <v>15772</v>
      </c>
      <c r="H899" s="49" t="s">
        <v>12002</v>
      </c>
      <c r="I899" s="49" t="s">
        <v>12005</v>
      </c>
      <c r="J899" s="49" t="s">
        <v>12026</v>
      </c>
      <c r="K899" s="49" t="s">
        <v>12029</v>
      </c>
      <c r="L899" s="49" t="s">
        <v>11507</v>
      </c>
      <c r="M899" s="49" t="s">
        <v>11508</v>
      </c>
      <c r="N899" s="49" t="s">
        <v>11509</v>
      </c>
      <c r="O899" s="49" t="s">
        <v>12008</v>
      </c>
      <c r="P899" s="49" t="s">
        <v>12011</v>
      </c>
      <c r="Q899" s="49" t="s">
        <v>12014</v>
      </c>
      <c r="R899" s="49" t="s">
        <v>12017</v>
      </c>
      <c r="S899" s="49" t="s">
        <v>12020</v>
      </c>
      <c r="T899" s="49" t="s">
        <v>12023</v>
      </c>
    </row>
    <row r="900" spans="1:21" x14ac:dyDescent="0.2">
      <c r="A900" s="49" t="s">
        <v>30</v>
      </c>
      <c r="D900" s="49" t="s">
        <v>15773</v>
      </c>
      <c r="G900" s="49" t="s">
        <v>15774</v>
      </c>
      <c r="H900" s="49" t="s">
        <v>30176</v>
      </c>
      <c r="I900" s="49" t="s">
        <v>30179</v>
      </c>
      <c r="J900" s="49" t="s">
        <v>30200</v>
      </c>
      <c r="K900" s="49" t="s">
        <v>30203</v>
      </c>
      <c r="L900" s="49" t="s">
        <v>15775</v>
      </c>
      <c r="M900" s="49" t="s">
        <v>15776</v>
      </c>
      <c r="N900" s="49" t="s">
        <v>15777</v>
      </c>
      <c r="O900" s="49" t="s">
        <v>30182</v>
      </c>
      <c r="P900" s="49" t="s">
        <v>30185</v>
      </c>
      <c r="Q900" s="49" t="s">
        <v>30188</v>
      </c>
      <c r="R900" s="49" t="s">
        <v>30191</v>
      </c>
      <c r="S900" s="49" t="s">
        <v>30194</v>
      </c>
      <c r="T900" s="49" t="s">
        <v>30197</v>
      </c>
    </row>
    <row r="901" spans="1:21" x14ac:dyDescent="0.2">
      <c r="A901" s="49" t="s">
        <v>30</v>
      </c>
      <c r="D901" s="49" t="s">
        <v>15778</v>
      </c>
      <c r="G901" s="49" t="s">
        <v>15779</v>
      </c>
      <c r="H901" s="49" t="s">
        <v>30177</v>
      </c>
      <c r="I901" s="49" t="s">
        <v>30180</v>
      </c>
      <c r="J901" s="49" t="s">
        <v>30201</v>
      </c>
      <c r="K901" s="49" t="s">
        <v>30204</v>
      </c>
      <c r="L901" s="49" t="s">
        <v>15780</v>
      </c>
      <c r="M901" s="49" t="s">
        <v>15781</v>
      </c>
      <c r="N901" s="49" t="s">
        <v>15782</v>
      </c>
      <c r="O901" s="49" t="s">
        <v>30183</v>
      </c>
      <c r="P901" s="49" t="s">
        <v>30186</v>
      </c>
      <c r="Q901" s="49" t="s">
        <v>30189</v>
      </c>
      <c r="R901" s="49" t="s">
        <v>30192</v>
      </c>
      <c r="S901" s="49" t="s">
        <v>30195</v>
      </c>
      <c r="T901" s="49" t="s">
        <v>30198</v>
      </c>
    </row>
    <row r="902" spans="1:21" x14ac:dyDescent="0.2">
      <c r="A902" s="49" t="s">
        <v>30</v>
      </c>
      <c r="D902" s="49" t="s">
        <v>15783</v>
      </c>
      <c r="G902" s="49" t="s">
        <v>15784</v>
      </c>
      <c r="H902" s="49" t="s">
        <v>30178</v>
      </c>
      <c r="I902" s="49" t="s">
        <v>30181</v>
      </c>
      <c r="J902" s="49" t="s">
        <v>30202</v>
      </c>
      <c r="K902" s="49" t="s">
        <v>30205</v>
      </c>
      <c r="L902" s="49" t="s">
        <v>15785</v>
      </c>
      <c r="M902" s="49" t="s">
        <v>15786</v>
      </c>
      <c r="N902" s="49" t="s">
        <v>15787</v>
      </c>
      <c r="O902" s="49" t="s">
        <v>30184</v>
      </c>
      <c r="P902" s="49" t="s">
        <v>30187</v>
      </c>
      <c r="Q902" s="49" t="s">
        <v>30190</v>
      </c>
      <c r="R902" s="49" t="s">
        <v>30193</v>
      </c>
      <c r="S902" s="49" t="s">
        <v>30196</v>
      </c>
      <c r="T902" s="49" t="s">
        <v>30199</v>
      </c>
    </row>
    <row r="903" spans="1:21" x14ac:dyDescent="0.2">
      <c r="A903" s="49" t="s">
        <v>30</v>
      </c>
      <c r="D903" s="49" t="s">
        <v>11510</v>
      </c>
      <c r="G903" s="49" t="s">
        <v>15788</v>
      </c>
      <c r="H903" s="49" t="s">
        <v>11960</v>
      </c>
      <c r="I903" s="49" t="s">
        <v>11964</v>
      </c>
      <c r="J903" s="49" t="s">
        <v>11992</v>
      </c>
      <c r="K903" s="49" t="s">
        <v>11996</v>
      </c>
      <c r="L903" s="49" t="s">
        <v>11511</v>
      </c>
      <c r="M903" s="49" t="s">
        <v>11512</v>
      </c>
      <c r="N903" s="49" t="s">
        <v>11513</v>
      </c>
      <c r="O903" s="49" t="s">
        <v>11968</v>
      </c>
      <c r="P903" s="49" t="s">
        <v>11972</v>
      </c>
      <c r="Q903" s="49" t="s">
        <v>11976</v>
      </c>
      <c r="R903" s="49" t="s">
        <v>11980</v>
      </c>
      <c r="S903" s="49" t="s">
        <v>11984</v>
      </c>
      <c r="T903" s="49" t="s">
        <v>11988</v>
      </c>
    </row>
    <row r="904" spans="1:21" x14ac:dyDescent="0.2">
      <c r="A904" s="49" t="s">
        <v>30</v>
      </c>
    </row>
    <row r="905" spans="1:21" x14ac:dyDescent="0.2">
      <c r="A905" s="49" t="s">
        <v>30</v>
      </c>
      <c r="E905" s="49" t="s">
        <v>31</v>
      </c>
      <c r="F905" s="49" t="s">
        <v>31</v>
      </c>
      <c r="G905" s="49" t="s">
        <v>31</v>
      </c>
      <c r="J905" s="49" t="s">
        <v>31</v>
      </c>
      <c r="K905" s="49" t="s">
        <v>31</v>
      </c>
      <c r="L905" s="49" t="s">
        <v>31</v>
      </c>
      <c r="M905" s="49" t="s">
        <v>31</v>
      </c>
    </row>
    <row r="906" spans="1:21" x14ac:dyDescent="0.2">
      <c r="A906" s="49" t="s">
        <v>30</v>
      </c>
      <c r="D906" s="49" t="s">
        <v>15789</v>
      </c>
      <c r="E906" s="49" t="s">
        <v>5498</v>
      </c>
      <c r="F906" s="49" t="s">
        <v>15790</v>
      </c>
      <c r="H906" s="49" t="s">
        <v>15791</v>
      </c>
      <c r="O906" s="49" t="s">
        <v>15792</v>
      </c>
      <c r="P906" s="49" t="s">
        <v>15793</v>
      </c>
      <c r="Q906" s="49" t="s">
        <v>15794</v>
      </c>
      <c r="R906" s="49" t="s">
        <v>15795</v>
      </c>
      <c r="S906" s="49" t="s">
        <v>15796</v>
      </c>
      <c r="T906" s="49" t="s">
        <v>15797</v>
      </c>
      <c r="U906" s="49" t="s">
        <v>15798</v>
      </c>
    </row>
    <row r="907" spans="1:21" x14ac:dyDescent="0.2">
      <c r="A907" s="49" t="s">
        <v>30</v>
      </c>
      <c r="D907" s="49" t="s">
        <v>11514</v>
      </c>
      <c r="G907" s="49" t="s">
        <v>15799</v>
      </c>
      <c r="H907" s="49" t="s">
        <v>11961</v>
      </c>
      <c r="I907" s="49" t="s">
        <v>11965</v>
      </c>
      <c r="J907" s="49" t="s">
        <v>11993</v>
      </c>
      <c r="K907" s="49" t="s">
        <v>11997</v>
      </c>
      <c r="L907" s="49" t="s">
        <v>11515</v>
      </c>
      <c r="M907" s="49" t="s">
        <v>11516</v>
      </c>
      <c r="N907" s="49" t="s">
        <v>11517</v>
      </c>
      <c r="O907" s="49" t="s">
        <v>11969</v>
      </c>
      <c r="P907" s="49" t="s">
        <v>11973</v>
      </c>
      <c r="Q907" s="49" t="s">
        <v>11977</v>
      </c>
      <c r="R907" s="49" t="s">
        <v>11981</v>
      </c>
      <c r="S907" s="49" t="s">
        <v>11985</v>
      </c>
      <c r="T907" s="49" t="s">
        <v>11989</v>
      </c>
    </row>
    <row r="908" spans="1:21" x14ac:dyDescent="0.2">
      <c r="A908" s="49" t="s">
        <v>30</v>
      </c>
      <c r="D908" s="49" t="s">
        <v>11518</v>
      </c>
      <c r="G908" s="49" t="s">
        <v>15800</v>
      </c>
      <c r="H908" s="49" t="s">
        <v>11962</v>
      </c>
      <c r="I908" s="49" t="s">
        <v>11966</v>
      </c>
      <c r="J908" s="49" t="s">
        <v>11994</v>
      </c>
      <c r="K908" s="49" t="s">
        <v>11998</v>
      </c>
      <c r="L908" s="49" t="s">
        <v>11519</v>
      </c>
      <c r="M908" s="49" t="s">
        <v>11520</v>
      </c>
      <c r="N908" s="49" t="s">
        <v>11521</v>
      </c>
      <c r="O908" s="49" t="s">
        <v>11970</v>
      </c>
      <c r="P908" s="49" t="s">
        <v>11974</v>
      </c>
      <c r="Q908" s="49" t="s">
        <v>11978</v>
      </c>
      <c r="R908" s="49" t="s">
        <v>11982</v>
      </c>
      <c r="S908" s="49" t="s">
        <v>11986</v>
      </c>
      <c r="T908" s="49" t="s">
        <v>11990</v>
      </c>
    </row>
    <row r="909" spans="1:21" x14ac:dyDescent="0.2">
      <c r="A909" s="49" t="s">
        <v>30</v>
      </c>
      <c r="D909" s="49" t="s">
        <v>11522</v>
      </c>
      <c r="G909" s="49" t="s">
        <v>15801</v>
      </c>
      <c r="H909" s="49" t="s">
        <v>11963</v>
      </c>
      <c r="I909" s="49" t="s">
        <v>11967</v>
      </c>
      <c r="J909" s="49" t="s">
        <v>11995</v>
      </c>
      <c r="K909" s="49" t="s">
        <v>11999</v>
      </c>
      <c r="L909" s="49" t="s">
        <v>11523</v>
      </c>
      <c r="M909" s="49" t="s">
        <v>11524</v>
      </c>
      <c r="N909" s="49" t="s">
        <v>11525</v>
      </c>
      <c r="O909" s="49" t="s">
        <v>11971</v>
      </c>
      <c r="P909" s="49" t="s">
        <v>11975</v>
      </c>
      <c r="Q909" s="49" t="s">
        <v>11979</v>
      </c>
      <c r="R909" s="49" t="s">
        <v>11983</v>
      </c>
      <c r="S909" s="49" t="s">
        <v>11987</v>
      </c>
      <c r="T909" s="49" t="s">
        <v>11991</v>
      </c>
    </row>
    <row r="910" spans="1:21" x14ac:dyDescent="0.2">
      <c r="A910" s="49" t="s">
        <v>30</v>
      </c>
      <c r="D910" s="49" t="s">
        <v>7821</v>
      </c>
      <c r="G910" s="49" t="s">
        <v>15802</v>
      </c>
      <c r="H910" s="49" t="s">
        <v>7822</v>
      </c>
      <c r="I910" s="49" t="s">
        <v>7823</v>
      </c>
      <c r="J910" s="49" t="s">
        <v>7824</v>
      </c>
      <c r="K910" s="49" t="s">
        <v>7825</v>
      </c>
      <c r="L910" s="49" t="s">
        <v>7826</v>
      </c>
      <c r="M910" s="49" t="s">
        <v>7827</v>
      </c>
      <c r="N910" s="49" t="s">
        <v>7828</v>
      </c>
      <c r="O910" s="49" t="s">
        <v>7829</v>
      </c>
      <c r="P910" s="49" t="s">
        <v>7830</v>
      </c>
      <c r="Q910" s="49" t="s">
        <v>7831</v>
      </c>
      <c r="R910" s="49" t="s">
        <v>7832</v>
      </c>
      <c r="S910" s="49" t="s">
        <v>7833</v>
      </c>
      <c r="T910" s="49" t="s">
        <v>7834</v>
      </c>
    </row>
    <row r="911" spans="1:21" x14ac:dyDescent="0.2">
      <c r="A911" s="49" t="s">
        <v>30</v>
      </c>
      <c r="D911" s="49" t="s">
        <v>7835</v>
      </c>
      <c r="G911" s="49" t="s">
        <v>15803</v>
      </c>
      <c r="H911" s="49" t="s">
        <v>7836</v>
      </c>
      <c r="I911" s="49" t="s">
        <v>7837</v>
      </c>
      <c r="J911" s="49" t="s">
        <v>7838</v>
      </c>
      <c r="K911" s="49" t="s">
        <v>7839</v>
      </c>
      <c r="L911" s="49" t="s">
        <v>7840</v>
      </c>
      <c r="M911" s="49" t="s">
        <v>7841</v>
      </c>
      <c r="N911" s="49" t="s">
        <v>7842</v>
      </c>
      <c r="O911" s="49" t="s">
        <v>7843</v>
      </c>
      <c r="P911" s="49" t="s">
        <v>7844</v>
      </c>
      <c r="Q911" s="49" t="s">
        <v>7845</v>
      </c>
      <c r="R911" s="49" t="s">
        <v>7846</v>
      </c>
      <c r="S911" s="49" t="s">
        <v>7847</v>
      </c>
      <c r="T911" s="49" t="s">
        <v>7848</v>
      </c>
    </row>
    <row r="912" spans="1:21" x14ac:dyDescent="0.2">
      <c r="A912" s="49" t="s">
        <v>30</v>
      </c>
      <c r="D912" s="49" t="s">
        <v>15804</v>
      </c>
      <c r="G912" s="49" t="s">
        <v>15805</v>
      </c>
      <c r="H912" s="49" t="s">
        <v>30136</v>
      </c>
      <c r="I912" s="49" t="s">
        <v>30140</v>
      </c>
      <c r="J912" s="49" t="s">
        <v>30168</v>
      </c>
      <c r="K912" s="49" t="s">
        <v>30172</v>
      </c>
      <c r="L912" s="49" t="s">
        <v>15806</v>
      </c>
      <c r="M912" s="49" t="s">
        <v>15807</v>
      </c>
      <c r="N912" s="49" t="s">
        <v>15808</v>
      </c>
      <c r="O912" s="49" t="s">
        <v>30144</v>
      </c>
      <c r="P912" s="49" t="s">
        <v>30148</v>
      </c>
      <c r="Q912" s="49" t="s">
        <v>30152</v>
      </c>
      <c r="R912" s="49" t="s">
        <v>30156</v>
      </c>
      <c r="S912" s="49" t="s">
        <v>30160</v>
      </c>
      <c r="T912" s="49" t="s">
        <v>30164</v>
      </c>
    </row>
    <row r="913" spans="1:21" x14ac:dyDescent="0.2">
      <c r="A913" s="49" t="s">
        <v>30</v>
      </c>
      <c r="D913" s="49" t="s">
        <v>15809</v>
      </c>
      <c r="G913" s="49" t="s">
        <v>15810</v>
      </c>
      <c r="H913" s="49" t="s">
        <v>30137</v>
      </c>
      <c r="I913" s="49" t="s">
        <v>30141</v>
      </c>
      <c r="J913" s="49" t="s">
        <v>30169</v>
      </c>
      <c r="K913" s="49" t="s">
        <v>30173</v>
      </c>
      <c r="L913" s="49" t="s">
        <v>15811</v>
      </c>
      <c r="M913" s="49" t="s">
        <v>15812</v>
      </c>
      <c r="N913" s="49" t="s">
        <v>15813</v>
      </c>
      <c r="O913" s="49" t="s">
        <v>30145</v>
      </c>
      <c r="P913" s="49" t="s">
        <v>30149</v>
      </c>
      <c r="Q913" s="49" t="s">
        <v>30153</v>
      </c>
      <c r="R913" s="49" t="s">
        <v>30157</v>
      </c>
      <c r="S913" s="49" t="s">
        <v>30161</v>
      </c>
      <c r="T913" s="49" t="s">
        <v>30165</v>
      </c>
    </row>
    <row r="914" spans="1:21" x14ac:dyDescent="0.2">
      <c r="A914" s="49" t="s">
        <v>30</v>
      </c>
      <c r="D914" s="49" t="s">
        <v>15814</v>
      </c>
      <c r="G914" s="49" t="s">
        <v>15815</v>
      </c>
      <c r="H914" s="49" t="s">
        <v>30138</v>
      </c>
      <c r="I914" s="49" t="s">
        <v>30142</v>
      </c>
      <c r="J914" s="49" t="s">
        <v>30170</v>
      </c>
      <c r="K914" s="49" t="s">
        <v>30174</v>
      </c>
      <c r="L914" s="49" t="s">
        <v>15816</v>
      </c>
      <c r="M914" s="49" t="s">
        <v>15817</v>
      </c>
      <c r="N914" s="49" t="s">
        <v>15818</v>
      </c>
      <c r="O914" s="49" t="s">
        <v>30146</v>
      </c>
      <c r="P914" s="49" t="s">
        <v>30150</v>
      </c>
      <c r="Q914" s="49" t="s">
        <v>30154</v>
      </c>
      <c r="R914" s="49" t="s">
        <v>30158</v>
      </c>
      <c r="S914" s="49" t="s">
        <v>30162</v>
      </c>
      <c r="T914" s="49" t="s">
        <v>30166</v>
      </c>
    </row>
    <row r="915" spans="1:21" x14ac:dyDescent="0.2">
      <c r="A915" s="49" t="s">
        <v>30</v>
      </c>
      <c r="D915" s="49" t="s">
        <v>11526</v>
      </c>
      <c r="G915" s="49" t="s">
        <v>15819</v>
      </c>
      <c r="H915" s="49" t="s">
        <v>11920</v>
      </c>
      <c r="I915" s="49" t="s">
        <v>11924</v>
      </c>
      <c r="J915" s="49" t="s">
        <v>11952</v>
      </c>
      <c r="K915" s="49" t="s">
        <v>11956</v>
      </c>
      <c r="L915" s="49" t="s">
        <v>11527</v>
      </c>
      <c r="M915" s="49" t="s">
        <v>11528</v>
      </c>
      <c r="N915" s="49" t="s">
        <v>11529</v>
      </c>
      <c r="O915" s="49" t="s">
        <v>11928</v>
      </c>
      <c r="P915" s="49" t="s">
        <v>11932</v>
      </c>
      <c r="Q915" s="49" t="s">
        <v>11936</v>
      </c>
      <c r="R915" s="49" t="s">
        <v>11940</v>
      </c>
      <c r="S915" s="49" t="s">
        <v>11944</v>
      </c>
      <c r="T915" s="49" t="s">
        <v>11948</v>
      </c>
    </row>
    <row r="916" spans="1:21" x14ac:dyDescent="0.2">
      <c r="A916" s="49" t="s">
        <v>30</v>
      </c>
      <c r="D916" s="49" t="s">
        <v>11530</v>
      </c>
      <c r="G916" s="49" t="s">
        <v>15820</v>
      </c>
      <c r="H916" s="49" t="s">
        <v>11921</v>
      </c>
      <c r="I916" s="49" t="s">
        <v>11925</v>
      </c>
      <c r="J916" s="49" t="s">
        <v>11953</v>
      </c>
      <c r="K916" s="49" t="s">
        <v>11957</v>
      </c>
      <c r="L916" s="49" t="s">
        <v>11531</v>
      </c>
      <c r="M916" s="49" t="s">
        <v>11532</v>
      </c>
      <c r="N916" s="49" t="s">
        <v>11533</v>
      </c>
      <c r="O916" s="49" t="s">
        <v>11929</v>
      </c>
      <c r="P916" s="49" t="s">
        <v>11933</v>
      </c>
      <c r="Q916" s="49" t="s">
        <v>11937</v>
      </c>
      <c r="R916" s="49" t="s">
        <v>11941</v>
      </c>
      <c r="S916" s="49" t="s">
        <v>11945</v>
      </c>
      <c r="T916" s="49" t="s">
        <v>11949</v>
      </c>
    </row>
    <row r="917" spans="1:21" x14ac:dyDescent="0.2">
      <c r="A917" s="49" t="s">
        <v>30</v>
      </c>
      <c r="D917" s="49" t="s">
        <v>11534</v>
      </c>
      <c r="G917" s="49" t="s">
        <v>15821</v>
      </c>
      <c r="H917" s="49" t="s">
        <v>11922</v>
      </c>
      <c r="I917" s="49" t="s">
        <v>11926</v>
      </c>
      <c r="J917" s="49" t="s">
        <v>11954</v>
      </c>
      <c r="K917" s="49" t="s">
        <v>11958</v>
      </c>
      <c r="L917" s="49" t="s">
        <v>11535</v>
      </c>
      <c r="M917" s="49" t="s">
        <v>11536</v>
      </c>
      <c r="N917" s="49" t="s">
        <v>11537</v>
      </c>
      <c r="O917" s="49" t="s">
        <v>11930</v>
      </c>
      <c r="P917" s="49" t="s">
        <v>11934</v>
      </c>
      <c r="Q917" s="49" t="s">
        <v>11938</v>
      </c>
      <c r="R917" s="49" t="s">
        <v>11942</v>
      </c>
      <c r="S917" s="49" t="s">
        <v>11946</v>
      </c>
      <c r="T917" s="49" t="s">
        <v>11950</v>
      </c>
    </row>
    <row r="918" spans="1:21" x14ac:dyDescent="0.2">
      <c r="A918" s="49" t="s">
        <v>30</v>
      </c>
      <c r="D918" s="49" t="s">
        <v>7850</v>
      </c>
      <c r="G918" s="49" t="s">
        <v>15822</v>
      </c>
      <c r="H918" s="49" t="s">
        <v>7851</v>
      </c>
      <c r="I918" s="49" t="s">
        <v>7852</v>
      </c>
      <c r="J918" s="49" t="s">
        <v>7853</v>
      </c>
      <c r="K918" s="49" t="s">
        <v>7854</v>
      </c>
      <c r="L918" s="49" t="s">
        <v>7855</v>
      </c>
      <c r="M918" s="49" t="s">
        <v>7856</v>
      </c>
      <c r="N918" s="49" t="s">
        <v>7857</v>
      </c>
      <c r="O918" s="49" t="s">
        <v>7858</v>
      </c>
      <c r="P918" s="49" t="s">
        <v>7859</v>
      </c>
      <c r="Q918" s="49" t="s">
        <v>7860</v>
      </c>
      <c r="R918" s="49" t="s">
        <v>7861</v>
      </c>
      <c r="S918" s="49" t="s">
        <v>7862</v>
      </c>
      <c r="T918" s="49" t="s">
        <v>7863</v>
      </c>
    </row>
    <row r="919" spans="1:21" x14ac:dyDescent="0.2">
      <c r="A919" s="49" t="s">
        <v>30</v>
      </c>
      <c r="D919" s="49" t="s">
        <v>11538</v>
      </c>
      <c r="G919" s="49" t="s">
        <v>15823</v>
      </c>
      <c r="H919" s="49" t="s">
        <v>11923</v>
      </c>
      <c r="I919" s="49" t="s">
        <v>11927</v>
      </c>
      <c r="J919" s="49" t="s">
        <v>11955</v>
      </c>
      <c r="K919" s="49" t="s">
        <v>11959</v>
      </c>
      <c r="L919" s="49" t="s">
        <v>11539</v>
      </c>
      <c r="M919" s="49" t="s">
        <v>11540</v>
      </c>
      <c r="N919" s="49" t="s">
        <v>11541</v>
      </c>
      <c r="O919" s="49" t="s">
        <v>11931</v>
      </c>
      <c r="P919" s="49" t="s">
        <v>11935</v>
      </c>
      <c r="Q919" s="49" t="s">
        <v>11939</v>
      </c>
      <c r="R919" s="49" t="s">
        <v>11943</v>
      </c>
      <c r="S919" s="49" t="s">
        <v>11947</v>
      </c>
      <c r="T919" s="49" t="s">
        <v>11951</v>
      </c>
    </row>
    <row r="920" spans="1:21" x14ac:dyDescent="0.2">
      <c r="A920" s="49" t="s">
        <v>30</v>
      </c>
      <c r="D920" s="49" t="s">
        <v>15824</v>
      </c>
      <c r="G920" s="49" t="s">
        <v>15825</v>
      </c>
      <c r="H920" s="49" t="s">
        <v>30139</v>
      </c>
      <c r="I920" s="49" t="s">
        <v>30143</v>
      </c>
      <c r="J920" s="49" t="s">
        <v>30171</v>
      </c>
      <c r="K920" s="49" t="s">
        <v>30175</v>
      </c>
      <c r="L920" s="49" t="s">
        <v>15826</v>
      </c>
      <c r="M920" s="49" t="s">
        <v>15827</v>
      </c>
      <c r="N920" s="49" t="s">
        <v>15828</v>
      </c>
      <c r="O920" s="49" t="s">
        <v>30147</v>
      </c>
      <c r="P920" s="49" t="s">
        <v>30151</v>
      </c>
      <c r="Q920" s="49" t="s">
        <v>30155</v>
      </c>
      <c r="R920" s="49" t="s">
        <v>30159</v>
      </c>
      <c r="S920" s="49" t="s">
        <v>30163</v>
      </c>
      <c r="T920" s="49" t="s">
        <v>30167</v>
      </c>
    </row>
    <row r="921" spans="1:21" x14ac:dyDescent="0.2">
      <c r="A921" s="49" t="s">
        <v>30</v>
      </c>
    </row>
    <row r="922" spans="1:21" x14ac:dyDescent="0.2">
      <c r="A922" s="49" t="s">
        <v>30</v>
      </c>
      <c r="E922" s="49" t="s">
        <v>31</v>
      </c>
      <c r="F922" s="49" t="s">
        <v>31</v>
      </c>
      <c r="G922" s="49" t="s">
        <v>31</v>
      </c>
      <c r="J922" s="49" t="s">
        <v>31</v>
      </c>
      <c r="K922" s="49" t="s">
        <v>31</v>
      </c>
      <c r="L922" s="49" t="s">
        <v>31</v>
      </c>
      <c r="M922" s="49" t="s">
        <v>31</v>
      </c>
    </row>
    <row r="923" spans="1:21" x14ac:dyDescent="0.2">
      <c r="A923" s="49" t="s">
        <v>30</v>
      </c>
      <c r="D923" s="49" t="s">
        <v>15829</v>
      </c>
      <c r="E923" s="49" t="s">
        <v>5555</v>
      </c>
      <c r="F923" s="49" t="s">
        <v>15830</v>
      </c>
      <c r="H923" s="49" t="s">
        <v>15831</v>
      </c>
      <c r="O923" s="49" t="s">
        <v>15832</v>
      </c>
      <c r="P923" s="49" t="s">
        <v>15833</v>
      </c>
      <c r="Q923" s="49" t="s">
        <v>15834</v>
      </c>
      <c r="R923" s="49" t="s">
        <v>15835</v>
      </c>
      <c r="S923" s="49" t="s">
        <v>15836</v>
      </c>
      <c r="T923" s="49" t="s">
        <v>15837</v>
      </c>
      <c r="U923" s="49" t="s">
        <v>15838</v>
      </c>
    </row>
    <row r="924" spans="1:21" x14ac:dyDescent="0.2">
      <c r="A924" s="49" t="s">
        <v>30</v>
      </c>
      <c r="D924" s="49" t="s">
        <v>7865</v>
      </c>
      <c r="G924" s="49" t="s">
        <v>15839</v>
      </c>
      <c r="H924" s="49" t="s">
        <v>7866</v>
      </c>
      <c r="I924" s="49" t="s">
        <v>7867</v>
      </c>
      <c r="J924" s="49" t="s">
        <v>7868</v>
      </c>
      <c r="K924" s="49" t="s">
        <v>7869</v>
      </c>
      <c r="L924" s="49" t="s">
        <v>7870</v>
      </c>
      <c r="M924" s="49" t="s">
        <v>7871</v>
      </c>
      <c r="N924" s="49" t="s">
        <v>7872</v>
      </c>
      <c r="O924" s="49" t="s">
        <v>7873</v>
      </c>
      <c r="P924" s="49" t="s">
        <v>7874</v>
      </c>
      <c r="Q924" s="49" t="s">
        <v>7875</v>
      </c>
      <c r="R924" s="49" t="s">
        <v>7876</v>
      </c>
      <c r="S924" s="49" t="s">
        <v>7877</v>
      </c>
      <c r="T924" s="49" t="s">
        <v>7878</v>
      </c>
    </row>
    <row r="925" spans="1:21" x14ac:dyDescent="0.2">
      <c r="A925" s="49" t="s">
        <v>30</v>
      </c>
      <c r="D925" s="49" t="s">
        <v>7879</v>
      </c>
      <c r="G925" s="49" t="s">
        <v>15840</v>
      </c>
      <c r="H925" s="49" t="s">
        <v>7880</v>
      </c>
      <c r="I925" s="49" t="s">
        <v>7881</v>
      </c>
      <c r="J925" s="49" t="s">
        <v>7882</v>
      </c>
      <c r="K925" s="49" t="s">
        <v>7883</v>
      </c>
      <c r="L925" s="49" t="s">
        <v>7884</v>
      </c>
      <c r="M925" s="49" t="s">
        <v>7885</v>
      </c>
      <c r="N925" s="49" t="s">
        <v>7886</v>
      </c>
      <c r="O925" s="49" t="s">
        <v>7887</v>
      </c>
      <c r="P925" s="49" t="s">
        <v>7888</v>
      </c>
      <c r="Q925" s="49" t="s">
        <v>7889</v>
      </c>
      <c r="R925" s="49" t="s">
        <v>7890</v>
      </c>
      <c r="S925" s="49" t="s">
        <v>7891</v>
      </c>
      <c r="T925" s="49" t="s">
        <v>7892</v>
      </c>
    </row>
    <row r="926" spans="1:21" x14ac:dyDescent="0.2">
      <c r="A926" s="49" t="s">
        <v>30</v>
      </c>
      <c r="D926" s="49" t="s">
        <v>7893</v>
      </c>
      <c r="G926" s="49" t="s">
        <v>15841</v>
      </c>
      <c r="H926" s="49" t="s">
        <v>7894</v>
      </c>
      <c r="I926" s="49" t="s">
        <v>7895</v>
      </c>
      <c r="J926" s="49" t="s">
        <v>7896</v>
      </c>
      <c r="K926" s="49" t="s">
        <v>7897</v>
      </c>
      <c r="L926" s="49" t="s">
        <v>7898</v>
      </c>
      <c r="M926" s="49" t="s">
        <v>7899</v>
      </c>
      <c r="N926" s="49" t="s">
        <v>7900</v>
      </c>
      <c r="O926" s="49" t="s">
        <v>7901</v>
      </c>
      <c r="P926" s="49" t="s">
        <v>7902</v>
      </c>
      <c r="Q926" s="49" t="s">
        <v>7903</v>
      </c>
      <c r="R926" s="49" t="s">
        <v>7904</v>
      </c>
      <c r="S926" s="49" t="s">
        <v>7905</v>
      </c>
      <c r="T926" s="49" t="s">
        <v>7906</v>
      </c>
    </row>
    <row r="927" spans="1:21" x14ac:dyDescent="0.2">
      <c r="A927" s="49" t="s">
        <v>30</v>
      </c>
      <c r="D927" s="49" t="s">
        <v>7907</v>
      </c>
      <c r="G927" s="49" t="s">
        <v>15842</v>
      </c>
      <c r="H927" s="49" t="s">
        <v>7908</v>
      </c>
      <c r="I927" s="49" t="s">
        <v>7909</v>
      </c>
      <c r="J927" s="49" t="s">
        <v>7910</v>
      </c>
      <c r="K927" s="49" t="s">
        <v>7911</v>
      </c>
      <c r="L927" s="49" t="s">
        <v>7912</v>
      </c>
      <c r="M927" s="49" t="s">
        <v>7913</v>
      </c>
      <c r="N927" s="49" t="s">
        <v>7914</v>
      </c>
      <c r="O927" s="49" t="s">
        <v>7915</v>
      </c>
      <c r="P927" s="49" t="s">
        <v>7916</v>
      </c>
      <c r="Q927" s="49" t="s">
        <v>7917</v>
      </c>
      <c r="R927" s="49" t="s">
        <v>7918</v>
      </c>
      <c r="S927" s="49" t="s">
        <v>7919</v>
      </c>
      <c r="T927" s="49" t="s">
        <v>7920</v>
      </c>
    </row>
    <row r="928" spans="1:21" x14ac:dyDescent="0.2">
      <c r="A928" s="49" t="s">
        <v>30</v>
      </c>
      <c r="D928" s="49" t="s">
        <v>7921</v>
      </c>
      <c r="G928" s="49" t="s">
        <v>15843</v>
      </c>
      <c r="H928" s="49" t="s">
        <v>7922</v>
      </c>
      <c r="I928" s="49" t="s">
        <v>7923</v>
      </c>
      <c r="J928" s="49" t="s">
        <v>7924</v>
      </c>
      <c r="K928" s="49" t="s">
        <v>7925</v>
      </c>
      <c r="L928" s="49" t="s">
        <v>7926</v>
      </c>
      <c r="M928" s="49" t="s">
        <v>7927</v>
      </c>
      <c r="N928" s="49" t="s">
        <v>7928</v>
      </c>
      <c r="O928" s="49" t="s">
        <v>7929</v>
      </c>
      <c r="P928" s="49" t="s">
        <v>7930</v>
      </c>
      <c r="Q928" s="49" t="s">
        <v>7931</v>
      </c>
      <c r="R928" s="49" t="s">
        <v>7932</v>
      </c>
      <c r="S928" s="49" t="s">
        <v>7933</v>
      </c>
      <c r="T928" s="49" t="s">
        <v>7934</v>
      </c>
    </row>
    <row r="929" spans="1:21" x14ac:dyDescent="0.2">
      <c r="A929" s="49" t="s">
        <v>30</v>
      </c>
      <c r="D929" s="49" t="s">
        <v>7935</v>
      </c>
      <c r="G929" s="49" t="s">
        <v>15844</v>
      </c>
      <c r="H929" s="49" t="s">
        <v>7936</v>
      </c>
      <c r="I929" s="49" t="s">
        <v>7937</v>
      </c>
      <c r="J929" s="49" t="s">
        <v>7938</v>
      </c>
      <c r="K929" s="49" t="s">
        <v>7939</v>
      </c>
      <c r="L929" s="49" t="s">
        <v>7940</v>
      </c>
      <c r="M929" s="49" t="s">
        <v>7941</v>
      </c>
      <c r="N929" s="49" t="s">
        <v>7942</v>
      </c>
      <c r="O929" s="49" t="s">
        <v>7943</v>
      </c>
      <c r="P929" s="49" t="s">
        <v>7944</v>
      </c>
      <c r="Q929" s="49" t="s">
        <v>7945</v>
      </c>
      <c r="R929" s="49" t="s">
        <v>7946</v>
      </c>
      <c r="S929" s="49" t="s">
        <v>7947</v>
      </c>
      <c r="T929" s="49" t="s">
        <v>7948</v>
      </c>
    </row>
    <row r="930" spans="1:21" x14ac:dyDescent="0.2">
      <c r="A930" s="49" t="s">
        <v>30</v>
      </c>
      <c r="D930" s="49" t="s">
        <v>11542</v>
      </c>
      <c r="G930" s="49" t="s">
        <v>15845</v>
      </c>
      <c r="H930" s="49" t="s">
        <v>11910</v>
      </c>
      <c r="I930" s="49" t="s">
        <v>11911</v>
      </c>
      <c r="J930" s="49" t="s">
        <v>11918</v>
      </c>
      <c r="K930" s="49" t="s">
        <v>11919</v>
      </c>
      <c r="L930" s="49" t="s">
        <v>11543</v>
      </c>
      <c r="M930" s="49" t="s">
        <v>11544</v>
      </c>
      <c r="N930" s="49" t="s">
        <v>11545</v>
      </c>
      <c r="O930" s="49" t="s">
        <v>11912</v>
      </c>
      <c r="P930" s="49" t="s">
        <v>11913</v>
      </c>
      <c r="Q930" s="49" t="s">
        <v>11914</v>
      </c>
      <c r="R930" s="49" t="s">
        <v>11915</v>
      </c>
      <c r="S930" s="49" t="s">
        <v>11916</v>
      </c>
      <c r="T930" s="49" t="s">
        <v>11917</v>
      </c>
    </row>
    <row r="931" spans="1:21" x14ac:dyDescent="0.2">
      <c r="A931" s="49" t="s">
        <v>30</v>
      </c>
      <c r="D931" s="49" t="s">
        <v>15846</v>
      </c>
      <c r="G931" s="49" t="s">
        <v>15847</v>
      </c>
      <c r="H931" s="49" t="s">
        <v>30126</v>
      </c>
      <c r="I931" s="49" t="s">
        <v>30127</v>
      </c>
      <c r="J931" s="49" t="s">
        <v>30134</v>
      </c>
      <c r="K931" s="49" t="s">
        <v>30135</v>
      </c>
      <c r="L931" s="49" t="s">
        <v>15848</v>
      </c>
      <c r="M931" s="49" t="s">
        <v>15849</v>
      </c>
      <c r="N931" s="49" t="s">
        <v>15850</v>
      </c>
      <c r="O931" s="49" t="s">
        <v>30128</v>
      </c>
      <c r="P931" s="49" t="s">
        <v>30129</v>
      </c>
      <c r="Q931" s="49" t="s">
        <v>30130</v>
      </c>
      <c r="R931" s="49" t="s">
        <v>30131</v>
      </c>
      <c r="S931" s="49" t="s">
        <v>30132</v>
      </c>
      <c r="T931" s="49" t="s">
        <v>30133</v>
      </c>
    </row>
    <row r="932" spans="1:21" x14ac:dyDescent="0.2">
      <c r="A932" s="49" t="s">
        <v>30</v>
      </c>
    </row>
    <row r="933" spans="1:21" x14ac:dyDescent="0.2">
      <c r="A933" s="49" t="s">
        <v>30</v>
      </c>
      <c r="E933" s="49" t="s">
        <v>31</v>
      </c>
      <c r="F933" s="49" t="s">
        <v>31</v>
      </c>
      <c r="G933" s="49" t="s">
        <v>31</v>
      </c>
      <c r="J933" s="49" t="s">
        <v>31</v>
      </c>
      <c r="K933" s="49" t="s">
        <v>31</v>
      </c>
      <c r="L933" s="49" t="s">
        <v>31</v>
      </c>
      <c r="M933" s="49" t="s">
        <v>31</v>
      </c>
    </row>
    <row r="934" spans="1:21" x14ac:dyDescent="0.2">
      <c r="A934" s="49" t="s">
        <v>30</v>
      </c>
      <c r="D934" s="49" t="s">
        <v>15851</v>
      </c>
      <c r="E934" s="49" t="s">
        <v>5584</v>
      </c>
      <c r="F934" s="49" t="s">
        <v>15852</v>
      </c>
      <c r="H934" s="49" t="s">
        <v>15853</v>
      </c>
      <c r="O934" s="49" t="s">
        <v>15854</v>
      </c>
      <c r="P934" s="49" t="s">
        <v>15855</v>
      </c>
      <c r="Q934" s="49" t="s">
        <v>15856</v>
      </c>
      <c r="R934" s="49" t="s">
        <v>15857</v>
      </c>
      <c r="S934" s="49" t="s">
        <v>15858</v>
      </c>
      <c r="T934" s="49" t="s">
        <v>15859</v>
      </c>
      <c r="U934" s="49" t="s">
        <v>15860</v>
      </c>
    </row>
    <row r="935" spans="1:21" x14ac:dyDescent="0.2">
      <c r="A935" s="49" t="s">
        <v>30</v>
      </c>
      <c r="D935" s="49" t="s">
        <v>7950</v>
      </c>
      <c r="G935" s="49" t="s">
        <v>15861</v>
      </c>
      <c r="H935" s="49" t="s">
        <v>7951</v>
      </c>
      <c r="I935" s="49" t="s">
        <v>7952</v>
      </c>
      <c r="J935" s="49" t="s">
        <v>7953</v>
      </c>
      <c r="K935" s="49" t="s">
        <v>7954</v>
      </c>
      <c r="L935" s="49" t="s">
        <v>7955</v>
      </c>
      <c r="M935" s="49" t="s">
        <v>7956</v>
      </c>
      <c r="N935" s="49" t="s">
        <v>7957</v>
      </c>
      <c r="O935" s="49" t="s">
        <v>7958</v>
      </c>
      <c r="P935" s="49" t="s">
        <v>7959</v>
      </c>
      <c r="Q935" s="49" t="s">
        <v>7960</v>
      </c>
      <c r="R935" s="49" t="s">
        <v>7961</v>
      </c>
      <c r="S935" s="49" t="s">
        <v>7962</v>
      </c>
      <c r="T935" s="49" t="s">
        <v>7963</v>
      </c>
    </row>
    <row r="936" spans="1:21" x14ac:dyDescent="0.2">
      <c r="A936" s="49" t="s">
        <v>30</v>
      </c>
      <c r="D936" s="49" t="s">
        <v>7964</v>
      </c>
      <c r="G936" s="49" t="s">
        <v>15862</v>
      </c>
      <c r="H936" s="49" t="s">
        <v>7965</v>
      </c>
      <c r="I936" s="49" t="s">
        <v>7966</v>
      </c>
      <c r="J936" s="49" t="s">
        <v>7967</v>
      </c>
      <c r="K936" s="49" t="s">
        <v>7968</v>
      </c>
      <c r="L936" s="49" t="s">
        <v>7969</v>
      </c>
      <c r="M936" s="49" t="s">
        <v>7970</v>
      </c>
      <c r="N936" s="49" t="s">
        <v>7971</v>
      </c>
      <c r="O936" s="49" t="s">
        <v>7972</v>
      </c>
      <c r="P936" s="49" t="s">
        <v>7973</v>
      </c>
      <c r="Q936" s="49" t="s">
        <v>7974</v>
      </c>
      <c r="R936" s="49" t="s">
        <v>7975</v>
      </c>
      <c r="S936" s="49" t="s">
        <v>7976</v>
      </c>
      <c r="T936" s="49" t="s">
        <v>7977</v>
      </c>
    </row>
    <row r="937" spans="1:21" x14ac:dyDescent="0.2">
      <c r="A937" s="49" t="s">
        <v>30</v>
      </c>
      <c r="D937" s="49" t="s">
        <v>7978</v>
      </c>
      <c r="G937" s="49" t="s">
        <v>15863</v>
      </c>
      <c r="H937" s="49" t="s">
        <v>7979</v>
      </c>
      <c r="I937" s="49" t="s">
        <v>7980</v>
      </c>
      <c r="J937" s="49" t="s">
        <v>7981</v>
      </c>
      <c r="K937" s="49" t="s">
        <v>7982</v>
      </c>
      <c r="L937" s="49" t="s">
        <v>7983</v>
      </c>
      <c r="M937" s="49" t="s">
        <v>7984</v>
      </c>
      <c r="N937" s="49" t="s">
        <v>7985</v>
      </c>
      <c r="O937" s="49" t="s">
        <v>7986</v>
      </c>
      <c r="P937" s="49" t="s">
        <v>7987</v>
      </c>
      <c r="Q937" s="49" t="s">
        <v>7988</v>
      </c>
      <c r="R937" s="49" t="s">
        <v>7989</v>
      </c>
      <c r="S937" s="49" t="s">
        <v>7990</v>
      </c>
      <c r="T937" s="49" t="s">
        <v>7991</v>
      </c>
    </row>
    <row r="938" spans="1:21" x14ac:dyDescent="0.2">
      <c r="A938" s="49" t="s">
        <v>30</v>
      </c>
      <c r="D938" s="49" t="s">
        <v>7992</v>
      </c>
      <c r="G938" s="49" t="s">
        <v>15864</v>
      </c>
      <c r="H938" s="49" t="s">
        <v>7993</v>
      </c>
      <c r="I938" s="49" t="s">
        <v>7994</v>
      </c>
      <c r="J938" s="49" t="s">
        <v>7995</v>
      </c>
      <c r="K938" s="49" t="s">
        <v>7996</v>
      </c>
      <c r="L938" s="49" t="s">
        <v>7997</v>
      </c>
      <c r="M938" s="49" t="s">
        <v>7998</v>
      </c>
      <c r="N938" s="49" t="s">
        <v>7999</v>
      </c>
      <c r="O938" s="49" t="s">
        <v>8000</v>
      </c>
      <c r="P938" s="49" t="s">
        <v>8001</v>
      </c>
      <c r="Q938" s="49" t="s">
        <v>8002</v>
      </c>
      <c r="R938" s="49" t="s">
        <v>8003</v>
      </c>
      <c r="S938" s="49" t="s">
        <v>8004</v>
      </c>
      <c r="T938" s="49" t="s">
        <v>8005</v>
      </c>
    </row>
    <row r="939" spans="1:21" x14ac:dyDescent="0.2">
      <c r="A939" s="49" t="s">
        <v>30</v>
      </c>
      <c r="D939" s="49" t="s">
        <v>8006</v>
      </c>
      <c r="G939" s="49" t="s">
        <v>15865</v>
      </c>
      <c r="H939" s="49" t="s">
        <v>8007</v>
      </c>
      <c r="I939" s="49" t="s">
        <v>8008</v>
      </c>
      <c r="J939" s="49" t="s">
        <v>8009</v>
      </c>
      <c r="K939" s="49" t="s">
        <v>8010</v>
      </c>
      <c r="L939" s="49" t="s">
        <v>8011</v>
      </c>
      <c r="M939" s="49" t="s">
        <v>8012</v>
      </c>
      <c r="N939" s="49" t="s">
        <v>8013</v>
      </c>
      <c r="O939" s="49" t="s">
        <v>8014</v>
      </c>
      <c r="P939" s="49" t="s">
        <v>8015</v>
      </c>
      <c r="Q939" s="49" t="s">
        <v>8016</v>
      </c>
      <c r="R939" s="49" t="s">
        <v>8017</v>
      </c>
      <c r="S939" s="49" t="s">
        <v>8018</v>
      </c>
      <c r="T939" s="49" t="s">
        <v>8019</v>
      </c>
    </row>
    <row r="940" spans="1:21" x14ac:dyDescent="0.2">
      <c r="A940" s="49" t="s">
        <v>30</v>
      </c>
      <c r="D940" s="49" t="s">
        <v>11546</v>
      </c>
      <c r="G940" s="49" t="s">
        <v>15866</v>
      </c>
      <c r="H940" s="49" t="s">
        <v>11880</v>
      </c>
      <c r="I940" s="49" t="s">
        <v>11883</v>
      </c>
      <c r="J940" s="49" t="s">
        <v>11904</v>
      </c>
      <c r="K940" s="49" t="s">
        <v>11907</v>
      </c>
      <c r="L940" s="49" t="s">
        <v>11547</v>
      </c>
      <c r="M940" s="49" t="s">
        <v>11548</v>
      </c>
      <c r="N940" s="49" t="s">
        <v>11549</v>
      </c>
      <c r="O940" s="49" t="s">
        <v>11886</v>
      </c>
      <c r="P940" s="49" t="s">
        <v>11889</v>
      </c>
      <c r="Q940" s="49" t="s">
        <v>11892</v>
      </c>
      <c r="R940" s="49" t="s">
        <v>11895</v>
      </c>
      <c r="S940" s="49" t="s">
        <v>11898</v>
      </c>
      <c r="T940" s="49" t="s">
        <v>11901</v>
      </c>
    </row>
    <row r="941" spans="1:21" x14ac:dyDescent="0.2">
      <c r="A941" s="49" t="s">
        <v>30</v>
      </c>
      <c r="D941" s="49" t="s">
        <v>11550</v>
      </c>
      <c r="G941" s="49" t="s">
        <v>15867</v>
      </c>
      <c r="H941" s="49" t="s">
        <v>11881</v>
      </c>
      <c r="I941" s="49" t="s">
        <v>11884</v>
      </c>
      <c r="J941" s="49" t="s">
        <v>11905</v>
      </c>
      <c r="K941" s="49" t="s">
        <v>11908</v>
      </c>
      <c r="L941" s="49" t="s">
        <v>11551</v>
      </c>
      <c r="M941" s="49" t="s">
        <v>11552</v>
      </c>
      <c r="N941" s="49" t="s">
        <v>11553</v>
      </c>
      <c r="O941" s="49" t="s">
        <v>11887</v>
      </c>
      <c r="P941" s="49" t="s">
        <v>11890</v>
      </c>
      <c r="Q941" s="49" t="s">
        <v>11893</v>
      </c>
      <c r="R941" s="49" t="s">
        <v>11896</v>
      </c>
      <c r="S941" s="49" t="s">
        <v>11899</v>
      </c>
      <c r="T941" s="49" t="s">
        <v>11902</v>
      </c>
    </row>
    <row r="942" spans="1:21" x14ac:dyDescent="0.2">
      <c r="A942" s="49" t="s">
        <v>30</v>
      </c>
      <c r="D942" s="49" t="s">
        <v>11554</v>
      </c>
      <c r="G942" s="49" t="s">
        <v>15868</v>
      </c>
      <c r="H942" s="49" t="s">
        <v>11882</v>
      </c>
      <c r="I942" s="49" t="s">
        <v>11885</v>
      </c>
      <c r="J942" s="49" t="s">
        <v>11906</v>
      </c>
      <c r="K942" s="49" t="s">
        <v>11909</v>
      </c>
      <c r="L942" s="49" t="s">
        <v>11555</v>
      </c>
      <c r="M942" s="49" t="s">
        <v>11556</v>
      </c>
      <c r="N942" s="49" t="s">
        <v>11557</v>
      </c>
      <c r="O942" s="49" t="s">
        <v>11888</v>
      </c>
      <c r="P942" s="49" t="s">
        <v>11891</v>
      </c>
      <c r="Q942" s="49" t="s">
        <v>11894</v>
      </c>
      <c r="R942" s="49" t="s">
        <v>11897</v>
      </c>
      <c r="S942" s="49" t="s">
        <v>11900</v>
      </c>
      <c r="T942" s="49" t="s">
        <v>11903</v>
      </c>
    </row>
    <row r="943" spans="1:21" x14ac:dyDescent="0.2">
      <c r="A943" s="49" t="s">
        <v>30</v>
      </c>
      <c r="D943" s="49" t="s">
        <v>8021</v>
      </c>
      <c r="G943" s="49" t="s">
        <v>15869</v>
      </c>
      <c r="H943" s="49" t="s">
        <v>8022</v>
      </c>
      <c r="I943" s="49" t="s">
        <v>8023</v>
      </c>
      <c r="J943" s="49" t="s">
        <v>8024</v>
      </c>
      <c r="K943" s="49" t="s">
        <v>8025</v>
      </c>
      <c r="L943" s="49" t="s">
        <v>8026</v>
      </c>
      <c r="M943" s="49" t="s">
        <v>8027</v>
      </c>
      <c r="N943" s="49" t="s">
        <v>8028</v>
      </c>
      <c r="O943" s="49" t="s">
        <v>8029</v>
      </c>
      <c r="P943" s="49" t="s">
        <v>8030</v>
      </c>
      <c r="Q943" s="49" t="s">
        <v>8031</v>
      </c>
      <c r="R943" s="49" t="s">
        <v>8032</v>
      </c>
      <c r="S943" s="49" t="s">
        <v>8033</v>
      </c>
      <c r="T943" s="49" t="s">
        <v>8034</v>
      </c>
    </row>
    <row r="944" spans="1:21" x14ac:dyDescent="0.2">
      <c r="A944" s="49" t="s">
        <v>30</v>
      </c>
      <c r="D944" s="49" t="s">
        <v>15870</v>
      </c>
      <c r="G944" s="49" t="s">
        <v>15871</v>
      </c>
      <c r="H944" s="49" t="s">
        <v>30096</v>
      </c>
      <c r="I944" s="49" t="s">
        <v>30099</v>
      </c>
      <c r="J944" s="49" t="s">
        <v>30120</v>
      </c>
      <c r="K944" s="49" t="s">
        <v>30123</v>
      </c>
      <c r="L944" s="49" t="s">
        <v>15872</v>
      </c>
      <c r="M944" s="49" t="s">
        <v>15873</v>
      </c>
      <c r="N944" s="49" t="s">
        <v>15874</v>
      </c>
      <c r="O944" s="49" t="s">
        <v>30102</v>
      </c>
      <c r="P944" s="49" t="s">
        <v>30105</v>
      </c>
      <c r="Q944" s="49" t="s">
        <v>30108</v>
      </c>
      <c r="R944" s="49" t="s">
        <v>30111</v>
      </c>
      <c r="S944" s="49" t="s">
        <v>30114</v>
      </c>
      <c r="T944" s="49" t="s">
        <v>30117</v>
      </c>
    </row>
    <row r="945" spans="1:21" x14ac:dyDescent="0.2">
      <c r="A945" s="49" t="s">
        <v>30</v>
      </c>
      <c r="D945" s="49" t="s">
        <v>15875</v>
      </c>
      <c r="G945" s="49" t="s">
        <v>15876</v>
      </c>
      <c r="H945" s="49" t="s">
        <v>30097</v>
      </c>
      <c r="I945" s="49" t="s">
        <v>30100</v>
      </c>
      <c r="J945" s="49" t="s">
        <v>30121</v>
      </c>
      <c r="K945" s="49" t="s">
        <v>30124</v>
      </c>
      <c r="L945" s="49" t="s">
        <v>15877</v>
      </c>
      <c r="M945" s="49" t="s">
        <v>15878</v>
      </c>
      <c r="N945" s="49" t="s">
        <v>15879</v>
      </c>
      <c r="O945" s="49" t="s">
        <v>30103</v>
      </c>
      <c r="P945" s="49" t="s">
        <v>30106</v>
      </c>
      <c r="Q945" s="49" t="s">
        <v>30109</v>
      </c>
      <c r="R945" s="49" t="s">
        <v>30112</v>
      </c>
      <c r="S945" s="49" t="s">
        <v>30115</v>
      </c>
      <c r="T945" s="49" t="s">
        <v>30118</v>
      </c>
    </row>
    <row r="946" spans="1:21" x14ac:dyDescent="0.2">
      <c r="A946" s="49" t="s">
        <v>30</v>
      </c>
      <c r="D946" s="49" t="s">
        <v>15880</v>
      </c>
      <c r="G946" s="49" t="s">
        <v>15881</v>
      </c>
      <c r="H946" s="49" t="s">
        <v>30098</v>
      </c>
      <c r="I946" s="49" t="s">
        <v>30101</v>
      </c>
      <c r="J946" s="49" t="s">
        <v>30122</v>
      </c>
      <c r="K946" s="49" t="s">
        <v>30125</v>
      </c>
      <c r="L946" s="49" t="s">
        <v>15882</v>
      </c>
      <c r="M946" s="49" t="s">
        <v>15883</v>
      </c>
      <c r="N946" s="49" t="s">
        <v>15884</v>
      </c>
      <c r="O946" s="49" t="s">
        <v>30104</v>
      </c>
      <c r="P946" s="49" t="s">
        <v>30107</v>
      </c>
      <c r="Q946" s="49" t="s">
        <v>30110</v>
      </c>
      <c r="R946" s="49" t="s">
        <v>30113</v>
      </c>
      <c r="S946" s="49" t="s">
        <v>30116</v>
      </c>
      <c r="T946" s="49" t="s">
        <v>30119</v>
      </c>
    </row>
    <row r="947" spans="1:21" x14ac:dyDescent="0.2">
      <c r="A947" s="49" t="s">
        <v>30</v>
      </c>
      <c r="D947" s="49" t="s">
        <v>8035</v>
      </c>
      <c r="G947" s="49" t="s">
        <v>15885</v>
      </c>
      <c r="H947" s="49" t="s">
        <v>8036</v>
      </c>
      <c r="I947" s="49" t="s">
        <v>8037</v>
      </c>
      <c r="J947" s="49" t="s">
        <v>8038</v>
      </c>
      <c r="K947" s="49" t="s">
        <v>8039</v>
      </c>
      <c r="L947" s="49" t="s">
        <v>8040</v>
      </c>
      <c r="M947" s="49" t="s">
        <v>8041</v>
      </c>
      <c r="N947" s="49" t="s">
        <v>8042</v>
      </c>
      <c r="O947" s="49" t="s">
        <v>8043</v>
      </c>
      <c r="P947" s="49" t="s">
        <v>8044</v>
      </c>
      <c r="Q947" s="49" t="s">
        <v>8045</v>
      </c>
      <c r="R947" s="49" t="s">
        <v>8046</v>
      </c>
      <c r="S947" s="49" t="s">
        <v>8047</v>
      </c>
      <c r="T947" s="49" t="s">
        <v>8048</v>
      </c>
    </row>
    <row r="948" spans="1:21" x14ac:dyDescent="0.2">
      <c r="A948" s="49" t="s">
        <v>30</v>
      </c>
      <c r="D948" s="49" t="s">
        <v>8049</v>
      </c>
      <c r="G948" s="49" t="s">
        <v>15886</v>
      </c>
      <c r="H948" s="49" t="s">
        <v>8050</v>
      </c>
      <c r="I948" s="49" t="s">
        <v>8051</v>
      </c>
      <c r="J948" s="49" t="s">
        <v>8052</v>
      </c>
      <c r="K948" s="49" t="s">
        <v>8053</v>
      </c>
      <c r="L948" s="49" t="s">
        <v>8054</v>
      </c>
      <c r="M948" s="49" t="s">
        <v>8055</v>
      </c>
      <c r="N948" s="49" t="s">
        <v>8056</v>
      </c>
      <c r="O948" s="49" t="s">
        <v>8057</v>
      </c>
      <c r="P948" s="49" t="s">
        <v>8058</v>
      </c>
      <c r="Q948" s="49" t="s">
        <v>8059</v>
      </c>
      <c r="R948" s="49" t="s">
        <v>8060</v>
      </c>
      <c r="S948" s="49" t="s">
        <v>8061</v>
      </c>
      <c r="T948" s="49" t="s">
        <v>8062</v>
      </c>
    </row>
    <row r="949" spans="1:21" x14ac:dyDescent="0.2">
      <c r="A949" s="49" t="s">
        <v>30</v>
      </c>
      <c r="D949" s="49" t="s">
        <v>8063</v>
      </c>
      <c r="G949" s="49" t="s">
        <v>15887</v>
      </c>
      <c r="H949" s="49" t="s">
        <v>8064</v>
      </c>
      <c r="I949" s="49" t="s">
        <v>8065</v>
      </c>
      <c r="J949" s="49" t="s">
        <v>8066</v>
      </c>
      <c r="K949" s="49" t="s">
        <v>8067</v>
      </c>
      <c r="L949" s="49" t="s">
        <v>8068</v>
      </c>
      <c r="M949" s="49" t="s">
        <v>8069</v>
      </c>
      <c r="N949" s="49" t="s">
        <v>8070</v>
      </c>
      <c r="O949" s="49" t="s">
        <v>8071</v>
      </c>
      <c r="P949" s="49" t="s">
        <v>8072</v>
      </c>
      <c r="Q949" s="49" t="s">
        <v>8073</v>
      </c>
      <c r="R949" s="49" t="s">
        <v>8074</v>
      </c>
      <c r="S949" s="49" t="s">
        <v>8075</v>
      </c>
      <c r="T949" s="49" t="s">
        <v>8076</v>
      </c>
    </row>
    <row r="950" spans="1:21" x14ac:dyDescent="0.2">
      <c r="A950" s="49" t="s">
        <v>30</v>
      </c>
    </row>
    <row r="951" spans="1:21" x14ac:dyDescent="0.2">
      <c r="A951" s="49" t="s">
        <v>30</v>
      </c>
      <c r="E951" s="49" t="s">
        <v>31</v>
      </c>
      <c r="F951" s="49" t="s">
        <v>31</v>
      </c>
      <c r="G951" s="49" t="s">
        <v>31</v>
      </c>
      <c r="J951" s="49" t="s">
        <v>31</v>
      </c>
      <c r="K951" s="49" t="s">
        <v>31</v>
      </c>
      <c r="L951" s="49" t="s">
        <v>31</v>
      </c>
      <c r="M951" s="49" t="s">
        <v>31</v>
      </c>
    </row>
    <row r="952" spans="1:21" x14ac:dyDescent="0.2">
      <c r="A952" s="49" t="s">
        <v>30</v>
      </c>
      <c r="D952" s="49" t="s">
        <v>15888</v>
      </c>
      <c r="E952" s="49" t="s">
        <v>5627</v>
      </c>
      <c r="F952" s="49" t="s">
        <v>15889</v>
      </c>
      <c r="H952" s="49" t="s">
        <v>15890</v>
      </c>
      <c r="O952" s="49" t="s">
        <v>15891</v>
      </c>
      <c r="P952" s="49" t="s">
        <v>15892</v>
      </c>
      <c r="Q952" s="49" t="s">
        <v>15893</v>
      </c>
      <c r="R952" s="49" t="s">
        <v>15894</v>
      </c>
      <c r="S952" s="49" t="s">
        <v>15895</v>
      </c>
      <c r="T952" s="49" t="s">
        <v>15896</v>
      </c>
      <c r="U952" s="49" t="s">
        <v>15897</v>
      </c>
    </row>
    <row r="953" spans="1:21" x14ac:dyDescent="0.2">
      <c r="A953" s="49" t="s">
        <v>30</v>
      </c>
      <c r="D953" s="49" t="s">
        <v>15898</v>
      </c>
      <c r="G953" s="49" t="s">
        <v>15899</v>
      </c>
      <c r="H953" s="49" t="s">
        <v>30056</v>
      </c>
      <c r="I953" s="49" t="s">
        <v>30060</v>
      </c>
      <c r="J953" s="49" t="s">
        <v>30088</v>
      </c>
      <c r="K953" s="49" t="s">
        <v>30092</v>
      </c>
      <c r="L953" s="49" t="s">
        <v>15900</v>
      </c>
      <c r="M953" s="49" t="s">
        <v>15901</v>
      </c>
      <c r="N953" s="49" t="s">
        <v>15902</v>
      </c>
      <c r="O953" s="49" t="s">
        <v>30064</v>
      </c>
      <c r="P953" s="49" t="s">
        <v>30068</v>
      </c>
      <c r="Q953" s="49" t="s">
        <v>30072</v>
      </c>
      <c r="R953" s="49" t="s">
        <v>30076</v>
      </c>
      <c r="S953" s="49" t="s">
        <v>30080</v>
      </c>
      <c r="T953" s="49" t="s">
        <v>30084</v>
      </c>
    </row>
    <row r="954" spans="1:21" x14ac:dyDescent="0.2">
      <c r="A954" s="49" t="s">
        <v>30</v>
      </c>
      <c r="D954" s="49" t="s">
        <v>11558</v>
      </c>
      <c r="G954" s="49" t="s">
        <v>15903</v>
      </c>
      <c r="H954" s="49" t="s">
        <v>11850</v>
      </c>
      <c r="I954" s="49" t="s">
        <v>11853</v>
      </c>
      <c r="J954" s="49" t="s">
        <v>11874</v>
      </c>
      <c r="K954" s="49" t="s">
        <v>11877</v>
      </c>
      <c r="L954" s="49" t="s">
        <v>11559</v>
      </c>
      <c r="M954" s="49" t="s">
        <v>11560</v>
      </c>
      <c r="N954" s="49" t="s">
        <v>11561</v>
      </c>
      <c r="O954" s="49" t="s">
        <v>11856</v>
      </c>
      <c r="P954" s="49" t="s">
        <v>11859</v>
      </c>
      <c r="Q954" s="49" t="s">
        <v>11862</v>
      </c>
      <c r="R954" s="49" t="s">
        <v>11865</v>
      </c>
      <c r="S954" s="49" t="s">
        <v>11868</v>
      </c>
      <c r="T954" s="49" t="s">
        <v>11871</v>
      </c>
    </row>
    <row r="955" spans="1:21" x14ac:dyDescent="0.2">
      <c r="A955" s="49" t="s">
        <v>30</v>
      </c>
      <c r="D955" s="49" t="s">
        <v>11562</v>
      </c>
      <c r="G955" s="49" t="s">
        <v>15904</v>
      </c>
      <c r="H955" s="49" t="s">
        <v>11851</v>
      </c>
      <c r="I955" s="49" t="s">
        <v>11854</v>
      </c>
      <c r="J955" s="49" t="s">
        <v>11875</v>
      </c>
      <c r="K955" s="49" t="s">
        <v>11878</v>
      </c>
      <c r="L955" s="49" t="s">
        <v>11563</v>
      </c>
      <c r="M955" s="49" t="s">
        <v>11564</v>
      </c>
      <c r="N955" s="49" t="s">
        <v>11565</v>
      </c>
      <c r="O955" s="49" t="s">
        <v>11857</v>
      </c>
      <c r="P955" s="49" t="s">
        <v>11860</v>
      </c>
      <c r="Q955" s="49" t="s">
        <v>11863</v>
      </c>
      <c r="R955" s="49" t="s">
        <v>11866</v>
      </c>
      <c r="S955" s="49" t="s">
        <v>11869</v>
      </c>
      <c r="T955" s="49" t="s">
        <v>11872</v>
      </c>
    </row>
    <row r="956" spans="1:21" x14ac:dyDescent="0.2">
      <c r="A956" s="49" t="s">
        <v>30</v>
      </c>
      <c r="D956" s="49" t="s">
        <v>11566</v>
      </c>
      <c r="G956" s="49" t="s">
        <v>15905</v>
      </c>
      <c r="H956" s="49" t="s">
        <v>11852</v>
      </c>
      <c r="I956" s="49" t="s">
        <v>11855</v>
      </c>
      <c r="J956" s="49" t="s">
        <v>11876</v>
      </c>
      <c r="K956" s="49" t="s">
        <v>11879</v>
      </c>
      <c r="L956" s="49" t="s">
        <v>11567</v>
      </c>
      <c r="M956" s="49" t="s">
        <v>11568</v>
      </c>
      <c r="N956" s="49" t="s">
        <v>11569</v>
      </c>
      <c r="O956" s="49" t="s">
        <v>11858</v>
      </c>
      <c r="P956" s="49" t="s">
        <v>11861</v>
      </c>
      <c r="Q956" s="49" t="s">
        <v>11864</v>
      </c>
      <c r="R956" s="49" t="s">
        <v>11867</v>
      </c>
      <c r="S956" s="49" t="s">
        <v>11870</v>
      </c>
      <c r="T956" s="49" t="s">
        <v>11873</v>
      </c>
    </row>
    <row r="957" spans="1:21" x14ac:dyDescent="0.2">
      <c r="A957" s="49" t="s">
        <v>30</v>
      </c>
      <c r="D957" s="49" t="s">
        <v>8078</v>
      </c>
      <c r="G957" s="49" t="s">
        <v>15906</v>
      </c>
      <c r="H957" s="49" t="s">
        <v>8079</v>
      </c>
      <c r="I957" s="49" t="s">
        <v>8080</v>
      </c>
      <c r="J957" s="49" t="s">
        <v>8081</v>
      </c>
      <c r="K957" s="49" t="s">
        <v>8082</v>
      </c>
      <c r="L957" s="49" t="s">
        <v>8083</v>
      </c>
      <c r="M957" s="49" t="s">
        <v>8084</v>
      </c>
      <c r="N957" s="49" t="s">
        <v>8085</v>
      </c>
      <c r="O957" s="49" t="s">
        <v>8086</v>
      </c>
      <c r="P957" s="49" t="s">
        <v>8087</v>
      </c>
      <c r="Q957" s="49" t="s">
        <v>8088</v>
      </c>
      <c r="R957" s="49" t="s">
        <v>8089</v>
      </c>
      <c r="S957" s="49" t="s">
        <v>8090</v>
      </c>
      <c r="T957" s="49" t="s">
        <v>8091</v>
      </c>
    </row>
    <row r="958" spans="1:21" x14ac:dyDescent="0.2">
      <c r="A958" s="49" t="s">
        <v>30</v>
      </c>
      <c r="D958" s="49" t="s">
        <v>8092</v>
      </c>
      <c r="G958" s="49" t="s">
        <v>15907</v>
      </c>
      <c r="H958" s="49" t="s">
        <v>8093</v>
      </c>
      <c r="I958" s="49" t="s">
        <v>8094</v>
      </c>
      <c r="J958" s="49" t="s">
        <v>8095</v>
      </c>
      <c r="K958" s="49" t="s">
        <v>8096</v>
      </c>
      <c r="L958" s="49" t="s">
        <v>8097</v>
      </c>
      <c r="M958" s="49" t="s">
        <v>8098</v>
      </c>
      <c r="N958" s="49" t="s">
        <v>8099</v>
      </c>
      <c r="O958" s="49" t="s">
        <v>8100</v>
      </c>
      <c r="P958" s="49" t="s">
        <v>8101</v>
      </c>
      <c r="Q958" s="49" t="s">
        <v>8102</v>
      </c>
      <c r="R958" s="49" t="s">
        <v>8103</v>
      </c>
      <c r="S958" s="49" t="s">
        <v>8104</v>
      </c>
      <c r="T958" s="49" t="s">
        <v>8105</v>
      </c>
    </row>
    <row r="959" spans="1:21" x14ac:dyDescent="0.2">
      <c r="A959" s="49" t="s">
        <v>30</v>
      </c>
      <c r="D959" s="49" t="s">
        <v>8106</v>
      </c>
      <c r="G959" s="49" t="s">
        <v>15908</v>
      </c>
      <c r="H959" s="49" t="s">
        <v>8107</v>
      </c>
      <c r="I959" s="49" t="s">
        <v>8108</v>
      </c>
      <c r="J959" s="49" t="s">
        <v>8109</v>
      </c>
      <c r="K959" s="49" t="s">
        <v>8110</v>
      </c>
      <c r="L959" s="49" t="s">
        <v>8111</v>
      </c>
      <c r="M959" s="49" t="s">
        <v>8112</v>
      </c>
      <c r="N959" s="49" t="s">
        <v>8113</v>
      </c>
      <c r="O959" s="49" t="s">
        <v>8114</v>
      </c>
      <c r="P959" s="49" t="s">
        <v>8115</v>
      </c>
      <c r="Q959" s="49" t="s">
        <v>8116</v>
      </c>
      <c r="R959" s="49" t="s">
        <v>8117</v>
      </c>
      <c r="S959" s="49" t="s">
        <v>8118</v>
      </c>
      <c r="T959" s="49" t="s">
        <v>8119</v>
      </c>
    </row>
    <row r="960" spans="1:21" x14ac:dyDescent="0.2">
      <c r="A960" s="49" t="s">
        <v>30</v>
      </c>
      <c r="D960" s="49" t="s">
        <v>8120</v>
      </c>
      <c r="G960" s="49" t="s">
        <v>15909</v>
      </c>
      <c r="H960" s="49" t="s">
        <v>8121</v>
      </c>
      <c r="I960" s="49" t="s">
        <v>8122</v>
      </c>
      <c r="J960" s="49" t="s">
        <v>8123</v>
      </c>
      <c r="K960" s="49" t="s">
        <v>8124</v>
      </c>
      <c r="L960" s="49" t="s">
        <v>8125</v>
      </c>
      <c r="M960" s="49" t="s">
        <v>8126</v>
      </c>
      <c r="N960" s="49" t="s">
        <v>8127</v>
      </c>
      <c r="O960" s="49" t="s">
        <v>8128</v>
      </c>
      <c r="P960" s="49" t="s">
        <v>8129</v>
      </c>
      <c r="Q960" s="49" t="s">
        <v>8130</v>
      </c>
      <c r="R960" s="49" t="s">
        <v>8131</v>
      </c>
      <c r="S960" s="49" t="s">
        <v>8132</v>
      </c>
      <c r="T960" s="49" t="s">
        <v>8133</v>
      </c>
    </row>
    <row r="961" spans="1:21" x14ac:dyDescent="0.2">
      <c r="A961" s="49" t="s">
        <v>30</v>
      </c>
      <c r="D961" s="49" t="s">
        <v>8134</v>
      </c>
      <c r="G961" s="49" t="s">
        <v>15910</v>
      </c>
      <c r="H961" s="49" t="s">
        <v>8135</v>
      </c>
      <c r="I961" s="49" t="s">
        <v>8136</v>
      </c>
      <c r="J961" s="49" t="s">
        <v>8137</v>
      </c>
      <c r="K961" s="49" t="s">
        <v>8138</v>
      </c>
      <c r="L961" s="49" t="s">
        <v>8139</v>
      </c>
      <c r="M961" s="49" t="s">
        <v>8140</v>
      </c>
      <c r="N961" s="49" t="s">
        <v>8141</v>
      </c>
      <c r="O961" s="49" t="s">
        <v>8142</v>
      </c>
      <c r="P961" s="49" t="s">
        <v>8143</v>
      </c>
      <c r="Q961" s="49" t="s">
        <v>8144</v>
      </c>
      <c r="R961" s="49" t="s">
        <v>8145</v>
      </c>
      <c r="S961" s="49" t="s">
        <v>8146</v>
      </c>
      <c r="T961" s="49" t="s">
        <v>8147</v>
      </c>
    </row>
    <row r="962" spans="1:21" x14ac:dyDescent="0.2">
      <c r="A962" s="49" t="s">
        <v>30</v>
      </c>
      <c r="D962" s="49" t="s">
        <v>15911</v>
      </c>
      <c r="G962" s="49" t="s">
        <v>15912</v>
      </c>
      <c r="H962" s="49" t="s">
        <v>30057</v>
      </c>
      <c r="I962" s="49" t="s">
        <v>30061</v>
      </c>
      <c r="J962" s="49" t="s">
        <v>30089</v>
      </c>
      <c r="K962" s="49" t="s">
        <v>30093</v>
      </c>
      <c r="L962" s="49" t="s">
        <v>15913</v>
      </c>
      <c r="M962" s="49" t="s">
        <v>15914</v>
      </c>
      <c r="N962" s="49" t="s">
        <v>15915</v>
      </c>
      <c r="O962" s="49" t="s">
        <v>30065</v>
      </c>
      <c r="P962" s="49" t="s">
        <v>30069</v>
      </c>
      <c r="Q962" s="49" t="s">
        <v>30073</v>
      </c>
      <c r="R962" s="49" t="s">
        <v>30077</v>
      </c>
      <c r="S962" s="49" t="s">
        <v>30081</v>
      </c>
      <c r="T962" s="49" t="s">
        <v>30085</v>
      </c>
    </row>
    <row r="963" spans="1:21" x14ac:dyDescent="0.2">
      <c r="A963" s="49" t="s">
        <v>30</v>
      </c>
      <c r="D963" s="49" t="s">
        <v>15916</v>
      </c>
      <c r="G963" s="49" t="s">
        <v>15917</v>
      </c>
      <c r="H963" s="49" t="s">
        <v>30058</v>
      </c>
      <c r="I963" s="49" t="s">
        <v>30062</v>
      </c>
      <c r="J963" s="49" t="s">
        <v>30090</v>
      </c>
      <c r="K963" s="49" t="s">
        <v>30094</v>
      </c>
      <c r="L963" s="49" t="s">
        <v>15918</v>
      </c>
      <c r="M963" s="49" t="s">
        <v>15919</v>
      </c>
      <c r="N963" s="49" t="s">
        <v>15920</v>
      </c>
      <c r="O963" s="49" t="s">
        <v>30066</v>
      </c>
      <c r="P963" s="49" t="s">
        <v>30070</v>
      </c>
      <c r="Q963" s="49" t="s">
        <v>30074</v>
      </c>
      <c r="R963" s="49" t="s">
        <v>30078</v>
      </c>
      <c r="S963" s="49" t="s">
        <v>30082</v>
      </c>
      <c r="T963" s="49" t="s">
        <v>30086</v>
      </c>
    </row>
    <row r="964" spans="1:21" x14ac:dyDescent="0.2">
      <c r="A964" s="49" t="s">
        <v>30</v>
      </c>
      <c r="D964" s="49" t="s">
        <v>15921</v>
      </c>
      <c r="G964" s="49" t="s">
        <v>15922</v>
      </c>
      <c r="H964" s="49" t="s">
        <v>30059</v>
      </c>
      <c r="I964" s="49" t="s">
        <v>30063</v>
      </c>
      <c r="J964" s="49" t="s">
        <v>30091</v>
      </c>
      <c r="K964" s="49" t="s">
        <v>30095</v>
      </c>
      <c r="L964" s="49" t="s">
        <v>15923</v>
      </c>
      <c r="M964" s="49" t="s">
        <v>15924</v>
      </c>
      <c r="N964" s="49" t="s">
        <v>15925</v>
      </c>
      <c r="O964" s="49" t="s">
        <v>30067</v>
      </c>
      <c r="P964" s="49" t="s">
        <v>30071</v>
      </c>
      <c r="Q964" s="49" t="s">
        <v>30075</v>
      </c>
      <c r="R964" s="49" t="s">
        <v>30079</v>
      </c>
      <c r="S964" s="49" t="s">
        <v>30083</v>
      </c>
      <c r="T964" s="49" t="s">
        <v>30087</v>
      </c>
    </row>
    <row r="965" spans="1:21" x14ac:dyDescent="0.2">
      <c r="A965" s="49" t="s">
        <v>30</v>
      </c>
      <c r="D965" s="49" t="s">
        <v>8148</v>
      </c>
      <c r="G965" s="49" t="s">
        <v>15926</v>
      </c>
      <c r="H965" s="49" t="s">
        <v>8149</v>
      </c>
      <c r="I965" s="49" t="s">
        <v>8150</v>
      </c>
      <c r="J965" s="49" t="s">
        <v>8151</v>
      </c>
      <c r="K965" s="49" t="s">
        <v>8152</v>
      </c>
      <c r="L965" s="49" t="s">
        <v>8153</v>
      </c>
      <c r="M965" s="49" t="s">
        <v>8154</v>
      </c>
      <c r="N965" s="49" t="s">
        <v>8155</v>
      </c>
      <c r="O965" s="49" t="s">
        <v>8156</v>
      </c>
      <c r="P965" s="49" t="s">
        <v>8157</v>
      </c>
      <c r="Q965" s="49" t="s">
        <v>8158</v>
      </c>
      <c r="R965" s="49" t="s">
        <v>8159</v>
      </c>
      <c r="S965" s="49" t="s">
        <v>8160</v>
      </c>
      <c r="T965" s="49" t="s">
        <v>8161</v>
      </c>
    </row>
    <row r="966" spans="1:21" x14ac:dyDescent="0.2">
      <c r="A966" s="49" t="s">
        <v>30</v>
      </c>
    </row>
    <row r="967" spans="1:21" x14ac:dyDescent="0.2">
      <c r="A967" s="49" t="s">
        <v>30</v>
      </c>
      <c r="E967" s="49" t="s">
        <v>31</v>
      </c>
      <c r="F967" s="49" t="s">
        <v>31</v>
      </c>
      <c r="G967" s="49" t="s">
        <v>31</v>
      </c>
      <c r="J967" s="49" t="s">
        <v>31</v>
      </c>
      <c r="K967" s="49" t="s">
        <v>31</v>
      </c>
      <c r="L967" s="49" t="s">
        <v>31</v>
      </c>
      <c r="M967" s="49" t="s">
        <v>31</v>
      </c>
    </row>
    <row r="968" spans="1:21" x14ac:dyDescent="0.2">
      <c r="A968" s="49" t="s">
        <v>30</v>
      </c>
      <c r="D968" s="49" t="s">
        <v>15927</v>
      </c>
      <c r="E968" s="49" t="s">
        <v>5698</v>
      </c>
      <c r="F968" s="49" t="s">
        <v>15928</v>
      </c>
      <c r="H968" s="49" t="s">
        <v>15929</v>
      </c>
      <c r="O968" s="49" t="s">
        <v>15930</v>
      </c>
      <c r="P968" s="49" t="s">
        <v>15931</v>
      </c>
      <c r="Q968" s="49" t="s">
        <v>15932</v>
      </c>
      <c r="R968" s="49" t="s">
        <v>15933</v>
      </c>
      <c r="S968" s="49" t="s">
        <v>15934</v>
      </c>
      <c r="T968" s="49" t="s">
        <v>15935</v>
      </c>
      <c r="U968" s="49" t="s">
        <v>15936</v>
      </c>
    </row>
    <row r="969" spans="1:21" x14ac:dyDescent="0.2">
      <c r="A969" s="49" t="s">
        <v>30</v>
      </c>
      <c r="D969" s="49" t="s">
        <v>8163</v>
      </c>
      <c r="G969" s="49" t="s">
        <v>15937</v>
      </c>
      <c r="H969" s="49" t="s">
        <v>8164</v>
      </c>
      <c r="I969" s="49" t="s">
        <v>8165</v>
      </c>
      <c r="J969" s="49" t="s">
        <v>8166</v>
      </c>
      <c r="K969" s="49" t="s">
        <v>8167</v>
      </c>
      <c r="L969" s="49" t="s">
        <v>8168</v>
      </c>
      <c r="M969" s="49" t="s">
        <v>8169</v>
      </c>
      <c r="N969" s="49" t="s">
        <v>8170</v>
      </c>
      <c r="O969" s="49" t="s">
        <v>8171</v>
      </c>
      <c r="P969" s="49" t="s">
        <v>8172</v>
      </c>
      <c r="Q969" s="49" t="s">
        <v>8173</v>
      </c>
      <c r="R969" s="49" t="s">
        <v>8174</v>
      </c>
      <c r="S969" s="49" t="s">
        <v>8175</v>
      </c>
      <c r="T969" s="49" t="s">
        <v>8176</v>
      </c>
    </row>
    <row r="970" spans="1:21" x14ac:dyDescent="0.2">
      <c r="A970" s="49" t="s">
        <v>30</v>
      </c>
      <c r="D970" s="49" t="s">
        <v>15938</v>
      </c>
      <c r="G970" s="49" t="s">
        <v>15939</v>
      </c>
      <c r="H970" s="49" t="s">
        <v>30006</v>
      </c>
      <c r="I970" s="49" t="s">
        <v>30011</v>
      </c>
      <c r="J970" s="49" t="s">
        <v>30046</v>
      </c>
      <c r="K970" s="49" t="s">
        <v>30051</v>
      </c>
      <c r="L970" s="49" t="s">
        <v>15940</v>
      </c>
      <c r="M970" s="49" t="s">
        <v>15941</v>
      </c>
      <c r="N970" s="49" t="s">
        <v>15942</v>
      </c>
      <c r="O970" s="49" t="s">
        <v>30016</v>
      </c>
      <c r="P970" s="49" t="s">
        <v>30021</v>
      </c>
      <c r="Q970" s="49" t="s">
        <v>30026</v>
      </c>
      <c r="R970" s="49" t="s">
        <v>30031</v>
      </c>
      <c r="S970" s="49" t="s">
        <v>30036</v>
      </c>
      <c r="T970" s="49" t="s">
        <v>30041</v>
      </c>
    </row>
    <row r="971" spans="1:21" x14ac:dyDescent="0.2">
      <c r="A971" s="49" t="s">
        <v>30</v>
      </c>
      <c r="D971" s="49" t="s">
        <v>15943</v>
      </c>
      <c r="G971" s="49" t="s">
        <v>15944</v>
      </c>
      <c r="H971" s="49" t="s">
        <v>30007</v>
      </c>
      <c r="I971" s="49" t="s">
        <v>30012</v>
      </c>
      <c r="J971" s="49" t="s">
        <v>30047</v>
      </c>
      <c r="K971" s="49" t="s">
        <v>30052</v>
      </c>
      <c r="L971" s="49" t="s">
        <v>15945</v>
      </c>
      <c r="M971" s="49" t="s">
        <v>15946</v>
      </c>
      <c r="N971" s="49" t="s">
        <v>15947</v>
      </c>
      <c r="O971" s="49" t="s">
        <v>30017</v>
      </c>
      <c r="P971" s="49" t="s">
        <v>30022</v>
      </c>
      <c r="Q971" s="49" t="s">
        <v>30027</v>
      </c>
      <c r="R971" s="49" t="s">
        <v>30032</v>
      </c>
      <c r="S971" s="49" t="s">
        <v>30037</v>
      </c>
      <c r="T971" s="49" t="s">
        <v>30042</v>
      </c>
    </row>
    <row r="972" spans="1:21" x14ac:dyDescent="0.2">
      <c r="A972" s="49" t="s">
        <v>30</v>
      </c>
      <c r="D972" s="49" t="s">
        <v>15948</v>
      </c>
      <c r="G972" s="49" t="s">
        <v>15949</v>
      </c>
      <c r="H972" s="49" t="s">
        <v>30008</v>
      </c>
      <c r="I972" s="49" t="s">
        <v>30013</v>
      </c>
      <c r="J972" s="49" t="s">
        <v>30048</v>
      </c>
      <c r="K972" s="49" t="s">
        <v>30053</v>
      </c>
      <c r="L972" s="49" t="s">
        <v>15950</v>
      </c>
      <c r="M972" s="49" t="s">
        <v>15951</v>
      </c>
      <c r="N972" s="49" t="s">
        <v>15952</v>
      </c>
      <c r="O972" s="49" t="s">
        <v>30018</v>
      </c>
      <c r="P972" s="49" t="s">
        <v>30023</v>
      </c>
      <c r="Q972" s="49" t="s">
        <v>30028</v>
      </c>
      <c r="R972" s="49" t="s">
        <v>30033</v>
      </c>
      <c r="S972" s="49" t="s">
        <v>30038</v>
      </c>
      <c r="T972" s="49" t="s">
        <v>30043</v>
      </c>
    </row>
    <row r="973" spans="1:21" x14ac:dyDescent="0.2">
      <c r="A973" s="49" t="s">
        <v>30</v>
      </c>
      <c r="D973" s="49" t="s">
        <v>8177</v>
      </c>
      <c r="G973" s="49" t="s">
        <v>15953</v>
      </c>
      <c r="H973" s="49" t="s">
        <v>8178</v>
      </c>
      <c r="I973" s="49" t="s">
        <v>8179</v>
      </c>
      <c r="J973" s="49" t="s">
        <v>8180</v>
      </c>
      <c r="K973" s="49" t="s">
        <v>8181</v>
      </c>
      <c r="L973" s="49" t="s">
        <v>8182</v>
      </c>
      <c r="M973" s="49" t="s">
        <v>8183</v>
      </c>
      <c r="N973" s="49" t="s">
        <v>8184</v>
      </c>
      <c r="O973" s="49" t="s">
        <v>8185</v>
      </c>
      <c r="P973" s="49" t="s">
        <v>8186</v>
      </c>
      <c r="Q973" s="49" t="s">
        <v>8187</v>
      </c>
      <c r="R973" s="49" t="s">
        <v>8188</v>
      </c>
      <c r="S973" s="49" t="s">
        <v>8189</v>
      </c>
      <c r="T973" s="49" t="s">
        <v>8190</v>
      </c>
    </row>
    <row r="974" spans="1:21" x14ac:dyDescent="0.2">
      <c r="A974" s="49" t="s">
        <v>30</v>
      </c>
      <c r="D974" s="49" t="s">
        <v>8191</v>
      </c>
      <c r="G974" s="49" t="s">
        <v>15954</v>
      </c>
      <c r="H974" s="49" t="s">
        <v>8192</v>
      </c>
      <c r="I974" s="49" t="s">
        <v>8193</v>
      </c>
      <c r="J974" s="49" t="s">
        <v>8194</v>
      </c>
      <c r="K974" s="49" t="s">
        <v>8195</v>
      </c>
      <c r="L974" s="49" t="s">
        <v>8196</v>
      </c>
      <c r="M974" s="49" t="s">
        <v>8197</v>
      </c>
      <c r="N974" s="49" t="s">
        <v>8198</v>
      </c>
      <c r="O974" s="49" t="s">
        <v>8199</v>
      </c>
      <c r="P974" s="49" t="s">
        <v>8200</v>
      </c>
      <c r="Q974" s="49" t="s">
        <v>8201</v>
      </c>
      <c r="R974" s="49" t="s">
        <v>8202</v>
      </c>
      <c r="S974" s="49" t="s">
        <v>8203</v>
      </c>
      <c r="T974" s="49" t="s">
        <v>8204</v>
      </c>
    </row>
    <row r="975" spans="1:21" x14ac:dyDescent="0.2">
      <c r="A975" s="49" t="s">
        <v>30</v>
      </c>
      <c r="D975" s="49" t="s">
        <v>11570</v>
      </c>
      <c r="G975" s="49" t="s">
        <v>15955</v>
      </c>
      <c r="H975" s="49" t="s">
        <v>11820</v>
      </c>
      <c r="I975" s="49" t="s">
        <v>11823</v>
      </c>
      <c r="J975" s="49" t="s">
        <v>11844</v>
      </c>
      <c r="K975" s="49" t="s">
        <v>11847</v>
      </c>
      <c r="L975" s="49" t="s">
        <v>11571</v>
      </c>
      <c r="M975" s="49" t="s">
        <v>11572</v>
      </c>
      <c r="N975" s="49" t="s">
        <v>11573</v>
      </c>
      <c r="O975" s="49" t="s">
        <v>11826</v>
      </c>
      <c r="P975" s="49" t="s">
        <v>11829</v>
      </c>
      <c r="Q975" s="49" t="s">
        <v>11832</v>
      </c>
      <c r="R975" s="49" t="s">
        <v>11835</v>
      </c>
      <c r="S975" s="49" t="s">
        <v>11838</v>
      </c>
      <c r="T975" s="49" t="s">
        <v>11841</v>
      </c>
    </row>
    <row r="976" spans="1:21" x14ac:dyDescent="0.2">
      <c r="A976" s="49" t="s">
        <v>30</v>
      </c>
      <c r="D976" s="49" t="s">
        <v>11574</v>
      </c>
      <c r="G976" s="49" t="s">
        <v>15956</v>
      </c>
      <c r="H976" s="49" t="s">
        <v>11821</v>
      </c>
      <c r="I976" s="49" t="s">
        <v>11824</v>
      </c>
      <c r="J976" s="49" t="s">
        <v>11845</v>
      </c>
      <c r="K976" s="49" t="s">
        <v>11848</v>
      </c>
      <c r="L976" s="49" t="s">
        <v>11575</v>
      </c>
      <c r="M976" s="49" t="s">
        <v>11576</v>
      </c>
      <c r="N976" s="49" t="s">
        <v>11577</v>
      </c>
      <c r="O976" s="49" t="s">
        <v>11827</v>
      </c>
      <c r="P976" s="49" t="s">
        <v>11830</v>
      </c>
      <c r="Q976" s="49" t="s">
        <v>11833</v>
      </c>
      <c r="R976" s="49" t="s">
        <v>11836</v>
      </c>
      <c r="S976" s="49" t="s">
        <v>11839</v>
      </c>
      <c r="T976" s="49" t="s">
        <v>11842</v>
      </c>
    </row>
    <row r="977" spans="1:21" x14ac:dyDescent="0.2">
      <c r="A977" s="49" t="s">
        <v>30</v>
      </c>
      <c r="D977" s="49" t="s">
        <v>11578</v>
      </c>
      <c r="G977" s="49" t="s">
        <v>15957</v>
      </c>
      <c r="H977" s="49" t="s">
        <v>11822</v>
      </c>
      <c r="I977" s="49" t="s">
        <v>11825</v>
      </c>
      <c r="J977" s="49" t="s">
        <v>11846</v>
      </c>
      <c r="K977" s="49" t="s">
        <v>11849</v>
      </c>
      <c r="L977" s="49" t="s">
        <v>11579</v>
      </c>
      <c r="M977" s="49" t="s">
        <v>11580</v>
      </c>
      <c r="N977" s="49" t="s">
        <v>11581</v>
      </c>
      <c r="O977" s="49" t="s">
        <v>11828</v>
      </c>
      <c r="P977" s="49" t="s">
        <v>11831</v>
      </c>
      <c r="Q977" s="49" t="s">
        <v>11834</v>
      </c>
      <c r="R977" s="49" t="s">
        <v>11837</v>
      </c>
      <c r="S977" s="49" t="s">
        <v>11840</v>
      </c>
      <c r="T977" s="49" t="s">
        <v>11843</v>
      </c>
    </row>
    <row r="978" spans="1:21" x14ac:dyDescent="0.2">
      <c r="A978" s="49" t="s">
        <v>30</v>
      </c>
      <c r="D978" s="49" t="s">
        <v>8206</v>
      </c>
      <c r="G978" s="49" t="s">
        <v>15958</v>
      </c>
      <c r="H978" s="49" t="s">
        <v>8207</v>
      </c>
      <c r="I978" s="49" t="s">
        <v>8208</v>
      </c>
      <c r="J978" s="49" t="s">
        <v>8209</v>
      </c>
      <c r="K978" s="49" t="s">
        <v>8210</v>
      </c>
      <c r="L978" s="49" t="s">
        <v>8211</v>
      </c>
      <c r="M978" s="49" t="s">
        <v>8212</v>
      </c>
      <c r="N978" s="49" t="s">
        <v>8213</v>
      </c>
      <c r="O978" s="49" t="s">
        <v>8214</v>
      </c>
      <c r="P978" s="49" t="s">
        <v>8215</v>
      </c>
      <c r="Q978" s="49" t="s">
        <v>8216</v>
      </c>
      <c r="R978" s="49" t="s">
        <v>8217</v>
      </c>
      <c r="S978" s="49" t="s">
        <v>8218</v>
      </c>
      <c r="T978" s="49" t="s">
        <v>8219</v>
      </c>
    </row>
    <row r="979" spans="1:21" x14ac:dyDescent="0.2">
      <c r="A979" s="49" t="s">
        <v>30</v>
      </c>
      <c r="D979" s="49" t="s">
        <v>15959</v>
      </c>
      <c r="G979" s="49" t="s">
        <v>15960</v>
      </c>
      <c r="H979" s="49" t="s">
        <v>30009</v>
      </c>
      <c r="I979" s="49" t="s">
        <v>30014</v>
      </c>
      <c r="J979" s="49" t="s">
        <v>30049</v>
      </c>
      <c r="K979" s="49" t="s">
        <v>30054</v>
      </c>
      <c r="L979" s="49" t="s">
        <v>15961</v>
      </c>
      <c r="M979" s="49" t="s">
        <v>15962</v>
      </c>
      <c r="N979" s="49" t="s">
        <v>15963</v>
      </c>
      <c r="O979" s="49" t="s">
        <v>30019</v>
      </c>
      <c r="P979" s="49" t="s">
        <v>30024</v>
      </c>
      <c r="Q979" s="49" t="s">
        <v>30029</v>
      </c>
      <c r="R979" s="49" t="s">
        <v>30034</v>
      </c>
      <c r="S979" s="49" t="s">
        <v>30039</v>
      </c>
      <c r="T979" s="49" t="s">
        <v>30044</v>
      </c>
    </row>
    <row r="980" spans="1:21" x14ac:dyDescent="0.2">
      <c r="A980" s="49" t="s">
        <v>30</v>
      </c>
      <c r="D980" s="49" t="s">
        <v>15964</v>
      </c>
      <c r="G980" s="49" t="s">
        <v>15965</v>
      </c>
      <c r="H980" s="49" t="s">
        <v>30010</v>
      </c>
      <c r="I980" s="49" t="s">
        <v>30015</v>
      </c>
      <c r="J980" s="49" t="s">
        <v>30050</v>
      </c>
      <c r="K980" s="49" t="s">
        <v>30055</v>
      </c>
      <c r="L980" s="49" t="s">
        <v>15966</v>
      </c>
      <c r="M980" s="49" t="s">
        <v>15967</v>
      </c>
      <c r="N980" s="49" t="s">
        <v>15968</v>
      </c>
      <c r="O980" s="49" t="s">
        <v>30020</v>
      </c>
      <c r="P980" s="49" t="s">
        <v>30025</v>
      </c>
      <c r="Q980" s="49" t="s">
        <v>30030</v>
      </c>
      <c r="R980" s="49" t="s">
        <v>30035</v>
      </c>
      <c r="S980" s="49" t="s">
        <v>30040</v>
      </c>
      <c r="T980" s="49" t="s">
        <v>30045</v>
      </c>
    </row>
    <row r="981" spans="1:21" x14ac:dyDescent="0.2">
      <c r="A981" s="49" t="s">
        <v>30</v>
      </c>
    </row>
    <row r="982" spans="1:21" x14ac:dyDescent="0.2">
      <c r="A982" s="49" t="s">
        <v>30</v>
      </c>
      <c r="E982" s="49" t="s">
        <v>31</v>
      </c>
      <c r="F982" s="49" t="s">
        <v>31</v>
      </c>
      <c r="G982" s="49" t="s">
        <v>31</v>
      </c>
      <c r="J982" s="49" t="s">
        <v>31</v>
      </c>
      <c r="K982" s="49" t="s">
        <v>31</v>
      </c>
      <c r="L982" s="49" t="s">
        <v>31</v>
      </c>
      <c r="M982" s="49" t="s">
        <v>31</v>
      </c>
    </row>
    <row r="983" spans="1:21" x14ac:dyDescent="0.2">
      <c r="A983" s="49" t="s">
        <v>30</v>
      </c>
      <c r="D983" s="49" t="s">
        <v>15969</v>
      </c>
      <c r="E983" s="49" t="s">
        <v>5805</v>
      </c>
      <c r="F983" s="49" t="s">
        <v>15970</v>
      </c>
      <c r="H983" s="49" t="s">
        <v>15971</v>
      </c>
      <c r="O983" s="49" t="s">
        <v>15972</v>
      </c>
      <c r="P983" s="49" t="s">
        <v>15973</v>
      </c>
      <c r="Q983" s="49" t="s">
        <v>15974</v>
      </c>
      <c r="R983" s="49" t="s">
        <v>15975</v>
      </c>
      <c r="S983" s="49" t="s">
        <v>15976</v>
      </c>
      <c r="T983" s="49" t="s">
        <v>15977</v>
      </c>
      <c r="U983" s="49" t="s">
        <v>15978</v>
      </c>
    </row>
    <row r="984" spans="1:21" x14ac:dyDescent="0.2">
      <c r="A984" s="49" t="s">
        <v>30</v>
      </c>
      <c r="D984" s="49" t="s">
        <v>8220</v>
      </c>
      <c r="G984" s="49" t="s">
        <v>15979</v>
      </c>
      <c r="H984" s="49" t="s">
        <v>8221</v>
      </c>
      <c r="I984" s="49" t="s">
        <v>8222</v>
      </c>
      <c r="J984" s="49" t="s">
        <v>8223</v>
      </c>
      <c r="K984" s="49" t="s">
        <v>8224</v>
      </c>
      <c r="L984" s="49" t="s">
        <v>8225</v>
      </c>
      <c r="M984" s="49" t="s">
        <v>8226</v>
      </c>
      <c r="N984" s="49" t="s">
        <v>8227</v>
      </c>
      <c r="O984" s="49" t="s">
        <v>8228</v>
      </c>
      <c r="P984" s="49" t="s">
        <v>8229</v>
      </c>
      <c r="Q984" s="49" t="s">
        <v>8230</v>
      </c>
      <c r="R984" s="49" t="s">
        <v>8231</v>
      </c>
      <c r="S984" s="49" t="s">
        <v>8232</v>
      </c>
      <c r="T984" s="49" t="s">
        <v>8233</v>
      </c>
    </row>
    <row r="985" spans="1:21" x14ac:dyDescent="0.2">
      <c r="A985" s="49" t="s">
        <v>30</v>
      </c>
      <c r="D985" s="49" t="s">
        <v>8234</v>
      </c>
      <c r="G985" s="49" t="s">
        <v>15980</v>
      </c>
      <c r="H985" s="49" t="s">
        <v>8235</v>
      </c>
      <c r="I985" s="49" t="s">
        <v>8236</v>
      </c>
      <c r="J985" s="49" t="s">
        <v>8237</v>
      </c>
      <c r="K985" s="49" t="s">
        <v>8238</v>
      </c>
      <c r="L985" s="49" t="s">
        <v>8239</v>
      </c>
      <c r="M985" s="49" t="s">
        <v>8240</v>
      </c>
      <c r="N985" s="49" t="s">
        <v>8241</v>
      </c>
      <c r="O985" s="49" t="s">
        <v>8242</v>
      </c>
      <c r="P985" s="49" t="s">
        <v>8243</v>
      </c>
      <c r="Q985" s="49" t="s">
        <v>8244</v>
      </c>
      <c r="R985" s="49" t="s">
        <v>8245</v>
      </c>
      <c r="S985" s="49" t="s">
        <v>8246</v>
      </c>
      <c r="T985" s="49" t="s">
        <v>8247</v>
      </c>
    </row>
    <row r="986" spans="1:21" x14ac:dyDescent="0.2">
      <c r="A986" s="49" t="s">
        <v>30</v>
      </c>
      <c r="D986" s="49" t="s">
        <v>8248</v>
      </c>
      <c r="G986" s="49" t="s">
        <v>15981</v>
      </c>
      <c r="H986" s="49" t="s">
        <v>8249</v>
      </c>
      <c r="I986" s="49" t="s">
        <v>8250</v>
      </c>
      <c r="J986" s="49" t="s">
        <v>8251</v>
      </c>
      <c r="K986" s="49" t="s">
        <v>8252</v>
      </c>
      <c r="L986" s="49" t="s">
        <v>8253</v>
      </c>
      <c r="M986" s="49" t="s">
        <v>8254</v>
      </c>
      <c r="N986" s="49" t="s">
        <v>8255</v>
      </c>
      <c r="O986" s="49" t="s">
        <v>8256</v>
      </c>
      <c r="P986" s="49" t="s">
        <v>8257</v>
      </c>
      <c r="Q986" s="49" t="s">
        <v>8258</v>
      </c>
      <c r="R986" s="49" t="s">
        <v>8259</v>
      </c>
      <c r="S986" s="49" t="s">
        <v>8260</v>
      </c>
      <c r="T986" s="49" t="s">
        <v>8261</v>
      </c>
    </row>
    <row r="987" spans="1:21" x14ac:dyDescent="0.2">
      <c r="A987" s="49" t="s">
        <v>30</v>
      </c>
      <c r="D987" s="49" t="s">
        <v>15982</v>
      </c>
      <c r="G987" s="49" t="s">
        <v>15983</v>
      </c>
      <c r="H987" s="49" t="s">
        <v>29946</v>
      </c>
      <c r="I987" s="49" t="s">
        <v>29952</v>
      </c>
      <c r="J987" s="49" t="s">
        <v>29994</v>
      </c>
      <c r="K987" s="49" t="s">
        <v>30000</v>
      </c>
      <c r="L987" s="49" t="s">
        <v>15984</v>
      </c>
      <c r="M987" s="49" t="s">
        <v>15985</v>
      </c>
      <c r="N987" s="49" t="s">
        <v>15986</v>
      </c>
      <c r="O987" s="49" t="s">
        <v>29958</v>
      </c>
      <c r="P987" s="49" t="s">
        <v>29964</v>
      </c>
      <c r="Q987" s="49" t="s">
        <v>29970</v>
      </c>
      <c r="R987" s="49" t="s">
        <v>29976</v>
      </c>
      <c r="S987" s="49" t="s">
        <v>29982</v>
      </c>
      <c r="T987" s="49" t="s">
        <v>29988</v>
      </c>
    </row>
    <row r="988" spans="1:21" x14ac:dyDescent="0.2">
      <c r="A988" s="49" t="s">
        <v>30</v>
      </c>
      <c r="D988" s="49" t="s">
        <v>15987</v>
      </c>
      <c r="G988" s="49" t="s">
        <v>15988</v>
      </c>
      <c r="H988" s="49" t="s">
        <v>29947</v>
      </c>
      <c r="I988" s="49" t="s">
        <v>29953</v>
      </c>
      <c r="J988" s="49" t="s">
        <v>29995</v>
      </c>
      <c r="K988" s="49" t="s">
        <v>30001</v>
      </c>
      <c r="L988" s="49" t="s">
        <v>15989</v>
      </c>
      <c r="M988" s="49" t="s">
        <v>15990</v>
      </c>
      <c r="N988" s="49" t="s">
        <v>15991</v>
      </c>
      <c r="O988" s="49" t="s">
        <v>29959</v>
      </c>
      <c r="P988" s="49" t="s">
        <v>29965</v>
      </c>
      <c r="Q988" s="49" t="s">
        <v>29971</v>
      </c>
      <c r="R988" s="49" t="s">
        <v>29977</v>
      </c>
      <c r="S988" s="49" t="s">
        <v>29983</v>
      </c>
      <c r="T988" s="49" t="s">
        <v>29989</v>
      </c>
    </row>
    <row r="989" spans="1:21" x14ac:dyDescent="0.2">
      <c r="A989" s="49" t="s">
        <v>30</v>
      </c>
      <c r="D989" s="49" t="s">
        <v>15992</v>
      </c>
      <c r="G989" s="49" t="s">
        <v>15993</v>
      </c>
      <c r="H989" s="49" t="s">
        <v>29948</v>
      </c>
      <c r="I989" s="49" t="s">
        <v>29954</v>
      </c>
      <c r="J989" s="49" t="s">
        <v>29996</v>
      </c>
      <c r="K989" s="49" t="s">
        <v>30002</v>
      </c>
      <c r="L989" s="49" t="s">
        <v>15994</v>
      </c>
      <c r="M989" s="49" t="s">
        <v>15995</v>
      </c>
      <c r="N989" s="49" t="s">
        <v>15996</v>
      </c>
      <c r="O989" s="49" t="s">
        <v>29960</v>
      </c>
      <c r="P989" s="49" t="s">
        <v>29966</v>
      </c>
      <c r="Q989" s="49" t="s">
        <v>29972</v>
      </c>
      <c r="R989" s="49" t="s">
        <v>29978</v>
      </c>
      <c r="S989" s="49" t="s">
        <v>29984</v>
      </c>
      <c r="T989" s="49" t="s">
        <v>29990</v>
      </c>
    </row>
    <row r="990" spans="1:21" x14ac:dyDescent="0.2">
      <c r="A990" s="49" t="s">
        <v>30</v>
      </c>
      <c r="D990" s="49" t="s">
        <v>8263</v>
      </c>
      <c r="G990" s="49" t="s">
        <v>15997</v>
      </c>
      <c r="H990" s="49" t="s">
        <v>8264</v>
      </c>
      <c r="I990" s="49" t="s">
        <v>8265</v>
      </c>
      <c r="J990" s="49" t="s">
        <v>8266</v>
      </c>
      <c r="K990" s="49" t="s">
        <v>8267</v>
      </c>
      <c r="L990" s="49" t="s">
        <v>8268</v>
      </c>
      <c r="M990" s="49" t="s">
        <v>8269</v>
      </c>
      <c r="N990" s="49" t="s">
        <v>8270</v>
      </c>
      <c r="O990" s="49" t="s">
        <v>8271</v>
      </c>
      <c r="P990" s="49" t="s">
        <v>8272</v>
      </c>
      <c r="Q990" s="49" t="s">
        <v>8273</v>
      </c>
      <c r="R990" s="49" t="s">
        <v>8274</v>
      </c>
      <c r="S990" s="49" t="s">
        <v>8275</v>
      </c>
      <c r="T990" s="49" t="s">
        <v>8276</v>
      </c>
    </row>
    <row r="991" spans="1:21" x14ac:dyDescent="0.2">
      <c r="A991" s="49" t="s">
        <v>30</v>
      </c>
      <c r="D991" s="49" t="s">
        <v>8277</v>
      </c>
      <c r="G991" s="49" t="s">
        <v>15998</v>
      </c>
      <c r="H991" s="49" t="s">
        <v>8278</v>
      </c>
      <c r="I991" s="49" t="s">
        <v>8279</v>
      </c>
      <c r="J991" s="49" t="s">
        <v>8280</v>
      </c>
      <c r="K991" s="49" t="s">
        <v>8281</v>
      </c>
      <c r="L991" s="49" t="s">
        <v>8282</v>
      </c>
      <c r="M991" s="49" t="s">
        <v>8283</v>
      </c>
      <c r="N991" s="49" t="s">
        <v>8284</v>
      </c>
      <c r="O991" s="49" t="s">
        <v>8285</v>
      </c>
      <c r="P991" s="49" t="s">
        <v>8286</v>
      </c>
      <c r="Q991" s="49" t="s">
        <v>8287</v>
      </c>
      <c r="R991" s="49" t="s">
        <v>8288</v>
      </c>
      <c r="S991" s="49" t="s">
        <v>8289</v>
      </c>
      <c r="T991" s="49" t="s">
        <v>8290</v>
      </c>
    </row>
    <row r="992" spans="1:21" x14ac:dyDescent="0.2">
      <c r="A992" s="49" t="s">
        <v>30</v>
      </c>
      <c r="D992" s="49" t="s">
        <v>8291</v>
      </c>
      <c r="G992" s="49" t="s">
        <v>15999</v>
      </c>
      <c r="H992" s="49" t="s">
        <v>8292</v>
      </c>
      <c r="I992" s="49" t="s">
        <v>8293</v>
      </c>
      <c r="J992" s="49" t="s">
        <v>8294</v>
      </c>
      <c r="K992" s="49" t="s">
        <v>8295</v>
      </c>
      <c r="L992" s="49" t="s">
        <v>8296</v>
      </c>
      <c r="M992" s="49" t="s">
        <v>8297</v>
      </c>
      <c r="N992" s="49" t="s">
        <v>8298</v>
      </c>
      <c r="O992" s="49" t="s">
        <v>8299</v>
      </c>
      <c r="P992" s="49" t="s">
        <v>8300</v>
      </c>
      <c r="Q992" s="49" t="s">
        <v>8301</v>
      </c>
      <c r="R992" s="49" t="s">
        <v>8302</v>
      </c>
      <c r="S992" s="49" t="s">
        <v>8303</v>
      </c>
      <c r="T992" s="49" t="s">
        <v>8304</v>
      </c>
    </row>
    <row r="993" spans="1:21" x14ac:dyDescent="0.2">
      <c r="A993" s="49" t="s">
        <v>30</v>
      </c>
      <c r="D993" s="49" t="s">
        <v>8305</v>
      </c>
      <c r="G993" s="49" t="s">
        <v>16000</v>
      </c>
      <c r="H993" s="49" t="s">
        <v>8306</v>
      </c>
      <c r="I993" s="49" t="s">
        <v>8307</v>
      </c>
      <c r="J993" s="49" t="s">
        <v>8308</v>
      </c>
      <c r="K993" s="49" t="s">
        <v>8309</v>
      </c>
      <c r="L993" s="49" t="s">
        <v>8310</v>
      </c>
      <c r="M993" s="49" t="s">
        <v>8311</v>
      </c>
      <c r="N993" s="49" t="s">
        <v>8312</v>
      </c>
      <c r="O993" s="49" t="s">
        <v>8313</v>
      </c>
      <c r="P993" s="49" t="s">
        <v>8314</v>
      </c>
      <c r="Q993" s="49" t="s">
        <v>8315</v>
      </c>
      <c r="R993" s="49" t="s">
        <v>8316</v>
      </c>
      <c r="S993" s="49" t="s">
        <v>8317</v>
      </c>
      <c r="T993" s="49" t="s">
        <v>8318</v>
      </c>
    </row>
    <row r="994" spans="1:21" x14ac:dyDescent="0.2">
      <c r="A994" s="49" t="s">
        <v>30</v>
      </c>
      <c r="D994" s="49" t="s">
        <v>8319</v>
      </c>
      <c r="G994" s="49" t="s">
        <v>16001</v>
      </c>
      <c r="H994" s="49" t="s">
        <v>8320</v>
      </c>
      <c r="I994" s="49" t="s">
        <v>8321</v>
      </c>
      <c r="J994" s="49" t="s">
        <v>8322</v>
      </c>
      <c r="K994" s="49" t="s">
        <v>8323</v>
      </c>
      <c r="L994" s="49" t="s">
        <v>8324</v>
      </c>
      <c r="M994" s="49" t="s">
        <v>8325</v>
      </c>
      <c r="N994" s="49" t="s">
        <v>8326</v>
      </c>
      <c r="O994" s="49" t="s">
        <v>8327</v>
      </c>
      <c r="P994" s="49" t="s">
        <v>8328</v>
      </c>
      <c r="Q994" s="49" t="s">
        <v>8329</v>
      </c>
      <c r="R994" s="49" t="s">
        <v>8330</v>
      </c>
      <c r="S994" s="49" t="s">
        <v>8331</v>
      </c>
      <c r="T994" s="49" t="s">
        <v>8332</v>
      </c>
    </row>
    <row r="995" spans="1:21" x14ac:dyDescent="0.2">
      <c r="A995" s="49" t="s">
        <v>30</v>
      </c>
      <c r="D995" s="49" t="s">
        <v>16002</v>
      </c>
      <c r="G995" s="49" t="s">
        <v>16003</v>
      </c>
      <c r="H995" s="49" t="s">
        <v>29949</v>
      </c>
      <c r="I995" s="49" t="s">
        <v>29955</v>
      </c>
      <c r="J995" s="49" t="s">
        <v>29997</v>
      </c>
      <c r="K995" s="49" t="s">
        <v>30003</v>
      </c>
      <c r="L995" s="49" t="s">
        <v>16004</v>
      </c>
      <c r="M995" s="49" t="s">
        <v>16005</v>
      </c>
      <c r="N995" s="49" t="s">
        <v>16006</v>
      </c>
      <c r="O995" s="49" t="s">
        <v>29961</v>
      </c>
      <c r="P995" s="49" t="s">
        <v>29967</v>
      </c>
      <c r="Q995" s="49" t="s">
        <v>29973</v>
      </c>
      <c r="R995" s="49" t="s">
        <v>29979</v>
      </c>
      <c r="S995" s="49" t="s">
        <v>29985</v>
      </c>
      <c r="T995" s="49" t="s">
        <v>29991</v>
      </c>
    </row>
    <row r="996" spans="1:21" x14ac:dyDescent="0.2">
      <c r="A996" s="49" t="s">
        <v>30</v>
      </c>
      <c r="D996" s="49" t="s">
        <v>16007</v>
      </c>
      <c r="G996" s="49" t="s">
        <v>16008</v>
      </c>
      <c r="H996" s="49" t="s">
        <v>29950</v>
      </c>
      <c r="I996" s="49" t="s">
        <v>29956</v>
      </c>
      <c r="J996" s="49" t="s">
        <v>29998</v>
      </c>
      <c r="K996" s="49" t="s">
        <v>30004</v>
      </c>
      <c r="L996" s="49" t="s">
        <v>16009</v>
      </c>
      <c r="M996" s="49" t="s">
        <v>16010</v>
      </c>
      <c r="N996" s="49" t="s">
        <v>16011</v>
      </c>
      <c r="O996" s="49" t="s">
        <v>29962</v>
      </c>
      <c r="P996" s="49" t="s">
        <v>29968</v>
      </c>
      <c r="Q996" s="49" t="s">
        <v>29974</v>
      </c>
      <c r="R996" s="49" t="s">
        <v>29980</v>
      </c>
      <c r="S996" s="49" t="s">
        <v>29986</v>
      </c>
      <c r="T996" s="49" t="s">
        <v>29992</v>
      </c>
    </row>
    <row r="997" spans="1:21" x14ac:dyDescent="0.2">
      <c r="A997" s="49" t="s">
        <v>30</v>
      </c>
      <c r="D997" s="49" t="s">
        <v>16012</v>
      </c>
      <c r="G997" s="49" t="s">
        <v>16013</v>
      </c>
      <c r="H997" s="49" t="s">
        <v>29951</v>
      </c>
      <c r="I997" s="49" t="s">
        <v>29957</v>
      </c>
      <c r="J997" s="49" t="s">
        <v>29999</v>
      </c>
      <c r="K997" s="49" t="s">
        <v>30005</v>
      </c>
      <c r="L997" s="49" t="s">
        <v>16014</v>
      </c>
      <c r="M997" s="49" t="s">
        <v>16015</v>
      </c>
      <c r="N997" s="49" t="s">
        <v>16016</v>
      </c>
      <c r="O997" s="49" t="s">
        <v>29963</v>
      </c>
      <c r="P997" s="49" t="s">
        <v>29969</v>
      </c>
      <c r="Q997" s="49" t="s">
        <v>29975</v>
      </c>
      <c r="R997" s="49" t="s">
        <v>29981</v>
      </c>
      <c r="S997" s="49" t="s">
        <v>29987</v>
      </c>
      <c r="T997" s="49" t="s">
        <v>29993</v>
      </c>
    </row>
    <row r="998" spans="1:21" x14ac:dyDescent="0.2">
      <c r="A998" s="49" t="s">
        <v>30</v>
      </c>
      <c r="D998" s="49" t="s">
        <v>11582</v>
      </c>
      <c r="G998" s="49" t="s">
        <v>16017</v>
      </c>
      <c r="H998" s="49" t="s">
        <v>11810</v>
      </c>
      <c r="I998" s="49" t="s">
        <v>11811</v>
      </c>
      <c r="J998" s="49" t="s">
        <v>11818</v>
      </c>
      <c r="K998" s="49" t="s">
        <v>11819</v>
      </c>
      <c r="L998" s="49" t="s">
        <v>11583</v>
      </c>
      <c r="M998" s="49" t="s">
        <v>11584</v>
      </c>
      <c r="N998" s="49" t="s">
        <v>11585</v>
      </c>
      <c r="O998" s="49" t="s">
        <v>11812</v>
      </c>
      <c r="P998" s="49" t="s">
        <v>11813</v>
      </c>
      <c r="Q998" s="49" t="s">
        <v>11814</v>
      </c>
      <c r="R998" s="49" t="s">
        <v>11815</v>
      </c>
      <c r="S998" s="49" t="s">
        <v>11816</v>
      </c>
      <c r="T998" s="49" t="s">
        <v>11817</v>
      </c>
    </row>
    <row r="999" spans="1:21" x14ac:dyDescent="0.2">
      <c r="A999" s="49" t="s">
        <v>30</v>
      </c>
      <c r="D999" s="49" t="s">
        <v>8334</v>
      </c>
      <c r="G999" s="49" t="s">
        <v>16018</v>
      </c>
      <c r="H999" s="49" t="s">
        <v>8335</v>
      </c>
      <c r="I999" s="49" t="s">
        <v>8336</v>
      </c>
      <c r="J999" s="49" t="s">
        <v>8337</v>
      </c>
      <c r="K999" s="49" t="s">
        <v>8338</v>
      </c>
      <c r="L999" s="49" t="s">
        <v>8339</v>
      </c>
      <c r="M999" s="49" t="s">
        <v>8340</v>
      </c>
      <c r="N999" s="49" t="s">
        <v>8341</v>
      </c>
      <c r="O999" s="49" t="s">
        <v>8342</v>
      </c>
      <c r="P999" s="49" t="s">
        <v>8343</v>
      </c>
      <c r="Q999" s="49" t="s">
        <v>8344</v>
      </c>
      <c r="R999" s="49" t="s">
        <v>8345</v>
      </c>
      <c r="S999" s="49" t="s">
        <v>8346</v>
      </c>
      <c r="T999" s="49" t="s">
        <v>8347</v>
      </c>
    </row>
    <row r="1000" spans="1:21" x14ac:dyDescent="0.2">
      <c r="A1000" s="49" t="s">
        <v>30</v>
      </c>
    </row>
    <row r="1001" spans="1:21" x14ac:dyDescent="0.2">
      <c r="A1001" s="49" t="s">
        <v>30</v>
      </c>
      <c r="E1001" s="49" t="s">
        <v>31</v>
      </c>
      <c r="F1001" s="49" t="s">
        <v>31</v>
      </c>
      <c r="G1001" s="49" t="s">
        <v>31</v>
      </c>
      <c r="J1001" s="49" t="s">
        <v>31</v>
      </c>
      <c r="K1001" s="49" t="s">
        <v>31</v>
      </c>
      <c r="L1001" s="49" t="s">
        <v>31</v>
      </c>
      <c r="M1001" s="49" t="s">
        <v>31</v>
      </c>
    </row>
    <row r="1002" spans="1:21" x14ac:dyDescent="0.2">
      <c r="A1002" s="49" t="s">
        <v>30</v>
      </c>
      <c r="D1002" s="49" t="s">
        <v>16019</v>
      </c>
      <c r="E1002" s="49" t="s">
        <v>5890</v>
      </c>
      <c r="F1002" s="49" t="s">
        <v>16020</v>
      </c>
      <c r="H1002" s="49" t="s">
        <v>16021</v>
      </c>
      <c r="O1002" s="49" t="s">
        <v>16022</v>
      </c>
      <c r="P1002" s="49" t="s">
        <v>16023</v>
      </c>
      <c r="Q1002" s="49" t="s">
        <v>16024</v>
      </c>
      <c r="R1002" s="49" t="s">
        <v>16025</v>
      </c>
      <c r="S1002" s="49" t="s">
        <v>16026</v>
      </c>
      <c r="T1002" s="49" t="s">
        <v>16027</v>
      </c>
      <c r="U1002" s="49" t="s">
        <v>16028</v>
      </c>
    </row>
    <row r="1003" spans="1:21" x14ac:dyDescent="0.2">
      <c r="A1003" s="49" t="s">
        <v>30</v>
      </c>
      <c r="D1003" s="49" t="s">
        <v>8348</v>
      </c>
      <c r="G1003" s="49" t="s">
        <v>16029</v>
      </c>
      <c r="H1003" s="49" t="s">
        <v>8349</v>
      </c>
      <c r="I1003" s="49" t="s">
        <v>8350</v>
      </c>
      <c r="J1003" s="49" t="s">
        <v>8351</v>
      </c>
      <c r="K1003" s="49" t="s">
        <v>8352</v>
      </c>
      <c r="L1003" s="49" t="s">
        <v>8353</v>
      </c>
      <c r="M1003" s="49" t="s">
        <v>8354</v>
      </c>
      <c r="N1003" s="49" t="s">
        <v>8355</v>
      </c>
      <c r="O1003" s="49" t="s">
        <v>8356</v>
      </c>
      <c r="P1003" s="49" t="s">
        <v>8357</v>
      </c>
      <c r="Q1003" s="49" t="s">
        <v>8358</v>
      </c>
      <c r="R1003" s="49" t="s">
        <v>8359</v>
      </c>
      <c r="S1003" s="49" t="s">
        <v>8360</v>
      </c>
      <c r="T1003" s="49" t="s">
        <v>8361</v>
      </c>
    </row>
    <row r="1004" spans="1:21" x14ac:dyDescent="0.2">
      <c r="A1004" s="49" t="s">
        <v>30</v>
      </c>
      <c r="D1004" s="49" t="s">
        <v>8362</v>
      </c>
      <c r="G1004" s="49" t="s">
        <v>16030</v>
      </c>
      <c r="H1004" s="49" t="s">
        <v>8363</v>
      </c>
      <c r="I1004" s="49" t="s">
        <v>8364</v>
      </c>
      <c r="J1004" s="49" t="s">
        <v>8365</v>
      </c>
      <c r="K1004" s="49" t="s">
        <v>8366</v>
      </c>
      <c r="L1004" s="49" t="s">
        <v>8367</v>
      </c>
      <c r="M1004" s="49" t="s">
        <v>8368</v>
      </c>
      <c r="N1004" s="49" t="s">
        <v>8369</v>
      </c>
      <c r="O1004" s="49" t="s">
        <v>8370</v>
      </c>
      <c r="P1004" s="49" t="s">
        <v>8371</v>
      </c>
      <c r="Q1004" s="49" t="s">
        <v>8372</v>
      </c>
      <c r="R1004" s="49" t="s">
        <v>8373</v>
      </c>
      <c r="S1004" s="49" t="s">
        <v>8374</v>
      </c>
      <c r="T1004" s="49" t="s">
        <v>8375</v>
      </c>
    </row>
    <row r="1005" spans="1:21" x14ac:dyDescent="0.2">
      <c r="A1005" s="49" t="s">
        <v>30</v>
      </c>
      <c r="D1005" s="49" t="s">
        <v>8376</v>
      </c>
      <c r="G1005" s="49" t="s">
        <v>16031</v>
      </c>
      <c r="H1005" s="49" t="s">
        <v>8377</v>
      </c>
      <c r="I1005" s="49" t="s">
        <v>8378</v>
      </c>
      <c r="J1005" s="49" t="s">
        <v>8379</v>
      </c>
      <c r="K1005" s="49" t="s">
        <v>8380</v>
      </c>
      <c r="L1005" s="49" t="s">
        <v>8381</v>
      </c>
      <c r="M1005" s="49" t="s">
        <v>8382</v>
      </c>
      <c r="N1005" s="49" t="s">
        <v>8383</v>
      </c>
      <c r="O1005" s="49" t="s">
        <v>8384</v>
      </c>
      <c r="P1005" s="49" t="s">
        <v>8385</v>
      </c>
      <c r="Q1005" s="49" t="s">
        <v>8386</v>
      </c>
      <c r="R1005" s="49" t="s">
        <v>8387</v>
      </c>
      <c r="S1005" s="49" t="s">
        <v>8388</v>
      </c>
      <c r="T1005" s="49" t="s">
        <v>8389</v>
      </c>
    </row>
    <row r="1006" spans="1:21" x14ac:dyDescent="0.2">
      <c r="A1006" s="49" t="s">
        <v>30</v>
      </c>
      <c r="D1006" s="49" t="s">
        <v>8390</v>
      </c>
      <c r="G1006" s="49" t="s">
        <v>16032</v>
      </c>
      <c r="H1006" s="49" t="s">
        <v>8391</v>
      </c>
      <c r="I1006" s="49" t="s">
        <v>8392</v>
      </c>
      <c r="J1006" s="49" t="s">
        <v>8393</v>
      </c>
      <c r="K1006" s="49" t="s">
        <v>8394</v>
      </c>
      <c r="L1006" s="49" t="s">
        <v>8395</v>
      </c>
      <c r="M1006" s="49" t="s">
        <v>8396</v>
      </c>
      <c r="N1006" s="49" t="s">
        <v>8397</v>
      </c>
      <c r="O1006" s="49" t="s">
        <v>8398</v>
      </c>
      <c r="P1006" s="49" t="s">
        <v>8399</v>
      </c>
      <c r="Q1006" s="49" t="s">
        <v>8400</v>
      </c>
      <c r="R1006" s="49" t="s">
        <v>8401</v>
      </c>
      <c r="S1006" s="49" t="s">
        <v>8402</v>
      </c>
      <c r="T1006" s="49" t="s">
        <v>8403</v>
      </c>
    </row>
    <row r="1007" spans="1:21" x14ac:dyDescent="0.2">
      <c r="A1007" s="49" t="s">
        <v>30</v>
      </c>
      <c r="D1007" s="49" t="s">
        <v>16033</v>
      </c>
      <c r="G1007" s="49" t="s">
        <v>16034</v>
      </c>
      <c r="H1007" s="49" t="s">
        <v>29886</v>
      </c>
      <c r="I1007" s="49" t="s">
        <v>29892</v>
      </c>
      <c r="J1007" s="49" t="s">
        <v>29934</v>
      </c>
      <c r="K1007" s="49" t="s">
        <v>29940</v>
      </c>
      <c r="L1007" s="49" t="s">
        <v>16035</v>
      </c>
      <c r="M1007" s="49" t="s">
        <v>16036</v>
      </c>
      <c r="N1007" s="49" t="s">
        <v>16037</v>
      </c>
      <c r="O1007" s="49" t="s">
        <v>29898</v>
      </c>
      <c r="P1007" s="49" t="s">
        <v>29904</v>
      </c>
      <c r="Q1007" s="49" t="s">
        <v>29910</v>
      </c>
      <c r="R1007" s="49" t="s">
        <v>29916</v>
      </c>
      <c r="S1007" s="49" t="s">
        <v>29922</v>
      </c>
      <c r="T1007" s="49" t="s">
        <v>29928</v>
      </c>
    </row>
    <row r="1008" spans="1:21" x14ac:dyDescent="0.2">
      <c r="A1008" s="49" t="s">
        <v>30</v>
      </c>
      <c r="D1008" s="49" t="s">
        <v>16038</v>
      </c>
      <c r="G1008" s="49" t="s">
        <v>16039</v>
      </c>
      <c r="H1008" s="49" t="s">
        <v>29887</v>
      </c>
      <c r="I1008" s="49" t="s">
        <v>29893</v>
      </c>
      <c r="J1008" s="49" t="s">
        <v>29935</v>
      </c>
      <c r="K1008" s="49" t="s">
        <v>29941</v>
      </c>
      <c r="L1008" s="49" t="s">
        <v>16040</v>
      </c>
      <c r="M1008" s="49" t="s">
        <v>16041</v>
      </c>
      <c r="N1008" s="49" t="s">
        <v>16042</v>
      </c>
      <c r="O1008" s="49" t="s">
        <v>29899</v>
      </c>
      <c r="P1008" s="49" t="s">
        <v>29905</v>
      </c>
      <c r="Q1008" s="49" t="s">
        <v>29911</v>
      </c>
      <c r="R1008" s="49" t="s">
        <v>29917</v>
      </c>
      <c r="S1008" s="49" t="s">
        <v>29923</v>
      </c>
      <c r="T1008" s="49" t="s">
        <v>29929</v>
      </c>
    </row>
    <row r="1009" spans="1:21" x14ac:dyDescent="0.2">
      <c r="A1009" s="49" t="s">
        <v>30</v>
      </c>
      <c r="D1009" s="49" t="s">
        <v>16043</v>
      </c>
      <c r="G1009" s="49" t="s">
        <v>16044</v>
      </c>
      <c r="H1009" s="49" t="s">
        <v>29888</v>
      </c>
      <c r="I1009" s="49" t="s">
        <v>29894</v>
      </c>
      <c r="J1009" s="49" t="s">
        <v>29936</v>
      </c>
      <c r="K1009" s="49" t="s">
        <v>29942</v>
      </c>
      <c r="L1009" s="49" t="s">
        <v>16045</v>
      </c>
      <c r="M1009" s="49" t="s">
        <v>16046</v>
      </c>
      <c r="N1009" s="49" t="s">
        <v>16047</v>
      </c>
      <c r="O1009" s="49" t="s">
        <v>29900</v>
      </c>
      <c r="P1009" s="49" t="s">
        <v>29906</v>
      </c>
      <c r="Q1009" s="49" t="s">
        <v>29912</v>
      </c>
      <c r="R1009" s="49" t="s">
        <v>29918</v>
      </c>
      <c r="S1009" s="49" t="s">
        <v>29924</v>
      </c>
      <c r="T1009" s="49" t="s">
        <v>29930</v>
      </c>
    </row>
    <row r="1010" spans="1:21" x14ac:dyDescent="0.2">
      <c r="A1010" s="49" t="s">
        <v>30</v>
      </c>
      <c r="D1010" s="49" t="s">
        <v>8405</v>
      </c>
      <c r="G1010" s="49" t="s">
        <v>16048</v>
      </c>
      <c r="H1010" s="49" t="s">
        <v>8406</v>
      </c>
      <c r="I1010" s="49" t="s">
        <v>8407</v>
      </c>
      <c r="J1010" s="49" t="s">
        <v>8408</v>
      </c>
      <c r="K1010" s="49" t="s">
        <v>8409</v>
      </c>
      <c r="L1010" s="49" t="s">
        <v>8410</v>
      </c>
      <c r="M1010" s="49" t="s">
        <v>8411</v>
      </c>
      <c r="N1010" s="49" t="s">
        <v>8412</v>
      </c>
      <c r="O1010" s="49" t="s">
        <v>8413</v>
      </c>
      <c r="P1010" s="49" t="s">
        <v>8414</v>
      </c>
      <c r="Q1010" s="49" t="s">
        <v>8415</v>
      </c>
      <c r="R1010" s="49" t="s">
        <v>8416</v>
      </c>
      <c r="S1010" s="49" t="s">
        <v>8417</v>
      </c>
      <c r="T1010" s="49" t="s">
        <v>8418</v>
      </c>
    </row>
    <row r="1011" spans="1:21" x14ac:dyDescent="0.2">
      <c r="A1011" s="49" t="s">
        <v>30</v>
      </c>
      <c r="D1011" s="49" t="s">
        <v>8419</v>
      </c>
      <c r="G1011" s="49" t="s">
        <v>16049</v>
      </c>
      <c r="H1011" s="49" t="s">
        <v>8420</v>
      </c>
      <c r="I1011" s="49" t="s">
        <v>8421</v>
      </c>
      <c r="J1011" s="49" t="s">
        <v>8422</v>
      </c>
      <c r="K1011" s="49" t="s">
        <v>8423</v>
      </c>
      <c r="L1011" s="49" t="s">
        <v>8424</v>
      </c>
      <c r="M1011" s="49" t="s">
        <v>8425</v>
      </c>
      <c r="N1011" s="49" t="s">
        <v>8426</v>
      </c>
      <c r="O1011" s="49" t="s">
        <v>8427</v>
      </c>
      <c r="P1011" s="49" t="s">
        <v>8428</v>
      </c>
      <c r="Q1011" s="49" t="s">
        <v>8429</v>
      </c>
      <c r="R1011" s="49" t="s">
        <v>8430</v>
      </c>
      <c r="S1011" s="49" t="s">
        <v>8431</v>
      </c>
      <c r="T1011" s="49" t="s">
        <v>8432</v>
      </c>
    </row>
    <row r="1012" spans="1:21" x14ac:dyDescent="0.2">
      <c r="A1012" s="49" t="s">
        <v>30</v>
      </c>
      <c r="D1012" s="49" t="s">
        <v>8433</v>
      </c>
      <c r="G1012" s="49" t="s">
        <v>16050</v>
      </c>
      <c r="H1012" s="49" t="s">
        <v>8434</v>
      </c>
      <c r="I1012" s="49" t="s">
        <v>8435</v>
      </c>
      <c r="J1012" s="49" t="s">
        <v>8436</v>
      </c>
      <c r="K1012" s="49" t="s">
        <v>8437</v>
      </c>
      <c r="L1012" s="49" t="s">
        <v>8438</v>
      </c>
      <c r="M1012" s="49" t="s">
        <v>8439</v>
      </c>
      <c r="N1012" s="49" t="s">
        <v>8440</v>
      </c>
      <c r="O1012" s="49" t="s">
        <v>8441</v>
      </c>
      <c r="P1012" s="49" t="s">
        <v>8442</v>
      </c>
      <c r="Q1012" s="49" t="s">
        <v>8443</v>
      </c>
      <c r="R1012" s="49" t="s">
        <v>8444</v>
      </c>
      <c r="S1012" s="49" t="s">
        <v>8445</v>
      </c>
      <c r="T1012" s="49" t="s">
        <v>8446</v>
      </c>
    </row>
    <row r="1013" spans="1:21" x14ac:dyDescent="0.2">
      <c r="A1013" s="49" t="s">
        <v>30</v>
      </c>
      <c r="D1013" s="49" t="s">
        <v>8447</v>
      </c>
      <c r="G1013" s="49" t="s">
        <v>16051</v>
      </c>
      <c r="H1013" s="49" t="s">
        <v>8448</v>
      </c>
      <c r="I1013" s="49" t="s">
        <v>8449</v>
      </c>
      <c r="J1013" s="49" t="s">
        <v>8450</v>
      </c>
      <c r="K1013" s="49" t="s">
        <v>8451</v>
      </c>
      <c r="L1013" s="49" t="s">
        <v>8452</v>
      </c>
      <c r="M1013" s="49" t="s">
        <v>8453</v>
      </c>
      <c r="N1013" s="49" t="s">
        <v>8454</v>
      </c>
      <c r="O1013" s="49" t="s">
        <v>8455</v>
      </c>
      <c r="P1013" s="49" t="s">
        <v>8456</v>
      </c>
      <c r="Q1013" s="49" t="s">
        <v>8457</v>
      </c>
      <c r="R1013" s="49" t="s">
        <v>8458</v>
      </c>
      <c r="S1013" s="49" t="s">
        <v>8459</v>
      </c>
      <c r="T1013" s="49" t="s">
        <v>8460</v>
      </c>
    </row>
    <row r="1014" spans="1:21" x14ac:dyDescent="0.2">
      <c r="A1014" s="49" t="s">
        <v>30</v>
      </c>
      <c r="D1014" s="49" t="s">
        <v>16052</v>
      </c>
      <c r="G1014" s="49" t="s">
        <v>16053</v>
      </c>
      <c r="H1014" s="49" t="s">
        <v>29889</v>
      </c>
      <c r="I1014" s="49" t="s">
        <v>29895</v>
      </c>
      <c r="J1014" s="49" t="s">
        <v>29937</v>
      </c>
      <c r="K1014" s="49" t="s">
        <v>29943</v>
      </c>
      <c r="L1014" s="49" t="s">
        <v>16054</v>
      </c>
      <c r="M1014" s="49" t="s">
        <v>16055</v>
      </c>
      <c r="N1014" s="49" t="s">
        <v>16056</v>
      </c>
      <c r="O1014" s="49" t="s">
        <v>29901</v>
      </c>
      <c r="P1014" s="49" t="s">
        <v>29907</v>
      </c>
      <c r="Q1014" s="49" t="s">
        <v>29913</v>
      </c>
      <c r="R1014" s="49" t="s">
        <v>29919</v>
      </c>
      <c r="S1014" s="49" t="s">
        <v>29925</v>
      </c>
      <c r="T1014" s="49" t="s">
        <v>29931</v>
      </c>
    </row>
    <row r="1015" spans="1:21" x14ac:dyDescent="0.2">
      <c r="A1015" s="49" t="s">
        <v>30</v>
      </c>
      <c r="D1015" s="49" t="s">
        <v>16057</v>
      </c>
      <c r="G1015" s="49" t="s">
        <v>16058</v>
      </c>
      <c r="H1015" s="49" t="s">
        <v>29890</v>
      </c>
      <c r="I1015" s="49" t="s">
        <v>29896</v>
      </c>
      <c r="J1015" s="49" t="s">
        <v>29938</v>
      </c>
      <c r="K1015" s="49" t="s">
        <v>29944</v>
      </c>
      <c r="L1015" s="49" t="s">
        <v>16059</v>
      </c>
      <c r="M1015" s="49" t="s">
        <v>16060</v>
      </c>
      <c r="N1015" s="49" t="s">
        <v>16061</v>
      </c>
      <c r="O1015" s="49" t="s">
        <v>29902</v>
      </c>
      <c r="P1015" s="49" t="s">
        <v>29908</v>
      </c>
      <c r="Q1015" s="49" t="s">
        <v>29914</v>
      </c>
      <c r="R1015" s="49" t="s">
        <v>29920</v>
      </c>
      <c r="S1015" s="49" t="s">
        <v>29926</v>
      </c>
      <c r="T1015" s="49" t="s">
        <v>29932</v>
      </c>
    </row>
    <row r="1016" spans="1:21" x14ac:dyDescent="0.2">
      <c r="A1016" s="49" t="s">
        <v>30</v>
      </c>
      <c r="D1016" s="49" t="s">
        <v>16062</v>
      </c>
      <c r="G1016" s="49" t="s">
        <v>16063</v>
      </c>
      <c r="H1016" s="49" t="s">
        <v>29891</v>
      </c>
      <c r="I1016" s="49" t="s">
        <v>29897</v>
      </c>
      <c r="J1016" s="49" t="s">
        <v>29939</v>
      </c>
      <c r="K1016" s="49" t="s">
        <v>29945</v>
      </c>
      <c r="L1016" s="49" t="s">
        <v>16064</v>
      </c>
      <c r="M1016" s="49" t="s">
        <v>16065</v>
      </c>
      <c r="N1016" s="49" t="s">
        <v>16066</v>
      </c>
      <c r="O1016" s="49" t="s">
        <v>29903</v>
      </c>
      <c r="P1016" s="49" t="s">
        <v>29909</v>
      </c>
      <c r="Q1016" s="49" t="s">
        <v>29915</v>
      </c>
      <c r="R1016" s="49" t="s">
        <v>29921</v>
      </c>
      <c r="S1016" s="49" t="s">
        <v>29927</v>
      </c>
      <c r="T1016" s="49" t="s">
        <v>29933</v>
      </c>
    </row>
    <row r="1017" spans="1:21" x14ac:dyDescent="0.2">
      <c r="A1017" s="49" t="s">
        <v>30</v>
      </c>
      <c r="D1017" s="49" t="s">
        <v>8461</v>
      </c>
      <c r="G1017" s="49" t="s">
        <v>16067</v>
      </c>
      <c r="H1017" s="49" t="s">
        <v>8462</v>
      </c>
      <c r="I1017" s="49" t="s">
        <v>8463</v>
      </c>
      <c r="J1017" s="49" t="s">
        <v>8464</v>
      </c>
      <c r="K1017" s="49" t="s">
        <v>8465</v>
      </c>
      <c r="L1017" s="49" t="s">
        <v>8466</v>
      </c>
      <c r="M1017" s="49" t="s">
        <v>8467</v>
      </c>
      <c r="N1017" s="49" t="s">
        <v>8468</v>
      </c>
      <c r="O1017" s="49" t="s">
        <v>8469</v>
      </c>
      <c r="P1017" s="49" t="s">
        <v>8470</v>
      </c>
      <c r="Q1017" s="49" t="s">
        <v>8471</v>
      </c>
      <c r="R1017" s="49" t="s">
        <v>8472</v>
      </c>
      <c r="S1017" s="49" t="s">
        <v>8473</v>
      </c>
      <c r="T1017" s="49" t="s">
        <v>8474</v>
      </c>
    </row>
    <row r="1018" spans="1:21" x14ac:dyDescent="0.2">
      <c r="A1018" s="49" t="s">
        <v>30</v>
      </c>
    </row>
    <row r="1019" spans="1:21" x14ac:dyDescent="0.2">
      <c r="A1019" s="49" t="s">
        <v>30</v>
      </c>
      <c r="E1019" s="49" t="s">
        <v>31</v>
      </c>
      <c r="F1019" s="49" t="s">
        <v>31</v>
      </c>
      <c r="G1019" s="49" t="s">
        <v>31</v>
      </c>
      <c r="J1019" s="49" t="s">
        <v>31</v>
      </c>
      <c r="K1019" s="49" t="s">
        <v>31</v>
      </c>
      <c r="L1019" s="49" t="s">
        <v>31</v>
      </c>
      <c r="M1019" s="49" t="s">
        <v>31</v>
      </c>
    </row>
    <row r="1020" spans="1:21" x14ac:dyDescent="0.2">
      <c r="A1020" s="49" t="s">
        <v>30</v>
      </c>
      <c r="D1020" s="49" t="s">
        <v>16068</v>
      </c>
      <c r="E1020" s="49" t="s">
        <v>5985</v>
      </c>
      <c r="F1020" s="49" t="s">
        <v>16069</v>
      </c>
      <c r="H1020" s="49" t="s">
        <v>16070</v>
      </c>
      <c r="O1020" s="49" t="s">
        <v>16071</v>
      </c>
      <c r="P1020" s="49" t="s">
        <v>16072</v>
      </c>
      <c r="Q1020" s="49" t="s">
        <v>16073</v>
      </c>
      <c r="R1020" s="49" t="s">
        <v>16074</v>
      </c>
      <c r="S1020" s="49" t="s">
        <v>16075</v>
      </c>
      <c r="T1020" s="49" t="s">
        <v>16076</v>
      </c>
      <c r="U1020" s="49" t="s">
        <v>16077</v>
      </c>
    </row>
    <row r="1021" spans="1:21" x14ac:dyDescent="0.2">
      <c r="A1021" s="49" t="s">
        <v>30</v>
      </c>
      <c r="D1021" s="49" t="s">
        <v>11586</v>
      </c>
      <c r="G1021" s="49" t="s">
        <v>16078</v>
      </c>
      <c r="H1021" s="49" t="s">
        <v>11790</v>
      </c>
      <c r="I1021" s="49" t="s">
        <v>11792</v>
      </c>
      <c r="J1021" s="49" t="s">
        <v>11806</v>
      </c>
      <c r="K1021" s="49" t="s">
        <v>11808</v>
      </c>
      <c r="L1021" s="49" t="s">
        <v>11587</v>
      </c>
      <c r="M1021" s="49" t="s">
        <v>11588</v>
      </c>
      <c r="N1021" s="49" t="s">
        <v>11589</v>
      </c>
      <c r="O1021" s="49" t="s">
        <v>11794</v>
      </c>
      <c r="P1021" s="49" t="s">
        <v>11796</v>
      </c>
      <c r="Q1021" s="49" t="s">
        <v>11798</v>
      </c>
      <c r="R1021" s="49" t="s">
        <v>11800</v>
      </c>
      <c r="S1021" s="49" t="s">
        <v>11802</v>
      </c>
      <c r="T1021" s="49" t="s">
        <v>11804</v>
      </c>
    </row>
    <row r="1022" spans="1:21" x14ac:dyDescent="0.2">
      <c r="A1022" s="49" t="s">
        <v>30</v>
      </c>
      <c r="D1022" s="49" t="s">
        <v>11590</v>
      </c>
      <c r="G1022" s="49" t="s">
        <v>16079</v>
      </c>
      <c r="H1022" s="49" t="s">
        <v>11791</v>
      </c>
      <c r="I1022" s="49" t="s">
        <v>11793</v>
      </c>
      <c r="J1022" s="49" t="s">
        <v>11807</v>
      </c>
      <c r="K1022" s="49" t="s">
        <v>11809</v>
      </c>
      <c r="L1022" s="49" t="s">
        <v>11591</v>
      </c>
      <c r="M1022" s="49" t="s">
        <v>11592</v>
      </c>
      <c r="N1022" s="49" t="s">
        <v>11593</v>
      </c>
      <c r="O1022" s="49" t="s">
        <v>11795</v>
      </c>
      <c r="P1022" s="49" t="s">
        <v>11797</v>
      </c>
      <c r="Q1022" s="49" t="s">
        <v>11799</v>
      </c>
      <c r="R1022" s="49" t="s">
        <v>11801</v>
      </c>
      <c r="S1022" s="49" t="s">
        <v>11803</v>
      </c>
      <c r="T1022" s="49" t="s">
        <v>11805</v>
      </c>
    </row>
    <row r="1023" spans="1:21" x14ac:dyDescent="0.2">
      <c r="A1023" s="49" t="s">
        <v>30</v>
      </c>
      <c r="D1023" s="49" t="s">
        <v>16080</v>
      </c>
      <c r="G1023" s="49" t="s">
        <v>16081</v>
      </c>
      <c r="H1023" s="49" t="s">
        <v>29806</v>
      </c>
      <c r="I1023" s="49" t="s">
        <v>29814</v>
      </c>
      <c r="J1023" s="49" t="s">
        <v>29870</v>
      </c>
      <c r="K1023" s="49" t="s">
        <v>29878</v>
      </c>
      <c r="L1023" s="49" t="s">
        <v>16082</v>
      </c>
      <c r="M1023" s="49" t="s">
        <v>16083</v>
      </c>
      <c r="N1023" s="49" t="s">
        <v>16084</v>
      </c>
      <c r="O1023" s="49" t="s">
        <v>29822</v>
      </c>
      <c r="P1023" s="49" t="s">
        <v>29830</v>
      </c>
      <c r="Q1023" s="49" t="s">
        <v>29838</v>
      </c>
      <c r="R1023" s="49" t="s">
        <v>29846</v>
      </c>
      <c r="S1023" s="49" t="s">
        <v>29854</v>
      </c>
      <c r="T1023" s="49" t="s">
        <v>29862</v>
      </c>
    </row>
    <row r="1024" spans="1:21" x14ac:dyDescent="0.2">
      <c r="A1024" s="49" t="s">
        <v>30</v>
      </c>
      <c r="D1024" s="49" t="s">
        <v>16085</v>
      </c>
      <c r="G1024" s="49" t="s">
        <v>16086</v>
      </c>
      <c r="H1024" s="49" t="s">
        <v>29807</v>
      </c>
      <c r="I1024" s="49" t="s">
        <v>29815</v>
      </c>
      <c r="J1024" s="49" t="s">
        <v>29871</v>
      </c>
      <c r="K1024" s="49" t="s">
        <v>29879</v>
      </c>
      <c r="L1024" s="49" t="s">
        <v>16087</v>
      </c>
      <c r="M1024" s="49" t="s">
        <v>16088</v>
      </c>
      <c r="N1024" s="49" t="s">
        <v>16089</v>
      </c>
      <c r="O1024" s="49" t="s">
        <v>29823</v>
      </c>
      <c r="P1024" s="49" t="s">
        <v>29831</v>
      </c>
      <c r="Q1024" s="49" t="s">
        <v>29839</v>
      </c>
      <c r="R1024" s="49" t="s">
        <v>29847</v>
      </c>
      <c r="S1024" s="49" t="s">
        <v>29855</v>
      </c>
      <c r="T1024" s="49" t="s">
        <v>29863</v>
      </c>
    </row>
    <row r="1025" spans="1:20" x14ac:dyDescent="0.2">
      <c r="A1025" s="49" t="s">
        <v>30</v>
      </c>
      <c r="D1025" s="49" t="s">
        <v>16090</v>
      </c>
      <c r="G1025" s="49" t="s">
        <v>16091</v>
      </c>
      <c r="H1025" s="49" t="s">
        <v>29808</v>
      </c>
      <c r="I1025" s="49" t="s">
        <v>29816</v>
      </c>
      <c r="J1025" s="49" t="s">
        <v>29872</v>
      </c>
      <c r="K1025" s="49" t="s">
        <v>29880</v>
      </c>
      <c r="L1025" s="49" t="s">
        <v>16092</v>
      </c>
      <c r="M1025" s="49" t="s">
        <v>16093</v>
      </c>
      <c r="N1025" s="49" t="s">
        <v>16094</v>
      </c>
      <c r="O1025" s="49" t="s">
        <v>29824</v>
      </c>
      <c r="P1025" s="49" t="s">
        <v>29832</v>
      </c>
      <c r="Q1025" s="49" t="s">
        <v>29840</v>
      </c>
      <c r="R1025" s="49" t="s">
        <v>29848</v>
      </c>
      <c r="S1025" s="49" t="s">
        <v>29856</v>
      </c>
      <c r="T1025" s="49" t="s">
        <v>29864</v>
      </c>
    </row>
    <row r="1026" spans="1:20" x14ac:dyDescent="0.2">
      <c r="A1026" s="49" t="s">
        <v>30</v>
      </c>
      <c r="D1026" s="49" t="s">
        <v>8476</v>
      </c>
      <c r="G1026" s="49" t="s">
        <v>16095</v>
      </c>
      <c r="H1026" s="49" t="s">
        <v>8477</v>
      </c>
      <c r="I1026" s="49" t="s">
        <v>8478</v>
      </c>
      <c r="J1026" s="49" t="s">
        <v>8479</v>
      </c>
      <c r="K1026" s="49" t="s">
        <v>8480</v>
      </c>
      <c r="L1026" s="49" t="s">
        <v>8481</v>
      </c>
      <c r="M1026" s="49" t="s">
        <v>8482</v>
      </c>
      <c r="N1026" s="49" t="s">
        <v>8483</v>
      </c>
      <c r="O1026" s="49" t="s">
        <v>8484</v>
      </c>
      <c r="P1026" s="49" t="s">
        <v>8485</v>
      </c>
      <c r="Q1026" s="49" t="s">
        <v>8486</v>
      </c>
      <c r="R1026" s="49" t="s">
        <v>8487</v>
      </c>
      <c r="S1026" s="49" t="s">
        <v>8488</v>
      </c>
      <c r="T1026" s="49" t="s">
        <v>8489</v>
      </c>
    </row>
    <row r="1027" spans="1:20" x14ac:dyDescent="0.2">
      <c r="A1027" s="49" t="s">
        <v>30</v>
      </c>
      <c r="D1027" s="49" t="s">
        <v>8490</v>
      </c>
      <c r="G1027" s="49" t="s">
        <v>16096</v>
      </c>
      <c r="H1027" s="49" t="s">
        <v>8491</v>
      </c>
      <c r="I1027" s="49" t="s">
        <v>8492</v>
      </c>
      <c r="J1027" s="49" t="s">
        <v>8493</v>
      </c>
      <c r="K1027" s="49" t="s">
        <v>8494</v>
      </c>
      <c r="L1027" s="49" t="s">
        <v>8495</v>
      </c>
      <c r="M1027" s="49" t="s">
        <v>8496</v>
      </c>
      <c r="N1027" s="49" t="s">
        <v>8497</v>
      </c>
      <c r="O1027" s="49" t="s">
        <v>8498</v>
      </c>
      <c r="P1027" s="49" t="s">
        <v>8499</v>
      </c>
      <c r="Q1027" s="49" t="s">
        <v>8500</v>
      </c>
      <c r="R1027" s="49" t="s">
        <v>8501</v>
      </c>
      <c r="S1027" s="49" t="s">
        <v>8502</v>
      </c>
      <c r="T1027" s="49" t="s">
        <v>8503</v>
      </c>
    </row>
    <row r="1028" spans="1:20" x14ac:dyDescent="0.2">
      <c r="A1028" s="49" t="s">
        <v>30</v>
      </c>
      <c r="D1028" s="49" t="s">
        <v>8504</v>
      </c>
      <c r="G1028" s="49" t="s">
        <v>16097</v>
      </c>
      <c r="H1028" s="49" t="s">
        <v>8505</v>
      </c>
      <c r="I1028" s="49" t="s">
        <v>8506</v>
      </c>
      <c r="J1028" s="49" t="s">
        <v>8507</v>
      </c>
      <c r="K1028" s="49" t="s">
        <v>8508</v>
      </c>
      <c r="L1028" s="49" t="s">
        <v>8509</v>
      </c>
      <c r="M1028" s="49" t="s">
        <v>8510</v>
      </c>
      <c r="N1028" s="49" t="s">
        <v>8511</v>
      </c>
      <c r="O1028" s="49" t="s">
        <v>8512</v>
      </c>
      <c r="P1028" s="49" t="s">
        <v>8513</v>
      </c>
      <c r="Q1028" s="49" t="s">
        <v>8514</v>
      </c>
      <c r="R1028" s="49" t="s">
        <v>8515</v>
      </c>
      <c r="S1028" s="49" t="s">
        <v>8516</v>
      </c>
      <c r="T1028" s="49" t="s">
        <v>8517</v>
      </c>
    </row>
    <row r="1029" spans="1:20" x14ac:dyDescent="0.2">
      <c r="A1029" s="49" t="s">
        <v>30</v>
      </c>
      <c r="D1029" s="49" t="s">
        <v>11594</v>
      </c>
      <c r="G1029" s="49" t="s">
        <v>16098</v>
      </c>
      <c r="H1029" s="49" t="s">
        <v>11760</v>
      </c>
      <c r="I1029" s="49" t="s">
        <v>11763</v>
      </c>
      <c r="J1029" s="49" t="s">
        <v>11784</v>
      </c>
      <c r="K1029" s="49" t="s">
        <v>11787</v>
      </c>
      <c r="L1029" s="49" t="s">
        <v>11595</v>
      </c>
      <c r="M1029" s="49" t="s">
        <v>11596</v>
      </c>
      <c r="N1029" s="49" t="s">
        <v>11597</v>
      </c>
      <c r="O1029" s="49" t="s">
        <v>11766</v>
      </c>
      <c r="P1029" s="49" t="s">
        <v>11769</v>
      </c>
      <c r="Q1029" s="49" t="s">
        <v>11772</v>
      </c>
      <c r="R1029" s="49" t="s">
        <v>11775</v>
      </c>
      <c r="S1029" s="49" t="s">
        <v>11778</v>
      </c>
      <c r="T1029" s="49" t="s">
        <v>11781</v>
      </c>
    </row>
    <row r="1030" spans="1:20" x14ac:dyDescent="0.2">
      <c r="A1030" s="49" t="s">
        <v>30</v>
      </c>
      <c r="D1030" s="49" t="s">
        <v>11598</v>
      </c>
      <c r="G1030" s="49" t="s">
        <v>16099</v>
      </c>
      <c r="H1030" s="49" t="s">
        <v>11761</v>
      </c>
      <c r="I1030" s="49" t="s">
        <v>11764</v>
      </c>
      <c r="J1030" s="49" t="s">
        <v>11785</v>
      </c>
      <c r="K1030" s="49" t="s">
        <v>11788</v>
      </c>
      <c r="L1030" s="49" t="s">
        <v>11599</v>
      </c>
      <c r="M1030" s="49" t="s">
        <v>11600</v>
      </c>
      <c r="N1030" s="49" t="s">
        <v>11601</v>
      </c>
      <c r="O1030" s="49" t="s">
        <v>11767</v>
      </c>
      <c r="P1030" s="49" t="s">
        <v>11770</v>
      </c>
      <c r="Q1030" s="49" t="s">
        <v>11773</v>
      </c>
      <c r="R1030" s="49" t="s">
        <v>11776</v>
      </c>
      <c r="S1030" s="49" t="s">
        <v>11779</v>
      </c>
      <c r="T1030" s="49" t="s">
        <v>11782</v>
      </c>
    </row>
    <row r="1031" spans="1:20" x14ac:dyDescent="0.2">
      <c r="A1031" s="49" t="s">
        <v>30</v>
      </c>
      <c r="D1031" s="49" t="s">
        <v>11602</v>
      </c>
      <c r="G1031" s="49" t="s">
        <v>16100</v>
      </c>
      <c r="H1031" s="49" t="s">
        <v>11762</v>
      </c>
      <c r="I1031" s="49" t="s">
        <v>11765</v>
      </c>
      <c r="J1031" s="49" t="s">
        <v>11786</v>
      </c>
      <c r="K1031" s="49" t="s">
        <v>11789</v>
      </c>
      <c r="L1031" s="49" t="s">
        <v>11603</v>
      </c>
      <c r="M1031" s="49" t="s">
        <v>11604</v>
      </c>
      <c r="N1031" s="49" t="s">
        <v>11605</v>
      </c>
      <c r="O1031" s="49" t="s">
        <v>11768</v>
      </c>
      <c r="P1031" s="49" t="s">
        <v>11771</v>
      </c>
      <c r="Q1031" s="49" t="s">
        <v>11774</v>
      </c>
      <c r="R1031" s="49" t="s">
        <v>11777</v>
      </c>
      <c r="S1031" s="49" t="s">
        <v>11780</v>
      </c>
      <c r="T1031" s="49" t="s">
        <v>11783</v>
      </c>
    </row>
    <row r="1032" spans="1:20" x14ac:dyDescent="0.2">
      <c r="A1032" s="49" t="s">
        <v>30</v>
      </c>
      <c r="D1032" s="49" t="s">
        <v>8519</v>
      </c>
      <c r="G1032" s="49" t="s">
        <v>16101</v>
      </c>
      <c r="H1032" s="49" t="s">
        <v>8520</v>
      </c>
      <c r="I1032" s="49" t="s">
        <v>8521</v>
      </c>
      <c r="J1032" s="49" t="s">
        <v>8522</v>
      </c>
      <c r="K1032" s="49" t="s">
        <v>8523</v>
      </c>
      <c r="L1032" s="49" t="s">
        <v>8524</v>
      </c>
      <c r="M1032" s="49" t="s">
        <v>8525</v>
      </c>
      <c r="N1032" s="49" t="s">
        <v>8526</v>
      </c>
      <c r="O1032" s="49" t="s">
        <v>8527</v>
      </c>
      <c r="P1032" s="49" t="s">
        <v>8528</v>
      </c>
      <c r="Q1032" s="49" t="s">
        <v>8529</v>
      </c>
      <c r="R1032" s="49" t="s">
        <v>8530</v>
      </c>
      <c r="S1032" s="49" t="s">
        <v>8531</v>
      </c>
      <c r="T1032" s="49" t="s">
        <v>8532</v>
      </c>
    </row>
    <row r="1033" spans="1:20" x14ac:dyDescent="0.2">
      <c r="A1033" s="49" t="s">
        <v>30</v>
      </c>
      <c r="D1033" s="49" t="s">
        <v>8533</v>
      </c>
      <c r="G1033" s="49" t="s">
        <v>16102</v>
      </c>
      <c r="H1033" s="49" t="s">
        <v>8534</v>
      </c>
      <c r="I1033" s="49" t="s">
        <v>8535</v>
      </c>
      <c r="J1033" s="49" t="s">
        <v>8536</v>
      </c>
      <c r="K1033" s="49" t="s">
        <v>8537</v>
      </c>
      <c r="L1033" s="49" t="s">
        <v>8538</v>
      </c>
      <c r="M1033" s="49" t="s">
        <v>8539</v>
      </c>
      <c r="N1033" s="49" t="s">
        <v>8540</v>
      </c>
      <c r="O1033" s="49" t="s">
        <v>8541</v>
      </c>
      <c r="P1033" s="49" t="s">
        <v>8542</v>
      </c>
      <c r="Q1033" s="49" t="s">
        <v>8543</v>
      </c>
      <c r="R1033" s="49" t="s">
        <v>8544</v>
      </c>
      <c r="S1033" s="49" t="s">
        <v>8545</v>
      </c>
      <c r="T1033" s="49" t="s">
        <v>8546</v>
      </c>
    </row>
    <row r="1034" spans="1:20" x14ac:dyDescent="0.2">
      <c r="A1034" s="49" t="s">
        <v>30</v>
      </c>
      <c r="D1034" s="49" t="s">
        <v>16103</v>
      </c>
      <c r="G1034" s="49" t="s">
        <v>16104</v>
      </c>
      <c r="H1034" s="49" t="s">
        <v>29809</v>
      </c>
      <c r="I1034" s="49" t="s">
        <v>29817</v>
      </c>
      <c r="J1034" s="49" t="s">
        <v>29873</v>
      </c>
      <c r="K1034" s="49" t="s">
        <v>29881</v>
      </c>
      <c r="L1034" s="49" t="s">
        <v>16105</v>
      </c>
      <c r="M1034" s="49" t="s">
        <v>16106</v>
      </c>
      <c r="N1034" s="49" t="s">
        <v>16107</v>
      </c>
      <c r="O1034" s="49" t="s">
        <v>29825</v>
      </c>
      <c r="P1034" s="49" t="s">
        <v>29833</v>
      </c>
      <c r="Q1034" s="49" t="s">
        <v>29841</v>
      </c>
      <c r="R1034" s="49" t="s">
        <v>29849</v>
      </c>
      <c r="S1034" s="49" t="s">
        <v>29857</v>
      </c>
      <c r="T1034" s="49" t="s">
        <v>29865</v>
      </c>
    </row>
    <row r="1035" spans="1:20" x14ac:dyDescent="0.2">
      <c r="A1035" s="49" t="s">
        <v>30</v>
      </c>
      <c r="D1035" s="49" t="s">
        <v>16108</v>
      </c>
      <c r="G1035" s="49" t="s">
        <v>16109</v>
      </c>
      <c r="H1035" s="49" t="s">
        <v>29810</v>
      </c>
      <c r="I1035" s="49" t="s">
        <v>29818</v>
      </c>
      <c r="J1035" s="49" t="s">
        <v>29874</v>
      </c>
      <c r="K1035" s="49" t="s">
        <v>29882</v>
      </c>
      <c r="L1035" s="49" t="s">
        <v>16110</v>
      </c>
      <c r="M1035" s="49" t="s">
        <v>16111</v>
      </c>
      <c r="N1035" s="49" t="s">
        <v>16112</v>
      </c>
      <c r="O1035" s="49" t="s">
        <v>29826</v>
      </c>
      <c r="P1035" s="49" t="s">
        <v>29834</v>
      </c>
      <c r="Q1035" s="49" t="s">
        <v>29842</v>
      </c>
      <c r="R1035" s="49" t="s">
        <v>29850</v>
      </c>
      <c r="S1035" s="49" t="s">
        <v>29858</v>
      </c>
      <c r="T1035" s="49" t="s">
        <v>29866</v>
      </c>
    </row>
    <row r="1036" spans="1:20" x14ac:dyDescent="0.2">
      <c r="A1036" s="49" t="s">
        <v>30</v>
      </c>
      <c r="D1036" s="49" t="s">
        <v>16113</v>
      </c>
      <c r="G1036" s="49" t="s">
        <v>16114</v>
      </c>
      <c r="H1036" s="49" t="s">
        <v>29811</v>
      </c>
      <c r="I1036" s="49" t="s">
        <v>29819</v>
      </c>
      <c r="J1036" s="49" t="s">
        <v>29875</v>
      </c>
      <c r="K1036" s="49" t="s">
        <v>29883</v>
      </c>
      <c r="L1036" s="49" t="s">
        <v>16115</v>
      </c>
      <c r="M1036" s="49" t="s">
        <v>16116</v>
      </c>
      <c r="N1036" s="49" t="s">
        <v>16117</v>
      </c>
      <c r="O1036" s="49" t="s">
        <v>29827</v>
      </c>
      <c r="P1036" s="49" t="s">
        <v>29835</v>
      </c>
      <c r="Q1036" s="49" t="s">
        <v>29843</v>
      </c>
      <c r="R1036" s="49" t="s">
        <v>29851</v>
      </c>
      <c r="S1036" s="49" t="s">
        <v>29859</v>
      </c>
      <c r="T1036" s="49" t="s">
        <v>29867</v>
      </c>
    </row>
    <row r="1037" spans="1:20" x14ac:dyDescent="0.2">
      <c r="A1037" s="49" t="s">
        <v>30</v>
      </c>
      <c r="D1037" s="49" t="s">
        <v>8547</v>
      </c>
      <c r="G1037" s="49" t="s">
        <v>16118</v>
      </c>
      <c r="H1037" s="49" t="s">
        <v>8548</v>
      </c>
      <c r="I1037" s="49" t="s">
        <v>8549</v>
      </c>
      <c r="J1037" s="49" t="s">
        <v>8550</v>
      </c>
      <c r="K1037" s="49" t="s">
        <v>8551</v>
      </c>
      <c r="L1037" s="49" t="s">
        <v>8552</v>
      </c>
      <c r="M1037" s="49" t="s">
        <v>8553</v>
      </c>
      <c r="N1037" s="49" t="s">
        <v>8554</v>
      </c>
      <c r="O1037" s="49" t="s">
        <v>8555</v>
      </c>
      <c r="P1037" s="49" t="s">
        <v>8556</v>
      </c>
      <c r="Q1037" s="49" t="s">
        <v>8557</v>
      </c>
      <c r="R1037" s="49" t="s">
        <v>8558</v>
      </c>
      <c r="S1037" s="49" t="s">
        <v>8559</v>
      </c>
      <c r="T1037" s="49" t="s">
        <v>8560</v>
      </c>
    </row>
    <row r="1038" spans="1:20" x14ac:dyDescent="0.2">
      <c r="A1038" s="49" t="s">
        <v>30</v>
      </c>
      <c r="D1038" s="49" t="s">
        <v>8561</v>
      </c>
      <c r="G1038" s="49" t="s">
        <v>16119</v>
      </c>
      <c r="H1038" s="49" t="s">
        <v>8562</v>
      </c>
      <c r="I1038" s="49" t="s">
        <v>8563</v>
      </c>
      <c r="J1038" s="49" t="s">
        <v>8564</v>
      </c>
      <c r="K1038" s="49" t="s">
        <v>8565</v>
      </c>
      <c r="L1038" s="49" t="s">
        <v>8566</v>
      </c>
      <c r="M1038" s="49" t="s">
        <v>8567</v>
      </c>
      <c r="N1038" s="49" t="s">
        <v>8568</v>
      </c>
      <c r="O1038" s="49" t="s">
        <v>8569</v>
      </c>
      <c r="P1038" s="49" t="s">
        <v>8570</v>
      </c>
      <c r="Q1038" s="49" t="s">
        <v>8571</v>
      </c>
      <c r="R1038" s="49" t="s">
        <v>8572</v>
      </c>
      <c r="S1038" s="49" t="s">
        <v>8573</v>
      </c>
      <c r="T1038" s="49" t="s">
        <v>8574</v>
      </c>
    </row>
    <row r="1039" spans="1:20" x14ac:dyDescent="0.2">
      <c r="A1039" s="49" t="s">
        <v>30</v>
      </c>
      <c r="D1039" s="49" t="s">
        <v>8575</v>
      </c>
      <c r="G1039" s="49" t="s">
        <v>16120</v>
      </c>
      <c r="H1039" s="49" t="s">
        <v>8576</v>
      </c>
      <c r="I1039" s="49" t="s">
        <v>8577</v>
      </c>
      <c r="J1039" s="49" t="s">
        <v>8578</v>
      </c>
      <c r="K1039" s="49" t="s">
        <v>8579</v>
      </c>
      <c r="L1039" s="49" t="s">
        <v>8580</v>
      </c>
      <c r="M1039" s="49" t="s">
        <v>8581</v>
      </c>
      <c r="N1039" s="49" t="s">
        <v>8582</v>
      </c>
      <c r="O1039" s="49" t="s">
        <v>8583</v>
      </c>
      <c r="P1039" s="49" t="s">
        <v>8584</v>
      </c>
      <c r="Q1039" s="49" t="s">
        <v>8585</v>
      </c>
      <c r="R1039" s="49" t="s">
        <v>8586</v>
      </c>
      <c r="S1039" s="49" t="s">
        <v>8587</v>
      </c>
      <c r="T1039" s="49" t="s">
        <v>8588</v>
      </c>
    </row>
    <row r="1040" spans="1:20" x14ac:dyDescent="0.2">
      <c r="A1040" s="49" t="s">
        <v>30</v>
      </c>
      <c r="D1040" s="49" t="s">
        <v>8589</v>
      </c>
      <c r="G1040" s="49" t="s">
        <v>16121</v>
      </c>
      <c r="H1040" s="49" t="s">
        <v>8590</v>
      </c>
      <c r="I1040" s="49" t="s">
        <v>8591</v>
      </c>
      <c r="J1040" s="49" t="s">
        <v>8592</v>
      </c>
      <c r="K1040" s="49" t="s">
        <v>8593</v>
      </c>
      <c r="L1040" s="49" t="s">
        <v>8594</v>
      </c>
      <c r="M1040" s="49" t="s">
        <v>8595</v>
      </c>
      <c r="N1040" s="49" t="s">
        <v>8596</v>
      </c>
      <c r="O1040" s="49" t="s">
        <v>8597</v>
      </c>
      <c r="P1040" s="49" t="s">
        <v>8598</v>
      </c>
      <c r="Q1040" s="49" t="s">
        <v>8599</v>
      </c>
      <c r="R1040" s="49" t="s">
        <v>8600</v>
      </c>
      <c r="S1040" s="49" t="s">
        <v>8601</v>
      </c>
      <c r="T1040" s="49" t="s">
        <v>8602</v>
      </c>
    </row>
    <row r="1041" spans="1:21" x14ac:dyDescent="0.2">
      <c r="A1041" s="49" t="s">
        <v>30</v>
      </c>
      <c r="D1041" s="49" t="s">
        <v>8603</v>
      </c>
      <c r="G1041" s="49" t="s">
        <v>16122</v>
      </c>
      <c r="H1041" s="49" t="s">
        <v>8604</v>
      </c>
      <c r="I1041" s="49" t="s">
        <v>8605</v>
      </c>
      <c r="J1041" s="49" t="s">
        <v>8606</v>
      </c>
      <c r="K1041" s="49" t="s">
        <v>8607</v>
      </c>
      <c r="L1041" s="49" t="s">
        <v>8608</v>
      </c>
      <c r="M1041" s="49" t="s">
        <v>8609</v>
      </c>
      <c r="N1041" s="49" t="s">
        <v>8610</v>
      </c>
      <c r="O1041" s="49" t="s">
        <v>8611</v>
      </c>
      <c r="P1041" s="49" t="s">
        <v>8612</v>
      </c>
      <c r="Q1041" s="49" t="s">
        <v>8613</v>
      </c>
      <c r="R1041" s="49" t="s">
        <v>8614</v>
      </c>
      <c r="S1041" s="49" t="s">
        <v>8615</v>
      </c>
      <c r="T1041" s="49" t="s">
        <v>8616</v>
      </c>
    </row>
    <row r="1042" spans="1:21" x14ac:dyDescent="0.2">
      <c r="A1042" s="49" t="s">
        <v>30</v>
      </c>
      <c r="D1042" s="49" t="s">
        <v>11606</v>
      </c>
      <c r="G1042" s="49" t="s">
        <v>16123</v>
      </c>
      <c r="H1042" s="49" t="s">
        <v>11730</v>
      </c>
      <c r="I1042" s="49" t="s">
        <v>11733</v>
      </c>
      <c r="J1042" s="49" t="s">
        <v>11754</v>
      </c>
      <c r="K1042" s="49" t="s">
        <v>11757</v>
      </c>
      <c r="L1042" s="49" t="s">
        <v>11607</v>
      </c>
      <c r="M1042" s="49" t="s">
        <v>11608</v>
      </c>
      <c r="N1042" s="49" t="s">
        <v>11609</v>
      </c>
      <c r="O1042" s="49" t="s">
        <v>11736</v>
      </c>
      <c r="P1042" s="49" t="s">
        <v>11739</v>
      </c>
      <c r="Q1042" s="49" t="s">
        <v>11742</v>
      </c>
      <c r="R1042" s="49" t="s">
        <v>11745</v>
      </c>
      <c r="S1042" s="49" t="s">
        <v>11748</v>
      </c>
      <c r="T1042" s="49" t="s">
        <v>11751</v>
      </c>
    </row>
    <row r="1043" spans="1:21" x14ac:dyDescent="0.2">
      <c r="A1043" s="49" t="s">
        <v>30</v>
      </c>
      <c r="D1043" s="49" t="s">
        <v>11610</v>
      </c>
      <c r="G1043" s="49" t="s">
        <v>16124</v>
      </c>
      <c r="H1043" s="49" t="s">
        <v>11731</v>
      </c>
      <c r="I1043" s="49" t="s">
        <v>11734</v>
      </c>
      <c r="J1043" s="49" t="s">
        <v>11755</v>
      </c>
      <c r="K1043" s="49" t="s">
        <v>11758</v>
      </c>
      <c r="L1043" s="49" t="s">
        <v>11611</v>
      </c>
      <c r="M1043" s="49" t="s">
        <v>11612</v>
      </c>
      <c r="N1043" s="49" t="s">
        <v>11613</v>
      </c>
      <c r="O1043" s="49" t="s">
        <v>11737</v>
      </c>
      <c r="P1043" s="49" t="s">
        <v>11740</v>
      </c>
      <c r="Q1043" s="49" t="s">
        <v>11743</v>
      </c>
      <c r="R1043" s="49" t="s">
        <v>11746</v>
      </c>
      <c r="S1043" s="49" t="s">
        <v>11749</v>
      </c>
      <c r="T1043" s="49" t="s">
        <v>11752</v>
      </c>
    </row>
    <row r="1044" spans="1:21" x14ac:dyDescent="0.2">
      <c r="A1044" s="49" t="s">
        <v>30</v>
      </c>
      <c r="D1044" s="49" t="s">
        <v>11614</v>
      </c>
      <c r="G1044" s="49" t="s">
        <v>16125</v>
      </c>
      <c r="H1044" s="49" t="s">
        <v>11732</v>
      </c>
      <c r="I1044" s="49" t="s">
        <v>11735</v>
      </c>
      <c r="J1044" s="49" t="s">
        <v>11756</v>
      </c>
      <c r="K1044" s="49" t="s">
        <v>11759</v>
      </c>
      <c r="L1044" s="49" t="s">
        <v>11615</v>
      </c>
      <c r="M1044" s="49" t="s">
        <v>11616</v>
      </c>
      <c r="N1044" s="49" t="s">
        <v>11617</v>
      </c>
      <c r="O1044" s="49" t="s">
        <v>11738</v>
      </c>
      <c r="P1044" s="49" t="s">
        <v>11741</v>
      </c>
      <c r="Q1044" s="49" t="s">
        <v>11744</v>
      </c>
      <c r="R1044" s="49" t="s">
        <v>11747</v>
      </c>
      <c r="S1044" s="49" t="s">
        <v>11750</v>
      </c>
      <c r="T1044" s="49" t="s">
        <v>11753</v>
      </c>
    </row>
    <row r="1045" spans="1:21" x14ac:dyDescent="0.2">
      <c r="A1045" s="49" t="s">
        <v>30</v>
      </c>
      <c r="D1045" s="49" t="s">
        <v>16126</v>
      </c>
      <c r="G1045" s="49" t="s">
        <v>16127</v>
      </c>
      <c r="H1045" s="49" t="s">
        <v>29812</v>
      </c>
      <c r="I1045" s="49" t="s">
        <v>29820</v>
      </c>
      <c r="J1045" s="49" t="s">
        <v>29876</v>
      </c>
      <c r="K1045" s="49" t="s">
        <v>29884</v>
      </c>
      <c r="L1045" s="49" t="s">
        <v>16128</v>
      </c>
      <c r="M1045" s="49" t="s">
        <v>16129</v>
      </c>
      <c r="N1045" s="49" t="s">
        <v>16130</v>
      </c>
      <c r="O1045" s="49" t="s">
        <v>29828</v>
      </c>
      <c r="P1045" s="49" t="s">
        <v>29836</v>
      </c>
      <c r="Q1045" s="49" t="s">
        <v>29844</v>
      </c>
      <c r="R1045" s="49" t="s">
        <v>29852</v>
      </c>
      <c r="S1045" s="49" t="s">
        <v>29860</v>
      </c>
      <c r="T1045" s="49" t="s">
        <v>29868</v>
      </c>
    </row>
    <row r="1046" spans="1:21" x14ac:dyDescent="0.2">
      <c r="A1046" s="49" t="s">
        <v>30</v>
      </c>
      <c r="D1046" s="49" t="s">
        <v>16131</v>
      </c>
      <c r="G1046" s="49" t="s">
        <v>16132</v>
      </c>
      <c r="H1046" s="49" t="s">
        <v>29813</v>
      </c>
      <c r="I1046" s="49" t="s">
        <v>29821</v>
      </c>
      <c r="J1046" s="49" t="s">
        <v>29877</v>
      </c>
      <c r="K1046" s="49" t="s">
        <v>29885</v>
      </c>
      <c r="L1046" s="49" t="s">
        <v>16133</v>
      </c>
      <c r="M1046" s="49" t="s">
        <v>16134</v>
      </c>
      <c r="N1046" s="49" t="s">
        <v>16135</v>
      </c>
      <c r="O1046" s="49" t="s">
        <v>29829</v>
      </c>
      <c r="P1046" s="49" t="s">
        <v>29837</v>
      </c>
      <c r="Q1046" s="49" t="s">
        <v>29845</v>
      </c>
      <c r="R1046" s="49" t="s">
        <v>29853</v>
      </c>
      <c r="S1046" s="49" t="s">
        <v>29861</v>
      </c>
      <c r="T1046" s="49" t="s">
        <v>29869</v>
      </c>
    </row>
    <row r="1047" spans="1:21" x14ac:dyDescent="0.2">
      <c r="A1047" s="49" t="s">
        <v>30</v>
      </c>
    </row>
    <row r="1048" spans="1:21" x14ac:dyDescent="0.2">
      <c r="A1048" s="49" t="s">
        <v>30</v>
      </c>
      <c r="E1048" s="49" t="s">
        <v>31</v>
      </c>
      <c r="F1048" s="49" t="s">
        <v>31</v>
      </c>
      <c r="G1048" s="49" t="s">
        <v>31</v>
      </c>
      <c r="J1048" s="49" t="s">
        <v>31</v>
      </c>
      <c r="K1048" s="49" t="s">
        <v>31</v>
      </c>
      <c r="L1048" s="49" t="s">
        <v>31</v>
      </c>
      <c r="M1048" s="49" t="s">
        <v>31</v>
      </c>
    </row>
    <row r="1049" spans="1:21" x14ac:dyDescent="0.2">
      <c r="A1049" s="49" t="s">
        <v>30</v>
      </c>
      <c r="D1049" s="49" t="s">
        <v>16136</v>
      </c>
      <c r="E1049" s="49" t="s">
        <v>6114</v>
      </c>
      <c r="F1049" s="49" t="s">
        <v>16137</v>
      </c>
      <c r="H1049" s="49" t="s">
        <v>16138</v>
      </c>
      <c r="O1049" s="49" t="s">
        <v>16139</v>
      </c>
      <c r="P1049" s="49" t="s">
        <v>16140</v>
      </c>
      <c r="Q1049" s="49" t="s">
        <v>16141</v>
      </c>
      <c r="R1049" s="49" t="s">
        <v>16142</v>
      </c>
      <c r="S1049" s="49" t="s">
        <v>16143</v>
      </c>
      <c r="T1049" s="49" t="s">
        <v>16144</v>
      </c>
      <c r="U1049" s="49" t="s">
        <v>16145</v>
      </c>
    </row>
    <row r="1050" spans="1:21" x14ac:dyDescent="0.2">
      <c r="A1050" s="49" t="s">
        <v>30</v>
      </c>
      <c r="D1050" s="49" t="s">
        <v>8618</v>
      </c>
      <c r="G1050" s="49" t="s">
        <v>16146</v>
      </c>
      <c r="H1050" s="49" t="s">
        <v>8619</v>
      </c>
      <c r="I1050" s="49" t="s">
        <v>8620</v>
      </c>
      <c r="J1050" s="49" t="s">
        <v>8621</v>
      </c>
      <c r="K1050" s="49" t="s">
        <v>8622</v>
      </c>
      <c r="L1050" s="49" t="s">
        <v>8623</v>
      </c>
      <c r="M1050" s="49" t="s">
        <v>8624</v>
      </c>
      <c r="N1050" s="49" t="s">
        <v>8625</v>
      </c>
      <c r="O1050" s="49" t="s">
        <v>8626</v>
      </c>
      <c r="P1050" s="49" t="s">
        <v>8627</v>
      </c>
      <c r="Q1050" s="49" t="s">
        <v>8628</v>
      </c>
      <c r="R1050" s="49" t="s">
        <v>8629</v>
      </c>
      <c r="S1050" s="49" t="s">
        <v>8630</v>
      </c>
      <c r="T1050" s="49" t="s">
        <v>8631</v>
      </c>
    </row>
    <row r="1051" spans="1:21" x14ac:dyDescent="0.2">
      <c r="A1051" s="49" t="s">
        <v>30</v>
      </c>
      <c r="D1051" s="49" t="s">
        <v>11618</v>
      </c>
      <c r="G1051" s="49" t="s">
        <v>16147</v>
      </c>
      <c r="H1051" s="49" t="s">
        <v>11680</v>
      </c>
      <c r="I1051" s="49" t="s">
        <v>11685</v>
      </c>
      <c r="J1051" s="49" t="s">
        <v>11720</v>
      </c>
      <c r="K1051" s="49" t="s">
        <v>11725</v>
      </c>
      <c r="L1051" s="49" t="s">
        <v>11619</v>
      </c>
      <c r="M1051" s="49" t="s">
        <v>11620</v>
      </c>
      <c r="N1051" s="49" t="s">
        <v>11621</v>
      </c>
      <c r="O1051" s="49" t="s">
        <v>11690</v>
      </c>
      <c r="P1051" s="49" t="s">
        <v>11695</v>
      </c>
      <c r="Q1051" s="49" t="s">
        <v>11700</v>
      </c>
      <c r="R1051" s="49" t="s">
        <v>11705</v>
      </c>
      <c r="S1051" s="49" t="s">
        <v>11710</v>
      </c>
      <c r="T1051" s="49" t="s">
        <v>11715</v>
      </c>
    </row>
    <row r="1052" spans="1:21" x14ac:dyDescent="0.2">
      <c r="A1052" s="49" t="s">
        <v>30</v>
      </c>
      <c r="D1052" s="49" t="s">
        <v>11622</v>
      </c>
      <c r="G1052" s="49" t="s">
        <v>16148</v>
      </c>
      <c r="H1052" s="49" t="s">
        <v>11681</v>
      </c>
      <c r="I1052" s="49" t="s">
        <v>11686</v>
      </c>
      <c r="J1052" s="49" t="s">
        <v>11721</v>
      </c>
      <c r="K1052" s="49" t="s">
        <v>11726</v>
      </c>
      <c r="L1052" s="49" t="s">
        <v>11623</v>
      </c>
      <c r="M1052" s="49" t="s">
        <v>11624</v>
      </c>
      <c r="N1052" s="49" t="s">
        <v>11625</v>
      </c>
      <c r="O1052" s="49" t="s">
        <v>11691</v>
      </c>
      <c r="P1052" s="49" t="s">
        <v>11696</v>
      </c>
      <c r="Q1052" s="49" t="s">
        <v>11701</v>
      </c>
      <c r="R1052" s="49" t="s">
        <v>11706</v>
      </c>
      <c r="S1052" s="49" t="s">
        <v>11711</v>
      </c>
      <c r="T1052" s="49" t="s">
        <v>11716</v>
      </c>
    </row>
    <row r="1053" spans="1:21" x14ac:dyDescent="0.2">
      <c r="A1053" s="49" t="s">
        <v>30</v>
      </c>
      <c r="D1053" s="49" t="s">
        <v>11626</v>
      </c>
      <c r="G1053" s="49" t="s">
        <v>16149</v>
      </c>
      <c r="H1053" s="49" t="s">
        <v>11682</v>
      </c>
      <c r="I1053" s="49" t="s">
        <v>11687</v>
      </c>
      <c r="J1053" s="49" t="s">
        <v>11722</v>
      </c>
      <c r="K1053" s="49" t="s">
        <v>11727</v>
      </c>
      <c r="L1053" s="49" t="s">
        <v>11627</v>
      </c>
      <c r="M1053" s="49" t="s">
        <v>11628</v>
      </c>
      <c r="N1053" s="49" t="s">
        <v>11629</v>
      </c>
      <c r="O1053" s="49" t="s">
        <v>11692</v>
      </c>
      <c r="P1053" s="49" t="s">
        <v>11697</v>
      </c>
      <c r="Q1053" s="49" t="s">
        <v>11702</v>
      </c>
      <c r="R1053" s="49" t="s">
        <v>11707</v>
      </c>
      <c r="S1053" s="49" t="s">
        <v>11712</v>
      </c>
      <c r="T1053" s="49" t="s">
        <v>11717</v>
      </c>
    </row>
    <row r="1054" spans="1:21" x14ac:dyDescent="0.2">
      <c r="A1054" s="49" t="s">
        <v>30</v>
      </c>
      <c r="D1054" s="49" t="s">
        <v>8633</v>
      </c>
      <c r="G1054" s="49" t="s">
        <v>16150</v>
      </c>
      <c r="H1054" s="49" t="s">
        <v>8634</v>
      </c>
      <c r="I1054" s="49" t="s">
        <v>8635</v>
      </c>
      <c r="J1054" s="49" t="s">
        <v>8636</v>
      </c>
      <c r="K1054" s="49" t="s">
        <v>8637</v>
      </c>
      <c r="L1054" s="49" t="s">
        <v>8638</v>
      </c>
      <c r="M1054" s="49" t="s">
        <v>8639</v>
      </c>
      <c r="N1054" s="49" t="s">
        <v>8640</v>
      </c>
      <c r="O1054" s="49" t="s">
        <v>8641</v>
      </c>
      <c r="P1054" s="49" t="s">
        <v>8642</v>
      </c>
      <c r="Q1054" s="49" t="s">
        <v>8643</v>
      </c>
      <c r="R1054" s="49" t="s">
        <v>8644</v>
      </c>
      <c r="S1054" s="49" t="s">
        <v>8645</v>
      </c>
      <c r="T1054" s="49" t="s">
        <v>8646</v>
      </c>
    </row>
    <row r="1055" spans="1:21" x14ac:dyDescent="0.2">
      <c r="A1055" s="49" t="s">
        <v>30</v>
      </c>
      <c r="D1055" s="49" t="s">
        <v>8647</v>
      </c>
      <c r="G1055" s="49" t="s">
        <v>16151</v>
      </c>
      <c r="H1055" s="49" t="s">
        <v>8648</v>
      </c>
      <c r="I1055" s="49" t="s">
        <v>8649</v>
      </c>
      <c r="J1055" s="49" t="s">
        <v>8650</v>
      </c>
      <c r="K1055" s="49" t="s">
        <v>8651</v>
      </c>
      <c r="L1055" s="49" t="s">
        <v>8652</v>
      </c>
      <c r="M1055" s="49" t="s">
        <v>8653</v>
      </c>
      <c r="N1055" s="49" t="s">
        <v>8654</v>
      </c>
      <c r="O1055" s="49" t="s">
        <v>8655</v>
      </c>
      <c r="P1055" s="49" t="s">
        <v>8656</v>
      </c>
      <c r="Q1055" s="49" t="s">
        <v>8657</v>
      </c>
      <c r="R1055" s="49" t="s">
        <v>8658</v>
      </c>
      <c r="S1055" s="49" t="s">
        <v>8659</v>
      </c>
      <c r="T1055" s="49" t="s">
        <v>8660</v>
      </c>
    </row>
    <row r="1056" spans="1:21" x14ac:dyDescent="0.2">
      <c r="A1056" s="49" t="s">
        <v>30</v>
      </c>
      <c r="D1056" s="49" t="s">
        <v>8661</v>
      </c>
      <c r="G1056" s="49" t="s">
        <v>16152</v>
      </c>
      <c r="H1056" s="49" t="s">
        <v>8662</v>
      </c>
      <c r="I1056" s="49" t="s">
        <v>8663</v>
      </c>
      <c r="J1056" s="49" t="s">
        <v>8664</v>
      </c>
      <c r="K1056" s="49" t="s">
        <v>8665</v>
      </c>
      <c r="L1056" s="49" t="s">
        <v>8666</v>
      </c>
      <c r="M1056" s="49" t="s">
        <v>8667</v>
      </c>
      <c r="N1056" s="49" t="s">
        <v>8668</v>
      </c>
      <c r="O1056" s="49" t="s">
        <v>8669</v>
      </c>
      <c r="P1056" s="49" t="s">
        <v>8670</v>
      </c>
      <c r="Q1056" s="49" t="s">
        <v>8671</v>
      </c>
      <c r="R1056" s="49" t="s">
        <v>8672</v>
      </c>
      <c r="S1056" s="49" t="s">
        <v>8673</v>
      </c>
      <c r="T1056" s="49" t="s">
        <v>8674</v>
      </c>
    </row>
    <row r="1057" spans="1:20" x14ac:dyDescent="0.2">
      <c r="A1057" s="49" t="s">
        <v>30</v>
      </c>
      <c r="D1057" s="49" t="s">
        <v>8675</v>
      </c>
      <c r="G1057" s="49" t="s">
        <v>16153</v>
      </c>
      <c r="H1057" s="49" t="s">
        <v>8676</v>
      </c>
      <c r="I1057" s="49" t="s">
        <v>8677</v>
      </c>
      <c r="J1057" s="49" t="s">
        <v>8678</v>
      </c>
      <c r="K1057" s="49" t="s">
        <v>8679</v>
      </c>
      <c r="L1057" s="49" t="s">
        <v>8680</v>
      </c>
      <c r="M1057" s="49" t="s">
        <v>8681</v>
      </c>
      <c r="N1057" s="49" t="s">
        <v>8682</v>
      </c>
      <c r="O1057" s="49" t="s">
        <v>8683</v>
      </c>
      <c r="P1057" s="49" t="s">
        <v>8684</v>
      </c>
      <c r="Q1057" s="49" t="s">
        <v>8685</v>
      </c>
      <c r="R1057" s="49" t="s">
        <v>8686</v>
      </c>
      <c r="S1057" s="49" t="s">
        <v>8687</v>
      </c>
      <c r="T1057" s="49" t="s">
        <v>8688</v>
      </c>
    </row>
    <row r="1058" spans="1:20" x14ac:dyDescent="0.2">
      <c r="A1058" s="49" t="s">
        <v>30</v>
      </c>
      <c r="D1058" s="49" t="s">
        <v>8689</v>
      </c>
      <c r="G1058" s="49" t="s">
        <v>16154</v>
      </c>
      <c r="H1058" s="49" t="s">
        <v>8690</v>
      </c>
      <c r="I1058" s="49" t="s">
        <v>8691</v>
      </c>
      <c r="J1058" s="49" t="s">
        <v>8692</v>
      </c>
      <c r="K1058" s="49" t="s">
        <v>8693</v>
      </c>
      <c r="L1058" s="49" t="s">
        <v>8694</v>
      </c>
      <c r="M1058" s="49" t="s">
        <v>8695</v>
      </c>
      <c r="N1058" s="49" t="s">
        <v>8696</v>
      </c>
      <c r="O1058" s="49" t="s">
        <v>8697</v>
      </c>
      <c r="P1058" s="49" t="s">
        <v>8698</v>
      </c>
      <c r="Q1058" s="49" t="s">
        <v>8699</v>
      </c>
      <c r="R1058" s="49" t="s">
        <v>8700</v>
      </c>
      <c r="S1058" s="49" t="s">
        <v>8701</v>
      </c>
      <c r="T1058" s="49" t="s">
        <v>8702</v>
      </c>
    </row>
    <row r="1059" spans="1:20" x14ac:dyDescent="0.2">
      <c r="A1059" s="49" t="s">
        <v>30</v>
      </c>
      <c r="D1059" s="49" t="s">
        <v>8703</v>
      </c>
      <c r="G1059" s="49" t="s">
        <v>16155</v>
      </c>
      <c r="H1059" s="49" t="s">
        <v>8704</v>
      </c>
      <c r="I1059" s="49" t="s">
        <v>8705</v>
      </c>
      <c r="J1059" s="49" t="s">
        <v>8706</v>
      </c>
      <c r="K1059" s="49" t="s">
        <v>8707</v>
      </c>
      <c r="L1059" s="49" t="s">
        <v>8708</v>
      </c>
      <c r="M1059" s="49" t="s">
        <v>8709</v>
      </c>
      <c r="N1059" s="49" t="s">
        <v>8710</v>
      </c>
      <c r="O1059" s="49" t="s">
        <v>8711</v>
      </c>
      <c r="P1059" s="49" t="s">
        <v>8712</v>
      </c>
      <c r="Q1059" s="49" t="s">
        <v>8713</v>
      </c>
      <c r="R1059" s="49" t="s">
        <v>8714</v>
      </c>
      <c r="S1059" s="49" t="s">
        <v>8715</v>
      </c>
      <c r="T1059" s="49" t="s">
        <v>8716</v>
      </c>
    </row>
    <row r="1060" spans="1:20" x14ac:dyDescent="0.2">
      <c r="A1060" s="49" t="s">
        <v>30</v>
      </c>
      <c r="D1060" s="49" t="s">
        <v>11630</v>
      </c>
      <c r="G1060" s="49" t="s">
        <v>16156</v>
      </c>
      <c r="H1060" s="49" t="s">
        <v>11683</v>
      </c>
      <c r="I1060" s="49" t="s">
        <v>11688</v>
      </c>
      <c r="J1060" s="49" t="s">
        <v>11723</v>
      </c>
      <c r="K1060" s="49" t="s">
        <v>11728</v>
      </c>
      <c r="L1060" s="49" t="s">
        <v>11631</v>
      </c>
      <c r="M1060" s="49" t="s">
        <v>11632</v>
      </c>
      <c r="N1060" s="49" t="s">
        <v>11633</v>
      </c>
      <c r="O1060" s="49" t="s">
        <v>11693</v>
      </c>
      <c r="P1060" s="49" t="s">
        <v>11698</v>
      </c>
      <c r="Q1060" s="49" t="s">
        <v>11703</v>
      </c>
      <c r="R1060" s="49" t="s">
        <v>11708</v>
      </c>
      <c r="S1060" s="49" t="s">
        <v>11713</v>
      </c>
      <c r="T1060" s="49" t="s">
        <v>11718</v>
      </c>
    </row>
    <row r="1061" spans="1:20" x14ac:dyDescent="0.2">
      <c r="A1061" s="49" t="s">
        <v>30</v>
      </c>
      <c r="D1061" s="49" t="s">
        <v>11634</v>
      </c>
      <c r="G1061" s="49" t="s">
        <v>16157</v>
      </c>
      <c r="H1061" s="49" t="s">
        <v>11684</v>
      </c>
      <c r="I1061" s="49" t="s">
        <v>11689</v>
      </c>
      <c r="J1061" s="49" t="s">
        <v>11724</v>
      </c>
      <c r="K1061" s="49" t="s">
        <v>11729</v>
      </c>
      <c r="L1061" s="49" t="s">
        <v>11635</v>
      </c>
      <c r="M1061" s="49" t="s">
        <v>11636</v>
      </c>
      <c r="N1061" s="49" t="s">
        <v>11637</v>
      </c>
      <c r="O1061" s="49" t="s">
        <v>11694</v>
      </c>
      <c r="P1061" s="49" t="s">
        <v>11699</v>
      </c>
      <c r="Q1061" s="49" t="s">
        <v>11704</v>
      </c>
      <c r="R1061" s="49" t="s">
        <v>11709</v>
      </c>
      <c r="S1061" s="49" t="s">
        <v>11714</v>
      </c>
      <c r="T1061" s="49" t="s">
        <v>11719</v>
      </c>
    </row>
    <row r="1062" spans="1:20" x14ac:dyDescent="0.2">
      <c r="A1062" s="49" t="s">
        <v>30</v>
      </c>
      <c r="D1062" s="49" t="s">
        <v>16158</v>
      </c>
      <c r="G1062" s="49" t="s">
        <v>16159</v>
      </c>
      <c r="H1062" s="49" t="s">
        <v>29746</v>
      </c>
      <c r="I1062" s="49" t="s">
        <v>29752</v>
      </c>
      <c r="J1062" s="49" t="s">
        <v>29794</v>
      </c>
      <c r="K1062" s="49" t="s">
        <v>29800</v>
      </c>
      <c r="L1062" s="49" t="s">
        <v>16160</v>
      </c>
      <c r="M1062" s="49" t="s">
        <v>16161</v>
      </c>
      <c r="N1062" s="49" t="s">
        <v>16162</v>
      </c>
      <c r="O1062" s="49" t="s">
        <v>29758</v>
      </c>
      <c r="P1062" s="49" t="s">
        <v>29764</v>
      </c>
      <c r="Q1062" s="49" t="s">
        <v>29770</v>
      </c>
      <c r="R1062" s="49" t="s">
        <v>29776</v>
      </c>
      <c r="S1062" s="49" t="s">
        <v>29782</v>
      </c>
      <c r="T1062" s="49" t="s">
        <v>29788</v>
      </c>
    </row>
    <row r="1063" spans="1:20" x14ac:dyDescent="0.2">
      <c r="A1063" s="49" t="s">
        <v>30</v>
      </c>
      <c r="D1063" s="49" t="s">
        <v>16163</v>
      </c>
      <c r="G1063" s="49" t="s">
        <v>16164</v>
      </c>
      <c r="H1063" s="49" t="s">
        <v>29747</v>
      </c>
      <c r="I1063" s="49" t="s">
        <v>29753</v>
      </c>
      <c r="J1063" s="49" t="s">
        <v>29795</v>
      </c>
      <c r="K1063" s="49" t="s">
        <v>29801</v>
      </c>
      <c r="L1063" s="49" t="s">
        <v>16165</v>
      </c>
      <c r="M1063" s="49" t="s">
        <v>16166</v>
      </c>
      <c r="N1063" s="49" t="s">
        <v>16167</v>
      </c>
      <c r="O1063" s="49" t="s">
        <v>29759</v>
      </c>
      <c r="P1063" s="49" t="s">
        <v>29765</v>
      </c>
      <c r="Q1063" s="49" t="s">
        <v>29771</v>
      </c>
      <c r="R1063" s="49" t="s">
        <v>29777</v>
      </c>
      <c r="S1063" s="49" t="s">
        <v>29783</v>
      </c>
      <c r="T1063" s="49" t="s">
        <v>29789</v>
      </c>
    </row>
    <row r="1064" spans="1:20" x14ac:dyDescent="0.2">
      <c r="A1064" s="49" t="s">
        <v>30</v>
      </c>
      <c r="D1064" s="49" t="s">
        <v>16168</v>
      </c>
      <c r="G1064" s="49" t="s">
        <v>16169</v>
      </c>
      <c r="H1064" s="49" t="s">
        <v>29748</v>
      </c>
      <c r="I1064" s="49" t="s">
        <v>29754</v>
      </c>
      <c r="J1064" s="49" t="s">
        <v>29796</v>
      </c>
      <c r="K1064" s="49" t="s">
        <v>29802</v>
      </c>
      <c r="L1064" s="49" t="s">
        <v>16170</v>
      </c>
      <c r="M1064" s="49" t="s">
        <v>16171</v>
      </c>
      <c r="N1064" s="49" t="s">
        <v>16172</v>
      </c>
      <c r="O1064" s="49" t="s">
        <v>29760</v>
      </c>
      <c r="P1064" s="49" t="s">
        <v>29766</v>
      </c>
      <c r="Q1064" s="49" t="s">
        <v>29772</v>
      </c>
      <c r="R1064" s="49" t="s">
        <v>29778</v>
      </c>
      <c r="S1064" s="49" t="s">
        <v>29784</v>
      </c>
      <c r="T1064" s="49" t="s">
        <v>29790</v>
      </c>
    </row>
    <row r="1065" spans="1:20" x14ac:dyDescent="0.2">
      <c r="A1065" s="49" t="s">
        <v>30</v>
      </c>
      <c r="D1065" s="49" t="s">
        <v>8718</v>
      </c>
      <c r="G1065" s="49" t="s">
        <v>16173</v>
      </c>
      <c r="H1065" s="49" t="s">
        <v>8719</v>
      </c>
      <c r="I1065" s="49" t="s">
        <v>8720</v>
      </c>
      <c r="J1065" s="49" t="s">
        <v>8721</v>
      </c>
      <c r="K1065" s="49" t="s">
        <v>8722</v>
      </c>
      <c r="L1065" s="49" t="s">
        <v>8723</v>
      </c>
      <c r="M1065" s="49" t="s">
        <v>8724</v>
      </c>
      <c r="N1065" s="49" t="s">
        <v>8725</v>
      </c>
      <c r="O1065" s="49" t="s">
        <v>8726</v>
      </c>
      <c r="P1065" s="49" t="s">
        <v>8727</v>
      </c>
      <c r="Q1065" s="49" t="s">
        <v>8728</v>
      </c>
      <c r="R1065" s="49" t="s">
        <v>8729</v>
      </c>
      <c r="S1065" s="49" t="s">
        <v>8730</v>
      </c>
      <c r="T1065" s="49" t="s">
        <v>8731</v>
      </c>
    </row>
    <row r="1066" spans="1:20" x14ac:dyDescent="0.2">
      <c r="A1066" s="49" t="s">
        <v>30</v>
      </c>
      <c r="D1066" s="49" t="s">
        <v>8732</v>
      </c>
      <c r="G1066" s="49" t="s">
        <v>16174</v>
      </c>
      <c r="H1066" s="49" t="s">
        <v>8733</v>
      </c>
      <c r="I1066" s="49" t="s">
        <v>8734</v>
      </c>
      <c r="J1066" s="49" t="s">
        <v>8735</v>
      </c>
      <c r="K1066" s="49" t="s">
        <v>8736</v>
      </c>
      <c r="L1066" s="49" t="s">
        <v>8737</v>
      </c>
      <c r="M1066" s="49" t="s">
        <v>8738</v>
      </c>
      <c r="N1066" s="49" t="s">
        <v>8739</v>
      </c>
      <c r="O1066" s="49" t="s">
        <v>8740</v>
      </c>
      <c r="P1066" s="49" t="s">
        <v>8741</v>
      </c>
      <c r="Q1066" s="49" t="s">
        <v>8742</v>
      </c>
      <c r="R1066" s="49" t="s">
        <v>8743</v>
      </c>
      <c r="S1066" s="49" t="s">
        <v>8744</v>
      </c>
      <c r="T1066" s="49" t="s">
        <v>8745</v>
      </c>
    </row>
    <row r="1067" spans="1:20" x14ac:dyDescent="0.2">
      <c r="A1067" s="49" t="s">
        <v>30</v>
      </c>
      <c r="D1067" s="49" t="s">
        <v>8746</v>
      </c>
      <c r="G1067" s="49" t="s">
        <v>16175</v>
      </c>
      <c r="H1067" s="49" t="s">
        <v>8747</v>
      </c>
      <c r="I1067" s="49" t="s">
        <v>8748</v>
      </c>
      <c r="J1067" s="49" t="s">
        <v>8749</v>
      </c>
      <c r="K1067" s="49" t="s">
        <v>8750</v>
      </c>
      <c r="L1067" s="49" t="s">
        <v>8751</v>
      </c>
      <c r="M1067" s="49" t="s">
        <v>8752</v>
      </c>
      <c r="N1067" s="49" t="s">
        <v>8753</v>
      </c>
      <c r="O1067" s="49" t="s">
        <v>8754</v>
      </c>
      <c r="P1067" s="49" t="s">
        <v>8755</v>
      </c>
      <c r="Q1067" s="49" t="s">
        <v>8756</v>
      </c>
      <c r="R1067" s="49" t="s">
        <v>8757</v>
      </c>
      <c r="S1067" s="49" t="s">
        <v>8758</v>
      </c>
      <c r="T1067" s="49" t="s">
        <v>8759</v>
      </c>
    </row>
    <row r="1068" spans="1:20" x14ac:dyDescent="0.2">
      <c r="A1068" s="49" t="s">
        <v>30</v>
      </c>
      <c r="D1068" s="49" t="s">
        <v>16176</v>
      </c>
      <c r="G1068" s="49" t="s">
        <v>16177</v>
      </c>
      <c r="H1068" s="49" t="s">
        <v>29749</v>
      </c>
      <c r="I1068" s="49" t="s">
        <v>29755</v>
      </c>
      <c r="J1068" s="49" t="s">
        <v>29797</v>
      </c>
      <c r="K1068" s="49" t="s">
        <v>29803</v>
      </c>
      <c r="L1068" s="49" t="s">
        <v>16178</v>
      </c>
      <c r="M1068" s="49" t="s">
        <v>16179</v>
      </c>
      <c r="N1068" s="49" t="s">
        <v>16180</v>
      </c>
      <c r="O1068" s="49" t="s">
        <v>29761</v>
      </c>
      <c r="P1068" s="49" t="s">
        <v>29767</v>
      </c>
      <c r="Q1068" s="49" t="s">
        <v>29773</v>
      </c>
      <c r="R1068" s="49" t="s">
        <v>29779</v>
      </c>
      <c r="S1068" s="49" t="s">
        <v>29785</v>
      </c>
      <c r="T1068" s="49" t="s">
        <v>29791</v>
      </c>
    </row>
    <row r="1069" spans="1:20" x14ac:dyDescent="0.2">
      <c r="A1069" s="49" t="s">
        <v>30</v>
      </c>
      <c r="D1069" s="49" t="s">
        <v>16181</v>
      </c>
      <c r="G1069" s="49" t="s">
        <v>16182</v>
      </c>
      <c r="H1069" s="49" t="s">
        <v>29750</v>
      </c>
      <c r="I1069" s="49" t="s">
        <v>29756</v>
      </c>
      <c r="J1069" s="49" t="s">
        <v>29798</v>
      </c>
      <c r="K1069" s="49" t="s">
        <v>29804</v>
      </c>
      <c r="L1069" s="49" t="s">
        <v>16183</v>
      </c>
      <c r="M1069" s="49" t="s">
        <v>16184</v>
      </c>
      <c r="N1069" s="49" t="s">
        <v>16185</v>
      </c>
      <c r="O1069" s="49" t="s">
        <v>29762</v>
      </c>
      <c r="P1069" s="49" t="s">
        <v>29768</v>
      </c>
      <c r="Q1069" s="49" t="s">
        <v>29774</v>
      </c>
      <c r="R1069" s="49" t="s">
        <v>29780</v>
      </c>
      <c r="S1069" s="49" t="s">
        <v>29786</v>
      </c>
      <c r="T1069" s="49" t="s">
        <v>29792</v>
      </c>
    </row>
    <row r="1070" spans="1:20" x14ac:dyDescent="0.2">
      <c r="A1070" s="49" t="s">
        <v>30</v>
      </c>
      <c r="D1070" s="49" t="s">
        <v>16186</v>
      </c>
      <c r="G1070" s="49" t="s">
        <v>16187</v>
      </c>
      <c r="H1070" s="49" t="s">
        <v>29751</v>
      </c>
      <c r="I1070" s="49" t="s">
        <v>29757</v>
      </c>
      <c r="J1070" s="49" t="s">
        <v>29799</v>
      </c>
      <c r="K1070" s="49" t="s">
        <v>29805</v>
      </c>
      <c r="L1070" s="49" t="s">
        <v>16188</v>
      </c>
      <c r="M1070" s="49" t="s">
        <v>16189</v>
      </c>
      <c r="N1070" s="49" t="s">
        <v>16190</v>
      </c>
      <c r="O1070" s="49" t="s">
        <v>29763</v>
      </c>
      <c r="P1070" s="49" t="s">
        <v>29769</v>
      </c>
      <c r="Q1070" s="49" t="s">
        <v>29775</v>
      </c>
      <c r="R1070" s="49" t="s">
        <v>29781</v>
      </c>
      <c r="S1070" s="49" t="s">
        <v>29787</v>
      </c>
      <c r="T1070" s="49" t="s">
        <v>29793</v>
      </c>
    </row>
    <row r="1071" spans="1:20" x14ac:dyDescent="0.2">
      <c r="A1071" s="49" t="s">
        <v>30</v>
      </c>
    </row>
    <row r="1072" spans="1:20" x14ac:dyDescent="0.2">
      <c r="A1072" s="49" t="s">
        <v>30</v>
      </c>
      <c r="E1072" s="49" t="s">
        <v>31</v>
      </c>
      <c r="F1072" s="49" t="s">
        <v>31</v>
      </c>
      <c r="G1072" s="49" t="s">
        <v>31</v>
      </c>
      <c r="J1072" s="49" t="s">
        <v>31</v>
      </c>
      <c r="K1072" s="49" t="s">
        <v>31</v>
      </c>
      <c r="L1072" s="49" t="s">
        <v>31</v>
      </c>
      <c r="M1072" s="49" t="s">
        <v>31</v>
      </c>
    </row>
    <row r="1073" spans="1:21" x14ac:dyDescent="0.2">
      <c r="A1073" s="49" t="s">
        <v>30</v>
      </c>
      <c r="D1073" s="49" t="s">
        <v>16191</v>
      </c>
      <c r="E1073" s="49" t="s">
        <v>6242</v>
      </c>
      <c r="F1073" s="49" t="s">
        <v>16192</v>
      </c>
      <c r="H1073" s="49" t="s">
        <v>16193</v>
      </c>
      <c r="O1073" s="49" t="s">
        <v>16194</v>
      </c>
      <c r="P1073" s="49" t="s">
        <v>16195</v>
      </c>
      <c r="Q1073" s="49" t="s">
        <v>16196</v>
      </c>
      <c r="R1073" s="49" t="s">
        <v>16197</v>
      </c>
      <c r="S1073" s="49" t="s">
        <v>16198</v>
      </c>
      <c r="T1073" s="49" t="s">
        <v>16199</v>
      </c>
      <c r="U1073" s="49" t="s">
        <v>16200</v>
      </c>
    </row>
    <row r="1074" spans="1:21" x14ac:dyDescent="0.2">
      <c r="A1074" s="49" t="s">
        <v>30</v>
      </c>
      <c r="D1074" s="49" t="s">
        <v>8761</v>
      </c>
      <c r="G1074" s="49" t="s">
        <v>16201</v>
      </c>
      <c r="H1074" s="49" t="s">
        <v>8762</v>
      </c>
      <c r="I1074" s="49" t="s">
        <v>8763</v>
      </c>
      <c r="J1074" s="49" t="s">
        <v>8764</v>
      </c>
      <c r="K1074" s="49" t="s">
        <v>8765</v>
      </c>
      <c r="L1074" s="49" t="s">
        <v>8766</v>
      </c>
      <c r="M1074" s="49" t="s">
        <v>8767</v>
      </c>
      <c r="N1074" s="49" t="s">
        <v>8768</v>
      </c>
      <c r="O1074" s="49" t="s">
        <v>8769</v>
      </c>
      <c r="P1074" s="49" t="s">
        <v>8770</v>
      </c>
      <c r="Q1074" s="49" t="s">
        <v>8771</v>
      </c>
      <c r="R1074" s="49" t="s">
        <v>8772</v>
      </c>
      <c r="S1074" s="49" t="s">
        <v>8773</v>
      </c>
      <c r="T1074" s="49" t="s">
        <v>8774</v>
      </c>
    </row>
    <row r="1075" spans="1:21" x14ac:dyDescent="0.2">
      <c r="A1075" s="49" t="s">
        <v>30</v>
      </c>
      <c r="D1075" s="49" t="s">
        <v>16202</v>
      </c>
      <c r="G1075" s="49" t="s">
        <v>16203</v>
      </c>
      <c r="H1075" s="49" t="s">
        <v>29686</v>
      </c>
      <c r="I1075" s="49" t="s">
        <v>29692</v>
      </c>
      <c r="J1075" s="49" t="s">
        <v>29734</v>
      </c>
      <c r="K1075" s="49" t="s">
        <v>29740</v>
      </c>
      <c r="L1075" s="49" t="s">
        <v>16204</v>
      </c>
      <c r="M1075" s="49" t="s">
        <v>16205</v>
      </c>
      <c r="N1075" s="49" t="s">
        <v>16206</v>
      </c>
      <c r="O1075" s="49" t="s">
        <v>29698</v>
      </c>
      <c r="P1075" s="49" t="s">
        <v>29704</v>
      </c>
      <c r="Q1075" s="49" t="s">
        <v>29710</v>
      </c>
      <c r="R1075" s="49" t="s">
        <v>29716</v>
      </c>
      <c r="S1075" s="49" t="s">
        <v>29722</v>
      </c>
      <c r="T1075" s="49" t="s">
        <v>29728</v>
      </c>
    </row>
    <row r="1076" spans="1:21" x14ac:dyDescent="0.2">
      <c r="A1076" s="49" t="s">
        <v>30</v>
      </c>
      <c r="D1076" s="49" t="s">
        <v>16207</v>
      </c>
      <c r="G1076" s="49" t="s">
        <v>16208</v>
      </c>
      <c r="H1076" s="49" t="s">
        <v>29687</v>
      </c>
      <c r="I1076" s="49" t="s">
        <v>29693</v>
      </c>
      <c r="J1076" s="49" t="s">
        <v>29735</v>
      </c>
      <c r="K1076" s="49" t="s">
        <v>29741</v>
      </c>
      <c r="L1076" s="49" t="s">
        <v>16209</v>
      </c>
      <c r="M1076" s="49" t="s">
        <v>16210</v>
      </c>
      <c r="N1076" s="49" t="s">
        <v>16211</v>
      </c>
      <c r="O1076" s="49" t="s">
        <v>29699</v>
      </c>
      <c r="P1076" s="49" t="s">
        <v>29705</v>
      </c>
      <c r="Q1076" s="49" t="s">
        <v>29711</v>
      </c>
      <c r="R1076" s="49" t="s">
        <v>29717</v>
      </c>
      <c r="S1076" s="49" t="s">
        <v>29723</v>
      </c>
      <c r="T1076" s="49" t="s">
        <v>29729</v>
      </c>
    </row>
    <row r="1077" spans="1:21" x14ac:dyDescent="0.2">
      <c r="A1077" s="49" t="s">
        <v>30</v>
      </c>
      <c r="D1077" s="49" t="s">
        <v>16212</v>
      </c>
      <c r="G1077" s="49" t="s">
        <v>16213</v>
      </c>
      <c r="H1077" s="49" t="s">
        <v>29688</v>
      </c>
      <c r="I1077" s="49" t="s">
        <v>29694</v>
      </c>
      <c r="J1077" s="49" t="s">
        <v>29736</v>
      </c>
      <c r="K1077" s="49" t="s">
        <v>29742</v>
      </c>
      <c r="L1077" s="49" t="s">
        <v>16214</v>
      </c>
      <c r="M1077" s="49" t="s">
        <v>16215</v>
      </c>
      <c r="N1077" s="49" t="s">
        <v>16216</v>
      </c>
      <c r="O1077" s="49" t="s">
        <v>29700</v>
      </c>
      <c r="P1077" s="49" t="s">
        <v>29706</v>
      </c>
      <c r="Q1077" s="49" t="s">
        <v>29712</v>
      </c>
      <c r="R1077" s="49" t="s">
        <v>29718</v>
      </c>
      <c r="S1077" s="49" t="s">
        <v>29724</v>
      </c>
      <c r="T1077" s="49" t="s">
        <v>29730</v>
      </c>
    </row>
    <row r="1078" spans="1:21" x14ac:dyDescent="0.2">
      <c r="A1078" s="49" t="s">
        <v>30</v>
      </c>
      <c r="D1078" s="49" t="s">
        <v>11638</v>
      </c>
      <c r="G1078" s="49" t="s">
        <v>16217</v>
      </c>
      <c r="H1078" s="49" t="s">
        <v>11639</v>
      </c>
      <c r="I1078" s="49" t="s">
        <v>11640</v>
      </c>
      <c r="J1078" s="49" t="s">
        <v>11641</v>
      </c>
      <c r="K1078" s="49" t="s">
        <v>11642</v>
      </c>
      <c r="L1078" s="49" t="s">
        <v>11643</v>
      </c>
      <c r="M1078" s="49" t="s">
        <v>11644</v>
      </c>
      <c r="N1078" s="49" t="s">
        <v>11645</v>
      </c>
      <c r="O1078" s="49" t="s">
        <v>11646</v>
      </c>
      <c r="P1078" s="49" t="s">
        <v>11647</v>
      </c>
      <c r="Q1078" s="49" t="s">
        <v>11648</v>
      </c>
      <c r="R1078" s="49" t="s">
        <v>11649</v>
      </c>
      <c r="S1078" s="49" t="s">
        <v>11650</v>
      </c>
      <c r="T1078" s="49" t="s">
        <v>11651</v>
      </c>
    </row>
    <row r="1079" spans="1:21" x14ac:dyDescent="0.2">
      <c r="A1079" s="49" t="s">
        <v>30</v>
      </c>
      <c r="D1079" s="49" t="s">
        <v>11652</v>
      </c>
      <c r="G1079" s="49" t="s">
        <v>16218</v>
      </c>
      <c r="H1079" s="49" t="s">
        <v>11653</v>
      </c>
      <c r="I1079" s="49" t="s">
        <v>11654</v>
      </c>
      <c r="J1079" s="49" t="s">
        <v>11655</v>
      </c>
      <c r="K1079" s="49" t="s">
        <v>11656</v>
      </c>
      <c r="L1079" s="49" t="s">
        <v>11657</v>
      </c>
      <c r="M1079" s="49" t="s">
        <v>11658</v>
      </c>
      <c r="N1079" s="49" t="s">
        <v>11659</v>
      </c>
      <c r="O1079" s="49" t="s">
        <v>11660</v>
      </c>
      <c r="P1079" s="49" t="s">
        <v>11661</v>
      </c>
      <c r="Q1079" s="49" t="s">
        <v>11662</v>
      </c>
      <c r="R1079" s="49" t="s">
        <v>11663</v>
      </c>
      <c r="S1079" s="49" t="s">
        <v>11664</v>
      </c>
      <c r="T1079" s="49" t="s">
        <v>11665</v>
      </c>
    </row>
    <row r="1080" spans="1:21" x14ac:dyDescent="0.2">
      <c r="A1080" s="49" t="s">
        <v>30</v>
      </c>
      <c r="D1080" s="49" t="s">
        <v>11666</v>
      </c>
      <c r="G1080" s="49" t="s">
        <v>16219</v>
      </c>
      <c r="H1080" s="49" t="s">
        <v>11667</v>
      </c>
      <c r="I1080" s="49" t="s">
        <v>11668</v>
      </c>
      <c r="J1080" s="49" t="s">
        <v>11669</v>
      </c>
      <c r="K1080" s="49" t="s">
        <v>11670</v>
      </c>
      <c r="L1080" s="49" t="s">
        <v>11671</v>
      </c>
      <c r="M1080" s="49" t="s">
        <v>11672</v>
      </c>
      <c r="N1080" s="49" t="s">
        <v>11673</v>
      </c>
      <c r="O1080" s="49" t="s">
        <v>11674</v>
      </c>
      <c r="P1080" s="49" t="s">
        <v>11675</v>
      </c>
      <c r="Q1080" s="49" t="s">
        <v>11676</v>
      </c>
      <c r="R1080" s="49" t="s">
        <v>11677</v>
      </c>
      <c r="S1080" s="49" t="s">
        <v>11678</v>
      </c>
      <c r="T1080" s="49" t="s">
        <v>11679</v>
      </c>
    </row>
    <row r="1081" spans="1:21" x14ac:dyDescent="0.2">
      <c r="A1081" s="49" t="s">
        <v>30</v>
      </c>
      <c r="D1081" s="49" t="s">
        <v>16220</v>
      </c>
      <c r="G1081" s="49" t="s">
        <v>16221</v>
      </c>
      <c r="H1081" s="49" t="s">
        <v>29689</v>
      </c>
      <c r="I1081" s="49" t="s">
        <v>29695</v>
      </c>
      <c r="J1081" s="49" t="s">
        <v>29737</v>
      </c>
      <c r="K1081" s="49" t="s">
        <v>29743</v>
      </c>
      <c r="L1081" s="49" t="s">
        <v>16222</v>
      </c>
      <c r="M1081" s="49" t="s">
        <v>16223</v>
      </c>
      <c r="N1081" s="49" t="s">
        <v>16224</v>
      </c>
      <c r="O1081" s="49" t="s">
        <v>29701</v>
      </c>
      <c r="P1081" s="49" t="s">
        <v>29707</v>
      </c>
      <c r="Q1081" s="49" t="s">
        <v>29713</v>
      </c>
      <c r="R1081" s="49" t="s">
        <v>29719</v>
      </c>
      <c r="S1081" s="49" t="s">
        <v>29725</v>
      </c>
      <c r="T1081" s="49" t="s">
        <v>29731</v>
      </c>
    </row>
    <row r="1082" spans="1:21" x14ac:dyDescent="0.2">
      <c r="A1082" s="49" t="s">
        <v>30</v>
      </c>
      <c r="D1082" s="49" t="s">
        <v>16225</v>
      </c>
      <c r="G1082" s="49" t="s">
        <v>16226</v>
      </c>
      <c r="H1082" s="49" t="s">
        <v>29690</v>
      </c>
      <c r="I1082" s="49" t="s">
        <v>29696</v>
      </c>
      <c r="J1082" s="49" t="s">
        <v>29738</v>
      </c>
      <c r="K1082" s="49" t="s">
        <v>29744</v>
      </c>
      <c r="L1082" s="49" t="s">
        <v>16227</v>
      </c>
      <c r="M1082" s="49" t="s">
        <v>16228</v>
      </c>
      <c r="N1082" s="49" t="s">
        <v>16229</v>
      </c>
      <c r="O1082" s="49" t="s">
        <v>29702</v>
      </c>
      <c r="P1082" s="49" t="s">
        <v>29708</v>
      </c>
      <c r="Q1082" s="49" t="s">
        <v>29714</v>
      </c>
      <c r="R1082" s="49" t="s">
        <v>29720</v>
      </c>
      <c r="S1082" s="49" t="s">
        <v>29726</v>
      </c>
      <c r="T1082" s="49" t="s">
        <v>29732</v>
      </c>
    </row>
    <row r="1083" spans="1:21" x14ac:dyDescent="0.2">
      <c r="A1083" s="49" t="s">
        <v>30</v>
      </c>
      <c r="D1083" s="49" t="s">
        <v>16230</v>
      </c>
      <c r="G1083" s="49" t="s">
        <v>16231</v>
      </c>
      <c r="H1083" s="49" t="s">
        <v>29691</v>
      </c>
      <c r="I1083" s="49" t="s">
        <v>29697</v>
      </c>
      <c r="J1083" s="49" t="s">
        <v>29739</v>
      </c>
      <c r="K1083" s="49" t="s">
        <v>29745</v>
      </c>
      <c r="L1083" s="49" t="s">
        <v>16232</v>
      </c>
      <c r="M1083" s="49" t="s">
        <v>16233</v>
      </c>
      <c r="N1083" s="49" t="s">
        <v>16234</v>
      </c>
      <c r="O1083" s="49" t="s">
        <v>29703</v>
      </c>
      <c r="P1083" s="49" t="s">
        <v>29709</v>
      </c>
      <c r="Q1083" s="49" t="s">
        <v>29715</v>
      </c>
      <c r="R1083" s="49" t="s">
        <v>29721</v>
      </c>
      <c r="S1083" s="49" t="s">
        <v>29727</v>
      </c>
      <c r="T1083" s="49" t="s">
        <v>29733</v>
      </c>
    </row>
    <row r="1084" spans="1:21" x14ac:dyDescent="0.2">
      <c r="A1084" s="49" t="s">
        <v>30</v>
      </c>
      <c r="D1084" s="49" t="s">
        <v>8776</v>
      </c>
      <c r="G1084" s="49" t="s">
        <v>16235</v>
      </c>
      <c r="H1084" s="49" t="s">
        <v>8777</v>
      </c>
      <c r="I1084" s="49" t="s">
        <v>8778</v>
      </c>
      <c r="J1084" s="49" t="s">
        <v>8779</v>
      </c>
      <c r="K1084" s="49" t="s">
        <v>8780</v>
      </c>
      <c r="L1084" s="49" t="s">
        <v>8781</v>
      </c>
      <c r="M1084" s="49" t="s">
        <v>8782</v>
      </c>
      <c r="N1084" s="49" t="s">
        <v>8783</v>
      </c>
      <c r="O1084" s="49" t="s">
        <v>8784</v>
      </c>
      <c r="P1084" s="49" t="s">
        <v>8785</v>
      </c>
      <c r="Q1084" s="49" t="s">
        <v>8786</v>
      </c>
      <c r="R1084" s="49" t="s">
        <v>8787</v>
      </c>
      <c r="S1084" s="49" t="s">
        <v>8788</v>
      </c>
      <c r="T1084" s="49" t="s">
        <v>8789</v>
      </c>
    </row>
    <row r="1085" spans="1:21" x14ac:dyDescent="0.2">
      <c r="A1085" s="49" t="s">
        <v>30</v>
      </c>
      <c r="D1085" s="49" t="s">
        <v>8790</v>
      </c>
      <c r="G1085" s="49" t="s">
        <v>16236</v>
      </c>
      <c r="H1085" s="49" t="s">
        <v>8791</v>
      </c>
      <c r="I1085" s="49" t="s">
        <v>8792</v>
      </c>
      <c r="J1085" s="49" t="s">
        <v>8793</v>
      </c>
      <c r="K1085" s="49" t="s">
        <v>8794</v>
      </c>
      <c r="L1085" s="49" t="s">
        <v>8795</v>
      </c>
      <c r="M1085" s="49" t="s">
        <v>8796</v>
      </c>
      <c r="N1085" s="49" t="s">
        <v>8797</v>
      </c>
      <c r="O1085" s="49" t="s">
        <v>8798</v>
      </c>
      <c r="P1085" s="49" t="s">
        <v>8799</v>
      </c>
      <c r="Q1085" s="49" t="s">
        <v>8800</v>
      </c>
      <c r="R1085" s="49" t="s">
        <v>8801</v>
      </c>
      <c r="S1085" s="49" t="s">
        <v>8802</v>
      </c>
      <c r="T1085" s="49" t="s">
        <v>8803</v>
      </c>
    </row>
    <row r="1086" spans="1:21" x14ac:dyDescent="0.2">
      <c r="A1086" s="49" t="s">
        <v>30</v>
      </c>
      <c r="D1086" s="49" t="s">
        <v>8804</v>
      </c>
      <c r="G1086" s="49" t="s">
        <v>16237</v>
      </c>
      <c r="H1086" s="49" t="s">
        <v>8805</v>
      </c>
      <c r="I1086" s="49" t="s">
        <v>8806</v>
      </c>
      <c r="J1086" s="49" t="s">
        <v>8807</v>
      </c>
      <c r="K1086" s="49" t="s">
        <v>8808</v>
      </c>
      <c r="L1086" s="49" t="s">
        <v>8809</v>
      </c>
      <c r="M1086" s="49" t="s">
        <v>8810</v>
      </c>
      <c r="N1086" s="49" t="s">
        <v>8811</v>
      </c>
      <c r="O1086" s="49" t="s">
        <v>8812</v>
      </c>
      <c r="P1086" s="49" t="s">
        <v>8813</v>
      </c>
      <c r="Q1086" s="49" t="s">
        <v>8814</v>
      </c>
      <c r="R1086" s="49" t="s">
        <v>8815</v>
      </c>
      <c r="S1086" s="49" t="s">
        <v>8816</v>
      </c>
      <c r="T1086" s="49" t="s">
        <v>8817</v>
      </c>
    </row>
    <row r="1087" spans="1:21" x14ac:dyDescent="0.2">
      <c r="A1087" s="49" t="s">
        <v>30</v>
      </c>
      <c r="D1087" s="49" t="s">
        <v>8818</v>
      </c>
      <c r="G1087" s="49" t="s">
        <v>16238</v>
      </c>
      <c r="H1087" s="49" t="s">
        <v>8819</v>
      </c>
      <c r="I1087" s="49" t="s">
        <v>8820</v>
      </c>
      <c r="J1087" s="49" t="s">
        <v>8821</v>
      </c>
      <c r="K1087" s="49" t="s">
        <v>8822</v>
      </c>
      <c r="L1087" s="49" t="s">
        <v>8823</v>
      </c>
      <c r="M1087" s="49" t="s">
        <v>8824</v>
      </c>
      <c r="N1087" s="49" t="s">
        <v>8825</v>
      </c>
      <c r="O1087" s="49" t="s">
        <v>8826</v>
      </c>
      <c r="P1087" s="49" t="s">
        <v>8827</v>
      </c>
      <c r="Q1087" s="49" t="s">
        <v>8828</v>
      </c>
      <c r="R1087" s="49" t="s">
        <v>8829</v>
      </c>
      <c r="S1087" s="49" t="s">
        <v>8830</v>
      </c>
      <c r="T1087" s="49" t="s">
        <v>8831</v>
      </c>
    </row>
    <row r="1088" spans="1:21" x14ac:dyDescent="0.2">
      <c r="A1088" s="49" t="s">
        <v>30</v>
      </c>
    </row>
    <row r="1089" spans="1:21" x14ac:dyDescent="0.2">
      <c r="A1089" s="49" t="s">
        <v>30</v>
      </c>
      <c r="E1089" s="49" t="s">
        <v>31</v>
      </c>
      <c r="F1089" s="49" t="s">
        <v>31</v>
      </c>
      <c r="G1089" s="49" t="s">
        <v>31</v>
      </c>
      <c r="J1089" s="49" t="s">
        <v>31</v>
      </c>
      <c r="K1089" s="49" t="s">
        <v>31</v>
      </c>
      <c r="L1089" s="49" t="s">
        <v>31</v>
      </c>
      <c r="M1089" s="49" t="s">
        <v>31</v>
      </c>
    </row>
    <row r="1090" spans="1:21" x14ac:dyDescent="0.2">
      <c r="A1090" s="49" t="s">
        <v>30</v>
      </c>
      <c r="D1090" s="49" t="s">
        <v>16239</v>
      </c>
      <c r="E1090" s="49" t="s">
        <v>6351</v>
      </c>
      <c r="F1090" s="49" t="s">
        <v>16240</v>
      </c>
      <c r="H1090" s="49" t="s">
        <v>16241</v>
      </c>
      <c r="O1090" s="49" t="s">
        <v>16242</v>
      </c>
      <c r="P1090" s="49" t="s">
        <v>16243</v>
      </c>
      <c r="Q1090" s="49" t="s">
        <v>16244</v>
      </c>
      <c r="R1090" s="49" t="s">
        <v>16245</v>
      </c>
      <c r="S1090" s="49" t="s">
        <v>16246</v>
      </c>
      <c r="T1090" s="49" t="s">
        <v>16247</v>
      </c>
      <c r="U1090" s="49" t="s">
        <v>16248</v>
      </c>
    </row>
    <row r="1091" spans="1:21" x14ac:dyDescent="0.2">
      <c r="A1091" s="49" t="s">
        <v>30</v>
      </c>
      <c r="D1091" s="49" t="s">
        <v>16249</v>
      </c>
      <c r="G1091" s="49" t="s">
        <v>16250</v>
      </c>
      <c r="H1091" s="49" t="s">
        <v>29466</v>
      </c>
      <c r="I1091" s="49" t="s">
        <v>29488</v>
      </c>
      <c r="J1091" s="49" t="s">
        <v>29642</v>
      </c>
      <c r="K1091" s="49" t="s">
        <v>29664</v>
      </c>
      <c r="L1091" s="49" t="s">
        <v>16251</v>
      </c>
      <c r="M1091" s="49" t="s">
        <v>16252</v>
      </c>
      <c r="N1091" s="49" t="s">
        <v>16253</v>
      </c>
      <c r="O1091" s="49" t="s">
        <v>29510</v>
      </c>
      <c r="P1091" s="49" t="s">
        <v>29532</v>
      </c>
      <c r="Q1091" s="49" t="s">
        <v>29554</v>
      </c>
      <c r="R1091" s="49" t="s">
        <v>29576</v>
      </c>
      <c r="S1091" s="49" t="s">
        <v>29598</v>
      </c>
      <c r="T1091" s="49" t="s">
        <v>29620</v>
      </c>
    </row>
    <row r="1092" spans="1:21" x14ac:dyDescent="0.2">
      <c r="A1092" s="49" t="s">
        <v>30</v>
      </c>
      <c r="D1092" s="49" t="s">
        <v>16254</v>
      </c>
      <c r="G1092" s="49" t="s">
        <v>16255</v>
      </c>
      <c r="H1092" s="49" t="s">
        <v>29467</v>
      </c>
      <c r="I1092" s="49" t="s">
        <v>29489</v>
      </c>
      <c r="J1092" s="49" t="s">
        <v>29643</v>
      </c>
      <c r="K1092" s="49" t="s">
        <v>29665</v>
      </c>
      <c r="L1092" s="49" t="s">
        <v>16256</v>
      </c>
      <c r="M1092" s="49" t="s">
        <v>16257</v>
      </c>
      <c r="N1092" s="49" t="s">
        <v>16258</v>
      </c>
      <c r="O1092" s="49" t="s">
        <v>29511</v>
      </c>
      <c r="P1092" s="49" t="s">
        <v>29533</v>
      </c>
      <c r="Q1092" s="49" t="s">
        <v>29555</v>
      </c>
      <c r="R1092" s="49" t="s">
        <v>29577</v>
      </c>
      <c r="S1092" s="49" t="s">
        <v>29599</v>
      </c>
      <c r="T1092" s="49" t="s">
        <v>29621</v>
      </c>
    </row>
    <row r="1093" spans="1:21" x14ac:dyDescent="0.2">
      <c r="A1093" s="49" t="s">
        <v>30</v>
      </c>
      <c r="D1093" s="49" t="s">
        <v>16259</v>
      </c>
      <c r="G1093" s="49" t="s">
        <v>16260</v>
      </c>
      <c r="H1093" s="49" t="s">
        <v>29468</v>
      </c>
      <c r="I1093" s="49" t="s">
        <v>29490</v>
      </c>
      <c r="J1093" s="49" t="s">
        <v>29644</v>
      </c>
      <c r="K1093" s="49" t="s">
        <v>29666</v>
      </c>
      <c r="L1093" s="49" t="s">
        <v>16261</v>
      </c>
      <c r="M1093" s="49" t="s">
        <v>16262</v>
      </c>
      <c r="N1093" s="49" t="s">
        <v>16263</v>
      </c>
      <c r="O1093" s="49" t="s">
        <v>29512</v>
      </c>
      <c r="P1093" s="49" t="s">
        <v>29534</v>
      </c>
      <c r="Q1093" s="49" t="s">
        <v>29556</v>
      </c>
      <c r="R1093" s="49" t="s">
        <v>29578</v>
      </c>
      <c r="S1093" s="49" t="s">
        <v>29600</v>
      </c>
      <c r="T1093" s="49" t="s">
        <v>29622</v>
      </c>
    </row>
    <row r="1094" spans="1:21" x14ac:dyDescent="0.2">
      <c r="A1094" s="49" t="s">
        <v>30</v>
      </c>
      <c r="D1094" s="49" t="s">
        <v>16264</v>
      </c>
      <c r="G1094" s="49" t="s">
        <v>16265</v>
      </c>
      <c r="H1094" s="49" t="s">
        <v>29469</v>
      </c>
      <c r="I1094" s="49" t="s">
        <v>29491</v>
      </c>
      <c r="J1094" s="49" t="s">
        <v>29645</v>
      </c>
      <c r="K1094" s="49" t="s">
        <v>29667</v>
      </c>
      <c r="L1094" s="49" t="s">
        <v>16266</v>
      </c>
      <c r="M1094" s="49" t="s">
        <v>16267</v>
      </c>
      <c r="N1094" s="49" t="s">
        <v>16268</v>
      </c>
      <c r="O1094" s="49" t="s">
        <v>29513</v>
      </c>
      <c r="P1094" s="49" t="s">
        <v>29535</v>
      </c>
      <c r="Q1094" s="49" t="s">
        <v>29557</v>
      </c>
      <c r="R1094" s="49" t="s">
        <v>29579</v>
      </c>
      <c r="S1094" s="49" t="s">
        <v>29601</v>
      </c>
      <c r="T1094" s="49" t="s">
        <v>29623</v>
      </c>
    </row>
    <row r="1095" spans="1:21" x14ac:dyDescent="0.2">
      <c r="A1095" s="49" t="s">
        <v>30</v>
      </c>
      <c r="D1095" s="49" t="s">
        <v>16269</v>
      </c>
      <c r="G1095" s="49" t="s">
        <v>16270</v>
      </c>
      <c r="H1095" s="49" t="s">
        <v>29470</v>
      </c>
      <c r="I1095" s="49" t="s">
        <v>29492</v>
      </c>
      <c r="J1095" s="49" t="s">
        <v>29646</v>
      </c>
      <c r="K1095" s="49" t="s">
        <v>29668</v>
      </c>
      <c r="L1095" s="49" t="s">
        <v>16271</v>
      </c>
      <c r="M1095" s="49" t="s">
        <v>16272</v>
      </c>
      <c r="N1095" s="49" t="s">
        <v>16273</v>
      </c>
      <c r="O1095" s="49" t="s">
        <v>29514</v>
      </c>
      <c r="P1095" s="49" t="s">
        <v>29536</v>
      </c>
      <c r="Q1095" s="49" t="s">
        <v>29558</v>
      </c>
      <c r="R1095" s="49" t="s">
        <v>29580</v>
      </c>
      <c r="S1095" s="49" t="s">
        <v>29602</v>
      </c>
      <c r="T1095" s="49" t="s">
        <v>29624</v>
      </c>
    </row>
    <row r="1096" spans="1:21" x14ac:dyDescent="0.2">
      <c r="A1096" s="49" t="s">
        <v>30</v>
      </c>
      <c r="D1096" s="49" t="s">
        <v>16274</v>
      </c>
      <c r="G1096" s="49" t="s">
        <v>16275</v>
      </c>
      <c r="H1096" s="49" t="s">
        <v>29471</v>
      </c>
      <c r="I1096" s="49" t="s">
        <v>29493</v>
      </c>
      <c r="J1096" s="49" t="s">
        <v>29647</v>
      </c>
      <c r="K1096" s="49" t="s">
        <v>29669</v>
      </c>
      <c r="L1096" s="49" t="s">
        <v>16276</v>
      </c>
      <c r="M1096" s="49" t="s">
        <v>16277</v>
      </c>
      <c r="N1096" s="49" t="s">
        <v>16278</v>
      </c>
      <c r="O1096" s="49" t="s">
        <v>29515</v>
      </c>
      <c r="P1096" s="49" t="s">
        <v>29537</v>
      </c>
      <c r="Q1096" s="49" t="s">
        <v>29559</v>
      </c>
      <c r="R1096" s="49" t="s">
        <v>29581</v>
      </c>
      <c r="S1096" s="49" t="s">
        <v>29603</v>
      </c>
      <c r="T1096" s="49" t="s">
        <v>29625</v>
      </c>
    </row>
    <row r="1097" spans="1:21" x14ac:dyDescent="0.2">
      <c r="A1097" s="49" t="s">
        <v>30</v>
      </c>
      <c r="D1097" s="49" t="s">
        <v>16279</v>
      </c>
      <c r="G1097" s="49" t="s">
        <v>16280</v>
      </c>
      <c r="H1097" s="49" t="s">
        <v>29472</v>
      </c>
      <c r="I1097" s="49" t="s">
        <v>29494</v>
      </c>
      <c r="J1097" s="49" t="s">
        <v>29648</v>
      </c>
      <c r="K1097" s="49" t="s">
        <v>29670</v>
      </c>
      <c r="L1097" s="49" t="s">
        <v>16281</v>
      </c>
      <c r="M1097" s="49" t="s">
        <v>16282</v>
      </c>
      <c r="N1097" s="49" t="s">
        <v>16283</v>
      </c>
      <c r="O1097" s="49" t="s">
        <v>29516</v>
      </c>
      <c r="P1097" s="49" t="s">
        <v>29538</v>
      </c>
      <c r="Q1097" s="49" t="s">
        <v>29560</v>
      </c>
      <c r="R1097" s="49" t="s">
        <v>29582</v>
      </c>
      <c r="S1097" s="49" t="s">
        <v>29604</v>
      </c>
      <c r="T1097" s="49" t="s">
        <v>29626</v>
      </c>
    </row>
    <row r="1098" spans="1:21" x14ac:dyDescent="0.2">
      <c r="A1098" s="49" t="s">
        <v>30</v>
      </c>
      <c r="D1098" s="49" t="s">
        <v>16284</v>
      </c>
      <c r="G1098" s="49" t="s">
        <v>16285</v>
      </c>
      <c r="H1098" s="49" t="s">
        <v>29473</v>
      </c>
      <c r="I1098" s="49" t="s">
        <v>29495</v>
      </c>
      <c r="J1098" s="49" t="s">
        <v>29649</v>
      </c>
      <c r="K1098" s="49" t="s">
        <v>29671</v>
      </c>
      <c r="L1098" s="49" t="s">
        <v>16286</v>
      </c>
      <c r="M1098" s="49" t="s">
        <v>16287</v>
      </c>
      <c r="N1098" s="49" t="s">
        <v>16288</v>
      </c>
      <c r="O1098" s="49" t="s">
        <v>29517</v>
      </c>
      <c r="P1098" s="49" t="s">
        <v>29539</v>
      </c>
      <c r="Q1098" s="49" t="s">
        <v>29561</v>
      </c>
      <c r="R1098" s="49" t="s">
        <v>29583</v>
      </c>
      <c r="S1098" s="49" t="s">
        <v>29605</v>
      </c>
      <c r="T1098" s="49" t="s">
        <v>29627</v>
      </c>
    </row>
    <row r="1099" spans="1:21" x14ac:dyDescent="0.2">
      <c r="A1099" s="49" t="s">
        <v>30</v>
      </c>
      <c r="D1099" s="49" t="s">
        <v>16289</v>
      </c>
      <c r="G1099" s="49" t="s">
        <v>16290</v>
      </c>
      <c r="H1099" s="49" t="s">
        <v>29474</v>
      </c>
      <c r="I1099" s="49" t="s">
        <v>29496</v>
      </c>
      <c r="J1099" s="49" t="s">
        <v>29650</v>
      </c>
      <c r="K1099" s="49" t="s">
        <v>29672</v>
      </c>
      <c r="L1099" s="49" t="s">
        <v>16291</v>
      </c>
      <c r="M1099" s="49" t="s">
        <v>16292</v>
      </c>
      <c r="N1099" s="49" t="s">
        <v>16293</v>
      </c>
      <c r="O1099" s="49" t="s">
        <v>29518</v>
      </c>
      <c r="P1099" s="49" t="s">
        <v>29540</v>
      </c>
      <c r="Q1099" s="49" t="s">
        <v>29562</v>
      </c>
      <c r="R1099" s="49" t="s">
        <v>29584</v>
      </c>
      <c r="S1099" s="49" t="s">
        <v>29606</v>
      </c>
      <c r="T1099" s="49" t="s">
        <v>29628</v>
      </c>
    </row>
    <row r="1100" spans="1:21" x14ac:dyDescent="0.2">
      <c r="A1100" s="49" t="s">
        <v>30</v>
      </c>
      <c r="D1100" s="49" t="s">
        <v>16294</v>
      </c>
      <c r="G1100" s="49" t="s">
        <v>16295</v>
      </c>
      <c r="H1100" s="49" t="s">
        <v>29475</v>
      </c>
      <c r="I1100" s="49" t="s">
        <v>29497</v>
      </c>
      <c r="J1100" s="49" t="s">
        <v>29651</v>
      </c>
      <c r="K1100" s="49" t="s">
        <v>29673</v>
      </c>
      <c r="L1100" s="49" t="s">
        <v>16296</v>
      </c>
      <c r="M1100" s="49" t="s">
        <v>16297</v>
      </c>
      <c r="N1100" s="49" t="s">
        <v>16298</v>
      </c>
      <c r="O1100" s="49" t="s">
        <v>29519</v>
      </c>
      <c r="P1100" s="49" t="s">
        <v>29541</v>
      </c>
      <c r="Q1100" s="49" t="s">
        <v>29563</v>
      </c>
      <c r="R1100" s="49" t="s">
        <v>29585</v>
      </c>
      <c r="S1100" s="49" t="s">
        <v>29607</v>
      </c>
      <c r="T1100" s="49" t="s">
        <v>29629</v>
      </c>
    </row>
    <row r="1101" spans="1:21" x14ac:dyDescent="0.2">
      <c r="A1101" s="49" t="s">
        <v>30</v>
      </c>
      <c r="D1101" s="49" t="s">
        <v>16299</v>
      </c>
      <c r="G1101" s="49" t="s">
        <v>16300</v>
      </c>
      <c r="H1101" s="49" t="s">
        <v>29476</v>
      </c>
      <c r="I1101" s="49" t="s">
        <v>29498</v>
      </c>
      <c r="J1101" s="49" t="s">
        <v>29652</v>
      </c>
      <c r="K1101" s="49" t="s">
        <v>29674</v>
      </c>
      <c r="L1101" s="49" t="s">
        <v>16301</v>
      </c>
      <c r="M1101" s="49" t="s">
        <v>16302</v>
      </c>
      <c r="N1101" s="49" t="s">
        <v>16303</v>
      </c>
      <c r="O1101" s="49" t="s">
        <v>29520</v>
      </c>
      <c r="P1101" s="49" t="s">
        <v>29542</v>
      </c>
      <c r="Q1101" s="49" t="s">
        <v>29564</v>
      </c>
      <c r="R1101" s="49" t="s">
        <v>29586</v>
      </c>
      <c r="S1101" s="49" t="s">
        <v>29608</v>
      </c>
      <c r="T1101" s="49" t="s">
        <v>29630</v>
      </c>
    </row>
    <row r="1102" spans="1:21" x14ac:dyDescent="0.2">
      <c r="A1102" s="49" t="s">
        <v>30</v>
      </c>
      <c r="D1102" s="49" t="s">
        <v>16304</v>
      </c>
      <c r="G1102" s="49" t="s">
        <v>16305</v>
      </c>
      <c r="H1102" s="49" t="s">
        <v>29477</v>
      </c>
      <c r="I1102" s="49" t="s">
        <v>29499</v>
      </c>
      <c r="J1102" s="49" t="s">
        <v>29653</v>
      </c>
      <c r="K1102" s="49" t="s">
        <v>29675</v>
      </c>
      <c r="L1102" s="49" t="s">
        <v>16306</v>
      </c>
      <c r="M1102" s="49" t="s">
        <v>16307</v>
      </c>
      <c r="N1102" s="49" t="s">
        <v>16308</v>
      </c>
      <c r="O1102" s="49" t="s">
        <v>29521</v>
      </c>
      <c r="P1102" s="49" t="s">
        <v>29543</v>
      </c>
      <c r="Q1102" s="49" t="s">
        <v>29565</v>
      </c>
      <c r="R1102" s="49" t="s">
        <v>29587</v>
      </c>
      <c r="S1102" s="49" t="s">
        <v>29609</v>
      </c>
      <c r="T1102" s="49" t="s">
        <v>29631</v>
      </c>
    </row>
    <row r="1103" spans="1:21" x14ac:dyDescent="0.2">
      <c r="A1103" s="49" t="s">
        <v>30</v>
      </c>
      <c r="D1103" s="49" t="s">
        <v>16309</v>
      </c>
      <c r="G1103" s="49" t="s">
        <v>16310</v>
      </c>
      <c r="H1103" s="49" t="s">
        <v>29478</v>
      </c>
      <c r="I1103" s="49" t="s">
        <v>29500</v>
      </c>
      <c r="J1103" s="49" t="s">
        <v>29654</v>
      </c>
      <c r="K1103" s="49" t="s">
        <v>29676</v>
      </c>
      <c r="L1103" s="49" t="s">
        <v>16311</v>
      </c>
      <c r="M1103" s="49" t="s">
        <v>16312</v>
      </c>
      <c r="N1103" s="49" t="s">
        <v>16313</v>
      </c>
      <c r="O1103" s="49" t="s">
        <v>29522</v>
      </c>
      <c r="P1103" s="49" t="s">
        <v>29544</v>
      </c>
      <c r="Q1103" s="49" t="s">
        <v>29566</v>
      </c>
      <c r="R1103" s="49" t="s">
        <v>29588</v>
      </c>
      <c r="S1103" s="49" t="s">
        <v>29610</v>
      </c>
      <c r="T1103" s="49" t="s">
        <v>29632</v>
      </c>
    </row>
    <row r="1104" spans="1:21" x14ac:dyDescent="0.2">
      <c r="A1104" s="49" t="s">
        <v>30</v>
      </c>
      <c r="D1104" s="49" t="s">
        <v>16314</v>
      </c>
      <c r="G1104" s="49" t="s">
        <v>16315</v>
      </c>
      <c r="H1104" s="49" t="s">
        <v>29479</v>
      </c>
      <c r="I1104" s="49" t="s">
        <v>29501</v>
      </c>
      <c r="J1104" s="49" t="s">
        <v>29655</v>
      </c>
      <c r="K1104" s="49" t="s">
        <v>29677</v>
      </c>
      <c r="L1104" s="49" t="s">
        <v>16316</v>
      </c>
      <c r="M1104" s="49" t="s">
        <v>16317</v>
      </c>
      <c r="N1104" s="49" t="s">
        <v>16318</v>
      </c>
      <c r="O1104" s="49" t="s">
        <v>29523</v>
      </c>
      <c r="P1104" s="49" t="s">
        <v>29545</v>
      </c>
      <c r="Q1104" s="49" t="s">
        <v>29567</v>
      </c>
      <c r="R1104" s="49" t="s">
        <v>29589</v>
      </c>
      <c r="S1104" s="49" t="s">
        <v>29611</v>
      </c>
      <c r="T1104" s="49" t="s">
        <v>29633</v>
      </c>
    </row>
    <row r="1105" spans="1:21" x14ac:dyDescent="0.2">
      <c r="A1105" s="49" t="s">
        <v>30</v>
      </c>
      <c r="D1105" s="49" t="s">
        <v>16319</v>
      </c>
      <c r="G1105" s="49" t="s">
        <v>16320</v>
      </c>
      <c r="H1105" s="49" t="s">
        <v>29480</v>
      </c>
      <c r="I1105" s="49" t="s">
        <v>29502</v>
      </c>
      <c r="J1105" s="49" t="s">
        <v>29656</v>
      </c>
      <c r="K1105" s="49" t="s">
        <v>29678</v>
      </c>
      <c r="L1105" s="49" t="s">
        <v>16321</v>
      </c>
      <c r="M1105" s="49" t="s">
        <v>16322</v>
      </c>
      <c r="N1105" s="49" t="s">
        <v>16323</v>
      </c>
      <c r="O1105" s="49" t="s">
        <v>29524</v>
      </c>
      <c r="P1105" s="49" t="s">
        <v>29546</v>
      </c>
      <c r="Q1105" s="49" t="s">
        <v>29568</v>
      </c>
      <c r="R1105" s="49" t="s">
        <v>29590</v>
      </c>
      <c r="S1105" s="49" t="s">
        <v>29612</v>
      </c>
      <c r="T1105" s="49" t="s">
        <v>29634</v>
      </c>
    </row>
    <row r="1106" spans="1:21" x14ac:dyDescent="0.2">
      <c r="A1106" s="49" t="s">
        <v>30</v>
      </c>
      <c r="D1106" s="49" t="s">
        <v>16324</v>
      </c>
      <c r="G1106" s="49" t="s">
        <v>16325</v>
      </c>
      <c r="H1106" s="49" t="s">
        <v>29481</v>
      </c>
      <c r="I1106" s="49" t="s">
        <v>29503</v>
      </c>
      <c r="J1106" s="49" t="s">
        <v>29657</v>
      </c>
      <c r="K1106" s="49" t="s">
        <v>29679</v>
      </c>
      <c r="L1106" s="49" t="s">
        <v>16326</v>
      </c>
      <c r="M1106" s="49" t="s">
        <v>16327</v>
      </c>
      <c r="N1106" s="49" t="s">
        <v>16328</v>
      </c>
      <c r="O1106" s="49" t="s">
        <v>29525</v>
      </c>
      <c r="P1106" s="49" t="s">
        <v>29547</v>
      </c>
      <c r="Q1106" s="49" t="s">
        <v>29569</v>
      </c>
      <c r="R1106" s="49" t="s">
        <v>29591</v>
      </c>
      <c r="S1106" s="49" t="s">
        <v>29613</v>
      </c>
      <c r="T1106" s="49" t="s">
        <v>29635</v>
      </c>
    </row>
    <row r="1107" spans="1:21" x14ac:dyDescent="0.2">
      <c r="A1107" s="49" t="s">
        <v>30</v>
      </c>
      <c r="D1107" s="49" t="s">
        <v>16329</v>
      </c>
      <c r="G1107" s="49" t="s">
        <v>16330</v>
      </c>
      <c r="H1107" s="49" t="s">
        <v>29482</v>
      </c>
      <c r="I1107" s="49" t="s">
        <v>29504</v>
      </c>
      <c r="J1107" s="49" t="s">
        <v>29658</v>
      </c>
      <c r="K1107" s="49" t="s">
        <v>29680</v>
      </c>
      <c r="L1107" s="49" t="s">
        <v>16331</v>
      </c>
      <c r="M1107" s="49" t="s">
        <v>16332</v>
      </c>
      <c r="N1107" s="49" t="s">
        <v>16333</v>
      </c>
      <c r="O1107" s="49" t="s">
        <v>29526</v>
      </c>
      <c r="P1107" s="49" t="s">
        <v>29548</v>
      </c>
      <c r="Q1107" s="49" t="s">
        <v>29570</v>
      </c>
      <c r="R1107" s="49" t="s">
        <v>29592</v>
      </c>
      <c r="S1107" s="49" t="s">
        <v>29614</v>
      </c>
      <c r="T1107" s="49" t="s">
        <v>29636</v>
      </c>
    </row>
    <row r="1108" spans="1:21" x14ac:dyDescent="0.2">
      <c r="A1108" s="49" t="s">
        <v>30</v>
      </c>
      <c r="D1108" s="49" t="s">
        <v>16334</v>
      </c>
      <c r="G1108" s="49" t="s">
        <v>16335</v>
      </c>
      <c r="H1108" s="49" t="s">
        <v>29483</v>
      </c>
      <c r="I1108" s="49" t="s">
        <v>29505</v>
      </c>
      <c r="J1108" s="49" t="s">
        <v>29659</v>
      </c>
      <c r="K1108" s="49" t="s">
        <v>29681</v>
      </c>
      <c r="L1108" s="49" t="s">
        <v>16336</v>
      </c>
      <c r="M1108" s="49" t="s">
        <v>16337</v>
      </c>
      <c r="N1108" s="49" t="s">
        <v>16338</v>
      </c>
      <c r="O1108" s="49" t="s">
        <v>29527</v>
      </c>
      <c r="P1108" s="49" t="s">
        <v>29549</v>
      </c>
      <c r="Q1108" s="49" t="s">
        <v>29571</v>
      </c>
      <c r="R1108" s="49" t="s">
        <v>29593</v>
      </c>
      <c r="S1108" s="49" t="s">
        <v>29615</v>
      </c>
      <c r="T1108" s="49" t="s">
        <v>29637</v>
      </c>
    </row>
    <row r="1109" spans="1:21" x14ac:dyDescent="0.2">
      <c r="A1109" s="49" t="s">
        <v>30</v>
      </c>
      <c r="D1109" s="49" t="s">
        <v>16339</v>
      </c>
      <c r="G1109" s="49" t="s">
        <v>16340</v>
      </c>
      <c r="H1109" s="49" t="s">
        <v>29484</v>
      </c>
      <c r="I1109" s="49" t="s">
        <v>29506</v>
      </c>
      <c r="J1109" s="49" t="s">
        <v>29660</v>
      </c>
      <c r="K1109" s="49" t="s">
        <v>29682</v>
      </c>
      <c r="L1109" s="49" t="s">
        <v>16341</v>
      </c>
      <c r="M1109" s="49" t="s">
        <v>16342</v>
      </c>
      <c r="N1109" s="49" t="s">
        <v>16343</v>
      </c>
      <c r="O1109" s="49" t="s">
        <v>29528</v>
      </c>
      <c r="P1109" s="49" t="s">
        <v>29550</v>
      </c>
      <c r="Q1109" s="49" t="s">
        <v>29572</v>
      </c>
      <c r="R1109" s="49" t="s">
        <v>29594</v>
      </c>
      <c r="S1109" s="49" t="s">
        <v>29616</v>
      </c>
      <c r="T1109" s="49" t="s">
        <v>29638</v>
      </c>
    </row>
    <row r="1110" spans="1:21" x14ac:dyDescent="0.2">
      <c r="A1110" s="49" t="s">
        <v>30</v>
      </c>
      <c r="D1110" s="49" t="s">
        <v>16344</v>
      </c>
      <c r="G1110" s="49" t="s">
        <v>16345</v>
      </c>
      <c r="H1110" s="49" t="s">
        <v>29485</v>
      </c>
      <c r="I1110" s="49" t="s">
        <v>29507</v>
      </c>
      <c r="J1110" s="49" t="s">
        <v>29661</v>
      </c>
      <c r="K1110" s="49" t="s">
        <v>29683</v>
      </c>
      <c r="L1110" s="49" t="s">
        <v>16346</v>
      </c>
      <c r="M1110" s="49" t="s">
        <v>16347</v>
      </c>
      <c r="N1110" s="49" t="s">
        <v>16348</v>
      </c>
      <c r="O1110" s="49" t="s">
        <v>29529</v>
      </c>
      <c r="P1110" s="49" t="s">
        <v>29551</v>
      </c>
      <c r="Q1110" s="49" t="s">
        <v>29573</v>
      </c>
      <c r="R1110" s="49" t="s">
        <v>29595</v>
      </c>
      <c r="S1110" s="49" t="s">
        <v>29617</v>
      </c>
      <c r="T1110" s="49" t="s">
        <v>29639</v>
      </c>
    </row>
    <row r="1111" spans="1:21" x14ac:dyDescent="0.2">
      <c r="A1111" s="49" t="s">
        <v>30</v>
      </c>
      <c r="D1111" s="49" t="s">
        <v>16349</v>
      </c>
      <c r="G1111" s="49" t="s">
        <v>16350</v>
      </c>
      <c r="H1111" s="49" t="s">
        <v>29486</v>
      </c>
      <c r="I1111" s="49" t="s">
        <v>29508</v>
      </c>
      <c r="J1111" s="49" t="s">
        <v>29662</v>
      </c>
      <c r="K1111" s="49" t="s">
        <v>29684</v>
      </c>
      <c r="L1111" s="49" t="s">
        <v>16351</v>
      </c>
      <c r="M1111" s="49" t="s">
        <v>16352</v>
      </c>
      <c r="N1111" s="49" t="s">
        <v>16353</v>
      </c>
      <c r="O1111" s="49" t="s">
        <v>29530</v>
      </c>
      <c r="P1111" s="49" t="s">
        <v>29552</v>
      </c>
      <c r="Q1111" s="49" t="s">
        <v>29574</v>
      </c>
      <c r="R1111" s="49" t="s">
        <v>29596</v>
      </c>
      <c r="S1111" s="49" t="s">
        <v>29618</v>
      </c>
      <c r="T1111" s="49" t="s">
        <v>29640</v>
      </c>
    </row>
    <row r="1112" spans="1:21" x14ac:dyDescent="0.2">
      <c r="A1112" s="49" t="s">
        <v>30</v>
      </c>
      <c r="D1112" s="49" t="s">
        <v>16354</v>
      </c>
      <c r="G1112" s="49" t="s">
        <v>16355</v>
      </c>
      <c r="H1112" s="49" t="s">
        <v>29487</v>
      </c>
      <c r="I1112" s="49" t="s">
        <v>29509</v>
      </c>
      <c r="J1112" s="49" t="s">
        <v>29663</v>
      </c>
      <c r="K1112" s="49" t="s">
        <v>29685</v>
      </c>
      <c r="L1112" s="49" t="s">
        <v>16356</v>
      </c>
      <c r="M1112" s="49" t="s">
        <v>16357</v>
      </c>
      <c r="N1112" s="49" t="s">
        <v>16358</v>
      </c>
      <c r="O1112" s="49" t="s">
        <v>29531</v>
      </c>
      <c r="P1112" s="49" t="s">
        <v>29553</v>
      </c>
      <c r="Q1112" s="49" t="s">
        <v>29575</v>
      </c>
      <c r="R1112" s="49" t="s">
        <v>29597</v>
      </c>
      <c r="S1112" s="49" t="s">
        <v>29619</v>
      </c>
      <c r="T1112" s="49" t="s">
        <v>29641</v>
      </c>
    </row>
    <row r="1113" spans="1:21" x14ac:dyDescent="0.2">
      <c r="A1113" s="49" t="s">
        <v>30</v>
      </c>
    </row>
    <row r="1114" spans="1:21" x14ac:dyDescent="0.2">
      <c r="A1114" s="49" t="s">
        <v>30</v>
      </c>
      <c r="E1114" s="49" t="s">
        <v>31</v>
      </c>
      <c r="F1114" s="49" t="s">
        <v>31</v>
      </c>
      <c r="G1114" s="49" t="s">
        <v>31</v>
      </c>
      <c r="J1114" s="49" t="s">
        <v>31</v>
      </c>
      <c r="K1114" s="49" t="s">
        <v>31</v>
      </c>
      <c r="L1114" s="49" t="s">
        <v>31</v>
      </c>
      <c r="M1114" s="49" t="s">
        <v>31</v>
      </c>
    </row>
    <row r="1115" spans="1:21" x14ac:dyDescent="0.2">
      <c r="A1115" s="49" t="s">
        <v>30</v>
      </c>
      <c r="D1115" s="49" t="s">
        <v>16359</v>
      </c>
      <c r="E1115" s="49" t="s">
        <v>6446</v>
      </c>
      <c r="F1115" s="49" t="s">
        <v>16360</v>
      </c>
      <c r="H1115" s="49" t="s">
        <v>16361</v>
      </c>
      <c r="O1115" s="49" t="s">
        <v>16362</v>
      </c>
      <c r="P1115" s="49" t="s">
        <v>16363</v>
      </c>
      <c r="Q1115" s="49" t="s">
        <v>16364</v>
      </c>
      <c r="R1115" s="49" t="s">
        <v>16365</v>
      </c>
      <c r="S1115" s="49" t="s">
        <v>16366</v>
      </c>
      <c r="T1115" s="49" t="s">
        <v>16367</v>
      </c>
      <c r="U1115" s="49" t="s">
        <v>16368</v>
      </c>
    </row>
    <row r="1116" spans="1:21" x14ac:dyDescent="0.2">
      <c r="A1116" s="49" t="s">
        <v>30</v>
      </c>
      <c r="D1116" s="49" t="s">
        <v>16369</v>
      </c>
      <c r="G1116" s="49" t="s">
        <v>16370</v>
      </c>
      <c r="H1116" s="49" t="s">
        <v>29276</v>
      </c>
      <c r="I1116" s="49" t="s">
        <v>29295</v>
      </c>
      <c r="J1116" s="49" t="s">
        <v>29428</v>
      </c>
      <c r="K1116" s="49" t="s">
        <v>29447</v>
      </c>
      <c r="L1116" s="49" t="s">
        <v>16371</v>
      </c>
      <c r="M1116" s="49" t="s">
        <v>16372</v>
      </c>
      <c r="N1116" s="49" t="s">
        <v>16373</v>
      </c>
      <c r="O1116" s="49" t="s">
        <v>29314</v>
      </c>
      <c r="P1116" s="49" t="s">
        <v>29333</v>
      </c>
      <c r="Q1116" s="49" t="s">
        <v>29352</v>
      </c>
      <c r="R1116" s="49" t="s">
        <v>29371</v>
      </c>
      <c r="S1116" s="49" t="s">
        <v>29390</v>
      </c>
      <c r="T1116" s="49" t="s">
        <v>29409</v>
      </c>
    </row>
    <row r="1117" spans="1:21" x14ac:dyDescent="0.2">
      <c r="A1117" s="49" t="s">
        <v>30</v>
      </c>
      <c r="D1117" s="49" t="s">
        <v>16374</v>
      </c>
      <c r="G1117" s="49" t="s">
        <v>16375</v>
      </c>
      <c r="H1117" s="49" t="s">
        <v>29277</v>
      </c>
      <c r="I1117" s="49" t="s">
        <v>29296</v>
      </c>
      <c r="J1117" s="49" t="s">
        <v>29429</v>
      </c>
      <c r="K1117" s="49" t="s">
        <v>29448</v>
      </c>
      <c r="L1117" s="49" t="s">
        <v>16376</v>
      </c>
      <c r="M1117" s="49" t="s">
        <v>16377</v>
      </c>
      <c r="N1117" s="49" t="s">
        <v>16378</v>
      </c>
      <c r="O1117" s="49" t="s">
        <v>29315</v>
      </c>
      <c r="P1117" s="49" t="s">
        <v>29334</v>
      </c>
      <c r="Q1117" s="49" t="s">
        <v>29353</v>
      </c>
      <c r="R1117" s="49" t="s">
        <v>29372</v>
      </c>
      <c r="S1117" s="49" t="s">
        <v>29391</v>
      </c>
      <c r="T1117" s="49" t="s">
        <v>29410</v>
      </c>
    </row>
    <row r="1118" spans="1:21" x14ac:dyDescent="0.2">
      <c r="A1118" s="49" t="s">
        <v>30</v>
      </c>
      <c r="D1118" s="49" t="s">
        <v>16379</v>
      </c>
      <c r="G1118" s="49" t="s">
        <v>16380</v>
      </c>
      <c r="H1118" s="49" t="s">
        <v>29278</v>
      </c>
      <c r="I1118" s="49" t="s">
        <v>29297</v>
      </c>
      <c r="J1118" s="49" t="s">
        <v>29430</v>
      </c>
      <c r="K1118" s="49" t="s">
        <v>29449</v>
      </c>
      <c r="L1118" s="49" t="s">
        <v>16381</v>
      </c>
      <c r="M1118" s="49" t="s">
        <v>16382</v>
      </c>
      <c r="N1118" s="49" t="s">
        <v>16383</v>
      </c>
      <c r="O1118" s="49" t="s">
        <v>29316</v>
      </c>
      <c r="P1118" s="49" t="s">
        <v>29335</v>
      </c>
      <c r="Q1118" s="49" t="s">
        <v>29354</v>
      </c>
      <c r="R1118" s="49" t="s">
        <v>29373</v>
      </c>
      <c r="S1118" s="49" t="s">
        <v>29392</v>
      </c>
      <c r="T1118" s="49" t="s">
        <v>29411</v>
      </c>
    </row>
    <row r="1119" spans="1:21" x14ac:dyDescent="0.2">
      <c r="A1119" s="49" t="s">
        <v>30</v>
      </c>
      <c r="D1119" s="49" t="s">
        <v>16384</v>
      </c>
      <c r="G1119" s="49" t="s">
        <v>16385</v>
      </c>
      <c r="H1119" s="49" t="s">
        <v>29279</v>
      </c>
      <c r="I1119" s="49" t="s">
        <v>29298</v>
      </c>
      <c r="J1119" s="49" t="s">
        <v>29431</v>
      </c>
      <c r="K1119" s="49" t="s">
        <v>29450</v>
      </c>
      <c r="L1119" s="49" t="s">
        <v>16386</v>
      </c>
      <c r="M1119" s="49" t="s">
        <v>16387</v>
      </c>
      <c r="N1119" s="49" t="s">
        <v>16388</v>
      </c>
      <c r="O1119" s="49" t="s">
        <v>29317</v>
      </c>
      <c r="P1119" s="49" t="s">
        <v>29336</v>
      </c>
      <c r="Q1119" s="49" t="s">
        <v>29355</v>
      </c>
      <c r="R1119" s="49" t="s">
        <v>29374</v>
      </c>
      <c r="S1119" s="49" t="s">
        <v>29393</v>
      </c>
      <c r="T1119" s="49" t="s">
        <v>29412</v>
      </c>
    </row>
    <row r="1120" spans="1:21" x14ac:dyDescent="0.2">
      <c r="A1120" s="49" t="s">
        <v>30</v>
      </c>
      <c r="D1120" s="49" t="s">
        <v>16389</v>
      </c>
      <c r="G1120" s="49" t="s">
        <v>16390</v>
      </c>
      <c r="H1120" s="49" t="s">
        <v>29280</v>
      </c>
      <c r="I1120" s="49" t="s">
        <v>29299</v>
      </c>
      <c r="J1120" s="49" t="s">
        <v>29432</v>
      </c>
      <c r="K1120" s="49" t="s">
        <v>29451</v>
      </c>
      <c r="L1120" s="49" t="s">
        <v>16391</v>
      </c>
      <c r="M1120" s="49" t="s">
        <v>16392</v>
      </c>
      <c r="N1120" s="49" t="s">
        <v>16393</v>
      </c>
      <c r="O1120" s="49" t="s">
        <v>29318</v>
      </c>
      <c r="P1120" s="49" t="s">
        <v>29337</v>
      </c>
      <c r="Q1120" s="49" t="s">
        <v>29356</v>
      </c>
      <c r="R1120" s="49" t="s">
        <v>29375</v>
      </c>
      <c r="S1120" s="49" t="s">
        <v>29394</v>
      </c>
      <c r="T1120" s="49" t="s">
        <v>29413</v>
      </c>
    </row>
    <row r="1121" spans="1:20" x14ac:dyDescent="0.2">
      <c r="A1121" s="49" t="s">
        <v>30</v>
      </c>
      <c r="D1121" s="49" t="s">
        <v>16394</v>
      </c>
      <c r="G1121" s="49" t="s">
        <v>16395</v>
      </c>
      <c r="H1121" s="49" t="s">
        <v>29281</v>
      </c>
      <c r="I1121" s="49" t="s">
        <v>29300</v>
      </c>
      <c r="J1121" s="49" t="s">
        <v>29433</v>
      </c>
      <c r="K1121" s="49" t="s">
        <v>29452</v>
      </c>
      <c r="L1121" s="49" t="s">
        <v>16396</v>
      </c>
      <c r="M1121" s="49" t="s">
        <v>16397</v>
      </c>
      <c r="N1121" s="49" t="s">
        <v>16398</v>
      </c>
      <c r="O1121" s="49" t="s">
        <v>29319</v>
      </c>
      <c r="P1121" s="49" t="s">
        <v>29338</v>
      </c>
      <c r="Q1121" s="49" t="s">
        <v>29357</v>
      </c>
      <c r="R1121" s="49" t="s">
        <v>29376</v>
      </c>
      <c r="S1121" s="49" t="s">
        <v>29395</v>
      </c>
      <c r="T1121" s="49" t="s">
        <v>29414</v>
      </c>
    </row>
    <row r="1122" spans="1:20" x14ac:dyDescent="0.2">
      <c r="A1122" s="49" t="s">
        <v>30</v>
      </c>
      <c r="D1122" s="49" t="s">
        <v>16399</v>
      </c>
      <c r="G1122" s="49" t="s">
        <v>16400</v>
      </c>
      <c r="H1122" s="49" t="s">
        <v>29282</v>
      </c>
      <c r="I1122" s="49" t="s">
        <v>29301</v>
      </c>
      <c r="J1122" s="49" t="s">
        <v>29434</v>
      </c>
      <c r="K1122" s="49" t="s">
        <v>29453</v>
      </c>
      <c r="L1122" s="49" t="s">
        <v>16401</v>
      </c>
      <c r="M1122" s="49" t="s">
        <v>16402</v>
      </c>
      <c r="N1122" s="49" t="s">
        <v>16403</v>
      </c>
      <c r="O1122" s="49" t="s">
        <v>29320</v>
      </c>
      <c r="P1122" s="49" t="s">
        <v>29339</v>
      </c>
      <c r="Q1122" s="49" t="s">
        <v>29358</v>
      </c>
      <c r="R1122" s="49" t="s">
        <v>29377</v>
      </c>
      <c r="S1122" s="49" t="s">
        <v>29396</v>
      </c>
      <c r="T1122" s="49" t="s">
        <v>29415</v>
      </c>
    </row>
    <row r="1123" spans="1:20" x14ac:dyDescent="0.2">
      <c r="A1123" s="49" t="s">
        <v>30</v>
      </c>
      <c r="D1123" s="49" t="s">
        <v>16404</v>
      </c>
      <c r="G1123" s="49" t="s">
        <v>16405</v>
      </c>
      <c r="H1123" s="49" t="s">
        <v>29283</v>
      </c>
      <c r="I1123" s="49" t="s">
        <v>29302</v>
      </c>
      <c r="J1123" s="49" t="s">
        <v>29435</v>
      </c>
      <c r="K1123" s="49" t="s">
        <v>29454</v>
      </c>
      <c r="L1123" s="49" t="s">
        <v>16406</v>
      </c>
      <c r="M1123" s="49" t="s">
        <v>16407</v>
      </c>
      <c r="N1123" s="49" t="s">
        <v>16408</v>
      </c>
      <c r="O1123" s="49" t="s">
        <v>29321</v>
      </c>
      <c r="P1123" s="49" t="s">
        <v>29340</v>
      </c>
      <c r="Q1123" s="49" t="s">
        <v>29359</v>
      </c>
      <c r="R1123" s="49" t="s">
        <v>29378</v>
      </c>
      <c r="S1123" s="49" t="s">
        <v>29397</v>
      </c>
      <c r="T1123" s="49" t="s">
        <v>29416</v>
      </c>
    </row>
    <row r="1124" spans="1:20" x14ac:dyDescent="0.2">
      <c r="A1124" s="49" t="s">
        <v>30</v>
      </c>
      <c r="D1124" s="49" t="s">
        <v>16409</v>
      </c>
      <c r="G1124" s="49" t="s">
        <v>16410</v>
      </c>
      <c r="H1124" s="49" t="s">
        <v>29284</v>
      </c>
      <c r="I1124" s="49" t="s">
        <v>29303</v>
      </c>
      <c r="J1124" s="49" t="s">
        <v>29436</v>
      </c>
      <c r="K1124" s="49" t="s">
        <v>29455</v>
      </c>
      <c r="L1124" s="49" t="s">
        <v>16411</v>
      </c>
      <c r="M1124" s="49" t="s">
        <v>16412</v>
      </c>
      <c r="N1124" s="49" t="s">
        <v>16413</v>
      </c>
      <c r="O1124" s="49" t="s">
        <v>29322</v>
      </c>
      <c r="P1124" s="49" t="s">
        <v>29341</v>
      </c>
      <c r="Q1124" s="49" t="s">
        <v>29360</v>
      </c>
      <c r="R1124" s="49" t="s">
        <v>29379</v>
      </c>
      <c r="S1124" s="49" t="s">
        <v>29398</v>
      </c>
      <c r="T1124" s="49" t="s">
        <v>29417</v>
      </c>
    </row>
    <row r="1125" spans="1:20" x14ac:dyDescent="0.2">
      <c r="A1125" s="49" t="s">
        <v>30</v>
      </c>
      <c r="D1125" s="49" t="s">
        <v>16414</v>
      </c>
      <c r="G1125" s="49" t="s">
        <v>16415</v>
      </c>
      <c r="H1125" s="49" t="s">
        <v>29285</v>
      </c>
      <c r="I1125" s="49" t="s">
        <v>29304</v>
      </c>
      <c r="J1125" s="49" t="s">
        <v>29437</v>
      </c>
      <c r="K1125" s="49" t="s">
        <v>29456</v>
      </c>
      <c r="L1125" s="49" t="s">
        <v>16416</v>
      </c>
      <c r="M1125" s="49" t="s">
        <v>16417</v>
      </c>
      <c r="N1125" s="49" t="s">
        <v>16418</v>
      </c>
      <c r="O1125" s="49" t="s">
        <v>29323</v>
      </c>
      <c r="P1125" s="49" t="s">
        <v>29342</v>
      </c>
      <c r="Q1125" s="49" t="s">
        <v>29361</v>
      </c>
      <c r="R1125" s="49" t="s">
        <v>29380</v>
      </c>
      <c r="S1125" s="49" t="s">
        <v>29399</v>
      </c>
      <c r="T1125" s="49" t="s">
        <v>29418</v>
      </c>
    </row>
    <row r="1126" spans="1:20" x14ac:dyDescent="0.2">
      <c r="A1126" s="49" t="s">
        <v>30</v>
      </c>
      <c r="D1126" s="49" t="s">
        <v>16419</v>
      </c>
      <c r="G1126" s="49" t="s">
        <v>16420</v>
      </c>
      <c r="H1126" s="49" t="s">
        <v>29286</v>
      </c>
      <c r="I1126" s="49" t="s">
        <v>29305</v>
      </c>
      <c r="J1126" s="49" t="s">
        <v>29438</v>
      </c>
      <c r="K1126" s="49" t="s">
        <v>29457</v>
      </c>
      <c r="L1126" s="49" t="s">
        <v>16421</v>
      </c>
      <c r="M1126" s="49" t="s">
        <v>16422</v>
      </c>
      <c r="N1126" s="49" t="s">
        <v>16423</v>
      </c>
      <c r="O1126" s="49" t="s">
        <v>29324</v>
      </c>
      <c r="P1126" s="49" t="s">
        <v>29343</v>
      </c>
      <c r="Q1126" s="49" t="s">
        <v>29362</v>
      </c>
      <c r="R1126" s="49" t="s">
        <v>29381</v>
      </c>
      <c r="S1126" s="49" t="s">
        <v>29400</v>
      </c>
      <c r="T1126" s="49" t="s">
        <v>29419</v>
      </c>
    </row>
    <row r="1127" spans="1:20" x14ac:dyDescent="0.2">
      <c r="A1127" s="49" t="s">
        <v>30</v>
      </c>
      <c r="D1127" s="49" t="s">
        <v>16424</v>
      </c>
      <c r="G1127" s="49" t="s">
        <v>16425</v>
      </c>
      <c r="H1127" s="49" t="s">
        <v>29287</v>
      </c>
      <c r="I1127" s="49" t="s">
        <v>29306</v>
      </c>
      <c r="J1127" s="49" t="s">
        <v>29439</v>
      </c>
      <c r="K1127" s="49" t="s">
        <v>29458</v>
      </c>
      <c r="L1127" s="49" t="s">
        <v>16426</v>
      </c>
      <c r="M1127" s="49" t="s">
        <v>16427</v>
      </c>
      <c r="N1127" s="49" t="s">
        <v>16428</v>
      </c>
      <c r="O1127" s="49" t="s">
        <v>29325</v>
      </c>
      <c r="P1127" s="49" t="s">
        <v>29344</v>
      </c>
      <c r="Q1127" s="49" t="s">
        <v>29363</v>
      </c>
      <c r="R1127" s="49" t="s">
        <v>29382</v>
      </c>
      <c r="S1127" s="49" t="s">
        <v>29401</v>
      </c>
      <c r="T1127" s="49" t="s">
        <v>29420</v>
      </c>
    </row>
    <row r="1128" spans="1:20" x14ac:dyDescent="0.2">
      <c r="A1128" s="49" t="s">
        <v>30</v>
      </c>
      <c r="D1128" s="49" t="s">
        <v>16429</v>
      </c>
      <c r="G1128" s="49" t="s">
        <v>16430</v>
      </c>
      <c r="H1128" s="49" t="s">
        <v>29288</v>
      </c>
      <c r="I1128" s="49" t="s">
        <v>29307</v>
      </c>
      <c r="J1128" s="49" t="s">
        <v>29440</v>
      </c>
      <c r="K1128" s="49" t="s">
        <v>29459</v>
      </c>
      <c r="L1128" s="49" t="s">
        <v>16431</v>
      </c>
      <c r="M1128" s="49" t="s">
        <v>16432</v>
      </c>
      <c r="N1128" s="49" t="s">
        <v>16433</v>
      </c>
      <c r="O1128" s="49" t="s">
        <v>29326</v>
      </c>
      <c r="P1128" s="49" t="s">
        <v>29345</v>
      </c>
      <c r="Q1128" s="49" t="s">
        <v>29364</v>
      </c>
      <c r="R1128" s="49" t="s">
        <v>29383</v>
      </c>
      <c r="S1128" s="49" t="s">
        <v>29402</v>
      </c>
      <c r="T1128" s="49" t="s">
        <v>29421</v>
      </c>
    </row>
    <row r="1129" spans="1:20" x14ac:dyDescent="0.2">
      <c r="A1129" s="49" t="s">
        <v>30</v>
      </c>
      <c r="D1129" s="49" t="s">
        <v>16434</v>
      </c>
      <c r="G1129" s="49" t="s">
        <v>16435</v>
      </c>
      <c r="H1129" s="49" t="s">
        <v>29289</v>
      </c>
      <c r="I1129" s="49" t="s">
        <v>29308</v>
      </c>
      <c r="J1129" s="49" t="s">
        <v>29441</v>
      </c>
      <c r="K1129" s="49" t="s">
        <v>29460</v>
      </c>
      <c r="L1129" s="49" t="s">
        <v>16436</v>
      </c>
      <c r="M1129" s="49" t="s">
        <v>16437</v>
      </c>
      <c r="N1129" s="49" t="s">
        <v>16438</v>
      </c>
      <c r="O1129" s="49" t="s">
        <v>29327</v>
      </c>
      <c r="P1129" s="49" t="s">
        <v>29346</v>
      </c>
      <c r="Q1129" s="49" t="s">
        <v>29365</v>
      </c>
      <c r="R1129" s="49" t="s">
        <v>29384</v>
      </c>
      <c r="S1129" s="49" t="s">
        <v>29403</v>
      </c>
      <c r="T1129" s="49" t="s">
        <v>29422</v>
      </c>
    </row>
    <row r="1130" spans="1:20" x14ac:dyDescent="0.2">
      <c r="A1130" s="49" t="s">
        <v>30</v>
      </c>
      <c r="D1130" s="49" t="s">
        <v>16439</v>
      </c>
      <c r="G1130" s="49" t="s">
        <v>16440</v>
      </c>
      <c r="H1130" s="49" t="s">
        <v>29290</v>
      </c>
      <c r="I1130" s="49" t="s">
        <v>29309</v>
      </c>
      <c r="J1130" s="49" t="s">
        <v>29442</v>
      </c>
      <c r="K1130" s="49" t="s">
        <v>29461</v>
      </c>
      <c r="L1130" s="49" t="s">
        <v>16441</v>
      </c>
      <c r="M1130" s="49" t="s">
        <v>16442</v>
      </c>
      <c r="N1130" s="49" t="s">
        <v>16443</v>
      </c>
      <c r="O1130" s="49" t="s">
        <v>29328</v>
      </c>
      <c r="P1130" s="49" t="s">
        <v>29347</v>
      </c>
      <c r="Q1130" s="49" t="s">
        <v>29366</v>
      </c>
      <c r="R1130" s="49" t="s">
        <v>29385</v>
      </c>
      <c r="S1130" s="49" t="s">
        <v>29404</v>
      </c>
      <c r="T1130" s="49" t="s">
        <v>29423</v>
      </c>
    </row>
    <row r="1131" spans="1:20" x14ac:dyDescent="0.2">
      <c r="A1131" s="49" t="s">
        <v>30</v>
      </c>
      <c r="D1131" s="49" t="s">
        <v>16444</v>
      </c>
      <c r="G1131" s="49" t="s">
        <v>16445</v>
      </c>
      <c r="H1131" s="49" t="s">
        <v>29291</v>
      </c>
      <c r="I1131" s="49" t="s">
        <v>29310</v>
      </c>
      <c r="J1131" s="49" t="s">
        <v>29443</v>
      </c>
      <c r="K1131" s="49" t="s">
        <v>29462</v>
      </c>
      <c r="L1131" s="49" t="s">
        <v>16446</v>
      </c>
      <c r="M1131" s="49" t="s">
        <v>16447</v>
      </c>
      <c r="N1131" s="49" t="s">
        <v>16448</v>
      </c>
      <c r="O1131" s="49" t="s">
        <v>29329</v>
      </c>
      <c r="P1131" s="49" t="s">
        <v>29348</v>
      </c>
      <c r="Q1131" s="49" t="s">
        <v>29367</v>
      </c>
      <c r="R1131" s="49" t="s">
        <v>29386</v>
      </c>
      <c r="S1131" s="49" t="s">
        <v>29405</v>
      </c>
      <c r="T1131" s="49" t="s">
        <v>29424</v>
      </c>
    </row>
    <row r="1132" spans="1:20" x14ac:dyDescent="0.2">
      <c r="A1132" s="49" t="s">
        <v>30</v>
      </c>
      <c r="D1132" s="49" t="s">
        <v>16449</v>
      </c>
      <c r="G1132" s="49" t="s">
        <v>16450</v>
      </c>
      <c r="H1132" s="49" t="s">
        <v>29292</v>
      </c>
      <c r="I1132" s="49" t="s">
        <v>29311</v>
      </c>
      <c r="J1132" s="49" t="s">
        <v>29444</v>
      </c>
      <c r="K1132" s="49" t="s">
        <v>29463</v>
      </c>
      <c r="L1132" s="49" t="s">
        <v>16451</v>
      </c>
      <c r="M1132" s="49" t="s">
        <v>16452</v>
      </c>
      <c r="N1132" s="49" t="s">
        <v>16453</v>
      </c>
      <c r="O1132" s="49" t="s">
        <v>29330</v>
      </c>
      <c r="P1132" s="49" t="s">
        <v>29349</v>
      </c>
      <c r="Q1132" s="49" t="s">
        <v>29368</v>
      </c>
      <c r="R1132" s="49" t="s">
        <v>29387</v>
      </c>
      <c r="S1132" s="49" t="s">
        <v>29406</v>
      </c>
      <c r="T1132" s="49" t="s">
        <v>29425</v>
      </c>
    </row>
    <row r="1133" spans="1:20" x14ac:dyDescent="0.2">
      <c r="A1133" s="49" t="s">
        <v>30</v>
      </c>
      <c r="D1133" s="49" t="s">
        <v>16454</v>
      </c>
      <c r="G1133" s="49" t="s">
        <v>16455</v>
      </c>
      <c r="H1133" s="49" t="s">
        <v>29293</v>
      </c>
      <c r="I1133" s="49" t="s">
        <v>29312</v>
      </c>
      <c r="J1133" s="49" t="s">
        <v>29445</v>
      </c>
      <c r="K1133" s="49" t="s">
        <v>29464</v>
      </c>
      <c r="L1133" s="49" t="s">
        <v>16456</v>
      </c>
      <c r="M1133" s="49" t="s">
        <v>16457</v>
      </c>
      <c r="N1133" s="49" t="s">
        <v>16458</v>
      </c>
      <c r="O1133" s="49" t="s">
        <v>29331</v>
      </c>
      <c r="P1133" s="49" t="s">
        <v>29350</v>
      </c>
      <c r="Q1133" s="49" t="s">
        <v>29369</v>
      </c>
      <c r="R1133" s="49" t="s">
        <v>29388</v>
      </c>
      <c r="S1133" s="49" t="s">
        <v>29407</v>
      </c>
      <c r="T1133" s="49" t="s">
        <v>29426</v>
      </c>
    </row>
    <row r="1134" spans="1:20" x14ac:dyDescent="0.2">
      <c r="A1134" s="49" t="s">
        <v>30</v>
      </c>
      <c r="D1134" s="49" t="s">
        <v>16459</v>
      </c>
      <c r="G1134" s="49" t="s">
        <v>16460</v>
      </c>
      <c r="H1134" s="49" t="s">
        <v>29294</v>
      </c>
      <c r="I1134" s="49" t="s">
        <v>29313</v>
      </c>
      <c r="J1134" s="49" t="s">
        <v>29446</v>
      </c>
      <c r="K1134" s="49" t="s">
        <v>29465</v>
      </c>
      <c r="L1134" s="49" t="s">
        <v>16461</v>
      </c>
      <c r="M1134" s="49" t="s">
        <v>16462</v>
      </c>
      <c r="N1134" s="49" t="s">
        <v>16463</v>
      </c>
      <c r="O1134" s="49" t="s">
        <v>29332</v>
      </c>
      <c r="P1134" s="49" t="s">
        <v>29351</v>
      </c>
      <c r="Q1134" s="49" t="s">
        <v>29370</v>
      </c>
      <c r="R1134" s="49" t="s">
        <v>29389</v>
      </c>
      <c r="S1134" s="49" t="s">
        <v>29408</v>
      </c>
      <c r="T1134" s="49" t="s">
        <v>29427</v>
      </c>
    </row>
    <row r="1135" spans="1:20" x14ac:dyDescent="0.2">
      <c r="A1135" s="49" t="s">
        <v>30</v>
      </c>
    </row>
    <row r="1136" spans="1:20" x14ac:dyDescent="0.2">
      <c r="A1136" s="49" t="s">
        <v>30</v>
      </c>
      <c r="E1136" s="49" t="s">
        <v>31</v>
      </c>
      <c r="F1136" s="49" t="s">
        <v>31</v>
      </c>
      <c r="G1136" s="49" t="s">
        <v>31</v>
      </c>
      <c r="J1136" s="49" t="s">
        <v>31</v>
      </c>
      <c r="K1136" s="49" t="s">
        <v>31</v>
      </c>
      <c r="L1136" s="49" t="s">
        <v>31</v>
      </c>
      <c r="M1136" s="49" t="s">
        <v>31</v>
      </c>
    </row>
    <row r="1137" spans="1:21" x14ac:dyDescent="0.2">
      <c r="A1137" s="49" t="s">
        <v>30</v>
      </c>
      <c r="D1137" s="49" t="s">
        <v>16464</v>
      </c>
      <c r="E1137" s="49" t="s">
        <v>6601</v>
      </c>
      <c r="F1137" s="49" t="s">
        <v>16465</v>
      </c>
      <c r="H1137" s="49" t="s">
        <v>16466</v>
      </c>
      <c r="O1137" s="49" t="s">
        <v>16467</v>
      </c>
      <c r="P1137" s="49" t="s">
        <v>16468</v>
      </c>
      <c r="Q1137" s="49" t="s">
        <v>16469</v>
      </c>
      <c r="R1137" s="49" t="s">
        <v>16470</v>
      </c>
      <c r="S1137" s="49" t="s">
        <v>16471</v>
      </c>
      <c r="T1137" s="49" t="s">
        <v>16472</v>
      </c>
      <c r="U1137" s="49" t="s">
        <v>16473</v>
      </c>
    </row>
    <row r="1138" spans="1:21" x14ac:dyDescent="0.2">
      <c r="A1138" s="49" t="s">
        <v>30</v>
      </c>
      <c r="D1138" s="49" t="s">
        <v>16474</v>
      </c>
      <c r="G1138" s="49" t="s">
        <v>16475</v>
      </c>
      <c r="H1138" s="49" t="s">
        <v>29046</v>
      </c>
      <c r="I1138" s="49" t="s">
        <v>29069</v>
      </c>
      <c r="J1138" s="49" t="s">
        <v>29230</v>
      </c>
      <c r="K1138" s="49" t="s">
        <v>29253</v>
      </c>
      <c r="L1138" s="49" t="s">
        <v>16476</v>
      </c>
      <c r="M1138" s="49" t="s">
        <v>16477</v>
      </c>
      <c r="N1138" s="49" t="s">
        <v>16478</v>
      </c>
      <c r="O1138" s="49" t="s">
        <v>29092</v>
      </c>
      <c r="P1138" s="49" t="s">
        <v>29115</v>
      </c>
      <c r="Q1138" s="49" t="s">
        <v>29138</v>
      </c>
      <c r="R1138" s="49" t="s">
        <v>29161</v>
      </c>
      <c r="S1138" s="49" t="s">
        <v>29184</v>
      </c>
      <c r="T1138" s="49" t="s">
        <v>29207</v>
      </c>
    </row>
    <row r="1139" spans="1:21" x14ac:dyDescent="0.2">
      <c r="A1139" s="49" t="s">
        <v>30</v>
      </c>
      <c r="D1139" s="49" t="s">
        <v>16479</v>
      </c>
      <c r="G1139" s="49" t="s">
        <v>16480</v>
      </c>
      <c r="H1139" s="49" t="s">
        <v>29047</v>
      </c>
      <c r="I1139" s="49" t="s">
        <v>29070</v>
      </c>
      <c r="J1139" s="49" t="s">
        <v>29231</v>
      </c>
      <c r="K1139" s="49" t="s">
        <v>29254</v>
      </c>
      <c r="L1139" s="49" t="s">
        <v>16481</v>
      </c>
      <c r="M1139" s="49" t="s">
        <v>16482</v>
      </c>
      <c r="N1139" s="49" t="s">
        <v>16483</v>
      </c>
      <c r="O1139" s="49" t="s">
        <v>29093</v>
      </c>
      <c r="P1139" s="49" t="s">
        <v>29116</v>
      </c>
      <c r="Q1139" s="49" t="s">
        <v>29139</v>
      </c>
      <c r="R1139" s="49" t="s">
        <v>29162</v>
      </c>
      <c r="S1139" s="49" t="s">
        <v>29185</v>
      </c>
      <c r="T1139" s="49" t="s">
        <v>29208</v>
      </c>
    </row>
    <row r="1140" spans="1:21" x14ac:dyDescent="0.2">
      <c r="A1140" s="49" t="s">
        <v>30</v>
      </c>
      <c r="D1140" s="49" t="s">
        <v>16484</v>
      </c>
      <c r="G1140" s="49" t="s">
        <v>16485</v>
      </c>
      <c r="H1140" s="49" t="s">
        <v>29048</v>
      </c>
      <c r="I1140" s="49" t="s">
        <v>29071</v>
      </c>
      <c r="J1140" s="49" t="s">
        <v>29232</v>
      </c>
      <c r="K1140" s="49" t="s">
        <v>29255</v>
      </c>
      <c r="L1140" s="49" t="s">
        <v>16486</v>
      </c>
      <c r="M1140" s="49" t="s">
        <v>16487</v>
      </c>
      <c r="N1140" s="49" t="s">
        <v>16488</v>
      </c>
      <c r="O1140" s="49" t="s">
        <v>29094</v>
      </c>
      <c r="P1140" s="49" t="s">
        <v>29117</v>
      </c>
      <c r="Q1140" s="49" t="s">
        <v>29140</v>
      </c>
      <c r="R1140" s="49" t="s">
        <v>29163</v>
      </c>
      <c r="S1140" s="49" t="s">
        <v>29186</v>
      </c>
      <c r="T1140" s="49" t="s">
        <v>29209</v>
      </c>
    </row>
    <row r="1141" spans="1:21" x14ac:dyDescent="0.2">
      <c r="A1141" s="49" t="s">
        <v>30</v>
      </c>
      <c r="D1141" s="49" t="s">
        <v>16489</v>
      </c>
      <c r="G1141" s="49" t="s">
        <v>16490</v>
      </c>
      <c r="H1141" s="49" t="s">
        <v>29049</v>
      </c>
      <c r="I1141" s="49" t="s">
        <v>29072</v>
      </c>
      <c r="J1141" s="49" t="s">
        <v>29233</v>
      </c>
      <c r="K1141" s="49" t="s">
        <v>29256</v>
      </c>
      <c r="L1141" s="49" t="s">
        <v>16491</v>
      </c>
      <c r="M1141" s="49" t="s">
        <v>16492</v>
      </c>
      <c r="N1141" s="49" t="s">
        <v>16493</v>
      </c>
      <c r="O1141" s="49" t="s">
        <v>29095</v>
      </c>
      <c r="P1141" s="49" t="s">
        <v>29118</v>
      </c>
      <c r="Q1141" s="49" t="s">
        <v>29141</v>
      </c>
      <c r="R1141" s="49" t="s">
        <v>29164</v>
      </c>
      <c r="S1141" s="49" t="s">
        <v>29187</v>
      </c>
      <c r="T1141" s="49" t="s">
        <v>29210</v>
      </c>
    </row>
    <row r="1142" spans="1:21" x14ac:dyDescent="0.2">
      <c r="A1142" s="49" t="s">
        <v>30</v>
      </c>
      <c r="D1142" s="49" t="s">
        <v>16494</v>
      </c>
      <c r="G1142" s="49" t="s">
        <v>16495</v>
      </c>
      <c r="H1142" s="49" t="s">
        <v>29050</v>
      </c>
      <c r="I1142" s="49" t="s">
        <v>29073</v>
      </c>
      <c r="J1142" s="49" t="s">
        <v>29234</v>
      </c>
      <c r="K1142" s="49" t="s">
        <v>29257</v>
      </c>
      <c r="L1142" s="49" t="s">
        <v>16496</v>
      </c>
      <c r="M1142" s="49" t="s">
        <v>16497</v>
      </c>
      <c r="N1142" s="49" t="s">
        <v>16498</v>
      </c>
      <c r="O1142" s="49" t="s">
        <v>29096</v>
      </c>
      <c r="P1142" s="49" t="s">
        <v>29119</v>
      </c>
      <c r="Q1142" s="49" t="s">
        <v>29142</v>
      </c>
      <c r="R1142" s="49" t="s">
        <v>29165</v>
      </c>
      <c r="S1142" s="49" t="s">
        <v>29188</v>
      </c>
      <c r="T1142" s="49" t="s">
        <v>29211</v>
      </c>
    </row>
    <row r="1143" spans="1:21" x14ac:dyDescent="0.2">
      <c r="A1143" s="49" t="s">
        <v>30</v>
      </c>
      <c r="D1143" s="49" t="s">
        <v>16499</v>
      </c>
      <c r="G1143" s="49" t="s">
        <v>16500</v>
      </c>
      <c r="H1143" s="49" t="s">
        <v>29051</v>
      </c>
      <c r="I1143" s="49" t="s">
        <v>29074</v>
      </c>
      <c r="J1143" s="49" t="s">
        <v>29235</v>
      </c>
      <c r="K1143" s="49" t="s">
        <v>29258</v>
      </c>
      <c r="L1143" s="49" t="s">
        <v>16501</v>
      </c>
      <c r="M1143" s="49" t="s">
        <v>16502</v>
      </c>
      <c r="N1143" s="49" t="s">
        <v>16503</v>
      </c>
      <c r="O1143" s="49" t="s">
        <v>29097</v>
      </c>
      <c r="P1143" s="49" t="s">
        <v>29120</v>
      </c>
      <c r="Q1143" s="49" t="s">
        <v>29143</v>
      </c>
      <c r="R1143" s="49" t="s">
        <v>29166</v>
      </c>
      <c r="S1143" s="49" t="s">
        <v>29189</v>
      </c>
      <c r="T1143" s="49" t="s">
        <v>29212</v>
      </c>
    </row>
    <row r="1144" spans="1:21" x14ac:dyDescent="0.2">
      <c r="A1144" s="49" t="s">
        <v>30</v>
      </c>
      <c r="D1144" s="49" t="s">
        <v>16504</v>
      </c>
      <c r="G1144" s="49" t="s">
        <v>16505</v>
      </c>
      <c r="H1144" s="49" t="s">
        <v>29052</v>
      </c>
      <c r="I1144" s="49" t="s">
        <v>29075</v>
      </c>
      <c r="J1144" s="49" t="s">
        <v>29236</v>
      </c>
      <c r="K1144" s="49" t="s">
        <v>29259</v>
      </c>
      <c r="L1144" s="49" t="s">
        <v>16506</v>
      </c>
      <c r="M1144" s="49" t="s">
        <v>16507</v>
      </c>
      <c r="N1144" s="49" t="s">
        <v>16508</v>
      </c>
      <c r="O1144" s="49" t="s">
        <v>29098</v>
      </c>
      <c r="P1144" s="49" t="s">
        <v>29121</v>
      </c>
      <c r="Q1144" s="49" t="s">
        <v>29144</v>
      </c>
      <c r="R1144" s="49" t="s">
        <v>29167</v>
      </c>
      <c r="S1144" s="49" t="s">
        <v>29190</v>
      </c>
      <c r="T1144" s="49" t="s">
        <v>29213</v>
      </c>
    </row>
    <row r="1145" spans="1:21" x14ac:dyDescent="0.2">
      <c r="A1145" s="49" t="s">
        <v>30</v>
      </c>
      <c r="D1145" s="49" t="s">
        <v>16509</v>
      </c>
      <c r="G1145" s="49" t="s">
        <v>16510</v>
      </c>
      <c r="H1145" s="49" t="s">
        <v>29053</v>
      </c>
      <c r="I1145" s="49" t="s">
        <v>29076</v>
      </c>
      <c r="J1145" s="49" t="s">
        <v>29237</v>
      </c>
      <c r="K1145" s="49" t="s">
        <v>29260</v>
      </c>
      <c r="L1145" s="49" t="s">
        <v>16511</v>
      </c>
      <c r="M1145" s="49" t="s">
        <v>16512</v>
      </c>
      <c r="N1145" s="49" t="s">
        <v>16513</v>
      </c>
      <c r="O1145" s="49" t="s">
        <v>29099</v>
      </c>
      <c r="P1145" s="49" t="s">
        <v>29122</v>
      </c>
      <c r="Q1145" s="49" t="s">
        <v>29145</v>
      </c>
      <c r="R1145" s="49" t="s">
        <v>29168</v>
      </c>
      <c r="S1145" s="49" t="s">
        <v>29191</v>
      </c>
      <c r="T1145" s="49" t="s">
        <v>29214</v>
      </c>
    </row>
    <row r="1146" spans="1:21" x14ac:dyDescent="0.2">
      <c r="A1146" s="49" t="s">
        <v>30</v>
      </c>
      <c r="D1146" s="49" t="s">
        <v>16514</v>
      </c>
      <c r="G1146" s="49" t="s">
        <v>16515</v>
      </c>
      <c r="H1146" s="49" t="s">
        <v>29054</v>
      </c>
      <c r="I1146" s="49" t="s">
        <v>29077</v>
      </c>
      <c r="J1146" s="49" t="s">
        <v>29238</v>
      </c>
      <c r="K1146" s="49" t="s">
        <v>29261</v>
      </c>
      <c r="L1146" s="49" t="s">
        <v>16516</v>
      </c>
      <c r="M1146" s="49" t="s">
        <v>16517</v>
      </c>
      <c r="N1146" s="49" t="s">
        <v>16518</v>
      </c>
      <c r="O1146" s="49" t="s">
        <v>29100</v>
      </c>
      <c r="P1146" s="49" t="s">
        <v>29123</v>
      </c>
      <c r="Q1146" s="49" t="s">
        <v>29146</v>
      </c>
      <c r="R1146" s="49" t="s">
        <v>29169</v>
      </c>
      <c r="S1146" s="49" t="s">
        <v>29192</v>
      </c>
      <c r="T1146" s="49" t="s">
        <v>29215</v>
      </c>
    </row>
    <row r="1147" spans="1:21" x14ac:dyDescent="0.2">
      <c r="A1147" s="49" t="s">
        <v>30</v>
      </c>
      <c r="D1147" s="49" t="s">
        <v>16519</v>
      </c>
      <c r="G1147" s="49" t="s">
        <v>16520</v>
      </c>
      <c r="H1147" s="49" t="s">
        <v>29055</v>
      </c>
      <c r="I1147" s="49" t="s">
        <v>29078</v>
      </c>
      <c r="J1147" s="49" t="s">
        <v>29239</v>
      </c>
      <c r="K1147" s="49" t="s">
        <v>29262</v>
      </c>
      <c r="L1147" s="49" t="s">
        <v>16521</v>
      </c>
      <c r="M1147" s="49" t="s">
        <v>16522</v>
      </c>
      <c r="N1147" s="49" t="s">
        <v>16523</v>
      </c>
      <c r="O1147" s="49" t="s">
        <v>29101</v>
      </c>
      <c r="P1147" s="49" t="s">
        <v>29124</v>
      </c>
      <c r="Q1147" s="49" t="s">
        <v>29147</v>
      </c>
      <c r="R1147" s="49" t="s">
        <v>29170</v>
      </c>
      <c r="S1147" s="49" t="s">
        <v>29193</v>
      </c>
      <c r="T1147" s="49" t="s">
        <v>29216</v>
      </c>
    </row>
    <row r="1148" spans="1:21" x14ac:dyDescent="0.2">
      <c r="A1148" s="49" t="s">
        <v>30</v>
      </c>
      <c r="D1148" s="49" t="s">
        <v>16524</v>
      </c>
      <c r="G1148" s="49" t="s">
        <v>16525</v>
      </c>
      <c r="H1148" s="49" t="s">
        <v>29056</v>
      </c>
      <c r="I1148" s="49" t="s">
        <v>29079</v>
      </c>
      <c r="J1148" s="49" t="s">
        <v>29240</v>
      </c>
      <c r="K1148" s="49" t="s">
        <v>29263</v>
      </c>
      <c r="L1148" s="49" t="s">
        <v>16526</v>
      </c>
      <c r="M1148" s="49" t="s">
        <v>16527</v>
      </c>
      <c r="N1148" s="49" t="s">
        <v>16528</v>
      </c>
      <c r="O1148" s="49" t="s">
        <v>29102</v>
      </c>
      <c r="P1148" s="49" t="s">
        <v>29125</v>
      </c>
      <c r="Q1148" s="49" t="s">
        <v>29148</v>
      </c>
      <c r="R1148" s="49" t="s">
        <v>29171</v>
      </c>
      <c r="S1148" s="49" t="s">
        <v>29194</v>
      </c>
      <c r="T1148" s="49" t="s">
        <v>29217</v>
      </c>
    </row>
    <row r="1149" spans="1:21" x14ac:dyDescent="0.2">
      <c r="A1149" s="49" t="s">
        <v>30</v>
      </c>
      <c r="D1149" s="49" t="s">
        <v>16529</v>
      </c>
      <c r="G1149" s="49" t="s">
        <v>16530</v>
      </c>
      <c r="H1149" s="49" t="s">
        <v>29057</v>
      </c>
      <c r="I1149" s="49" t="s">
        <v>29080</v>
      </c>
      <c r="J1149" s="49" t="s">
        <v>29241</v>
      </c>
      <c r="K1149" s="49" t="s">
        <v>29264</v>
      </c>
      <c r="L1149" s="49" t="s">
        <v>16531</v>
      </c>
      <c r="M1149" s="49" t="s">
        <v>16532</v>
      </c>
      <c r="N1149" s="49" t="s">
        <v>16533</v>
      </c>
      <c r="O1149" s="49" t="s">
        <v>29103</v>
      </c>
      <c r="P1149" s="49" t="s">
        <v>29126</v>
      </c>
      <c r="Q1149" s="49" t="s">
        <v>29149</v>
      </c>
      <c r="R1149" s="49" t="s">
        <v>29172</v>
      </c>
      <c r="S1149" s="49" t="s">
        <v>29195</v>
      </c>
      <c r="T1149" s="49" t="s">
        <v>29218</v>
      </c>
    </row>
    <row r="1150" spans="1:21" x14ac:dyDescent="0.2">
      <c r="A1150" s="49" t="s">
        <v>30</v>
      </c>
      <c r="D1150" s="49" t="s">
        <v>16534</v>
      </c>
      <c r="G1150" s="49" t="s">
        <v>16535</v>
      </c>
      <c r="H1150" s="49" t="s">
        <v>29058</v>
      </c>
      <c r="I1150" s="49" t="s">
        <v>29081</v>
      </c>
      <c r="J1150" s="49" t="s">
        <v>29242</v>
      </c>
      <c r="K1150" s="49" t="s">
        <v>29265</v>
      </c>
      <c r="L1150" s="49" t="s">
        <v>16536</v>
      </c>
      <c r="M1150" s="49" t="s">
        <v>16537</v>
      </c>
      <c r="N1150" s="49" t="s">
        <v>16538</v>
      </c>
      <c r="O1150" s="49" t="s">
        <v>29104</v>
      </c>
      <c r="P1150" s="49" t="s">
        <v>29127</v>
      </c>
      <c r="Q1150" s="49" t="s">
        <v>29150</v>
      </c>
      <c r="R1150" s="49" t="s">
        <v>29173</v>
      </c>
      <c r="S1150" s="49" t="s">
        <v>29196</v>
      </c>
      <c r="T1150" s="49" t="s">
        <v>29219</v>
      </c>
    </row>
    <row r="1151" spans="1:21" x14ac:dyDescent="0.2">
      <c r="A1151" s="49" t="s">
        <v>30</v>
      </c>
      <c r="D1151" s="49" t="s">
        <v>16539</v>
      </c>
      <c r="G1151" s="49" t="s">
        <v>16540</v>
      </c>
      <c r="H1151" s="49" t="s">
        <v>29059</v>
      </c>
      <c r="I1151" s="49" t="s">
        <v>29082</v>
      </c>
      <c r="J1151" s="49" t="s">
        <v>29243</v>
      </c>
      <c r="K1151" s="49" t="s">
        <v>29266</v>
      </c>
      <c r="L1151" s="49" t="s">
        <v>16541</v>
      </c>
      <c r="M1151" s="49" t="s">
        <v>16542</v>
      </c>
      <c r="N1151" s="49" t="s">
        <v>16543</v>
      </c>
      <c r="O1151" s="49" t="s">
        <v>29105</v>
      </c>
      <c r="P1151" s="49" t="s">
        <v>29128</v>
      </c>
      <c r="Q1151" s="49" t="s">
        <v>29151</v>
      </c>
      <c r="R1151" s="49" t="s">
        <v>29174</v>
      </c>
      <c r="S1151" s="49" t="s">
        <v>29197</v>
      </c>
      <c r="T1151" s="49" t="s">
        <v>29220</v>
      </c>
    </row>
    <row r="1152" spans="1:21" x14ac:dyDescent="0.2">
      <c r="A1152" s="49" t="s">
        <v>30</v>
      </c>
      <c r="D1152" s="49" t="s">
        <v>16544</v>
      </c>
      <c r="G1152" s="49" t="s">
        <v>16545</v>
      </c>
      <c r="H1152" s="49" t="s">
        <v>29060</v>
      </c>
      <c r="I1152" s="49" t="s">
        <v>29083</v>
      </c>
      <c r="J1152" s="49" t="s">
        <v>29244</v>
      </c>
      <c r="K1152" s="49" t="s">
        <v>29267</v>
      </c>
      <c r="L1152" s="49" t="s">
        <v>16546</v>
      </c>
      <c r="M1152" s="49" t="s">
        <v>16547</v>
      </c>
      <c r="N1152" s="49" t="s">
        <v>16548</v>
      </c>
      <c r="O1152" s="49" t="s">
        <v>29106</v>
      </c>
      <c r="P1152" s="49" t="s">
        <v>29129</v>
      </c>
      <c r="Q1152" s="49" t="s">
        <v>29152</v>
      </c>
      <c r="R1152" s="49" t="s">
        <v>29175</v>
      </c>
      <c r="S1152" s="49" t="s">
        <v>29198</v>
      </c>
      <c r="T1152" s="49" t="s">
        <v>29221</v>
      </c>
    </row>
    <row r="1153" spans="1:21" x14ac:dyDescent="0.2">
      <c r="A1153" s="49" t="s">
        <v>30</v>
      </c>
      <c r="D1153" s="49" t="s">
        <v>16549</v>
      </c>
      <c r="G1153" s="49" t="s">
        <v>16550</v>
      </c>
      <c r="H1153" s="49" t="s">
        <v>29061</v>
      </c>
      <c r="I1153" s="49" t="s">
        <v>29084</v>
      </c>
      <c r="J1153" s="49" t="s">
        <v>29245</v>
      </c>
      <c r="K1153" s="49" t="s">
        <v>29268</v>
      </c>
      <c r="L1153" s="49" t="s">
        <v>16551</v>
      </c>
      <c r="M1153" s="49" t="s">
        <v>16552</v>
      </c>
      <c r="N1153" s="49" t="s">
        <v>16553</v>
      </c>
      <c r="O1153" s="49" t="s">
        <v>29107</v>
      </c>
      <c r="P1153" s="49" t="s">
        <v>29130</v>
      </c>
      <c r="Q1153" s="49" t="s">
        <v>29153</v>
      </c>
      <c r="R1153" s="49" t="s">
        <v>29176</v>
      </c>
      <c r="S1153" s="49" t="s">
        <v>29199</v>
      </c>
      <c r="T1153" s="49" t="s">
        <v>29222</v>
      </c>
    </row>
    <row r="1154" spans="1:21" x14ac:dyDescent="0.2">
      <c r="A1154" s="49" t="s">
        <v>30</v>
      </c>
      <c r="D1154" s="49" t="s">
        <v>16554</v>
      </c>
      <c r="G1154" s="49" t="s">
        <v>16555</v>
      </c>
      <c r="H1154" s="49" t="s">
        <v>29062</v>
      </c>
      <c r="I1154" s="49" t="s">
        <v>29085</v>
      </c>
      <c r="J1154" s="49" t="s">
        <v>29246</v>
      </c>
      <c r="K1154" s="49" t="s">
        <v>29269</v>
      </c>
      <c r="L1154" s="49" t="s">
        <v>16556</v>
      </c>
      <c r="M1154" s="49" t="s">
        <v>16557</v>
      </c>
      <c r="N1154" s="49" t="s">
        <v>16558</v>
      </c>
      <c r="O1154" s="49" t="s">
        <v>29108</v>
      </c>
      <c r="P1154" s="49" t="s">
        <v>29131</v>
      </c>
      <c r="Q1154" s="49" t="s">
        <v>29154</v>
      </c>
      <c r="R1154" s="49" t="s">
        <v>29177</v>
      </c>
      <c r="S1154" s="49" t="s">
        <v>29200</v>
      </c>
      <c r="T1154" s="49" t="s">
        <v>29223</v>
      </c>
    </row>
    <row r="1155" spans="1:21" x14ac:dyDescent="0.2">
      <c r="A1155" s="49" t="s">
        <v>30</v>
      </c>
      <c r="D1155" s="49" t="s">
        <v>16559</v>
      </c>
      <c r="G1155" s="49" t="s">
        <v>16560</v>
      </c>
      <c r="H1155" s="49" t="s">
        <v>29063</v>
      </c>
      <c r="I1155" s="49" t="s">
        <v>29086</v>
      </c>
      <c r="J1155" s="49" t="s">
        <v>29247</v>
      </c>
      <c r="K1155" s="49" t="s">
        <v>29270</v>
      </c>
      <c r="L1155" s="49" t="s">
        <v>16561</v>
      </c>
      <c r="M1155" s="49" t="s">
        <v>16562</v>
      </c>
      <c r="N1155" s="49" t="s">
        <v>16563</v>
      </c>
      <c r="O1155" s="49" t="s">
        <v>29109</v>
      </c>
      <c r="P1155" s="49" t="s">
        <v>29132</v>
      </c>
      <c r="Q1155" s="49" t="s">
        <v>29155</v>
      </c>
      <c r="R1155" s="49" t="s">
        <v>29178</v>
      </c>
      <c r="S1155" s="49" t="s">
        <v>29201</v>
      </c>
      <c r="T1155" s="49" t="s">
        <v>29224</v>
      </c>
    </row>
    <row r="1156" spans="1:21" x14ac:dyDescent="0.2">
      <c r="A1156" s="49" t="s">
        <v>30</v>
      </c>
      <c r="D1156" s="49" t="s">
        <v>16564</v>
      </c>
      <c r="G1156" s="49" t="s">
        <v>16565</v>
      </c>
      <c r="H1156" s="49" t="s">
        <v>29064</v>
      </c>
      <c r="I1156" s="49" t="s">
        <v>29087</v>
      </c>
      <c r="J1156" s="49" t="s">
        <v>29248</v>
      </c>
      <c r="K1156" s="49" t="s">
        <v>29271</v>
      </c>
      <c r="L1156" s="49" t="s">
        <v>16566</v>
      </c>
      <c r="M1156" s="49" t="s">
        <v>16567</v>
      </c>
      <c r="N1156" s="49" t="s">
        <v>16568</v>
      </c>
      <c r="O1156" s="49" t="s">
        <v>29110</v>
      </c>
      <c r="P1156" s="49" t="s">
        <v>29133</v>
      </c>
      <c r="Q1156" s="49" t="s">
        <v>29156</v>
      </c>
      <c r="R1156" s="49" t="s">
        <v>29179</v>
      </c>
      <c r="S1156" s="49" t="s">
        <v>29202</v>
      </c>
      <c r="T1156" s="49" t="s">
        <v>29225</v>
      </c>
    </row>
    <row r="1157" spans="1:21" x14ac:dyDescent="0.2">
      <c r="A1157" s="49" t="s">
        <v>30</v>
      </c>
      <c r="D1157" s="49" t="s">
        <v>16569</v>
      </c>
      <c r="G1157" s="49" t="s">
        <v>16570</v>
      </c>
      <c r="H1157" s="49" t="s">
        <v>29065</v>
      </c>
      <c r="I1157" s="49" t="s">
        <v>29088</v>
      </c>
      <c r="J1157" s="49" t="s">
        <v>29249</v>
      </c>
      <c r="K1157" s="49" t="s">
        <v>29272</v>
      </c>
      <c r="L1157" s="49" t="s">
        <v>16571</v>
      </c>
      <c r="M1157" s="49" t="s">
        <v>16572</v>
      </c>
      <c r="N1157" s="49" t="s">
        <v>16573</v>
      </c>
      <c r="O1157" s="49" t="s">
        <v>29111</v>
      </c>
      <c r="P1157" s="49" t="s">
        <v>29134</v>
      </c>
      <c r="Q1157" s="49" t="s">
        <v>29157</v>
      </c>
      <c r="R1157" s="49" t="s">
        <v>29180</v>
      </c>
      <c r="S1157" s="49" t="s">
        <v>29203</v>
      </c>
      <c r="T1157" s="49" t="s">
        <v>29226</v>
      </c>
    </row>
    <row r="1158" spans="1:21" x14ac:dyDescent="0.2">
      <c r="A1158" s="49" t="s">
        <v>30</v>
      </c>
      <c r="D1158" s="49" t="s">
        <v>16574</v>
      </c>
      <c r="G1158" s="49" t="s">
        <v>16575</v>
      </c>
      <c r="H1158" s="49" t="s">
        <v>29066</v>
      </c>
      <c r="I1158" s="49" t="s">
        <v>29089</v>
      </c>
      <c r="J1158" s="49" t="s">
        <v>29250</v>
      </c>
      <c r="K1158" s="49" t="s">
        <v>29273</v>
      </c>
      <c r="L1158" s="49" t="s">
        <v>16576</v>
      </c>
      <c r="M1158" s="49" t="s">
        <v>16577</v>
      </c>
      <c r="N1158" s="49" t="s">
        <v>16578</v>
      </c>
      <c r="O1158" s="49" t="s">
        <v>29112</v>
      </c>
      <c r="P1158" s="49" t="s">
        <v>29135</v>
      </c>
      <c r="Q1158" s="49" t="s">
        <v>29158</v>
      </c>
      <c r="R1158" s="49" t="s">
        <v>29181</v>
      </c>
      <c r="S1158" s="49" t="s">
        <v>29204</v>
      </c>
      <c r="T1158" s="49" t="s">
        <v>29227</v>
      </c>
    </row>
    <row r="1159" spans="1:21" x14ac:dyDescent="0.2">
      <c r="A1159" s="49" t="s">
        <v>30</v>
      </c>
      <c r="D1159" s="49" t="s">
        <v>16579</v>
      </c>
      <c r="G1159" s="49" t="s">
        <v>16580</v>
      </c>
      <c r="H1159" s="49" t="s">
        <v>29067</v>
      </c>
      <c r="I1159" s="49" t="s">
        <v>29090</v>
      </c>
      <c r="J1159" s="49" t="s">
        <v>29251</v>
      </c>
      <c r="K1159" s="49" t="s">
        <v>29274</v>
      </c>
      <c r="L1159" s="49" t="s">
        <v>16581</v>
      </c>
      <c r="M1159" s="49" t="s">
        <v>16582</v>
      </c>
      <c r="N1159" s="49" t="s">
        <v>16583</v>
      </c>
      <c r="O1159" s="49" t="s">
        <v>29113</v>
      </c>
      <c r="P1159" s="49" t="s">
        <v>29136</v>
      </c>
      <c r="Q1159" s="49" t="s">
        <v>29159</v>
      </c>
      <c r="R1159" s="49" t="s">
        <v>29182</v>
      </c>
      <c r="S1159" s="49" t="s">
        <v>29205</v>
      </c>
      <c r="T1159" s="49" t="s">
        <v>29228</v>
      </c>
    </row>
    <row r="1160" spans="1:21" x14ac:dyDescent="0.2">
      <c r="A1160" s="49" t="s">
        <v>30</v>
      </c>
      <c r="D1160" s="49" t="s">
        <v>16584</v>
      </c>
      <c r="G1160" s="49" t="s">
        <v>16585</v>
      </c>
      <c r="H1160" s="49" t="s">
        <v>29068</v>
      </c>
      <c r="I1160" s="49" t="s">
        <v>29091</v>
      </c>
      <c r="J1160" s="49" t="s">
        <v>29252</v>
      </c>
      <c r="K1160" s="49" t="s">
        <v>29275</v>
      </c>
      <c r="L1160" s="49" t="s">
        <v>16586</v>
      </c>
      <c r="M1160" s="49" t="s">
        <v>16587</v>
      </c>
      <c r="N1160" s="49" t="s">
        <v>16588</v>
      </c>
      <c r="O1160" s="49" t="s">
        <v>29114</v>
      </c>
      <c r="P1160" s="49" t="s">
        <v>29137</v>
      </c>
      <c r="Q1160" s="49" t="s">
        <v>29160</v>
      </c>
      <c r="R1160" s="49" t="s">
        <v>29183</v>
      </c>
      <c r="S1160" s="49" t="s">
        <v>29206</v>
      </c>
      <c r="T1160" s="49" t="s">
        <v>29229</v>
      </c>
    </row>
    <row r="1161" spans="1:21" x14ac:dyDescent="0.2">
      <c r="A1161" s="49" t="s">
        <v>30</v>
      </c>
    </row>
    <row r="1162" spans="1:21" x14ac:dyDescent="0.2">
      <c r="A1162" s="49" t="s">
        <v>30</v>
      </c>
      <c r="E1162" s="49" t="s">
        <v>31</v>
      </c>
      <c r="F1162" s="49" t="s">
        <v>31</v>
      </c>
      <c r="G1162" s="49" t="s">
        <v>31</v>
      </c>
      <c r="J1162" s="49" t="s">
        <v>31</v>
      </c>
      <c r="K1162" s="49" t="s">
        <v>31</v>
      </c>
      <c r="L1162" s="49" t="s">
        <v>31</v>
      </c>
      <c r="M1162" s="49" t="s">
        <v>31</v>
      </c>
    </row>
    <row r="1163" spans="1:21" x14ac:dyDescent="0.2">
      <c r="A1163" s="49" t="s">
        <v>30</v>
      </c>
      <c r="D1163" s="49" t="s">
        <v>16589</v>
      </c>
      <c r="E1163" s="49" t="s">
        <v>6666</v>
      </c>
      <c r="F1163" s="49" t="s">
        <v>16590</v>
      </c>
      <c r="H1163" s="49" t="s">
        <v>16591</v>
      </c>
      <c r="O1163" s="49" t="s">
        <v>16592</v>
      </c>
      <c r="P1163" s="49" t="s">
        <v>16593</v>
      </c>
      <c r="Q1163" s="49" t="s">
        <v>16594</v>
      </c>
      <c r="R1163" s="49" t="s">
        <v>16595</v>
      </c>
      <c r="S1163" s="49" t="s">
        <v>16596</v>
      </c>
      <c r="T1163" s="49" t="s">
        <v>16597</v>
      </c>
      <c r="U1163" s="49" t="s">
        <v>16598</v>
      </c>
    </row>
    <row r="1164" spans="1:21" x14ac:dyDescent="0.2">
      <c r="A1164" s="49" t="s">
        <v>30</v>
      </c>
      <c r="D1164" s="49" t="s">
        <v>16599</v>
      </c>
      <c r="G1164" s="49" t="s">
        <v>16600</v>
      </c>
      <c r="H1164" s="49" t="s">
        <v>28836</v>
      </c>
      <c r="I1164" s="49" t="s">
        <v>28857</v>
      </c>
      <c r="J1164" s="49" t="s">
        <v>29004</v>
      </c>
      <c r="K1164" s="49" t="s">
        <v>29025</v>
      </c>
      <c r="L1164" s="49" t="s">
        <v>16601</v>
      </c>
      <c r="M1164" s="49" t="s">
        <v>16602</v>
      </c>
      <c r="N1164" s="49" t="s">
        <v>16603</v>
      </c>
      <c r="O1164" s="49" t="s">
        <v>28878</v>
      </c>
      <c r="P1164" s="49" t="s">
        <v>28899</v>
      </c>
      <c r="Q1164" s="49" t="s">
        <v>28920</v>
      </c>
      <c r="R1164" s="49" t="s">
        <v>28941</v>
      </c>
      <c r="S1164" s="49" t="s">
        <v>28962</v>
      </c>
      <c r="T1164" s="49" t="s">
        <v>28983</v>
      </c>
    </row>
    <row r="1165" spans="1:21" x14ac:dyDescent="0.2">
      <c r="A1165" s="49" t="s">
        <v>30</v>
      </c>
      <c r="D1165" s="49" t="s">
        <v>16604</v>
      </c>
      <c r="G1165" s="49" t="s">
        <v>16605</v>
      </c>
      <c r="H1165" s="49" t="s">
        <v>28837</v>
      </c>
      <c r="I1165" s="49" t="s">
        <v>28858</v>
      </c>
      <c r="J1165" s="49" t="s">
        <v>29005</v>
      </c>
      <c r="K1165" s="49" t="s">
        <v>29026</v>
      </c>
      <c r="L1165" s="49" t="s">
        <v>16606</v>
      </c>
      <c r="M1165" s="49" t="s">
        <v>16607</v>
      </c>
      <c r="N1165" s="49" t="s">
        <v>16608</v>
      </c>
      <c r="O1165" s="49" t="s">
        <v>28879</v>
      </c>
      <c r="P1165" s="49" t="s">
        <v>28900</v>
      </c>
      <c r="Q1165" s="49" t="s">
        <v>28921</v>
      </c>
      <c r="R1165" s="49" t="s">
        <v>28942</v>
      </c>
      <c r="S1165" s="49" t="s">
        <v>28963</v>
      </c>
      <c r="T1165" s="49" t="s">
        <v>28984</v>
      </c>
    </row>
    <row r="1166" spans="1:21" x14ac:dyDescent="0.2">
      <c r="A1166" s="49" t="s">
        <v>30</v>
      </c>
      <c r="D1166" s="49" t="s">
        <v>16609</v>
      </c>
      <c r="G1166" s="49" t="s">
        <v>16610</v>
      </c>
      <c r="H1166" s="49" t="s">
        <v>28838</v>
      </c>
      <c r="I1166" s="49" t="s">
        <v>28859</v>
      </c>
      <c r="J1166" s="49" t="s">
        <v>29006</v>
      </c>
      <c r="K1166" s="49" t="s">
        <v>29027</v>
      </c>
      <c r="L1166" s="49" t="s">
        <v>16611</v>
      </c>
      <c r="M1166" s="49" t="s">
        <v>16612</v>
      </c>
      <c r="N1166" s="49" t="s">
        <v>16613</v>
      </c>
      <c r="O1166" s="49" t="s">
        <v>28880</v>
      </c>
      <c r="P1166" s="49" t="s">
        <v>28901</v>
      </c>
      <c r="Q1166" s="49" t="s">
        <v>28922</v>
      </c>
      <c r="R1166" s="49" t="s">
        <v>28943</v>
      </c>
      <c r="S1166" s="49" t="s">
        <v>28964</v>
      </c>
      <c r="T1166" s="49" t="s">
        <v>28985</v>
      </c>
    </row>
    <row r="1167" spans="1:21" x14ac:dyDescent="0.2">
      <c r="A1167" s="49" t="s">
        <v>30</v>
      </c>
      <c r="D1167" s="49" t="s">
        <v>16614</v>
      </c>
      <c r="G1167" s="49" t="s">
        <v>16615</v>
      </c>
      <c r="H1167" s="49" t="s">
        <v>28839</v>
      </c>
      <c r="I1167" s="49" t="s">
        <v>28860</v>
      </c>
      <c r="J1167" s="49" t="s">
        <v>29007</v>
      </c>
      <c r="K1167" s="49" t="s">
        <v>29028</v>
      </c>
      <c r="L1167" s="49" t="s">
        <v>16616</v>
      </c>
      <c r="M1167" s="49" t="s">
        <v>16617</v>
      </c>
      <c r="N1167" s="49" t="s">
        <v>16618</v>
      </c>
      <c r="O1167" s="49" t="s">
        <v>28881</v>
      </c>
      <c r="P1167" s="49" t="s">
        <v>28902</v>
      </c>
      <c r="Q1167" s="49" t="s">
        <v>28923</v>
      </c>
      <c r="R1167" s="49" t="s">
        <v>28944</v>
      </c>
      <c r="S1167" s="49" t="s">
        <v>28965</v>
      </c>
      <c r="T1167" s="49" t="s">
        <v>28986</v>
      </c>
    </row>
    <row r="1168" spans="1:21" x14ac:dyDescent="0.2">
      <c r="A1168" s="49" t="s">
        <v>30</v>
      </c>
      <c r="D1168" s="49" t="s">
        <v>16619</v>
      </c>
      <c r="G1168" s="49" t="s">
        <v>16620</v>
      </c>
      <c r="H1168" s="49" t="s">
        <v>28840</v>
      </c>
      <c r="I1168" s="49" t="s">
        <v>28861</v>
      </c>
      <c r="J1168" s="49" t="s">
        <v>29008</v>
      </c>
      <c r="K1168" s="49" t="s">
        <v>29029</v>
      </c>
      <c r="L1168" s="49" t="s">
        <v>16621</v>
      </c>
      <c r="M1168" s="49" t="s">
        <v>16622</v>
      </c>
      <c r="N1168" s="49" t="s">
        <v>16623</v>
      </c>
      <c r="O1168" s="49" t="s">
        <v>28882</v>
      </c>
      <c r="P1168" s="49" t="s">
        <v>28903</v>
      </c>
      <c r="Q1168" s="49" t="s">
        <v>28924</v>
      </c>
      <c r="R1168" s="49" t="s">
        <v>28945</v>
      </c>
      <c r="S1168" s="49" t="s">
        <v>28966</v>
      </c>
      <c r="T1168" s="49" t="s">
        <v>28987</v>
      </c>
    </row>
    <row r="1169" spans="1:20" x14ac:dyDescent="0.2">
      <c r="A1169" s="49" t="s">
        <v>30</v>
      </c>
      <c r="D1169" s="49" t="s">
        <v>16624</v>
      </c>
      <c r="G1169" s="49" t="s">
        <v>16625</v>
      </c>
      <c r="H1169" s="49" t="s">
        <v>28841</v>
      </c>
      <c r="I1169" s="49" t="s">
        <v>28862</v>
      </c>
      <c r="J1169" s="49" t="s">
        <v>29009</v>
      </c>
      <c r="K1169" s="49" t="s">
        <v>29030</v>
      </c>
      <c r="L1169" s="49" t="s">
        <v>16626</v>
      </c>
      <c r="M1169" s="49" t="s">
        <v>16627</v>
      </c>
      <c r="N1169" s="49" t="s">
        <v>16628</v>
      </c>
      <c r="O1169" s="49" t="s">
        <v>28883</v>
      </c>
      <c r="P1169" s="49" t="s">
        <v>28904</v>
      </c>
      <c r="Q1169" s="49" t="s">
        <v>28925</v>
      </c>
      <c r="R1169" s="49" t="s">
        <v>28946</v>
      </c>
      <c r="S1169" s="49" t="s">
        <v>28967</v>
      </c>
      <c r="T1169" s="49" t="s">
        <v>28988</v>
      </c>
    </row>
    <row r="1170" spans="1:20" x14ac:dyDescent="0.2">
      <c r="A1170" s="49" t="s">
        <v>30</v>
      </c>
      <c r="D1170" s="49" t="s">
        <v>16629</v>
      </c>
      <c r="G1170" s="49" t="s">
        <v>16630</v>
      </c>
      <c r="H1170" s="49" t="s">
        <v>28842</v>
      </c>
      <c r="I1170" s="49" t="s">
        <v>28863</v>
      </c>
      <c r="J1170" s="49" t="s">
        <v>29010</v>
      </c>
      <c r="K1170" s="49" t="s">
        <v>29031</v>
      </c>
      <c r="L1170" s="49" t="s">
        <v>16631</v>
      </c>
      <c r="M1170" s="49" t="s">
        <v>16632</v>
      </c>
      <c r="N1170" s="49" t="s">
        <v>16633</v>
      </c>
      <c r="O1170" s="49" t="s">
        <v>28884</v>
      </c>
      <c r="P1170" s="49" t="s">
        <v>28905</v>
      </c>
      <c r="Q1170" s="49" t="s">
        <v>28926</v>
      </c>
      <c r="R1170" s="49" t="s">
        <v>28947</v>
      </c>
      <c r="S1170" s="49" t="s">
        <v>28968</v>
      </c>
      <c r="T1170" s="49" t="s">
        <v>28989</v>
      </c>
    </row>
    <row r="1171" spans="1:20" x14ac:dyDescent="0.2">
      <c r="A1171" s="49" t="s">
        <v>30</v>
      </c>
      <c r="D1171" s="49" t="s">
        <v>16634</v>
      </c>
      <c r="G1171" s="49" t="s">
        <v>16635</v>
      </c>
      <c r="H1171" s="49" t="s">
        <v>28843</v>
      </c>
      <c r="I1171" s="49" t="s">
        <v>28864</v>
      </c>
      <c r="J1171" s="49" t="s">
        <v>29011</v>
      </c>
      <c r="K1171" s="49" t="s">
        <v>29032</v>
      </c>
      <c r="L1171" s="49" t="s">
        <v>16636</v>
      </c>
      <c r="M1171" s="49" t="s">
        <v>16637</v>
      </c>
      <c r="N1171" s="49" t="s">
        <v>16638</v>
      </c>
      <c r="O1171" s="49" t="s">
        <v>28885</v>
      </c>
      <c r="P1171" s="49" t="s">
        <v>28906</v>
      </c>
      <c r="Q1171" s="49" t="s">
        <v>28927</v>
      </c>
      <c r="R1171" s="49" t="s">
        <v>28948</v>
      </c>
      <c r="S1171" s="49" t="s">
        <v>28969</v>
      </c>
      <c r="T1171" s="49" t="s">
        <v>28990</v>
      </c>
    </row>
    <row r="1172" spans="1:20" x14ac:dyDescent="0.2">
      <c r="A1172" s="49" t="s">
        <v>30</v>
      </c>
      <c r="D1172" s="49" t="s">
        <v>16639</v>
      </c>
      <c r="G1172" s="49" t="s">
        <v>16640</v>
      </c>
      <c r="H1172" s="49" t="s">
        <v>28844</v>
      </c>
      <c r="I1172" s="49" t="s">
        <v>28865</v>
      </c>
      <c r="J1172" s="49" t="s">
        <v>29012</v>
      </c>
      <c r="K1172" s="49" t="s">
        <v>29033</v>
      </c>
      <c r="L1172" s="49" t="s">
        <v>16641</v>
      </c>
      <c r="M1172" s="49" t="s">
        <v>16642</v>
      </c>
      <c r="N1172" s="49" t="s">
        <v>16643</v>
      </c>
      <c r="O1172" s="49" t="s">
        <v>28886</v>
      </c>
      <c r="P1172" s="49" t="s">
        <v>28907</v>
      </c>
      <c r="Q1172" s="49" t="s">
        <v>28928</v>
      </c>
      <c r="R1172" s="49" t="s">
        <v>28949</v>
      </c>
      <c r="S1172" s="49" t="s">
        <v>28970</v>
      </c>
      <c r="T1172" s="49" t="s">
        <v>28991</v>
      </c>
    </row>
    <row r="1173" spans="1:20" x14ac:dyDescent="0.2">
      <c r="A1173" s="49" t="s">
        <v>30</v>
      </c>
      <c r="D1173" s="49" t="s">
        <v>16644</v>
      </c>
      <c r="G1173" s="49" t="s">
        <v>16645</v>
      </c>
      <c r="H1173" s="49" t="s">
        <v>28845</v>
      </c>
      <c r="I1173" s="49" t="s">
        <v>28866</v>
      </c>
      <c r="J1173" s="49" t="s">
        <v>29013</v>
      </c>
      <c r="K1173" s="49" t="s">
        <v>29034</v>
      </c>
      <c r="L1173" s="49" t="s">
        <v>16646</v>
      </c>
      <c r="M1173" s="49" t="s">
        <v>16647</v>
      </c>
      <c r="N1173" s="49" t="s">
        <v>16648</v>
      </c>
      <c r="O1173" s="49" t="s">
        <v>28887</v>
      </c>
      <c r="P1173" s="49" t="s">
        <v>28908</v>
      </c>
      <c r="Q1173" s="49" t="s">
        <v>28929</v>
      </c>
      <c r="R1173" s="49" t="s">
        <v>28950</v>
      </c>
      <c r="S1173" s="49" t="s">
        <v>28971</v>
      </c>
      <c r="T1173" s="49" t="s">
        <v>28992</v>
      </c>
    </row>
    <row r="1174" spans="1:20" x14ac:dyDescent="0.2">
      <c r="A1174" s="49" t="s">
        <v>30</v>
      </c>
      <c r="D1174" s="49" t="s">
        <v>16649</v>
      </c>
      <c r="G1174" s="49" t="s">
        <v>16650</v>
      </c>
      <c r="H1174" s="49" t="s">
        <v>28846</v>
      </c>
      <c r="I1174" s="49" t="s">
        <v>28867</v>
      </c>
      <c r="J1174" s="49" t="s">
        <v>29014</v>
      </c>
      <c r="K1174" s="49" t="s">
        <v>29035</v>
      </c>
      <c r="L1174" s="49" t="s">
        <v>16651</v>
      </c>
      <c r="M1174" s="49" t="s">
        <v>16652</v>
      </c>
      <c r="N1174" s="49" t="s">
        <v>16653</v>
      </c>
      <c r="O1174" s="49" t="s">
        <v>28888</v>
      </c>
      <c r="P1174" s="49" t="s">
        <v>28909</v>
      </c>
      <c r="Q1174" s="49" t="s">
        <v>28930</v>
      </c>
      <c r="R1174" s="49" t="s">
        <v>28951</v>
      </c>
      <c r="S1174" s="49" t="s">
        <v>28972</v>
      </c>
      <c r="T1174" s="49" t="s">
        <v>28993</v>
      </c>
    </row>
    <row r="1175" spans="1:20" x14ac:dyDescent="0.2">
      <c r="A1175" s="49" t="s">
        <v>30</v>
      </c>
      <c r="D1175" s="49" t="s">
        <v>16654</v>
      </c>
      <c r="G1175" s="49" t="s">
        <v>16655</v>
      </c>
      <c r="H1175" s="49" t="s">
        <v>28847</v>
      </c>
      <c r="I1175" s="49" t="s">
        <v>28868</v>
      </c>
      <c r="J1175" s="49" t="s">
        <v>29015</v>
      </c>
      <c r="K1175" s="49" t="s">
        <v>29036</v>
      </c>
      <c r="L1175" s="49" t="s">
        <v>16656</v>
      </c>
      <c r="M1175" s="49" t="s">
        <v>16657</v>
      </c>
      <c r="N1175" s="49" t="s">
        <v>16658</v>
      </c>
      <c r="O1175" s="49" t="s">
        <v>28889</v>
      </c>
      <c r="P1175" s="49" t="s">
        <v>28910</v>
      </c>
      <c r="Q1175" s="49" t="s">
        <v>28931</v>
      </c>
      <c r="R1175" s="49" t="s">
        <v>28952</v>
      </c>
      <c r="S1175" s="49" t="s">
        <v>28973</v>
      </c>
      <c r="T1175" s="49" t="s">
        <v>28994</v>
      </c>
    </row>
    <row r="1176" spans="1:20" x14ac:dyDescent="0.2">
      <c r="A1176" s="49" t="s">
        <v>30</v>
      </c>
      <c r="D1176" s="49" t="s">
        <v>16659</v>
      </c>
      <c r="G1176" s="49" t="s">
        <v>16660</v>
      </c>
      <c r="H1176" s="49" t="s">
        <v>28848</v>
      </c>
      <c r="I1176" s="49" t="s">
        <v>28869</v>
      </c>
      <c r="J1176" s="49" t="s">
        <v>29016</v>
      </c>
      <c r="K1176" s="49" t="s">
        <v>29037</v>
      </c>
      <c r="L1176" s="49" t="s">
        <v>16661</v>
      </c>
      <c r="M1176" s="49" t="s">
        <v>16662</v>
      </c>
      <c r="N1176" s="49" t="s">
        <v>16663</v>
      </c>
      <c r="O1176" s="49" t="s">
        <v>28890</v>
      </c>
      <c r="P1176" s="49" t="s">
        <v>28911</v>
      </c>
      <c r="Q1176" s="49" t="s">
        <v>28932</v>
      </c>
      <c r="R1176" s="49" t="s">
        <v>28953</v>
      </c>
      <c r="S1176" s="49" t="s">
        <v>28974</v>
      </c>
      <c r="T1176" s="49" t="s">
        <v>28995</v>
      </c>
    </row>
    <row r="1177" spans="1:20" x14ac:dyDescent="0.2">
      <c r="A1177" s="49" t="s">
        <v>30</v>
      </c>
      <c r="D1177" s="49" t="s">
        <v>16664</v>
      </c>
      <c r="G1177" s="49" t="s">
        <v>16665</v>
      </c>
      <c r="H1177" s="49" t="s">
        <v>28849</v>
      </c>
      <c r="I1177" s="49" t="s">
        <v>28870</v>
      </c>
      <c r="J1177" s="49" t="s">
        <v>29017</v>
      </c>
      <c r="K1177" s="49" t="s">
        <v>29038</v>
      </c>
      <c r="L1177" s="49" t="s">
        <v>16666</v>
      </c>
      <c r="M1177" s="49" t="s">
        <v>16667</v>
      </c>
      <c r="N1177" s="49" t="s">
        <v>16668</v>
      </c>
      <c r="O1177" s="49" t="s">
        <v>28891</v>
      </c>
      <c r="P1177" s="49" t="s">
        <v>28912</v>
      </c>
      <c r="Q1177" s="49" t="s">
        <v>28933</v>
      </c>
      <c r="R1177" s="49" t="s">
        <v>28954</v>
      </c>
      <c r="S1177" s="49" t="s">
        <v>28975</v>
      </c>
      <c r="T1177" s="49" t="s">
        <v>28996</v>
      </c>
    </row>
    <row r="1178" spans="1:20" x14ac:dyDescent="0.2">
      <c r="A1178" s="49" t="s">
        <v>30</v>
      </c>
      <c r="D1178" s="49" t="s">
        <v>16669</v>
      </c>
      <c r="G1178" s="49" t="s">
        <v>16670</v>
      </c>
      <c r="H1178" s="49" t="s">
        <v>28850</v>
      </c>
      <c r="I1178" s="49" t="s">
        <v>28871</v>
      </c>
      <c r="J1178" s="49" t="s">
        <v>29018</v>
      </c>
      <c r="K1178" s="49" t="s">
        <v>29039</v>
      </c>
      <c r="L1178" s="49" t="s">
        <v>16671</v>
      </c>
      <c r="M1178" s="49" t="s">
        <v>16672</v>
      </c>
      <c r="N1178" s="49" t="s">
        <v>16673</v>
      </c>
      <c r="O1178" s="49" t="s">
        <v>28892</v>
      </c>
      <c r="P1178" s="49" t="s">
        <v>28913</v>
      </c>
      <c r="Q1178" s="49" t="s">
        <v>28934</v>
      </c>
      <c r="R1178" s="49" t="s">
        <v>28955</v>
      </c>
      <c r="S1178" s="49" t="s">
        <v>28976</v>
      </c>
      <c r="T1178" s="49" t="s">
        <v>28997</v>
      </c>
    </row>
    <row r="1179" spans="1:20" x14ac:dyDescent="0.2">
      <c r="A1179" s="49" t="s">
        <v>30</v>
      </c>
      <c r="D1179" s="49" t="s">
        <v>16674</v>
      </c>
      <c r="G1179" s="49" t="s">
        <v>16675</v>
      </c>
      <c r="H1179" s="49" t="s">
        <v>28851</v>
      </c>
      <c r="I1179" s="49" t="s">
        <v>28872</v>
      </c>
      <c r="J1179" s="49" t="s">
        <v>29019</v>
      </c>
      <c r="K1179" s="49" t="s">
        <v>29040</v>
      </c>
      <c r="L1179" s="49" t="s">
        <v>16676</v>
      </c>
      <c r="M1179" s="49" t="s">
        <v>16677</v>
      </c>
      <c r="N1179" s="49" t="s">
        <v>16678</v>
      </c>
      <c r="O1179" s="49" t="s">
        <v>28893</v>
      </c>
      <c r="P1179" s="49" t="s">
        <v>28914</v>
      </c>
      <c r="Q1179" s="49" t="s">
        <v>28935</v>
      </c>
      <c r="R1179" s="49" t="s">
        <v>28956</v>
      </c>
      <c r="S1179" s="49" t="s">
        <v>28977</v>
      </c>
      <c r="T1179" s="49" t="s">
        <v>28998</v>
      </c>
    </row>
    <row r="1180" spans="1:20" x14ac:dyDescent="0.2">
      <c r="A1180" s="49" t="s">
        <v>30</v>
      </c>
      <c r="D1180" s="49" t="s">
        <v>16679</v>
      </c>
      <c r="G1180" s="49" t="s">
        <v>16680</v>
      </c>
      <c r="H1180" s="49" t="s">
        <v>28852</v>
      </c>
      <c r="I1180" s="49" t="s">
        <v>28873</v>
      </c>
      <c r="J1180" s="49" t="s">
        <v>29020</v>
      </c>
      <c r="K1180" s="49" t="s">
        <v>29041</v>
      </c>
      <c r="L1180" s="49" t="s">
        <v>16681</v>
      </c>
      <c r="M1180" s="49" t="s">
        <v>16682</v>
      </c>
      <c r="N1180" s="49" t="s">
        <v>16683</v>
      </c>
      <c r="O1180" s="49" t="s">
        <v>28894</v>
      </c>
      <c r="P1180" s="49" t="s">
        <v>28915</v>
      </c>
      <c r="Q1180" s="49" t="s">
        <v>28936</v>
      </c>
      <c r="R1180" s="49" t="s">
        <v>28957</v>
      </c>
      <c r="S1180" s="49" t="s">
        <v>28978</v>
      </c>
      <c r="T1180" s="49" t="s">
        <v>28999</v>
      </c>
    </row>
    <row r="1181" spans="1:20" x14ac:dyDescent="0.2">
      <c r="A1181" s="49" t="s">
        <v>30</v>
      </c>
      <c r="D1181" s="49" t="s">
        <v>16684</v>
      </c>
      <c r="G1181" s="49" t="s">
        <v>16685</v>
      </c>
      <c r="H1181" s="49" t="s">
        <v>28853</v>
      </c>
      <c r="I1181" s="49" t="s">
        <v>28874</v>
      </c>
      <c r="J1181" s="49" t="s">
        <v>29021</v>
      </c>
      <c r="K1181" s="49" t="s">
        <v>29042</v>
      </c>
      <c r="L1181" s="49" t="s">
        <v>16686</v>
      </c>
      <c r="M1181" s="49" t="s">
        <v>16687</v>
      </c>
      <c r="N1181" s="49" t="s">
        <v>16688</v>
      </c>
      <c r="O1181" s="49" t="s">
        <v>28895</v>
      </c>
      <c r="P1181" s="49" t="s">
        <v>28916</v>
      </c>
      <c r="Q1181" s="49" t="s">
        <v>28937</v>
      </c>
      <c r="R1181" s="49" t="s">
        <v>28958</v>
      </c>
      <c r="S1181" s="49" t="s">
        <v>28979</v>
      </c>
      <c r="T1181" s="49" t="s">
        <v>29000</v>
      </c>
    </row>
    <row r="1182" spans="1:20" x14ac:dyDescent="0.2">
      <c r="A1182" s="49" t="s">
        <v>30</v>
      </c>
      <c r="D1182" s="49" t="s">
        <v>16689</v>
      </c>
      <c r="G1182" s="49" t="s">
        <v>16690</v>
      </c>
      <c r="H1182" s="49" t="s">
        <v>28854</v>
      </c>
      <c r="I1182" s="49" t="s">
        <v>28875</v>
      </c>
      <c r="J1182" s="49" t="s">
        <v>29022</v>
      </c>
      <c r="K1182" s="49" t="s">
        <v>29043</v>
      </c>
      <c r="L1182" s="49" t="s">
        <v>16691</v>
      </c>
      <c r="M1182" s="49" t="s">
        <v>16692</v>
      </c>
      <c r="N1182" s="49" t="s">
        <v>16693</v>
      </c>
      <c r="O1182" s="49" t="s">
        <v>28896</v>
      </c>
      <c r="P1182" s="49" t="s">
        <v>28917</v>
      </c>
      <c r="Q1182" s="49" t="s">
        <v>28938</v>
      </c>
      <c r="R1182" s="49" t="s">
        <v>28959</v>
      </c>
      <c r="S1182" s="49" t="s">
        <v>28980</v>
      </c>
      <c r="T1182" s="49" t="s">
        <v>29001</v>
      </c>
    </row>
    <row r="1183" spans="1:20" x14ac:dyDescent="0.2">
      <c r="A1183" s="49" t="s">
        <v>30</v>
      </c>
      <c r="D1183" s="49" t="s">
        <v>16694</v>
      </c>
      <c r="G1183" s="49" t="s">
        <v>16695</v>
      </c>
      <c r="H1183" s="49" t="s">
        <v>28855</v>
      </c>
      <c r="I1183" s="49" t="s">
        <v>28876</v>
      </c>
      <c r="J1183" s="49" t="s">
        <v>29023</v>
      </c>
      <c r="K1183" s="49" t="s">
        <v>29044</v>
      </c>
      <c r="L1183" s="49" t="s">
        <v>16696</v>
      </c>
      <c r="M1183" s="49" t="s">
        <v>16697</v>
      </c>
      <c r="N1183" s="49" t="s">
        <v>16698</v>
      </c>
      <c r="O1183" s="49" t="s">
        <v>28897</v>
      </c>
      <c r="P1183" s="49" t="s">
        <v>28918</v>
      </c>
      <c r="Q1183" s="49" t="s">
        <v>28939</v>
      </c>
      <c r="R1183" s="49" t="s">
        <v>28960</v>
      </c>
      <c r="S1183" s="49" t="s">
        <v>28981</v>
      </c>
      <c r="T1183" s="49" t="s">
        <v>29002</v>
      </c>
    </row>
    <row r="1184" spans="1:20" x14ac:dyDescent="0.2">
      <c r="A1184" s="49" t="s">
        <v>30</v>
      </c>
      <c r="D1184" s="49" t="s">
        <v>16699</v>
      </c>
      <c r="G1184" s="49" t="s">
        <v>16700</v>
      </c>
      <c r="H1184" s="49" t="s">
        <v>28856</v>
      </c>
      <c r="I1184" s="49" t="s">
        <v>28877</v>
      </c>
      <c r="J1184" s="49" t="s">
        <v>29024</v>
      </c>
      <c r="K1184" s="49" t="s">
        <v>29045</v>
      </c>
      <c r="L1184" s="49" t="s">
        <v>16701</v>
      </c>
      <c r="M1184" s="49" t="s">
        <v>16702</v>
      </c>
      <c r="N1184" s="49" t="s">
        <v>16703</v>
      </c>
      <c r="O1184" s="49" t="s">
        <v>28898</v>
      </c>
      <c r="P1184" s="49" t="s">
        <v>28919</v>
      </c>
      <c r="Q1184" s="49" t="s">
        <v>28940</v>
      </c>
      <c r="R1184" s="49" t="s">
        <v>28961</v>
      </c>
      <c r="S1184" s="49" t="s">
        <v>28982</v>
      </c>
      <c r="T1184" s="49" t="s">
        <v>29003</v>
      </c>
    </row>
    <row r="1185" spans="1:21" x14ac:dyDescent="0.2">
      <c r="A1185" s="49" t="s">
        <v>30</v>
      </c>
    </row>
    <row r="1186" spans="1:21" x14ac:dyDescent="0.2">
      <c r="A1186" s="49" t="s">
        <v>30</v>
      </c>
      <c r="E1186" s="49" t="s">
        <v>31</v>
      </c>
      <c r="F1186" s="49" t="s">
        <v>31</v>
      </c>
      <c r="G1186" s="49" t="s">
        <v>31</v>
      </c>
      <c r="J1186" s="49" t="s">
        <v>31</v>
      </c>
      <c r="K1186" s="49" t="s">
        <v>31</v>
      </c>
      <c r="L1186" s="49" t="s">
        <v>31</v>
      </c>
      <c r="M1186" s="49" t="s">
        <v>31</v>
      </c>
    </row>
    <row r="1187" spans="1:21" x14ac:dyDescent="0.2">
      <c r="A1187" s="49" t="s">
        <v>30</v>
      </c>
      <c r="D1187" s="49" t="s">
        <v>16704</v>
      </c>
      <c r="E1187" s="49" t="s">
        <v>6803</v>
      </c>
      <c r="F1187" s="49" t="s">
        <v>16705</v>
      </c>
      <c r="H1187" s="49" t="s">
        <v>16706</v>
      </c>
      <c r="O1187" s="49" t="s">
        <v>16707</v>
      </c>
      <c r="P1187" s="49" t="s">
        <v>16708</v>
      </c>
      <c r="Q1187" s="49" t="s">
        <v>16709</v>
      </c>
      <c r="R1187" s="49" t="s">
        <v>16710</v>
      </c>
      <c r="S1187" s="49" t="s">
        <v>16711</v>
      </c>
      <c r="T1187" s="49" t="s">
        <v>16712</v>
      </c>
      <c r="U1187" s="49" t="s">
        <v>16713</v>
      </c>
    </row>
    <row r="1188" spans="1:21" x14ac:dyDescent="0.2">
      <c r="A1188" s="49" t="s">
        <v>30</v>
      </c>
      <c r="D1188" s="49" t="s">
        <v>16714</v>
      </c>
      <c r="G1188" s="49" t="s">
        <v>16715</v>
      </c>
      <c r="H1188" s="49" t="s">
        <v>28416</v>
      </c>
      <c r="I1188" s="49" t="s">
        <v>28458</v>
      </c>
      <c r="J1188" s="49" t="s">
        <v>28752</v>
      </c>
      <c r="K1188" s="49" t="s">
        <v>28794</v>
      </c>
      <c r="L1188" s="49" t="s">
        <v>16716</v>
      </c>
      <c r="M1188" s="49" t="s">
        <v>16717</v>
      </c>
      <c r="N1188" s="49" t="s">
        <v>16718</v>
      </c>
      <c r="O1188" s="49" t="s">
        <v>28500</v>
      </c>
      <c r="P1188" s="49" t="s">
        <v>28542</v>
      </c>
      <c r="Q1188" s="49" t="s">
        <v>28584</v>
      </c>
      <c r="R1188" s="49" t="s">
        <v>28626</v>
      </c>
      <c r="S1188" s="49" t="s">
        <v>28668</v>
      </c>
      <c r="T1188" s="49" t="s">
        <v>28710</v>
      </c>
    </row>
    <row r="1189" spans="1:21" x14ac:dyDescent="0.2">
      <c r="A1189" s="49" t="s">
        <v>30</v>
      </c>
      <c r="D1189" s="49" t="s">
        <v>16719</v>
      </c>
      <c r="G1189" s="49" t="s">
        <v>16720</v>
      </c>
      <c r="H1189" s="49" t="s">
        <v>28417</v>
      </c>
      <c r="I1189" s="49" t="s">
        <v>28459</v>
      </c>
      <c r="J1189" s="49" t="s">
        <v>28753</v>
      </c>
      <c r="K1189" s="49" t="s">
        <v>28795</v>
      </c>
      <c r="L1189" s="49" t="s">
        <v>16721</v>
      </c>
      <c r="M1189" s="49" t="s">
        <v>16722</v>
      </c>
      <c r="N1189" s="49" t="s">
        <v>16723</v>
      </c>
      <c r="O1189" s="49" t="s">
        <v>28501</v>
      </c>
      <c r="P1189" s="49" t="s">
        <v>28543</v>
      </c>
      <c r="Q1189" s="49" t="s">
        <v>28585</v>
      </c>
      <c r="R1189" s="49" t="s">
        <v>28627</v>
      </c>
      <c r="S1189" s="49" t="s">
        <v>28669</v>
      </c>
      <c r="T1189" s="49" t="s">
        <v>28711</v>
      </c>
    </row>
    <row r="1190" spans="1:21" x14ac:dyDescent="0.2">
      <c r="A1190" s="49" t="s">
        <v>30</v>
      </c>
      <c r="D1190" s="49" t="s">
        <v>16724</v>
      </c>
      <c r="G1190" s="49" t="s">
        <v>16725</v>
      </c>
      <c r="H1190" s="49" t="s">
        <v>28418</v>
      </c>
      <c r="I1190" s="49" t="s">
        <v>28460</v>
      </c>
      <c r="J1190" s="49" t="s">
        <v>28754</v>
      </c>
      <c r="K1190" s="49" t="s">
        <v>28796</v>
      </c>
      <c r="L1190" s="49" t="s">
        <v>16726</v>
      </c>
      <c r="M1190" s="49" t="s">
        <v>16727</v>
      </c>
      <c r="N1190" s="49" t="s">
        <v>16728</v>
      </c>
      <c r="O1190" s="49" t="s">
        <v>28502</v>
      </c>
      <c r="P1190" s="49" t="s">
        <v>28544</v>
      </c>
      <c r="Q1190" s="49" t="s">
        <v>28586</v>
      </c>
      <c r="R1190" s="49" t="s">
        <v>28628</v>
      </c>
      <c r="S1190" s="49" t="s">
        <v>28670</v>
      </c>
      <c r="T1190" s="49" t="s">
        <v>28712</v>
      </c>
    </row>
    <row r="1191" spans="1:21" x14ac:dyDescent="0.2">
      <c r="A1191" s="49" t="s">
        <v>30</v>
      </c>
      <c r="D1191" s="49" t="s">
        <v>16729</v>
      </c>
      <c r="G1191" s="49" t="s">
        <v>16730</v>
      </c>
      <c r="H1191" s="49" t="s">
        <v>28419</v>
      </c>
      <c r="I1191" s="49" t="s">
        <v>28461</v>
      </c>
      <c r="J1191" s="49" t="s">
        <v>28755</v>
      </c>
      <c r="K1191" s="49" t="s">
        <v>28797</v>
      </c>
      <c r="L1191" s="49" t="s">
        <v>16731</v>
      </c>
      <c r="M1191" s="49" t="s">
        <v>16732</v>
      </c>
      <c r="N1191" s="49" t="s">
        <v>16733</v>
      </c>
      <c r="O1191" s="49" t="s">
        <v>28503</v>
      </c>
      <c r="P1191" s="49" t="s">
        <v>28545</v>
      </c>
      <c r="Q1191" s="49" t="s">
        <v>28587</v>
      </c>
      <c r="R1191" s="49" t="s">
        <v>28629</v>
      </c>
      <c r="S1191" s="49" t="s">
        <v>28671</v>
      </c>
      <c r="T1191" s="49" t="s">
        <v>28713</v>
      </c>
    </row>
    <row r="1192" spans="1:21" x14ac:dyDescent="0.2">
      <c r="A1192" s="49" t="s">
        <v>30</v>
      </c>
      <c r="D1192" s="49" t="s">
        <v>16734</v>
      </c>
      <c r="G1192" s="49" t="s">
        <v>16735</v>
      </c>
      <c r="H1192" s="49" t="s">
        <v>28420</v>
      </c>
      <c r="I1192" s="49" t="s">
        <v>28462</v>
      </c>
      <c r="J1192" s="49" t="s">
        <v>28756</v>
      </c>
      <c r="K1192" s="49" t="s">
        <v>28798</v>
      </c>
      <c r="L1192" s="49" t="s">
        <v>16736</v>
      </c>
      <c r="M1192" s="49" t="s">
        <v>16737</v>
      </c>
      <c r="N1192" s="49" t="s">
        <v>16738</v>
      </c>
      <c r="O1192" s="49" t="s">
        <v>28504</v>
      </c>
      <c r="P1192" s="49" t="s">
        <v>28546</v>
      </c>
      <c r="Q1192" s="49" t="s">
        <v>28588</v>
      </c>
      <c r="R1192" s="49" t="s">
        <v>28630</v>
      </c>
      <c r="S1192" s="49" t="s">
        <v>28672</v>
      </c>
      <c r="T1192" s="49" t="s">
        <v>28714</v>
      </c>
    </row>
    <row r="1193" spans="1:21" x14ac:dyDescent="0.2">
      <c r="A1193" s="49" t="s">
        <v>30</v>
      </c>
      <c r="D1193" s="49" t="s">
        <v>16739</v>
      </c>
      <c r="G1193" s="49" t="s">
        <v>16740</v>
      </c>
      <c r="H1193" s="49" t="s">
        <v>28421</v>
      </c>
      <c r="I1193" s="49" t="s">
        <v>28463</v>
      </c>
      <c r="J1193" s="49" t="s">
        <v>28757</v>
      </c>
      <c r="K1193" s="49" t="s">
        <v>28799</v>
      </c>
      <c r="L1193" s="49" t="s">
        <v>16741</v>
      </c>
      <c r="M1193" s="49" t="s">
        <v>16742</v>
      </c>
      <c r="N1193" s="49" t="s">
        <v>16743</v>
      </c>
      <c r="O1193" s="49" t="s">
        <v>28505</v>
      </c>
      <c r="P1193" s="49" t="s">
        <v>28547</v>
      </c>
      <c r="Q1193" s="49" t="s">
        <v>28589</v>
      </c>
      <c r="R1193" s="49" t="s">
        <v>28631</v>
      </c>
      <c r="S1193" s="49" t="s">
        <v>28673</v>
      </c>
      <c r="T1193" s="49" t="s">
        <v>28715</v>
      </c>
    </row>
    <row r="1194" spans="1:21" x14ac:dyDescent="0.2">
      <c r="A1194" s="49" t="s">
        <v>30</v>
      </c>
      <c r="D1194" s="49" t="s">
        <v>16744</v>
      </c>
      <c r="G1194" s="49" t="s">
        <v>16745</v>
      </c>
      <c r="H1194" s="49" t="s">
        <v>28422</v>
      </c>
      <c r="I1194" s="49" t="s">
        <v>28464</v>
      </c>
      <c r="J1194" s="49" t="s">
        <v>28758</v>
      </c>
      <c r="K1194" s="49" t="s">
        <v>28800</v>
      </c>
      <c r="L1194" s="49" t="s">
        <v>16746</v>
      </c>
      <c r="M1194" s="49" t="s">
        <v>16747</v>
      </c>
      <c r="N1194" s="49" t="s">
        <v>16748</v>
      </c>
      <c r="O1194" s="49" t="s">
        <v>28506</v>
      </c>
      <c r="P1194" s="49" t="s">
        <v>28548</v>
      </c>
      <c r="Q1194" s="49" t="s">
        <v>28590</v>
      </c>
      <c r="R1194" s="49" t="s">
        <v>28632</v>
      </c>
      <c r="S1194" s="49" t="s">
        <v>28674</v>
      </c>
      <c r="T1194" s="49" t="s">
        <v>28716</v>
      </c>
    </row>
    <row r="1195" spans="1:21" x14ac:dyDescent="0.2">
      <c r="A1195" s="49" t="s">
        <v>30</v>
      </c>
      <c r="D1195" s="49" t="s">
        <v>16749</v>
      </c>
      <c r="G1195" s="49" t="s">
        <v>16750</v>
      </c>
      <c r="H1195" s="49" t="s">
        <v>28423</v>
      </c>
      <c r="I1195" s="49" t="s">
        <v>28465</v>
      </c>
      <c r="J1195" s="49" t="s">
        <v>28759</v>
      </c>
      <c r="K1195" s="49" t="s">
        <v>28801</v>
      </c>
      <c r="L1195" s="49" t="s">
        <v>16751</v>
      </c>
      <c r="M1195" s="49" t="s">
        <v>16752</v>
      </c>
      <c r="N1195" s="49" t="s">
        <v>16753</v>
      </c>
      <c r="O1195" s="49" t="s">
        <v>28507</v>
      </c>
      <c r="P1195" s="49" t="s">
        <v>28549</v>
      </c>
      <c r="Q1195" s="49" t="s">
        <v>28591</v>
      </c>
      <c r="R1195" s="49" t="s">
        <v>28633</v>
      </c>
      <c r="S1195" s="49" t="s">
        <v>28675</v>
      </c>
      <c r="T1195" s="49" t="s">
        <v>28717</v>
      </c>
    </row>
    <row r="1196" spans="1:21" x14ac:dyDescent="0.2">
      <c r="A1196" s="49" t="s">
        <v>30</v>
      </c>
      <c r="D1196" s="49" t="s">
        <v>16754</v>
      </c>
      <c r="G1196" s="49" t="s">
        <v>16755</v>
      </c>
      <c r="H1196" s="49" t="s">
        <v>28424</v>
      </c>
      <c r="I1196" s="49" t="s">
        <v>28466</v>
      </c>
      <c r="J1196" s="49" t="s">
        <v>28760</v>
      </c>
      <c r="K1196" s="49" t="s">
        <v>28802</v>
      </c>
      <c r="L1196" s="49" t="s">
        <v>16756</v>
      </c>
      <c r="M1196" s="49" t="s">
        <v>16757</v>
      </c>
      <c r="N1196" s="49" t="s">
        <v>16758</v>
      </c>
      <c r="O1196" s="49" t="s">
        <v>28508</v>
      </c>
      <c r="P1196" s="49" t="s">
        <v>28550</v>
      </c>
      <c r="Q1196" s="49" t="s">
        <v>28592</v>
      </c>
      <c r="R1196" s="49" t="s">
        <v>28634</v>
      </c>
      <c r="S1196" s="49" t="s">
        <v>28676</v>
      </c>
      <c r="T1196" s="49" t="s">
        <v>28718</v>
      </c>
    </row>
    <row r="1197" spans="1:21" x14ac:dyDescent="0.2">
      <c r="A1197" s="49" t="s">
        <v>30</v>
      </c>
      <c r="D1197" s="49" t="s">
        <v>16759</v>
      </c>
      <c r="G1197" s="49" t="s">
        <v>16760</v>
      </c>
      <c r="H1197" s="49" t="s">
        <v>28425</v>
      </c>
      <c r="I1197" s="49" t="s">
        <v>28467</v>
      </c>
      <c r="J1197" s="49" t="s">
        <v>28761</v>
      </c>
      <c r="K1197" s="49" t="s">
        <v>28803</v>
      </c>
      <c r="L1197" s="49" t="s">
        <v>16761</v>
      </c>
      <c r="M1197" s="49" t="s">
        <v>16762</v>
      </c>
      <c r="N1197" s="49" t="s">
        <v>16763</v>
      </c>
      <c r="O1197" s="49" t="s">
        <v>28509</v>
      </c>
      <c r="P1197" s="49" t="s">
        <v>28551</v>
      </c>
      <c r="Q1197" s="49" t="s">
        <v>28593</v>
      </c>
      <c r="R1197" s="49" t="s">
        <v>28635</v>
      </c>
      <c r="S1197" s="49" t="s">
        <v>28677</v>
      </c>
      <c r="T1197" s="49" t="s">
        <v>28719</v>
      </c>
    </row>
    <row r="1198" spans="1:21" x14ac:dyDescent="0.2">
      <c r="A1198" s="49" t="s">
        <v>30</v>
      </c>
      <c r="D1198" s="49" t="s">
        <v>16764</v>
      </c>
      <c r="G1198" s="49" t="s">
        <v>16765</v>
      </c>
      <c r="H1198" s="49" t="s">
        <v>28426</v>
      </c>
      <c r="I1198" s="49" t="s">
        <v>28468</v>
      </c>
      <c r="J1198" s="49" t="s">
        <v>28762</v>
      </c>
      <c r="K1198" s="49" t="s">
        <v>28804</v>
      </c>
      <c r="L1198" s="49" t="s">
        <v>16766</v>
      </c>
      <c r="M1198" s="49" t="s">
        <v>16767</v>
      </c>
      <c r="N1198" s="49" t="s">
        <v>16768</v>
      </c>
      <c r="O1198" s="49" t="s">
        <v>28510</v>
      </c>
      <c r="P1198" s="49" t="s">
        <v>28552</v>
      </c>
      <c r="Q1198" s="49" t="s">
        <v>28594</v>
      </c>
      <c r="R1198" s="49" t="s">
        <v>28636</v>
      </c>
      <c r="S1198" s="49" t="s">
        <v>28678</v>
      </c>
      <c r="T1198" s="49" t="s">
        <v>28720</v>
      </c>
    </row>
    <row r="1199" spans="1:21" x14ac:dyDescent="0.2">
      <c r="A1199" s="49" t="s">
        <v>30</v>
      </c>
      <c r="D1199" s="49" t="s">
        <v>16769</v>
      </c>
      <c r="G1199" s="49" t="s">
        <v>16770</v>
      </c>
      <c r="H1199" s="49" t="s">
        <v>28427</v>
      </c>
      <c r="I1199" s="49" t="s">
        <v>28469</v>
      </c>
      <c r="J1199" s="49" t="s">
        <v>28763</v>
      </c>
      <c r="K1199" s="49" t="s">
        <v>28805</v>
      </c>
      <c r="L1199" s="49" t="s">
        <v>16771</v>
      </c>
      <c r="M1199" s="49" t="s">
        <v>16772</v>
      </c>
      <c r="N1199" s="49" t="s">
        <v>16773</v>
      </c>
      <c r="O1199" s="49" t="s">
        <v>28511</v>
      </c>
      <c r="P1199" s="49" t="s">
        <v>28553</v>
      </c>
      <c r="Q1199" s="49" t="s">
        <v>28595</v>
      </c>
      <c r="R1199" s="49" t="s">
        <v>28637</v>
      </c>
      <c r="S1199" s="49" t="s">
        <v>28679</v>
      </c>
      <c r="T1199" s="49" t="s">
        <v>28721</v>
      </c>
    </row>
    <row r="1200" spans="1:21" x14ac:dyDescent="0.2">
      <c r="A1200" s="49" t="s">
        <v>30</v>
      </c>
      <c r="D1200" s="49" t="s">
        <v>16774</v>
      </c>
      <c r="G1200" s="49" t="s">
        <v>16775</v>
      </c>
      <c r="H1200" s="49" t="s">
        <v>28428</v>
      </c>
      <c r="I1200" s="49" t="s">
        <v>28470</v>
      </c>
      <c r="J1200" s="49" t="s">
        <v>28764</v>
      </c>
      <c r="K1200" s="49" t="s">
        <v>28806</v>
      </c>
      <c r="L1200" s="49" t="s">
        <v>16776</v>
      </c>
      <c r="M1200" s="49" t="s">
        <v>16777</v>
      </c>
      <c r="N1200" s="49" t="s">
        <v>16778</v>
      </c>
      <c r="O1200" s="49" t="s">
        <v>28512</v>
      </c>
      <c r="P1200" s="49" t="s">
        <v>28554</v>
      </c>
      <c r="Q1200" s="49" t="s">
        <v>28596</v>
      </c>
      <c r="R1200" s="49" t="s">
        <v>28638</v>
      </c>
      <c r="S1200" s="49" t="s">
        <v>28680</v>
      </c>
      <c r="T1200" s="49" t="s">
        <v>28722</v>
      </c>
    </row>
    <row r="1201" spans="1:20" x14ac:dyDescent="0.2">
      <c r="A1201" s="49" t="s">
        <v>30</v>
      </c>
      <c r="D1201" s="49" t="s">
        <v>16779</v>
      </c>
      <c r="G1201" s="49" t="s">
        <v>16780</v>
      </c>
      <c r="H1201" s="49" t="s">
        <v>28429</v>
      </c>
      <c r="I1201" s="49" t="s">
        <v>28471</v>
      </c>
      <c r="J1201" s="49" t="s">
        <v>28765</v>
      </c>
      <c r="K1201" s="49" t="s">
        <v>28807</v>
      </c>
      <c r="L1201" s="49" t="s">
        <v>16781</v>
      </c>
      <c r="M1201" s="49" t="s">
        <v>16782</v>
      </c>
      <c r="N1201" s="49" t="s">
        <v>16783</v>
      </c>
      <c r="O1201" s="49" t="s">
        <v>28513</v>
      </c>
      <c r="P1201" s="49" t="s">
        <v>28555</v>
      </c>
      <c r="Q1201" s="49" t="s">
        <v>28597</v>
      </c>
      <c r="R1201" s="49" t="s">
        <v>28639</v>
      </c>
      <c r="S1201" s="49" t="s">
        <v>28681</v>
      </c>
      <c r="T1201" s="49" t="s">
        <v>28723</v>
      </c>
    </row>
    <row r="1202" spans="1:20" x14ac:dyDescent="0.2">
      <c r="A1202" s="49" t="s">
        <v>30</v>
      </c>
      <c r="D1202" s="49" t="s">
        <v>16784</v>
      </c>
      <c r="G1202" s="49" t="s">
        <v>16785</v>
      </c>
      <c r="H1202" s="49" t="s">
        <v>28430</v>
      </c>
      <c r="I1202" s="49" t="s">
        <v>28472</v>
      </c>
      <c r="J1202" s="49" t="s">
        <v>28766</v>
      </c>
      <c r="K1202" s="49" t="s">
        <v>28808</v>
      </c>
      <c r="L1202" s="49" t="s">
        <v>16786</v>
      </c>
      <c r="M1202" s="49" t="s">
        <v>16787</v>
      </c>
      <c r="N1202" s="49" t="s">
        <v>16788</v>
      </c>
      <c r="O1202" s="49" t="s">
        <v>28514</v>
      </c>
      <c r="P1202" s="49" t="s">
        <v>28556</v>
      </c>
      <c r="Q1202" s="49" t="s">
        <v>28598</v>
      </c>
      <c r="R1202" s="49" t="s">
        <v>28640</v>
      </c>
      <c r="S1202" s="49" t="s">
        <v>28682</v>
      </c>
      <c r="T1202" s="49" t="s">
        <v>28724</v>
      </c>
    </row>
    <row r="1203" spans="1:20" x14ac:dyDescent="0.2">
      <c r="A1203" s="49" t="s">
        <v>30</v>
      </c>
      <c r="D1203" s="49" t="s">
        <v>16789</v>
      </c>
      <c r="G1203" s="49" t="s">
        <v>16790</v>
      </c>
      <c r="H1203" s="49" t="s">
        <v>28431</v>
      </c>
      <c r="I1203" s="49" t="s">
        <v>28473</v>
      </c>
      <c r="J1203" s="49" t="s">
        <v>28767</v>
      </c>
      <c r="K1203" s="49" t="s">
        <v>28809</v>
      </c>
      <c r="L1203" s="49" t="s">
        <v>16791</v>
      </c>
      <c r="M1203" s="49" t="s">
        <v>16792</v>
      </c>
      <c r="N1203" s="49" t="s">
        <v>16793</v>
      </c>
      <c r="O1203" s="49" t="s">
        <v>28515</v>
      </c>
      <c r="P1203" s="49" t="s">
        <v>28557</v>
      </c>
      <c r="Q1203" s="49" t="s">
        <v>28599</v>
      </c>
      <c r="R1203" s="49" t="s">
        <v>28641</v>
      </c>
      <c r="S1203" s="49" t="s">
        <v>28683</v>
      </c>
      <c r="T1203" s="49" t="s">
        <v>28725</v>
      </c>
    </row>
    <row r="1204" spans="1:20" x14ac:dyDescent="0.2">
      <c r="A1204" s="49" t="s">
        <v>30</v>
      </c>
      <c r="D1204" s="49" t="s">
        <v>16794</v>
      </c>
      <c r="G1204" s="49" t="s">
        <v>16795</v>
      </c>
      <c r="H1204" s="49" t="s">
        <v>28432</v>
      </c>
      <c r="I1204" s="49" t="s">
        <v>28474</v>
      </c>
      <c r="J1204" s="49" t="s">
        <v>28768</v>
      </c>
      <c r="K1204" s="49" t="s">
        <v>28810</v>
      </c>
      <c r="L1204" s="49" t="s">
        <v>16796</v>
      </c>
      <c r="M1204" s="49" t="s">
        <v>16797</v>
      </c>
      <c r="N1204" s="49" t="s">
        <v>16798</v>
      </c>
      <c r="O1204" s="49" t="s">
        <v>28516</v>
      </c>
      <c r="P1204" s="49" t="s">
        <v>28558</v>
      </c>
      <c r="Q1204" s="49" t="s">
        <v>28600</v>
      </c>
      <c r="R1204" s="49" t="s">
        <v>28642</v>
      </c>
      <c r="S1204" s="49" t="s">
        <v>28684</v>
      </c>
      <c r="T1204" s="49" t="s">
        <v>28726</v>
      </c>
    </row>
    <row r="1205" spans="1:20" x14ac:dyDescent="0.2">
      <c r="A1205" s="49" t="s">
        <v>30</v>
      </c>
      <c r="D1205" s="49" t="s">
        <v>16799</v>
      </c>
      <c r="G1205" s="49" t="s">
        <v>16800</v>
      </c>
      <c r="H1205" s="49" t="s">
        <v>28433</v>
      </c>
      <c r="I1205" s="49" t="s">
        <v>28475</v>
      </c>
      <c r="J1205" s="49" t="s">
        <v>28769</v>
      </c>
      <c r="K1205" s="49" t="s">
        <v>28811</v>
      </c>
      <c r="L1205" s="49" t="s">
        <v>16801</v>
      </c>
      <c r="M1205" s="49" t="s">
        <v>16802</v>
      </c>
      <c r="N1205" s="49" t="s">
        <v>16803</v>
      </c>
      <c r="O1205" s="49" t="s">
        <v>28517</v>
      </c>
      <c r="P1205" s="49" t="s">
        <v>28559</v>
      </c>
      <c r="Q1205" s="49" t="s">
        <v>28601</v>
      </c>
      <c r="R1205" s="49" t="s">
        <v>28643</v>
      </c>
      <c r="S1205" s="49" t="s">
        <v>28685</v>
      </c>
      <c r="T1205" s="49" t="s">
        <v>28727</v>
      </c>
    </row>
    <row r="1206" spans="1:20" x14ac:dyDescent="0.2">
      <c r="A1206" s="49" t="s">
        <v>30</v>
      </c>
      <c r="D1206" s="49" t="s">
        <v>16804</v>
      </c>
      <c r="G1206" s="49" t="s">
        <v>16805</v>
      </c>
      <c r="H1206" s="49" t="s">
        <v>28434</v>
      </c>
      <c r="I1206" s="49" t="s">
        <v>28476</v>
      </c>
      <c r="J1206" s="49" t="s">
        <v>28770</v>
      </c>
      <c r="K1206" s="49" t="s">
        <v>28812</v>
      </c>
      <c r="L1206" s="49" t="s">
        <v>16806</v>
      </c>
      <c r="M1206" s="49" t="s">
        <v>16807</v>
      </c>
      <c r="N1206" s="49" t="s">
        <v>16808</v>
      </c>
      <c r="O1206" s="49" t="s">
        <v>28518</v>
      </c>
      <c r="P1206" s="49" t="s">
        <v>28560</v>
      </c>
      <c r="Q1206" s="49" t="s">
        <v>28602</v>
      </c>
      <c r="R1206" s="49" t="s">
        <v>28644</v>
      </c>
      <c r="S1206" s="49" t="s">
        <v>28686</v>
      </c>
      <c r="T1206" s="49" t="s">
        <v>28728</v>
      </c>
    </row>
    <row r="1207" spans="1:20" x14ac:dyDescent="0.2">
      <c r="A1207" s="49" t="s">
        <v>30</v>
      </c>
      <c r="D1207" s="49" t="s">
        <v>16809</v>
      </c>
      <c r="G1207" s="49" t="s">
        <v>16810</v>
      </c>
      <c r="H1207" s="49" t="s">
        <v>28435</v>
      </c>
      <c r="I1207" s="49" t="s">
        <v>28477</v>
      </c>
      <c r="J1207" s="49" t="s">
        <v>28771</v>
      </c>
      <c r="K1207" s="49" t="s">
        <v>28813</v>
      </c>
      <c r="L1207" s="49" t="s">
        <v>16811</v>
      </c>
      <c r="M1207" s="49" t="s">
        <v>16812</v>
      </c>
      <c r="N1207" s="49" t="s">
        <v>16813</v>
      </c>
      <c r="O1207" s="49" t="s">
        <v>28519</v>
      </c>
      <c r="P1207" s="49" t="s">
        <v>28561</v>
      </c>
      <c r="Q1207" s="49" t="s">
        <v>28603</v>
      </c>
      <c r="R1207" s="49" t="s">
        <v>28645</v>
      </c>
      <c r="S1207" s="49" t="s">
        <v>28687</v>
      </c>
      <c r="T1207" s="49" t="s">
        <v>28729</v>
      </c>
    </row>
    <row r="1208" spans="1:20" x14ac:dyDescent="0.2">
      <c r="A1208" s="49" t="s">
        <v>30</v>
      </c>
      <c r="D1208" s="49" t="s">
        <v>16814</v>
      </c>
      <c r="G1208" s="49" t="s">
        <v>16815</v>
      </c>
      <c r="H1208" s="49" t="s">
        <v>28436</v>
      </c>
      <c r="I1208" s="49" t="s">
        <v>28478</v>
      </c>
      <c r="J1208" s="49" t="s">
        <v>28772</v>
      </c>
      <c r="K1208" s="49" t="s">
        <v>28814</v>
      </c>
      <c r="L1208" s="49" t="s">
        <v>16816</v>
      </c>
      <c r="M1208" s="49" t="s">
        <v>16817</v>
      </c>
      <c r="N1208" s="49" t="s">
        <v>16818</v>
      </c>
      <c r="O1208" s="49" t="s">
        <v>28520</v>
      </c>
      <c r="P1208" s="49" t="s">
        <v>28562</v>
      </c>
      <c r="Q1208" s="49" t="s">
        <v>28604</v>
      </c>
      <c r="R1208" s="49" t="s">
        <v>28646</v>
      </c>
      <c r="S1208" s="49" t="s">
        <v>28688</v>
      </c>
      <c r="T1208" s="49" t="s">
        <v>28730</v>
      </c>
    </row>
    <row r="1209" spans="1:20" x14ac:dyDescent="0.2">
      <c r="A1209" s="49" t="s">
        <v>30</v>
      </c>
      <c r="D1209" s="49" t="s">
        <v>16819</v>
      </c>
      <c r="G1209" s="49" t="s">
        <v>16820</v>
      </c>
      <c r="H1209" s="49" t="s">
        <v>28437</v>
      </c>
      <c r="I1209" s="49" t="s">
        <v>28479</v>
      </c>
      <c r="J1209" s="49" t="s">
        <v>28773</v>
      </c>
      <c r="K1209" s="49" t="s">
        <v>28815</v>
      </c>
      <c r="L1209" s="49" t="s">
        <v>16821</v>
      </c>
      <c r="M1209" s="49" t="s">
        <v>16822</v>
      </c>
      <c r="N1209" s="49" t="s">
        <v>16823</v>
      </c>
      <c r="O1209" s="49" t="s">
        <v>28521</v>
      </c>
      <c r="P1209" s="49" t="s">
        <v>28563</v>
      </c>
      <c r="Q1209" s="49" t="s">
        <v>28605</v>
      </c>
      <c r="R1209" s="49" t="s">
        <v>28647</v>
      </c>
      <c r="S1209" s="49" t="s">
        <v>28689</v>
      </c>
      <c r="T1209" s="49" t="s">
        <v>28731</v>
      </c>
    </row>
    <row r="1210" spans="1:20" x14ac:dyDescent="0.2">
      <c r="A1210" s="49" t="s">
        <v>30</v>
      </c>
      <c r="D1210" s="49" t="s">
        <v>16824</v>
      </c>
      <c r="G1210" s="49" t="s">
        <v>16825</v>
      </c>
      <c r="H1210" s="49" t="s">
        <v>28438</v>
      </c>
      <c r="I1210" s="49" t="s">
        <v>28480</v>
      </c>
      <c r="J1210" s="49" t="s">
        <v>28774</v>
      </c>
      <c r="K1210" s="49" t="s">
        <v>28816</v>
      </c>
      <c r="L1210" s="49" t="s">
        <v>16826</v>
      </c>
      <c r="M1210" s="49" t="s">
        <v>16827</v>
      </c>
      <c r="N1210" s="49" t="s">
        <v>16828</v>
      </c>
      <c r="O1210" s="49" t="s">
        <v>28522</v>
      </c>
      <c r="P1210" s="49" t="s">
        <v>28564</v>
      </c>
      <c r="Q1210" s="49" t="s">
        <v>28606</v>
      </c>
      <c r="R1210" s="49" t="s">
        <v>28648</v>
      </c>
      <c r="S1210" s="49" t="s">
        <v>28690</v>
      </c>
      <c r="T1210" s="49" t="s">
        <v>28732</v>
      </c>
    </row>
    <row r="1211" spans="1:20" x14ac:dyDescent="0.2">
      <c r="A1211" s="49" t="s">
        <v>30</v>
      </c>
      <c r="D1211" s="49" t="s">
        <v>16829</v>
      </c>
      <c r="G1211" s="49" t="s">
        <v>16830</v>
      </c>
      <c r="H1211" s="49" t="s">
        <v>28439</v>
      </c>
      <c r="I1211" s="49" t="s">
        <v>28481</v>
      </c>
      <c r="J1211" s="49" t="s">
        <v>28775</v>
      </c>
      <c r="K1211" s="49" t="s">
        <v>28817</v>
      </c>
      <c r="L1211" s="49" t="s">
        <v>16831</v>
      </c>
      <c r="M1211" s="49" t="s">
        <v>16832</v>
      </c>
      <c r="N1211" s="49" t="s">
        <v>16833</v>
      </c>
      <c r="O1211" s="49" t="s">
        <v>28523</v>
      </c>
      <c r="P1211" s="49" t="s">
        <v>28565</v>
      </c>
      <c r="Q1211" s="49" t="s">
        <v>28607</v>
      </c>
      <c r="R1211" s="49" t="s">
        <v>28649</v>
      </c>
      <c r="S1211" s="49" t="s">
        <v>28691</v>
      </c>
      <c r="T1211" s="49" t="s">
        <v>28733</v>
      </c>
    </row>
    <row r="1212" spans="1:20" x14ac:dyDescent="0.2">
      <c r="A1212" s="49" t="s">
        <v>30</v>
      </c>
      <c r="D1212" s="49" t="s">
        <v>16834</v>
      </c>
      <c r="G1212" s="49" t="s">
        <v>16835</v>
      </c>
      <c r="H1212" s="49" t="s">
        <v>28440</v>
      </c>
      <c r="I1212" s="49" t="s">
        <v>28482</v>
      </c>
      <c r="J1212" s="49" t="s">
        <v>28776</v>
      </c>
      <c r="K1212" s="49" t="s">
        <v>28818</v>
      </c>
      <c r="L1212" s="49" t="s">
        <v>16836</v>
      </c>
      <c r="M1212" s="49" t="s">
        <v>16837</v>
      </c>
      <c r="N1212" s="49" t="s">
        <v>16838</v>
      </c>
      <c r="O1212" s="49" t="s">
        <v>28524</v>
      </c>
      <c r="P1212" s="49" t="s">
        <v>28566</v>
      </c>
      <c r="Q1212" s="49" t="s">
        <v>28608</v>
      </c>
      <c r="R1212" s="49" t="s">
        <v>28650</v>
      </c>
      <c r="S1212" s="49" t="s">
        <v>28692</v>
      </c>
      <c r="T1212" s="49" t="s">
        <v>28734</v>
      </c>
    </row>
    <row r="1213" spans="1:20" x14ac:dyDescent="0.2">
      <c r="A1213" s="49" t="s">
        <v>30</v>
      </c>
      <c r="D1213" s="49" t="s">
        <v>16839</v>
      </c>
      <c r="G1213" s="49" t="s">
        <v>16840</v>
      </c>
      <c r="H1213" s="49" t="s">
        <v>28441</v>
      </c>
      <c r="I1213" s="49" t="s">
        <v>28483</v>
      </c>
      <c r="J1213" s="49" t="s">
        <v>28777</v>
      </c>
      <c r="K1213" s="49" t="s">
        <v>28819</v>
      </c>
      <c r="L1213" s="49" t="s">
        <v>16841</v>
      </c>
      <c r="M1213" s="49" t="s">
        <v>16842</v>
      </c>
      <c r="N1213" s="49" t="s">
        <v>16843</v>
      </c>
      <c r="O1213" s="49" t="s">
        <v>28525</v>
      </c>
      <c r="P1213" s="49" t="s">
        <v>28567</v>
      </c>
      <c r="Q1213" s="49" t="s">
        <v>28609</v>
      </c>
      <c r="R1213" s="49" t="s">
        <v>28651</v>
      </c>
      <c r="S1213" s="49" t="s">
        <v>28693</v>
      </c>
      <c r="T1213" s="49" t="s">
        <v>28735</v>
      </c>
    </row>
    <row r="1214" spans="1:20" x14ac:dyDescent="0.2">
      <c r="A1214" s="49" t="s">
        <v>30</v>
      </c>
      <c r="D1214" s="49" t="s">
        <v>16844</v>
      </c>
      <c r="G1214" s="49" t="s">
        <v>16845</v>
      </c>
      <c r="H1214" s="49" t="s">
        <v>28442</v>
      </c>
      <c r="I1214" s="49" t="s">
        <v>28484</v>
      </c>
      <c r="J1214" s="49" t="s">
        <v>28778</v>
      </c>
      <c r="K1214" s="49" t="s">
        <v>28820</v>
      </c>
      <c r="L1214" s="49" t="s">
        <v>16846</v>
      </c>
      <c r="M1214" s="49" t="s">
        <v>16847</v>
      </c>
      <c r="N1214" s="49" t="s">
        <v>16848</v>
      </c>
      <c r="O1214" s="49" t="s">
        <v>28526</v>
      </c>
      <c r="P1214" s="49" t="s">
        <v>28568</v>
      </c>
      <c r="Q1214" s="49" t="s">
        <v>28610</v>
      </c>
      <c r="R1214" s="49" t="s">
        <v>28652</v>
      </c>
      <c r="S1214" s="49" t="s">
        <v>28694</v>
      </c>
      <c r="T1214" s="49" t="s">
        <v>28736</v>
      </c>
    </row>
    <row r="1215" spans="1:20" x14ac:dyDescent="0.2">
      <c r="A1215" s="49" t="s">
        <v>30</v>
      </c>
      <c r="D1215" s="49" t="s">
        <v>16849</v>
      </c>
      <c r="G1215" s="49" t="s">
        <v>16850</v>
      </c>
      <c r="H1215" s="49" t="s">
        <v>28443</v>
      </c>
      <c r="I1215" s="49" t="s">
        <v>28485</v>
      </c>
      <c r="J1215" s="49" t="s">
        <v>28779</v>
      </c>
      <c r="K1215" s="49" t="s">
        <v>28821</v>
      </c>
      <c r="L1215" s="49" t="s">
        <v>16851</v>
      </c>
      <c r="M1215" s="49" t="s">
        <v>16852</v>
      </c>
      <c r="N1215" s="49" t="s">
        <v>16853</v>
      </c>
      <c r="O1215" s="49" t="s">
        <v>28527</v>
      </c>
      <c r="P1215" s="49" t="s">
        <v>28569</v>
      </c>
      <c r="Q1215" s="49" t="s">
        <v>28611</v>
      </c>
      <c r="R1215" s="49" t="s">
        <v>28653</v>
      </c>
      <c r="S1215" s="49" t="s">
        <v>28695</v>
      </c>
      <c r="T1215" s="49" t="s">
        <v>28737</v>
      </c>
    </row>
    <row r="1216" spans="1:20" x14ac:dyDescent="0.2">
      <c r="A1216" s="49" t="s">
        <v>30</v>
      </c>
      <c r="D1216" s="49" t="s">
        <v>16854</v>
      </c>
      <c r="G1216" s="49" t="s">
        <v>16855</v>
      </c>
      <c r="H1216" s="49" t="s">
        <v>28444</v>
      </c>
      <c r="I1216" s="49" t="s">
        <v>28486</v>
      </c>
      <c r="J1216" s="49" t="s">
        <v>28780</v>
      </c>
      <c r="K1216" s="49" t="s">
        <v>28822</v>
      </c>
      <c r="L1216" s="49" t="s">
        <v>16856</v>
      </c>
      <c r="M1216" s="49" t="s">
        <v>16857</v>
      </c>
      <c r="N1216" s="49" t="s">
        <v>16858</v>
      </c>
      <c r="O1216" s="49" t="s">
        <v>28528</v>
      </c>
      <c r="P1216" s="49" t="s">
        <v>28570</v>
      </c>
      <c r="Q1216" s="49" t="s">
        <v>28612</v>
      </c>
      <c r="R1216" s="49" t="s">
        <v>28654</v>
      </c>
      <c r="S1216" s="49" t="s">
        <v>28696</v>
      </c>
      <c r="T1216" s="49" t="s">
        <v>28738</v>
      </c>
    </row>
    <row r="1217" spans="1:21" x14ac:dyDescent="0.2">
      <c r="A1217" s="49" t="s">
        <v>30</v>
      </c>
      <c r="D1217" s="49" t="s">
        <v>16859</v>
      </c>
      <c r="G1217" s="49" t="s">
        <v>16860</v>
      </c>
      <c r="H1217" s="49" t="s">
        <v>28445</v>
      </c>
      <c r="I1217" s="49" t="s">
        <v>28487</v>
      </c>
      <c r="J1217" s="49" t="s">
        <v>28781</v>
      </c>
      <c r="K1217" s="49" t="s">
        <v>28823</v>
      </c>
      <c r="L1217" s="49" t="s">
        <v>16861</v>
      </c>
      <c r="M1217" s="49" t="s">
        <v>16862</v>
      </c>
      <c r="N1217" s="49" t="s">
        <v>16863</v>
      </c>
      <c r="O1217" s="49" t="s">
        <v>28529</v>
      </c>
      <c r="P1217" s="49" t="s">
        <v>28571</v>
      </c>
      <c r="Q1217" s="49" t="s">
        <v>28613</v>
      </c>
      <c r="R1217" s="49" t="s">
        <v>28655</v>
      </c>
      <c r="S1217" s="49" t="s">
        <v>28697</v>
      </c>
      <c r="T1217" s="49" t="s">
        <v>28739</v>
      </c>
    </row>
    <row r="1218" spans="1:21" x14ac:dyDescent="0.2">
      <c r="A1218" s="49" t="s">
        <v>30</v>
      </c>
      <c r="D1218" s="49" t="s">
        <v>16864</v>
      </c>
      <c r="G1218" s="49" t="s">
        <v>16865</v>
      </c>
      <c r="H1218" s="49" t="s">
        <v>28446</v>
      </c>
      <c r="I1218" s="49" t="s">
        <v>28488</v>
      </c>
      <c r="J1218" s="49" t="s">
        <v>28782</v>
      </c>
      <c r="K1218" s="49" t="s">
        <v>28824</v>
      </c>
      <c r="L1218" s="49" t="s">
        <v>16866</v>
      </c>
      <c r="M1218" s="49" t="s">
        <v>16867</v>
      </c>
      <c r="N1218" s="49" t="s">
        <v>16868</v>
      </c>
      <c r="O1218" s="49" t="s">
        <v>28530</v>
      </c>
      <c r="P1218" s="49" t="s">
        <v>28572</v>
      </c>
      <c r="Q1218" s="49" t="s">
        <v>28614</v>
      </c>
      <c r="R1218" s="49" t="s">
        <v>28656</v>
      </c>
      <c r="S1218" s="49" t="s">
        <v>28698</v>
      </c>
      <c r="T1218" s="49" t="s">
        <v>28740</v>
      </c>
    </row>
    <row r="1219" spans="1:21" x14ac:dyDescent="0.2">
      <c r="A1219" s="49" t="s">
        <v>30</v>
      </c>
      <c r="D1219" s="49" t="s">
        <v>16869</v>
      </c>
      <c r="G1219" s="49" t="s">
        <v>16870</v>
      </c>
      <c r="H1219" s="49" t="s">
        <v>28447</v>
      </c>
      <c r="I1219" s="49" t="s">
        <v>28489</v>
      </c>
      <c r="J1219" s="49" t="s">
        <v>28783</v>
      </c>
      <c r="K1219" s="49" t="s">
        <v>28825</v>
      </c>
      <c r="L1219" s="49" t="s">
        <v>16871</v>
      </c>
      <c r="M1219" s="49" t="s">
        <v>16872</v>
      </c>
      <c r="N1219" s="49" t="s">
        <v>16873</v>
      </c>
      <c r="O1219" s="49" t="s">
        <v>28531</v>
      </c>
      <c r="P1219" s="49" t="s">
        <v>28573</v>
      </c>
      <c r="Q1219" s="49" t="s">
        <v>28615</v>
      </c>
      <c r="R1219" s="49" t="s">
        <v>28657</v>
      </c>
      <c r="S1219" s="49" t="s">
        <v>28699</v>
      </c>
      <c r="T1219" s="49" t="s">
        <v>28741</v>
      </c>
    </row>
    <row r="1220" spans="1:21" x14ac:dyDescent="0.2">
      <c r="A1220" s="49" t="s">
        <v>30</v>
      </c>
      <c r="D1220" s="49" t="s">
        <v>16874</v>
      </c>
      <c r="G1220" s="49" t="s">
        <v>16875</v>
      </c>
      <c r="H1220" s="49" t="s">
        <v>28448</v>
      </c>
      <c r="I1220" s="49" t="s">
        <v>28490</v>
      </c>
      <c r="J1220" s="49" t="s">
        <v>28784</v>
      </c>
      <c r="K1220" s="49" t="s">
        <v>28826</v>
      </c>
      <c r="L1220" s="49" t="s">
        <v>16876</v>
      </c>
      <c r="M1220" s="49" t="s">
        <v>16877</v>
      </c>
      <c r="N1220" s="49" t="s">
        <v>16878</v>
      </c>
      <c r="O1220" s="49" t="s">
        <v>28532</v>
      </c>
      <c r="P1220" s="49" t="s">
        <v>28574</v>
      </c>
      <c r="Q1220" s="49" t="s">
        <v>28616</v>
      </c>
      <c r="R1220" s="49" t="s">
        <v>28658</v>
      </c>
      <c r="S1220" s="49" t="s">
        <v>28700</v>
      </c>
      <c r="T1220" s="49" t="s">
        <v>28742</v>
      </c>
    </row>
    <row r="1221" spans="1:21" x14ac:dyDescent="0.2">
      <c r="A1221" s="49" t="s">
        <v>30</v>
      </c>
      <c r="D1221" s="49" t="s">
        <v>16879</v>
      </c>
      <c r="G1221" s="49" t="s">
        <v>16880</v>
      </c>
      <c r="H1221" s="49" t="s">
        <v>28449</v>
      </c>
      <c r="I1221" s="49" t="s">
        <v>28491</v>
      </c>
      <c r="J1221" s="49" t="s">
        <v>28785</v>
      </c>
      <c r="K1221" s="49" t="s">
        <v>28827</v>
      </c>
      <c r="L1221" s="49" t="s">
        <v>16881</v>
      </c>
      <c r="M1221" s="49" t="s">
        <v>16882</v>
      </c>
      <c r="N1221" s="49" t="s">
        <v>16883</v>
      </c>
      <c r="O1221" s="49" t="s">
        <v>28533</v>
      </c>
      <c r="P1221" s="49" t="s">
        <v>28575</v>
      </c>
      <c r="Q1221" s="49" t="s">
        <v>28617</v>
      </c>
      <c r="R1221" s="49" t="s">
        <v>28659</v>
      </c>
      <c r="S1221" s="49" t="s">
        <v>28701</v>
      </c>
      <c r="T1221" s="49" t="s">
        <v>28743</v>
      </c>
    </row>
    <row r="1222" spans="1:21" x14ac:dyDescent="0.2">
      <c r="A1222" s="49" t="s">
        <v>30</v>
      </c>
      <c r="D1222" s="49" t="s">
        <v>16884</v>
      </c>
      <c r="G1222" s="49" t="s">
        <v>16885</v>
      </c>
      <c r="H1222" s="49" t="s">
        <v>28450</v>
      </c>
      <c r="I1222" s="49" t="s">
        <v>28492</v>
      </c>
      <c r="J1222" s="49" t="s">
        <v>28786</v>
      </c>
      <c r="K1222" s="49" t="s">
        <v>28828</v>
      </c>
      <c r="L1222" s="49" t="s">
        <v>16886</v>
      </c>
      <c r="M1222" s="49" t="s">
        <v>16887</v>
      </c>
      <c r="N1222" s="49" t="s">
        <v>16888</v>
      </c>
      <c r="O1222" s="49" t="s">
        <v>28534</v>
      </c>
      <c r="P1222" s="49" t="s">
        <v>28576</v>
      </c>
      <c r="Q1222" s="49" t="s">
        <v>28618</v>
      </c>
      <c r="R1222" s="49" t="s">
        <v>28660</v>
      </c>
      <c r="S1222" s="49" t="s">
        <v>28702</v>
      </c>
      <c r="T1222" s="49" t="s">
        <v>28744</v>
      </c>
    </row>
    <row r="1223" spans="1:21" x14ac:dyDescent="0.2">
      <c r="A1223" s="49" t="s">
        <v>30</v>
      </c>
      <c r="D1223" s="49" t="s">
        <v>16889</v>
      </c>
      <c r="G1223" s="49" t="s">
        <v>16890</v>
      </c>
      <c r="H1223" s="49" t="s">
        <v>28451</v>
      </c>
      <c r="I1223" s="49" t="s">
        <v>28493</v>
      </c>
      <c r="J1223" s="49" t="s">
        <v>28787</v>
      </c>
      <c r="K1223" s="49" t="s">
        <v>28829</v>
      </c>
      <c r="L1223" s="49" t="s">
        <v>16891</v>
      </c>
      <c r="M1223" s="49" t="s">
        <v>16892</v>
      </c>
      <c r="N1223" s="49" t="s">
        <v>16893</v>
      </c>
      <c r="O1223" s="49" t="s">
        <v>28535</v>
      </c>
      <c r="P1223" s="49" t="s">
        <v>28577</v>
      </c>
      <c r="Q1223" s="49" t="s">
        <v>28619</v>
      </c>
      <c r="R1223" s="49" t="s">
        <v>28661</v>
      </c>
      <c r="S1223" s="49" t="s">
        <v>28703</v>
      </c>
      <c r="T1223" s="49" t="s">
        <v>28745</v>
      </c>
    </row>
    <row r="1224" spans="1:21" x14ac:dyDescent="0.2">
      <c r="A1224" s="49" t="s">
        <v>30</v>
      </c>
      <c r="D1224" s="49" t="s">
        <v>16894</v>
      </c>
      <c r="G1224" s="49" t="s">
        <v>16895</v>
      </c>
      <c r="H1224" s="49" t="s">
        <v>28452</v>
      </c>
      <c r="I1224" s="49" t="s">
        <v>28494</v>
      </c>
      <c r="J1224" s="49" t="s">
        <v>28788</v>
      </c>
      <c r="K1224" s="49" t="s">
        <v>28830</v>
      </c>
      <c r="L1224" s="49" t="s">
        <v>16896</v>
      </c>
      <c r="M1224" s="49" t="s">
        <v>16897</v>
      </c>
      <c r="N1224" s="49" t="s">
        <v>16898</v>
      </c>
      <c r="O1224" s="49" t="s">
        <v>28536</v>
      </c>
      <c r="P1224" s="49" t="s">
        <v>28578</v>
      </c>
      <c r="Q1224" s="49" t="s">
        <v>28620</v>
      </c>
      <c r="R1224" s="49" t="s">
        <v>28662</v>
      </c>
      <c r="S1224" s="49" t="s">
        <v>28704</v>
      </c>
      <c r="T1224" s="49" t="s">
        <v>28746</v>
      </c>
    </row>
    <row r="1225" spans="1:21" x14ac:dyDescent="0.2">
      <c r="A1225" s="49" t="s">
        <v>30</v>
      </c>
      <c r="D1225" s="49" t="s">
        <v>16899</v>
      </c>
      <c r="G1225" s="49" t="s">
        <v>16900</v>
      </c>
      <c r="H1225" s="49" t="s">
        <v>28453</v>
      </c>
      <c r="I1225" s="49" t="s">
        <v>28495</v>
      </c>
      <c r="J1225" s="49" t="s">
        <v>28789</v>
      </c>
      <c r="K1225" s="49" t="s">
        <v>28831</v>
      </c>
      <c r="L1225" s="49" t="s">
        <v>16901</v>
      </c>
      <c r="M1225" s="49" t="s">
        <v>16902</v>
      </c>
      <c r="N1225" s="49" t="s">
        <v>16903</v>
      </c>
      <c r="O1225" s="49" t="s">
        <v>28537</v>
      </c>
      <c r="P1225" s="49" t="s">
        <v>28579</v>
      </c>
      <c r="Q1225" s="49" t="s">
        <v>28621</v>
      </c>
      <c r="R1225" s="49" t="s">
        <v>28663</v>
      </c>
      <c r="S1225" s="49" t="s">
        <v>28705</v>
      </c>
      <c r="T1225" s="49" t="s">
        <v>28747</v>
      </c>
    </row>
    <row r="1226" spans="1:21" x14ac:dyDescent="0.2">
      <c r="A1226" s="49" t="s">
        <v>30</v>
      </c>
      <c r="D1226" s="49" t="s">
        <v>16904</v>
      </c>
      <c r="G1226" s="49" t="s">
        <v>16905</v>
      </c>
      <c r="H1226" s="49" t="s">
        <v>28454</v>
      </c>
      <c r="I1226" s="49" t="s">
        <v>28496</v>
      </c>
      <c r="J1226" s="49" t="s">
        <v>28790</v>
      </c>
      <c r="K1226" s="49" t="s">
        <v>28832</v>
      </c>
      <c r="L1226" s="49" t="s">
        <v>16906</v>
      </c>
      <c r="M1226" s="49" t="s">
        <v>16907</v>
      </c>
      <c r="N1226" s="49" t="s">
        <v>16908</v>
      </c>
      <c r="O1226" s="49" t="s">
        <v>28538</v>
      </c>
      <c r="P1226" s="49" t="s">
        <v>28580</v>
      </c>
      <c r="Q1226" s="49" t="s">
        <v>28622</v>
      </c>
      <c r="R1226" s="49" t="s">
        <v>28664</v>
      </c>
      <c r="S1226" s="49" t="s">
        <v>28706</v>
      </c>
      <c r="T1226" s="49" t="s">
        <v>28748</v>
      </c>
    </row>
    <row r="1227" spans="1:21" x14ac:dyDescent="0.2">
      <c r="A1227" s="49" t="s">
        <v>30</v>
      </c>
      <c r="D1227" s="49" t="s">
        <v>16909</v>
      </c>
      <c r="G1227" s="49" t="s">
        <v>16910</v>
      </c>
      <c r="H1227" s="49" t="s">
        <v>28455</v>
      </c>
      <c r="I1227" s="49" t="s">
        <v>28497</v>
      </c>
      <c r="J1227" s="49" t="s">
        <v>28791</v>
      </c>
      <c r="K1227" s="49" t="s">
        <v>28833</v>
      </c>
      <c r="L1227" s="49" t="s">
        <v>16911</v>
      </c>
      <c r="M1227" s="49" t="s">
        <v>16912</v>
      </c>
      <c r="N1227" s="49" t="s">
        <v>16913</v>
      </c>
      <c r="O1227" s="49" t="s">
        <v>28539</v>
      </c>
      <c r="P1227" s="49" t="s">
        <v>28581</v>
      </c>
      <c r="Q1227" s="49" t="s">
        <v>28623</v>
      </c>
      <c r="R1227" s="49" t="s">
        <v>28665</v>
      </c>
      <c r="S1227" s="49" t="s">
        <v>28707</v>
      </c>
      <c r="T1227" s="49" t="s">
        <v>28749</v>
      </c>
    </row>
    <row r="1228" spans="1:21" x14ac:dyDescent="0.2">
      <c r="A1228" s="49" t="s">
        <v>30</v>
      </c>
      <c r="D1228" s="49" t="s">
        <v>16914</v>
      </c>
      <c r="G1228" s="49" t="s">
        <v>16915</v>
      </c>
      <c r="H1228" s="49" t="s">
        <v>28456</v>
      </c>
      <c r="I1228" s="49" t="s">
        <v>28498</v>
      </c>
      <c r="J1228" s="49" t="s">
        <v>28792</v>
      </c>
      <c r="K1228" s="49" t="s">
        <v>28834</v>
      </c>
      <c r="L1228" s="49" t="s">
        <v>16916</v>
      </c>
      <c r="M1228" s="49" t="s">
        <v>16917</v>
      </c>
      <c r="N1228" s="49" t="s">
        <v>16918</v>
      </c>
      <c r="O1228" s="49" t="s">
        <v>28540</v>
      </c>
      <c r="P1228" s="49" t="s">
        <v>28582</v>
      </c>
      <c r="Q1228" s="49" t="s">
        <v>28624</v>
      </c>
      <c r="R1228" s="49" t="s">
        <v>28666</v>
      </c>
      <c r="S1228" s="49" t="s">
        <v>28708</v>
      </c>
      <c r="T1228" s="49" t="s">
        <v>28750</v>
      </c>
    </row>
    <row r="1229" spans="1:21" x14ac:dyDescent="0.2">
      <c r="A1229" s="49" t="s">
        <v>30</v>
      </c>
      <c r="D1229" s="49" t="s">
        <v>16919</v>
      </c>
      <c r="G1229" s="49" t="s">
        <v>16920</v>
      </c>
      <c r="H1229" s="49" t="s">
        <v>28457</v>
      </c>
      <c r="I1229" s="49" t="s">
        <v>28499</v>
      </c>
      <c r="J1229" s="49" t="s">
        <v>28793</v>
      </c>
      <c r="K1229" s="49" t="s">
        <v>28835</v>
      </c>
      <c r="L1229" s="49" t="s">
        <v>16921</v>
      </c>
      <c r="M1229" s="49" t="s">
        <v>16922</v>
      </c>
      <c r="N1229" s="49" t="s">
        <v>16923</v>
      </c>
      <c r="O1229" s="49" t="s">
        <v>28541</v>
      </c>
      <c r="P1229" s="49" t="s">
        <v>28583</v>
      </c>
      <c r="Q1229" s="49" t="s">
        <v>28625</v>
      </c>
      <c r="R1229" s="49" t="s">
        <v>28667</v>
      </c>
      <c r="S1229" s="49" t="s">
        <v>28709</v>
      </c>
      <c r="T1229" s="49" t="s">
        <v>28751</v>
      </c>
    </row>
    <row r="1230" spans="1:21" x14ac:dyDescent="0.2">
      <c r="A1230" s="49" t="s">
        <v>30</v>
      </c>
    </row>
    <row r="1231" spans="1:21" x14ac:dyDescent="0.2">
      <c r="A1231" s="49" t="s">
        <v>30</v>
      </c>
      <c r="E1231" s="49" t="s">
        <v>31</v>
      </c>
      <c r="F1231" s="49" t="s">
        <v>31</v>
      </c>
      <c r="G1231" s="49" t="s">
        <v>31</v>
      </c>
      <c r="J1231" s="49" t="s">
        <v>31</v>
      </c>
      <c r="K1231" s="49" t="s">
        <v>31</v>
      </c>
      <c r="L1231" s="49" t="s">
        <v>31</v>
      </c>
      <c r="M1231" s="49" t="s">
        <v>31</v>
      </c>
    </row>
    <row r="1232" spans="1:21" x14ac:dyDescent="0.2">
      <c r="A1232" s="49" t="s">
        <v>30</v>
      </c>
      <c r="D1232" s="49" t="s">
        <v>16924</v>
      </c>
      <c r="E1232" s="49" t="s">
        <v>6962</v>
      </c>
      <c r="F1232" s="49" t="s">
        <v>16925</v>
      </c>
      <c r="H1232" s="49" t="s">
        <v>16926</v>
      </c>
      <c r="O1232" s="49" t="s">
        <v>16927</v>
      </c>
      <c r="P1232" s="49" t="s">
        <v>16928</v>
      </c>
      <c r="Q1232" s="49" t="s">
        <v>16929</v>
      </c>
      <c r="R1232" s="49" t="s">
        <v>16930</v>
      </c>
      <c r="S1232" s="49" t="s">
        <v>16931</v>
      </c>
      <c r="T1232" s="49" t="s">
        <v>16932</v>
      </c>
      <c r="U1232" s="49" t="s">
        <v>16933</v>
      </c>
    </row>
    <row r="1233" spans="1:20" x14ac:dyDescent="0.2">
      <c r="A1233" s="49" t="s">
        <v>30</v>
      </c>
      <c r="D1233" s="49" t="s">
        <v>16934</v>
      </c>
      <c r="G1233" s="49" t="s">
        <v>16935</v>
      </c>
      <c r="H1233" s="49" t="s">
        <v>28236</v>
      </c>
      <c r="I1233" s="49" t="s">
        <v>28254</v>
      </c>
      <c r="J1233" s="49" t="s">
        <v>28380</v>
      </c>
      <c r="K1233" s="49" t="s">
        <v>28398</v>
      </c>
      <c r="L1233" s="49" t="s">
        <v>16936</v>
      </c>
      <c r="M1233" s="49" t="s">
        <v>16937</v>
      </c>
      <c r="N1233" s="49" t="s">
        <v>16938</v>
      </c>
      <c r="O1233" s="49" t="s">
        <v>28272</v>
      </c>
      <c r="P1233" s="49" t="s">
        <v>28290</v>
      </c>
      <c r="Q1233" s="49" t="s">
        <v>28308</v>
      </c>
      <c r="R1233" s="49" t="s">
        <v>28326</v>
      </c>
      <c r="S1233" s="49" t="s">
        <v>28344</v>
      </c>
      <c r="T1233" s="49" t="s">
        <v>28362</v>
      </c>
    </row>
    <row r="1234" spans="1:20" x14ac:dyDescent="0.2">
      <c r="A1234" s="49" t="s">
        <v>30</v>
      </c>
      <c r="D1234" s="49" t="s">
        <v>16939</v>
      </c>
      <c r="G1234" s="49" t="s">
        <v>16940</v>
      </c>
      <c r="H1234" s="49" t="s">
        <v>28237</v>
      </c>
      <c r="I1234" s="49" t="s">
        <v>28255</v>
      </c>
      <c r="J1234" s="49" t="s">
        <v>28381</v>
      </c>
      <c r="K1234" s="49" t="s">
        <v>28399</v>
      </c>
      <c r="L1234" s="49" t="s">
        <v>16941</v>
      </c>
      <c r="M1234" s="49" t="s">
        <v>16942</v>
      </c>
      <c r="N1234" s="49" t="s">
        <v>16943</v>
      </c>
      <c r="O1234" s="49" t="s">
        <v>28273</v>
      </c>
      <c r="P1234" s="49" t="s">
        <v>28291</v>
      </c>
      <c r="Q1234" s="49" t="s">
        <v>28309</v>
      </c>
      <c r="R1234" s="49" t="s">
        <v>28327</v>
      </c>
      <c r="S1234" s="49" t="s">
        <v>28345</v>
      </c>
      <c r="T1234" s="49" t="s">
        <v>28363</v>
      </c>
    </row>
    <row r="1235" spans="1:20" x14ac:dyDescent="0.2">
      <c r="A1235" s="49" t="s">
        <v>30</v>
      </c>
      <c r="D1235" s="49" t="s">
        <v>16944</v>
      </c>
      <c r="G1235" s="49" t="s">
        <v>16945</v>
      </c>
      <c r="H1235" s="49" t="s">
        <v>28238</v>
      </c>
      <c r="I1235" s="49" t="s">
        <v>28256</v>
      </c>
      <c r="J1235" s="49" t="s">
        <v>28382</v>
      </c>
      <c r="K1235" s="49" t="s">
        <v>28400</v>
      </c>
      <c r="L1235" s="49" t="s">
        <v>16946</v>
      </c>
      <c r="M1235" s="49" t="s">
        <v>16947</v>
      </c>
      <c r="N1235" s="49" t="s">
        <v>16948</v>
      </c>
      <c r="O1235" s="49" t="s">
        <v>28274</v>
      </c>
      <c r="P1235" s="49" t="s">
        <v>28292</v>
      </c>
      <c r="Q1235" s="49" t="s">
        <v>28310</v>
      </c>
      <c r="R1235" s="49" t="s">
        <v>28328</v>
      </c>
      <c r="S1235" s="49" t="s">
        <v>28346</v>
      </c>
      <c r="T1235" s="49" t="s">
        <v>28364</v>
      </c>
    </row>
    <row r="1236" spans="1:20" x14ac:dyDescent="0.2">
      <c r="A1236" s="49" t="s">
        <v>30</v>
      </c>
      <c r="D1236" s="49" t="s">
        <v>16949</v>
      </c>
      <c r="G1236" s="49" t="s">
        <v>16950</v>
      </c>
      <c r="H1236" s="49" t="s">
        <v>28239</v>
      </c>
      <c r="I1236" s="49" t="s">
        <v>28257</v>
      </c>
      <c r="J1236" s="49" t="s">
        <v>28383</v>
      </c>
      <c r="K1236" s="49" t="s">
        <v>28401</v>
      </c>
      <c r="L1236" s="49" t="s">
        <v>16951</v>
      </c>
      <c r="M1236" s="49" t="s">
        <v>16952</v>
      </c>
      <c r="N1236" s="49" t="s">
        <v>16953</v>
      </c>
      <c r="O1236" s="49" t="s">
        <v>28275</v>
      </c>
      <c r="P1236" s="49" t="s">
        <v>28293</v>
      </c>
      <c r="Q1236" s="49" t="s">
        <v>28311</v>
      </c>
      <c r="R1236" s="49" t="s">
        <v>28329</v>
      </c>
      <c r="S1236" s="49" t="s">
        <v>28347</v>
      </c>
      <c r="T1236" s="49" t="s">
        <v>28365</v>
      </c>
    </row>
    <row r="1237" spans="1:20" x14ac:dyDescent="0.2">
      <c r="A1237" s="49" t="s">
        <v>30</v>
      </c>
      <c r="D1237" s="49" t="s">
        <v>16954</v>
      </c>
      <c r="G1237" s="49" t="s">
        <v>16955</v>
      </c>
      <c r="H1237" s="49" t="s">
        <v>28240</v>
      </c>
      <c r="I1237" s="49" t="s">
        <v>28258</v>
      </c>
      <c r="J1237" s="49" t="s">
        <v>28384</v>
      </c>
      <c r="K1237" s="49" t="s">
        <v>28402</v>
      </c>
      <c r="L1237" s="49" t="s">
        <v>16956</v>
      </c>
      <c r="M1237" s="49" t="s">
        <v>16957</v>
      </c>
      <c r="N1237" s="49" t="s">
        <v>16958</v>
      </c>
      <c r="O1237" s="49" t="s">
        <v>28276</v>
      </c>
      <c r="P1237" s="49" t="s">
        <v>28294</v>
      </c>
      <c r="Q1237" s="49" t="s">
        <v>28312</v>
      </c>
      <c r="R1237" s="49" t="s">
        <v>28330</v>
      </c>
      <c r="S1237" s="49" t="s">
        <v>28348</v>
      </c>
      <c r="T1237" s="49" t="s">
        <v>28366</v>
      </c>
    </row>
    <row r="1238" spans="1:20" x14ac:dyDescent="0.2">
      <c r="A1238" s="49" t="s">
        <v>30</v>
      </c>
      <c r="D1238" s="49" t="s">
        <v>16959</v>
      </c>
      <c r="G1238" s="49" t="s">
        <v>16960</v>
      </c>
      <c r="H1238" s="49" t="s">
        <v>28241</v>
      </c>
      <c r="I1238" s="49" t="s">
        <v>28259</v>
      </c>
      <c r="J1238" s="49" t="s">
        <v>28385</v>
      </c>
      <c r="K1238" s="49" t="s">
        <v>28403</v>
      </c>
      <c r="L1238" s="49" t="s">
        <v>16961</v>
      </c>
      <c r="M1238" s="49" t="s">
        <v>16962</v>
      </c>
      <c r="N1238" s="49" t="s">
        <v>16963</v>
      </c>
      <c r="O1238" s="49" t="s">
        <v>28277</v>
      </c>
      <c r="P1238" s="49" t="s">
        <v>28295</v>
      </c>
      <c r="Q1238" s="49" t="s">
        <v>28313</v>
      </c>
      <c r="R1238" s="49" t="s">
        <v>28331</v>
      </c>
      <c r="S1238" s="49" t="s">
        <v>28349</v>
      </c>
      <c r="T1238" s="49" t="s">
        <v>28367</v>
      </c>
    </row>
    <row r="1239" spans="1:20" x14ac:dyDescent="0.2">
      <c r="A1239" s="49" t="s">
        <v>30</v>
      </c>
      <c r="D1239" s="49" t="s">
        <v>16964</v>
      </c>
      <c r="G1239" s="49" t="s">
        <v>16965</v>
      </c>
      <c r="H1239" s="49" t="s">
        <v>28242</v>
      </c>
      <c r="I1239" s="49" t="s">
        <v>28260</v>
      </c>
      <c r="J1239" s="49" t="s">
        <v>28386</v>
      </c>
      <c r="K1239" s="49" t="s">
        <v>28404</v>
      </c>
      <c r="L1239" s="49" t="s">
        <v>16966</v>
      </c>
      <c r="M1239" s="49" t="s">
        <v>16967</v>
      </c>
      <c r="N1239" s="49" t="s">
        <v>16968</v>
      </c>
      <c r="O1239" s="49" t="s">
        <v>28278</v>
      </c>
      <c r="P1239" s="49" t="s">
        <v>28296</v>
      </c>
      <c r="Q1239" s="49" t="s">
        <v>28314</v>
      </c>
      <c r="R1239" s="49" t="s">
        <v>28332</v>
      </c>
      <c r="S1239" s="49" t="s">
        <v>28350</v>
      </c>
      <c r="T1239" s="49" t="s">
        <v>28368</v>
      </c>
    </row>
    <row r="1240" spans="1:20" x14ac:dyDescent="0.2">
      <c r="A1240" s="49" t="s">
        <v>30</v>
      </c>
      <c r="D1240" s="49" t="s">
        <v>16969</v>
      </c>
      <c r="G1240" s="49" t="s">
        <v>16970</v>
      </c>
      <c r="H1240" s="49" t="s">
        <v>28243</v>
      </c>
      <c r="I1240" s="49" t="s">
        <v>28261</v>
      </c>
      <c r="J1240" s="49" t="s">
        <v>28387</v>
      </c>
      <c r="K1240" s="49" t="s">
        <v>28405</v>
      </c>
      <c r="L1240" s="49" t="s">
        <v>16971</v>
      </c>
      <c r="M1240" s="49" t="s">
        <v>16972</v>
      </c>
      <c r="N1240" s="49" t="s">
        <v>16973</v>
      </c>
      <c r="O1240" s="49" t="s">
        <v>28279</v>
      </c>
      <c r="P1240" s="49" t="s">
        <v>28297</v>
      </c>
      <c r="Q1240" s="49" t="s">
        <v>28315</v>
      </c>
      <c r="R1240" s="49" t="s">
        <v>28333</v>
      </c>
      <c r="S1240" s="49" t="s">
        <v>28351</v>
      </c>
      <c r="T1240" s="49" t="s">
        <v>28369</v>
      </c>
    </row>
    <row r="1241" spans="1:20" x14ac:dyDescent="0.2">
      <c r="A1241" s="49" t="s">
        <v>30</v>
      </c>
      <c r="D1241" s="49" t="s">
        <v>16974</v>
      </c>
      <c r="G1241" s="49" t="s">
        <v>16975</v>
      </c>
      <c r="H1241" s="49" t="s">
        <v>28244</v>
      </c>
      <c r="I1241" s="49" t="s">
        <v>28262</v>
      </c>
      <c r="J1241" s="49" t="s">
        <v>28388</v>
      </c>
      <c r="K1241" s="49" t="s">
        <v>28406</v>
      </c>
      <c r="L1241" s="49" t="s">
        <v>16976</v>
      </c>
      <c r="M1241" s="49" t="s">
        <v>16977</v>
      </c>
      <c r="N1241" s="49" t="s">
        <v>16978</v>
      </c>
      <c r="O1241" s="49" t="s">
        <v>28280</v>
      </c>
      <c r="P1241" s="49" t="s">
        <v>28298</v>
      </c>
      <c r="Q1241" s="49" t="s">
        <v>28316</v>
      </c>
      <c r="R1241" s="49" t="s">
        <v>28334</v>
      </c>
      <c r="S1241" s="49" t="s">
        <v>28352</v>
      </c>
      <c r="T1241" s="49" t="s">
        <v>28370</v>
      </c>
    </row>
    <row r="1242" spans="1:20" x14ac:dyDescent="0.2">
      <c r="A1242" s="49" t="s">
        <v>30</v>
      </c>
      <c r="D1242" s="49" t="s">
        <v>16979</v>
      </c>
      <c r="G1242" s="49" t="s">
        <v>16980</v>
      </c>
      <c r="H1242" s="49" t="s">
        <v>28245</v>
      </c>
      <c r="I1242" s="49" t="s">
        <v>28263</v>
      </c>
      <c r="J1242" s="49" t="s">
        <v>28389</v>
      </c>
      <c r="K1242" s="49" t="s">
        <v>28407</v>
      </c>
      <c r="L1242" s="49" t="s">
        <v>16981</v>
      </c>
      <c r="M1242" s="49" t="s">
        <v>16982</v>
      </c>
      <c r="N1242" s="49" t="s">
        <v>16983</v>
      </c>
      <c r="O1242" s="49" t="s">
        <v>28281</v>
      </c>
      <c r="P1242" s="49" t="s">
        <v>28299</v>
      </c>
      <c r="Q1242" s="49" t="s">
        <v>28317</v>
      </c>
      <c r="R1242" s="49" t="s">
        <v>28335</v>
      </c>
      <c r="S1242" s="49" t="s">
        <v>28353</v>
      </c>
      <c r="T1242" s="49" t="s">
        <v>28371</v>
      </c>
    </row>
    <row r="1243" spans="1:20" x14ac:dyDescent="0.2">
      <c r="A1243" s="49" t="s">
        <v>30</v>
      </c>
      <c r="D1243" s="49" t="s">
        <v>16984</v>
      </c>
      <c r="G1243" s="49" t="s">
        <v>16985</v>
      </c>
      <c r="H1243" s="49" t="s">
        <v>28246</v>
      </c>
      <c r="I1243" s="49" t="s">
        <v>28264</v>
      </c>
      <c r="J1243" s="49" t="s">
        <v>28390</v>
      </c>
      <c r="K1243" s="49" t="s">
        <v>28408</v>
      </c>
      <c r="L1243" s="49" t="s">
        <v>16986</v>
      </c>
      <c r="M1243" s="49" t="s">
        <v>16987</v>
      </c>
      <c r="N1243" s="49" t="s">
        <v>16988</v>
      </c>
      <c r="O1243" s="49" t="s">
        <v>28282</v>
      </c>
      <c r="P1243" s="49" t="s">
        <v>28300</v>
      </c>
      <c r="Q1243" s="49" t="s">
        <v>28318</v>
      </c>
      <c r="R1243" s="49" t="s">
        <v>28336</v>
      </c>
      <c r="S1243" s="49" t="s">
        <v>28354</v>
      </c>
      <c r="T1243" s="49" t="s">
        <v>28372</v>
      </c>
    </row>
    <row r="1244" spans="1:20" x14ac:dyDescent="0.2">
      <c r="A1244" s="49" t="s">
        <v>30</v>
      </c>
      <c r="D1244" s="49" t="s">
        <v>16989</v>
      </c>
      <c r="G1244" s="49" t="s">
        <v>16990</v>
      </c>
      <c r="H1244" s="49" t="s">
        <v>28247</v>
      </c>
      <c r="I1244" s="49" t="s">
        <v>28265</v>
      </c>
      <c r="J1244" s="49" t="s">
        <v>28391</v>
      </c>
      <c r="K1244" s="49" t="s">
        <v>28409</v>
      </c>
      <c r="L1244" s="49" t="s">
        <v>16991</v>
      </c>
      <c r="M1244" s="49" t="s">
        <v>16992</v>
      </c>
      <c r="N1244" s="49" t="s">
        <v>16993</v>
      </c>
      <c r="O1244" s="49" t="s">
        <v>28283</v>
      </c>
      <c r="P1244" s="49" t="s">
        <v>28301</v>
      </c>
      <c r="Q1244" s="49" t="s">
        <v>28319</v>
      </c>
      <c r="R1244" s="49" t="s">
        <v>28337</v>
      </c>
      <c r="S1244" s="49" t="s">
        <v>28355</v>
      </c>
      <c r="T1244" s="49" t="s">
        <v>28373</v>
      </c>
    </row>
    <row r="1245" spans="1:20" x14ac:dyDescent="0.2">
      <c r="A1245" s="49" t="s">
        <v>30</v>
      </c>
      <c r="D1245" s="49" t="s">
        <v>16994</v>
      </c>
      <c r="G1245" s="49" t="s">
        <v>16995</v>
      </c>
      <c r="H1245" s="49" t="s">
        <v>28248</v>
      </c>
      <c r="I1245" s="49" t="s">
        <v>28266</v>
      </c>
      <c r="J1245" s="49" t="s">
        <v>28392</v>
      </c>
      <c r="K1245" s="49" t="s">
        <v>28410</v>
      </c>
      <c r="L1245" s="49" t="s">
        <v>16996</v>
      </c>
      <c r="M1245" s="49" t="s">
        <v>16997</v>
      </c>
      <c r="N1245" s="49" t="s">
        <v>16998</v>
      </c>
      <c r="O1245" s="49" t="s">
        <v>28284</v>
      </c>
      <c r="P1245" s="49" t="s">
        <v>28302</v>
      </c>
      <c r="Q1245" s="49" t="s">
        <v>28320</v>
      </c>
      <c r="R1245" s="49" t="s">
        <v>28338</v>
      </c>
      <c r="S1245" s="49" t="s">
        <v>28356</v>
      </c>
      <c r="T1245" s="49" t="s">
        <v>28374</v>
      </c>
    </row>
    <row r="1246" spans="1:20" x14ac:dyDescent="0.2">
      <c r="A1246" s="49" t="s">
        <v>30</v>
      </c>
      <c r="D1246" s="49" t="s">
        <v>16999</v>
      </c>
      <c r="G1246" s="49" t="s">
        <v>17000</v>
      </c>
      <c r="H1246" s="49" t="s">
        <v>28249</v>
      </c>
      <c r="I1246" s="49" t="s">
        <v>28267</v>
      </c>
      <c r="J1246" s="49" t="s">
        <v>28393</v>
      </c>
      <c r="K1246" s="49" t="s">
        <v>28411</v>
      </c>
      <c r="L1246" s="49" t="s">
        <v>17001</v>
      </c>
      <c r="M1246" s="49" t="s">
        <v>17002</v>
      </c>
      <c r="N1246" s="49" t="s">
        <v>17003</v>
      </c>
      <c r="O1246" s="49" t="s">
        <v>28285</v>
      </c>
      <c r="P1246" s="49" t="s">
        <v>28303</v>
      </c>
      <c r="Q1246" s="49" t="s">
        <v>28321</v>
      </c>
      <c r="R1246" s="49" t="s">
        <v>28339</v>
      </c>
      <c r="S1246" s="49" t="s">
        <v>28357</v>
      </c>
      <c r="T1246" s="49" t="s">
        <v>28375</v>
      </c>
    </row>
    <row r="1247" spans="1:20" x14ac:dyDescent="0.2">
      <c r="A1247" s="49" t="s">
        <v>30</v>
      </c>
      <c r="D1247" s="49" t="s">
        <v>17004</v>
      </c>
      <c r="G1247" s="49" t="s">
        <v>17005</v>
      </c>
      <c r="H1247" s="49" t="s">
        <v>28250</v>
      </c>
      <c r="I1247" s="49" t="s">
        <v>28268</v>
      </c>
      <c r="J1247" s="49" t="s">
        <v>28394</v>
      </c>
      <c r="K1247" s="49" t="s">
        <v>28412</v>
      </c>
      <c r="L1247" s="49" t="s">
        <v>17006</v>
      </c>
      <c r="M1247" s="49" t="s">
        <v>17007</v>
      </c>
      <c r="N1247" s="49" t="s">
        <v>17008</v>
      </c>
      <c r="O1247" s="49" t="s">
        <v>28286</v>
      </c>
      <c r="P1247" s="49" t="s">
        <v>28304</v>
      </c>
      <c r="Q1247" s="49" t="s">
        <v>28322</v>
      </c>
      <c r="R1247" s="49" t="s">
        <v>28340</v>
      </c>
      <c r="S1247" s="49" t="s">
        <v>28358</v>
      </c>
      <c r="T1247" s="49" t="s">
        <v>28376</v>
      </c>
    </row>
    <row r="1248" spans="1:20" x14ac:dyDescent="0.2">
      <c r="A1248" s="49" t="s">
        <v>30</v>
      </c>
      <c r="D1248" s="49" t="s">
        <v>17009</v>
      </c>
      <c r="G1248" s="49" t="s">
        <v>17010</v>
      </c>
      <c r="H1248" s="49" t="s">
        <v>28251</v>
      </c>
      <c r="I1248" s="49" t="s">
        <v>28269</v>
      </c>
      <c r="J1248" s="49" t="s">
        <v>28395</v>
      </c>
      <c r="K1248" s="49" t="s">
        <v>28413</v>
      </c>
      <c r="L1248" s="49" t="s">
        <v>17011</v>
      </c>
      <c r="M1248" s="49" t="s">
        <v>17012</v>
      </c>
      <c r="N1248" s="49" t="s">
        <v>17013</v>
      </c>
      <c r="O1248" s="49" t="s">
        <v>28287</v>
      </c>
      <c r="P1248" s="49" t="s">
        <v>28305</v>
      </c>
      <c r="Q1248" s="49" t="s">
        <v>28323</v>
      </c>
      <c r="R1248" s="49" t="s">
        <v>28341</v>
      </c>
      <c r="S1248" s="49" t="s">
        <v>28359</v>
      </c>
      <c r="T1248" s="49" t="s">
        <v>28377</v>
      </c>
    </row>
    <row r="1249" spans="1:21" x14ac:dyDescent="0.2">
      <c r="A1249" s="49" t="s">
        <v>30</v>
      </c>
      <c r="D1249" s="49" t="s">
        <v>17014</v>
      </c>
      <c r="G1249" s="49" t="s">
        <v>17015</v>
      </c>
      <c r="H1249" s="49" t="s">
        <v>28252</v>
      </c>
      <c r="I1249" s="49" t="s">
        <v>28270</v>
      </c>
      <c r="J1249" s="49" t="s">
        <v>28396</v>
      </c>
      <c r="K1249" s="49" t="s">
        <v>28414</v>
      </c>
      <c r="L1249" s="49" t="s">
        <v>17016</v>
      </c>
      <c r="M1249" s="49" t="s">
        <v>17017</v>
      </c>
      <c r="N1249" s="49" t="s">
        <v>17018</v>
      </c>
      <c r="O1249" s="49" t="s">
        <v>28288</v>
      </c>
      <c r="P1249" s="49" t="s">
        <v>28306</v>
      </c>
      <c r="Q1249" s="49" t="s">
        <v>28324</v>
      </c>
      <c r="R1249" s="49" t="s">
        <v>28342</v>
      </c>
      <c r="S1249" s="49" t="s">
        <v>28360</v>
      </c>
      <c r="T1249" s="49" t="s">
        <v>28378</v>
      </c>
    </row>
    <row r="1250" spans="1:21" x14ac:dyDescent="0.2">
      <c r="A1250" s="49" t="s">
        <v>30</v>
      </c>
      <c r="D1250" s="49" t="s">
        <v>17019</v>
      </c>
      <c r="G1250" s="49" t="s">
        <v>17020</v>
      </c>
      <c r="H1250" s="49" t="s">
        <v>28253</v>
      </c>
      <c r="I1250" s="49" t="s">
        <v>28271</v>
      </c>
      <c r="J1250" s="49" t="s">
        <v>28397</v>
      </c>
      <c r="K1250" s="49" t="s">
        <v>28415</v>
      </c>
      <c r="L1250" s="49" t="s">
        <v>17021</v>
      </c>
      <c r="M1250" s="49" t="s">
        <v>17022</v>
      </c>
      <c r="N1250" s="49" t="s">
        <v>17023</v>
      </c>
      <c r="O1250" s="49" t="s">
        <v>28289</v>
      </c>
      <c r="P1250" s="49" t="s">
        <v>28307</v>
      </c>
      <c r="Q1250" s="49" t="s">
        <v>28325</v>
      </c>
      <c r="R1250" s="49" t="s">
        <v>28343</v>
      </c>
      <c r="S1250" s="49" t="s">
        <v>28361</v>
      </c>
      <c r="T1250" s="49" t="s">
        <v>28379</v>
      </c>
    </row>
    <row r="1251" spans="1:21" x14ac:dyDescent="0.2">
      <c r="A1251" s="49" t="s">
        <v>30</v>
      </c>
    </row>
    <row r="1252" spans="1:21" x14ac:dyDescent="0.2">
      <c r="A1252" s="49" t="s">
        <v>30</v>
      </c>
      <c r="E1252" s="49" t="s">
        <v>31</v>
      </c>
      <c r="F1252" s="49" t="s">
        <v>31</v>
      </c>
      <c r="G1252" s="49" t="s">
        <v>31</v>
      </c>
      <c r="J1252" s="49" t="s">
        <v>31</v>
      </c>
      <c r="K1252" s="49" t="s">
        <v>31</v>
      </c>
      <c r="L1252" s="49" t="s">
        <v>31</v>
      </c>
      <c r="M1252" s="49" t="s">
        <v>31</v>
      </c>
    </row>
    <row r="1253" spans="1:21" x14ac:dyDescent="0.2">
      <c r="A1253" s="49" t="s">
        <v>30</v>
      </c>
      <c r="D1253" s="49" t="s">
        <v>17024</v>
      </c>
      <c r="E1253" s="49" t="s">
        <v>7041</v>
      </c>
      <c r="F1253" s="49" t="s">
        <v>17025</v>
      </c>
      <c r="H1253" s="49" t="s">
        <v>17026</v>
      </c>
      <c r="O1253" s="49" t="s">
        <v>17027</v>
      </c>
      <c r="P1253" s="49" t="s">
        <v>17028</v>
      </c>
      <c r="Q1253" s="49" t="s">
        <v>17029</v>
      </c>
      <c r="R1253" s="49" t="s">
        <v>17030</v>
      </c>
      <c r="S1253" s="49" t="s">
        <v>17031</v>
      </c>
      <c r="T1253" s="49" t="s">
        <v>17032</v>
      </c>
      <c r="U1253" s="49" t="s">
        <v>17033</v>
      </c>
    </row>
    <row r="1254" spans="1:21" x14ac:dyDescent="0.2">
      <c r="A1254" s="49" t="s">
        <v>30</v>
      </c>
      <c r="D1254" s="49" t="s">
        <v>17034</v>
      </c>
      <c r="G1254" s="49" t="s">
        <v>17035</v>
      </c>
      <c r="H1254" s="49" t="s">
        <v>28136</v>
      </c>
      <c r="I1254" s="49" t="s">
        <v>28146</v>
      </c>
      <c r="J1254" s="49" t="s">
        <v>28216</v>
      </c>
      <c r="K1254" s="49" t="s">
        <v>28226</v>
      </c>
      <c r="L1254" s="49" t="s">
        <v>17036</v>
      </c>
      <c r="M1254" s="49" t="s">
        <v>17037</v>
      </c>
      <c r="N1254" s="49" t="s">
        <v>17038</v>
      </c>
      <c r="O1254" s="49" t="s">
        <v>28156</v>
      </c>
      <c r="P1254" s="49" t="s">
        <v>28166</v>
      </c>
      <c r="Q1254" s="49" t="s">
        <v>28176</v>
      </c>
      <c r="R1254" s="49" t="s">
        <v>28186</v>
      </c>
      <c r="S1254" s="49" t="s">
        <v>28196</v>
      </c>
      <c r="T1254" s="49" t="s">
        <v>28206</v>
      </c>
    </row>
    <row r="1255" spans="1:21" x14ac:dyDescent="0.2">
      <c r="A1255" s="49" t="s">
        <v>30</v>
      </c>
      <c r="D1255" s="49" t="s">
        <v>17039</v>
      </c>
      <c r="G1255" s="49" t="s">
        <v>17040</v>
      </c>
      <c r="H1255" s="49" t="s">
        <v>28137</v>
      </c>
      <c r="I1255" s="49" t="s">
        <v>28147</v>
      </c>
      <c r="J1255" s="49" t="s">
        <v>28217</v>
      </c>
      <c r="K1255" s="49" t="s">
        <v>28227</v>
      </c>
      <c r="L1255" s="49" t="s">
        <v>17041</v>
      </c>
      <c r="M1255" s="49" t="s">
        <v>17042</v>
      </c>
      <c r="N1255" s="49" t="s">
        <v>17043</v>
      </c>
      <c r="O1255" s="49" t="s">
        <v>28157</v>
      </c>
      <c r="P1255" s="49" t="s">
        <v>28167</v>
      </c>
      <c r="Q1255" s="49" t="s">
        <v>28177</v>
      </c>
      <c r="R1255" s="49" t="s">
        <v>28187</v>
      </c>
      <c r="S1255" s="49" t="s">
        <v>28197</v>
      </c>
      <c r="T1255" s="49" t="s">
        <v>28207</v>
      </c>
    </row>
    <row r="1256" spans="1:21" x14ac:dyDescent="0.2">
      <c r="A1256" s="49" t="s">
        <v>30</v>
      </c>
      <c r="D1256" s="49" t="s">
        <v>17044</v>
      </c>
      <c r="G1256" s="49" t="s">
        <v>17045</v>
      </c>
      <c r="H1256" s="49" t="s">
        <v>28138</v>
      </c>
      <c r="I1256" s="49" t="s">
        <v>28148</v>
      </c>
      <c r="J1256" s="49" t="s">
        <v>28218</v>
      </c>
      <c r="K1256" s="49" t="s">
        <v>28228</v>
      </c>
      <c r="L1256" s="49" t="s">
        <v>17046</v>
      </c>
      <c r="M1256" s="49" t="s">
        <v>17047</v>
      </c>
      <c r="N1256" s="49" t="s">
        <v>17048</v>
      </c>
      <c r="O1256" s="49" t="s">
        <v>28158</v>
      </c>
      <c r="P1256" s="49" t="s">
        <v>28168</v>
      </c>
      <c r="Q1256" s="49" t="s">
        <v>28178</v>
      </c>
      <c r="R1256" s="49" t="s">
        <v>28188</v>
      </c>
      <c r="S1256" s="49" t="s">
        <v>28198</v>
      </c>
      <c r="T1256" s="49" t="s">
        <v>28208</v>
      </c>
    </row>
    <row r="1257" spans="1:21" x14ac:dyDescent="0.2">
      <c r="A1257" s="49" t="s">
        <v>30</v>
      </c>
      <c r="D1257" s="49" t="s">
        <v>17049</v>
      </c>
      <c r="G1257" s="49" t="s">
        <v>17050</v>
      </c>
      <c r="H1257" s="49" t="s">
        <v>28139</v>
      </c>
      <c r="I1257" s="49" t="s">
        <v>28149</v>
      </c>
      <c r="J1257" s="49" t="s">
        <v>28219</v>
      </c>
      <c r="K1257" s="49" t="s">
        <v>28229</v>
      </c>
      <c r="L1257" s="49" t="s">
        <v>17051</v>
      </c>
      <c r="M1257" s="49" t="s">
        <v>17052</v>
      </c>
      <c r="N1257" s="49" t="s">
        <v>17053</v>
      </c>
      <c r="O1257" s="49" t="s">
        <v>28159</v>
      </c>
      <c r="P1257" s="49" t="s">
        <v>28169</v>
      </c>
      <c r="Q1257" s="49" t="s">
        <v>28179</v>
      </c>
      <c r="R1257" s="49" t="s">
        <v>28189</v>
      </c>
      <c r="S1257" s="49" t="s">
        <v>28199</v>
      </c>
      <c r="T1257" s="49" t="s">
        <v>28209</v>
      </c>
    </row>
    <row r="1258" spans="1:21" x14ac:dyDescent="0.2">
      <c r="A1258" s="49" t="s">
        <v>30</v>
      </c>
      <c r="D1258" s="49" t="s">
        <v>17054</v>
      </c>
      <c r="G1258" s="49" t="s">
        <v>17055</v>
      </c>
      <c r="H1258" s="49" t="s">
        <v>28140</v>
      </c>
      <c r="I1258" s="49" t="s">
        <v>28150</v>
      </c>
      <c r="J1258" s="49" t="s">
        <v>28220</v>
      </c>
      <c r="K1258" s="49" t="s">
        <v>28230</v>
      </c>
      <c r="L1258" s="49" t="s">
        <v>17056</v>
      </c>
      <c r="M1258" s="49" t="s">
        <v>17057</v>
      </c>
      <c r="N1258" s="49" t="s">
        <v>17058</v>
      </c>
      <c r="O1258" s="49" t="s">
        <v>28160</v>
      </c>
      <c r="P1258" s="49" t="s">
        <v>28170</v>
      </c>
      <c r="Q1258" s="49" t="s">
        <v>28180</v>
      </c>
      <c r="R1258" s="49" t="s">
        <v>28190</v>
      </c>
      <c r="S1258" s="49" t="s">
        <v>28200</v>
      </c>
      <c r="T1258" s="49" t="s">
        <v>28210</v>
      </c>
    </row>
    <row r="1259" spans="1:21" x14ac:dyDescent="0.2">
      <c r="A1259" s="49" t="s">
        <v>30</v>
      </c>
      <c r="D1259" s="49" t="s">
        <v>17059</v>
      </c>
      <c r="G1259" s="49" t="s">
        <v>17060</v>
      </c>
      <c r="H1259" s="49" t="s">
        <v>28141</v>
      </c>
      <c r="I1259" s="49" t="s">
        <v>28151</v>
      </c>
      <c r="J1259" s="49" t="s">
        <v>28221</v>
      </c>
      <c r="K1259" s="49" t="s">
        <v>28231</v>
      </c>
      <c r="L1259" s="49" t="s">
        <v>17061</v>
      </c>
      <c r="M1259" s="49" t="s">
        <v>17062</v>
      </c>
      <c r="N1259" s="49" t="s">
        <v>17063</v>
      </c>
      <c r="O1259" s="49" t="s">
        <v>28161</v>
      </c>
      <c r="P1259" s="49" t="s">
        <v>28171</v>
      </c>
      <c r="Q1259" s="49" t="s">
        <v>28181</v>
      </c>
      <c r="R1259" s="49" t="s">
        <v>28191</v>
      </c>
      <c r="S1259" s="49" t="s">
        <v>28201</v>
      </c>
      <c r="T1259" s="49" t="s">
        <v>28211</v>
      </c>
    </row>
    <row r="1260" spans="1:21" x14ac:dyDescent="0.2">
      <c r="A1260" s="49" t="s">
        <v>30</v>
      </c>
      <c r="D1260" s="49" t="s">
        <v>17064</v>
      </c>
      <c r="G1260" s="49" t="s">
        <v>17065</v>
      </c>
      <c r="H1260" s="49" t="s">
        <v>28142</v>
      </c>
      <c r="I1260" s="49" t="s">
        <v>28152</v>
      </c>
      <c r="J1260" s="49" t="s">
        <v>28222</v>
      </c>
      <c r="K1260" s="49" t="s">
        <v>28232</v>
      </c>
      <c r="L1260" s="49" t="s">
        <v>17066</v>
      </c>
      <c r="M1260" s="49" t="s">
        <v>17067</v>
      </c>
      <c r="N1260" s="49" t="s">
        <v>17068</v>
      </c>
      <c r="O1260" s="49" t="s">
        <v>28162</v>
      </c>
      <c r="P1260" s="49" t="s">
        <v>28172</v>
      </c>
      <c r="Q1260" s="49" t="s">
        <v>28182</v>
      </c>
      <c r="R1260" s="49" t="s">
        <v>28192</v>
      </c>
      <c r="S1260" s="49" t="s">
        <v>28202</v>
      </c>
      <c r="T1260" s="49" t="s">
        <v>28212</v>
      </c>
    </row>
    <row r="1261" spans="1:21" x14ac:dyDescent="0.2">
      <c r="A1261" s="49" t="s">
        <v>30</v>
      </c>
      <c r="D1261" s="49" t="s">
        <v>17069</v>
      </c>
      <c r="G1261" s="49" t="s">
        <v>17070</v>
      </c>
      <c r="H1261" s="49" t="s">
        <v>28143</v>
      </c>
      <c r="I1261" s="49" t="s">
        <v>28153</v>
      </c>
      <c r="J1261" s="49" t="s">
        <v>28223</v>
      </c>
      <c r="K1261" s="49" t="s">
        <v>28233</v>
      </c>
      <c r="L1261" s="49" t="s">
        <v>17071</v>
      </c>
      <c r="M1261" s="49" t="s">
        <v>17072</v>
      </c>
      <c r="N1261" s="49" t="s">
        <v>17073</v>
      </c>
      <c r="O1261" s="49" t="s">
        <v>28163</v>
      </c>
      <c r="P1261" s="49" t="s">
        <v>28173</v>
      </c>
      <c r="Q1261" s="49" t="s">
        <v>28183</v>
      </c>
      <c r="R1261" s="49" t="s">
        <v>28193</v>
      </c>
      <c r="S1261" s="49" t="s">
        <v>28203</v>
      </c>
      <c r="T1261" s="49" t="s">
        <v>28213</v>
      </c>
    </row>
    <row r="1262" spans="1:21" x14ac:dyDescent="0.2">
      <c r="A1262" s="49" t="s">
        <v>30</v>
      </c>
      <c r="D1262" s="49" t="s">
        <v>17074</v>
      </c>
      <c r="G1262" s="49" t="s">
        <v>17075</v>
      </c>
      <c r="H1262" s="49" t="s">
        <v>28144</v>
      </c>
      <c r="I1262" s="49" t="s">
        <v>28154</v>
      </c>
      <c r="J1262" s="49" t="s">
        <v>28224</v>
      </c>
      <c r="K1262" s="49" t="s">
        <v>28234</v>
      </c>
      <c r="L1262" s="49" t="s">
        <v>17076</v>
      </c>
      <c r="M1262" s="49" t="s">
        <v>17077</v>
      </c>
      <c r="N1262" s="49" t="s">
        <v>17078</v>
      </c>
      <c r="O1262" s="49" t="s">
        <v>28164</v>
      </c>
      <c r="P1262" s="49" t="s">
        <v>28174</v>
      </c>
      <c r="Q1262" s="49" t="s">
        <v>28184</v>
      </c>
      <c r="R1262" s="49" t="s">
        <v>28194</v>
      </c>
      <c r="S1262" s="49" t="s">
        <v>28204</v>
      </c>
      <c r="T1262" s="49" t="s">
        <v>28214</v>
      </c>
    </row>
    <row r="1263" spans="1:21" x14ac:dyDescent="0.2">
      <c r="A1263" s="49" t="s">
        <v>30</v>
      </c>
      <c r="D1263" s="49" t="s">
        <v>17079</v>
      </c>
      <c r="G1263" s="49" t="s">
        <v>17080</v>
      </c>
      <c r="H1263" s="49" t="s">
        <v>28145</v>
      </c>
      <c r="I1263" s="49" t="s">
        <v>28155</v>
      </c>
      <c r="J1263" s="49" t="s">
        <v>28225</v>
      </c>
      <c r="K1263" s="49" t="s">
        <v>28235</v>
      </c>
      <c r="L1263" s="49" t="s">
        <v>17081</v>
      </c>
      <c r="M1263" s="49" t="s">
        <v>17082</v>
      </c>
      <c r="N1263" s="49" t="s">
        <v>17083</v>
      </c>
      <c r="O1263" s="49" t="s">
        <v>28165</v>
      </c>
      <c r="P1263" s="49" t="s">
        <v>28175</v>
      </c>
      <c r="Q1263" s="49" t="s">
        <v>28185</v>
      </c>
      <c r="R1263" s="49" t="s">
        <v>28195</v>
      </c>
      <c r="S1263" s="49" t="s">
        <v>28205</v>
      </c>
      <c r="T1263" s="49" t="s">
        <v>28215</v>
      </c>
    </row>
    <row r="1264" spans="1:21" x14ac:dyDescent="0.2">
      <c r="A1264" s="49" t="s">
        <v>30</v>
      </c>
    </row>
    <row r="1265" spans="1:21" x14ac:dyDescent="0.2">
      <c r="A1265" s="49" t="s">
        <v>30</v>
      </c>
      <c r="E1265" s="49" t="s">
        <v>31</v>
      </c>
      <c r="F1265" s="49" t="s">
        <v>31</v>
      </c>
      <c r="G1265" s="49" t="s">
        <v>31</v>
      </c>
      <c r="J1265" s="49" t="s">
        <v>31</v>
      </c>
      <c r="K1265" s="49" t="s">
        <v>31</v>
      </c>
      <c r="L1265" s="49" t="s">
        <v>31</v>
      </c>
      <c r="M1265" s="49" t="s">
        <v>31</v>
      </c>
    </row>
    <row r="1266" spans="1:21" x14ac:dyDescent="0.2">
      <c r="A1266" s="49" t="s">
        <v>30</v>
      </c>
      <c r="D1266" s="49" t="s">
        <v>17084</v>
      </c>
      <c r="E1266" s="49" t="s">
        <v>7084</v>
      </c>
      <c r="F1266" s="49" t="s">
        <v>17085</v>
      </c>
      <c r="H1266" s="49" t="s">
        <v>17086</v>
      </c>
      <c r="O1266" s="49" t="s">
        <v>17087</v>
      </c>
      <c r="P1266" s="49" t="s">
        <v>17088</v>
      </c>
      <c r="Q1266" s="49" t="s">
        <v>17089</v>
      </c>
      <c r="R1266" s="49" t="s">
        <v>17090</v>
      </c>
      <c r="S1266" s="49" t="s">
        <v>17091</v>
      </c>
      <c r="T1266" s="49" t="s">
        <v>17092</v>
      </c>
      <c r="U1266" s="49" t="s">
        <v>17093</v>
      </c>
    </row>
    <row r="1267" spans="1:21" x14ac:dyDescent="0.2">
      <c r="A1267" s="49" t="s">
        <v>30</v>
      </c>
      <c r="D1267" s="49" t="s">
        <v>17094</v>
      </c>
      <c r="G1267" s="49" t="s">
        <v>17095</v>
      </c>
      <c r="H1267" s="49" t="s">
        <v>27896</v>
      </c>
      <c r="I1267" s="49" t="s">
        <v>27920</v>
      </c>
      <c r="J1267" s="49" t="s">
        <v>28088</v>
      </c>
      <c r="K1267" s="49" t="s">
        <v>28112</v>
      </c>
      <c r="L1267" s="49" t="s">
        <v>17096</v>
      </c>
      <c r="M1267" s="49" t="s">
        <v>17097</v>
      </c>
      <c r="N1267" s="49" t="s">
        <v>17098</v>
      </c>
      <c r="O1267" s="49" t="s">
        <v>27944</v>
      </c>
      <c r="P1267" s="49" t="s">
        <v>27968</v>
      </c>
      <c r="Q1267" s="49" t="s">
        <v>27992</v>
      </c>
      <c r="R1267" s="49" t="s">
        <v>28016</v>
      </c>
      <c r="S1267" s="49" t="s">
        <v>28040</v>
      </c>
      <c r="T1267" s="49" t="s">
        <v>28064</v>
      </c>
    </row>
    <row r="1268" spans="1:21" x14ac:dyDescent="0.2">
      <c r="A1268" s="49" t="s">
        <v>30</v>
      </c>
      <c r="D1268" s="49" t="s">
        <v>17099</v>
      </c>
      <c r="G1268" s="49" t="s">
        <v>17100</v>
      </c>
      <c r="H1268" s="49" t="s">
        <v>27897</v>
      </c>
      <c r="I1268" s="49" t="s">
        <v>27921</v>
      </c>
      <c r="J1268" s="49" t="s">
        <v>28089</v>
      </c>
      <c r="K1268" s="49" t="s">
        <v>28113</v>
      </c>
      <c r="L1268" s="49" t="s">
        <v>17101</v>
      </c>
      <c r="M1268" s="49" t="s">
        <v>17102</v>
      </c>
      <c r="N1268" s="49" t="s">
        <v>17103</v>
      </c>
      <c r="O1268" s="49" t="s">
        <v>27945</v>
      </c>
      <c r="P1268" s="49" t="s">
        <v>27969</v>
      </c>
      <c r="Q1268" s="49" t="s">
        <v>27993</v>
      </c>
      <c r="R1268" s="49" t="s">
        <v>28017</v>
      </c>
      <c r="S1268" s="49" t="s">
        <v>28041</v>
      </c>
      <c r="T1268" s="49" t="s">
        <v>28065</v>
      </c>
    </row>
    <row r="1269" spans="1:21" x14ac:dyDescent="0.2">
      <c r="A1269" s="49" t="s">
        <v>30</v>
      </c>
      <c r="D1269" s="49" t="s">
        <v>17104</v>
      </c>
      <c r="G1269" s="49" t="s">
        <v>17105</v>
      </c>
      <c r="H1269" s="49" t="s">
        <v>27898</v>
      </c>
      <c r="I1269" s="49" t="s">
        <v>27922</v>
      </c>
      <c r="J1269" s="49" t="s">
        <v>28090</v>
      </c>
      <c r="K1269" s="49" t="s">
        <v>28114</v>
      </c>
      <c r="L1269" s="49" t="s">
        <v>17106</v>
      </c>
      <c r="M1269" s="49" t="s">
        <v>17107</v>
      </c>
      <c r="N1269" s="49" t="s">
        <v>17108</v>
      </c>
      <c r="O1269" s="49" t="s">
        <v>27946</v>
      </c>
      <c r="P1269" s="49" t="s">
        <v>27970</v>
      </c>
      <c r="Q1269" s="49" t="s">
        <v>27994</v>
      </c>
      <c r="R1269" s="49" t="s">
        <v>28018</v>
      </c>
      <c r="S1269" s="49" t="s">
        <v>28042</v>
      </c>
      <c r="T1269" s="49" t="s">
        <v>28066</v>
      </c>
    </row>
    <row r="1270" spans="1:21" x14ac:dyDescent="0.2">
      <c r="A1270" s="49" t="s">
        <v>30</v>
      </c>
      <c r="D1270" s="49" t="s">
        <v>17109</v>
      </c>
      <c r="G1270" s="49" t="s">
        <v>17110</v>
      </c>
      <c r="H1270" s="49" t="s">
        <v>27899</v>
      </c>
      <c r="I1270" s="49" t="s">
        <v>27923</v>
      </c>
      <c r="J1270" s="49" t="s">
        <v>28091</v>
      </c>
      <c r="K1270" s="49" t="s">
        <v>28115</v>
      </c>
      <c r="L1270" s="49" t="s">
        <v>17111</v>
      </c>
      <c r="M1270" s="49" t="s">
        <v>17112</v>
      </c>
      <c r="N1270" s="49" t="s">
        <v>17113</v>
      </c>
      <c r="O1270" s="49" t="s">
        <v>27947</v>
      </c>
      <c r="P1270" s="49" t="s">
        <v>27971</v>
      </c>
      <c r="Q1270" s="49" t="s">
        <v>27995</v>
      </c>
      <c r="R1270" s="49" t="s">
        <v>28019</v>
      </c>
      <c r="S1270" s="49" t="s">
        <v>28043</v>
      </c>
      <c r="T1270" s="49" t="s">
        <v>28067</v>
      </c>
    </row>
    <row r="1271" spans="1:21" x14ac:dyDescent="0.2">
      <c r="A1271" s="49" t="s">
        <v>30</v>
      </c>
      <c r="D1271" s="49" t="s">
        <v>17114</v>
      </c>
      <c r="G1271" s="49" t="s">
        <v>17115</v>
      </c>
      <c r="H1271" s="49" t="s">
        <v>27900</v>
      </c>
      <c r="I1271" s="49" t="s">
        <v>27924</v>
      </c>
      <c r="J1271" s="49" t="s">
        <v>28092</v>
      </c>
      <c r="K1271" s="49" t="s">
        <v>28116</v>
      </c>
      <c r="L1271" s="49" t="s">
        <v>17116</v>
      </c>
      <c r="M1271" s="49" t="s">
        <v>17117</v>
      </c>
      <c r="N1271" s="49" t="s">
        <v>17118</v>
      </c>
      <c r="O1271" s="49" t="s">
        <v>27948</v>
      </c>
      <c r="P1271" s="49" t="s">
        <v>27972</v>
      </c>
      <c r="Q1271" s="49" t="s">
        <v>27996</v>
      </c>
      <c r="R1271" s="49" t="s">
        <v>28020</v>
      </c>
      <c r="S1271" s="49" t="s">
        <v>28044</v>
      </c>
      <c r="T1271" s="49" t="s">
        <v>28068</v>
      </c>
    </row>
    <row r="1272" spans="1:21" x14ac:dyDescent="0.2">
      <c r="A1272" s="49" t="s">
        <v>30</v>
      </c>
      <c r="D1272" s="49" t="s">
        <v>17119</v>
      </c>
      <c r="G1272" s="49" t="s">
        <v>17120</v>
      </c>
      <c r="H1272" s="49" t="s">
        <v>27901</v>
      </c>
      <c r="I1272" s="49" t="s">
        <v>27925</v>
      </c>
      <c r="J1272" s="49" t="s">
        <v>28093</v>
      </c>
      <c r="K1272" s="49" t="s">
        <v>28117</v>
      </c>
      <c r="L1272" s="49" t="s">
        <v>17121</v>
      </c>
      <c r="M1272" s="49" t="s">
        <v>17122</v>
      </c>
      <c r="N1272" s="49" t="s">
        <v>17123</v>
      </c>
      <c r="O1272" s="49" t="s">
        <v>27949</v>
      </c>
      <c r="P1272" s="49" t="s">
        <v>27973</v>
      </c>
      <c r="Q1272" s="49" t="s">
        <v>27997</v>
      </c>
      <c r="R1272" s="49" t="s">
        <v>28021</v>
      </c>
      <c r="S1272" s="49" t="s">
        <v>28045</v>
      </c>
      <c r="T1272" s="49" t="s">
        <v>28069</v>
      </c>
    </row>
    <row r="1273" spans="1:21" x14ac:dyDescent="0.2">
      <c r="A1273" s="49" t="s">
        <v>30</v>
      </c>
      <c r="D1273" s="49" t="s">
        <v>17124</v>
      </c>
      <c r="G1273" s="49" t="s">
        <v>17125</v>
      </c>
      <c r="H1273" s="49" t="s">
        <v>27902</v>
      </c>
      <c r="I1273" s="49" t="s">
        <v>27926</v>
      </c>
      <c r="J1273" s="49" t="s">
        <v>28094</v>
      </c>
      <c r="K1273" s="49" t="s">
        <v>28118</v>
      </c>
      <c r="L1273" s="49" t="s">
        <v>17126</v>
      </c>
      <c r="M1273" s="49" t="s">
        <v>17127</v>
      </c>
      <c r="N1273" s="49" t="s">
        <v>17128</v>
      </c>
      <c r="O1273" s="49" t="s">
        <v>27950</v>
      </c>
      <c r="P1273" s="49" t="s">
        <v>27974</v>
      </c>
      <c r="Q1273" s="49" t="s">
        <v>27998</v>
      </c>
      <c r="R1273" s="49" t="s">
        <v>28022</v>
      </c>
      <c r="S1273" s="49" t="s">
        <v>28046</v>
      </c>
      <c r="T1273" s="49" t="s">
        <v>28070</v>
      </c>
    </row>
    <row r="1274" spans="1:21" x14ac:dyDescent="0.2">
      <c r="A1274" s="49" t="s">
        <v>30</v>
      </c>
      <c r="D1274" s="49" t="s">
        <v>17129</v>
      </c>
      <c r="G1274" s="49" t="s">
        <v>17130</v>
      </c>
      <c r="H1274" s="49" t="s">
        <v>27903</v>
      </c>
      <c r="I1274" s="49" t="s">
        <v>27927</v>
      </c>
      <c r="J1274" s="49" t="s">
        <v>28095</v>
      </c>
      <c r="K1274" s="49" t="s">
        <v>28119</v>
      </c>
      <c r="L1274" s="49" t="s">
        <v>17131</v>
      </c>
      <c r="M1274" s="49" t="s">
        <v>17132</v>
      </c>
      <c r="N1274" s="49" t="s">
        <v>17133</v>
      </c>
      <c r="O1274" s="49" t="s">
        <v>27951</v>
      </c>
      <c r="P1274" s="49" t="s">
        <v>27975</v>
      </c>
      <c r="Q1274" s="49" t="s">
        <v>27999</v>
      </c>
      <c r="R1274" s="49" t="s">
        <v>28023</v>
      </c>
      <c r="S1274" s="49" t="s">
        <v>28047</v>
      </c>
      <c r="T1274" s="49" t="s">
        <v>28071</v>
      </c>
    </row>
    <row r="1275" spans="1:21" x14ac:dyDescent="0.2">
      <c r="A1275" s="49" t="s">
        <v>30</v>
      </c>
      <c r="D1275" s="49" t="s">
        <v>17134</v>
      </c>
      <c r="G1275" s="49" t="s">
        <v>17135</v>
      </c>
      <c r="H1275" s="49" t="s">
        <v>27904</v>
      </c>
      <c r="I1275" s="49" t="s">
        <v>27928</v>
      </c>
      <c r="J1275" s="49" t="s">
        <v>28096</v>
      </c>
      <c r="K1275" s="49" t="s">
        <v>28120</v>
      </c>
      <c r="L1275" s="49" t="s">
        <v>17136</v>
      </c>
      <c r="M1275" s="49" t="s">
        <v>17137</v>
      </c>
      <c r="N1275" s="49" t="s">
        <v>17138</v>
      </c>
      <c r="O1275" s="49" t="s">
        <v>27952</v>
      </c>
      <c r="P1275" s="49" t="s">
        <v>27976</v>
      </c>
      <c r="Q1275" s="49" t="s">
        <v>28000</v>
      </c>
      <c r="R1275" s="49" t="s">
        <v>28024</v>
      </c>
      <c r="S1275" s="49" t="s">
        <v>28048</v>
      </c>
      <c r="T1275" s="49" t="s">
        <v>28072</v>
      </c>
    </row>
    <row r="1276" spans="1:21" x14ac:dyDescent="0.2">
      <c r="A1276" s="49" t="s">
        <v>30</v>
      </c>
      <c r="D1276" s="49" t="s">
        <v>17139</v>
      </c>
      <c r="G1276" s="49" t="s">
        <v>17140</v>
      </c>
      <c r="H1276" s="49" t="s">
        <v>27905</v>
      </c>
      <c r="I1276" s="49" t="s">
        <v>27929</v>
      </c>
      <c r="J1276" s="49" t="s">
        <v>28097</v>
      </c>
      <c r="K1276" s="49" t="s">
        <v>28121</v>
      </c>
      <c r="L1276" s="49" t="s">
        <v>17141</v>
      </c>
      <c r="M1276" s="49" t="s">
        <v>17142</v>
      </c>
      <c r="N1276" s="49" t="s">
        <v>17143</v>
      </c>
      <c r="O1276" s="49" t="s">
        <v>27953</v>
      </c>
      <c r="P1276" s="49" t="s">
        <v>27977</v>
      </c>
      <c r="Q1276" s="49" t="s">
        <v>28001</v>
      </c>
      <c r="R1276" s="49" t="s">
        <v>28025</v>
      </c>
      <c r="S1276" s="49" t="s">
        <v>28049</v>
      </c>
      <c r="T1276" s="49" t="s">
        <v>28073</v>
      </c>
    </row>
    <row r="1277" spans="1:21" x14ac:dyDescent="0.2">
      <c r="A1277" s="49" t="s">
        <v>30</v>
      </c>
      <c r="D1277" s="49" t="s">
        <v>17144</v>
      </c>
      <c r="G1277" s="49" t="s">
        <v>17145</v>
      </c>
      <c r="H1277" s="49" t="s">
        <v>27906</v>
      </c>
      <c r="I1277" s="49" t="s">
        <v>27930</v>
      </c>
      <c r="J1277" s="49" t="s">
        <v>28098</v>
      </c>
      <c r="K1277" s="49" t="s">
        <v>28122</v>
      </c>
      <c r="L1277" s="49" t="s">
        <v>17146</v>
      </c>
      <c r="M1277" s="49" t="s">
        <v>17147</v>
      </c>
      <c r="N1277" s="49" t="s">
        <v>17148</v>
      </c>
      <c r="O1277" s="49" t="s">
        <v>27954</v>
      </c>
      <c r="P1277" s="49" t="s">
        <v>27978</v>
      </c>
      <c r="Q1277" s="49" t="s">
        <v>28002</v>
      </c>
      <c r="R1277" s="49" t="s">
        <v>28026</v>
      </c>
      <c r="S1277" s="49" t="s">
        <v>28050</v>
      </c>
      <c r="T1277" s="49" t="s">
        <v>28074</v>
      </c>
    </row>
    <row r="1278" spans="1:21" x14ac:dyDescent="0.2">
      <c r="A1278" s="49" t="s">
        <v>30</v>
      </c>
      <c r="D1278" s="49" t="s">
        <v>17149</v>
      </c>
      <c r="G1278" s="49" t="s">
        <v>17150</v>
      </c>
      <c r="H1278" s="49" t="s">
        <v>27907</v>
      </c>
      <c r="I1278" s="49" t="s">
        <v>27931</v>
      </c>
      <c r="J1278" s="49" t="s">
        <v>28099</v>
      </c>
      <c r="K1278" s="49" t="s">
        <v>28123</v>
      </c>
      <c r="L1278" s="49" t="s">
        <v>17151</v>
      </c>
      <c r="M1278" s="49" t="s">
        <v>17152</v>
      </c>
      <c r="N1278" s="49" t="s">
        <v>17153</v>
      </c>
      <c r="O1278" s="49" t="s">
        <v>27955</v>
      </c>
      <c r="P1278" s="49" t="s">
        <v>27979</v>
      </c>
      <c r="Q1278" s="49" t="s">
        <v>28003</v>
      </c>
      <c r="R1278" s="49" t="s">
        <v>28027</v>
      </c>
      <c r="S1278" s="49" t="s">
        <v>28051</v>
      </c>
      <c r="T1278" s="49" t="s">
        <v>28075</v>
      </c>
    </row>
    <row r="1279" spans="1:21" x14ac:dyDescent="0.2">
      <c r="A1279" s="49" t="s">
        <v>30</v>
      </c>
      <c r="D1279" s="49" t="s">
        <v>17154</v>
      </c>
      <c r="G1279" s="49" t="s">
        <v>17155</v>
      </c>
      <c r="H1279" s="49" t="s">
        <v>27908</v>
      </c>
      <c r="I1279" s="49" t="s">
        <v>27932</v>
      </c>
      <c r="J1279" s="49" t="s">
        <v>28100</v>
      </c>
      <c r="K1279" s="49" t="s">
        <v>28124</v>
      </c>
      <c r="L1279" s="49" t="s">
        <v>17156</v>
      </c>
      <c r="M1279" s="49" t="s">
        <v>17157</v>
      </c>
      <c r="N1279" s="49" t="s">
        <v>17158</v>
      </c>
      <c r="O1279" s="49" t="s">
        <v>27956</v>
      </c>
      <c r="P1279" s="49" t="s">
        <v>27980</v>
      </c>
      <c r="Q1279" s="49" t="s">
        <v>28004</v>
      </c>
      <c r="R1279" s="49" t="s">
        <v>28028</v>
      </c>
      <c r="S1279" s="49" t="s">
        <v>28052</v>
      </c>
      <c r="T1279" s="49" t="s">
        <v>28076</v>
      </c>
    </row>
    <row r="1280" spans="1:21" x14ac:dyDescent="0.2">
      <c r="A1280" s="49" t="s">
        <v>30</v>
      </c>
      <c r="D1280" s="49" t="s">
        <v>17159</v>
      </c>
      <c r="G1280" s="49" t="s">
        <v>17160</v>
      </c>
      <c r="H1280" s="49" t="s">
        <v>27909</v>
      </c>
      <c r="I1280" s="49" t="s">
        <v>27933</v>
      </c>
      <c r="J1280" s="49" t="s">
        <v>28101</v>
      </c>
      <c r="K1280" s="49" t="s">
        <v>28125</v>
      </c>
      <c r="L1280" s="49" t="s">
        <v>17161</v>
      </c>
      <c r="M1280" s="49" t="s">
        <v>17162</v>
      </c>
      <c r="N1280" s="49" t="s">
        <v>17163</v>
      </c>
      <c r="O1280" s="49" t="s">
        <v>27957</v>
      </c>
      <c r="P1280" s="49" t="s">
        <v>27981</v>
      </c>
      <c r="Q1280" s="49" t="s">
        <v>28005</v>
      </c>
      <c r="R1280" s="49" t="s">
        <v>28029</v>
      </c>
      <c r="S1280" s="49" t="s">
        <v>28053</v>
      </c>
      <c r="T1280" s="49" t="s">
        <v>28077</v>
      </c>
    </row>
    <row r="1281" spans="1:21" x14ac:dyDescent="0.2">
      <c r="A1281" s="49" t="s">
        <v>30</v>
      </c>
      <c r="D1281" s="49" t="s">
        <v>17164</v>
      </c>
      <c r="G1281" s="49" t="s">
        <v>17165</v>
      </c>
      <c r="H1281" s="49" t="s">
        <v>27910</v>
      </c>
      <c r="I1281" s="49" t="s">
        <v>27934</v>
      </c>
      <c r="J1281" s="49" t="s">
        <v>28102</v>
      </c>
      <c r="K1281" s="49" t="s">
        <v>28126</v>
      </c>
      <c r="L1281" s="49" t="s">
        <v>17166</v>
      </c>
      <c r="M1281" s="49" t="s">
        <v>17167</v>
      </c>
      <c r="N1281" s="49" t="s">
        <v>17168</v>
      </c>
      <c r="O1281" s="49" t="s">
        <v>27958</v>
      </c>
      <c r="P1281" s="49" t="s">
        <v>27982</v>
      </c>
      <c r="Q1281" s="49" t="s">
        <v>28006</v>
      </c>
      <c r="R1281" s="49" t="s">
        <v>28030</v>
      </c>
      <c r="S1281" s="49" t="s">
        <v>28054</v>
      </c>
      <c r="T1281" s="49" t="s">
        <v>28078</v>
      </c>
    </row>
    <row r="1282" spans="1:21" x14ac:dyDescent="0.2">
      <c r="A1282" s="49" t="s">
        <v>30</v>
      </c>
      <c r="D1282" s="49" t="s">
        <v>17169</v>
      </c>
      <c r="G1282" s="49" t="s">
        <v>17170</v>
      </c>
      <c r="H1282" s="49" t="s">
        <v>27911</v>
      </c>
      <c r="I1282" s="49" t="s">
        <v>27935</v>
      </c>
      <c r="J1282" s="49" t="s">
        <v>28103</v>
      </c>
      <c r="K1282" s="49" t="s">
        <v>28127</v>
      </c>
      <c r="L1282" s="49" t="s">
        <v>17171</v>
      </c>
      <c r="M1282" s="49" t="s">
        <v>17172</v>
      </c>
      <c r="N1282" s="49" t="s">
        <v>17173</v>
      </c>
      <c r="O1282" s="49" t="s">
        <v>27959</v>
      </c>
      <c r="P1282" s="49" t="s">
        <v>27983</v>
      </c>
      <c r="Q1282" s="49" t="s">
        <v>28007</v>
      </c>
      <c r="R1282" s="49" t="s">
        <v>28031</v>
      </c>
      <c r="S1282" s="49" t="s">
        <v>28055</v>
      </c>
      <c r="T1282" s="49" t="s">
        <v>28079</v>
      </c>
    </row>
    <row r="1283" spans="1:21" x14ac:dyDescent="0.2">
      <c r="A1283" s="49" t="s">
        <v>30</v>
      </c>
      <c r="D1283" s="49" t="s">
        <v>17174</v>
      </c>
      <c r="G1283" s="49" t="s">
        <v>17175</v>
      </c>
      <c r="H1283" s="49" t="s">
        <v>27912</v>
      </c>
      <c r="I1283" s="49" t="s">
        <v>27936</v>
      </c>
      <c r="J1283" s="49" t="s">
        <v>28104</v>
      </c>
      <c r="K1283" s="49" t="s">
        <v>28128</v>
      </c>
      <c r="L1283" s="49" t="s">
        <v>17176</v>
      </c>
      <c r="M1283" s="49" t="s">
        <v>17177</v>
      </c>
      <c r="N1283" s="49" t="s">
        <v>17178</v>
      </c>
      <c r="O1283" s="49" t="s">
        <v>27960</v>
      </c>
      <c r="P1283" s="49" t="s">
        <v>27984</v>
      </c>
      <c r="Q1283" s="49" t="s">
        <v>28008</v>
      </c>
      <c r="R1283" s="49" t="s">
        <v>28032</v>
      </c>
      <c r="S1283" s="49" t="s">
        <v>28056</v>
      </c>
      <c r="T1283" s="49" t="s">
        <v>28080</v>
      </c>
    </row>
    <row r="1284" spans="1:21" x14ac:dyDescent="0.2">
      <c r="A1284" s="49" t="s">
        <v>30</v>
      </c>
      <c r="D1284" s="49" t="s">
        <v>17179</v>
      </c>
      <c r="G1284" s="49" t="s">
        <v>17180</v>
      </c>
      <c r="H1284" s="49" t="s">
        <v>27913</v>
      </c>
      <c r="I1284" s="49" t="s">
        <v>27937</v>
      </c>
      <c r="J1284" s="49" t="s">
        <v>28105</v>
      </c>
      <c r="K1284" s="49" t="s">
        <v>28129</v>
      </c>
      <c r="L1284" s="49" t="s">
        <v>17181</v>
      </c>
      <c r="M1284" s="49" t="s">
        <v>17182</v>
      </c>
      <c r="N1284" s="49" t="s">
        <v>17183</v>
      </c>
      <c r="O1284" s="49" t="s">
        <v>27961</v>
      </c>
      <c r="P1284" s="49" t="s">
        <v>27985</v>
      </c>
      <c r="Q1284" s="49" t="s">
        <v>28009</v>
      </c>
      <c r="R1284" s="49" t="s">
        <v>28033</v>
      </c>
      <c r="S1284" s="49" t="s">
        <v>28057</v>
      </c>
      <c r="T1284" s="49" t="s">
        <v>28081</v>
      </c>
    </row>
    <row r="1285" spans="1:21" x14ac:dyDescent="0.2">
      <c r="A1285" s="49" t="s">
        <v>30</v>
      </c>
      <c r="D1285" s="49" t="s">
        <v>17184</v>
      </c>
      <c r="G1285" s="49" t="s">
        <v>17185</v>
      </c>
      <c r="H1285" s="49" t="s">
        <v>27914</v>
      </c>
      <c r="I1285" s="49" t="s">
        <v>27938</v>
      </c>
      <c r="J1285" s="49" t="s">
        <v>28106</v>
      </c>
      <c r="K1285" s="49" t="s">
        <v>28130</v>
      </c>
      <c r="L1285" s="49" t="s">
        <v>17186</v>
      </c>
      <c r="M1285" s="49" t="s">
        <v>17187</v>
      </c>
      <c r="N1285" s="49" t="s">
        <v>17188</v>
      </c>
      <c r="O1285" s="49" t="s">
        <v>27962</v>
      </c>
      <c r="P1285" s="49" t="s">
        <v>27986</v>
      </c>
      <c r="Q1285" s="49" t="s">
        <v>28010</v>
      </c>
      <c r="R1285" s="49" t="s">
        <v>28034</v>
      </c>
      <c r="S1285" s="49" t="s">
        <v>28058</v>
      </c>
      <c r="T1285" s="49" t="s">
        <v>28082</v>
      </c>
    </row>
    <row r="1286" spans="1:21" x14ac:dyDescent="0.2">
      <c r="A1286" s="49" t="s">
        <v>30</v>
      </c>
      <c r="D1286" s="49" t="s">
        <v>17189</v>
      </c>
      <c r="G1286" s="49" t="s">
        <v>17190</v>
      </c>
      <c r="H1286" s="49" t="s">
        <v>27915</v>
      </c>
      <c r="I1286" s="49" t="s">
        <v>27939</v>
      </c>
      <c r="J1286" s="49" t="s">
        <v>28107</v>
      </c>
      <c r="K1286" s="49" t="s">
        <v>28131</v>
      </c>
      <c r="L1286" s="49" t="s">
        <v>17191</v>
      </c>
      <c r="M1286" s="49" t="s">
        <v>17192</v>
      </c>
      <c r="N1286" s="49" t="s">
        <v>17193</v>
      </c>
      <c r="O1286" s="49" t="s">
        <v>27963</v>
      </c>
      <c r="P1286" s="49" t="s">
        <v>27987</v>
      </c>
      <c r="Q1286" s="49" t="s">
        <v>28011</v>
      </c>
      <c r="R1286" s="49" t="s">
        <v>28035</v>
      </c>
      <c r="S1286" s="49" t="s">
        <v>28059</v>
      </c>
      <c r="T1286" s="49" t="s">
        <v>28083</v>
      </c>
    </row>
    <row r="1287" spans="1:21" x14ac:dyDescent="0.2">
      <c r="A1287" s="49" t="s">
        <v>30</v>
      </c>
      <c r="D1287" s="49" t="s">
        <v>17194</v>
      </c>
      <c r="G1287" s="49" t="s">
        <v>17195</v>
      </c>
      <c r="H1287" s="49" t="s">
        <v>27916</v>
      </c>
      <c r="I1287" s="49" t="s">
        <v>27940</v>
      </c>
      <c r="J1287" s="49" t="s">
        <v>28108</v>
      </c>
      <c r="K1287" s="49" t="s">
        <v>28132</v>
      </c>
      <c r="L1287" s="49" t="s">
        <v>17196</v>
      </c>
      <c r="M1287" s="49" t="s">
        <v>17197</v>
      </c>
      <c r="N1287" s="49" t="s">
        <v>17198</v>
      </c>
      <c r="O1287" s="49" t="s">
        <v>27964</v>
      </c>
      <c r="P1287" s="49" t="s">
        <v>27988</v>
      </c>
      <c r="Q1287" s="49" t="s">
        <v>28012</v>
      </c>
      <c r="R1287" s="49" t="s">
        <v>28036</v>
      </c>
      <c r="S1287" s="49" t="s">
        <v>28060</v>
      </c>
      <c r="T1287" s="49" t="s">
        <v>28084</v>
      </c>
    </row>
    <row r="1288" spans="1:21" x14ac:dyDescent="0.2">
      <c r="A1288" s="49" t="s">
        <v>30</v>
      </c>
      <c r="D1288" s="49" t="s">
        <v>17199</v>
      </c>
      <c r="G1288" s="49" t="s">
        <v>17200</v>
      </c>
      <c r="H1288" s="49" t="s">
        <v>27917</v>
      </c>
      <c r="I1288" s="49" t="s">
        <v>27941</v>
      </c>
      <c r="J1288" s="49" t="s">
        <v>28109</v>
      </c>
      <c r="K1288" s="49" t="s">
        <v>28133</v>
      </c>
      <c r="L1288" s="49" t="s">
        <v>17201</v>
      </c>
      <c r="M1288" s="49" t="s">
        <v>17202</v>
      </c>
      <c r="N1288" s="49" t="s">
        <v>17203</v>
      </c>
      <c r="O1288" s="49" t="s">
        <v>27965</v>
      </c>
      <c r="P1288" s="49" t="s">
        <v>27989</v>
      </c>
      <c r="Q1288" s="49" t="s">
        <v>28013</v>
      </c>
      <c r="R1288" s="49" t="s">
        <v>28037</v>
      </c>
      <c r="S1288" s="49" t="s">
        <v>28061</v>
      </c>
      <c r="T1288" s="49" t="s">
        <v>28085</v>
      </c>
    </row>
    <row r="1289" spans="1:21" x14ac:dyDescent="0.2">
      <c r="A1289" s="49" t="s">
        <v>30</v>
      </c>
      <c r="D1289" s="49" t="s">
        <v>17204</v>
      </c>
      <c r="G1289" s="49" t="s">
        <v>17205</v>
      </c>
      <c r="H1289" s="49" t="s">
        <v>27918</v>
      </c>
      <c r="I1289" s="49" t="s">
        <v>27942</v>
      </c>
      <c r="J1289" s="49" t="s">
        <v>28110</v>
      </c>
      <c r="K1289" s="49" t="s">
        <v>28134</v>
      </c>
      <c r="L1289" s="49" t="s">
        <v>17206</v>
      </c>
      <c r="M1289" s="49" t="s">
        <v>17207</v>
      </c>
      <c r="N1289" s="49" t="s">
        <v>17208</v>
      </c>
      <c r="O1289" s="49" t="s">
        <v>27966</v>
      </c>
      <c r="P1289" s="49" t="s">
        <v>27990</v>
      </c>
      <c r="Q1289" s="49" t="s">
        <v>28014</v>
      </c>
      <c r="R1289" s="49" t="s">
        <v>28038</v>
      </c>
      <c r="S1289" s="49" t="s">
        <v>28062</v>
      </c>
      <c r="T1289" s="49" t="s">
        <v>28086</v>
      </c>
    </row>
    <row r="1290" spans="1:21" x14ac:dyDescent="0.2">
      <c r="A1290" s="49" t="s">
        <v>30</v>
      </c>
      <c r="D1290" s="49" t="s">
        <v>17209</v>
      </c>
      <c r="G1290" s="49" t="s">
        <v>17210</v>
      </c>
      <c r="H1290" s="49" t="s">
        <v>27919</v>
      </c>
      <c r="I1290" s="49" t="s">
        <v>27943</v>
      </c>
      <c r="J1290" s="49" t="s">
        <v>28111</v>
      </c>
      <c r="K1290" s="49" t="s">
        <v>28135</v>
      </c>
      <c r="L1290" s="49" t="s">
        <v>17211</v>
      </c>
      <c r="M1290" s="49" t="s">
        <v>17212</v>
      </c>
      <c r="N1290" s="49" t="s">
        <v>17213</v>
      </c>
      <c r="O1290" s="49" t="s">
        <v>27967</v>
      </c>
      <c r="P1290" s="49" t="s">
        <v>27991</v>
      </c>
      <c r="Q1290" s="49" t="s">
        <v>28015</v>
      </c>
      <c r="R1290" s="49" t="s">
        <v>28039</v>
      </c>
      <c r="S1290" s="49" t="s">
        <v>28063</v>
      </c>
      <c r="T1290" s="49" t="s">
        <v>28087</v>
      </c>
    </row>
    <row r="1291" spans="1:21" x14ac:dyDescent="0.2">
      <c r="A1291" s="49" t="s">
        <v>30</v>
      </c>
    </row>
    <row r="1292" spans="1:21" x14ac:dyDescent="0.2">
      <c r="A1292" s="49" t="s">
        <v>30</v>
      </c>
      <c r="E1292" s="49" t="s">
        <v>31</v>
      </c>
      <c r="F1292" s="49" t="s">
        <v>31</v>
      </c>
      <c r="G1292" s="49" t="s">
        <v>31</v>
      </c>
      <c r="J1292" s="49" t="s">
        <v>31</v>
      </c>
      <c r="K1292" s="49" t="s">
        <v>31</v>
      </c>
      <c r="L1292" s="49" t="s">
        <v>31</v>
      </c>
      <c r="M1292" s="49" t="s">
        <v>31</v>
      </c>
    </row>
    <row r="1293" spans="1:21" x14ac:dyDescent="0.2">
      <c r="A1293" s="49" t="s">
        <v>30</v>
      </c>
      <c r="D1293" s="49" t="s">
        <v>17214</v>
      </c>
      <c r="E1293" s="49" t="s">
        <v>7180</v>
      </c>
      <c r="F1293" s="49" t="s">
        <v>17215</v>
      </c>
      <c r="H1293" s="49" t="s">
        <v>17216</v>
      </c>
      <c r="O1293" s="49" t="s">
        <v>17217</v>
      </c>
      <c r="P1293" s="49" t="s">
        <v>17218</v>
      </c>
      <c r="Q1293" s="49" t="s">
        <v>17219</v>
      </c>
      <c r="R1293" s="49" t="s">
        <v>17220</v>
      </c>
      <c r="S1293" s="49" t="s">
        <v>17221</v>
      </c>
      <c r="T1293" s="49" t="s">
        <v>17222</v>
      </c>
      <c r="U1293" s="49" t="s">
        <v>17223</v>
      </c>
    </row>
    <row r="1294" spans="1:21" x14ac:dyDescent="0.2">
      <c r="A1294" s="49" t="s">
        <v>30</v>
      </c>
      <c r="D1294" s="49" t="s">
        <v>17224</v>
      </c>
      <c r="G1294" s="49" t="s">
        <v>17225</v>
      </c>
      <c r="H1294" s="49" t="s">
        <v>27626</v>
      </c>
      <c r="I1294" s="49" t="s">
        <v>27653</v>
      </c>
      <c r="J1294" s="49" t="s">
        <v>27842</v>
      </c>
      <c r="K1294" s="49" t="s">
        <v>27869</v>
      </c>
      <c r="L1294" s="49" t="s">
        <v>17226</v>
      </c>
      <c r="M1294" s="49" t="s">
        <v>17227</v>
      </c>
      <c r="N1294" s="49" t="s">
        <v>17228</v>
      </c>
      <c r="O1294" s="49" t="s">
        <v>27680</v>
      </c>
      <c r="P1294" s="49" t="s">
        <v>27707</v>
      </c>
      <c r="Q1294" s="49" t="s">
        <v>27734</v>
      </c>
      <c r="R1294" s="49" t="s">
        <v>27761</v>
      </c>
      <c r="S1294" s="49" t="s">
        <v>27788</v>
      </c>
      <c r="T1294" s="49" t="s">
        <v>27815</v>
      </c>
    </row>
    <row r="1295" spans="1:21" x14ac:dyDescent="0.2">
      <c r="A1295" s="49" t="s">
        <v>30</v>
      </c>
      <c r="D1295" s="49" t="s">
        <v>17229</v>
      </c>
      <c r="G1295" s="49" t="s">
        <v>17230</v>
      </c>
      <c r="H1295" s="49" t="s">
        <v>27627</v>
      </c>
      <c r="I1295" s="49" t="s">
        <v>27654</v>
      </c>
      <c r="J1295" s="49" t="s">
        <v>27843</v>
      </c>
      <c r="K1295" s="49" t="s">
        <v>27870</v>
      </c>
      <c r="L1295" s="49" t="s">
        <v>17231</v>
      </c>
      <c r="M1295" s="49" t="s">
        <v>17232</v>
      </c>
      <c r="N1295" s="49" t="s">
        <v>17233</v>
      </c>
      <c r="O1295" s="49" t="s">
        <v>27681</v>
      </c>
      <c r="P1295" s="49" t="s">
        <v>27708</v>
      </c>
      <c r="Q1295" s="49" t="s">
        <v>27735</v>
      </c>
      <c r="R1295" s="49" t="s">
        <v>27762</v>
      </c>
      <c r="S1295" s="49" t="s">
        <v>27789</v>
      </c>
      <c r="T1295" s="49" t="s">
        <v>27816</v>
      </c>
    </row>
    <row r="1296" spans="1:21" x14ac:dyDescent="0.2">
      <c r="A1296" s="49" t="s">
        <v>30</v>
      </c>
      <c r="D1296" s="49" t="s">
        <v>17234</v>
      </c>
      <c r="G1296" s="49" t="s">
        <v>17235</v>
      </c>
      <c r="H1296" s="49" t="s">
        <v>27628</v>
      </c>
      <c r="I1296" s="49" t="s">
        <v>27655</v>
      </c>
      <c r="J1296" s="49" t="s">
        <v>27844</v>
      </c>
      <c r="K1296" s="49" t="s">
        <v>27871</v>
      </c>
      <c r="L1296" s="49" t="s">
        <v>17236</v>
      </c>
      <c r="M1296" s="49" t="s">
        <v>17237</v>
      </c>
      <c r="N1296" s="49" t="s">
        <v>17238</v>
      </c>
      <c r="O1296" s="49" t="s">
        <v>27682</v>
      </c>
      <c r="P1296" s="49" t="s">
        <v>27709</v>
      </c>
      <c r="Q1296" s="49" t="s">
        <v>27736</v>
      </c>
      <c r="R1296" s="49" t="s">
        <v>27763</v>
      </c>
      <c r="S1296" s="49" t="s">
        <v>27790</v>
      </c>
      <c r="T1296" s="49" t="s">
        <v>27817</v>
      </c>
    </row>
    <row r="1297" spans="1:20" x14ac:dyDescent="0.2">
      <c r="A1297" s="49" t="s">
        <v>30</v>
      </c>
      <c r="D1297" s="49" t="s">
        <v>17239</v>
      </c>
      <c r="G1297" s="49" t="s">
        <v>17240</v>
      </c>
      <c r="H1297" s="49" t="s">
        <v>27629</v>
      </c>
      <c r="I1297" s="49" t="s">
        <v>27656</v>
      </c>
      <c r="J1297" s="49" t="s">
        <v>27845</v>
      </c>
      <c r="K1297" s="49" t="s">
        <v>27872</v>
      </c>
      <c r="L1297" s="49" t="s">
        <v>17241</v>
      </c>
      <c r="M1297" s="49" t="s">
        <v>17242</v>
      </c>
      <c r="N1297" s="49" t="s">
        <v>17243</v>
      </c>
      <c r="O1297" s="49" t="s">
        <v>27683</v>
      </c>
      <c r="P1297" s="49" t="s">
        <v>27710</v>
      </c>
      <c r="Q1297" s="49" t="s">
        <v>27737</v>
      </c>
      <c r="R1297" s="49" t="s">
        <v>27764</v>
      </c>
      <c r="S1297" s="49" t="s">
        <v>27791</v>
      </c>
      <c r="T1297" s="49" t="s">
        <v>27818</v>
      </c>
    </row>
    <row r="1298" spans="1:20" x14ac:dyDescent="0.2">
      <c r="A1298" s="49" t="s">
        <v>30</v>
      </c>
      <c r="D1298" s="49" t="s">
        <v>17244</v>
      </c>
      <c r="G1298" s="49" t="s">
        <v>17245</v>
      </c>
      <c r="H1298" s="49" t="s">
        <v>27630</v>
      </c>
      <c r="I1298" s="49" t="s">
        <v>27657</v>
      </c>
      <c r="J1298" s="49" t="s">
        <v>27846</v>
      </c>
      <c r="K1298" s="49" t="s">
        <v>27873</v>
      </c>
      <c r="L1298" s="49" t="s">
        <v>17246</v>
      </c>
      <c r="M1298" s="49" t="s">
        <v>17247</v>
      </c>
      <c r="N1298" s="49" t="s">
        <v>17248</v>
      </c>
      <c r="O1298" s="49" t="s">
        <v>27684</v>
      </c>
      <c r="P1298" s="49" t="s">
        <v>27711</v>
      </c>
      <c r="Q1298" s="49" t="s">
        <v>27738</v>
      </c>
      <c r="R1298" s="49" t="s">
        <v>27765</v>
      </c>
      <c r="S1298" s="49" t="s">
        <v>27792</v>
      </c>
      <c r="T1298" s="49" t="s">
        <v>27819</v>
      </c>
    </row>
    <row r="1299" spans="1:20" x14ac:dyDescent="0.2">
      <c r="A1299" s="49" t="s">
        <v>30</v>
      </c>
      <c r="D1299" s="49" t="s">
        <v>17249</v>
      </c>
      <c r="G1299" s="49" t="s">
        <v>17250</v>
      </c>
      <c r="H1299" s="49" t="s">
        <v>27631</v>
      </c>
      <c r="I1299" s="49" t="s">
        <v>27658</v>
      </c>
      <c r="J1299" s="49" t="s">
        <v>27847</v>
      </c>
      <c r="K1299" s="49" t="s">
        <v>27874</v>
      </c>
      <c r="L1299" s="49" t="s">
        <v>17251</v>
      </c>
      <c r="M1299" s="49" t="s">
        <v>17252</v>
      </c>
      <c r="N1299" s="49" t="s">
        <v>17253</v>
      </c>
      <c r="O1299" s="49" t="s">
        <v>27685</v>
      </c>
      <c r="P1299" s="49" t="s">
        <v>27712</v>
      </c>
      <c r="Q1299" s="49" t="s">
        <v>27739</v>
      </c>
      <c r="R1299" s="49" t="s">
        <v>27766</v>
      </c>
      <c r="S1299" s="49" t="s">
        <v>27793</v>
      </c>
      <c r="T1299" s="49" t="s">
        <v>27820</v>
      </c>
    </row>
    <row r="1300" spans="1:20" x14ac:dyDescent="0.2">
      <c r="A1300" s="49" t="s">
        <v>30</v>
      </c>
      <c r="D1300" s="49" t="s">
        <v>17254</v>
      </c>
      <c r="G1300" s="49" t="s">
        <v>17255</v>
      </c>
      <c r="H1300" s="49" t="s">
        <v>27632</v>
      </c>
      <c r="I1300" s="49" t="s">
        <v>27659</v>
      </c>
      <c r="J1300" s="49" t="s">
        <v>27848</v>
      </c>
      <c r="K1300" s="49" t="s">
        <v>27875</v>
      </c>
      <c r="L1300" s="49" t="s">
        <v>17256</v>
      </c>
      <c r="M1300" s="49" t="s">
        <v>17257</v>
      </c>
      <c r="N1300" s="49" t="s">
        <v>17258</v>
      </c>
      <c r="O1300" s="49" t="s">
        <v>27686</v>
      </c>
      <c r="P1300" s="49" t="s">
        <v>27713</v>
      </c>
      <c r="Q1300" s="49" t="s">
        <v>27740</v>
      </c>
      <c r="R1300" s="49" t="s">
        <v>27767</v>
      </c>
      <c r="S1300" s="49" t="s">
        <v>27794</v>
      </c>
      <c r="T1300" s="49" t="s">
        <v>27821</v>
      </c>
    </row>
    <row r="1301" spans="1:20" x14ac:dyDescent="0.2">
      <c r="A1301" s="49" t="s">
        <v>30</v>
      </c>
      <c r="D1301" s="49" t="s">
        <v>17259</v>
      </c>
      <c r="G1301" s="49" t="s">
        <v>17260</v>
      </c>
      <c r="H1301" s="49" t="s">
        <v>27633</v>
      </c>
      <c r="I1301" s="49" t="s">
        <v>27660</v>
      </c>
      <c r="J1301" s="49" t="s">
        <v>27849</v>
      </c>
      <c r="K1301" s="49" t="s">
        <v>27876</v>
      </c>
      <c r="L1301" s="49" t="s">
        <v>17261</v>
      </c>
      <c r="M1301" s="49" t="s">
        <v>17262</v>
      </c>
      <c r="N1301" s="49" t="s">
        <v>17263</v>
      </c>
      <c r="O1301" s="49" t="s">
        <v>27687</v>
      </c>
      <c r="P1301" s="49" t="s">
        <v>27714</v>
      </c>
      <c r="Q1301" s="49" t="s">
        <v>27741</v>
      </c>
      <c r="R1301" s="49" t="s">
        <v>27768</v>
      </c>
      <c r="S1301" s="49" t="s">
        <v>27795</v>
      </c>
      <c r="T1301" s="49" t="s">
        <v>27822</v>
      </c>
    </row>
    <row r="1302" spans="1:20" x14ac:dyDescent="0.2">
      <c r="A1302" s="49" t="s">
        <v>30</v>
      </c>
      <c r="D1302" s="49" t="s">
        <v>17264</v>
      </c>
      <c r="G1302" s="49" t="s">
        <v>17265</v>
      </c>
      <c r="H1302" s="49" t="s">
        <v>27634</v>
      </c>
      <c r="I1302" s="49" t="s">
        <v>27661</v>
      </c>
      <c r="J1302" s="49" t="s">
        <v>27850</v>
      </c>
      <c r="K1302" s="49" t="s">
        <v>27877</v>
      </c>
      <c r="L1302" s="49" t="s">
        <v>17266</v>
      </c>
      <c r="M1302" s="49" t="s">
        <v>17267</v>
      </c>
      <c r="N1302" s="49" t="s">
        <v>17268</v>
      </c>
      <c r="O1302" s="49" t="s">
        <v>27688</v>
      </c>
      <c r="P1302" s="49" t="s">
        <v>27715</v>
      </c>
      <c r="Q1302" s="49" t="s">
        <v>27742</v>
      </c>
      <c r="R1302" s="49" t="s">
        <v>27769</v>
      </c>
      <c r="S1302" s="49" t="s">
        <v>27796</v>
      </c>
      <c r="T1302" s="49" t="s">
        <v>27823</v>
      </c>
    </row>
    <row r="1303" spans="1:20" x14ac:dyDescent="0.2">
      <c r="A1303" s="49" t="s">
        <v>30</v>
      </c>
      <c r="D1303" s="49" t="s">
        <v>17269</v>
      </c>
      <c r="G1303" s="49" t="s">
        <v>17270</v>
      </c>
      <c r="H1303" s="49" t="s">
        <v>27635</v>
      </c>
      <c r="I1303" s="49" t="s">
        <v>27662</v>
      </c>
      <c r="J1303" s="49" t="s">
        <v>27851</v>
      </c>
      <c r="K1303" s="49" t="s">
        <v>27878</v>
      </c>
      <c r="L1303" s="49" t="s">
        <v>17271</v>
      </c>
      <c r="M1303" s="49" t="s">
        <v>17272</v>
      </c>
      <c r="N1303" s="49" t="s">
        <v>17273</v>
      </c>
      <c r="O1303" s="49" t="s">
        <v>27689</v>
      </c>
      <c r="P1303" s="49" t="s">
        <v>27716</v>
      </c>
      <c r="Q1303" s="49" t="s">
        <v>27743</v>
      </c>
      <c r="R1303" s="49" t="s">
        <v>27770</v>
      </c>
      <c r="S1303" s="49" t="s">
        <v>27797</v>
      </c>
      <c r="T1303" s="49" t="s">
        <v>27824</v>
      </c>
    </row>
    <row r="1304" spans="1:20" x14ac:dyDescent="0.2">
      <c r="A1304" s="49" t="s">
        <v>30</v>
      </c>
      <c r="D1304" s="49" t="s">
        <v>17274</v>
      </c>
      <c r="G1304" s="49" t="s">
        <v>17275</v>
      </c>
      <c r="H1304" s="49" t="s">
        <v>27636</v>
      </c>
      <c r="I1304" s="49" t="s">
        <v>27663</v>
      </c>
      <c r="J1304" s="49" t="s">
        <v>27852</v>
      </c>
      <c r="K1304" s="49" t="s">
        <v>27879</v>
      </c>
      <c r="L1304" s="49" t="s">
        <v>17276</v>
      </c>
      <c r="M1304" s="49" t="s">
        <v>17277</v>
      </c>
      <c r="N1304" s="49" t="s">
        <v>17278</v>
      </c>
      <c r="O1304" s="49" t="s">
        <v>27690</v>
      </c>
      <c r="P1304" s="49" t="s">
        <v>27717</v>
      </c>
      <c r="Q1304" s="49" t="s">
        <v>27744</v>
      </c>
      <c r="R1304" s="49" t="s">
        <v>27771</v>
      </c>
      <c r="S1304" s="49" t="s">
        <v>27798</v>
      </c>
      <c r="T1304" s="49" t="s">
        <v>27825</v>
      </c>
    </row>
    <row r="1305" spans="1:20" x14ac:dyDescent="0.2">
      <c r="A1305" s="49" t="s">
        <v>30</v>
      </c>
      <c r="D1305" s="49" t="s">
        <v>17279</v>
      </c>
      <c r="G1305" s="49" t="s">
        <v>17280</v>
      </c>
      <c r="H1305" s="49" t="s">
        <v>27637</v>
      </c>
      <c r="I1305" s="49" t="s">
        <v>27664</v>
      </c>
      <c r="J1305" s="49" t="s">
        <v>27853</v>
      </c>
      <c r="K1305" s="49" t="s">
        <v>27880</v>
      </c>
      <c r="L1305" s="49" t="s">
        <v>17281</v>
      </c>
      <c r="M1305" s="49" t="s">
        <v>17282</v>
      </c>
      <c r="N1305" s="49" t="s">
        <v>17283</v>
      </c>
      <c r="O1305" s="49" t="s">
        <v>27691</v>
      </c>
      <c r="P1305" s="49" t="s">
        <v>27718</v>
      </c>
      <c r="Q1305" s="49" t="s">
        <v>27745</v>
      </c>
      <c r="R1305" s="49" t="s">
        <v>27772</v>
      </c>
      <c r="S1305" s="49" t="s">
        <v>27799</v>
      </c>
      <c r="T1305" s="49" t="s">
        <v>27826</v>
      </c>
    </row>
    <row r="1306" spans="1:20" x14ac:dyDescent="0.2">
      <c r="A1306" s="49" t="s">
        <v>30</v>
      </c>
      <c r="D1306" s="49" t="s">
        <v>17284</v>
      </c>
      <c r="G1306" s="49" t="s">
        <v>17285</v>
      </c>
      <c r="H1306" s="49" t="s">
        <v>27638</v>
      </c>
      <c r="I1306" s="49" t="s">
        <v>27665</v>
      </c>
      <c r="J1306" s="49" t="s">
        <v>27854</v>
      </c>
      <c r="K1306" s="49" t="s">
        <v>27881</v>
      </c>
      <c r="L1306" s="49" t="s">
        <v>17286</v>
      </c>
      <c r="M1306" s="49" t="s">
        <v>17287</v>
      </c>
      <c r="N1306" s="49" t="s">
        <v>17288</v>
      </c>
      <c r="O1306" s="49" t="s">
        <v>27692</v>
      </c>
      <c r="P1306" s="49" t="s">
        <v>27719</v>
      </c>
      <c r="Q1306" s="49" t="s">
        <v>27746</v>
      </c>
      <c r="R1306" s="49" t="s">
        <v>27773</v>
      </c>
      <c r="S1306" s="49" t="s">
        <v>27800</v>
      </c>
      <c r="T1306" s="49" t="s">
        <v>27827</v>
      </c>
    </row>
    <row r="1307" spans="1:20" x14ac:dyDescent="0.2">
      <c r="A1307" s="49" t="s">
        <v>30</v>
      </c>
      <c r="D1307" s="49" t="s">
        <v>17289</v>
      </c>
      <c r="G1307" s="49" t="s">
        <v>17290</v>
      </c>
      <c r="H1307" s="49" t="s">
        <v>27639</v>
      </c>
      <c r="I1307" s="49" t="s">
        <v>27666</v>
      </c>
      <c r="J1307" s="49" t="s">
        <v>27855</v>
      </c>
      <c r="K1307" s="49" t="s">
        <v>27882</v>
      </c>
      <c r="L1307" s="49" t="s">
        <v>17291</v>
      </c>
      <c r="M1307" s="49" t="s">
        <v>17292</v>
      </c>
      <c r="N1307" s="49" t="s">
        <v>17293</v>
      </c>
      <c r="O1307" s="49" t="s">
        <v>27693</v>
      </c>
      <c r="P1307" s="49" t="s">
        <v>27720</v>
      </c>
      <c r="Q1307" s="49" t="s">
        <v>27747</v>
      </c>
      <c r="R1307" s="49" t="s">
        <v>27774</v>
      </c>
      <c r="S1307" s="49" t="s">
        <v>27801</v>
      </c>
      <c r="T1307" s="49" t="s">
        <v>27828</v>
      </c>
    </row>
    <row r="1308" spans="1:20" x14ac:dyDescent="0.2">
      <c r="A1308" s="49" t="s">
        <v>30</v>
      </c>
      <c r="D1308" s="49" t="s">
        <v>17294</v>
      </c>
      <c r="G1308" s="49" t="s">
        <v>17295</v>
      </c>
      <c r="H1308" s="49" t="s">
        <v>27640</v>
      </c>
      <c r="I1308" s="49" t="s">
        <v>27667</v>
      </c>
      <c r="J1308" s="49" t="s">
        <v>27856</v>
      </c>
      <c r="K1308" s="49" t="s">
        <v>27883</v>
      </c>
      <c r="L1308" s="49" t="s">
        <v>17296</v>
      </c>
      <c r="M1308" s="49" t="s">
        <v>17297</v>
      </c>
      <c r="N1308" s="49" t="s">
        <v>17298</v>
      </c>
      <c r="O1308" s="49" t="s">
        <v>27694</v>
      </c>
      <c r="P1308" s="49" t="s">
        <v>27721</v>
      </c>
      <c r="Q1308" s="49" t="s">
        <v>27748</v>
      </c>
      <c r="R1308" s="49" t="s">
        <v>27775</v>
      </c>
      <c r="S1308" s="49" t="s">
        <v>27802</v>
      </c>
      <c r="T1308" s="49" t="s">
        <v>27829</v>
      </c>
    </row>
    <row r="1309" spans="1:20" x14ac:dyDescent="0.2">
      <c r="A1309" s="49" t="s">
        <v>30</v>
      </c>
      <c r="D1309" s="49" t="s">
        <v>17299</v>
      </c>
      <c r="G1309" s="49" t="s">
        <v>17300</v>
      </c>
      <c r="H1309" s="49" t="s">
        <v>27641</v>
      </c>
      <c r="I1309" s="49" t="s">
        <v>27668</v>
      </c>
      <c r="J1309" s="49" t="s">
        <v>27857</v>
      </c>
      <c r="K1309" s="49" t="s">
        <v>27884</v>
      </c>
      <c r="L1309" s="49" t="s">
        <v>17301</v>
      </c>
      <c r="M1309" s="49" t="s">
        <v>17302</v>
      </c>
      <c r="N1309" s="49" t="s">
        <v>17303</v>
      </c>
      <c r="O1309" s="49" t="s">
        <v>27695</v>
      </c>
      <c r="P1309" s="49" t="s">
        <v>27722</v>
      </c>
      <c r="Q1309" s="49" t="s">
        <v>27749</v>
      </c>
      <c r="R1309" s="49" t="s">
        <v>27776</v>
      </c>
      <c r="S1309" s="49" t="s">
        <v>27803</v>
      </c>
      <c r="T1309" s="49" t="s">
        <v>27830</v>
      </c>
    </row>
    <row r="1310" spans="1:20" x14ac:dyDescent="0.2">
      <c r="A1310" s="49" t="s">
        <v>30</v>
      </c>
      <c r="D1310" s="49" t="s">
        <v>17304</v>
      </c>
      <c r="G1310" s="49" t="s">
        <v>17305</v>
      </c>
      <c r="H1310" s="49" t="s">
        <v>27642</v>
      </c>
      <c r="I1310" s="49" t="s">
        <v>27669</v>
      </c>
      <c r="J1310" s="49" t="s">
        <v>27858</v>
      </c>
      <c r="K1310" s="49" t="s">
        <v>27885</v>
      </c>
      <c r="L1310" s="49" t="s">
        <v>17306</v>
      </c>
      <c r="M1310" s="49" t="s">
        <v>17307</v>
      </c>
      <c r="N1310" s="49" t="s">
        <v>17308</v>
      </c>
      <c r="O1310" s="49" t="s">
        <v>27696</v>
      </c>
      <c r="P1310" s="49" t="s">
        <v>27723</v>
      </c>
      <c r="Q1310" s="49" t="s">
        <v>27750</v>
      </c>
      <c r="R1310" s="49" t="s">
        <v>27777</v>
      </c>
      <c r="S1310" s="49" t="s">
        <v>27804</v>
      </c>
      <c r="T1310" s="49" t="s">
        <v>27831</v>
      </c>
    </row>
    <row r="1311" spans="1:20" x14ac:dyDescent="0.2">
      <c r="A1311" s="49" t="s">
        <v>30</v>
      </c>
      <c r="D1311" s="49" t="s">
        <v>17309</v>
      </c>
      <c r="G1311" s="49" t="s">
        <v>17310</v>
      </c>
      <c r="H1311" s="49" t="s">
        <v>27643</v>
      </c>
      <c r="I1311" s="49" t="s">
        <v>27670</v>
      </c>
      <c r="J1311" s="49" t="s">
        <v>27859</v>
      </c>
      <c r="K1311" s="49" t="s">
        <v>27886</v>
      </c>
      <c r="L1311" s="49" t="s">
        <v>17311</v>
      </c>
      <c r="M1311" s="49" t="s">
        <v>17312</v>
      </c>
      <c r="N1311" s="49" t="s">
        <v>17313</v>
      </c>
      <c r="O1311" s="49" t="s">
        <v>27697</v>
      </c>
      <c r="P1311" s="49" t="s">
        <v>27724</v>
      </c>
      <c r="Q1311" s="49" t="s">
        <v>27751</v>
      </c>
      <c r="R1311" s="49" t="s">
        <v>27778</v>
      </c>
      <c r="S1311" s="49" t="s">
        <v>27805</v>
      </c>
      <c r="T1311" s="49" t="s">
        <v>27832</v>
      </c>
    </row>
    <row r="1312" spans="1:20" x14ac:dyDescent="0.2">
      <c r="A1312" s="49" t="s">
        <v>30</v>
      </c>
      <c r="D1312" s="49" t="s">
        <v>17314</v>
      </c>
      <c r="G1312" s="49" t="s">
        <v>17315</v>
      </c>
      <c r="H1312" s="49" t="s">
        <v>27644</v>
      </c>
      <c r="I1312" s="49" t="s">
        <v>27671</v>
      </c>
      <c r="J1312" s="49" t="s">
        <v>27860</v>
      </c>
      <c r="K1312" s="49" t="s">
        <v>27887</v>
      </c>
      <c r="L1312" s="49" t="s">
        <v>17316</v>
      </c>
      <c r="M1312" s="49" t="s">
        <v>17317</v>
      </c>
      <c r="N1312" s="49" t="s">
        <v>17318</v>
      </c>
      <c r="O1312" s="49" t="s">
        <v>27698</v>
      </c>
      <c r="P1312" s="49" t="s">
        <v>27725</v>
      </c>
      <c r="Q1312" s="49" t="s">
        <v>27752</v>
      </c>
      <c r="R1312" s="49" t="s">
        <v>27779</v>
      </c>
      <c r="S1312" s="49" t="s">
        <v>27806</v>
      </c>
      <c r="T1312" s="49" t="s">
        <v>27833</v>
      </c>
    </row>
    <row r="1313" spans="1:21" x14ac:dyDescent="0.2">
      <c r="A1313" s="49" t="s">
        <v>30</v>
      </c>
      <c r="D1313" s="49" t="s">
        <v>17319</v>
      </c>
      <c r="G1313" s="49" t="s">
        <v>17320</v>
      </c>
      <c r="H1313" s="49" t="s">
        <v>27645</v>
      </c>
      <c r="I1313" s="49" t="s">
        <v>27672</v>
      </c>
      <c r="J1313" s="49" t="s">
        <v>27861</v>
      </c>
      <c r="K1313" s="49" t="s">
        <v>27888</v>
      </c>
      <c r="L1313" s="49" t="s">
        <v>17321</v>
      </c>
      <c r="M1313" s="49" t="s">
        <v>17322</v>
      </c>
      <c r="N1313" s="49" t="s">
        <v>17323</v>
      </c>
      <c r="O1313" s="49" t="s">
        <v>27699</v>
      </c>
      <c r="P1313" s="49" t="s">
        <v>27726</v>
      </c>
      <c r="Q1313" s="49" t="s">
        <v>27753</v>
      </c>
      <c r="R1313" s="49" t="s">
        <v>27780</v>
      </c>
      <c r="S1313" s="49" t="s">
        <v>27807</v>
      </c>
      <c r="T1313" s="49" t="s">
        <v>27834</v>
      </c>
    </row>
    <row r="1314" spans="1:21" x14ac:dyDescent="0.2">
      <c r="A1314" s="49" t="s">
        <v>30</v>
      </c>
      <c r="D1314" s="49" t="s">
        <v>17324</v>
      </c>
      <c r="G1314" s="49" t="s">
        <v>17325</v>
      </c>
      <c r="H1314" s="49" t="s">
        <v>27646</v>
      </c>
      <c r="I1314" s="49" t="s">
        <v>27673</v>
      </c>
      <c r="J1314" s="49" t="s">
        <v>27862</v>
      </c>
      <c r="K1314" s="49" t="s">
        <v>27889</v>
      </c>
      <c r="L1314" s="49" t="s">
        <v>17326</v>
      </c>
      <c r="M1314" s="49" t="s">
        <v>17327</v>
      </c>
      <c r="N1314" s="49" t="s">
        <v>17328</v>
      </c>
      <c r="O1314" s="49" t="s">
        <v>27700</v>
      </c>
      <c r="P1314" s="49" t="s">
        <v>27727</v>
      </c>
      <c r="Q1314" s="49" t="s">
        <v>27754</v>
      </c>
      <c r="R1314" s="49" t="s">
        <v>27781</v>
      </c>
      <c r="S1314" s="49" t="s">
        <v>27808</v>
      </c>
      <c r="T1314" s="49" t="s">
        <v>27835</v>
      </c>
    </row>
    <row r="1315" spans="1:21" x14ac:dyDescent="0.2">
      <c r="A1315" s="49" t="s">
        <v>30</v>
      </c>
      <c r="D1315" s="49" t="s">
        <v>17329</v>
      </c>
      <c r="G1315" s="49" t="s">
        <v>17330</v>
      </c>
      <c r="H1315" s="49" t="s">
        <v>27647</v>
      </c>
      <c r="I1315" s="49" t="s">
        <v>27674</v>
      </c>
      <c r="J1315" s="49" t="s">
        <v>27863</v>
      </c>
      <c r="K1315" s="49" t="s">
        <v>27890</v>
      </c>
      <c r="L1315" s="49" t="s">
        <v>17331</v>
      </c>
      <c r="M1315" s="49" t="s">
        <v>17332</v>
      </c>
      <c r="N1315" s="49" t="s">
        <v>17333</v>
      </c>
      <c r="O1315" s="49" t="s">
        <v>27701</v>
      </c>
      <c r="P1315" s="49" t="s">
        <v>27728</v>
      </c>
      <c r="Q1315" s="49" t="s">
        <v>27755</v>
      </c>
      <c r="R1315" s="49" t="s">
        <v>27782</v>
      </c>
      <c r="S1315" s="49" t="s">
        <v>27809</v>
      </c>
      <c r="T1315" s="49" t="s">
        <v>27836</v>
      </c>
    </row>
    <row r="1316" spans="1:21" x14ac:dyDescent="0.2">
      <c r="A1316" s="49" t="s">
        <v>30</v>
      </c>
      <c r="D1316" s="49" t="s">
        <v>17334</v>
      </c>
      <c r="G1316" s="49" t="s">
        <v>17335</v>
      </c>
      <c r="H1316" s="49" t="s">
        <v>27648</v>
      </c>
      <c r="I1316" s="49" t="s">
        <v>27675</v>
      </c>
      <c r="J1316" s="49" t="s">
        <v>27864</v>
      </c>
      <c r="K1316" s="49" t="s">
        <v>27891</v>
      </c>
      <c r="L1316" s="49" t="s">
        <v>17336</v>
      </c>
      <c r="M1316" s="49" t="s">
        <v>17337</v>
      </c>
      <c r="N1316" s="49" t="s">
        <v>17338</v>
      </c>
      <c r="O1316" s="49" t="s">
        <v>27702</v>
      </c>
      <c r="P1316" s="49" t="s">
        <v>27729</v>
      </c>
      <c r="Q1316" s="49" t="s">
        <v>27756</v>
      </c>
      <c r="R1316" s="49" t="s">
        <v>27783</v>
      </c>
      <c r="S1316" s="49" t="s">
        <v>27810</v>
      </c>
      <c r="T1316" s="49" t="s">
        <v>27837</v>
      </c>
    </row>
    <row r="1317" spans="1:21" x14ac:dyDescent="0.2">
      <c r="A1317" s="49" t="s">
        <v>30</v>
      </c>
      <c r="D1317" s="49" t="s">
        <v>17339</v>
      </c>
      <c r="G1317" s="49" t="s">
        <v>17340</v>
      </c>
      <c r="H1317" s="49" t="s">
        <v>27649</v>
      </c>
      <c r="I1317" s="49" t="s">
        <v>27676</v>
      </c>
      <c r="J1317" s="49" t="s">
        <v>27865</v>
      </c>
      <c r="K1317" s="49" t="s">
        <v>27892</v>
      </c>
      <c r="L1317" s="49" t="s">
        <v>17341</v>
      </c>
      <c r="M1317" s="49" t="s">
        <v>17342</v>
      </c>
      <c r="N1317" s="49" t="s">
        <v>17343</v>
      </c>
      <c r="O1317" s="49" t="s">
        <v>27703</v>
      </c>
      <c r="P1317" s="49" t="s">
        <v>27730</v>
      </c>
      <c r="Q1317" s="49" t="s">
        <v>27757</v>
      </c>
      <c r="R1317" s="49" t="s">
        <v>27784</v>
      </c>
      <c r="S1317" s="49" t="s">
        <v>27811</v>
      </c>
      <c r="T1317" s="49" t="s">
        <v>27838</v>
      </c>
    </row>
    <row r="1318" spans="1:21" x14ac:dyDescent="0.2">
      <c r="A1318" s="49" t="s">
        <v>30</v>
      </c>
      <c r="D1318" s="49" t="s">
        <v>17344</v>
      </c>
      <c r="G1318" s="49" t="s">
        <v>17345</v>
      </c>
      <c r="H1318" s="49" t="s">
        <v>27650</v>
      </c>
      <c r="I1318" s="49" t="s">
        <v>27677</v>
      </c>
      <c r="J1318" s="49" t="s">
        <v>27866</v>
      </c>
      <c r="K1318" s="49" t="s">
        <v>27893</v>
      </c>
      <c r="L1318" s="49" t="s">
        <v>17346</v>
      </c>
      <c r="M1318" s="49" t="s">
        <v>17347</v>
      </c>
      <c r="N1318" s="49" t="s">
        <v>17348</v>
      </c>
      <c r="O1318" s="49" t="s">
        <v>27704</v>
      </c>
      <c r="P1318" s="49" t="s">
        <v>27731</v>
      </c>
      <c r="Q1318" s="49" t="s">
        <v>27758</v>
      </c>
      <c r="R1318" s="49" t="s">
        <v>27785</v>
      </c>
      <c r="S1318" s="49" t="s">
        <v>27812</v>
      </c>
      <c r="T1318" s="49" t="s">
        <v>27839</v>
      </c>
    </row>
    <row r="1319" spans="1:21" x14ac:dyDescent="0.2">
      <c r="A1319" s="49" t="s">
        <v>30</v>
      </c>
      <c r="D1319" s="49" t="s">
        <v>17349</v>
      </c>
      <c r="G1319" s="49" t="s">
        <v>17350</v>
      </c>
      <c r="H1319" s="49" t="s">
        <v>27651</v>
      </c>
      <c r="I1319" s="49" t="s">
        <v>27678</v>
      </c>
      <c r="J1319" s="49" t="s">
        <v>27867</v>
      </c>
      <c r="K1319" s="49" t="s">
        <v>27894</v>
      </c>
      <c r="L1319" s="49" t="s">
        <v>17351</v>
      </c>
      <c r="M1319" s="49" t="s">
        <v>17352</v>
      </c>
      <c r="N1319" s="49" t="s">
        <v>17353</v>
      </c>
      <c r="O1319" s="49" t="s">
        <v>27705</v>
      </c>
      <c r="P1319" s="49" t="s">
        <v>27732</v>
      </c>
      <c r="Q1319" s="49" t="s">
        <v>27759</v>
      </c>
      <c r="R1319" s="49" t="s">
        <v>27786</v>
      </c>
      <c r="S1319" s="49" t="s">
        <v>27813</v>
      </c>
      <c r="T1319" s="49" t="s">
        <v>27840</v>
      </c>
    </row>
    <row r="1320" spans="1:21" x14ac:dyDescent="0.2">
      <c r="A1320" s="49" t="s">
        <v>30</v>
      </c>
      <c r="D1320" s="49" t="s">
        <v>17354</v>
      </c>
      <c r="G1320" s="49" t="s">
        <v>17355</v>
      </c>
      <c r="H1320" s="49" t="s">
        <v>27652</v>
      </c>
      <c r="I1320" s="49" t="s">
        <v>27679</v>
      </c>
      <c r="J1320" s="49" t="s">
        <v>27868</v>
      </c>
      <c r="K1320" s="49" t="s">
        <v>27895</v>
      </c>
      <c r="L1320" s="49" t="s">
        <v>17356</v>
      </c>
      <c r="M1320" s="49" t="s">
        <v>17357</v>
      </c>
      <c r="N1320" s="49" t="s">
        <v>17358</v>
      </c>
      <c r="O1320" s="49" t="s">
        <v>27706</v>
      </c>
      <c r="P1320" s="49" t="s">
        <v>27733</v>
      </c>
      <c r="Q1320" s="49" t="s">
        <v>27760</v>
      </c>
      <c r="R1320" s="49" t="s">
        <v>27787</v>
      </c>
      <c r="S1320" s="49" t="s">
        <v>27814</v>
      </c>
      <c r="T1320" s="49" t="s">
        <v>27841</v>
      </c>
    </row>
    <row r="1321" spans="1:21" x14ac:dyDescent="0.2">
      <c r="A1321" s="49" t="s">
        <v>30</v>
      </c>
    </row>
    <row r="1322" spans="1:21" x14ac:dyDescent="0.2">
      <c r="A1322" s="49" t="s">
        <v>30</v>
      </c>
      <c r="E1322" s="49" t="s">
        <v>31</v>
      </c>
      <c r="F1322" s="49" t="s">
        <v>31</v>
      </c>
      <c r="G1322" s="49" t="s">
        <v>31</v>
      </c>
      <c r="J1322" s="49" t="s">
        <v>31</v>
      </c>
      <c r="K1322" s="49" t="s">
        <v>31</v>
      </c>
      <c r="L1322" s="49" t="s">
        <v>31</v>
      </c>
      <c r="M1322" s="49" t="s">
        <v>31</v>
      </c>
    </row>
    <row r="1323" spans="1:21" x14ac:dyDescent="0.2">
      <c r="A1323" s="49" t="s">
        <v>30</v>
      </c>
      <c r="D1323" s="49" t="s">
        <v>17359</v>
      </c>
      <c r="E1323" s="49" t="s">
        <v>7291</v>
      </c>
      <c r="F1323" s="49" t="s">
        <v>17360</v>
      </c>
      <c r="H1323" s="49" t="s">
        <v>17361</v>
      </c>
      <c r="O1323" s="49" t="s">
        <v>17362</v>
      </c>
      <c r="P1323" s="49" t="s">
        <v>17363</v>
      </c>
      <c r="Q1323" s="49" t="s">
        <v>17364</v>
      </c>
      <c r="R1323" s="49" t="s">
        <v>17365</v>
      </c>
      <c r="S1323" s="49" t="s">
        <v>17366</v>
      </c>
      <c r="T1323" s="49" t="s">
        <v>17367</v>
      </c>
      <c r="U1323" s="49" t="s">
        <v>17368</v>
      </c>
    </row>
    <row r="1324" spans="1:21" x14ac:dyDescent="0.2">
      <c r="A1324" s="49" t="s">
        <v>30</v>
      </c>
      <c r="D1324" s="49" t="s">
        <v>17369</v>
      </c>
      <c r="G1324" s="49" t="s">
        <v>17370</v>
      </c>
      <c r="H1324" s="49" t="s">
        <v>27546</v>
      </c>
      <c r="I1324" s="49" t="s">
        <v>27554</v>
      </c>
      <c r="J1324" s="49" t="s">
        <v>27610</v>
      </c>
      <c r="K1324" s="49" t="s">
        <v>27618</v>
      </c>
      <c r="L1324" s="49" t="s">
        <v>17371</v>
      </c>
      <c r="M1324" s="49" t="s">
        <v>17372</v>
      </c>
      <c r="N1324" s="49" t="s">
        <v>17373</v>
      </c>
      <c r="O1324" s="49" t="s">
        <v>27562</v>
      </c>
      <c r="P1324" s="49" t="s">
        <v>27570</v>
      </c>
      <c r="Q1324" s="49" t="s">
        <v>27578</v>
      </c>
      <c r="R1324" s="49" t="s">
        <v>27586</v>
      </c>
      <c r="S1324" s="49" t="s">
        <v>27594</v>
      </c>
      <c r="T1324" s="49" t="s">
        <v>27602</v>
      </c>
    </row>
    <row r="1325" spans="1:21" x14ac:dyDescent="0.2">
      <c r="A1325" s="49" t="s">
        <v>30</v>
      </c>
      <c r="D1325" s="49" t="s">
        <v>17374</v>
      </c>
      <c r="G1325" s="49" t="s">
        <v>17375</v>
      </c>
      <c r="H1325" s="49" t="s">
        <v>27547</v>
      </c>
      <c r="I1325" s="49" t="s">
        <v>27555</v>
      </c>
      <c r="J1325" s="49" t="s">
        <v>27611</v>
      </c>
      <c r="K1325" s="49" t="s">
        <v>27619</v>
      </c>
      <c r="L1325" s="49" t="s">
        <v>17376</v>
      </c>
      <c r="M1325" s="49" t="s">
        <v>17377</v>
      </c>
      <c r="N1325" s="49" t="s">
        <v>17378</v>
      </c>
      <c r="O1325" s="49" t="s">
        <v>27563</v>
      </c>
      <c r="P1325" s="49" t="s">
        <v>27571</v>
      </c>
      <c r="Q1325" s="49" t="s">
        <v>27579</v>
      </c>
      <c r="R1325" s="49" t="s">
        <v>27587</v>
      </c>
      <c r="S1325" s="49" t="s">
        <v>27595</v>
      </c>
      <c r="T1325" s="49" t="s">
        <v>27603</v>
      </c>
    </row>
    <row r="1326" spans="1:21" x14ac:dyDescent="0.2">
      <c r="A1326" s="49" t="s">
        <v>30</v>
      </c>
      <c r="D1326" s="49" t="s">
        <v>17379</v>
      </c>
      <c r="G1326" s="49" t="s">
        <v>17380</v>
      </c>
      <c r="H1326" s="49" t="s">
        <v>27548</v>
      </c>
      <c r="I1326" s="49" t="s">
        <v>27556</v>
      </c>
      <c r="J1326" s="49" t="s">
        <v>27612</v>
      </c>
      <c r="K1326" s="49" t="s">
        <v>27620</v>
      </c>
      <c r="L1326" s="49" t="s">
        <v>17381</v>
      </c>
      <c r="M1326" s="49" t="s">
        <v>17382</v>
      </c>
      <c r="N1326" s="49" t="s">
        <v>17383</v>
      </c>
      <c r="O1326" s="49" t="s">
        <v>27564</v>
      </c>
      <c r="P1326" s="49" t="s">
        <v>27572</v>
      </c>
      <c r="Q1326" s="49" t="s">
        <v>27580</v>
      </c>
      <c r="R1326" s="49" t="s">
        <v>27588</v>
      </c>
      <c r="S1326" s="49" t="s">
        <v>27596</v>
      </c>
      <c r="T1326" s="49" t="s">
        <v>27604</v>
      </c>
    </row>
    <row r="1327" spans="1:21" x14ac:dyDescent="0.2">
      <c r="A1327" s="49" t="s">
        <v>30</v>
      </c>
      <c r="D1327" s="49" t="s">
        <v>17384</v>
      </c>
      <c r="G1327" s="49" t="s">
        <v>17385</v>
      </c>
      <c r="H1327" s="49" t="s">
        <v>27549</v>
      </c>
      <c r="I1327" s="49" t="s">
        <v>27557</v>
      </c>
      <c r="J1327" s="49" t="s">
        <v>27613</v>
      </c>
      <c r="K1327" s="49" t="s">
        <v>27621</v>
      </c>
      <c r="L1327" s="49" t="s">
        <v>17386</v>
      </c>
      <c r="M1327" s="49" t="s">
        <v>17387</v>
      </c>
      <c r="N1327" s="49" t="s">
        <v>17388</v>
      </c>
      <c r="O1327" s="49" t="s">
        <v>27565</v>
      </c>
      <c r="P1327" s="49" t="s">
        <v>27573</v>
      </c>
      <c r="Q1327" s="49" t="s">
        <v>27581</v>
      </c>
      <c r="R1327" s="49" t="s">
        <v>27589</v>
      </c>
      <c r="S1327" s="49" t="s">
        <v>27597</v>
      </c>
      <c r="T1327" s="49" t="s">
        <v>27605</v>
      </c>
    </row>
    <row r="1328" spans="1:21" x14ac:dyDescent="0.2">
      <c r="A1328" s="49" t="s">
        <v>30</v>
      </c>
      <c r="D1328" s="49" t="s">
        <v>17389</v>
      </c>
      <c r="G1328" s="49" t="s">
        <v>17390</v>
      </c>
      <c r="H1328" s="49" t="s">
        <v>27550</v>
      </c>
      <c r="I1328" s="49" t="s">
        <v>27558</v>
      </c>
      <c r="J1328" s="49" t="s">
        <v>27614</v>
      </c>
      <c r="K1328" s="49" t="s">
        <v>27622</v>
      </c>
      <c r="L1328" s="49" t="s">
        <v>17391</v>
      </c>
      <c r="M1328" s="49" t="s">
        <v>17392</v>
      </c>
      <c r="N1328" s="49" t="s">
        <v>17393</v>
      </c>
      <c r="O1328" s="49" t="s">
        <v>27566</v>
      </c>
      <c r="P1328" s="49" t="s">
        <v>27574</v>
      </c>
      <c r="Q1328" s="49" t="s">
        <v>27582</v>
      </c>
      <c r="R1328" s="49" t="s">
        <v>27590</v>
      </c>
      <c r="S1328" s="49" t="s">
        <v>27598</v>
      </c>
      <c r="T1328" s="49" t="s">
        <v>27606</v>
      </c>
    </row>
    <row r="1329" spans="1:21" x14ac:dyDescent="0.2">
      <c r="A1329" s="49" t="s">
        <v>30</v>
      </c>
      <c r="D1329" s="49" t="s">
        <v>17394</v>
      </c>
      <c r="G1329" s="49" t="s">
        <v>17395</v>
      </c>
      <c r="H1329" s="49" t="s">
        <v>27551</v>
      </c>
      <c r="I1329" s="49" t="s">
        <v>27559</v>
      </c>
      <c r="J1329" s="49" t="s">
        <v>27615</v>
      </c>
      <c r="K1329" s="49" t="s">
        <v>27623</v>
      </c>
      <c r="L1329" s="49" t="s">
        <v>17396</v>
      </c>
      <c r="M1329" s="49" t="s">
        <v>17397</v>
      </c>
      <c r="N1329" s="49" t="s">
        <v>17398</v>
      </c>
      <c r="O1329" s="49" t="s">
        <v>27567</v>
      </c>
      <c r="P1329" s="49" t="s">
        <v>27575</v>
      </c>
      <c r="Q1329" s="49" t="s">
        <v>27583</v>
      </c>
      <c r="R1329" s="49" t="s">
        <v>27591</v>
      </c>
      <c r="S1329" s="49" t="s">
        <v>27599</v>
      </c>
      <c r="T1329" s="49" t="s">
        <v>27607</v>
      </c>
    </row>
    <row r="1330" spans="1:21" x14ac:dyDescent="0.2">
      <c r="A1330" s="49" t="s">
        <v>30</v>
      </c>
      <c r="D1330" s="49" t="s">
        <v>17399</v>
      </c>
      <c r="G1330" s="49" t="s">
        <v>17400</v>
      </c>
      <c r="H1330" s="49" t="s">
        <v>27552</v>
      </c>
      <c r="I1330" s="49" t="s">
        <v>27560</v>
      </c>
      <c r="J1330" s="49" t="s">
        <v>27616</v>
      </c>
      <c r="K1330" s="49" t="s">
        <v>27624</v>
      </c>
      <c r="L1330" s="49" t="s">
        <v>17401</v>
      </c>
      <c r="M1330" s="49" t="s">
        <v>17402</v>
      </c>
      <c r="N1330" s="49" t="s">
        <v>17403</v>
      </c>
      <c r="O1330" s="49" t="s">
        <v>27568</v>
      </c>
      <c r="P1330" s="49" t="s">
        <v>27576</v>
      </c>
      <c r="Q1330" s="49" t="s">
        <v>27584</v>
      </c>
      <c r="R1330" s="49" t="s">
        <v>27592</v>
      </c>
      <c r="S1330" s="49" t="s">
        <v>27600</v>
      </c>
      <c r="T1330" s="49" t="s">
        <v>27608</v>
      </c>
    </row>
    <row r="1331" spans="1:21" x14ac:dyDescent="0.2">
      <c r="A1331" s="49" t="s">
        <v>30</v>
      </c>
      <c r="D1331" s="49" t="s">
        <v>17404</v>
      </c>
      <c r="G1331" s="49" t="s">
        <v>17405</v>
      </c>
      <c r="H1331" s="49" t="s">
        <v>27553</v>
      </c>
      <c r="I1331" s="49" t="s">
        <v>27561</v>
      </c>
      <c r="J1331" s="49" t="s">
        <v>27617</v>
      </c>
      <c r="K1331" s="49" t="s">
        <v>27625</v>
      </c>
      <c r="L1331" s="49" t="s">
        <v>17406</v>
      </c>
      <c r="M1331" s="49" t="s">
        <v>17407</v>
      </c>
      <c r="N1331" s="49" t="s">
        <v>17408</v>
      </c>
      <c r="O1331" s="49" t="s">
        <v>27569</v>
      </c>
      <c r="P1331" s="49" t="s">
        <v>27577</v>
      </c>
      <c r="Q1331" s="49" t="s">
        <v>27585</v>
      </c>
      <c r="R1331" s="49" t="s">
        <v>27593</v>
      </c>
      <c r="S1331" s="49" t="s">
        <v>27601</v>
      </c>
      <c r="T1331" s="49" t="s">
        <v>27609</v>
      </c>
    </row>
    <row r="1332" spans="1:21" x14ac:dyDescent="0.2">
      <c r="A1332" s="49" t="s">
        <v>30</v>
      </c>
    </row>
    <row r="1333" spans="1:21" x14ac:dyDescent="0.2">
      <c r="A1333" s="49" t="s">
        <v>30</v>
      </c>
      <c r="E1333" s="49" t="s">
        <v>31</v>
      </c>
      <c r="F1333" s="49" t="s">
        <v>31</v>
      </c>
      <c r="G1333" s="49" t="s">
        <v>31</v>
      </c>
      <c r="J1333" s="49" t="s">
        <v>31</v>
      </c>
      <c r="K1333" s="49" t="s">
        <v>31</v>
      </c>
      <c r="L1333" s="49" t="s">
        <v>31</v>
      </c>
      <c r="M1333" s="49" t="s">
        <v>31</v>
      </c>
    </row>
    <row r="1334" spans="1:21" x14ac:dyDescent="0.2">
      <c r="A1334" s="49" t="s">
        <v>30</v>
      </c>
      <c r="D1334" s="49" t="s">
        <v>17409</v>
      </c>
      <c r="E1334" s="49" t="s">
        <v>7328</v>
      </c>
      <c r="F1334" s="49" t="s">
        <v>17410</v>
      </c>
      <c r="H1334" s="49" t="s">
        <v>17411</v>
      </c>
      <c r="O1334" s="49" t="s">
        <v>17412</v>
      </c>
      <c r="P1334" s="49" t="s">
        <v>17413</v>
      </c>
      <c r="Q1334" s="49" t="s">
        <v>17414</v>
      </c>
      <c r="R1334" s="49" t="s">
        <v>17415</v>
      </c>
      <c r="S1334" s="49" t="s">
        <v>17416</v>
      </c>
      <c r="T1334" s="49" t="s">
        <v>17417</v>
      </c>
      <c r="U1334" s="49" t="s">
        <v>17418</v>
      </c>
    </row>
    <row r="1335" spans="1:21" x14ac:dyDescent="0.2">
      <c r="A1335" s="49" t="s">
        <v>30</v>
      </c>
      <c r="D1335" s="49" t="s">
        <v>17419</v>
      </c>
      <c r="G1335" s="49" t="s">
        <v>17420</v>
      </c>
      <c r="H1335" s="49" t="s">
        <v>27416</v>
      </c>
      <c r="I1335" s="49" t="s">
        <v>27429</v>
      </c>
      <c r="J1335" s="49" t="s">
        <v>27520</v>
      </c>
      <c r="K1335" s="49" t="s">
        <v>27533</v>
      </c>
      <c r="L1335" s="49" t="s">
        <v>17421</v>
      </c>
      <c r="M1335" s="49" t="s">
        <v>17422</v>
      </c>
      <c r="N1335" s="49" t="s">
        <v>17423</v>
      </c>
      <c r="O1335" s="49" t="s">
        <v>27442</v>
      </c>
      <c r="P1335" s="49" t="s">
        <v>27455</v>
      </c>
      <c r="Q1335" s="49" t="s">
        <v>27468</v>
      </c>
      <c r="R1335" s="49" t="s">
        <v>27481</v>
      </c>
      <c r="S1335" s="49" t="s">
        <v>27494</v>
      </c>
      <c r="T1335" s="49" t="s">
        <v>27507</v>
      </c>
    </row>
    <row r="1336" spans="1:21" x14ac:dyDescent="0.2">
      <c r="A1336" s="49" t="s">
        <v>30</v>
      </c>
      <c r="D1336" s="49" t="s">
        <v>17424</v>
      </c>
      <c r="G1336" s="49" t="s">
        <v>17425</v>
      </c>
      <c r="H1336" s="49" t="s">
        <v>27417</v>
      </c>
      <c r="I1336" s="49" t="s">
        <v>27430</v>
      </c>
      <c r="J1336" s="49" t="s">
        <v>27521</v>
      </c>
      <c r="K1336" s="49" t="s">
        <v>27534</v>
      </c>
      <c r="L1336" s="49" t="s">
        <v>17426</v>
      </c>
      <c r="M1336" s="49" t="s">
        <v>17427</v>
      </c>
      <c r="N1336" s="49" t="s">
        <v>17428</v>
      </c>
      <c r="O1336" s="49" t="s">
        <v>27443</v>
      </c>
      <c r="P1336" s="49" t="s">
        <v>27456</v>
      </c>
      <c r="Q1336" s="49" t="s">
        <v>27469</v>
      </c>
      <c r="R1336" s="49" t="s">
        <v>27482</v>
      </c>
      <c r="S1336" s="49" t="s">
        <v>27495</v>
      </c>
      <c r="T1336" s="49" t="s">
        <v>27508</v>
      </c>
    </row>
    <row r="1337" spans="1:21" x14ac:dyDescent="0.2">
      <c r="A1337" s="49" t="s">
        <v>30</v>
      </c>
      <c r="D1337" s="49" t="s">
        <v>17429</v>
      </c>
      <c r="G1337" s="49" t="s">
        <v>17430</v>
      </c>
      <c r="H1337" s="49" t="s">
        <v>27418</v>
      </c>
      <c r="I1337" s="49" t="s">
        <v>27431</v>
      </c>
      <c r="J1337" s="49" t="s">
        <v>27522</v>
      </c>
      <c r="K1337" s="49" t="s">
        <v>27535</v>
      </c>
      <c r="L1337" s="49" t="s">
        <v>17431</v>
      </c>
      <c r="M1337" s="49" t="s">
        <v>17432</v>
      </c>
      <c r="N1337" s="49" t="s">
        <v>17433</v>
      </c>
      <c r="O1337" s="49" t="s">
        <v>27444</v>
      </c>
      <c r="P1337" s="49" t="s">
        <v>27457</v>
      </c>
      <c r="Q1337" s="49" t="s">
        <v>27470</v>
      </c>
      <c r="R1337" s="49" t="s">
        <v>27483</v>
      </c>
      <c r="S1337" s="49" t="s">
        <v>27496</v>
      </c>
      <c r="T1337" s="49" t="s">
        <v>27509</v>
      </c>
    </row>
    <row r="1338" spans="1:21" x14ac:dyDescent="0.2">
      <c r="A1338" s="49" t="s">
        <v>30</v>
      </c>
      <c r="D1338" s="49" t="s">
        <v>17434</v>
      </c>
      <c r="G1338" s="49" t="s">
        <v>17435</v>
      </c>
      <c r="H1338" s="49" t="s">
        <v>27419</v>
      </c>
      <c r="I1338" s="49" t="s">
        <v>27432</v>
      </c>
      <c r="J1338" s="49" t="s">
        <v>27523</v>
      </c>
      <c r="K1338" s="49" t="s">
        <v>27536</v>
      </c>
      <c r="L1338" s="49" t="s">
        <v>17436</v>
      </c>
      <c r="M1338" s="49" t="s">
        <v>17437</v>
      </c>
      <c r="N1338" s="49" t="s">
        <v>17438</v>
      </c>
      <c r="O1338" s="49" t="s">
        <v>27445</v>
      </c>
      <c r="P1338" s="49" t="s">
        <v>27458</v>
      </c>
      <c r="Q1338" s="49" t="s">
        <v>27471</v>
      </c>
      <c r="R1338" s="49" t="s">
        <v>27484</v>
      </c>
      <c r="S1338" s="49" t="s">
        <v>27497</v>
      </c>
      <c r="T1338" s="49" t="s">
        <v>27510</v>
      </c>
    </row>
    <row r="1339" spans="1:21" x14ac:dyDescent="0.2">
      <c r="A1339" s="49" t="s">
        <v>30</v>
      </c>
      <c r="D1339" s="49" t="s">
        <v>17439</v>
      </c>
      <c r="G1339" s="49" t="s">
        <v>17440</v>
      </c>
      <c r="H1339" s="49" t="s">
        <v>27420</v>
      </c>
      <c r="I1339" s="49" t="s">
        <v>27433</v>
      </c>
      <c r="J1339" s="49" t="s">
        <v>27524</v>
      </c>
      <c r="K1339" s="49" t="s">
        <v>27537</v>
      </c>
      <c r="L1339" s="49" t="s">
        <v>17441</v>
      </c>
      <c r="M1339" s="49" t="s">
        <v>17442</v>
      </c>
      <c r="N1339" s="49" t="s">
        <v>17443</v>
      </c>
      <c r="O1339" s="49" t="s">
        <v>27446</v>
      </c>
      <c r="P1339" s="49" t="s">
        <v>27459</v>
      </c>
      <c r="Q1339" s="49" t="s">
        <v>27472</v>
      </c>
      <c r="R1339" s="49" t="s">
        <v>27485</v>
      </c>
      <c r="S1339" s="49" t="s">
        <v>27498</v>
      </c>
      <c r="T1339" s="49" t="s">
        <v>27511</v>
      </c>
    </row>
    <row r="1340" spans="1:21" x14ac:dyDescent="0.2">
      <c r="A1340" s="49" t="s">
        <v>30</v>
      </c>
      <c r="D1340" s="49" t="s">
        <v>17444</v>
      </c>
      <c r="G1340" s="49" t="s">
        <v>17445</v>
      </c>
      <c r="H1340" s="49" t="s">
        <v>27421</v>
      </c>
      <c r="I1340" s="49" t="s">
        <v>27434</v>
      </c>
      <c r="J1340" s="49" t="s">
        <v>27525</v>
      </c>
      <c r="K1340" s="49" t="s">
        <v>27538</v>
      </c>
      <c r="L1340" s="49" t="s">
        <v>17446</v>
      </c>
      <c r="M1340" s="49" t="s">
        <v>17447</v>
      </c>
      <c r="N1340" s="49" t="s">
        <v>17448</v>
      </c>
      <c r="O1340" s="49" t="s">
        <v>27447</v>
      </c>
      <c r="P1340" s="49" t="s">
        <v>27460</v>
      </c>
      <c r="Q1340" s="49" t="s">
        <v>27473</v>
      </c>
      <c r="R1340" s="49" t="s">
        <v>27486</v>
      </c>
      <c r="S1340" s="49" t="s">
        <v>27499</v>
      </c>
      <c r="T1340" s="49" t="s">
        <v>27512</v>
      </c>
    </row>
    <row r="1341" spans="1:21" x14ac:dyDescent="0.2">
      <c r="A1341" s="49" t="s">
        <v>30</v>
      </c>
      <c r="D1341" s="49" t="s">
        <v>17449</v>
      </c>
      <c r="G1341" s="49" t="s">
        <v>17450</v>
      </c>
      <c r="H1341" s="49" t="s">
        <v>27422</v>
      </c>
      <c r="I1341" s="49" t="s">
        <v>27435</v>
      </c>
      <c r="J1341" s="49" t="s">
        <v>27526</v>
      </c>
      <c r="K1341" s="49" t="s">
        <v>27539</v>
      </c>
      <c r="L1341" s="49" t="s">
        <v>17451</v>
      </c>
      <c r="M1341" s="49" t="s">
        <v>17452</v>
      </c>
      <c r="N1341" s="49" t="s">
        <v>17453</v>
      </c>
      <c r="O1341" s="49" t="s">
        <v>27448</v>
      </c>
      <c r="P1341" s="49" t="s">
        <v>27461</v>
      </c>
      <c r="Q1341" s="49" t="s">
        <v>27474</v>
      </c>
      <c r="R1341" s="49" t="s">
        <v>27487</v>
      </c>
      <c r="S1341" s="49" t="s">
        <v>27500</v>
      </c>
      <c r="T1341" s="49" t="s">
        <v>27513</v>
      </c>
    </row>
    <row r="1342" spans="1:21" x14ac:dyDescent="0.2">
      <c r="A1342" s="49" t="s">
        <v>30</v>
      </c>
      <c r="D1342" s="49" t="s">
        <v>17454</v>
      </c>
      <c r="G1342" s="49" t="s">
        <v>17455</v>
      </c>
      <c r="H1342" s="49" t="s">
        <v>27423</v>
      </c>
      <c r="I1342" s="49" t="s">
        <v>27436</v>
      </c>
      <c r="J1342" s="49" t="s">
        <v>27527</v>
      </c>
      <c r="K1342" s="49" t="s">
        <v>27540</v>
      </c>
      <c r="L1342" s="49" t="s">
        <v>17456</v>
      </c>
      <c r="M1342" s="49" t="s">
        <v>17457</v>
      </c>
      <c r="N1342" s="49" t="s">
        <v>17458</v>
      </c>
      <c r="O1342" s="49" t="s">
        <v>27449</v>
      </c>
      <c r="P1342" s="49" t="s">
        <v>27462</v>
      </c>
      <c r="Q1342" s="49" t="s">
        <v>27475</v>
      </c>
      <c r="R1342" s="49" t="s">
        <v>27488</v>
      </c>
      <c r="S1342" s="49" t="s">
        <v>27501</v>
      </c>
      <c r="T1342" s="49" t="s">
        <v>27514</v>
      </c>
    </row>
    <row r="1343" spans="1:21" x14ac:dyDescent="0.2">
      <c r="A1343" s="49" t="s">
        <v>30</v>
      </c>
      <c r="D1343" s="49" t="s">
        <v>17459</v>
      </c>
      <c r="G1343" s="49" t="s">
        <v>17460</v>
      </c>
      <c r="H1343" s="49" t="s">
        <v>27424</v>
      </c>
      <c r="I1343" s="49" t="s">
        <v>27437</v>
      </c>
      <c r="J1343" s="49" t="s">
        <v>27528</v>
      </c>
      <c r="K1343" s="49" t="s">
        <v>27541</v>
      </c>
      <c r="L1343" s="49" t="s">
        <v>17461</v>
      </c>
      <c r="M1343" s="49" t="s">
        <v>17462</v>
      </c>
      <c r="N1343" s="49" t="s">
        <v>17463</v>
      </c>
      <c r="O1343" s="49" t="s">
        <v>27450</v>
      </c>
      <c r="P1343" s="49" t="s">
        <v>27463</v>
      </c>
      <c r="Q1343" s="49" t="s">
        <v>27476</v>
      </c>
      <c r="R1343" s="49" t="s">
        <v>27489</v>
      </c>
      <c r="S1343" s="49" t="s">
        <v>27502</v>
      </c>
      <c r="T1343" s="49" t="s">
        <v>27515</v>
      </c>
    </row>
    <row r="1344" spans="1:21" x14ac:dyDescent="0.2">
      <c r="A1344" s="49" t="s">
        <v>30</v>
      </c>
      <c r="D1344" s="49" t="s">
        <v>17464</v>
      </c>
      <c r="G1344" s="49" t="s">
        <v>17465</v>
      </c>
      <c r="H1344" s="49" t="s">
        <v>27425</v>
      </c>
      <c r="I1344" s="49" t="s">
        <v>27438</v>
      </c>
      <c r="J1344" s="49" t="s">
        <v>27529</v>
      </c>
      <c r="K1344" s="49" t="s">
        <v>27542</v>
      </c>
      <c r="L1344" s="49" t="s">
        <v>17466</v>
      </c>
      <c r="M1344" s="49" t="s">
        <v>17467</v>
      </c>
      <c r="N1344" s="49" t="s">
        <v>17468</v>
      </c>
      <c r="O1344" s="49" t="s">
        <v>27451</v>
      </c>
      <c r="P1344" s="49" t="s">
        <v>27464</v>
      </c>
      <c r="Q1344" s="49" t="s">
        <v>27477</v>
      </c>
      <c r="R1344" s="49" t="s">
        <v>27490</v>
      </c>
      <c r="S1344" s="49" t="s">
        <v>27503</v>
      </c>
      <c r="T1344" s="49" t="s">
        <v>27516</v>
      </c>
    </row>
    <row r="1345" spans="1:21" x14ac:dyDescent="0.2">
      <c r="A1345" s="49" t="s">
        <v>30</v>
      </c>
      <c r="D1345" s="49" t="s">
        <v>17469</v>
      </c>
      <c r="G1345" s="49" t="s">
        <v>17470</v>
      </c>
      <c r="H1345" s="49" t="s">
        <v>27426</v>
      </c>
      <c r="I1345" s="49" t="s">
        <v>27439</v>
      </c>
      <c r="J1345" s="49" t="s">
        <v>27530</v>
      </c>
      <c r="K1345" s="49" t="s">
        <v>27543</v>
      </c>
      <c r="L1345" s="49" t="s">
        <v>17471</v>
      </c>
      <c r="M1345" s="49" t="s">
        <v>17472</v>
      </c>
      <c r="N1345" s="49" t="s">
        <v>17473</v>
      </c>
      <c r="O1345" s="49" t="s">
        <v>27452</v>
      </c>
      <c r="P1345" s="49" t="s">
        <v>27465</v>
      </c>
      <c r="Q1345" s="49" t="s">
        <v>27478</v>
      </c>
      <c r="R1345" s="49" t="s">
        <v>27491</v>
      </c>
      <c r="S1345" s="49" t="s">
        <v>27504</v>
      </c>
      <c r="T1345" s="49" t="s">
        <v>27517</v>
      </c>
    </row>
    <row r="1346" spans="1:21" x14ac:dyDescent="0.2">
      <c r="A1346" s="49" t="s">
        <v>30</v>
      </c>
      <c r="D1346" s="49" t="s">
        <v>17474</v>
      </c>
      <c r="G1346" s="49" t="s">
        <v>17475</v>
      </c>
      <c r="H1346" s="49" t="s">
        <v>27427</v>
      </c>
      <c r="I1346" s="49" t="s">
        <v>27440</v>
      </c>
      <c r="J1346" s="49" t="s">
        <v>27531</v>
      </c>
      <c r="K1346" s="49" t="s">
        <v>27544</v>
      </c>
      <c r="L1346" s="49" t="s">
        <v>17476</v>
      </c>
      <c r="M1346" s="49" t="s">
        <v>17477</v>
      </c>
      <c r="N1346" s="49" t="s">
        <v>17478</v>
      </c>
      <c r="O1346" s="49" t="s">
        <v>27453</v>
      </c>
      <c r="P1346" s="49" t="s">
        <v>27466</v>
      </c>
      <c r="Q1346" s="49" t="s">
        <v>27479</v>
      </c>
      <c r="R1346" s="49" t="s">
        <v>27492</v>
      </c>
      <c r="S1346" s="49" t="s">
        <v>27505</v>
      </c>
      <c r="T1346" s="49" t="s">
        <v>27518</v>
      </c>
    </row>
    <row r="1347" spans="1:21" x14ac:dyDescent="0.2">
      <c r="A1347" s="49" t="s">
        <v>30</v>
      </c>
      <c r="D1347" s="49" t="s">
        <v>17479</v>
      </c>
      <c r="G1347" s="49" t="s">
        <v>17480</v>
      </c>
      <c r="H1347" s="49" t="s">
        <v>27428</v>
      </c>
      <c r="I1347" s="49" t="s">
        <v>27441</v>
      </c>
      <c r="J1347" s="49" t="s">
        <v>27532</v>
      </c>
      <c r="K1347" s="49" t="s">
        <v>27545</v>
      </c>
      <c r="L1347" s="49" t="s">
        <v>17481</v>
      </c>
      <c r="M1347" s="49" t="s">
        <v>17482</v>
      </c>
      <c r="N1347" s="49" t="s">
        <v>17483</v>
      </c>
      <c r="O1347" s="49" t="s">
        <v>27454</v>
      </c>
      <c r="P1347" s="49" t="s">
        <v>27467</v>
      </c>
      <c r="Q1347" s="49" t="s">
        <v>27480</v>
      </c>
      <c r="R1347" s="49" t="s">
        <v>27493</v>
      </c>
      <c r="S1347" s="49" t="s">
        <v>27506</v>
      </c>
      <c r="T1347" s="49" t="s">
        <v>27519</v>
      </c>
    </row>
    <row r="1348" spans="1:21" x14ac:dyDescent="0.2">
      <c r="A1348" s="49" t="s">
        <v>30</v>
      </c>
    </row>
    <row r="1349" spans="1:21" x14ac:dyDescent="0.2">
      <c r="A1349" s="49" t="s">
        <v>30</v>
      </c>
      <c r="E1349" s="49" t="s">
        <v>31</v>
      </c>
      <c r="F1349" s="49" t="s">
        <v>31</v>
      </c>
      <c r="G1349" s="49" t="s">
        <v>31</v>
      </c>
      <c r="J1349" s="49" t="s">
        <v>31</v>
      </c>
      <c r="K1349" s="49" t="s">
        <v>31</v>
      </c>
      <c r="L1349" s="49" t="s">
        <v>31</v>
      </c>
      <c r="M1349" s="49" t="s">
        <v>31</v>
      </c>
    </row>
    <row r="1350" spans="1:21" x14ac:dyDescent="0.2">
      <c r="A1350" s="49" t="s">
        <v>30</v>
      </c>
      <c r="D1350" s="49" t="s">
        <v>17484</v>
      </c>
      <c r="E1350" s="49" t="s">
        <v>7357</v>
      </c>
      <c r="F1350" s="49" t="s">
        <v>17485</v>
      </c>
      <c r="H1350" s="49" t="s">
        <v>17486</v>
      </c>
      <c r="O1350" s="49" t="s">
        <v>17487</v>
      </c>
      <c r="P1350" s="49" t="s">
        <v>17488</v>
      </c>
      <c r="Q1350" s="49" t="s">
        <v>17489</v>
      </c>
      <c r="R1350" s="49" t="s">
        <v>17490</v>
      </c>
      <c r="S1350" s="49" t="s">
        <v>17491</v>
      </c>
      <c r="T1350" s="49" t="s">
        <v>17492</v>
      </c>
      <c r="U1350" s="49" t="s">
        <v>17493</v>
      </c>
    </row>
    <row r="1351" spans="1:21" x14ac:dyDescent="0.2">
      <c r="A1351" s="49" t="s">
        <v>30</v>
      </c>
      <c r="D1351" s="49" t="s">
        <v>17494</v>
      </c>
      <c r="G1351" s="49" t="s">
        <v>17495</v>
      </c>
      <c r="H1351" s="49" t="s">
        <v>27336</v>
      </c>
      <c r="I1351" s="49" t="s">
        <v>27344</v>
      </c>
      <c r="J1351" s="49" t="s">
        <v>27400</v>
      </c>
      <c r="K1351" s="49" t="s">
        <v>27408</v>
      </c>
      <c r="L1351" s="49" t="s">
        <v>17496</v>
      </c>
      <c r="M1351" s="49" t="s">
        <v>17497</v>
      </c>
      <c r="N1351" s="49" t="s">
        <v>17498</v>
      </c>
      <c r="O1351" s="49" t="s">
        <v>27352</v>
      </c>
      <c r="P1351" s="49" t="s">
        <v>27360</v>
      </c>
      <c r="Q1351" s="49" t="s">
        <v>27368</v>
      </c>
      <c r="R1351" s="49" t="s">
        <v>27376</v>
      </c>
      <c r="S1351" s="49" t="s">
        <v>27384</v>
      </c>
      <c r="T1351" s="49" t="s">
        <v>27392</v>
      </c>
    </row>
    <row r="1352" spans="1:21" x14ac:dyDescent="0.2">
      <c r="A1352" s="49" t="s">
        <v>30</v>
      </c>
      <c r="D1352" s="49" t="s">
        <v>17499</v>
      </c>
      <c r="G1352" s="49" t="s">
        <v>17500</v>
      </c>
      <c r="H1352" s="49" t="s">
        <v>27337</v>
      </c>
      <c r="I1352" s="49" t="s">
        <v>27345</v>
      </c>
      <c r="J1352" s="49" t="s">
        <v>27401</v>
      </c>
      <c r="K1352" s="49" t="s">
        <v>27409</v>
      </c>
      <c r="L1352" s="49" t="s">
        <v>17501</v>
      </c>
      <c r="M1352" s="49" t="s">
        <v>17502</v>
      </c>
      <c r="N1352" s="49" t="s">
        <v>17503</v>
      </c>
      <c r="O1352" s="49" t="s">
        <v>27353</v>
      </c>
      <c r="P1352" s="49" t="s">
        <v>27361</v>
      </c>
      <c r="Q1352" s="49" t="s">
        <v>27369</v>
      </c>
      <c r="R1352" s="49" t="s">
        <v>27377</v>
      </c>
      <c r="S1352" s="49" t="s">
        <v>27385</v>
      </c>
      <c r="T1352" s="49" t="s">
        <v>27393</v>
      </c>
    </row>
    <row r="1353" spans="1:21" x14ac:dyDescent="0.2">
      <c r="A1353" s="49" t="s">
        <v>30</v>
      </c>
      <c r="D1353" s="49" t="s">
        <v>17504</v>
      </c>
      <c r="G1353" s="49" t="s">
        <v>17505</v>
      </c>
      <c r="H1353" s="49" t="s">
        <v>27338</v>
      </c>
      <c r="I1353" s="49" t="s">
        <v>27346</v>
      </c>
      <c r="J1353" s="49" t="s">
        <v>27402</v>
      </c>
      <c r="K1353" s="49" t="s">
        <v>27410</v>
      </c>
      <c r="L1353" s="49" t="s">
        <v>17506</v>
      </c>
      <c r="M1353" s="49" t="s">
        <v>17507</v>
      </c>
      <c r="N1353" s="49" t="s">
        <v>17508</v>
      </c>
      <c r="O1353" s="49" t="s">
        <v>27354</v>
      </c>
      <c r="P1353" s="49" t="s">
        <v>27362</v>
      </c>
      <c r="Q1353" s="49" t="s">
        <v>27370</v>
      </c>
      <c r="R1353" s="49" t="s">
        <v>27378</v>
      </c>
      <c r="S1353" s="49" t="s">
        <v>27386</v>
      </c>
      <c r="T1353" s="49" t="s">
        <v>27394</v>
      </c>
    </row>
    <row r="1354" spans="1:21" x14ac:dyDescent="0.2">
      <c r="A1354" s="49" t="s">
        <v>30</v>
      </c>
      <c r="D1354" s="49" t="s">
        <v>17509</v>
      </c>
      <c r="G1354" s="49" t="s">
        <v>17510</v>
      </c>
      <c r="H1354" s="49" t="s">
        <v>27339</v>
      </c>
      <c r="I1354" s="49" t="s">
        <v>27347</v>
      </c>
      <c r="J1354" s="49" t="s">
        <v>27403</v>
      </c>
      <c r="K1354" s="49" t="s">
        <v>27411</v>
      </c>
      <c r="L1354" s="49" t="s">
        <v>17511</v>
      </c>
      <c r="M1354" s="49" t="s">
        <v>17512</v>
      </c>
      <c r="N1354" s="49" t="s">
        <v>17513</v>
      </c>
      <c r="O1354" s="49" t="s">
        <v>27355</v>
      </c>
      <c r="P1354" s="49" t="s">
        <v>27363</v>
      </c>
      <c r="Q1354" s="49" t="s">
        <v>27371</v>
      </c>
      <c r="R1354" s="49" t="s">
        <v>27379</v>
      </c>
      <c r="S1354" s="49" t="s">
        <v>27387</v>
      </c>
      <c r="T1354" s="49" t="s">
        <v>27395</v>
      </c>
    </row>
    <row r="1355" spans="1:21" x14ac:dyDescent="0.2">
      <c r="A1355" s="49" t="s">
        <v>30</v>
      </c>
      <c r="D1355" s="49" t="s">
        <v>17514</v>
      </c>
      <c r="G1355" s="49" t="s">
        <v>17515</v>
      </c>
      <c r="H1355" s="49" t="s">
        <v>27340</v>
      </c>
      <c r="I1355" s="49" t="s">
        <v>27348</v>
      </c>
      <c r="J1355" s="49" t="s">
        <v>27404</v>
      </c>
      <c r="K1355" s="49" t="s">
        <v>27412</v>
      </c>
      <c r="L1355" s="49" t="s">
        <v>17516</v>
      </c>
      <c r="M1355" s="49" t="s">
        <v>17517</v>
      </c>
      <c r="N1355" s="49" t="s">
        <v>17518</v>
      </c>
      <c r="O1355" s="49" t="s">
        <v>27356</v>
      </c>
      <c r="P1355" s="49" t="s">
        <v>27364</v>
      </c>
      <c r="Q1355" s="49" t="s">
        <v>27372</v>
      </c>
      <c r="R1355" s="49" t="s">
        <v>27380</v>
      </c>
      <c r="S1355" s="49" t="s">
        <v>27388</v>
      </c>
      <c r="T1355" s="49" t="s">
        <v>27396</v>
      </c>
    </row>
    <row r="1356" spans="1:21" x14ac:dyDescent="0.2">
      <c r="A1356" s="49" t="s">
        <v>30</v>
      </c>
      <c r="D1356" s="49" t="s">
        <v>17519</v>
      </c>
      <c r="G1356" s="49" t="s">
        <v>17520</v>
      </c>
      <c r="H1356" s="49" t="s">
        <v>27341</v>
      </c>
      <c r="I1356" s="49" t="s">
        <v>27349</v>
      </c>
      <c r="J1356" s="49" t="s">
        <v>27405</v>
      </c>
      <c r="K1356" s="49" t="s">
        <v>27413</v>
      </c>
      <c r="L1356" s="49" t="s">
        <v>17521</v>
      </c>
      <c r="M1356" s="49" t="s">
        <v>17522</v>
      </c>
      <c r="N1356" s="49" t="s">
        <v>17523</v>
      </c>
      <c r="O1356" s="49" t="s">
        <v>27357</v>
      </c>
      <c r="P1356" s="49" t="s">
        <v>27365</v>
      </c>
      <c r="Q1356" s="49" t="s">
        <v>27373</v>
      </c>
      <c r="R1356" s="49" t="s">
        <v>27381</v>
      </c>
      <c r="S1356" s="49" t="s">
        <v>27389</v>
      </c>
      <c r="T1356" s="49" t="s">
        <v>27397</v>
      </c>
    </row>
    <row r="1357" spans="1:21" x14ac:dyDescent="0.2">
      <c r="A1357" s="49" t="s">
        <v>30</v>
      </c>
      <c r="D1357" s="49" t="s">
        <v>17524</v>
      </c>
      <c r="G1357" s="49" t="s">
        <v>17525</v>
      </c>
      <c r="H1357" s="49" t="s">
        <v>27342</v>
      </c>
      <c r="I1357" s="49" t="s">
        <v>27350</v>
      </c>
      <c r="J1357" s="49" t="s">
        <v>27406</v>
      </c>
      <c r="K1357" s="49" t="s">
        <v>27414</v>
      </c>
      <c r="L1357" s="49" t="s">
        <v>17526</v>
      </c>
      <c r="M1357" s="49" t="s">
        <v>17527</v>
      </c>
      <c r="N1357" s="49" t="s">
        <v>17528</v>
      </c>
      <c r="O1357" s="49" t="s">
        <v>27358</v>
      </c>
      <c r="P1357" s="49" t="s">
        <v>27366</v>
      </c>
      <c r="Q1357" s="49" t="s">
        <v>27374</v>
      </c>
      <c r="R1357" s="49" t="s">
        <v>27382</v>
      </c>
      <c r="S1357" s="49" t="s">
        <v>27390</v>
      </c>
      <c r="T1357" s="49" t="s">
        <v>27398</v>
      </c>
    </row>
    <row r="1358" spans="1:21" x14ac:dyDescent="0.2">
      <c r="A1358" s="49" t="s">
        <v>30</v>
      </c>
      <c r="D1358" s="49" t="s">
        <v>17529</v>
      </c>
      <c r="G1358" s="49" t="s">
        <v>17530</v>
      </c>
      <c r="H1358" s="49" t="s">
        <v>27343</v>
      </c>
      <c r="I1358" s="49" t="s">
        <v>27351</v>
      </c>
      <c r="J1358" s="49" t="s">
        <v>27407</v>
      </c>
      <c r="K1358" s="49" t="s">
        <v>27415</v>
      </c>
      <c r="L1358" s="49" t="s">
        <v>17531</v>
      </c>
      <c r="M1358" s="49" t="s">
        <v>17532</v>
      </c>
      <c r="N1358" s="49" t="s">
        <v>17533</v>
      </c>
      <c r="O1358" s="49" t="s">
        <v>27359</v>
      </c>
      <c r="P1358" s="49" t="s">
        <v>27367</v>
      </c>
      <c r="Q1358" s="49" t="s">
        <v>27375</v>
      </c>
      <c r="R1358" s="49" t="s">
        <v>27383</v>
      </c>
      <c r="S1358" s="49" t="s">
        <v>27391</v>
      </c>
      <c r="T1358" s="49" t="s">
        <v>27399</v>
      </c>
    </row>
    <row r="1359" spans="1:21" x14ac:dyDescent="0.2">
      <c r="A1359" s="49" t="s">
        <v>30</v>
      </c>
    </row>
    <row r="1360" spans="1:21" x14ac:dyDescent="0.2">
      <c r="A1360" s="49" t="s">
        <v>30</v>
      </c>
      <c r="E1360" s="49" t="s">
        <v>31</v>
      </c>
      <c r="F1360" s="49" t="s">
        <v>31</v>
      </c>
      <c r="G1360" s="49" t="s">
        <v>31</v>
      </c>
      <c r="J1360" s="49" t="s">
        <v>31</v>
      </c>
      <c r="K1360" s="49" t="s">
        <v>31</v>
      </c>
      <c r="L1360" s="49" t="s">
        <v>31</v>
      </c>
      <c r="M1360" s="49" t="s">
        <v>31</v>
      </c>
    </row>
    <row r="1361" spans="1:21" x14ac:dyDescent="0.2">
      <c r="A1361" s="49" t="s">
        <v>30</v>
      </c>
      <c r="D1361" s="49" t="s">
        <v>17534</v>
      </c>
      <c r="E1361" s="49" t="s">
        <v>7358</v>
      </c>
      <c r="F1361" s="49" t="s">
        <v>17535</v>
      </c>
      <c r="H1361" s="49" t="s">
        <v>17536</v>
      </c>
      <c r="O1361" s="49" t="s">
        <v>17537</v>
      </c>
      <c r="P1361" s="49" t="s">
        <v>17538</v>
      </c>
      <c r="Q1361" s="49" t="s">
        <v>17539</v>
      </c>
      <c r="R1361" s="49" t="s">
        <v>17540</v>
      </c>
      <c r="S1361" s="49" t="s">
        <v>17541</v>
      </c>
      <c r="T1361" s="49" t="s">
        <v>17542</v>
      </c>
      <c r="U1361" s="49" t="s">
        <v>17543</v>
      </c>
    </row>
    <row r="1362" spans="1:21" x14ac:dyDescent="0.2">
      <c r="A1362" s="49" t="s">
        <v>30</v>
      </c>
      <c r="D1362" s="49" t="s">
        <v>17544</v>
      </c>
      <c r="G1362" s="49" t="s">
        <v>17545</v>
      </c>
      <c r="H1362" s="49" t="s">
        <v>27226</v>
      </c>
      <c r="I1362" s="49" t="s">
        <v>27237</v>
      </c>
      <c r="J1362" s="49" t="s">
        <v>27314</v>
      </c>
      <c r="K1362" s="49" t="s">
        <v>27325</v>
      </c>
      <c r="L1362" s="49" t="s">
        <v>17546</v>
      </c>
      <c r="M1362" s="49" t="s">
        <v>17547</v>
      </c>
      <c r="N1362" s="49" t="s">
        <v>17548</v>
      </c>
      <c r="O1362" s="49" t="s">
        <v>27248</v>
      </c>
      <c r="P1362" s="49" t="s">
        <v>27259</v>
      </c>
      <c r="Q1362" s="49" t="s">
        <v>27270</v>
      </c>
      <c r="R1362" s="49" t="s">
        <v>27281</v>
      </c>
      <c r="S1362" s="49" t="s">
        <v>27292</v>
      </c>
      <c r="T1362" s="49" t="s">
        <v>27303</v>
      </c>
    </row>
    <row r="1363" spans="1:21" x14ac:dyDescent="0.2">
      <c r="A1363" s="49" t="s">
        <v>30</v>
      </c>
      <c r="D1363" s="49" t="s">
        <v>17549</v>
      </c>
      <c r="G1363" s="49" t="s">
        <v>17550</v>
      </c>
      <c r="H1363" s="49" t="s">
        <v>27227</v>
      </c>
      <c r="I1363" s="49" t="s">
        <v>27238</v>
      </c>
      <c r="J1363" s="49" t="s">
        <v>27315</v>
      </c>
      <c r="K1363" s="49" t="s">
        <v>27326</v>
      </c>
      <c r="L1363" s="49" t="s">
        <v>17551</v>
      </c>
      <c r="M1363" s="49" t="s">
        <v>17552</v>
      </c>
      <c r="N1363" s="49" t="s">
        <v>17553</v>
      </c>
      <c r="O1363" s="49" t="s">
        <v>27249</v>
      </c>
      <c r="P1363" s="49" t="s">
        <v>27260</v>
      </c>
      <c r="Q1363" s="49" t="s">
        <v>27271</v>
      </c>
      <c r="R1363" s="49" t="s">
        <v>27282</v>
      </c>
      <c r="S1363" s="49" t="s">
        <v>27293</v>
      </c>
      <c r="T1363" s="49" t="s">
        <v>27304</v>
      </c>
    </row>
    <row r="1364" spans="1:21" x14ac:dyDescent="0.2">
      <c r="A1364" s="49" t="s">
        <v>30</v>
      </c>
      <c r="D1364" s="49" t="s">
        <v>17554</v>
      </c>
      <c r="G1364" s="49" t="s">
        <v>17555</v>
      </c>
      <c r="H1364" s="49" t="s">
        <v>27228</v>
      </c>
      <c r="I1364" s="49" t="s">
        <v>27239</v>
      </c>
      <c r="J1364" s="49" t="s">
        <v>27316</v>
      </c>
      <c r="K1364" s="49" t="s">
        <v>27327</v>
      </c>
      <c r="L1364" s="49" t="s">
        <v>17556</v>
      </c>
      <c r="M1364" s="49" t="s">
        <v>17557</v>
      </c>
      <c r="N1364" s="49" t="s">
        <v>17558</v>
      </c>
      <c r="O1364" s="49" t="s">
        <v>27250</v>
      </c>
      <c r="P1364" s="49" t="s">
        <v>27261</v>
      </c>
      <c r="Q1364" s="49" t="s">
        <v>27272</v>
      </c>
      <c r="R1364" s="49" t="s">
        <v>27283</v>
      </c>
      <c r="S1364" s="49" t="s">
        <v>27294</v>
      </c>
      <c r="T1364" s="49" t="s">
        <v>27305</v>
      </c>
    </row>
    <row r="1365" spans="1:21" x14ac:dyDescent="0.2">
      <c r="A1365" s="49" t="s">
        <v>30</v>
      </c>
      <c r="D1365" s="49" t="s">
        <v>17559</v>
      </c>
      <c r="G1365" s="49" t="s">
        <v>17560</v>
      </c>
      <c r="H1365" s="49" t="s">
        <v>27229</v>
      </c>
      <c r="I1365" s="49" t="s">
        <v>27240</v>
      </c>
      <c r="J1365" s="49" t="s">
        <v>27317</v>
      </c>
      <c r="K1365" s="49" t="s">
        <v>27328</v>
      </c>
      <c r="L1365" s="49" t="s">
        <v>17561</v>
      </c>
      <c r="M1365" s="49" t="s">
        <v>17562</v>
      </c>
      <c r="N1365" s="49" t="s">
        <v>17563</v>
      </c>
      <c r="O1365" s="49" t="s">
        <v>27251</v>
      </c>
      <c r="P1365" s="49" t="s">
        <v>27262</v>
      </c>
      <c r="Q1365" s="49" t="s">
        <v>27273</v>
      </c>
      <c r="R1365" s="49" t="s">
        <v>27284</v>
      </c>
      <c r="S1365" s="49" t="s">
        <v>27295</v>
      </c>
      <c r="T1365" s="49" t="s">
        <v>27306</v>
      </c>
    </row>
    <row r="1366" spans="1:21" x14ac:dyDescent="0.2">
      <c r="A1366" s="49" t="s">
        <v>30</v>
      </c>
      <c r="D1366" s="49" t="s">
        <v>17564</v>
      </c>
      <c r="G1366" s="49" t="s">
        <v>17565</v>
      </c>
      <c r="H1366" s="49" t="s">
        <v>27230</v>
      </c>
      <c r="I1366" s="49" t="s">
        <v>27241</v>
      </c>
      <c r="J1366" s="49" t="s">
        <v>27318</v>
      </c>
      <c r="K1366" s="49" t="s">
        <v>27329</v>
      </c>
      <c r="L1366" s="49" t="s">
        <v>17566</v>
      </c>
      <c r="M1366" s="49" t="s">
        <v>17567</v>
      </c>
      <c r="N1366" s="49" t="s">
        <v>17568</v>
      </c>
      <c r="O1366" s="49" t="s">
        <v>27252</v>
      </c>
      <c r="P1366" s="49" t="s">
        <v>27263</v>
      </c>
      <c r="Q1366" s="49" t="s">
        <v>27274</v>
      </c>
      <c r="R1366" s="49" t="s">
        <v>27285</v>
      </c>
      <c r="S1366" s="49" t="s">
        <v>27296</v>
      </c>
      <c r="T1366" s="49" t="s">
        <v>27307</v>
      </c>
    </row>
    <row r="1367" spans="1:21" x14ac:dyDescent="0.2">
      <c r="A1367" s="49" t="s">
        <v>30</v>
      </c>
      <c r="D1367" s="49" t="s">
        <v>17569</v>
      </c>
      <c r="G1367" s="49" t="s">
        <v>17570</v>
      </c>
      <c r="H1367" s="49" t="s">
        <v>27231</v>
      </c>
      <c r="I1367" s="49" t="s">
        <v>27242</v>
      </c>
      <c r="J1367" s="49" t="s">
        <v>27319</v>
      </c>
      <c r="K1367" s="49" t="s">
        <v>27330</v>
      </c>
      <c r="L1367" s="49" t="s">
        <v>17571</v>
      </c>
      <c r="M1367" s="49" t="s">
        <v>17572</v>
      </c>
      <c r="N1367" s="49" t="s">
        <v>17573</v>
      </c>
      <c r="O1367" s="49" t="s">
        <v>27253</v>
      </c>
      <c r="P1367" s="49" t="s">
        <v>27264</v>
      </c>
      <c r="Q1367" s="49" t="s">
        <v>27275</v>
      </c>
      <c r="R1367" s="49" t="s">
        <v>27286</v>
      </c>
      <c r="S1367" s="49" t="s">
        <v>27297</v>
      </c>
      <c r="T1367" s="49" t="s">
        <v>27308</v>
      </c>
    </row>
    <row r="1368" spans="1:21" x14ac:dyDescent="0.2">
      <c r="A1368" s="49" t="s">
        <v>30</v>
      </c>
      <c r="D1368" s="49" t="s">
        <v>17574</v>
      </c>
      <c r="G1368" s="49" t="s">
        <v>17575</v>
      </c>
      <c r="H1368" s="49" t="s">
        <v>27232</v>
      </c>
      <c r="I1368" s="49" t="s">
        <v>27243</v>
      </c>
      <c r="J1368" s="49" t="s">
        <v>27320</v>
      </c>
      <c r="K1368" s="49" t="s">
        <v>27331</v>
      </c>
      <c r="L1368" s="49" t="s">
        <v>17576</v>
      </c>
      <c r="M1368" s="49" t="s">
        <v>17577</v>
      </c>
      <c r="N1368" s="49" t="s">
        <v>17578</v>
      </c>
      <c r="O1368" s="49" t="s">
        <v>27254</v>
      </c>
      <c r="P1368" s="49" t="s">
        <v>27265</v>
      </c>
      <c r="Q1368" s="49" t="s">
        <v>27276</v>
      </c>
      <c r="R1368" s="49" t="s">
        <v>27287</v>
      </c>
      <c r="S1368" s="49" t="s">
        <v>27298</v>
      </c>
      <c r="T1368" s="49" t="s">
        <v>27309</v>
      </c>
    </row>
    <row r="1369" spans="1:21" x14ac:dyDescent="0.2">
      <c r="A1369" s="49" t="s">
        <v>30</v>
      </c>
      <c r="D1369" s="49" t="s">
        <v>17579</v>
      </c>
      <c r="G1369" s="49" t="s">
        <v>17580</v>
      </c>
      <c r="H1369" s="49" t="s">
        <v>27233</v>
      </c>
      <c r="I1369" s="49" t="s">
        <v>27244</v>
      </c>
      <c r="J1369" s="49" t="s">
        <v>27321</v>
      </c>
      <c r="K1369" s="49" t="s">
        <v>27332</v>
      </c>
      <c r="L1369" s="49" t="s">
        <v>17581</v>
      </c>
      <c r="M1369" s="49" t="s">
        <v>17582</v>
      </c>
      <c r="N1369" s="49" t="s">
        <v>17583</v>
      </c>
      <c r="O1369" s="49" t="s">
        <v>27255</v>
      </c>
      <c r="P1369" s="49" t="s">
        <v>27266</v>
      </c>
      <c r="Q1369" s="49" t="s">
        <v>27277</v>
      </c>
      <c r="R1369" s="49" t="s">
        <v>27288</v>
      </c>
      <c r="S1369" s="49" t="s">
        <v>27299</v>
      </c>
      <c r="T1369" s="49" t="s">
        <v>27310</v>
      </c>
    </row>
    <row r="1370" spans="1:21" x14ac:dyDescent="0.2">
      <c r="A1370" s="49" t="s">
        <v>30</v>
      </c>
      <c r="D1370" s="49" t="s">
        <v>17584</v>
      </c>
      <c r="G1370" s="49" t="s">
        <v>17585</v>
      </c>
      <c r="H1370" s="49" t="s">
        <v>27234</v>
      </c>
      <c r="I1370" s="49" t="s">
        <v>27245</v>
      </c>
      <c r="J1370" s="49" t="s">
        <v>27322</v>
      </c>
      <c r="K1370" s="49" t="s">
        <v>27333</v>
      </c>
      <c r="L1370" s="49" t="s">
        <v>17586</v>
      </c>
      <c r="M1370" s="49" t="s">
        <v>17587</v>
      </c>
      <c r="N1370" s="49" t="s">
        <v>17588</v>
      </c>
      <c r="O1370" s="49" t="s">
        <v>27256</v>
      </c>
      <c r="P1370" s="49" t="s">
        <v>27267</v>
      </c>
      <c r="Q1370" s="49" t="s">
        <v>27278</v>
      </c>
      <c r="R1370" s="49" t="s">
        <v>27289</v>
      </c>
      <c r="S1370" s="49" t="s">
        <v>27300</v>
      </c>
      <c r="T1370" s="49" t="s">
        <v>27311</v>
      </c>
    </row>
    <row r="1371" spans="1:21" x14ac:dyDescent="0.2">
      <c r="A1371" s="49" t="s">
        <v>30</v>
      </c>
      <c r="D1371" s="49" t="s">
        <v>17589</v>
      </c>
      <c r="G1371" s="49" t="s">
        <v>17590</v>
      </c>
      <c r="H1371" s="49" t="s">
        <v>27235</v>
      </c>
      <c r="I1371" s="49" t="s">
        <v>27246</v>
      </c>
      <c r="J1371" s="49" t="s">
        <v>27323</v>
      </c>
      <c r="K1371" s="49" t="s">
        <v>27334</v>
      </c>
      <c r="L1371" s="49" t="s">
        <v>17591</v>
      </c>
      <c r="M1371" s="49" t="s">
        <v>17592</v>
      </c>
      <c r="N1371" s="49" t="s">
        <v>17593</v>
      </c>
      <c r="O1371" s="49" t="s">
        <v>27257</v>
      </c>
      <c r="P1371" s="49" t="s">
        <v>27268</v>
      </c>
      <c r="Q1371" s="49" t="s">
        <v>27279</v>
      </c>
      <c r="R1371" s="49" t="s">
        <v>27290</v>
      </c>
      <c r="S1371" s="49" t="s">
        <v>27301</v>
      </c>
      <c r="T1371" s="49" t="s">
        <v>27312</v>
      </c>
    </row>
    <row r="1372" spans="1:21" x14ac:dyDescent="0.2">
      <c r="A1372" s="49" t="s">
        <v>30</v>
      </c>
      <c r="D1372" s="49" t="s">
        <v>17594</v>
      </c>
      <c r="G1372" s="49" t="s">
        <v>17595</v>
      </c>
      <c r="H1372" s="49" t="s">
        <v>27236</v>
      </c>
      <c r="I1372" s="49" t="s">
        <v>27247</v>
      </c>
      <c r="J1372" s="49" t="s">
        <v>27324</v>
      </c>
      <c r="K1372" s="49" t="s">
        <v>27335</v>
      </c>
      <c r="L1372" s="49" t="s">
        <v>17596</v>
      </c>
      <c r="M1372" s="49" t="s">
        <v>17597</v>
      </c>
      <c r="N1372" s="49" t="s">
        <v>17598</v>
      </c>
      <c r="O1372" s="49" t="s">
        <v>27258</v>
      </c>
      <c r="P1372" s="49" t="s">
        <v>27269</v>
      </c>
      <c r="Q1372" s="49" t="s">
        <v>27280</v>
      </c>
      <c r="R1372" s="49" t="s">
        <v>27291</v>
      </c>
      <c r="S1372" s="49" t="s">
        <v>27302</v>
      </c>
      <c r="T1372" s="49" t="s">
        <v>27313</v>
      </c>
    </row>
    <row r="1373" spans="1:21" x14ac:dyDescent="0.2">
      <c r="A1373" s="49" t="s">
        <v>30</v>
      </c>
    </row>
    <row r="1374" spans="1:21" x14ac:dyDescent="0.2">
      <c r="A1374" s="49" t="s">
        <v>30</v>
      </c>
      <c r="E1374" s="49" t="s">
        <v>31</v>
      </c>
      <c r="F1374" s="49" t="s">
        <v>31</v>
      </c>
      <c r="G1374" s="49" t="s">
        <v>31</v>
      </c>
      <c r="J1374" s="49" t="s">
        <v>31</v>
      </c>
      <c r="K1374" s="49" t="s">
        <v>31</v>
      </c>
      <c r="L1374" s="49" t="s">
        <v>31</v>
      </c>
      <c r="M1374" s="49" t="s">
        <v>31</v>
      </c>
    </row>
    <row r="1375" spans="1:21" x14ac:dyDescent="0.2">
      <c r="A1375" s="49" t="s">
        <v>30</v>
      </c>
      <c r="D1375" s="49" t="s">
        <v>17599</v>
      </c>
      <c r="E1375" s="49" t="s">
        <v>7373</v>
      </c>
      <c r="F1375" s="49" t="s">
        <v>17600</v>
      </c>
      <c r="H1375" s="49" t="s">
        <v>17601</v>
      </c>
      <c r="O1375" s="49" t="s">
        <v>17602</v>
      </c>
      <c r="P1375" s="49" t="s">
        <v>17603</v>
      </c>
      <c r="Q1375" s="49" t="s">
        <v>17604</v>
      </c>
      <c r="R1375" s="49" t="s">
        <v>17605</v>
      </c>
      <c r="S1375" s="49" t="s">
        <v>17606</v>
      </c>
      <c r="T1375" s="49" t="s">
        <v>17607</v>
      </c>
      <c r="U1375" s="49" t="s">
        <v>17608</v>
      </c>
    </row>
    <row r="1376" spans="1:21" x14ac:dyDescent="0.2">
      <c r="A1376" s="49" t="s">
        <v>30</v>
      </c>
      <c r="D1376" s="49" t="s">
        <v>17609</v>
      </c>
      <c r="G1376" s="49" t="s">
        <v>17610</v>
      </c>
      <c r="H1376" s="49" t="s">
        <v>27126</v>
      </c>
      <c r="I1376" s="49" t="s">
        <v>27136</v>
      </c>
      <c r="J1376" s="49" t="s">
        <v>27206</v>
      </c>
      <c r="K1376" s="49" t="s">
        <v>27216</v>
      </c>
      <c r="L1376" s="49" t="s">
        <v>17611</v>
      </c>
      <c r="M1376" s="49" t="s">
        <v>17612</v>
      </c>
      <c r="N1376" s="49" t="s">
        <v>17613</v>
      </c>
      <c r="O1376" s="49" t="s">
        <v>27146</v>
      </c>
      <c r="P1376" s="49" t="s">
        <v>27156</v>
      </c>
      <c r="Q1376" s="49" t="s">
        <v>27166</v>
      </c>
      <c r="R1376" s="49" t="s">
        <v>27176</v>
      </c>
      <c r="S1376" s="49" t="s">
        <v>27186</v>
      </c>
      <c r="T1376" s="49" t="s">
        <v>27196</v>
      </c>
    </row>
    <row r="1377" spans="1:21" x14ac:dyDescent="0.2">
      <c r="A1377" s="49" t="s">
        <v>30</v>
      </c>
      <c r="D1377" s="49" t="s">
        <v>17614</v>
      </c>
      <c r="G1377" s="49" t="s">
        <v>17615</v>
      </c>
      <c r="H1377" s="49" t="s">
        <v>27127</v>
      </c>
      <c r="I1377" s="49" t="s">
        <v>27137</v>
      </c>
      <c r="J1377" s="49" t="s">
        <v>27207</v>
      </c>
      <c r="K1377" s="49" t="s">
        <v>27217</v>
      </c>
      <c r="L1377" s="49" t="s">
        <v>17616</v>
      </c>
      <c r="M1377" s="49" t="s">
        <v>17617</v>
      </c>
      <c r="N1377" s="49" t="s">
        <v>17618</v>
      </c>
      <c r="O1377" s="49" t="s">
        <v>27147</v>
      </c>
      <c r="P1377" s="49" t="s">
        <v>27157</v>
      </c>
      <c r="Q1377" s="49" t="s">
        <v>27167</v>
      </c>
      <c r="R1377" s="49" t="s">
        <v>27177</v>
      </c>
      <c r="S1377" s="49" t="s">
        <v>27187</v>
      </c>
      <c r="T1377" s="49" t="s">
        <v>27197</v>
      </c>
    </row>
    <row r="1378" spans="1:21" x14ac:dyDescent="0.2">
      <c r="A1378" s="49" t="s">
        <v>30</v>
      </c>
      <c r="D1378" s="49" t="s">
        <v>17619</v>
      </c>
      <c r="G1378" s="49" t="s">
        <v>17620</v>
      </c>
      <c r="H1378" s="49" t="s">
        <v>27128</v>
      </c>
      <c r="I1378" s="49" t="s">
        <v>27138</v>
      </c>
      <c r="J1378" s="49" t="s">
        <v>27208</v>
      </c>
      <c r="K1378" s="49" t="s">
        <v>27218</v>
      </c>
      <c r="L1378" s="49" t="s">
        <v>17621</v>
      </c>
      <c r="M1378" s="49" t="s">
        <v>17622</v>
      </c>
      <c r="N1378" s="49" t="s">
        <v>17623</v>
      </c>
      <c r="O1378" s="49" t="s">
        <v>27148</v>
      </c>
      <c r="P1378" s="49" t="s">
        <v>27158</v>
      </c>
      <c r="Q1378" s="49" t="s">
        <v>27168</v>
      </c>
      <c r="R1378" s="49" t="s">
        <v>27178</v>
      </c>
      <c r="S1378" s="49" t="s">
        <v>27188</v>
      </c>
      <c r="T1378" s="49" t="s">
        <v>27198</v>
      </c>
    </row>
    <row r="1379" spans="1:21" x14ac:dyDescent="0.2">
      <c r="A1379" s="49" t="s">
        <v>30</v>
      </c>
      <c r="D1379" s="49" t="s">
        <v>17624</v>
      </c>
      <c r="G1379" s="49" t="s">
        <v>17625</v>
      </c>
      <c r="H1379" s="49" t="s">
        <v>27129</v>
      </c>
      <c r="I1379" s="49" t="s">
        <v>27139</v>
      </c>
      <c r="J1379" s="49" t="s">
        <v>27209</v>
      </c>
      <c r="K1379" s="49" t="s">
        <v>27219</v>
      </c>
      <c r="L1379" s="49" t="s">
        <v>17626</v>
      </c>
      <c r="M1379" s="49" t="s">
        <v>17627</v>
      </c>
      <c r="N1379" s="49" t="s">
        <v>17628</v>
      </c>
      <c r="O1379" s="49" t="s">
        <v>27149</v>
      </c>
      <c r="P1379" s="49" t="s">
        <v>27159</v>
      </c>
      <c r="Q1379" s="49" t="s">
        <v>27169</v>
      </c>
      <c r="R1379" s="49" t="s">
        <v>27179</v>
      </c>
      <c r="S1379" s="49" t="s">
        <v>27189</v>
      </c>
      <c r="T1379" s="49" t="s">
        <v>27199</v>
      </c>
    </row>
    <row r="1380" spans="1:21" x14ac:dyDescent="0.2">
      <c r="A1380" s="49" t="s">
        <v>30</v>
      </c>
      <c r="D1380" s="49" t="s">
        <v>17629</v>
      </c>
      <c r="G1380" s="49" t="s">
        <v>17630</v>
      </c>
      <c r="H1380" s="49" t="s">
        <v>27130</v>
      </c>
      <c r="I1380" s="49" t="s">
        <v>27140</v>
      </c>
      <c r="J1380" s="49" t="s">
        <v>27210</v>
      </c>
      <c r="K1380" s="49" t="s">
        <v>27220</v>
      </c>
      <c r="L1380" s="49" t="s">
        <v>17631</v>
      </c>
      <c r="M1380" s="49" t="s">
        <v>17632</v>
      </c>
      <c r="N1380" s="49" t="s">
        <v>17633</v>
      </c>
      <c r="O1380" s="49" t="s">
        <v>27150</v>
      </c>
      <c r="P1380" s="49" t="s">
        <v>27160</v>
      </c>
      <c r="Q1380" s="49" t="s">
        <v>27170</v>
      </c>
      <c r="R1380" s="49" t="s">
        <v>27180</v>
      </c>
      <c r="S1380" s="49" t="s">
        <v>27190</v>
      </c>
      <c r="T1380" s="49" t="s">
        <v>27200</v>
      </c>
    </row>
    <row r="1381" spans="1:21" x14ac:dyDescent="0.2">
      <c r="A1381" s="49" t="s">
        <v>30</v>
      </c>
      <c r="D1381" s="49" t="s">
        <v>17634</v>
      </c>
      <c r="G1381" s="49" t="s">
        <v>17635</v>
      </c>
      <c r="H1381" s="49" t="s">
        <v>27131</v>
      </c>
      <c r="I1381" s="49" t="s">
        <v>27141</v>
      </c>
      <c r="J1381" s="49" t="s">
        <v>27211</v>
      </c>
      <c r="K1381" s="49" t="s">
        <v>27221</v>
      </c>
      <c r="L1381" s="49" t="s">
        <v>17636</v>
      </c>
      <c r="M1381" s="49" t="s">
        <v>17637</v>
      </c>
      <c r="N1381" s="49" t="s">
        <v>17638</v>
      </c>
      <c r="O1381" s="49" t="s">
        <v>27151</v>
      </c>
      <c r="P1381" s="49" t="s">
        <v>27161</v>
      </c>
      <c r="Q1381" s="49" t="s">
        <v>27171</v>
      </c>
      <c r="R1381" s="49" t="s">
        <v>27181</v>
      </c>
      <c r="S1381" s="49" t="s">
        <v>27191</v>
      </c>
      <c r="T1381" s="49" t="s">
        <v>27201</v>
      </c>
    </row>
    <row r="1382" spans="1:21" x14ac:dyDescent="0.2">
      <c r="A1382" s="49" t="s">
        <v>30</v>
      </c>
      <c r="D1382" s="49" t="s">
        <v>17639</v>
      </c>
      <c r="G1382" s="49" t="s">
        <v>17640</v>
      </c>
      <c r="H1382" s="49" t="s">
        <v>27132</v>
      </c>
      <c r="I1382" s="49" t="s">
        <v>27142</v>
      </c>
      <c r="J1382" s="49" t="s">
        <v>27212</v>
      </c>
      <c r="K1382" s="49" t="s">
        <v>27222</v>
      </c>
      <c r="L1382" s="49" t="s">
        <v>17641</v>
      </c>
      <c r="M1382" s="49" t="s">
        <v>17642</v>
      </c>
      <c r="N1382" s="49" t="s">
        <v>17643</v>
      </c>
      <c r="O1382" s="49" t="s">
        <v>27152</v>
      </c>
      <c r="P1382" s="49" t="s">
        <v>27162</v>
      </c>
      <c r="Q1382" s="49" t="s">
        <v>27172</v>
      </c>
      <c r="R1382" s="49" t="s">
        <v>27182</v>
      </c>
      <c r="S1382" s="49" t="s">
        <v>27192</v>
      </c>
      <c r="T1382" s="49" t="s">
        <v>27202</v>
      </c>
    </row>
    <row r="1383" spans="1:21" x14ac:dyDescent="0.2">
      <c r="A1383" s="49" t="s">
        <v>30</v>
      </c>
      <c r="D1383" s="49" t="s">
        <v>17644</v>
      </c>
      <c r="G1383" s="49" t="s">
        <v>17645</v>
      </c>
      <c r="H1383" s="49" t="s">
        <v>27133</v>
      </c>
      <c r="I1383" s="49" t="s">
        <v>27143</v>
      </c>
      <c r="J1383" s="49" t="s">
        <v>27213</v>
      </c>
      <c r="K1383" s="49" t="s">
        <v>27223</v>
      </c>
      <c r="L1383" s="49" t="s">
        <v>17646</v>
      </c>
      <c r="M1383" s="49" t="s">
        <v>17647</v>
      </c>
      <c r="N1383" s="49" t="s">
        <v>17648</v>
      </c>
      <c r="O1383" s="49" t="s">
        <v>27153</v>
      </c>
      <c r="P1383" s="49" t="s">
        <v>27163</v>
      </c>
      <c r="Q1383" s="49" t="s">
        <v>27173</v>
      </c>
      <c r="R1383" s="49" t="s">
        <v>27183</v>
      </c>
      <c r="S1383" s="49" t="s">
        <v>27193</v>
      </c>
      <c r="T1383" s="49" t="s">
        <v>27203</v>
      </c>
    </row>
    <row r="1384" spans="1:21" x14ac:dyDescent="0.2">
      <c r="A1384" s="49" t="s">
        <v>30</v>
      </c>
      <c r="D1384" s="49" t="s">
        <v>17649</v>
      </c>
      <c r="G1384" s="49" t="s">
        <v>17650</v>
      </c>
      <c r="H1384" s="49" t="s">
        <v>27134</v>
      </c>
      <c r="I1384" s="49" t="s">
        <v>27144</v>
      </c>
      <c r="J1384" s="49" t="s">
        <v>27214</v>
      </c>
      <c r="K1384" s="49" t="s">
        <v>27224</v>
      </c>
      <c r="L1384" s="49" t="s">
        <v>17651</v>
      </c>
      <c r="M1384" s="49" t="s">
        <v>17652</v>
      </c>
      <c r="N1384" s="49" t="s">
        <v>17653</v>
      </c>
      <c r="O1384" s="49" t="s">
        <v>27154</v>
      </c>
      <c r="P1384" s="49" t="s">
        <v>27164</v>
      </c>
      <c r="Q1384" s="49" t="s">
        <v>27174</v>
      </c>
      <c r="R1384" s="49" t="s">
        <v>27184</v>
      </c>
      <c r="S1384" s="49" t="s">
        <v>27194</v>
      </c>
      <c r="T1384" s="49" t="s">
        <v>27204</v>
      </c>
    </row>
    <row r="1385" spans="1:21" x14ac:dyDescent="0.2">
      <c r="A1385" s="49" t="s">
        <v>30</v>
      </c>
      <c r="D1385" s="49" t="s">
        <v>17654</v>
      </c>
      <c r="G1385" s="49" t="s">
        <v>17655</v>
      </c>
      <c r="H1385" s="49" t="s">
        <v>27135</v>
      </c>
      <c r="I1385" s="49" t="s">
        <v>27145</v>
      </c>
      <c r="J1385" s="49" t="s">
        <v>27215</v>
      </c>
      <c r="K1385" s="49" t="s">
        <v>27225</v>
      </c>
      <c r="L1385" s="49" t="s">
        <v>17656</v>
      </c>
      <c r="M1385" s="49" t="s">
        <v>17657</v>
      </c>
      <c r="N1385" s="49" t="s">
        <v>17658</v>
      </c>
      <c r="O1385" s="49" t="s">
        <v>27155</v>
      </c>
      <c r="P1385" s="49" t="s">
        <v>27165</v>
      </c>
      <c r="Q1385" s="49" t="s">
        <v>27175</v>
      </c>
      <c r="R1385" s="49" t="s">
        <v>27185</v>
      </c>
      <c r="S1385" s="49" t="s">
        <v>27195</v>
      </c>
      <c r="T1385" s="49" t="s">
        <v>27205</v>
      </c>
    </row>
    <row r="1386" spans="1:21" x14ac:dyDescent="0.2">
      <c r="A1386" s="49" t="s">
        <v>30</v>
      </c>
    </row>
    <row r="1387" spans="1:21" x14ac:dyDescent="0.2">
      <c r="A1387" s="49" t="s">
        <v>30</v>
      </c>
      <c r="E1387" s="49" t="s">
        <v>31</v>
      </c>
      <c r="F1387" s="49" t="s">
        <v>31</v>
      </c>
      <c r="G1387" s="49" t="s">
        <v>31</v>
      </c>
      <c r="J1387" s="49" t="s">
        <v>31</v>
      </c>
      <c r="K1387" s="49" t="s">
        <v>31</v>
      </c>
      <c r="L1387" s="49" t="s">
        <v>31</v>
      </c>
      <c r="M1387" s="49" t="s">
        <v>31</v>
      </c>
    </row>
    <row r="1388" spans="1:21" x14ac:dyDescent="0.2">
      <c r="A1388" s="49" t="s">
        <v>30</v>
      </c>
      <c r="D1388" s="49" t="s">
        <v>17659</v>
      </c>
      <c r="E1388" s="49" t="s">
        <v>7374</v>
      </c>
      <c r="F1388" s="49" t="s">
        <v>17660</v>
      </c>
      <c r="H1388" s="49" t="s">
        <v>17661</v>
      </c>
      <c r="O1388" s="49" t="s">
        <v>17662</v>
      </c>
      <c r="P1388" s="49" t="s">
        <v>17663</v>
      </c>
      <c r="Q1388" s="49" t="s">
        <v>17664</v>
      </c>
      <c r="R1388" s="49" t="s">
        <v>17665</v>
      </c>
      <c r="S1388" s="49" t="s">
        <v>17666</v>
      </c>
      <c r="T1388" s="49" t="s">
        <v>17667</v>
      </c>
      <c r="U1388" s="49" t="s">
        <v>17668</v>
      </c>
    </row>
    <row r="1389" spans="1:21" x14ac:dyDescent="0.2">
      <c r="A1389" s="49" t="s">
        <v>30</v>
      </c>
      <c r="D1389" s="49" t="s">
        <v>17669</v>
      </c>
      <c r="G1389" s="49" t="s">
        <v>17670</v>
      </c>
      <c r="H1389" s="49" t="s">
        <v>27066</v>
      </c>
      <c r="I1389" s="49" t="s">
        <v>27072</v>
      </c>
      <c r="J1389" s="49" t="s">
        <v>27114</v>
      </c>
      <c r="K1389" s="49" t="s">
        <v>27120</v>
      </c>
      <c r="L1389" s="49" t="s">
        <v>17671</v>
      </c>
      <c r="M1389" s="49" t="s">
        <v>17672</v>
      </c>
      <c r="N1389" s="49" t="s">
        <v>17673</v>
      </c>
      <c r="O1389" s="49" t="s">
        <v>27078</v>
      </c>
      <c r="P1389" s="49" t="s">
        <v>27084</v>
      </c>
      <c r="Q1389" s="49" t="s">
        <v>27090</v>
      </c>
      <c r="R1389" s="49" t="s">
        <v>27096</v>
      </c>
      <c r="S1389" s="49" t="s">
        <v>27102</v>
      </c>
      <c r="T1389" s="49" t="s">
        <v>27108</v>
      </c>
    </row>
    <row r="1390" spans="1:21" x14ac:dyDescent="0.2">
      <c r="A1390" s="49" t="s">
        <v>30</v>
      </c>
      <c r="D1390" s="49" t="s">
        <v>17674</v>
      </c>
      <c r="G1390" s="49" t="s">
        <v>17675</v>
      </c>
      <c r="H1390" s="49" t="s">
        <v>27067</v>
      </c>
      <c r="I1390" s="49" t="s">
        <v>27073</v>
      </c>
      <c r="J1390" s="49" t="s">
        <v>27115</v>
      </c>
      <c r="K1390" s="49" t="s">
        <v>27121</v>
      </c>
      <c r="L1390" s="49" t="s">
        <v>17676</v>
      </c>
      <c r="M1390" s="49" t="s">
        <v>17677</v>
      </c>
      <c r="N1390" s="49" t="s">
        <v>17678</v>
      </c>
      <c r="O1390" s="49" t="s">
        <v>27079</v>
      </c>
      <c r="P1390" s="49" t="s">
        <v>27085</v>
      </c>
      <c r="Q1390" s="49" t="s">
        <v>27091</v>
      </c>
      <c r="R1390" s="49" t="s">
        <v>27097</v>
      </c>
      <c r="S1390" s="49" t="s">
        <v>27103</v>
      </c>
      <c r="T1390" s="49" t="s">
        <v>27109</v>
      </c>
    </row>
    <row r="1391" spans="1:21" x14ac:dyDescent="0.2">
      <c r="A1391" s="49" t="s">
        <v>30</v>
      </c>
      <c r="D1391" s="49" t="s">
        <v>17679</v>
      </c>
      <c r="G1391" s="49" t="s">
        <v>17680</v>
      </c>
      <c r="H1391" s="49" t="s">
        <v>27068</v>
      </c>
      <c r="I1391" s="49" t="s">
        <v>27074</v>
      </c>
      <c r="J1391" s="49" t="s">
        <v>27116</v>
      </c>
      <c r="K1391" s="49" t="s">
        <v>27122</v>
      </c>
      <c r="L1391" s="49" t="s">
        <v>17681</v>
      </c>
      <c r="M1391" s="49" t="s">
        <v>17682</v>
      </c>
      <c r="N1391" s="49" t="s">
        <v>17683</v>
      </c>
      <c r="O1391" s="49" t="s">
        <v>27080</v>
      </c>
      <c r="P1391" s="49" t="s">
        <v>27086</v>
      </c>
      <c r="Q1391" s="49" t="s">
        <v>27092</v>
      </c>
      <c r="R1391" s="49" t="s">
        <v>27098</v>
      </c>
      <c r="S1391" s="49" t="s">
        <v>27104</v>
      </c>
      <c r="T1391" s="49" t="s">
        <v>27110</v>
      </c>
    </row>
    <row r="1392" spans="1:21" x14ac:dyDescent="0.2">
      <c r="A1392" s="49" t="s">
        <v>30</v>
      </c>
      <c r="D1392" s="49" t="s">
        <v>17684</v>
      </c>
      <c r="G1392" s="49" t="s">
        <v>17685</v>
      </c>
      <c r="H1392" s="49" t="s">
        <v>27069</v>
      </c>
      <c r="I1392" s="49" t="s">
        <v>27075</v>
      </c>
      <c r="J1392" s="49" t="s">
        <v>27117</v>
      </c>
      <c r="K1392" s="49" t="s">
        <v>27123</v>
      </c>
      <c r="L1392" s="49" t="s">
        <v>17686</v>
      </c>
      <c r="M1392" s="49" t="s">
        <v>17687</v>
      </c>
      <c r="N1392" s="49" t="s">
        <v>17688</v>
      </c>
      <c r="O1392" s="49" t="s">
        <v>27081</v>
      </c>
      <c r="P1392" s="49" t="s">
        <v>27087</v>
      </c>
      <c r="Q1392" s="49" t="s">
        <v>27093</v>
      </c>
      <c r="R1392" s="49" t="s">
        <v>27099</v>
      </c>
      <c r="S1392" s="49" t="s">
        <v>27105</v>
      </c>
      <c r="T1392" s="49" t="s">
        <v>27111</v>
      </c>
    </row>
    <row r="1393" spans="1:21" x14ac:dyDescent="0.2">
      <c r="A1393" s="49" t="s">
        <v>30</v>
      </c>
      <c r="D1393" s="49" t="s">
        <v>17689</v>
      </c>
      <c r="G1393" s="49" t="s">
        <v>17690</v>
      </c>
      <c r="H1393" s="49" t="s">
        <v>27070</v>
      </c>
      <c r="I1393" s="49" t="s">
        <v>27076</v>
      </c>
      <c r="J1393" s="49" t="s">
        <v>27118</v>
      </c>
      <c r="K1393" s="49" t="s">
        <v>27124</v>
      </c>
      <c r="L1393" s="49" t="s">
        <v>17691</v>
      </c>
      <c r="M1393" s="49" t="s">
        <v>17692</v>
      </c>
      <c r="N1393" s="49" t="s">
        <v>17693</v>
      </c>
      <c r="O1393" s="49" t="s">
        <v>27082</v>
      </c>
      <c r="P1393" s="49" t="s">
        <v>27088</v>
      </c>
      <c r="Q1393" s="49" t="s">
        <v>27094</v>
      </c>
      <c r="R1393" s="49" t="s">
        <v>27100</v>
      </c>
      <c r="S1393" s="49" t="s">
        <v>27106</v>
      </c>
      <c r="T1393" s="49" t="s">
        <v>27112</v>
      </c>
    </row>
    <row r="1394" spans="1:21" x14ac:dyDescent="0.2">
      <c r="A1394" s="49" t="s">
        <v>30</v>
      </c>
      <c r="D1394" s="49" t="s">
        <v>17694</v>
      </c>
      <c r="G1394" s="49" t="s">
        <v>17695</v>
      </c>
      <c r="H1394" s="49" t="s">
        <v>27071</v>
      </c>
      <c r="I1394" s="49" t="s">
        <v>27077</v>
      </c>
      <c r="J1394" s="49" t="s">
        <v>27119</v>
      </c>
      <c r="K1394" s="49" t="s">
        <v>27125</v>
      </c>
      <c r="L1394" s="49" t="s">
        <v>17696</v>
      </c>
      <c r="M1394" s="49" t="s">
        <v>17697</v>
      </c>
      <c r="N1394" s="49" t="s">
        <v>17698</v>
      </c>
      <c r="O1394" s="49" t="s">
        <v>27083</v>
      </c>
      <c r="P1394" s="49" t="s">
        <v>27089</v>
      </c>
      <c r="Q1394" s="49" t="s">
        <v>27095</v>
      </c>
      <c r="R1394" s="49" t="s">
        <v>27101</v>
      </c>
      <c r="S1394" s="49" t="s">
        <v>27107</v>
      </c>
      <c r="T1394" s="49" t="s">
        <v>27113</v>
      </c>
    </row>
    <row r="1395" spans="1:21" x14ac:dyDescent="0.2">
      <c r="A1395" s="49" t="s">
        <v>30</v>
      </c>
    </row>
    <row r="1396" spans="1:21" x14ac:dyDescent="0.2">
      <c r="A1396" s="49" t="s">
        <v>30</v>
      </c>
      <c r="E1396" s="49" t="s">
        <v>31</v>
      </c>
      <c r="F1396" s="49" t="s">
        <v>31</v>
      </c>
      <c r="G1396" s="49" t="s">
        <v>31</v>
      </c>
      <c r="J1396" s="49" t="s">
        <v>31</v>
      </c>
      <c r="K1396" s="49" t="s">
        <v>31</v>
      </c>
      <c r="L1396" s="49" t="s">
        <v>31</v>
      </c>
      <c r="M1396" s="49" t="s">
        <v>31</v>
      </c>
    </row>
    <row r="1397" spans="1:21" x14ac:dyDescent="0.2">
      <c r="A1397" s="49" t="s">
        <v>30</v>
      </c>
      <c r="D1397" s="49" t="s">
        <v>17699</v>
      </c>
      <c r="E1397" s="49" t="s">
        <v>7417</v>
      </c>
      <c r="F1397" s="49" t="s">
        <v>17700</v>
      </c>
      <c r="H1397" s="49" t="s">
        <v>17701</v>
      </c>
      <c r="O1397" s="49" t="s">
        <v>17702</v>
      </c>
      <c r="P1397" s="49" t="s">
        <v>17703</v>
      </c>
      <c r="Q1397" s="49" t="s">
        <v>17704</v>
      </c>
      <c r="R1397" s="49" t="s">
        <v>17705</v>
      </c>
      <c r="S1397" s="49" t="s">
        <v>17706</v>
      </c>
      <c r="T1397" s="49" t="s">
        <v>17707</v>
      </c>
      <c r="U1397" s="49" t="s">
        <v>17708</v>
      </c>
    </row>
    <row r="1398" spans="1:21" x14ac:dyDescent="0.2">
      <c r="A1398" s="49" t="s">
        <v>30</v>
      </c>
      <c r="D1398" s="49" t="s">
        <v>17709</v>
      </c>
      <c r="G1398" s="49" t="s">
        <v>17710</v>
      </c>
      <c r="H1398" s="49" t="s">
        <v>27016</v>
      </c>
      <c r="I1398" s="49" t="s">
        <v>27021</v>
      </c>
      <c r="J1398" s="49" t="s">
        <v>27056</v>
      </c>
      <c r="K1398" s="49" t="s">
        <v>27061</v>
      </c>
      <c r="L1398" s="49" t="s">
        <v>17711</v>
      </c>
      <c r="M1398" s="49" t="s">
        <v>17712</v>
      </c>
      <c r="N1398" s="49" t="s">
        <v>17713</v>
      </c>
      <c r="O1398" s="49" t="s">
        <v>27026</v>
      </c>
      <c r="P1398" s="49" t="s">
        <v>27031</v>
      </c>
      <c r="Q1398" s="49" t="s">
        <v>27036</v>
      </c>
      <c r="R1398" s="49" t="s">
        <v>27041</v>
      </c>
      <c r="S1398" s="49" t="s">
        <v>27046</v>
      </c>
      <c r="T1398" s="49" t="s">
        <v>27051</v>
      </c>
    </row>
    <row r="1399" spans="1:21" x14ac:dyDescent="0.2">
      <c r="A1399" s="49" t="s">
        <v>30</v>
      </c>
      <c r="D1399" s="49" t="s">
        <v>17714</v>
      </c>
      <c r="G1399" s="49" t="s">
        <v>17715</v>
      </c>
      <c r="H1399" s="49" t="s">
        <v>27017</v>
      </c>
      <c r="I1399" s="49" t="s">
        <v>27022</v>
      </c>
      <c r="J1399" s="49" t="s">
        <v>27057</v>
      </c>
      <c r="K1399" s="49" t="s">
        <v>27062</v>
      </c>
      <c r="L1399" s="49" t="s">
        <v>17716</v>
      </c>
      <c r="M1399" s="49" t="s">
        <v>17717</v>
      </c>
      <c r="N1399" s="49" t="s">
        <v>17718</v>
      </c>
      <c r="O1399" s="49" t="s">
        <v>27027</v>
      </c>
      <c r="P1399" s="49" t="s">
        <v>27032</v>
      </c>
      <c r="Q1399" s="49" t="s">
        <v>27037</v>
      </c>
      <c r="R1399" s="49" t="s">
        <v>27042</v>
      </c>
      <c r="S1399" s="49" t="s">
        <v>27047</v>
      </c>
      <c r="T1399" s="49" t="s">
        <v>27052</v>
      </c>
    </row>
    <row r="1400" spans="1:21" x14ac:dyDescent="0.2">
      <c r="A1400" s="49" t="s">
        <v>30</v>
      </c>
      <c r="D1400" s="49" t="s">
        <v>17719</v>
      </c>
      <c r="G1400" s="49" t="s">
        <v>17720</v>
      </c>
      <c r="H1400" s="49" t="s">
        <v>27018</v>
      </c>
      <c r="I1400" s="49" t="s">
        <v>27023</v>
      </c>
      <c r="J1400" s="49" t="s">
        <v>27058</v>
      </c>
      <c r="K1400" s="49" t="s">
        <v>27063</v>
      </c>
      <c r="L1400" s="49" t="s">
        <v>17721</v>
      </c>
      <c r="M1400" s="49" t="s">
        <v>17722</v>
      </c>
      <c r="N1400" s="49" t="s">
        <v>17723</v>
      </c>
      <c r="O1400" s="49" t="s">
        <v>27028</v>
      </c>
      <c r="P1400" s="49" t="s">
        <v>27033</v>
      </c>
      <c r="Q1400" s="49" t="s">
        <v>27038</v>
      </c>
      <c r="R1400" s="49" t="s">
        <v>27043</v>
      </c>
      <c r="S1400" s="49" t="s">
        <v>27048</v>
      </c>
      <c r="T1400" s="49" t="s">
        <v>27053</v>
      </c>
    </row>
    <row r="1401" spans="1:21" x14ac:dyDescent="0.2">
      <c r="A1401" s="49" t="s">
        <v>30</v>
      </c>
      <c r="D1401" s="49" t="s">
        <v>17724</v>
      </c>
      <c r="G1401" s="49" t="s">
        <v>17725</v>
      </c>
      <c r="H1401" s="49" t="s">
        <v>27019</v>
      </c>
      <c r="I1401" s="49" t="s">
        <v>27024</v>
      </c>
      <c r="J1401" s="49" t="s">
        <v>27059</v>
      </c>
      <c r="K1401" s="49" t="s">
        <v>27064</v>
      </c>
      <c r="L1401" s="49" t="s">
        <v>17726</v>
      </c>
      <c r="M1401" s="49" t="s">
        <v>17727</v>
      </c>
      <c r="N1401" s="49" t="s">
        <v>17728</v>
      </c>
      <c r="O1401" s="49" t="s">
        <v>27029</v>
      </c>
      <c r="P1401" s="49" t="s">
        <v>27034</v>
      </c>
      <c r="Q1401" s="49" t="s">
        <v>27039</v>
      </c>
      <c r="R1401" s="49" t="s">
        <v>27044</v>
      </c>
      <c r="S1401" s="49" t="s">
        <v>27049</v>
      </c>
      <c r="T1401" s="49" t="s">
        <v>27054</v>
      </c>
    </row>
    <row r="1402" spans="1:21" x14ac:dyDescent="0.2">
      <c r="A1402" s="49" t="s">
        <v>30</v>
      </c>
      <c r="D1402" s="49" t="s">
        <v>17729</v>
      </c>
      <c r="G1402" s="49" t="s">
        <v>17730</v>
      </c>
      <c r="H1402" s="49" t="s">
        <v>27020</v>
      </c>
      <c r="I1402" s="49" t="s">
        <v>27025</v>
      </c>
      <c r="J1402" s="49" t="s">
        <v>27060</v>
      </c>
      <c r="K1402" s="49" t="s">
        <v>27065</v>
      </c>
      <c r="L1402" s="49" t="s">
        <v>17731</v>
      </c>
      <c r="M1402" s="49" t="s">
        <v>17732</v>
      </c>
      <c r="N1402" s="49" t="s">
        <v>17733</v>
      </c>
      <c r="O1402" s="49" t="s">
        <v>27030</v>
      </c>
      <c r="P1402" s="49" t="s">
        <v>27035</v>
      </c>
      <c r="Q1402" s="49" t="s">
        <v>27040</v>
      </c>
      <c r="R1402" s="49" t="s">
        <v>27045</v>
      </c>
      <c r="S1402" s="49" t="s">
        <v>27050</v>
      </c>
      <c r="T1402" s="49" t="s">
        <v>27055</v>
      </c>
    </row>
    <row r="1403" spans="1:21" x14ac:dyDescent="0.2">
      <c r="A1403" s="49" t="s">
        <v>30</v>
      </c>
    </row>
    <row r="1404" spans="1:21" x14ac:dyDescent="0.2">
      <c r="A1404" s="49" t="s">
        <v>30</v>
      </c>
      <c r="E1404" s="49" t="s">
        <v>31</v>
      </c>
      <c r="F1404" s="49" t="s">
        <v>31</v>
      </c>
      <c r="G1404" s="49" t="s">
        <v>31</v>
      </c>
      <c r="J1404" s="49" t="s">
        <v>31</v>
      </c>
      <c r="K1404" s="49" t="s">
        <v>31</v>
      </c>
      <c r="L1404" s="49" t="s">
        <v>31</v>
      </c>
      <c r="M1404" s="49" t="s">
        <v>31</v>
      </c>
    </row>
    <row r="1405" spans="1:21" x14ac:dyDescent="0.2">
      <c r="A1405" s="49" t="s">
        <v>30</v>
      </c>
      <c r="D1405" s="49" t="s">
        <v>17734</v>
      </c>
      <c r="E1405" s="49" t="s">
        <v>7447</v>
      </c>
      <c r="F1405" s="49" t="s">
        <v>17735</v>
      </c>
      <c r="H1405" s="49" t="s">
        <v>17736</v>
      </c>
      <c r="O1405" s="49" t="s">
        <v>17737</v>
      </c>
      <c r="P1405" s="49" t="s">
        <v>17738</v>
      </c>
      <c r="Q1405" s="49" t="s">
        <v>17739</v>
      </c>
      <c r="R1405" s="49" t="s">
        <v>17740</v>
      </c>
      <c r="S1405" s="49" t="s">
        <v>17741</v>
      </c>
      <c r="T1405" s="49" t="s">
        <v>17742</v>
      </c>
      <c r="U1405" s="49" t="s">
        <v>17743</v>
      </c>
    </row>
    <row r="1406" spans="1:21" x14ac:dyDescent="0.2">
      <c r="A1406" s="49" t="s">
        <v>30</v>
      </c>
      <c r="D1406" s="49" t="s">
        <v>17744</v>
      </c>
      <c r="G1406" s="49" t="s">
        <v>17745</v>
      </c>
      <c r="H1406" s="49" t="s">
        <v>26936</v>
      </c>
      <c r="I1406" s="49" t="s">
        <v>26944</v>
      </c>
      <c r="J1406" s="49" t="s">
        <v>27000</v>
      </c>
      <c r="K1406" s="49" t="s">
        <v>27008</v>
      </c>
      <c r="L1406" s="49" t="s">
        <v>17746</v>
      </c>
      <c r="M1406" s="49" t="s">
        <v>17747</v>
      </c>
      <c r="N1406" s="49" t="s">
        <v>17748</v>
      </c>
      <c r="O1406" s="49" t="s">
        <v>26952</v>
      </c>
      <c r="P1406" s="49" t="s">
        <v>26960</v>
      </c>
      <c r="Q1406" s="49" t="s">
        <v>26968</v>
      </c>
      <c r="R1406" s="49" t="s">
        <v>26976</v>
      </c>
      <c r="S1406" s="49" t="s">
        <v>26984</v>
      </c>
      <c r="T1406" s="49" t="s">
        <v>26992</v>
      </c>
    </row>
    <row r="1407" spans="1:21" x14ac:dyDescent="0.2">
      <c r="A1407" s="49" t="s">
        <v>30</v>
      </c>
      <c r="D1407" s="49" t="s">
        <v>17749</v>
      </c>
      <c r="G1407" s="49" t="s">
        <v>17750</v>
      </c>
      <c r="H1407" s="49" t="s">
        <v>26937</v>
      </c>
      <c r="I1407" s="49" t="s">
        <v>26945</v>
      </c>
      <c r="J1407" s="49" t="s">
        <v>27001</v>
      </c>
      <c r="K1407" s="49" t="s">
        <v>27009</v>
      </c>
      <c r="L1407" s="49" t="s">
        <v>17751</v>
      </c>
      <c r="M1407" s="49" t="s">
        <v>17752</v>
      </c>
      <c r="N1407" s="49" t="s">
        <v>17753</v>
      </c>
      <c r="O1407" s="49" t="s">
        <v>26953</v>
      </c>
      <c r="P1407" s="49" t="s">
        <v>26961</v>
      </c>
      <c r="Q1407" s="49" t="s">
        <v>26969</v>
      </c>
      <c r="R1407" s="49" t="s">
        <v>26977</v>
      </c>
      <c r="S1407" s="49" t="s">
        <v>26985</v>
      </c>
      <c r="T1407" s="49" t="s">
        <v>26993</v>
      </c>
    </row>
    <row r="1408" spans="1:21" x14ac:dyDescent="0.2">
      <c r="A1408" s="49" t="s">
        <v>30</v>
      </c>
      <c r="D1408" s="49" t="s">
        <v>17754</v>
      </c>
      <c r="G1408" s="49" t="s">
        <v>17755</v>
      </c>
      <c r="H1408" s="49" t="s">
        <v>26938</v>
      </c>
      <c r="I1408" s="49" t="s">
        <v>26946</v>
      </c>
      <c r="J1408" s="49" t="s">
        <v>27002</v>
      </c>
      <c r="K1408" s="49" t="s">
        <v>27010</v>
      </c>
      <c r="L1408" s="49" t="s">
        <v>17756</v>
      </c>
      <c r="M1408" s="49" t="s">
        <v>17757</v>
      </c>
      <c r="N1408" s="49" t="s">
        <v>17758</v>
      </c>
      <c r="O1408" s="49" t="s">
        <v>26954</v>
      </c>
      <c r="P1408" s="49" t="s">
        <v>26962</v>
      </c>
      <c r="Q1408" s="49" t="s">
        <v>26970</v>
      </c>
      <c r="R1408" s="49" t="s">
        <v>26978</v>
      </c>
      <c r="S1408" s="49" t="s">
        <v>26986</v>
      </c>
      <c r="T1408" s="49" t="s">
        <v>26994</v>
      </c>
    </row>
    <row r="1409" spans="1:21" x14ac:dyDescent="0.2">
      <c r="A1409" s="49" t="s">
        <v>30</v>
      </c>
      <c r="D1409" s="49" t="s">
        <v>17759</v>
      </c>
      <c r="G1409" s="49" t="s">
        <v>17760</v>
      </c>
      <c r="H1409" s="49" t="s">
        <v>26939</v>
      </c>
      <c r="I1409" s="49" t="s">
        <v>26947</v>
      </c>
      <c r="J1409" s="49" t="s">
        <v>27003</v>
      </c>
      <c r="K1409" s="49" t="s">
        <v>27011</v>
      </c>
      <c r="L1409" s="49" t="s">
        <v>17761</v>
      </c>
      <c r="M1409" s="49" t="s">
        <v>17762</v>
      </c>
      <c r="N1409" s="49" t="s">
        <v>17763</v>
      </c>
      <c r="O1409" s="49" t="s">
        <v>26955</v>
      </c>
      <c r="P1409" s="49" t="s">
        <v>26963</v>
      </c>
      <c r="Q1409" s="49" t="s">
        <v>26971</v>
      </c>
      <c r="R1409" s="49" t="s">
        <v>26979</v>
      </c>
      <c r="S1409" s="49" t="s">
        <v>26987</v>
      </c>
      <c r="T1409" s="49" t="s">
        <v>26995</v>
      </c>
    </row>
    <row r="1410" spans="1:21" x14ac:dyDescent="0.2">
      <c r="A1410" s="49" t="s">
        <v>30</v>
      </c>
      <c r="D1410" s="49" t="s">
        <v>17764</v>
      </c>
      <c r="G1410" s="49" t="s">
        <v>17765</v>
      </c>
      <c r="H1410" s="49" t="s">
        <v>26940</v>
      </c>
      <c r="I1410" s="49" t="s">
        <v>26948</v>
      </c>
      <c r="J1410" s="49" t="s">
        <v>27004</v>
      </c>
      <c r="K1410" s="49" t="s">
        <v>27012</v>
      </c>
      <c r="L1410" s="49" t="s">
        <v>17766</v>
      </c>
      <c r="M1410" s="49" t="s">
        <v>17767</v>
      </c>
      <c r="N1410" s="49" t="s">
        <v>17768</v>
      </c>
      <c r="O1410" s="49" t="s">
        <v>26956</v>
      </c>
      <c r="P1410" s="49" t="s">
        <v>26964</v>
      </c>
      <c r="Q1410" s="49" t="s">
        <v>26972</v>
      </c>
      <c r="R1410" s="49" t="s">
        <v>26980</v>
      </c>
      <c r="S1410" s="49" t="s">
        <v>26988</v>
      </c>
      <c r="T1410" s="49" t="s">
        <v>26996</v>
      </c>
    </row>
    <row r="1411" spans="1:21" x14ac:dyDescent="0.2">
      <c r="A1411" s="49" t="s">
        <v>30</v>
      </c>
      <c r="D1411" s="49" t="s">
        <v>17769</v>
      </c>
      <c r="G1411" s="49" t="s">
        <v>17770</v>
      </c>
      <c r="H1411" s="49" t="s">
        <v>26941</v>
      </c>
      <c r="I1411" s="49" t="s">
        <v>26949</v>
      </c>
      <c r="J1411" s="49" t="s">
        <v>27005</v>
      </c>
      <c r="K1411" s="49" t="s">
        <v>27013</v>
      </c>
      <c r="L1411" s="49" t="s">
        <v>17771</v>
      </c>
      <c r="M1411" s="49" t="s">
        <v>17772</v>
      </c>
      <c r="N1411" s="49" t="s">
        <v>17773</v>
      </c>
      <c r="O1411" s="49" t="s">
        <v>26957</v>
      </c>
      <c r="P1411" s="49" t="s">
        <v>26965</v>
      </c>
      <c r="Q1411" s="49" t="s">
        <v>26973</v>
      </c>
      <c r="R1411" s="49" t="s">
        <v>26981</v>
      </c>
      <c r="S1411" s="49" t="s">
        <v>26989</v>
      </c>
      <c r="T1411" s="49" t="s">
        <v>26997</v>
      </c>
    </row>
    <row r="1412" spans="1:21" x14ac:dyDescent="0.2">
      <c r="A1412" s="49" t="s">
        <v>30</v>
      </c>
      <c r="D1412" s="49" t="s">
        <v>17774</v>
      </c>
      <c r="G1412" s="49" t="s">
        <v>17775</v>
      </c>
      <c r="H1412" s="49" t="s">
        <v>26942</v>
      </c>
      <c r="I1412" s="49" t="s">
        <v>26950</v>
      </c>
      <c r="J1412" s="49" t="s">
        <v>27006</v>
      </c>
      <c r="K1412" s="49" t="s">
        <v>27014</v>
      </c>
      <c r="L1412" s="49" t="s">
        <v>17776</v>
      </c>
      <c r="M1412" s="49" t="s">
        <v>17777</v>
      </c>
      <c r="N1412" s="49" t="s">
        <v>17778</v>
      </c>
      <c r="O1412" s="49" t="s">
        <v>26958</v>
      </c>
      <c r="P1412" s="49" t="s">
        <v>26966</v>
      </c>
      <c r="Q1412" s="49" t="s">
        <v>26974</v>
      </c>
      <c r="R1412" s="49" t="s">
        <v>26982</v>
      </c>
      <c r="S1412" s="49" t="s">
        <v>26990</v>
      </c>
      <c r="T1412" s="49" t="s">
        <v>26998</v>
      </c>
    </row>
    <row r="1413" spans="1:21" x14ac:dyDescent="0.2">
      <c r="A1413" s="49" t="s">
        <v>30</v>
      </c>
      <c r="D1413" s="49" t="s">
        <v>17779</v>
      </c>
      <c r="G1413" s="49" t="s">
        <v>17780</v>
      </c>
      <c r="H1413" s="49" t="s">
        <v>26943</v>
      </c>
      <c r="I1413" s="49" t="s">
        <v>26951</v>
      </c>
      <c r="J1413" s="49" t="s">
        <v>27007</v>
      </c>
      <c r="K1413" s="49" t="s">
        <v>27015</v>
      </c>
      <c r="L1413" s="49" t="s">
        <v>17781</v>
      </c>
      <c r="M1413" s="49" t="s">
        <v>17782</v>
      </c>
      <c r="N1413" s="49" t="s">
        <v>17783</v>
      </c>
      <c r="O1413" s="49" t="s">
        <v>26959</v>
      </c>
      <c r="P1413" s="49" t="s">
        <v>26967</v>
      </c>
      <c r="Q1413" s="49" t="s">
        <v>26975</v>
      </c>
      <c r="R1413" s="49" t="s">
        <v>26983</v>
      </c>
      <c r="S1413" s="49" t="s">
        <v>26991</v>
      </c>
      <c r="T1413" s="49" t="s">
        <v>26999</v>
      </c>
    </row>
    <row r="1414" spans="1:21" x14ac:dyDescent="0.2">
      <c r="A1414" s="49" t="s">
        <v>30</v>
      </c>
    </row>
    <row r="1415" spans="1:21" x14ac:dyDescent="0.2">
      <c r="A1415" s="49" t="s">
        <v>30</v>
      </c>
      <c r="E1415" s="49" t="s">
        <v>31</v>
      </c>
      <c r="F1415" s="49" t="s">
        <v>31</v>
      </c>
      <c r="G1415" s="49" t="s">
        <v>31</v>
      </c>
      <c r="J1415" s="49" t="s">
        <v>31</v>
      </c>
      <c r="K1415" s="49" t="s">
        <v>31</v>
      </c>
      <c r="L1415" s="49" t="s">
        <v>31</v>
      </c>
      <c r="M1415" s="49" t="s">
        <v>31</v>
      </c>
    </row>
    <row r="1416" spans="1:21" x14ac:dyDescent="0.2">
      <c r="A1416" s="49" t="s">
        <v>30</v>
      </c>
      <c r="D1416" s="49" t="s">
        <v>17784</v>
      </c>
      <c r="E1416" s="49" t="s">
        <v>7479</v>
      </c>
      <c r="F1416" s="49" t="s">
        <v>17785</v>
      </c>
      <c r="H1416" s="49" t="s">
        <v>17786</v>
      </c>
      <c r="O1416" s="49" t="s">
        <v>17787</v>
      </c>
      <c r="P1416" s="49" t="s">
        <v>17788</v>
      </c>
      <c r="Q1416" s="49" t="s">
        <v>17789</v>
      </c>
      <c r="R1416" s="49" t="s">
        <v>17790</v>
      </c>
      <c r="S1416" s="49" t="s">
        <v>17791</v>
      </c>
      <c r="T1416" s="49" t="s">
        <v>17792</v>
      </c>
      <c r="U1416" s="49" t="s">
        <v>17793</v>
      </c>
    </row>
    <row r="1417" spans="1:21" x14ac:dyDescent="0.2">
      <c r="A1417" s="49" t="s">
        <v>30</v>
      </c>
      <c r="D1417" s="49" t="s">
        <v>17794</v>
      </c>
      <c r="G1417" s="49" t="s">
        <v>17795</v>
      </c>
      <c r="H1417" s="49" t="s">
        <v>26906</v>
      </c>
      <c r="I1417" s="49" t="s">
        <v>26909</v>
      </c>
      <c r="J1417" s="49" t="s">
        <v>26930</v>
      </c>
      <c r="K1417" s="49" t="s">
        <v>26933</v>
      </c>
      <c r="L1417" s="49" t="s">
        <v>17796</v>
      </c>
      <c r="M1417" s="49" t="s">
        <v>17797</v>
      </c>
      <c r="N1417" s="49" t="s">
        <v>17798</v>
      </c>
      <c r="O1417" s="49" t="s">
        <v>26912</v>
      </c>
      <c r="P1417" s="49" t="s">
        <v>26915</v>
      </c>
      <c r="Q1417" s="49" t="s">
        <v>26918</v>
      </c>
      <c r="R1417" s="49" t="s">
        <v>26921</v>
      </c>
      <c r="S1417" s="49" t="s">
        <v>26924</v>
      </c>
      <c r="T1417" s="49" t="s">
        <v>26927</v>
      </c>
    </row>
    <row r="1418" spans="1:21" x14ac:dyDescent="0.2">
      <c r="A1418" s="49" t="s">
        <v>30</v>
      </c>
      <c r="D1418" s="49" t="s">
        <v>17799</v>
      </c>
      <c r="G1418" s="49" t="s">
        <v>17800</v>
      </c>
      <c r="H1418" s="49" t="s">
        <v>26907</v>
      </c>
      <c r="I1418" s="49" t="s">
        <v>26910</v>
      </c>
      <c r="J1418" s="49" t="s">
        <v>26931</v>
      </c>
      <c r="K1418" s="49" t="s">
        <v>26934</v>
      </c>
      <c r="L1418" s="49" t="s">
        <v>17801</v>
      </c>
      <c r="M1418" s="49" t="s">
        <v>17802</v>
      </c>
      <c r="N1418" s="49" t="s">
        <v>17803</v>
      </c>
      <c r="O1418" s="49" t="s">
        <v>26913</v>
      </c>
      <c r="P1418" s="49" t="s">
        <v>26916</v>
      </c>
      <c r="Q1418" s="49" t="s">
        <v>26919</v>
      </c>
      <c r="R1418" s="49" t="s">
        <v>26922</v>
      </c>
      <c r="S1418" s="49" t="s">
        <v>26925</v>
      </c>
      <c r="T1418" s="49" t="s">
        <v>26928</v>
      </c>
    </row>
    <row r="1419" spans="1:21" x14ac:dyDescent="0.2">
      <c r="A1419" s="49" t="s">
        <v>30</v>
      </c>
      <c r="D1419" s="49" t="s">
        <v>17804</v>
      </c>
      <c r="G1419" s="49" t="s">
        <v>17805</v>
      </c>
      <c r="H1419" s="49" t="s">
        <v>26908</v>
      </c>
      <c r="I1419" s="49" t="s">
        <v>26911</v>
      </c>
      <c r="J1419" s="49" t="s">
        <v>26932</v>
      </c>
      <c r="K1419" s="49" t="s">
        <v>26935</v>
      </c>
      <c r="L1419" s="49" t="s">
        <v>17806</v>
      </c>
      <c r="M1419" s="49" t="s">
        <v>17807</v>
      </c>
      <c r="N1419" s="49" t="s">
        <v>17808</v>
      </c>
      <c r="O1419" s="49" t="s">
        <v>26914</v>
      </c>
      <c r="P1419" s="49" t="s">
        <v>26917</v>
      </c>
      <c r="Q1419" s="49" t="s">
        <v>26920</v>
      </c>
      <c r="R1419" s="49" t="s">
        <v>26923</v>
      </c>
      <c r="S1419" s="49" t="s">
        <v>26926</v>
      </c>
      <c r="T1419" s="49" t="s">
        <v>26929</v>
      </c>
    </row>
    <row r="1420" spans="1:21" x14ac:dyDescent="0.2">
      <c r="A1420" s="49" t="s">
        <v>30</v>
      </c>
    </row>
    <row r="1421" spans="1:21" x14ac:dyDescent="0.2">
      <c r="A1421" s="49" t="s">
        <v>30</v>
      </c>
      <c r="E1421" s="49" t="s">
        <v>31</v>
      </c>
      <c r="F1421" s="49" t="s">
        <v>31</v>
      </c>
      <c r="G1421" s="49" t="s">
        <v>31</v>
      </c>
      <c r="J1421" s="49" t="s">
        <v>31</v>
      </c>
      <c r="K1421" s="49" t="s">
        <v>31</v>
      </c>
      <c r="L1421" s="49" t="s">
        <v>31</v>
      </c>
      <c r="M1421" s="49" t="s">
        <v>31</v>
      </c>
    </row>
    <row r="1422" spans="1:21" x14ac:dyDescent="0.2">
      <c r="A1422" s="49" t="s">
        <v>30</v>
      </c>
      <c r="D1422" s="49" t="s">
        <v>17809</v>
      </c>
      <c r="E1422" s="49" t="s">
        <v>7530</v>
      </c>
      <c r="F1422" s="49" t="s">
        <v>17810</v>
      </c>
      <c r="H1422" s="49" t="s">
        <v>17811</v>
      </c>
      <c r="O1422" s="49" t="s">
        <v>17812</v>
      </c>
      <c r="P1422" s="49" t="s">
        <v>17813</v>
      </c>
      <c r="Q1422" s="49" t="s">
        <v>17814</v>
      </c>
      <c r="R1422" s="49" t="s">
        <v>17815</v>
      </c>
      <c r="S1422" s="49" t="s">
        <v>17816</v>
      </c>
      <c r="T1422" s="49" t="s">
        <v>17817</v>
      </c>
      <c r="U1422" s="49" t="s">
        <v>17818</v>
      </c>
    </row>
    <row r="1423" spans="1:21" x14ac:dyDescent="0.2">
      <c r="A1423" s="49" t="s">
        <v>30</v>
      </c>
      <c r="D1423" s="49" t="s">
        <v>17819</v>
      </c>
      <c r="G1423" s="49" t="s">
        <v>17820</v>
      </c>
      <c r="H1423" s="49" t="s">
        <v>26786</v>
      </c>
      <c r="I1423" s="49" t="s">
        <v>26798</v>
      </c>
      <c r="J1423" s="49" t="s">
        <v>26882</v>
      </c>
      <c r="K1423" s="49" t="s">
        <v>26894</v>
      </c>
      <c r="L1423" s="49" t="s">
        <v>17821</v>
      </c>
      <c r="M1423" s="49" t="s">
        <v>17822</v>
      </c>
      <c r="N1423" s="49" t="s">
        <v>17823</v>
      </c>
      <c r="O1423" s="49" t="s">
        <v>26810</v>
      </c>
      <c r="P1423" s="49" t="s">
        <v>26822</v>
      </c>
      <c r="Q1423" s="49" t="s">
        <v>26834</v>
      </c>
      <c r="R1423" s="49" t="s">
        <v>26846</v>
      </c>
      <c r="S1423" s="49" t="s">
        <v>26858</v>
      </c>
      <c r="T1423" s="49" t="s">
        <v>26870</v>
      </c>
    </row>
    <row r="1424" spans="1:21" x14ac:dyDescent="0.2">
      <c r="A1424" s="49" t="s">
        <v>30</v>
      </c>
      <c r="D1424" s="49" t="s">
        <v>17824</v>
      </c>
      <c r="G1424" s="49" t="s">
        <v>17825</v>
      </c>
      <c r="H1424" s="49" t="s">
        <v>26787</v>
      </c>
      <c r="I1424" s="49" t="s">
        <v>26799</v>
      </c>
      <c r="J1424" s="49" t="s">
        <v>26883</v>
      </c>
      <c r="K1424" s="49" t="s">
        <v>26895</v>
      </c>
      <c r="L1424" s="49" t="s">
        <v>17826</v>
      </c>
      <c r="M1424" s="49" t="s">
        <v>17827</v>
      </c>
      <c r="N1424" s="49" t="s">
        <v>17828</v>
      </c>
      <c r="O1424" s="49" t="s">
        <v>26811</v>
      </c>
      <c r="P1424" s="49" t="s">
        <v>26823</v>
      </c>
      <c r="Q1424" s="49" t="s">
        <v>26835</v>
      </c>
      <c r="R1424" s="49" t="s">
        <v>26847</v>
      </c>
      <c r="S1424" s="49" t="s">
        <v>26859</v>
      </c>
      <c r="T1424" s="49" t="s">
        <v>26871</v>
      </c>
    </row>
    <row r="1425" spans="1:21" x14ac:dyDescent="0.2">
      <c r="A1425" s="49" t="s">
        <v>30</v>
      </c>
      <c r="D1425" s="49" t="s">
        <v>17829</v>
      </c>
      <c r="G1425" s="49" t="s">
        <v>17830</v>
      </c>
      <c r="H1425" s="49" t="s">
        <v>26788</v>
      </c>
      <c r="I1425" s="49" t="s">
        <v>26800</v>
      </c>
      <c r="J1425" s="49" t="s">
        <v>26884</v>
      </c>
      <c r="K1425" s="49" t="s">
        <v>26896</v>
      </c>
      <c r="L1425" s="49" t="s">
        <v>17831</v>
      </c>
      <c r="M1425" s="49" t="s">
        <v>17832</v>
      </c>
      <c r="N1425" s="49" t="s">
        <v>17833</v>
      </c>
      <c r="O1425" s="49" t="s">
        <v>26812</v>
      </c>
      <c r="P1425" s="49" t="s">
        <v>26824</v>
      </c>
      <c r="Q1425" s="49" t="s">
        <v>26836</v>
      </c>
      <c r="R1425" s="49" t="s">
        <v>26848</v>
      </c>
      <c r="S1425" s="49" t="s">
        <v>26860</v>
      </c>
      <c r="T1425" s="49" t="s">
        <v>26872</v>
      </c>
    </row>
    <row r="1426" spans="1:21" x14ac:dyDescent="0.2">
      <c r="A1426" s="49" t="s">
        <v>30</v>
      </c>
      <c r="D1426" s="49" t="s">
        <v>17834</v>
      </c>
      <c r="G1426" s="49" t="s">
        <v>17835</v>
      </c>
      <c r="H1426" s="49" t="s">
        <v>26789</v>
      </c>
      <c r="I1426" s="49" t="s">
        <v>26801</v>
      </c>
      <c r="J1426" s="49" t="s">
        <v>26885</v>
      </c>
      <c r="K1426" s="49" t="s">
        <v>26897</v>
      </c>
      <c r="L1426" s="49" t="s">
        <v>17836</v>
      </c>
      <c r="M1426" s="49" t="s">
        <v>17837</v>
      </c>
      <c r="N1426" s="49" t="s">
        <v>17838</v>
      </c>
      <c r="O1426" s="49" t="s">
        <v>26813</v>
      </c>
      <c r="P1426" s="49" t="s">
        <v>26825</v>
      </c>
      <c r="Q1426" s="49" t="s">
        <v>26837</v>
      </c>
      <c r="R1426" s="49" t="s">
        <v>26849</v>
      </c>
      <c r="S1426" s="49" t="s">
        <v>26861</v>
      </c>
      <c r="T1426" s="49" t="s">
        <v>26873</v>
      </c>
    </row>
    <row r="1427" spans="1:21" x14ac:dyDescent="0.2">
      <c r="A1427" s="49" t="s">
        <v>30</v>
      </c>
      <c r="D1427" s="49" t="s">
        <v>17839</v>
      </c>
      <c r="G1427" s="49" t="s">
        <v>17840</v>
      </c>
      <c r="H1427" s="49" t="s">
        <v>26790</v>
      </c>
      <c r="I1427" s="49" t="s">
        <v>26802</v>
      </c>
      <c r="J1427" s="49" t="s">
        <v>26886</v>
      </c>
      <c r="K1427" s="49" t="s">
        <v>26898</v>
      </c>
      <c r="L1427" s="49" t="s">
        <v>17841</v>
      </c>
      <c r="M1427" s="49" t="s">
        <v>17842</v>
      </c>
      <c r="N1427" s="49" t="s">
        <v>17843</v>
      </c>
      <c r="O1427" s="49" t="s">
        <v>26814</v>
      </c>
      <c r="P1427" s="49" t="s">
        <v>26826</v>
      </c>
      <c r="Q1427" s="49" t="s">
        <v>26838</v>
      </c>
      <c r="R1427" s="49" t="s">
        <v>26850</v>
      </c>
      <c r="S1427" s="49" t="s">
        <v>26862</v>
      </c>
      <c r="T1427" s="49" t="s">
        <v>26874</v>
      </c>
    </row>
    <row r="1428" spans="1:21" x14ac:dyDescent="0.2">
      <c r="A1428" s="49" t="s">
        <v>30</v>
      </c>
      <c r="D1428" s="49" t="s">
        <v>17844</v>
      </c>
      <c r="G1428" s="49" t="s">
        <v>17845</v>
      </c>
      <c r="H1428" s="49" t="s">
        <v>26791</v>
      </c>
      <c r="I1428" s="49" t="s">
        <v>26803</v>
      </c>
      <c r="J1428" s="49" t="s">
        <v>26887</v>
      </c>
      <c r="K1428" s="49" t="s">
        <v>26899</v>
      </c>
      <c r="L1428" s="49" t="s">
        <v>17846</v>
      </c>
      <c r="M1428" s="49" t="s">
        <v>17847</v>
      </c>
      <c r="N1428" s="49" t="s">
        <v>17848</v>
      </c>
      <c r="O1428" s="49" t="s">
        <v>26815</v>
      </c>
      <c r="P1428" s="49" t="s">
        <v>26827</v>
      </c>
      <c r="Q1428" s="49" t="s">
        <v>26839</v>
      </c>
      <c r="R1428" s="49" t="s">
        <v>26851</v>
      </c>
      <c r="S1428" s="49" t="s">
        <v>26863</v>
      </c>
      <c r="T1428" s="49" t="s">
        <v>26875</v>
      </c>
    </row>
    <row r="1429" spans="1:21" x14ac:dyDescent="0.2">
      <c r="A1429" s="49" t="s">
        <v>30</v>
      </c>
      <c r="D1429" s="49" t="s">
        <v>17849</v>
      </c>
      <c r="G1429" s="49" t="s">
        <v>17850</v>
      </c>
      <c r="H1429" s="49" t="s">
        <v>26792</v>
      </c>
      <c r="I1429" s="49" t="s">
        <v>26804</v>
      </c>
      <c r="J1429" s="49" t="s">
        <v>26888</v>
      </c>
      <c r="K1429" s="49" t="s">
        <v>26900</v>
      </c>
      <c r="L1429" s="49" t="s">
        <v>17851</v>
      </c>
      <c r="M1429" s="49" t="s">
        <v>17852</v>
      </c>
      <c r="N1429" s="49" t="s">
        <v>17853</v>
      </c>
      <c r="O1429" s="49" t="s">
        <v>26816</v>
      </c>
      <c r="P1429" s="49" t="s">
        <v>26828</v>
      </c>
      <c r="Q1429" s="49" t="s">
        <v>26840</v>
      </c>
      <c r="R1429" s="49" t="s">
        <v>26852</v>
      </c>
      <c r="S1429" s="49" t="s">
        <v>26864</v>
      </c>
      <c r="T1429" s="49" t="s">
        <v>26876</v>
      </c>
    </row>
    <row r="1430" spans="1:21" x14ac:dyDescent="0.2">
      <c r="A1430" s="49" t="s">
        <v>30</v>
      </c>
      <c r="D1430" s="49" t="s">
        <v>17854</v>
      </c>
      <c r="G1430" s="49" t="s">
        <v>17855</v>
      </c>
      <c r="H1430" s="49" t="s">
        <v>26793</v>
      </c>
      <c r="I1430" s="49" t="s">
        <v>26805</v>
      </c>
      <c r="J1430" s="49" t="s">
        <v>26889</v>
      </c>
      <c r="K1430" s="49" t="s">
        <v>26901</v>
      </c>
      <c r="L1430" s="49" t="s">
        <v>17856</v>
      </c>
      <c r="M1430" s="49" t="s">
        <v>17857</v>
      </c>
      <c r="N1430" s="49" t="s">
        <v>17858</v>
      </c>
      <c r="O1430" s="49" t="s">
        <v>26817</v>
      </c>
      <c r="P1430" s="49" t="s">
        <v>26829</v>
      </c>
      <c r="Q1430" s="49" t="s">
        <v>26841</v>
      </c>
      <c r="R1430" s="49" t="s">
        <v>26853</v>
      </c>
      <c r="S1430" s="49" t="s">
        <v>26865</v>
      </c>
      <c r="T1430" s="49" t="s">
        <v>26877</v>
      </c>
    </row>
    <row r="1431" spans="1:21" x14ac:dyDescent="0.2">
      <c r="A1431" s="49" t="s">
        <v>30</v>
      </c>
      <c r="D1431" s="49" t="s">
        <v>17859</v>
      </c>
      <c r="G1431" s="49" t="s">
        <v>17860</v>
      </c>
      <c r="H1431" s="49" t="s">
        <v>26794</v>
      </c>
      <c r="I1431" s="49" t="s">
        <v>26806</v>
      </c>
      <c r="J1431" s="49" t="s">
        <v>26890</v>
      </c>
      <c r="K1431" s="49" t="s">
        <v>26902</v>
      </c>
      <c r="L1431" s="49" t="s">
        <v>17861</v>
      </c>
      <c r="M1431" s="49" t="s">
        <v>17862</v>
      </c>
      <c r="N1431" s="49" t="s">
        <v>17863</v>
      </c>
      <c r="O1431" s="49" t="s">
        <v>26818</v>
      </c>
      <c r="P1431" s="49" t="s">
        <v>26830</v>
      </c>
      <c r="Q1431" s="49" t="s">
        <v>26842</v>
      </c>
      <c r="R1431" s="49" t="s">
        <v>26854</v>
      </c>
      <c r="S1431" s="49" t="s">
        <v>26866</v>
      </c>
      <c r="T1431" s="49" t="s">
        <v>26878</v>
      </c>
    </row>
    <row r="1432" spans="1:21" x14ac:dyDescent="0.2">
      <c r="A1432" s="49" t="s">
        <v>30</v>
      </c>
      <c r="D1432" s="49" t="s">
        <v>17864</v>
      </c>
      <c r="G1432" s="49" t="s">
        <v>17865</v>
      </c>
      <c r="H1432" s="49" t="s">
        <v>26795</v>
      </c>
      <c r="I1432" s="49" t="s">
        <v>26807</v>
      </c>
      <c r="J1432" s="49" t="s">
        <v>26891</v>
      </c>
      <c r="K1432" s="49" t="s">
        <v>26903</v>
      </c>
      <c r="L1432" s="49" t="s">
        <v>17866</v>
      </c>
      <c r="M1432" s="49" t="s">
        <v>17867</v>
      </c>
      <c r="N1432" s="49" t="s">
        <v>17868</v>
      </c>
      <c r="O1432" s="49" t="s">
        <v>26819</v>
      </c>
      <c r="P1432" s="49" t="s">
        <v>26831</v>
      </c>
      <c r="Q1432" s="49" t="s">
        <v>26843</v>
      </c>
      <c r="R1432" s="49" t="s">
        <v>26855</v>
      </c>
      <c r="S1432" s="49" t="s">
        <v>26867</v>
      </c>
      <c r="T1432" s="49" t="s">
        <v>26879</v>
      </c>
    </row>
    <row r="1433" spans="1:21" x14ac:dyDescent="0.2">
      <c r="A1433" s="49" t="s">
        <v>30</v>
      </c>
      <c r="D1433" s="49" t="s">
        <v>17869</v>
      </c>
      <c r="G1433" s="49" t="s">
        <v>17870</v>
      </c>
      <c r="H1433" s="49" t="s">
        <v>26796</v>
      </c>
      <c r="I1433" s="49" t="s">
        <v>26808</v>
      </c>
      <c r="J1433" s="49" t="s">
        <v>26892</v>
      </c>
      <c r="K1433" s="49" t="s">
        <v>26904</v>
      </c>
      <c r="L1433" s="49" t="s">
        <v>17871</v>
      </c>
      <c r="M1433" s="49" t="s">
        <v>17872</v>
      </c>
      <c r="N1433" s="49" t="s">
        <v>17873</v>
      </c>
      <c r="O1433" s="49" t="s">
        <v>26820</v>
      </c>
      <c r="P1433" s="49" t="s">
        <v>26832</v>
      </c>
      <c r="Q1433" s="49" t="s">
        <v>26844</v>
      </c>
      <c r="R1433" s="49" t="s">
        <v>26856</v>
      </c>
      <c r="S1433" s="49" t="s">
        <v>26868</v>
      </c>
      <c r="T1433" s="49" t="s">
        <v>26880</v>
      </c>
    </row>
    <row r="1434" spans="1:21" x14ac:dyDescent="0.2">
      <c r="A1434" s="49" t="s">
        <v>30</v>
      </c>
      <c r="D1434" s="49" t="s">
        <v>17874</v>
      </c>
      <c r="G1434" s="49" t="s">
        <v>17875</v>
      </c>
      <c r="H1434" s="49" t="s">
        <v>26797</v>
      </c>
      <c r="I1434" s="49" t="s">
        <v>26809</v>
      </c>
      <c r="J1434" s="49" t="s">
        <v>26893</v>
      </c>
      <c r="K1434" s="49" t="s">
        <v>26905</v>
      </c>
      <c r="L1434" s="49" t="s">
        <v>17876</v>
      </c>
      <c r="M1434" s="49" t="s">
        <v>17877</v>
      </c>
      <c r="N1434" s="49" t="s">
        <v>17878</v>
      </c>
      <c r="O1434" s="49" t="s">
        <v>26821</v>
      </c>
      <c r="P1434" s="49" t="s">
        <v>26833</v>
      </c>
      <c r="Q1434" s="49" t="s">
        <v>26845</v>
      </c>
      <c r="R1434" s="49" t="s">
        <v>26857</v>
      </c>
      <c r="S1434" s="49" t="s">
        <v>26869</v>
      </c>
      <c r="T1434" s="49" t="s">
        <v>26881</v>
      </c>
    </row>
    <row r="1435" spans="1:21" x14ac:dyDescent="0.2">
      <c r="A1435" s="49" t="s">
        <v>30</v>
      </c>
    </row>
    <row r="1436" spans="1:21" x14ac:dyDescent="0.2">
      <c r="A1436" s="49" t="s">
        <v>30</v>
      </c>
      <c r="E1436" s="49" t="s">
        <v>31</v>
      </c>
      <c r="F1436" s="49" t="s">
        <v>31</v>
      </c>
      <c r="G1436" s="49" t="s">
        <v>31</v>
      </c>
      <c r="J1436" s="49" t="s">
        <v>31</v>
      </c>
      <c r="K1436" s="49" t="s">
        <v>31</v>
      </c>
      <c r="L1436" s="49" t="s">
        <v>31</v>
      </c>
      <c r="M1436" s="49" t="s">
        <v>31</v>
      </c>
    </row>
    <row r="1437" spans="1:21" x14ac:dyDescent="0.2">
      <c r="A1437" s="49" t="s">
        <v>30</v>
      </c>
      <c r="D1437" s="49" t="s">
        <v>17879</v>
      </c>
      <c r="E1437" s="49" t="s">
        <v>7545</v>
      </c>
      <c r="F1437" s="49" t="s">
        <v>17880</v>
      </c>
      <c r="H1437" s="49" t="s">
        <v>17881</v>
      </c>
      <c r="O1437" s="49" t="s">
        <v>17882</v>
      </c>
      <c r="P1437" s="49" t="s">
        <v>17883</v>
      </c>
      <c r="Q1437" s="49" t="s">
        <v>17884</v>
      </c>
      <c r="R1437" s="49" t="s">
        <v>17885</v>
      </c>
      <c r="S1437" s="49" t="s">
        <v>17886</v>
      </c>
      <c r="T1437" s="49" t="s">
        <v>17887</v>
      </c>
      <c r="U1437" s="49" t="s">
        <v>17888</v>
      </c>
    </row>
    <row r="1438" spans="1:21" x14ac:dyDescent="0.2">
      <c r="A1438" s="49" t="s">
        <v>30</v>
      </c>
      <c r="D1438" s="49" t="s">
        <v>17889</v>
      </c>
      <c r="G1438" s="49" t="s">
        <v>17890</v>
      </c>
      <c r="H1438" s="49" t="s">
        <v>26666</v>
      </c>
      <c r="I1438" s="49" t="s">
        <v>26678</v>
      </c>
      <c r="J1438" s="49" t="s">
        <v>26762</v>
      </c>
      <c r="K1438" s="49" t="s">
        <v>26774</v>
      </c>
      <c r="L1438" s="49" t="s">
        <v>17891</v>
      </c>
      <c r="M1438" s="49" t="s">
        <v>17892</v>
      </c>
      <c r="N1438" s="49" t="s">
        <v>17893</v>
      </c>
      <c r="O1438" s="49" t="s">
        <v>26690</v>
      </c>
      <c r="P1438" s="49" t="s">
        <v>26702</v>
      </c>
      <c r="Q1438" s="49" t="s">
        <v>26714</v>
      </c>
      <c r="R1438" s="49" t="s">
        <v>26726</v>
      </c>
      <c r="S1438" s="49" t="s">
        <v>26738</v>
      </c>
      <c r="T1438" s="49" t="s">
        <v>26750</v>
      </c>
    </row>
    <row r="1439" spans="1:21" x14ac:dyDescent="0.2">
      <c r="A1439" s="49" t="s">
        <v>30</v>
      </c>
      <c r="D1439" s="49" t="s">
        <v>17894</v>
      </c>
      <c r="G1439" s="49" t="s">
        <v>17895</v>
      </c>
      <c r="H1439" s="49" t="s">
        <v>26667</v>
      </c>
      <c r="I1439" s="49" t="s">
        <v>26679</v>
      </c>
      <c r="J1439" s="49" t="s">
        <v>26763</v>
      </c>
      <c r="K1439" s="49" t="s">
        <v>26775</v>
      </c>
      <c r="L1439" s="49" t="s">
        <v>17896</v>
      </c>
      <c r="M1439" s="49" t="s">
        <v>17897</v>
      </c>
      <c r="N1439" s="49" t="s">
        <v>17898</v>
      </c>
      <c r="O1439" s="49" t="s">
        <v>26691</v>
      </c>
      <c r="P1439" s="49" t="s">
        <v>26703</v>
      </c>
      <c r="Q1439" s="49" t="s">
        <v>26715</v>
      </c>
      <c r="R1439" s="49" t="s">
        <v>26727</v>
      </c>
      <c r="S1439" s="49" t="s">
        <v>26739</v>
      </c>
      <c r="T1439" s="49" t="s">
        <v>26751</v>
      </c>
    </row>
    <row r="1440" spans="1:21" x14ac:dyDescent="0.2">
      <c r="A1440" s="49" t="s">
        <v>30</v>
      </c>
      <c r="D1440" s="49" t="s">
        <v>17899</v>
      </c>
      <c r="G1440" s="49" t="s">
        <v>17900</v>
      </c>
      <c r="H1440" s="49" t="s">
        <v>26668</v>
      </c>
      <c r="I1440" s="49" t="s">
        <v>26680</v>
      </c>
      <c r="J1440" s="49" t="s">
        <v>26764</v>
      </c>
      <c r="K1440" s="49" t="s">
        <v>26776</v>
      </c>
      <c r="L1440" s="49" t="s">
        <v>17901</v>
      </c>
      <c r="M1440" s="49" t="s">
        <v>17902</v>
      </c>
      <c r="N1440" s="49" t="s">
        <v>17903</v>
      </c>
      <c r="O1440" s="49" t="s">
        <v>26692</v>
      </c>
      <c r="P1440" s="49" t="s">
        <v>26704</v>
      </c>
      <c r="Q1440" s="49" t="s">
        <v>26716</v>
      </c>
      <c r="R1440" s="49" t="s">
        <v>26728</v>
      </c>
      <c r="S1440" s="49" t="s">
        <v>26740</v>
      </c>
      <c r="T1440" s="49" t="s">
        <v>26752</v>
      </c>
    </row>
    <row r="1441" spans="1:21" x14ac:dyDescent="0.2">
      <c r="A1441" s="49" t="s">
        <v>30</v>
      </c>
      <c r="D1441" s="49" t="s">
        <v>17904</v>
      </c>
      <c r="G1441" s="49" t="s">
        <v>17905</v>
      </c>
      <c r="H1441" s="49" t="s">
        <v>26669</v>
      </c>
      <c r="I1441" s="49" t="s">
        <v>26681</v>
      </c>
      <c r="J1441" s="49" t="s">
        <v>26765</v>
      </c>
      <c r="K1441" s="49" t="s">
        <v>26777</v>
      </c>
      <c r="L1441" s="49" t="s">
        <v>17906</v>
      </c>
      <c r="M1441" s="49" t="s">
        <v>17907</v>
      </c>
      <c r="N1441" s="49" t="s">
        <v>17908</v>
      </c>
      <c r="O1441" s="49" t="s">
        <v>26693</v>
      </c>
      <c r="P1441" s="49" t="s">
        <v>26705</v>
      </c>
      <c r="Q1441" s="49" t="s">
        <v>26717</v>
      </c>
      <c r="R1441" s="49" t="s">
        <v>26729</v>
      </c>
      <c r="S1441" s="49" t="s">
        <v>26741</v>
      </c>
      <c r="T1441" s="49" t="s">
        <v>26753</v>
      </c>
    </row>
    <row r="1442" spans="1:21" x14ac:dyDescent="0.2">
      <c r="A1442" s="49" t="s">
        <v>30</v>
      </c>
      <c r="D1442" s="49" t="s">
        <v>17909</v>
      </c>
      <c r="G1442" s="49" t="s">
        <v>17910</v>
      </c>
      <c r="H1442" s="49" t="s">
        <v>26670</v>
      </c>
      <c r="I1442" s="49" t="s">
        <v>26682</v>
      </c>
      <c r="J1442" s="49" t="s">
        <v>26766</v>
      </c>
      <c r="K1442" s="49" t="s">
        <v>26778</v>
      </c>
      <c r="L1442" s="49" t="s">
        <v>17911</v>
      </c>
      <c r="M1442" s="49" t="s">
        <v>17912</v>
      </c>
      <c r="N1442" s="49" t="s">
        <v>17913</v>
      </c>
      <c r="O1442" s="49" t="s">
        <v>26694</v>
      </c>
      <c r="P1442" s="49" t="s">
        <v>26706</v>
      </c>
      <c r="Q1442" s="49" t="s">
        <v>26718</v>
      </c>
      <c r="R1442" s="49" t="s">
        <v>26730</v>
      </c>
      <c r="S1442" s="49" t="s">
        <v>26742</v>
      </c>
      <c r="T1442" s="49" t="s">
        <v>26754</v>
      </c>
    </row>
    <row r="1443" spans="1:21" x14ac:dyDescent="0.2">
      <c r="A1443" s="49" t="s">
        <v>30</v>
      </c>
      <c r="D1443" s="49" t="s">
        <v>17914</v>
      </c>
      <c r="G1443" s="49" t="s">
        <v>17915</v>
      </c>
      <c r="H1443" s="49" t="s">
        <v>26671</v>
      </c>
      <c r="I1443" s="49" t="s">
        <v>26683</v>
      </c>
      <c r="J1443" s="49" t="s">
        <v>26767</v>
      </c>
      <c r="K1443" s="49" t="s">
        <v>26779</v>
      </c>
      <c r="L1443" s="49" t="s">
        <v>17916</v>
      </c>
      <c r="M1443" s="49" t="s">
        <v>17917</v>
      </c>
      <c r="N1443" s="49" t="s">
        <v>17918</v>
      </c>
      <c r="O1443" s="49" t="s">
        <v>26695</v>
      </c>
      <c r="P1443" s="49" t="s">
        <v>26707</v>
      </c>
      <c r="Q1443" s="49" t="s">
        <v>26719</v>
      </c>
      <c r="R1443" s="49" t="s">
        <v>26731</v>
      </c>
      <c r="S1443" s="49" t="s">
        <v>26743</v>
      </c>
      <c r="T1443" s="49" t="s">
        <v>26755</v>
      </c>
    </row>
    <row r="1444" spans="1:21" x14ac:dyDescent="0.2">
      <c r="A1444" s="49" t="s">
        <v>30</v>
      </c>
      <c r="D1444" s="49" t="s">
        <v>17919</v>
      </c>
      <c r="G1444" s="49" t="s">
        <v>17920</v>
      </c>
      <c r="H1444" s="49" t="s">
        <v>26672</v>
      </c>
      <c r="I1444" s="49" t="s">
        <v>26684</v>
      </c>
      <c r="J1444" s="49" t="s">
        <v>26768</v>
      </c>
      <c r="K1444" s="49" t="s">
        <v>26780</v>
      </c>
      <c r="L1444" s="49" t="s">
        <v>17921</v>
      </c>
      <c r="M1444" s="49" t="s">
        <v>17922</v>
      </c>
      <c r="N1444" s="49" t="s">
        <v>17923</v>
      </c>
      <c r="O1444" s="49" t="s">
        <v>26696</v>
      </c>
      <c r="P1444" s="49" t="s">
        <v>26708</v>
      </c>
      <c r="Q1444" s="49" t="s">
        <v>26720</v>
      </c>
      <c r="R1444" s="49" t="s">
        <v>26732</v>
      </c>
      <c r="S1444" s="49" t="s">
        <v>26744</v>
      </c>
      <c r="T1444" s="49" t="s">
        <v>26756</v>
      </c>
    </row>
    <row r="1445" spans="1:21" x14ac:dyDescent="0.2">
      <c r="A1445" s="49" t="s">
        <v>30</v>
      </c>
      <c r="D1445" s="49" t="s">
        <v>17924</v>
      </c>
      <c r="G1445" s="49" t="s">
        <v>17925</v>
      </c>
      <c r="H1445" s="49" t="s">
        <v>26673</v>
      </c>
      <c r="I1445" s="49" t="s">
        <v>26685</v>
      </c>
      <c r="J1445" s="49" t="s">
        <v>26769</v>
      </c>
      <c r="K1445" s="49" t="s">
        <v>26781</v>
      </c>
      <c r="L1445" s="49" t="s">
        <v>17926</v>
      </c>
      <c r="M1445" s="49" t="s">
        <v>17927</v>
      </c>
      <c r="N1445" s="49" t="s">
        <v>17928</v>
      </c>
      <c r="O1445" s="49" t="s">
        <v>26697</v>
      </c>
      <c r="P1445" s="49" t="s">
        <v>26709</v>
      </c>
      <c r="Q1445" s="49" t="s">
        <v>26721</v>
      </c>
      <c r="R1445" s="49" t="s">
        <v>26733</v>
      </c>
      <c r="S1445" s="49" t="s">
        <v>26745</v>
      </c>
      <c r="T1445" s="49" t="s">
        <v>26757</v>
      </c>
    </row>
    <row r="1446" spans="1:21" x14ac:dyDescent="0.2">
      <c r="A1446" s="49" t="s">
        <v>30</v>
      </c>
      <c r="D1446" s="49" t="s">
        <v>17929</v>
      </c>
      <c r="G1446" s="49" t="s">
        <v>17930</v>
      </c>
      <c r="H1446" s="49" t="s">
        <v>26674</v>
      </c>
      <c r="I1446" s="49" t="s">
        <v>26686</v>
      </c>
      <c r="J1446" s="49" t="s">
        <v>26770</v>
      </c>
      <c r="K1446" s="49" t="s">
        <v>26782</v>
      </c>
      <c r="L1446" s="49" t="s">
        <v>17931</v>
      </c>
      <c r="M1446" s="49" t="s">
        <v>17932</v>
      </c>
      <c r="N1446" s="49" t="s">
        <v>17933</v>
      </c>
      <c r="O1446" s="49" t="s">
        <v>26698</v>
      </c>
      <c r="P1446" s="49" t="s">
        <v>26710</v>
      </c>
      <c r="Q1446" s="49" t="s">
        <v>26722</v>
      </c>
      <c r="R1446" s="49" t="s">
        <v>26734</v>
      </c>
      <c r="S1446" s="49" t="s">
        <v>26746</v>
      </c>
      <c r="T1446" s="49" t="s">
        <v>26758</v>
      </c>
    </row>
    <row r="1447" spans="1:21" x14ac:dyDescent="0.2">
      <c r="A1447" s="49" t="s">
        <v>30</v>
      </c>
      <c r="D1447" s="49" t="s">
        <v>17934</v>
      </c>
      <c r="G1447" s="49" t="s">
        <v>17935</v>
      </c>
      <c r="H1447" s="49" t="s">
        <v>26675</v>
      </c>
      <c r="I1447" s="49" t="s">
        <v>26687</v>
      </c>
      <c r="J1447" s="49" t="s">
        <v>26771</v>
      </c>
      <c r="K1447" s="49" t="s">
        <v>26783</v>
      </c>
      <c r="L1447" s="49" t="s">
        <v>17936</v>
      </c>
      <c r="M1447" s="49" t="s">
        <v>17937</v>
      </c>
      <c r="N1447" s="49" t="s">
        <v>17938</v>
      </c>
      <c r="O1447" s="49" t="s">
        <v>26699</v>
      </c>
      <c r="P1447" s="49" t="s">
        <v>26711</v>
      </c>
      <c r="Q1447" s="49" t="s">
        <v>26723</v>
      </c>
      <c r="R1447" s="49" t="s">
        <v>26735</v>
      </c>
      <c r="S1447" s="49" t="s">
        <v>26747</v>
      </c>
      <c r="T1447" s="49" t="s">
        <v>26759</v>
      </c>
    </row>
    <row r="1448" spans="1:21" x14ac:dyDescent="0.2">
      <c r="A1448" s="49" t="s">
        <v>30</v>
      </c>
      <c r="D1448" s="49" t="s">
        <v>17939</v>
      </c>
      <c r="G1448" s="49" t="s">
        <v>17940</v>
      </c>
      <c r="H1448" s="49" t="s">
        <v>26676</v>
      </c>
      <c r="I1448" s="49" t="s">
        <v>26688</v>
      </c>
      <c r="J1448" s="49" t="s">
        <v>26772</v>
      </c>
      <c r="K1448" s="49" t="s">
        <v>26784</v>
      </c>
      <c r="L1448" s="49" t="s">
        <v>17941</v>
      </c>
      <c r="M1448" s="49" t="s">
        <v>17942</v>
      </c>
      <c r="N1448" s="49" t="s">
        <v>17943</v>
      </c>
      <c r="O1448" s="49" t="s">
        <v>26700</v>
      </c>
      <c r="P1448" s="49" t="s">
        <v>26712</v>
      </c>
      <c r="Q1448" s="49" t="s">
        <v>26724</v>
      </c>
      <c r="R1448" s="49" t="s">
        <v>26736</v>
      </c>
      <c r="S1448" s="49" t="s">
        <v>26748</v>
      </c>
      <c r="T1448" s="49" t="s">
        <v>26760</v>
      </c>
    </row>
    <row r="1449" spans="1:21" x14ac:dyDescent="0.2">
      <c r="A1449" s="49" t="s">
        <v>30</v>
      </c>
      <c r="D1449" s="49" t="s">
        <v>17944</v>
      </c>
      <c r="G1449" s="49" t="s">
        <v>17945</v>
      </c>
      <c r="H1449" s="49" t="s">
        <v>26677</v>
      </c>
      <c r="I1449" s="49" t="s">
        <v>26689</v>
      </c>
      <c r="J1449" s="49" t="s">
        <v>26773</v>
      </c>
      <c r="K1449" s="49" t="s">
        <v>26785</v>
      </c>
      <c r="L1449" s="49" t="s">
        <v>17946</v>
      </c>
      <c r="M1449" s="49" t="s">
        <v>17947</v>
      </c>
      <c r="N1449" s="49" t="s">
        <v>17948</v>
      </c>
      <c r="O1449" s="49" t="s">
        <v>26701</v>
      </c>
      <c r="P1449" s="49" t="s">
        <v>26713</v>
      </c>
      <c r="Q1449" s="49" t="s">
        <v>26725</v>
      </c>
      <c r="R1449" s="49" t="s">
        <v>26737</v>
      </c>
      <c r="S1449" s="49" t="s">
        <v>26749</v>
      </c>
      <c r="T1449" s="49" t="s">
        <v>26761</v>
      </c>
    </row>
    <row r="1450" spans="1:21" x14ac:dyDescent="0.2">
      <c r="A1450" s="49" t="s">
        <v>30</v>
      </c>
    </row>
    <row r="1451" spans="1:21" x14ac:dyDescent="0.2">
      <c r="A1451" s="49" t="s">
        <v>30</v>
      </c>
      <c r="E1451" s="49" t="s">
        <v>31</v>
      </c>
      <c r="F1451" s="49" t="s">
        <v>31</v>
      </c>
      <c r="G1451" s="49" t="s">
        <v>31</v>
      </c>
      <c r="J1451" s="49" t="s">
        <v>31</v>
      </c>
      <c r="K1451" s="49" t="s">
        <v>31</v>
      </c>
      <c r="L1451" s="49" t="s">
        <v>31</v>
      </c>
      <c r="M1451" s="49" t="s">
        <v>31</v>
      </c>
    </row>
    <row r="1452" spans="1:21" x14ac:dyDescent="0.2">
      <c r="A1452" s="49" t="s">
        <v>30</v>
      </c>
      <c r="D1452" s="49" t="s">
        <v>17949</v>
      </c>
      <c r="E1452" s="49" t="s">
        <v>17950</v>
      </c>
      <c r="F1452" s="49" t="s">
        <v>17951</v>
      </c>
      <c r="H1452" s="49" t="s">
        <v>17952</v>
      </c>
      <c r="O1452" s="49" t="s">
        <v>17953</v>
      </c>
      <c r="P1452" s="49" t="s">
        <v>17954</v>
      </c>
      <c r="Q1452" s="49" t="s">
        <v>17955</v>
      </c>
      <c r="R1452" s="49" t="s">
        <v>17956</v>
      </c>
      <c r="S1452" s="49" t="s">
        <v>17957</v>
      </c>
      <c r="T1452" s="49" t="s">
        <v>17958</v>
      </c>
      <c r="U1452" s="49" t="s">
        <v>17959</v>
      </c>
    </row>
    <row r="1453" spans="1:21" x14ac:dyDescent="0.2">
      <c r="A1453" s="49" t="s">
        <v>30</v>
      </c>
      <c r="D1453" s="49" t="s">
        <v>17960</v>
      </c>
      <c r="G1453" s="49" t="s">
        <v>17961</v>
      </c>
      <c r="H1453" s="49" t="s">
        <v>26566</v>
      </c>
      <c r="I1453" s="49" t="s">
        <v>26576</v>
      </c>
      <c r="J1453" s="49" t="s">
        <v>26646</v>
      </c>
      <c r="K1453" s="49" t="s">
        <v>26656</v>
      </c>
      <c r="L1453" s="49" t="s">
        <v>17962</v>
      </c>
      <c r="M1453" s="49" t="s">
        <v>17963</v>
      </c>
      <c r="N1453" s="49" t="s">
        <v>17964</v>
      </c>
      <c r="O1453" s="49" t="s">
        <v>26586</v>
      </c>
      <c r="P1453" s="49" t="s">
        <v>26596</v>
      </c>
      <c r="Q1453" s="49" t="s">
        <v>26606</v>
      </c>
      <c r="R1453" s="49" t="s">
        <v>26616</v>
      </c>
      <c r="S1453" s="49" t="s">
        <v>26626</v>
      </c>
      <c r="T1453" s="49" t="s">
        <v>26636</v>
      </c>
    </row>
    <row r="1454" spans="1:21" x14ac:dyDescent="0.2">
      <c r="A1454" s="49" t="s">
        <v>30</v>
      </c>
      <c r="D1454" s="49" t="s">
        <v>17965</v>
      </c>
      <c r="G1454" s="49" t="s">
        <v>17966</v>
      </c>
      <c r="H1454" s="49" t="s">
        <v>26567</v>
      </c>
      <c r="I1454" s="49" t="s">
        <v>26577</v>
      </c>
      <c r="J1454" s="49" t="s">
        <v>26647</v>
      </c>
      <c r="K1454" s="49" t="s">
        <v>26657</v>
      </c>
      <c r="L1454" s="49" t="s">
        <v>17967</v>
      </c>
      <c r="M1454" s="49" t="s">
        <v>17968</v>
      </c>
      <c r="N1454" s="49" t="s">
        <v>17969</v>
      </c>
      <c r="O1454" s="49" t="s">
        <v>26587</v>
      </c>
      <c r="P1454" s="49" t="s">
        <v>26597</v>
      </c>
      <c r="Q1454" s="49" t="s">
        <v>26607</v>
      </c>
      <c r="R1454" s="49" t="s">
        <v>26617</v>
      </c>
      <c r="S1454" s="49" t="s">
        <v>26627</v>
      </c>
      <c r="T1454" s="49" t="s">
        <v>26637</v>
      </c>
    </row>
    <row r="1455" spans="1:21" x14ac:dyDescent="0.2">
      <c r="A1455" s="49" t="s">
        <v>30</v>
      </c>
      <c r="D1455" s="49" t="s">
        <v>17970</v>
      </c>
      <c r="G1455" s="49" t="s">
        <v>17971</v>
      </c>
      <c r="H1455" s="49" t="s">
        <v>26568</v>
      </c>
      <c r="I1455" s="49" t="s">
        <v>26578</v>
      </c>
      <c r="J1455" s="49" t="s">
        <v>26648</v>
      </c>
      <c r="K1455" s="49" t="s">
        <v>26658</v>
      </c>
      <c r="L1455" s="49" t="s">
        <v>17972</v>
      </c>
      <c r="M1455" s="49" t="s">
        <v>17973</v>
      </c>
      <c r="N1455" s="49" t="s">
        <v>17974</v>
      </c>
      <c r="O1455" s="49" t="s">
        <v>26588</v>
      </c>
      <c r="P1455" s="49" t="s">
        <v>26598</v>
      </c>
      <c r="Q1455" s="49" t="s">
        <v>26608</v>
      </c>
      <c r="R1455" s="49" t="s">
        <v>26618</v>
      </c>
      <c r="S1455" s="49" t="s">
        <v>26628</v>
      </c>
      <c r="T1455" s="49" t="s">
        <v>26638</v>
      </c>
    </row>
    <row r="1456" spans="1:21" x14ac:dyDescent="0.2">
      <c r="A1456" s="49" t="s">
        <v>30</v>
      </c>
      <c r="D1456" s="49" t="s">
        <v>17975</v>
      </c>
      <c r="G1456" s="49" t="s">
        <v>17976</v>
      </c>
      <c r="H1456" s="49" t="s">
        <v>26569</v>
      </c>
      <c r="I1456" s="49" t="s">
        <v>26579</v>
      </c>
      <c r="J1456" s="49" t="s">
        <v>26649</v>
      </c>
      <c r="K1456" s="49" t="s">
        <v>26659</v>
      </c>
      <c r="L1456" s="49" t="s">
        <v>17977</v>
      </c>
      <c r="M1456" s="49" t="s">
        <v>17978</v>
      </c>
      <c r="N1456" s="49" t="s">
        <v>17979</v>
      </c>
      <c r="O1456" s="49" t="s">
        <v>26589</v>
      </c>
      <c r="P1456" s="49" t="s">
        <v>26599</v>
      </c>
      <c r="Q1456" s="49" t="s">
        <v>26609</v>
      </c>
      <c r="R1456" s="49" t="s">
        <v>26619</v>
      </c>
      <c r="S1456" s="49" t="s">
        <v>26629</v>
      </c>
      <c r="T1456" s="49" t="s">
        <v>26639</v>
      </c>
    </row>
    <row r="1457" spans="1:21" x14ac:dyDescent="0.2">
      <c r="A1457" s="49" t="s">
        <v>30</v>
      </c>
      <c r="D1457" s="49" t="s">
        <v>17980</v>
      </c>
      <c r="G1457" s="49" t="s">
        <v>17981</v>
      </c>
      <c r="H1457" s="49" t="s">
        <v>26570</v>
      </c>
      <c r="I1457" s="49" t="s">
        <v>26580</v>
      </c>
      <c r="J1457" s="49" t="s">
        <v>26650</v>
      </c>
      <c r="K1457" s="49" t="s">
        <v>26660</v>
      </c>
      <c r="L1457" s="49" t="s">
        <v>17982</v>
      </c>
      <c r="M1457" s="49" t="s">
        <v>17983</v>
      </c>
      <c r="N1457" s="49" t="s">
        <v>17984</v>
      </c>
      <c r="O1457" s="49" t="s">
        <v>26590</v>
      </c>
      <c r="P1457" s="49" t="s">
        <v>26600</v>
      </c>
      <c r="Q1457" s="49" t="s">
        <v>26610</v>
      </c>
      <c r="R1457" s="49" t="s">
        <v>26620</v>
      </c>
      <c r="S1457" s="49" t="s">
        <v>26630</v>
      </c>
      <c r="T1457" s="49" t="s">
        <v>26640</v>
      </c>
    </row>
    <row r="1458" spans="1:21" x14ac:dyDescent="0.2">
      <c r="A1458" s="49" t="s">
        <v>30</v>
      </c>
      <c r="D1458" s="49" t="s">
        <v>17985</v>
      </c>
      <c r="G1458" s="49" t="s">
        <v>17986</v>
      </c>
      <c r="H1458" s="49" t="s">
        <v>26571</v>
      </c>
      <c r="I1458" s="49" t="s">
        <v>26581</v>
      </c>
      <c r="J1458" s="49" t="s">
        <v>26651</v>
      </c>
      <c r="K1458" s="49" t="s">
        <v>26661</v>
      </c>
      <c r="L1458" s="49" t="s">
        <v>17987</v>
      </c>
      <c r="M1458" s="49" t="s">
        <v>17988</v>
      </c>
      <c r="N1458" s="49" t="s">
        <v>17989</v>
      </c>
      <c r="O1458" s="49" t="s">
        <v>26591</v>
      </c>
      <c r="P1458" s="49" t="s">
        <v>26601</v>
      </c>
      <c r="Q1458" s="49" t="s">
        <v>26611</v>
      </c>
      <c r="R1458" s="49" t="s">
        <v>26621</v>
      </c>
      <c r="S1458" s="49" t="s">
        <v>26631</v>
      </c>
      <c r="T1458" s="49" t="s">
        <v>26641</v>
      </c>
    </row>
    <row r="1459" spans="1:21" x14ac:dyDescent="0.2">
      <c r="A1459" s="49" t="s">
        <v>30</v>
      </c>
      <c r="D1459" s="49" t="s">
        <v>17990</v>
      </c>
      <c r="G1459" s="49" t="s">
        <v>17991</v>
      </c>
      <c r="H1459" s="49" t="s">
        <v>26572</v>
      </c>
      <c r="I1459" s="49" t="s">
        <v>26582</v>
      </c>
      <c r="J1459" s="49" t="s">
        <v>26652</v>
      </c>
      <c r="K1459" s="49" t="s">
        <v>26662</v>
      </c>
      <c r="L1459" s="49" t="s">
        <v>17992</v>
      </c>
      <c r="M1459" s="49" t="s">
        <v>17993</v>
      </c>
      <c r="N1459" s="49" t="s">
        <v>17994</v>
      </c>
      <c r="O1459" s="49" t="s">
        <v>26592</v>
      </c>
      <c r="P1459" s="49" t="s">
        <v>26602</v>
      </c>
      <c r="Q1459" s="49" t="s">
        <v>26612</v>
      </c>
      <c r="R1459" s="49" t="s">
        <v>26622</v>
      </c>
      <c r="S1459" s="49" t="s">
        <v>26632</v>
      </c>
      <c r="T1459" s="49" t="s">
        <v>26642</v>
      </c>
    </row>
    <row r="1460" spans="1:21" x14ac:dyDescent="0.2">
      <c r="A1460" s="49" t="s">
        <v>30</v>
      </c>
      <c r="D1460" s="49" t="s">
        <v>17995</v>
      </c>
      <c r="G1460" s="49" t="s">
        <v>17996</v>
      </c>
      <c r="H1460" s="49" t="s">
        <v>26573</v>
      </c>
      <c r="I1460" s="49" t="s">
        <v>26583</v>
      </c>
      <c r="J1460" s="49" t="s">
        <v>26653</v>
      </c>
      <c r="K1460" s="49" t="s">
        <v>26663</v>
      </c>
      <c r="L1460" s="49" t="s">
        <v>17997</v>
      </c>
      <c r="M1460" s="49" t="s">
        <v>17998</v>
      </c>
      <c r="N1460" s="49" t="s">
        <v>17999</v>
      </c>
      <c r="O1460" s="49" t="s">
        <v>26593</v>
      </c>
      <c r="P1460" s="49" t="s">
        <v>26603</v>
      </c>
      <c r="Q1460" s="49" t="s">
        <v>26613</v>
      </c>
      <c r="R1460" s="49" t="s">
        <v>26623</v>
      </c>
      <c r="S1460" s="49" t="s">
        <v>26633</v>
      </c>
      <c r="T1460" s="49" t="s">
        <v>26643</v>
      </c>
    </row>
    <row r="1461" spans="1:21" x14ac:dyDescent="0.2">
      <c r="A1461" s="49" t="s">
        <v>30</v>
      </c>
      <c r="D1461" s="49" t="s">
        <v>18000</v>
      </c>
      <c r="G1461" s="49" t="s">
        <v>18001</v>
      </c>
      <c r="H1461" s="49" t="s">
        <v>26574</v>
      </c>
      <c r="I1461" s="49" t="s">
        <v>26584</v>
      </c>
      <c r="J1461" s="49" t="s">
        <v>26654</v>
      </c>
      <c r="K1461" s="49" t="s">
        <v>26664</v>
      </c>
      <c r="L1461" s="49" t="s">
        <v>18002</v>
      </c>
      <c r="M1461" s="49" t="s">
        <v>18003</v>
      </c>
      <c r="N1461" s="49" t="s">
        <v>18004</v>
      </c>
      <c r="O1461" s="49" t="s">
        <v>26594</v>
      </c>
      <c r="P1461" s="49" t="s">
        <v>26604</v>
      </c>
      <c r="Q1461" s="49" t="s">
        <v>26614</v>
      </c>
      <c r="R1461" s="49" t="s">
        <v>26624</v>
      </c>
      <c r="S1461" s="49" t="s">
        <v>26634</v>
      </c>
      <c r="T1461" s="49" t="s">
        <v>26644</v>
      </c>
    </row>
    <row r="1462" spans="1:21" x14ac:dyDescent="0.2">
      <c r="A1462" s="49" t="s">
        <v>30</v>
      </c>
      <c r="D1462" s="49" t="s">
        <v>18005</v>
      </c>
      <c r="G1462" s="49" t="s">
        <v>18006</v>
      </c>
      <c r="H1462" s="49" t="s">
        <v>26575</v>
      </c>
      <c r="I1462" s="49" t="s">
        <v>26585</v>
      </c>
      <c r="J1462" s="49" t="s">
        <v>26655</v>
      </c>
      <c r="K1462" s="49" t="s">
        <v>26665</v>
      </c>
      <c r="L1462" s="49" t="s">
        <v>18007</v>
      </c>
      <c r="M1462" s="49" t="s">
        <v>18008</v>
      </c>
      <c r="N1462" s="49" t="s">
        <v>18009</v>
      </c>
      <c r="O1462" s="49" t="s">
        <v>26595</v>
      </c>
      <c r="P1462" s="49" t="s">
        <v>26605</v>
      </c>
      <c r="Q1462" s="49" t="s">
        <v>26615</v>
      </c>
      <c r="R1462" s="49" t="s">
        <v>26625</v>
      </c>
      <c r="S1462" s="49" t="s">
        <v>26635</v>
      </c>
      <c r="T1462" s="49" t="s">
        <v>26645</v>
      </c>
    </row>
    <row r="1463" spans="1:21" x14ac:dyDescent="0.2">
      <c r="A1463" s="49" t="s">
        <v>30</v>
      </c>
    </row>
    <row r="1464" spans="1:21" x14ac:dyDescent="0.2">
      <c r="A1464" s="49" t="s">
        <v>30</v>
      </c>
      <c r="E1464" s="49" t="s">
        <v>31</v>
      </c>
      <c r="F1464" s="49" t="s">
        <v>31</v>
      </c>
      <c r="G1464" s="49" t="s">
        <v>31</v>
      </c>
      <c r="J1464" s="49" t="s">
        <v>31</v>
      </c>
      <c r="K1464" s="49" t="s">
        <v>31</v>
      </c>
      <c r="L1464" s="49" t="s">
        <v>31</v>
      </c>
      <c r="M1464" s="49" t="s">
        <v>31</v>
      </c>
    </row>
    <row r="1465" spans="1:21" x14ac:dyDescent="0.2">
      <c r="A1465" s="49" t="s">
        <v>30</v>
      </c>
      <c r="D1465" s="49" t="s">
        <v>18010</v>
      </c>
      <c r="E1465" s="49" t="s">
        <v>7574</v>
      </c>
      <c r="F1465" s="49" t="s">
        <v>18011</v>
      </c>
      <c r="H1465" s="49" t="s">
        <v>18012</v>
      </c>
      <c r="O1465" s="49" t="s">
        <v>18013</v>
      </c>
      <c r="P1465" s="49" t="s">
        <v>18014</v>
      </c>
      <c r="Q1465" s="49" t="s">
        <v>18015</v>
      </c>
      <c r="R1465" s="49" t="s">
        <v>18016</v>
      </c>
      <c r="S1465" s="49" t="s">
        <v>18017</v>
      </c>
      <c r="T1465" s="49" t="s">
        <v>18018</v>
      </c>
      <c r="U1465" s="49" t="s">
        <v>18019</v>
      </c>
    </row>
    <row r="1466" spans="1:21" x14ac:dyDescent="0.2">
      <c r="A1466" s="49" t="s">
        <v>30</v>
      </c>
      <c r="D1466" s="49" t="s">
        <v>18020</v>
      </c>
      <c r="G1466" s="49" t="s">
        <v>18021</v>
      </c>
      <c r="H1466" s="49" t="s">
        <v>26486</v>
      </c>
      <c r="I1466" s="49" t="s">
        <v>26494</v>
      </c>
      <c r="J1466" s="49" t="s">
        <v>26550</v>
      </c>
      <c r="K1466" s="49" t="s">
        <v>26558</v>
      </c>
      <c r="L1466" s="49" t="s">
        <v>18022</v>
      </c>
      <c r="M1466" s="49" t="s">
        <v>18023</v>
      </c>
      <c r="N1466" s="49" t="s">
        <v>18024</v>
      </c>
      <c r="O1466" s="49" t="s">
        <v>26502</v>
      </c>
      <c r="P1466" s="49" t="s">
        <v>26510</v>
      </c>
      <c r="Q1466" s="49" t="s">
        <v>26518</v>
      </c>
      <c r="R1466" s="49" t="s">
        <v>26526</v>
      </c>
      <c r="S1466" s="49" t="s">
        <v>26534</v>
      </c>
      <c r="T1466" s="49" t="s">
        <v>26542</v>
      </c>
    </row>
    <row r="1467" spans="1:21" x14ac:dyDescent="0.2">
      <c r="A1467" s="49" t="s">
        <v>30</v>
      </c>
      <c r="D1467" s="49" t="s">
        <v>18025</v>
      </c>
      <c r="G1467" s="49" t="s">
        <v>18026</v>
      </c>
      <c r="H1467" s="49" t="s">
        <v>26487</v>
      </c>
      <c r="I1467" s="49" t="s">
        <v>26495</v>
      </c>
      <c r="J1467" s="49" t="s">
        <v>26551</v>
      </c>
      <c r="K1467" s="49" t="s">
        <v>26559</v>
      </c>
      <c r="L1467" s="49" t="s">
        <v>18027</v>
      </c>
      <c r="M1467" s="49" t="s">
        <v>18028</v>
      </c>
      <c r="N1467" s="49" t="s">
        <v>18029</v>
      </c>
      <c r="O1467" s="49" t="s">
        <v>26503</v>
      </c>
      <c r="P1467" s="49" t="s">
        <v>26511</v>
      </c>
      <c r="Q1467" s="49" t="s">
        <v>26519</v>
      </c>
      <c r="R1467" s="49" t="s">
        <v>26527</v>
      </c>
      <c r="S1467" s="49" t="s">
        <v>26535</v>
      </c>
      <c r="T1467" s="49" t="s">
        <v>26543</v>
      </c>
    </row>
    <row r="1468" spans="1:21" x14ac:dyDescent="0.2">
      <c r="A1468" s="49" t="s">
        <v>30</v>
      </c>
      <c r="D1468" s="49" t="s">
        <v>18030</v>
      </c>
      <c r="G1468" s="49" t="s">
        <v>18031</v>
      </c>
      <c r="H1468" s="49" t="s">
        <v>26488</v>
      </c>
      <c r="I1468" s="49" t="s">
        <v>26496</v>
      </c>
      <c r="J1468" s="49" t="s">
        <v>26552</v>
      </c>
      <c r="K1468" s="49" t="s">
        <v>26560</v>
      </c>
      <c r="L1468" s="49" t="s">
        <v>18032</v>
      </c>
      <c r="M1468" s="49" t="s">
        <v>18033</v>
      </c>
      <c r="N1468" s="49" t="s">
        <v>18034</v>
      </c>
      <c r="O1468" s="49" t="s">
        <v>26504</v>
      </c>
      <c r="P1468" s="49" t="s">
        <v>26512</v>
      </c>
      <c r="Q1468" s="49" t="s">
        <v>26520</v>
      </c>
      <c r="R1468" s="49" t="s">
        <v>26528</v>
      </c>
      <c r="S1468" s="49" t="s">
        <v>26536</v>
      </c>
      <c r="T1468" s="49" t="s">
        <v>26544</v>
      </c>
    </row>
    <row r="1469" spans="1:21" x14ac:dyDescent="0.2">
      <c r="A1469" s="49" t="s">
        <v>30</v>
      </c>
      <c r="D1469" s="49" t="s">
        <v>18035</v>
      </c>
      <c r="G1469" s="49" t="s">
        <v>18036</v>
      </c>
      <c r="H1469" s="49" t="s">
        <v>26489</v>
      </c>
      <c r="I1469" s="49" t="s">
        <v>26497</v>
      </c>
      <c r="J1469" s="49" t="s">
        <v>26553</v>
      </c>
      <c r="K1469" s="49" t="s">
        <v>26561</v>
      </c>
      <c r="L1469" s="49" t="s">
        <v>18037</v>
      </c>
      <c r="M1469" s="49" t="s">
        <v>18038</v>
      </c>
      <c r="N1469" s="49" t="s">
        <v>18039</v>
      </c>
      <c r="O1469" s="49" t="s">
        <v>26505</v>
      </c>
      <c r="P1469" s="49" t="s">
        <v>26513</v>
      </c>
      <c r="Q1469" s="49" t="s">
        <v>26521</v>
      </c>
      <c r="R1469" s="49" t="s">
        <v>26529</v>
      </c>
      <c r="S1469" s="49" t="s">
        <v>26537</v>
      </c>
      <c r="T1469" s="49" t="s">
        <v>26545</v>
      </c>
    </row>
    <row r="1470" spans="1:21" x14ac:dyDescent="0.2">
      <c r="A1470" s="49" t="s">
        <v>30</v>
      </c>
      <c r="D1470" s="49" t="s">
        <v>18040</v>
      </c>
      <c r="G1470" s="49" t="s">
        <v>18041</v>
      </c>
      <c r="H1470" s="49" t="s">
        <v>26490</v>
      </c>
      <c r="I1470" s="49" t="s">
        <v>26498</v>
      </c>
      <c r="J1470" s="49" t="s">
        <v>26554</v>
      </c>
      <c r="K1470" s="49" t="s">
        <v>26562</v>
      </c>
      <c r="L1470" s="49" t="s">
        <v>18042</v>
      </c>
      <c r="M1470" s="49" t="s">
        <v>18043</v>
      </c>
      <c r="N1470" s="49" t="s">
        <v>18044</v>
      </c>
      <c r="O1470" s="49" t="s">
        <v>26506</v>
      </c>
      <c r="P1470" s="49" t="s">
        <v>26514</v>
      </c>
      <c r="Q1470" s="49" t="s">
        <v>26522</v>
      </c>
      <c r="R1470" s="49" t="s">
        <v>26530</v>
      </c>
      <c r="S1470" s="49" t="s">
        <v>26538</v>
      </c>
      <c r="T1470" s="49" t="s">
        <v>26546</v>
      </c>
    </row>
    <row r="1471" spans="1:21" x14ac:dyDescent="0.2">
      <c r="A1471" s="49" t="s">
        <v>30</v>
      </c>
      <c r="D1471" s="49" t="s">
        <v>18045</v>
      </c>
      <c r="G1471" s="49" t="s">
        <v>18046</v>
      </c>
      <c r="H1471" s="49" t="s">
        <v>26491</v>
      </c>
      <c r="I1471" s="49" t="s">
        <v>26499</v>
      </c>
      <c r="J1471" s="49" t="s">
        <v>26555</v>
      </c>
      <c r="K1471" s="49" t="s">
        <v>26563</v>
      </c>
      <c r="L1471" s="49" t="s">
        <v>18047</v>
      </c>
      <c r="M1471" s="49" t="s">
        <v>18048</v>
      </c>
      <c r="N1471" s="49" t="s">
        <v>18049</v>
      </c>
      <c r="O1471" s="49" t="s">
        <v>26507</v>
      </c>
      <c r="P1471" s="49" t="s">
        <v>26515</v>
      </c>
      <c r="Q1471" s="49" t="s">
        <v>26523</v>
      </c>
      <c r="R1471" s="49" t="s">
        <v>26531</v>
      </c>
      <c r="S1471" s="49" t="s">
        <v>26539</v>
      </c>
      <c r="T1471" s="49" t="s">
        <v>26547</v>
      </c>
    </row>
    <row r="1472" spans="1:21" x14ac:dyDescent="0.2">
      <c r="A1472" s="49" t="s">
        <v>30</v>
      </c>
      <c r="D1472" s="49" t="s">
        <v>18050</v>
      </c>
      <c r="G1472" s="49" t="s">
        <v>18051</v>
      </c>
      <c r="H1472" s="49" t="s">
        <v>26492</v>
      </c>
      <c r="I1472" s="49" t="s">
        <v>26500</v>
      </c>
      <c r="J1472" s="49" t="s">
        <v>26556</v>
      </c>
      <c r="K1472" s="49" t="s">
        <v>26564</v>
      </c>
      <c r="L1472" s="49" t="s">
        <v>18052</v>
      </c>
      <c r="M1472" s="49" t="s">
        <v>18053</v>
      </c>
      <c r="N1472" s="49" t="s">
        <v>18054</v>
      </c>
      <c r="O1472" s="49" t="s">
        <v>26508</v>
      </c>
      <c r="P1472" s="49" t="s">
        <v>26516</v>
      </c>
      <c r="Q1472" s="49" t="s">
        <v>26524</v>
      </c>
      <c r="R1472" s="49" t="s">
        <v>26532</v>
      </c>
      <c r="S1472" s="49" t="s">
        <v>26540</v>
      </c>
      <c r="T1472" s="49" t="s">
        <v>26548</v>
      </c>
    </row>
    <row r="1473" spans="1:21" x14ac:dyDescent="0.2">
      <c r="A1473" s="49" t="s">
        <v>30</v>
      </c>
      <c r="D1473" s="49" t="s">
        <v>18055</v>
      </c>
      <c r="G1473" s="49" t="s">
        <v>18056</v>
      </c>
      <c r="H1473" s="49" t="s">
        <v>26493</v>
      </c>
      <c r="I1473" s="49" t="s">
        <v>26501</v>
      </c>
      <c r="J1473" s="49" t="s">
        <v>26557</v>
      </c>
      <c r="K1473" s="49" t="s">
        <v>26565</v>
      </c>
      <c r="L1473" s="49" t="s">
        <v>18057</v>
      </c>
      <c r="M1473" s="49" t="s">
        <v>18058</v>
      </c>
      <c r="N1473" s="49" t="s">
        <v>18059</v>
      </c>
      <c r="O1473" s="49" t="s">
        <v>26509</v>
      </c>
      <c r="P1473" s="49" t="s">
        <v>26517</v>
      </c>
      <c r="Q1473" s="49" t="s">
        <v>26525</v>
      </c>
      <c r="R1473" s="49" t="s">
        <v>26533</v>
      </c>
      <c r="S1473" s="49" t="s">
        <v>26541</v>
      </c>
      <c r="T1473" s="49" t="s">
        <v>26549</v>
      </c>
    </row>
    <row r="1474" spans="1:21" x14ac:dyDescent="0.2">
      <c r="A1474" s="49" t="s">
        <v>30</v>
      </c>
    </row>
    <row r="1475" spans="1:21" x14ac:dyDescent="0.2">
      <c r="A1475" s="49" t="s">
        <v>30</v>
      </c>
      <c r="E1475" s="49" t="s">
        <v>31</v>
      </c>
      <c r="F1475" s="49" t="s">
        <v>31</v>
      </c>
      <c r="G1475" s="49" t="s">
        <v>31</v>
      </c>
      <c r="J1475" s="49" t="s">
        <v>31</v>
      </c>
      <c r="K1475" s="49" t="s">
        <v>31</v>
      </c>
      <c r="L1475" s="49" t="s">
        <v>31</v>
      </c>
      <c r="M1475" s="49" t="s">
        <v>31</v>
      </c>
    </row>
    <row r="1476" spans="1:21" x14ac:dyDescent="0.2">
      <c r="A1476" s="49" t="s">
        <v>30</v>
      </c>
      <c r="D1476" s="49" t="s">
        <v>18060</v>
      </c>
      <c r="E1476" s="49" t="s">
        <v>7617</v>
      </c>
      <c r="F1476" s="49" t="s">
        <v>18061</v>
      </c>
      <c r="H1476" s="49" t="s">
        <v>18062</v>
      </c>
      <c r="O1476" s="49" t="s">
        <v>18063</v>
      </c>
      <c r="P1476" s="49" t="s">
        <v>18064</v>
      </c>
      <c r="Q1476" s="49" t="s">
        <v>18065</v>
      </c>
      <c r="R1476" s="49" t="s">
        <v>18066</v>
      </c>
      <c r="S1476" s="49" t="s">
        <v>18067</v>
      </c>
      <c r="T1476" s="49" t="s">
        <v>18068</v>
      </c>
      <c r="U1476" s="49" t="s">
        <v>18069</v>
      </c>
    </row>
    <row r="1477" spans="1:21" x14ac:dyDescent="0.2">
      <c r="A1477" s="49" t="s">
        <v>30</v>
      </c>
      <c r="D1477" s="49" t="s">
        <v>18070</v>
      </c>
      <c r="G1477" s="49" t="s">
        <v>18071</v>
      </c>
      <c r="H1477" s="49" t="s">
        <v>26416</v>
      </c>
      <c r="I1477" s="49" t="s">
        <v>26423</v>
      </c>
      <c r="J1477" s="49" t="s">
        <v>26472</v>
      </c>
      <c r="K1477" s="49" t="s">
        <v>26479</v>
      </c>
      <c r="L1477" s="49" t="s">
        <v>18072</v>
      </c>
      <c r="M1477" s="49" t="s">
        <v>18073</v>
      </c>
      <c r="N1477" s="49" t="s">
        <v>18074</v>
      </c>
      <c r="O1477" s="49" t="s">
        <v>26430</v>
      </c>
      <c r="P1477" s="49" t="s">
        <v>26437</v>
      </c>
      <c r="Q1477" s="49" t="s">
        <v>26444</v>
      </c>
      <c r="R1477" s="49" t="s">
        <v>26451</v>
      </c>
      <c r="S1477" s="49" t="s">
        <v>26458</v>
      </c>
      <c r="T1477" s="49" t="s">
        <v>26465</v>
      </c>
    </row>
    <row r="1478" spans="1:21" x14ac:dyDescent="0.2">
      <c r="A1478" s="49" t="s">
        <v>30</v>
      </c>
      <c r="D1478" s="49" t="s">
        <v>18075</v>
      </c>
      <c r="G1478" s="49" t="s">
        <v>18076</v>
      </c>
      <c r="H1478" s="49" t="s">
        <v>26417</v>
      </c>
      <c r="I1478" s="49" t="s">
        <v>26424</v>
      </c>
      <c r="J1478" s="49" t="s">
        <v>26473</v>
      </c>
      <c r="K1478" s="49" t="s">
        <v>26480</v>
      </c>
      <c r="L1478" s="49" t="s">
        <v>18077</v>
      </c>
      <c r="M1478" s="49" t="s">
        <v>18078</v>
      </c>
      <c r="N1478" s="49" t="s">
        <v>18079</v>
      </c>
      <c r="O1478" s="49" t="s">
        <v>26431</v>
      </c>
      <c r="P1478" s="49" t="s">
        <v>26438</v>
      </c>
      <c r="Q1478" s="49" t="s">
        <v>26445</v>
      </c>
      <c r="R1478" s="49" t="s">
        <v>26452</v>
      </c>
      <c r="S1478" s="49" t="s">
        <v>26459</v>
      </c>
      <c r="T1478" s="49" t="s">
        <v>26466</v>
      </c>
    </row>
    <row r="1479" spans="1:21" x14ac:dyDescent="0.2">
      <c r="A1479" s="49" t="s">
        <v>30</v>
      </c>
      <c r="D1479" s="49" t="s">
        <v>18080</v>
      </c>
      <c r="G1479" s="49" t="s">
        <v>18081</v>
      </c>
      <c r="H1479" s="49" t="s">
        <v>26418</v>
      </c>
      <c r="I1479" s="49" t="s">
        <v>26425</v>
      </c>
      <c r="J1479" s="49" t="s">
        <v>26474</v>
      </c>
      <c r="K1479" s="49" t="s">
        <v>26481</v>
      </c>
      <c r="L1479" s="49" t="s">
        <v>18082</v>
      </c>
      <c r="M1479" s="49" t="s">
        <v>18083</v>
      </c>
      <c r="N1479" s="49" t="s">
        <v>18084</v>
      </c>
      <c r="O1479" s="49" t="s">
        <v>26432</v>
      </c>
      <c r="P1479" s="49" t="s">
        <v>26439</v>
      </c>
      <c r="Q1479" s="49" t="s">
        <v>26446</v>
      </c>
      <c r="R1479" s="49" t="s">
        <v>26453</v>
      </c>
      <c r="S1479" s="49" t="s">
        <v>26460</v>
      </c>
      <c r="T1479" s="49" t="s">
        <v>26467</v>
      </c>
    </row>
    <row r="1480" spans="1:21" x14ac:dyDescent="0.2">
      <c r="A1480" s="49" t="s">
        <v>30</v>
      </c>
      <c r="D1480" s="49" t="s">
        <v>18085</v>
      </c>
      <c r="G1480" s="49" t="s">
        <v>18086</v>
      </c>
      <c r="H1480" s="49" t="s">
        <v>26419</v>
      </c>
      <c r="I1480" s="49" t="s">
        <v>26426</v>
      </c>
      <c r="J1480" s="49" t="s">
        <v>26475</v>
      </c>
      <c r="K1480" s="49" t="s">
        <v>26482</v>
      </c>
      <c r="L1480" s="49" t="s">
        <v>18087</v>
      </c>
      <c r="M1480" s="49" t="s">
        <v>18088</v>
      </c>
      <c r="N1480" s="49" t="s">
        <v>18089</v>
      </c>
      <c r="O1480" s="49" t="s">
        <v>26433</v>
      </c>
      <c r="P1480" s="49" t="s">
        <v>26440</v>
      </c>
      <c r="Q1480" s="49" t="s">
        <v>26447</v>
      </c>
      <c r="R1480" s="49" t="s">
        <v>26454</v>
      </c>
      <c r="S1480" s="49" t="s">
        <v>26461</v>
      </c>
      <c r="T1480" s="49" t="s">
        <v>26468</v>
      </c>
    </row>
    <row r="1481" spans="1:21" x14ac:dyDescent="0.2">
      <c r="A1481" s="49" t="s">
        <v>30</v>
      </c>
      <c r="D1481" s="49" t="s">
        <v>18090</v>
      </c>
      <c r="G1481" s="49" t="s">
        <v>18091</v>
      </c>
      <c r="H1481" s="49" t="s">
        <v>26420</v>
      </c>
      <c r="I1481" s="49" t="s">
        <v>26427</v>
      </c>
      <c r="J1481" s="49" t="s">
        <v>26476</v>
      </c>
      <c r="K1481" s="49" t="s">
        <v>26483</v>
      </c>
      <c r="L1481" s="49" t="s">
        <v>18092</v>
      </c>
      <c r="M1481" s="49" t="s">
        <v>18093</v>
      </c>
      <c r="N1481" s="49" t="s">
        <v>18094</v>
      </c>
      <c r="O1481" s="49" t="s">
        <v>26434</v>
      </c>
      <c r="P1481" s="49" t="s">
        <v>26441</v>
      </c>
      <c r="Q1481" s="49" t="s">
        <v>26448</v>
      </c>
      <c r="R1481" s="49" t="s">
        <v>26455</v>
      </c>
      <c r="S1481" s="49" t="s">
        <v>26462</v>
      </c>
      <c r="T1481" s="49" t="s">
        <v>26469</v>
      </c>
    </row>
    <row r="1482" spans="1:21" x14ac:dyDescent="0.2">
      <c r="A1482" s="49" t="s">
        <v>30</v>
      </c>
      <c r="D1482" s="49" t="s">
        <v>18095</v>
      </c>
      <c r="G1482" s="49" t="s">
        <v>18096</v>
      </c>
      <c r="H1482" s="49" t="s">
        <v>26421</v>
      </c>
      <c r="I1482" s="49" t="s">
        <v>26428</v>
      </c>
      <c r="J1482" s="49" t="s">
        <v>26477</v>
      </c>
      <c r="K1482" s="49" t="s">
        <v>26484</v>
      </c>
      <c r="L1482" s="49" t="s">
        <v>18097</v>
      </c>
      <c r="M1482" s="49" t="s">
        <v>18098</v>
      </c>
      <c r="N1482" s="49" t="s">
        <v>18099</v>
      </c>
      <c r="O1482" s="49" t="s">
        <v>26435</v>
      </c>
      <c r="P1482" s="49" t="s">
        <v>26442</v>
      </c>
      <c r="Q1482" s="49" t="s">
        <v>26449</v>
      </c>
      <c r="R1482" s="49" t="s">
        <v>26456</v>
      </c>
      <c r="S1482" s="49" t="s">
        <v>26463</v>
      </c>
      <c r="T1482" s="49" t="s">
        <v>26470</v>
      </c>
    </row>
    <row r="1483" spans="1:21" x14ac:dyDescent="0.2">
      <c r="A1483" s="49" t="s">
        <v>30</v>
      </c>
      <c r="D1483" s="49" t="s">
        <v>18100</v>
      </c>
      <c r="G1483" s="49" t="s">
        <v>18101</v>
      </c>
      <c r="H1483" s="49" t="s">
        <v>26422</v>
      </c>
      <c r="I1483" s="49" t="s">
        <v>26429</v>
      </c>
      <c r="J1483" s="49" t="s">
        <v>26478</v>
      </c>
      <c r="K1483" s="49" t="s">
        <v>26485</v>
      </c>
      <c r="L1483" s="49" t="s">
        <v>18102</v>
      </c>
      <c r="M1483" s="49" t="s">
        <v>18103</v>
      </c>
      <c r="N1483" s="49" t="s">
        <v>18104</v>
      </c>
      <c r="O1483" s="49" t="s">
        <v>26436</v>
      </c>
      <c r="P1483" s="49" t="s">
        <v>26443</v>
      </c>
      <c r="Q1483" s="49" t="s">
        <v>26450</v>
      </c>
      <c r="R1483" s="49" t="s">
        <v>26457</v>
      </c>
      <c r="S1483" s="49" t="s">
        <v>26464</v>
      </c>
      <c r="T1483" s="49" t="s">
        <v>26471</v>
      </c>
    </row>
    <row r="1484" spans="1:21" x14ac:dyDescent="0.2">
      <c r="A1484" s="49" t="s">
        <v>30</v>
      </c>
    </row>
    <row r="1485" spans="1:21" x14ac:dyDescent="0.2">
      <c r="A1485" s="49" t="s">
        <v>30</v>
      </c>
      <c r="E1485" s="49" t="s">
        <v>31</v>
      </c>
      <c r="F1485" s="49" t="s">
        <v>31</v>
      </c>
      <c r="G1485" s="49" t="s">
        <v>31</v>
      </c>
      <c r="J1485" s="49" t="s">
        <v>31</v>
      </c>
      <c r="K1485" s="49" t="s">
        <v>31</v>
      </c>
      <c r="L1485" s="49" t="s">
        <v>31</v>
      </c>
      <c r="M1485" s="49" t="s">
        <v>31</v>
      </c>
    </row>
    <row r="1486" spans="1:21" x14ac:dyDescent="0.2">
      <c r="A1486" s="49" t="s">
        <v>30</v>
      </c>
      <c r="D1486" s="49" t="s">
        <v>18105</v>
      </c>
      <c r="E1486" s="49" t="s">
        <v>7632</v>
      </c>
      <c r="F1486" s="49" t="s">
        <v>18106</v>
      </c>
      <c r="H1486" s="49" t="s">
        <v>18107</v>
      </c>
      <c r="O1486" s="49" t="s">
        <v>18108</v>
      </c>
      <c r="P1486" s="49" t="s">
        <v>18109</v>
      </c>
      <c r="Q1486" s="49" t="s">
        <v>18110</v>
      </c>
      <c r="R1486" s="49" t="s">
        <v>18111</v>
      </c>
      <c r="S1486" s="49" t="s">
        <v>18112</v>
      </c>
      <c r="T1486" s="49" t="s">
        <v>18113</v>
      </c>
      <c r="U1486" s="49" t="s">
        <v>18114</v>
      </c>
    </row>
    <row r="1487" spans="1:21" x14ac:dyDescent="0.2">
      <c r="A1487" s="49" t="s">
        <v>30</v>
      </c>
      <c r="D1487" s="49" t="s">
        <v>18115</v>
      </c>
      <c r="G1487" s="49" t="s">
        <v>18116</v>
      </c>
      <c r="H1487" s="49" t="s">
        <v>26326</v>
      </c>
      <c r="I1487" s="49" t="s">
        <v>26335</v>
      </c>
      <c r="J1487" s="49" t="s">
        <v>26398</v>
      </c>
      <c r="K1487" s="49" t="s">
        <v>26407</v>
      </c>
      <c r="L1487" s="49" t="s">
        <v>18117</v>
      </c>
      <c r="M1487" s="49" t="s">
        <v>18118</v>
      </c>
      <c r="N1487" s="49" t="s">
        <v>18119</v>
      </c>
      <c r="O1487" s="49" t="s">
        <v>26344</v>
      </c>
      <c r="P1487" s="49" t="s">
        <v>26353</v>
      </c>
      <c r="Q1487" s="49" t="s">
        <v>26362</v>
      </c>
      <c r="R1487" s="49" t="s">
        <v>26371</v>
      </c>
      <c r="S1487" s="49" t="s">
        <v>26380</v>
      </c>
      <c r="T1487" s="49" t="s">
        <v>26389</v>
      </c>
    </row>
    <row r="1488" spans="1:21" x14ac:dyDescent="0.2">
      <c r="A1488" s="49" t="s">
        <v>30</v>
      </c>
      <c r="D1488" s="49" t="s">
        <v>18120</v>
      </c>
      <c r="G1488" s="49" t="s">
        <v>18121</v>
      </c>
      <c r="H1488" s="49" t="s">
        <v>26327</v>
      </c>
      <c r="I1488" s="49" t="s">
        <v>26336</v>
      </c>
      <c r="J1488" s="49" t="s">
        <v>26399</v>
      </c>
      <c r="K1488" s="49" t="s">
        <v>26408</v>
      </c>
      <c r="L1488" s="49" t="s">
        <v>18122</v>
      </c>
      <c r="M1488" s="49" t="s">
        <v>18123</v>
      </c>
      <c r="N1488" s="49" t="s">
        <v>18124</v>
      </c>
      <c r="O1488" s="49" t="s">
        <v>26345</v>
      </c>
      <c r="P1488" s="49" t="s">
        <v>26354</v>
      </c>
      <c r="Q1488" s="49" t="s">
        <v>26363</v>
      </c>
      <c r="R1488" s="49" t="s">
        <v>26372</v>
      </c>
      <c r="S1488" s="49" t="s">
        <v>26381</v>
      </c>
      <c r="T1488" s="49" t="s">
        <v>26390</v>
      </c>
    </row>
    <row r="1489" spans="1:21" x14ac:dyDescent="0.2">
      <c r="A1489" s="49" t="s">
        <v>30</v>
      </c>
      <c r="D1489" s="49" t="s">
        <v>18125</v>
      </c>
      <c r="G1489" s="49" t="s">
        <v>18126</v>
      </c>
      <c r="H1489" s="49" t="s">
        <v>26328</v>
      </c>
      <c r="I1489" s="49" t="s">
        <v>26337</v>
      </c>
      <c r="J1489" s="49" t="s">
        <v>26400</v>
      </c>
      <c r="K1489" s="49" t="s">
        <v>26409</v>
      </c>
      <c r="L1489" s="49" t="s">
        <v>18127</v>
      </c>
      <c r="M1489" s="49" t="s">
        <v>18128</v>
      </c>
      <c r="N1489" s="49" t="s">
        <v>18129</v>
      </c>
      <c r="O1489" s="49" t="s">
        <v>26346</v>
      </c>
      <c r="P1489" s="49" t="s">
        <v>26355</v>
      </c>
      <c r="Q1489" s="49" t="s">
        <v>26364</v>
      </c>
      <c r="R1489" s="49" t="s">
        <v>26373</v>
      </c>
      <c r="S1489" s="49" t="s">
        <v>26382</v>
      </c>
      <c r="T1489" s="49" t="s">
        <v>26391</v>
      </c>
    </row>
    <row r="1490" spans="1:21" x14ac:dyDescent="0.2">
      <c r="A1490" s="49" t="s">
        <v>30</v>
      </c>
      <c r="D1490" s="49" t="s">
        <v>18130</v>
      </c>
      <c r="G1490" s="49" t="s">
        <v>18131</v>
      </c>
      <c r="H1490" s="49" t="s">
        <v>26329</v>
      </c>
      <c r="I1490" s="49" t="s">
        <v>26338</v>
      </c>
      <c r="J1490" s="49" t="s">
        <v>26401</v>
      </c>
      <c r="K1490" s="49" t="s">
        <v>26410</v>
      </c>
      <c r="L1490" s="49" t="s">
        <v>18132</v>
      </c>
      <c r="M1490" s="49" t="s">
        <v>18133</v>
      </c>
      <c r="N1490" s="49" t="s">
        <v>18134</v>
      </c>
      <c r="O1490" s="49" t="s">
        <v>26347</v>
      </c>
      <c r="P1490" s="49" t="s">
        <v>26356</v>
      </c>
      <c r="Q1490" s="49" t="s">
        <v>26365</v>
      </c>
      <c r="R1490" s="49" t="s">
        <v>26374</v>
      </c>
      <c r="S1490" s="49" t="s">
        <v>26383</v>
      </c>
      <c r="T1490" s="49" t="s">
        <v>26392</v>
      </c>
    </row>
    <row r="1491" spans="1:21" x14ac:dyDescent="0.2">
      <c r="A1491" s="49" t="s">
        <v>30</v>
      </c>
      <c r="D1491" s="49" t="s">
        <v>18135</v>
      </c>
      <c r="G1491" s="49" t="s">
        <v>18136</v>
      </c>
      <c r="H1491" s="49" t="s">
        <v>26330</v>
      </c>
      <c r="I1491" s="49" t="s">
        <v>26339</v>
      </c>
      <c r="J1491" s="49" t="s">
        <v>26402</v>
      </c>
      <c r="K1491" s="49" t="s">
        <v>26411</v>
      </c>
      <c r="L1491" s="49" t="s">
        <v>18137</v>
      </c>
      <c r="M1491" s="49" t="s">
        <v>18138</v>
      </c>
      <c r="N1491" s="49" t="s">
        <v>18139</v>
      </c>
      <c r="O1491" s="49" t="s">
        <v>26348</v>
      </c>
      <c r="P1491" s="49" t="s">
        <v>26357</v>
      </c>
      <c r="Q1491" s="49" t="s">
        <v>26366</v>
      </c>
      <c r="R1491" s="49" t="s">
        <v>26375</v>
      </c>
      <c r="S1491" s="49" t="s">
        <v>26384</v>
      </c>
      <c r="T1491" s="49" t="s">
        <v>26393</v>
      </c>
    </row>
    <row r="1492" spans="1:21" x14ac:dyDescent="0.2">
      <c r="A1492" s="49" t="s">
        <v>30</v>
      </c>
      <c r="D1492" s="49" t="s">
        <v>18140</v>
      </c>
      <c r="G1492" s="49" t="s">
        <v>18141</v>
      </c>
      <c r="H1492" s="49" t="s">
        <v>26331</v>
      </c>
      <c r="I1492" s="49" t="s">
        <v>26340</v>
      </c>
      <c r="J1492" s="49" t="s">
        <v>26403</v>
      </c>
      <c r="K1492" s="49" t="s">
        <v>26412</v>
      </c>
      <c r="L1492" s="49" t="s">
        <v>18142</v>
      </c>
      <c r="M1492" s="49" t="s">
        <v>18143</v>
      </c>
      <c r="N1492" s="49" t="s">
        <v>18144</v>
      </c>
      <c r="O1492" s="49" t="s">
        <v>26349</v>
      </c>
      <c r="P1492" s="49" t="s">
        <v>26358</v>
      </c>
      <c r="Q1492" s="49" t="s">
        <v>26367</v>
      </c>
      <c r="R1492" s="49" t="s">
        <v>26376</v>
      </c>
      <c r="S1492" s="49" t="s">
        <v>26385</v>
      </c>
      <c r="T1492" s="49" t="s">
        <v>26394</v>
      </c>
    </row>
    <row r="1493" spans="1:21" x14ac:dyDescent="0.2">
      <c r="A1493" s="49" t="s">
        <v>30</v>
      </c>
      <c r="D1493" s="49" t="s">
        <v>18145</v>
      </c>
      <c r="G1493" s="49" t="s">
        <v>18146</v>
      </c>
      <c r="H1493" s="49" t="s">
        <v>26332</v>
      </c>
      <c r="I1493" s="49" t="s">
        <v>26341</v>
      </c>
      <c r="J1493" s="49" t="s">
        <v>26404</v>
      </c>
      <c r="K1493" s="49" t="s">
        <v>26413</v>
      </c>
      <c r="L1493" s="49" t="s">
        <v>18147</v>
      </c>
      <c r="M1493" s="49" t="s">
        <v>18148</v>
      </c>
      <c r="N1493" s="49" t="s">
        <v>18149</v>
      </c>
      <c r="O1493" s="49" t="s">
        <v>26350</v>
      </c>
      <c r="P1493" s="49" t="s">
        <v>26359</v>
      </c>
      <c r="Q1493" s="49" t="s">
        <v>26368</v>
      </c>
      <c r="R1493" s="49" t="s">
        <v>26377</v>
      </c>
      <c r="S1493" s="49" t="s">
        <v>26386</v>
      </c>
      <c r="T1493" s="49" t="s">
        <v>26395</v>
      </c>
    </row>
    <row r="1494" spans="1:21" x14ac:dyDescent="0.2">
      <c r="A1494" s="49" t="s">
        <v>30</v>
      </c>
      <c r="D1494" s="49" t="s">
        <v>18150</v>
      </c>
      <c r="G1494" s="49" t="s">
        <v>18151</v>
      </c>
      <c r="H1494" s="49" t="s">
        <v>26333</v>
      </c>
      <c r="I1494" s="49" t="s">
        <v>26342</v>
      </c>
      <c r="J1494" s="49" t="s">
        <v>26405</v>
      </c>
      <c r="K1494" s="49" t="s">
        <v>26414</v>
      </c>
      <c r="L1494" s="49" t="s">
        <v>18152</v>
      </c>
      <c r="M1494" s="49" t="s">
        <v>18153</v>
      </c>
      <c r="N1494" s="49" t="s">
        <v>18154</v>
      </c>
      <c r="O1494" s="49" t="s">
        <v>26351</v>
      </c>
      <c r="P1494" s="49" t="s">
        <v>26360</v>
      </c>
      <c r="Q1494" s="49" t="s">
        <v>26369</v>
      </c>
      <c r="R1494" s="49" t="s">
        <v>26378</v>
      </c>
      <c r="S1494" s="49" t="s">
        <v>26387</v>
      </c>
      <c r="T1494" s="49" t="s">
        <v>26396</v>
      </c>
    </row>
    <row r="1495" spans="1:21" x14ac:dyDescent="0.2">
      <c r="A1495" s="49" t="s">
        <v>30</v>
      </c>
      <c r="D1495" s="49" t="s">
        <v>18155</v>
      </c>
      <c r="G1495" s="49" t="s">
        <v>18156</v>
      </c>
      <c r="H1495" s="49" t="s">
        <v>26334</v>
      </c>
      <c r="I1495" s="49" t="s">
        <v>26343</v>
      </c>
      <c r="J1495" s="49" t="s">
        <v>26406</v>
      </c>
      <c r="K1495" s="49" t="s">
        <v>26415</v>
      </c>
      <c r="L1495" s="49" t="s">
        <v>18157</v>
      </c>
      <c r="M1495" s="49" t="s">
        <v>18158</v>
      </c>
      <c r="N1495" s="49" t="s">
        <v>18159</v>
      </c>
      <c r="O1495" s="49" t="s">
        <v>26352</v>
      </c>
      <c r="P1495" s="49" t="s">
        <v>26361</v>
      </c>
      <c r="Q1495" s="49" t="s">
        <v>26370</v>
      </c>
      <c r="R1495" s="49" t="s">
        <v>26379</v>
      </c>
      <c r="S1495" s="49" t="s">
        <v>26388</v>
      </c>
      <c r="T1495" s="49" t="s">
        <v>26397</v>
      </c>
    </row>
    <row r="1496" spans="1:21" x14ac:dyDescent="0.2">
      <c r="A1496" s="49" t="s">
        <v>30</v>
      </c>
    </row>
    <row r="1497" spans="1:21" x14ac:dyDescent="0.2">
      <c r="A1497" s="49" t="s">
        <v>30</v>
      </c>
      <c r="E1497" s="49" t="s">
        <v>31</v>
      </c>
      <c r="F1497" s="49" t="s">
        <v>31</v>
      </c>
      <c r="G1497" s="49" t="s">
        <v>31</v>
      </c>
      <c r="J1497" s="49" t="s">
        <v>31</v>
      </c>
      <c r="K1497" s="49" t="s">
        <v>31</v>
      </c>
      <c r="L1497" s="49" t="s">
        <v>31</v>
      </c>
      <c r="M1497" s="49" t="s">
        <v>31</v>
      </c>
    </row>
    <row r="1498" spans="1:21" x14ac:dyDescent="0.2">
      <c r="A1498" s="49" t="s">
        <v>30</v>
      </c>
      <c r="D1498" s="49" t="s">
        <v>18160</v>
      </c>
      <c r="E1498" s="49" t="s">
        <v>7745</v>
      </c>
      <c r="F1498" s="49" t="s">
        <v>18161</v>
      </c>
      <c r="H1498" s="49" t="s">
        <v>18162</v>
      </c>
      <c r="O1498" s="49" t="s">
        <v>18163</v>
      </c>
      <c r="P1498" s="49" t="s">
        <v>18164</v>
      </c>
      <c r="Q1498" s="49" t="s">
        <v>18165</v>
      </c>
      <c r="R1498" s="49" t="s">
        <v>18166</v>
      </c>
      <c r="S1498" s="49" t="s">
        <v>18167</v>
      </c>
      <c r="T1498" s="49" t="s">
        <v>18168</v>
      </c>
      <c r="U1498" s="49" t="s">
        <v>18169</v>
      </c>
    </row>
    <row r="1499" spans="1:21" x14ac:dyDescent="0.2">
      <c r="A1499" s="49" t="s">
        <v>30</v>
      </c>
      <c r="D1499" s="49" t="s">
        <v>18170</v>
      </c>
      <c r="G1499" s="49" t="s">
        <v>18171</v>
      </c>
      <c r="H1499" s="49" t="s">
        <v>26236</v>
      </c>
      <c r="I1499" s="49" t="s">
        <v>26245</v>
      </c>
      <c r="J1499" s="49" t="s">
        <v>26308</v>
      </c>
      <c r="K1499" s="49" t="s">
        <v>26317</v>
      </c>
      <c r="L1499" s="49" t="s">
        <v>18172</v>
      </c>
      <c r="M1499" s="49" t="s">
        <v>18173</v>
      </c>
      <c r="N1499" s="49" t="s">
        <v>18174</v>
      </c>
      <c r="O1499" s="49" t="s">
        <v>26254</v>
      </c>
      <c r="P1499" s="49" t="s">
        <v>26263</v>
      </c>
      <c r="Q1499" s="49" t="s">
        <v>26272</v>
      </c>
      <c r="R1499" s="49" t="s">
        <v>26281</v>
      </c>
      <c r="S1499" s="49" t="s">
        <v>26290</v>
      </c>
      <c r="T1499" s="49" t="s">
        <v>26299</v>
      </c>
    </row>
    <row r="1500" spans="1:21" x14ac:dyDescent="0.2">
      <c r="A1500" s="49" t="s">
        <v>30</v>
      </c>
      <c r="D1500" s="49" t="s">
        <v>18175</v>
      </c>
      <c r="G1500" s="49" t="s">
        <v>18176</v>
      </c>
      <c r="H1500" s="49" t="s">
        <v>26237</v>
      </c>
      <c r="I1500" s="49" t="s">
        <v>26246</v>
      </c>
      <c r="J1500" s="49" t="s">
        <v>26309</v>
      </c>
      <c r="K1500" s="49" t="s">
        <v>26318</v>
      </c>
      <c r="L1500" s="49" t="s">
        <v>18177</v>
      </c>
      <c r="M1500" s="49" t="s">
        <v>18178</v>
      </c>
      <c r="N1500" s="49" t="s">
        <v>18179</v>
      </c>
      <c r="O1500" s="49" t="s">
        <v>26255</v>
      </c>
      <c r="P1500" s="49" t="s">
        <v>26264</v>
      </c>
      <c r="Q1500" s="49" t="s">
        <v>26273</v>
      </c>
      <c r="R1500" s="49" t="s">
        <v>26282</v>
      </c>
      <c r="S1500" s="49" t="s">
        <v>26291</v>
      </c>
      <c r="T1500" s="49" t="s">
        <v>26300</v>
      </c>
    </row>
    <row r="1501" spans="1:21" x14ac:dyDescent="0.2">
      <c r="A1501" s="49" t="s">
        <v>30</v>
      </c>
      <c r="D1501" s="49" t="s">
        <v>18180</v>
      </c>
      <c r="G1501" s="49" t="s">
        <v>18181</v>
      </c>
      <c r="H1501" s="49" t="s">
        <v>26238</v>
      </c>
      <c r="I1501" s="49" t="s">
        <v>26247</v>
      </c>
      <c r="J1501" s="49" t="s">
        <v>26310</v>
      </c>
      <c r="K1501" s="49" t="s">
        <v>26319</v>
      </c>
      <c r="L1501" s="49" t="s">
        <v>18182</v>
      </c>
      <c r="M1501" s="49" t="s">
        <v>18183</v>
      </c>
      <c r="N1501" s="49" t="s">
        <v>18184</v>
      </c>
      <c r="O1501" s="49" t="s">
        <v>26256</v>
      </c>
      <c r="P1501" s="49" t="s">
        <v>26265</v>
      </c>
      <c r="Q1501" s="49" t="s">
        <v>26274</v>
      </c>
      <c r="R1501" s="49" t="s">
        <v>26283</v>
      </c>
      <c r="S1501" s="49" t="s">
        <v>26292</v>
      </c>
      <c r="T1501" s="49" t="s">
        <v>26301</v>
      </c>
    </row>
    <row r="1502" spans="1:21" x14ac:dyDescent="0.2">
      <c r="A1502" s="49" t="s">
        <v>30</v>
      </c>
      <c r="D1502" s="49" t="s">
        <v>18185</v>
      </c>
      <c r="G1502" s="49" t="s">
        <v>18186</v>
      </c>
      <c r="H1502" s="49" t="s">
        <v>26239</v>
      </c>
      <c r="I1502" s="49" t="s">
        <v>26248</v>
      </c>
      <c r="J1502" s="49" t="s">
        <v>26311</v>
      </c>
      <c r="K1502" s="49" t="s">
        <v>26320</v>
      </c>
      <c r="L1502" s="49" t="s">
        <v>18187</v>
      </c>
      <c r="M1502" s="49" t="s">
        <v>18188</v>
      </c>
      <c r="N1502" s="49" t="s">
        <v>18189</v>
      </c>
      <c r="O1502" s="49" t="s">
        <v>26257</v>
      </c>
      <c r="P1502" s="49" t="s">
        <v>26266</v>
      </c>
      <c r="Q1502" s="49" t="s">
        <v>26275</v>
      </c>
      <c r="R1502" s="49" t="s">
        <v>26284</v>
      </c>
      <c r="S1502" s="49" t="s">
        <v>26293</v>
      </c>
      <c r="T1502" s="49" t="s">
        <v>26302</v>
      </c>
    </row>
    <row r="1503" spans="1:21" x14ac:dyDescent="0.2">
      <c r="A1503" s="49" t="s">
        <v>30</v>
      </c>
      <c r="D1503" s="49" t="s">
        <v>18190</v>
      </c>
      <c r="G1503" s="49" t="s">
        <v>18191</v>
      </c>
      <c r="H1503" s="49" t="s">
        <v>26240</v>
      </c>
      <c r="I1503" s="49" t="s">
        <v>26249</v>
      </c>
      <c r="J1503" s="49" t="s">
        <v>26312</v>
      </c>
      <c r="K1503" s="49" t="s">
        <v>26321</v>
      </c>
      <c r="L1503" s="49" t="s">
        <v>18192</v>
      </c>
      <c r="M1503" s="49" t="s">
        <v>18193</v>
      </c>
      <c r="N1503" s="49" t="s">
        <v>18194</v>
      </c>
      <c r="O1503" s="49" t="s">
        <v>26258</v>
      </c>
      <c r="P1503" s="49" t="s">
        <v>26267</v>
      </c>
      <c r="Q1503" s="49" t="s">
        <v>26276</v>
      </c>
      <c r="R1503" s="49" t="s">
        <v>26285</v>
      </c>
      <c r="S1503" s="49" t="s">
        <v>26294</v>
      </c>
      <c r="T1503" s="49" t="s">
        <v>26303</v>
      </c>
    </row>
    <row r="1504" spans="1:21" x14ac:dyDescent="0.2">
      <c r="A1504" s="49" t="s">
        <v>30</v>
      </c>
      <c r="D1504" s="49" t="s">
        <v>18195</v>
      </c>
      <c r="G1504" s="49" t="s">
        <v>18196</v>
      </c>
      <c r="H1504" s="49" t="s">
        <v>26241</v>
      </c>
      <c r="I1504" s="49" t="s">
        <v>26250</v>
      </c>
      <c r="J1504" s="49" t="s">
        <v>26313</v>
      </c>
      <c r="K1504" s="49" t="s">
        <v>26322</v>
      </c>
      <c r="L1504" s="49" t="s">
        <v>18197</v>
      </c>
      <c r="M1504" s="49" t="s">
        <v>18198</v>
      </c>
      <c r="N1504" s="49" t="s">
        <v>18199</v>
      </c>
      <c r="O1504" s="49" t="s">
        <v>26259</v>
      </c>
      <c r="P1504" s="49" t="s">
        <v>26268</v>
      </c>
      <c r="Q1504" s="49" t="s">
        <v>26277</v>
      </c>
      <c r="R1504" s="49" t="s">
        <v>26286</v>
      </c>
      <c r="S1504" s="49" t="s">
        <v>26295</v>
      </c>
      <c r="T1504" s="49" t="s">
        <v>26304</v>
      </c>
    </row>
    <row r="1505" spans="1:21" x14ac:dyDescent="0.2">
      <c r="A1505" s="49" t="s">
        <v>30</v>
      </c>
      <c r="D1505" s="49" t="s">
        <v>18200</v>
      </c>
      <c r="G1505" s="49" t="s">
        <v>18201</v>
      </c>
      <c r="H1505" s="49" t="s">
        <v>26242</v>
      </c>
      <c r="I1505" s="49" t="s">
        <v>26251</v>
      </c>
      <c r="J1505" s="49" t="s">
        <v>26314</v>
      </c>
      <c r="K1505" s="49" t="s">
        <v>26323</v>
      </c>
      <c r="L1505" s="49" t="s">
        <v>18202</v>
      </c>
      <c r="M1505" s="49" t="s">
        <v>18203</v>
      </c>
      <c r="N1505" s="49" t="s">
        <v>18204</v>
      </c>
      <c r="O1505" s="49" t="s">
        <v>26260</v>
      </c>
      <c r="P1505" s="49" t="s">
        <v>26269</v>
      </c>
      <c r="Q1505" s="49" t="s">
        <v>26278</v>
      </c>
      <c r="R1505" s="49" t="s">
        <v>26287</v>
      </c>
      <c r="S1505" s="49" t="s">
        <v>26296</v>
      </c>
      <c r="T1505" s="49" t="s">
        <v>26305</v>
      </c>
    </row>
    <row r="1506" spans="1:21" x14ac:dyDescent="0.2">
      <c r="A1506" s="49" t="s">
        <v>30</v>
      </c>
      <c r="D1506" s="49" t="s">
        <v>18205</v>
      </c>
      <c r="G1506" s="49" t="s">
        <v>18206</v>
      </c>
      <c r="H1506" s="49" t="s">
        <v>26243</v>
      </c>
      <c r="I1506" s="49" t="s">
        <v>26252</v>
      </c>
      <c r="J1506" s="49" t="s">
        <v>26315</v>
      </c>
      <c r="K1506" s="49" t="s">
        <v>26324</v>
      </c>
      <c r="L1506" s="49" t="s">
        <v>18207</v>
      </c>
      <c r="M1506" s="49" t="s">
        <v>18208</v>
      </c>
      <c r="N1506" s="49" t="s">
        <v>18209</v>
      </c>
      <c r="O1506" s="49" t="s">
        <v>26261</v>
      </c>
      <c r="P1506" s="49" t="s">
        <v>26270</v>
      </c>
      <c r="Q1506" s="49" t="s">
        <v>26279</v>
      </c>
      <c r="R1506" s="49" t="s">
        <v>26288</v>
      </c>
      <c r="S1506" s="49" t="s">
        <v>26297</v>
      </c>
      <c r="T1506" s="49" t="s">
        <v>26306</v>
      </c>
    </row>
    <row r="1507" spans="1:21" x14ac:dyDescent="0.2">
      <c r="A1507" s="49" t="s">
        <v>30</v>
      </c>
      <c r="D1507" s="49" t="s">
        <v>18210</v>
      </c>
      <c r="G1507" s="49" t="s">
        <v>18211</v>
      </c>
      <c r="H1507" s="49" t="s">
        <v>26244</v>
      </c>
      <c r="I1507" s="49" t="s">
        <v>26253</v>
      </c>
      <c r="J1507" s="49" t="s">
        <v>26316</v>
      </c>
      <c r="K1507" s="49" t="s">
        <v>26325</v>
      </c>
      <c r="L1507" s="49" t="s">
        <v>18212</v>
      </c>
      <c r="M1507" s="49" t="s">
        <v>18213</v>
      </c>
      <c r="N1507" s="49" t="s">
        <v>18214</v>
      </c>
      <c r="O1507" s="49" t="s">
        <v>26262</v>
      </c>
      <c r="P1507" s="49" t="s">
        <v>26271</v>
      </c>
      <c r="Q1507" s="49" t="s">
        <v>26280</v>
      </c>
      <c r="R1507" s="49" t="s">
        <v>26289</v>
      </c>
      <c r="S1507" s="49" t="s">
        <v>26298</v>
      </c>
      <c r="T1507" s="49" t="s">
        <v>26307</v>
      </c>
    </row>
    <row r="1508" spans="1:21" x14ac:dyDescent="0.2">
      <c r="A1508" s="49" t="s">
        <v>30</v>
      </c>
    </row>
    <row r="1509" spans="1:21" x14ac:dyDescent="0.2">
      <c r="A1509" s="49" t="s">
        <v>30</v>
      </c>
      <c r="E1509" s="49" t="s">
        <v>31</v>
      </c>
      <c r="F1509" s="49" t="s">
        <v>31</v>
      </c>
      <c r="G1509" s="49" t="s">
        <v>31</v>
      </c>
      <c r="J1509" s="49" t="s">
        <v>31</v>
      </c>
      <c r="K1509" s="49" t="s">
        <v>31</v>
      </c>
      <c r="L1509" s="49" t="s">
        <v>31</v>
      </c>
      <c r="M1509" s="49" t="s">
        <v>31</v>
      </c>
    </row>
    <row r="1510" spans="1:21" x14ac:dyDescent="0.2">
      <c r="A1510" s="49" t="s">
        <v>30</v>
      </c>
      <c r="D1510" s="49" t="s">
        <v>18215</v>
      </c>
      <c r="E1510" s="49" t="s">
        <v>7760</v>
      </c>
      <c r="F1510" s="49" t="s">
        <v>18216</v>
      </c>
      <c r="H1510" s="49" t="s">
        <v>18217</v>
      </c>
      <c r="O1510" s="49" t="s">
        <v>18218</v>
      </c>
      <c r="P1510" s="49" t="s">
        <v>18219</v>
      </c>
      <c r="Q1510" s="49" t="s">
        <v>18220</v>
      </c>
      <c r="R1510" s="49" t="s">
        <v>18221</v>
      </c>
      <c r="S1510" s="49" t="s">
        <v>18222</v>
      </c>
      <c r="T1510" s="49" t="s">
        <v>18223</v>
      </c>
      <c r="U1510" s="49" t="s">
        <v>18224</v>
      </c>
    </row>
    <row r="1511" spans="1:21" x14ac:dyDescent="0.2">
      <c r="A1511" s="49" t="s">
        <v>30</v>
      </c>
      <c r="D1511" s="49" t="s">
        <v>18225</v>
      </c>
      <c r="G1511" s="49" t="s">
        <v>18226</v>
      </c>
      <c r="H1511" s="49" t="s">
        <v>26126</v>
      </c>
      <c r="I1511" s="49" t="s">
        <v>26137</v>
      </c>
      <c r="J1511" s="49" t="s">
        <v>26214</v>
      </c>
      <c r="K1511" s="49" t="s">
        <v>26225</v>
      </c>
      <c r="L1511" s="49" t="s">
        <v>18227</v>
      </c>
      <c r="M1511" s="49" t="s">
        <v>18228</v>
      </c>
      <c r="N1511" s="49" t="s">
        <v>18229</v>
      </c>
      <c r="O1511" s="49" t="s">
        <v>26148</v>
      </c>
      <c r="P1511" s="49" t="s">
        <v>26159</v>
      </c>
      <c r="Q1511" s="49" t="s">
        <v>26170</v>
      </c>
      <c r="R1511" s="49" t="s">
        <v>26181</v>
      </c>
      <c r="S1511" s="49" t="s">
        <v>26192</v>
      </c>
      <c r="T1511" s="49" t="s">
        <v>26203</v>
      </c>
    </row>
    <row r="1512" spans="1:21" x14ac:dyDescent="0.2">
      <c r="A1512" s="49" t="s">
        <v>30</v>
      </c>
      <c r="D1512" s="49" t="s">
        <v>18230</v>
      </c>
      <c r="G1512" s="49" t="s">
        <v>18231</v>
      </c>
      <c r="H1512" s="49" t="s">
        <v>26127</v>
      </c>
      <c r="I1512" s="49" t="s">
        <v>26138</v>
      </c>
      <c r="J1512" s="49" t="s">
        <v>26215</v>
      </c>
      <c r="K1512" s="49" t="s">
        <v>26226</v>
      </c>
      <c r="L1512" s="49" t="s">
        <v>18232</v>
      </c>
      <c r="M1512" s="49" t="s">
        <v>18233</v>
      </c>
      <c r="N1512" s="49" t="s">
        <v>18234</v>
      </c>
      <c r="O1512" s="49" t="s">
        <v>26149</v>
      </c>
      <c r="P1512" s="49" t="s">
        <v>26160</v>
      </c>
      <c r="Q1512" s="49" t="s">
        <v>26171</v>
      </c>
      <c r="R1512" s="49" t="s">
        <v>26182</v>
      </c>
      <c r="S1512" s="49" t="s">
        <v>26193</v>
      </c>
      <c r="T1512" s="49" t="s">
        <v>26204</v>
      </c>
    </row>
    <row r="1513" spans="1:21" x14ac:dyDescent="0.2">
      <c r="A1513" s="49" t="s">
        <v>30</v>
      </c>
      <c r="D1513" s="49" t="s">
        <v>18235</v>
      </c>
      <c r="G1513" s="49" t="s">
        <v>18236</v>
      </c>
      <c r="H1513" s="49" t="s">
        <v>26128</v>
      </c>
      <c r="I1513" s="49" t="s">
        <v>26139</v>
      </c>
      <c r="J1513" s="49" t="s">
        <v>26216</v>
      </c>
      <c r="K1513" s="49" t="s">
        <v>26227</v>
      </c>
      <c r="L1513" s="49" t="s">
        <v>18237</v>
      </c>
      <c r="M1513" s="49" t="s">
        <v>18238</v>
      </c>
      <c r="N1513" s="49" t="s">
        <v>18239</v>
      </c>
      <c r="O1513" s="49" t="s">
        <v>26150</v>
      </c>
      <c r="P1513" s="49" t="s">
        <v>26161</v>
      </c>
      <c r="Q1513" s="49" t="s">
        <v>26172</v>
      </c>
      <c r="R1513" s="49" t="s">
        <v>26183</v>
      </c>
      <c r="S1513" s="49" t="s">
        <v>26194</v>
      </c>
      <c r="T1513" s="49" t="s">
        <v>26205</v>
      </c>
    </row>
    <row r="1514" spans="1:21" x14ac:dyDescent="0.2">
      <c r="A1514" s="49" t="s">
        <v>30</v>
      </c>
      <c r="D1514" s="49" t="s">
        <v>18240</v>
      </c>
      <c r="G1514" s="49" t="s">
        <v>18241</v>
      </c>
      <c r="H1514" s="49" t="s">
        <v>26129</v>
      </c>
      <c r="I1514" s="49" t="s">
        <v>26140</v>
      </c>
      <c r="J1514" s="49" t="s">
        <v>26217</v>
      </c>
      <c r="K1514" s="49" t="s">
        <v>26228</v>
      </c>
      <c r="L1514" s="49" t="s">
        <v>18242</v>
      </c>
      <c r="M1514" s="49" t="s">
        <v>18243</v>
      </c>
      <c r="N1514" s="49" t="s">
        <v>18244</v>
      </c>
      <c r="O1514" s="49" t="s">
        <v>26151</v>
      </c>
      <c r="P1514" s="49" t="s">
        <v>26162</v>
      </c>
      <c r="Q1514" s="49" t="s">
        <v>26173</v>
      </c>
      <c r="R1514" s="49" t="s">
        <v>26184</v>
      </c>
      <c r="S1514" s="49" t="s">
        <v>26195</v>
      </c>
      <c r="T1514" s="49" t="s">
        <v>26206</v>
      </c>
    </row>
    <row r="1515" spans="1:21" x14ac:dyDescent="0.2">
      <c r="A1515" s="49" t="s">
        <v>30</v>
      </c>
      <c r="D1515" s="49" t="s">
        <v>18245</v>
      </c>
      <c r="G1515" s="49" t="s">
        <v>18246</v>
      </c>
      <c r="H1515" s="49" t="s">
        <v>26130</v>
      </c>
      <c r="I1515" s="49" t="s">
        <v>26141</v>
      </c>
      <c r="J1515" s="49" t="s">
        <v>26218</v>
      </c>
      <c r="K1515" s="49" t="s">
        <v>26229</v>
      </c>
      <c r="L1515" s="49" t="s">
        <v>18247</v>
      </c>
      <c r="M1515" s="49" t="s">
        <v>18248</v>
      </c>
      <c r="N1515" s="49" t="s">
        <v>18249</v>
      </c>
      <c r="O1515" s="49" t="s">
        <v>26152</v>
      </c>
      <c r="P1515" s="49" t="s">
        <v>26163</v>
      </c>
      <c r="Q1515" s="49" t="s">
        <v>26174</v>
      </c>
      <c r="R1515" s="49" t="s">
        <v>26185</v>
      </c>
      <c r="S1515" s="49" t="s">
        <v>26196</v>
      </c>
      <c r="T1515" s="49" t="s">
        <v>26207</v>
      </c>
    </row>
    <row r="1516" spans="1:21" x14ac:dyDescent="0.2">
      <c r="A1516" s="49" t="s">
        <v>30</v>
      </c>
      <c r="D1516" s="49" t="s">
        <v>18250</v>
      </c>
      <c r="G1516" s="49" t="s">
        <v>18251</v>
      </c>
      <c r="H1516" s="49" t="s">
        <v>26131</v>
      </c>
      <c r="I1516" s="49" t="s">
        <v>26142</v>
      </c>
      <c r="J1516" s="49" t="s">
        <v>26219</v>
      </c>
      <c r="K1516" s="49" t="s">
        <v>26230</v>
      </c>
      <c r="L1516" s="49" t="s">
        <v>18252</v>
      </c>
      <c r="M1516" s="49" t="s">
        <v>18253</v>
      </c>
      <c r="N1516" s="49" t="s">
        <v>18254</v>
      </c>
      <c r="O1516" s="49" t="s">
        <v>26153</v>
      </c>
      <c r="P1516" s="49" t="s">
        <v>26164</v>
      </c>
      <c r="Q1516" s="49" t="s">
        <v>26175</v>
      </c>
      <c r="R1516" s="49" t="s">
        <v>26186</v>
      </c>
      <c r="S1516" s="49" t="s">
        <v>26197</v>
      </c>
      <c r="T1516" s="49" t="s">
        <v>26208</v>
      </c>
    </row>
    <row r="1517" spans="1:21" x14ac:dyDescent="0.2">
      <c r="A1517" s="49" t="s">
        <v>30</v>
      </c>
      <c r="D1517" s="49" t="s">
        <v>18255</v>
      </c>
      <c r="G1517" s="49" t="s">
        <v>18256</v>
      </c>
      <c r="H1517" s="49" t="s">
        <v>26132</v>
      </c>
      <c r="I1517" s="49" t="s">
        <v>26143</v>
      </c>
      <c r="J1517" s="49" t="s">
        <v>26220</v>
      </c>
      <c r="K1517" s="49" t="s">
        <v>26231</v>
      </c>
      <c r="L1517" s="49" t="s">
        <v>18257</v>
      </c>
      <c r="M1517" s="49" t="s">
        <v>18258</v>
      </c>
      <c r="N1517" s="49" t="s">
        <v>18259</v>
      </c>
      <c r="O1517" s="49" t="s">
        <v>26154</v>
      </c>
      <c r="P1517" s="49" t="s">
        <v>26165</v>
      </c>
      <c r="Q1517" s="49" t="s">
        <v>26176</v>
      </c>
      <c r="R1517" s="49" t="s">
        <v>26187</v>
      </c>
      <c r="S1517" s="49" t="s">
        <v>26198</v>
      </c>
      <c r="T1517" s="49" t="s">
        <v>26209</v>
      </c>
    </row>
    <row r="1518" spans="1:21" x14ac:dyDescent="0.2">
      <c r="A1518" s="49" t="s">
        <v>30</v>
      </c>
      <c r="D1518" s="49" t="s">
        <v>18260</v>
      </c>
      <c r="G1518" s="49" t="s">
        <v>18261</v>
      </c>
      <c r="H1518" s="49" t="s">
        <v>26133</v>
      </c>
      <c r="I1518" s="49" t="s">
        <v>26144</v>
      </c>
      <c r="J1518" s="49" t="s">
        <v>26221</v>
      </c>
      <c r="K1518" s="49" t="s">
        <v>26232</v>
      </c>
      <c r="L1518" s="49" t="s">
        <v>18262</v>
      </c>
      <c r="M1518" s="49" t="s">
        <v>18263</v>
      </c>
      <c r="N1518" s="49" t="s">
        <v>18264</v>
      </c>
      <c r="O1518" s="49" t="s">
        <v>26155</v>
      </c>
      <c r="P1518" s="49" t="s">
        <v>26166</v>
      </c>
      <c r="Q1518" s="49" t="s">
        <v>26177</v>
      </c>
      <c r="R1518" s="49" t="s">
        <v>26188</v>
      </c>
      <c r="S1518" s="49" t="s">
        <v>26199</v>
      </c>
      <c r="T1518" s="49" t="s">
        <v>26210</v>
      </c>
    </row>
    <row r="1519" spans="1:21" x14ac:dyDescent="0.2">
      <c r="A1519" s="49" t="s">
        <v>30</v>
      </c>
      <c r="D1519" s="49" t="s">
        <v>18265</v>
      </c>
      <c r="G1519" s="49" t="s">
        <v>18266</v>
      </c>
      <c r="H1519" s="49" t="s">
        <v>26134</v>
      </c>
      <c r="I1519" s="49" t="s">
        <v>26145</v>
      </c>
      <c r="J1519" s="49" t="s">
        <v>26222</v>
      </c>
      <c r="K1519" s="49" t="s">
        <v>26233</v>
      </c>
      <c r="L1519" s="49" t="s">
        <v>18267</v>
      </c>
      <c r="M1519" s="49" t="s">
        <v>18268</v>
      </c>
      <c r="N1519" s="49" t="s">
        <v>18269</v>
      </c>
      <c r="O1519" s="49" t="s">
        <v>26156</v>
      </c>
      <c r="P1519" s="49" t="s">
        <v>26167</v>
      </c>
      <c r="Q1519" s="49" t="s">
        <v>26178</v>
      </c>
      <c r="R1519" s="49" t="s">
        <v>26189</v>
      </c>
      <c r="S1519" s="49" t="s">
        <v>26200</v>
      </c>
      <c r="T1519" s="49" t="s">
        <v>26211</v>
      </c>
    </row>
    <row r="1520" spans="1:21" x14ac:dyDescent="0.2">
      <c r="A1520" s="49" t="s">
        <v>30</v>
      </c>
      <c r="D1520" s="49" t="s">
        <v>18270</v>
      </c>
      <c r="G1520" s="49" t="s">
        <v>18271</v>
      </c>
      <c r="H1520" s="49" t="s">
        <v>26135</v>
      </c>
      <c r="I1520" s="49" t="s">
        <v>26146</v>
      </c>
      <c r="J1520" s="49" t="s">
        <v>26223</v>
      </c>
      <c r="K1520" s="49" t="s">
        <v>26234</v>
      </c>
      <c r="L1520" s="49" t="s">
        <v>18272</v>
      </c>
      <c r="M1520" s="49" t="s">
        <v>18273</v>
      </c>
      <c r="N1520" s="49" t="s">
        <v>18274</v>
      </c>
      <c r="O1520" s="49" t="s">
        <v>26157</v>
      </c>
      <c r="P1520" s="49" t="s">
        <v>26168</v>
      </c>
      <c r="Q1520" s="49" t="s">
        <v>26179</v>
      </c>
      <c r="R1520" s="49" t="s">
        <v>26190</v>
      </c>
      <c r="S1520" s="49" t="s">
        <v>26201</v>
      </c>
      <c r="T1520" s="49" t="s">
        <v>26212</v>
      </c>
    </row>
    <row r="1521" spans="1:21" x14ac:dyDescent="0.2">
      <c r="A1521" s="49" t="s">
        <v>30</v>
      </c>
      <c r="D1521" s="49" t="s">
        <v>18275</v>
      </c>
      <c r="G1521" s="49" t="s">
        <v>18276</v>
      </c>
      <c r="H1521" s="49" t="s">
        <v>26136</v>
      </c>
      <c r="I1521" s="49" t="s">
        <v>26147</v>
      </c>
      <c r="J1521" s="49" t="s">
        <v>26224</v>
      </c>
      <c r="K1521" s="49" t="s">
        <v>26235</v>
      </c>
      <c r="L1521" s="49" t="s">
        <v>18277</v>
      </c>
      <c r="M1521" s="49" t="s">
        <v>18278</v>
      </c>
      <c r="N1521" s="49" t="s">
        <v>18279</v>
      </c>
      <c r="O1521" s="49" t="s">
        <v>26158</v>
      </c>
      <c r="P1521" s="49" t="s">
        <v>26169</v>
      </c>
      <c r="Q1521" s="49" t="s">
        <v>26180</v>
      </c>
      <c r="R1521" s="49" t="s">
        <v>26191</v>
      </c>
      <c r="S1521" s="49" t="s">
        <v>26202</v>
      </c>
      <c r="T1521" s="49" t="s">
        <v>26213</v>
      </c>
    </row>
    <row r="1522" spans="1:21" x14ac:dyDescent="0.2">
      <c r="A1522" s="49" t="s">
        <v>30</v>
      </c>
    </row>
    <row r="1523" spans="1:21" x14ac:dyDescent="0.2">
      <c r="A1523" s="49" t="s">
        <v>30</v>
      </c>
      <c r="E1523" s="49" t="s">
        <v>31</v>
      </c>
      <c r="F1523" s="49" t="s">
        <v>31</v>
      </c>
      <c r="G1523" s="49" t="s">
        <v>31</v>
      </c>
      <c r="J1523" s="49" t="s">
        <v>31</v>
      </c>
      <c r="K1523" s="49" t="s">
        <v>31</v>
      </c>
      <c r="L1523" s="49" t="s">
        <v>31</v>
      </c>
      <c r="M1523" s="49" t="s">
        <v>31</v>
      </c>
    </row>
    <row r="1524" spans="1:21" x14ac:dyDescent="0.2">
      <c r="A1524" s="49" t="s">
        <v>30</v>
      </c>
      <c r="D1524" s="49" t="s">
        <v>18280</v>
      </c>
      <c r="E1524" s="49" t="s">
        <v>7803</v>
      </c>
      <c r="F1524" s="49" t="s">
        <v>18281</v>
      </c>
      <c r="H1524" s="49" t="s">
        <v>18282</v>
      </c>
      <c r="O1524" s="49" t="s">
        <v>18283</v>
      </c>
      <c r="P1524" s="49" t="s">
        <v>18284</v>
      </c>
      <c r="Q1524" s="49" t="s">
        <v>18285</v>
      </c>
      <c r="R1524" s="49" t="s">
        <v>18286</v>
      </c>
      <c r="S1524" s="49" t="s">
        <v>18287</v>
      </c>
      <c r="T1524" s="49" t="s">
        <v>18288</v>
      </c>
      <c r="U1524" s="49" t="s">
        <v>18289</v>
      </c>
    </row>
    <row r="1525" spans="1:21" x14ac:dyDescent="0.2">
      <c r="A1525" s="49" t="s">
        <v>30</v>
      </c>
      <c r="D1525" s="49" t="s">
        <v>18290</v>
      </c>
      <c r="G1525" s="49" t="s">
        <v>18291</v>
      </c>
      <c r="H1525" s="49" t="s">
        <v>26036</v>
      </c>
      <c r="I1525" s="49" t="s">
        <v>26045</v>
      </c>
      <c r="J1525" s="49" t="s">
        <v>26108</v>
      </c>
      <c r="K1525" s="49" t="s">
        <v>26117</v>
      </c>
      <c r="L1525" s="49" t="s">
        <v>18292</v>
      </c>
      <c r="M1525" s="49" t="s">
        <v>18293</v>
      </c>
      <c r="N1525" s="49" t="s">
        <v>18294</v>
      </c>
      <c r="O1525" s="49" t="s">
        <v>26054</v>
      </c>
      <c r="P1525" s="49" t="s">
        <v>26063</v>
      </c>
      <c r="Q1525" s="49" t="s">
        <v>26072</v>
      </c>
      <c r="R1525" s="49" t="s">
        <v>26081</v>
      </c>
      <c r="S1525" s="49" t="s">
        <v>26090</v>
      </c>
      <c r="T1525" s="49" t="s">
        <v>26099</v>
      </c>
    </row>
    <row r="1526" spans="1:21" x14ac:dyDescent="0.2">
      <c r="A1526" s="49" t="s">
        <v>30</v>
      </c>
      <c r="D1526" s="49" t="s">
        <v>18295</v>
      </c>
      <c r="G1526" s="49" t="s">
        <v>18296</v>
      </c>
      <c r="H1526" s="49" t="s">
        <v>26037</v>
      </c>
      <c r="I1526" s="49" t="s">
        <v>26046</v>
      </c>
      <c r="J1526" s="49" t="s">
        <v>26109</v>
      </c>
      <c r="K1526" s="49" t="s">
        <v>26118</v>
      </c>
      <c r="L1526" s="49" t="s">
        <v>18297</v>
      </c>
      <c r="M1526" s="49" t="s">
        <v>18298</v>
      </c>
      <c r="N1526" s="49" t="s">
        <v>18299</v>
      </c>
      <c r="O1526" s="49" t="s">
        <v>26055</v>
      </c>
      <c r="P1526" s="49" t="s">
        <v>26064</v>
      </c>
      <c r="Q1526" s="49" t="s">
        <v>26073</v>
      </c>
      <c r="R1526" s="49" t="s">
        <v>26082</v>
      </c>
      <c r="S1526" s="49" t="s">
        <v>26091</v>
      </c>
      <c r="T1526" s="49" t="s">
        <v>26100</v>
      </c>
    </row>
    <row r="1527" spans="1:21" x14ac:dyDescent="0.2">
      <c r="A1527" s="49" t="s">
        <v>30</v>
      </c>
      <c r="D1527" s="49" t="s">
        <v>18300</v>
      </c>
      <c r="G1527" s="49" t="s">
        <v>18301</v>
      </c>
      <c r="H1527" s="49" t="s">
        <v>26038</v>
      </c>
      <c r="I1527" s="49" t="s">
        <v>26047</v>
      </c>
      <c r="J1527" s="49" t="s">
        <v>26110</v>
      </c>
      <c r="K1527" s="49" t="s">
        <v>26119</v>
      </c>
      <c r="L1527" s="49" t="s">
        <v>18302</v>
      </c>
      <c r="M1527" s="49" t="s">
        <v>18303</v>
      </c>
      <c r="N1527" s="49" t="s">
        <v>18304</v>
      </c>
      <c r="O1527" s="49" t="s">
        <v>26056</v>
      </c>
      <c r="P1527" s="49" t="s">
        <v>26065</v>
      </c>
      <c r="Q1527" s="49" t="s">
        <v>26074</v>
      </c>
      <c r="R1527" s="49" t="s">
        <v>26083</v>
      </c>
      <c r="S1527" s="49" t="s">
        <v>26092</v>
      </c>
      <c r="T1527" s="49" t="s">
        <v>26101</v>
      </c>
    </row>
    <row r="1528" spans="1:21" x14ac:dyDescent="0.2">
      <c r="A1528" s="49" t="s">
        <v>30</v>
      </c>
      <c r="D1528" s="49" t="s">
        <v>18305</v>
      </c>
      <c r="G1528" s="49" t="s">
        <v>18306</v>
      </c>
      <c r="H1528" s="49" t="s">
        <v>26039</v>
      </c>
      <c r="I1528" s="49" t="s">
        <v>26048</v>
      </c>
      <c r="J1528" s="49" t="s">
        <v>26111</v>
      </c>
      <c r="K1528" s="49" t="s">
        <v>26120</v>
      </c>
      <c r="L1528" s="49" t="s">
        <v>18307</v>
      </c>
      <c r="M1528" s="49" t="s">
        <v>18308</v>
      </c>
      <c r="N1528" s="49" t="s">
        <v>18309</v>
      </c>
      <c r="O1528" s="49" t="s">
        <v>26057</v>
      </c>
      <c r="P1528" s="49" t="s">
        <v>26066</v>
      </c>
      <c r="Q1528" s="49" t="s">
        <v>26075</v>
      </c>
      <c r="R1528" s="49" t="s">
        <v>26084</v>
      </c>
      <c r="S1528" s="49" t="s">
        <v>26093</v>
      </c>
      <c r="T1528" s="49" t="s">
        <v>26102</v>
      </c>
    </row>
    <row r="1529" spans="1:21" x14ac:dyDescent="0.2">
      <c r="A1529" s="49" t="s">
        <v>30</v>
      </c>
      <c r="D1529" s="49" t="s">
        <v>18310</v>
      </c>
      <c r="G1529" s="49" t="s">
        <v>18311</v>
      </c>
      <c r="H1529" s="49" t="s">
        <v>26040</v>
      </c>
      <c r="I1529" s="49" t="s">
        <v>26049</v>
      </c>
      <c r="J1529" s="49" t="s">
        <v>26112</v>
      </c>
      <c r="K1529" s="49" t="s">
        <v>26121</v>
      </c>
      <c r="L1529" s="49" t="s">
        <v>18312</v>
      </c>
      <c r="M1529" s="49" t="s">
        <v>18313</v>
      </c>
      <c r="N1529" s="49" t="s">
        <v>18314</v>
      </c>
      <c r="O1529" s="49" t="s">
        <v>26058</v>
      </c>
      <c r="P1529" s="49" t="s">
        <v>26067</v>
      </c>
      <c r="Q1529" s="49" t="s">
        <v>26076</v>
      </c>
      <c r="R1529" s="49" t="s">
        <v>26085</v>
      </c>
      <c r="S1529" s="49" t="s">
        <v>26094</v>
      </c>
      <c r="T1529" s="49" t="s">
        <v>26103</v>
      </c>
    </row>
    <row r="1530" spans="1:21" x14ac:dyDescent="0.2">
      <c r="A1530" s="49" t="s">
        <v>30</v>
      </c>
      <c r="D1530" s="49" t="s">
        <v>18315</v>
      </c>
      <c r="G1530" s="49" t="s">
        <v>18316</v>
      </c>
      <c r="H1530" s="49" t="s">
        <v>26041</v>
      </c>
      <c r="I1530" s="49" t="s">
        <v>26050</v>
      </c>
      <c r="J1530" s="49" t="s">
        <v>26113</v>
      </c>
      <c r="K1530" s="49" t="s">
        <v>26122</v>
      </c>
      <c r="L1530" s="49" t="s">
        <v>18317</v>
      </c>
      <c r="M1530" s="49" t="s">
        <v>18318</v>
      </c>
      <c r="N1530" s="49" t="s">
        <v>18319</v>
      </c>
      <c r="O1530" s="49" t="s">
        <v>26059</v>
      </c>
      <c r="P1530" s="49" t="s">
        <v>26068</v>
      </c>
      <c r="Q1530" s="49" t="s">
        <v>26077</v>
      </c>
      <c r="R1530" s="49" t="s">
        <v>26086</v>
      </c>
      <c r="S1530" s="49" t="s">
        <v>26095</v>
      </c>
      <c r="T1530" s="49" t="s">
        <v>26104</v>
      </c>
    </row>
    <row r="1531" spans="1:21" x14ac:dyDescent="0.2">
      <c r="A1531" s="49" t="s">
        <v>30</v>
      </c>
      <c r="D1531" s="49" t="s">
        <v>18320</v>
      </c>
      <c r="G1531" s="49" t="s">
        <v>18321</v>
      </c>
      <c r="H1531" s="49" t="s">
        <v>26042</v>
      </c>
      <c r="I1531" s="49" t="s">
        <v>26051</v>
      </c>
      <c r="J1531" s="49" t="s">
        <v>26114</v>
      </c>
      <c r="K1531" s="49" t="s">
        <v>26123</v>
      </c>
      <c r="L1531" s="49" t="s">
        <v>18322</v>
      </c>
      <c r="M1531" s="49" t="s">
        <v>18323</v>
      </c>
      <c r="N1531" s="49" t="s">
        <v>18324</v>
      </c>
      <c r="O1531" s="49" t="s">
        <v>26060</v>
      </c>
      <c r="P1531" s="49" t="s">
        <v>26069</v>
      </c>
      <c r="Q1531" s="49" t="s">
        <v>26078</v>
      </c>
      <c r="R1531" s="49" t="s">
        <v>26087</v>
      </c>
      <c r="S1531" s="49" t="s">
        <v>26096</v>
      </c>
      <c r="T1531" s="49" t="s">
        <v>26105</v>
      </c>
    </row>
    <row r="1532" spans="1:21" x14ac:dyDescent="0.2">
      <c r="A1532" s="49" t="s">
        <v>30</v>
      </c>
      <c r="D1532" s="49" t="s">
        <v>18325</v>
      </c>
      <c r="G1532" s="49" t="s">
        <v>18326</v>
      </c>
      <c r="H1532" s="49" t="s">
        <v>26043</v>
      </c>
      <c r="I1532" s="49" t="s">
        <v>26052</v>
      </c>
      <c r="J1532" s="49" t="s">
        <v>26115</v>
      </c>
      <c r="K1532" s="49" t="s">
        <v>26124</v>
      </c>
      <c r="L1532" s="49" t="s">
        <v>18327</v>
      </c>
      <c r="M1532" s="49" t="s">
        <v>18328</v>
      </c>
      <c r="N1532" s="49" t="s">
        <v>18329</v>
      </c>
      <c r="O1532" s="49" t="s">
        <v>26061</v>
      </c>
      <c r="P1532" s="49" t="s">
        <v>26070</v>
      </c>
      <c r="Q1532" s="49" t="s">
        <v>26079</v>
      </c>
      <c r="R1532" s="49" t="s">
        <v>26088</v>
      </c>
      <c r="S1532" s="49" t="s">
        <v>26097</v>
      </c>
      <c r="T1532" s="49" t="s">
        <v>26106</v>
      </c>
    </row>
    <row r="1533" spans="1:21" x14ac:dyDescent="0.2">
      <c r="A1533" s="49" t="s">
        <v>30</v>
      </c>
      <c r="D1533" s="49" t="s">
        <v>18330</v>
      </c>
      <c r="G1533" s="49" t="s">
        <v>18331</v>
      </c>
      <c r="H1533" s="49" t="s">
        <v>26044</v>
      </c>
      <c r="I1533" s="49" t="s">
        <v>26053</v>
      </c>
      <c r="J1533" s="49" t="s">
        <v>26116</v>
      </c>
      <c r="K1533" s="49" t="s">
        <v>26125</v>
      </c>
      <c r="L1533" s="49" t="s">
        <v>18332</v>
      </c>
      <c r="M1533" s="49" t="s">
        <v>18333</v>
      </c>
      <c r="N1533" s="49" t="s">
        <v>18334</v>
      </c>
      <c r="O1533" s="49" t="s">
        <v>26062</v>
      </c>
      <c r="P1533" s="49" t="s">
        <v>26071</v>
      </c>
      <c r="Q1533" s="49" t="s">
        <v>26080</v>
      </c>
      <c r="R1533" s="49" t="s">
        <v>26089</v>
      </c>
      <c r="S1533" s="49" t="s">
        <v>26098</v>
      </c>
      <c r="T1533" s="49" t="s">
        <v>26107</v>
      </c>
    </row>
    <row r="1534" spans="1:21" x14ac:dyDescent="0.2">
      <c r="A1534" s="49" t="s">
        <v>30</v>
      </c>
    </row>
    <row r="1535" spans="1:21" x14ac:dyDescent="0.2">
      <c r="A1535" s="49" t="s">
        <v>30</v>
      </c>
      <c r="E1535" s="49" t="s">
        <v>31</v>
      </c>
      <c r="F1535" s="49" t="s">
        <v>31</v>
      </c>
      <c r="G1535" s="49" t="s">
        <v>31</v>
      </c>
      <c r="J1535" s="49" t="s">
        <v>31</v>
      </c>
      <c r="K1535" s="49" t="s">
        <v>31</v>
      </c>
      <c r="L1535" s="49" t="s">
        <v>31</v>
      </c>
      <c r="M1535" s="49" t="s">
        <v>31</v>
      </c>
    </row>
    <row r="1536" spans="1:21" x14ac:dyDescent="0.2">
      <c r="A1536" s="49" t="s">
        <v>30</v>
      </c>
      <c r="D1536" s="49" t="s">
        <v>18335</v>
      </c>
      <c r="E1536" s="49" t="s">
        <v>18336</v>
      </c>
      <c r="F1536" s="49" t="s">
        <v>18337</v>
      </c>
      <c r="H1536" s="49" t="s">
        <v>18338</v>
      </c>
      <c r="O1536" s="49" t="s">
        <v>18339</v>
      </c>
      <c r="P1536" s="49" t="s">
        <v>18340</v>
      </c>
      <c r="Q1536" s="49" t="s">
        <v>18341</v>
      </c>
      <c r="R1536" s="49" t="s">
        <v>18342</v>
      </c>
      <c r="S1536" s="49" t="s">
        <v>18343</v>
      </c>
      <c r="T1536" s="49" t="s">
        <v>18344</v>
      </c>
      <c r="U1536" s="49" t="s">
        <v>18345</v>
      </c>
    </row>
    <row r="1537" spans="1:21" x14ac:dyDescent="0.2">
      <c r="A1537" s="49" t="s">
        <v>30</v>
      </c>
      <c r="D1537" s="49" t="s">
        <v>18346</v>
      </c>
      <c r="G1537" s="49" t="s">
        <v>18347</v>
      </c>
      <c r="H1537" s="49" t="s">
        <v>25926</v>
      </c>
      <c r="I1537" s="49" t="s">
        <v>25937</v>
      </c>
      <c r="J1537" s="49" t="s">
        <v>26014</v>
      </c>
      <c r="K1537" s="49" t="s">
        <v>26025</v>
      </c>
      <c r="L1537" s="49" t="s">
        <v>18348</v>
      </c>
      <c r="M1537" s="49" t="s">
        <v>18349</v>
      </c>
      <c r="N1537" s="49" t="s">
        <v>18350</v>
      </c>
      <c r="O1537" s="49" t="s">
        <v>25948</v>
      </c>
      <c r="P1537" s="49" t="s">
        <v>25959</v>
      </c>
      <c r="Q1537" s="49" t="s">
        <v>25970</v>
      </c>
      <c r="R1537" s="49" t="s">
        <v>25981</v>
      </c>
      <c r="S1537" s="49" t="s">
        <v>25992</v>
      </c>
      <c r="T1537" s="49" t="s">
        <v>26003</v>
      </c>
    </row>
    <row r="1538" spans="1:21" x14ac:dyDescent="0.2">
      <c r="A1538" s="49" t="s">
        <v>30</v>
      </c>
      <c r="D1538" s="49" t="s">
        <v>18351</v>
      </c>
      <c r="G1538" s="49" t="s">
        <v>18352</v>
      </c>
      <c r="H1538" s="49" t="s">
        <v>25927</v>
      </c>
      <c r="I1538" s="49" t="s">
        <v>25938</v>
      </c>
      <c r="J1538" s="49" t="s">
        <v>26015</v>
      </c>
      <c r="K1538" s="49" t="s">
        <v>26026</v>
      </c>
      <c r="L1538" s="49" t="s">
        <v>18353</v>
      </c>
      <c r="M1538" s="49" t="s">
        <v>18354</v>
      </c>
      <c r="N1538" s="49" t="s">
        <v>18355</v>
      </c>
      <c r="O1538" s="49" t="s">
        <v>25949</v>
      </c>
      <c r="P1538" s="49" t="s">
        <v>25960</v>
      </c>
      <c r="Q1538" s="49" t="s">
        <v>25971</v>
      </c>
      <c r="R1538" s="49" t="s">
        <v>25982</v>
      </c>
      <c r="S1538" s="49" t="s">
        <v>25993</v>
      </c>
      <c r="T1538" s="49" t="s">
        <v>26004</v>
      </c>
    </row>
    <row r="1539" spans="1:21" x14ac:dyDescent="0.2">
      <c r="A1539" s="49" t="s">
        <v>30</v>
      </c>
      <c r="D1539" s="49" t="s">
        <v>18356</v>
      </c>
      <c r="G1539" s="49" t="s">
        <v>18357</v>
      </c>
      <c r="H1539" s="49" t="s">
        <v>25928</v>
      </c>
      <c r="I1539" s="49" t="s">
        <v>25939</v>
      </c>
      <c r="J1539" s="49" t="s">
        <v>26016</v>
      </c>
      <c r="K1539" s="49" t="s">
        <v>26027</v>
      </c>
      <c r="L1539" s="49" t="s">
        <v>18358</v>
      </c>
      <c r="M1539" s="49" t="s">
        <v>18359</v>
      </c>
      <c r="N1539" s="49" t="s">
        <v>18360</v>
      </c>
      <c r="O1539" s="49" t="s">
        <v>25950</v>
      </c>
      <c r="P1539" s="49" t="s">
        <v>25961</v>
      </c>
      <c r="Q1539" s="49" t="s">
        <v>25972</v>
      </c>
      <c r="R1539" s="49" t="s">
        <v>25983</v>
      </c>
      <c r="S1539" s="49" t="s">
        <v>25994</v>
      </c>
      <c r="T1539" s="49" t="s">
        <v>26005</v>
      </c>
    </row>
    <row r="1540" spans="1:21" x14ac:dyDescent="0.2">
      <c r="A1540" s="49" t="s">
        <v>30</v>
      </c>
      <c r="D1540" s="49" t="s">
        <v>18361</v>
      </c>
      <c r="G1540" s="49" t="s">
        <v>18362</v>
      </c>
      <c r="H1540" s="49" t="s">
        <v>25929</v>
      </c>
      <c r="I1540" s="49" t="s">
        <v>25940</v>
      </c>
      <c r="J1540" s="49" t="s">
        <v>26017</v>
      </c>
      <c r="K1540" s="49" t="s">
        <v>26028</v>
      </c>
      <c r="L1540" s="49" t="s">
        <v>18363</v>
      </c>
      <c r="M1540" s="49" t="s">
        <v>18364</v>
      </c>
      <c r="N1540" s="49" t="s">
        <v>18365</v>
      </c>
      <c r="O1540" s="49" t="s">
        <v>25951</v>
      </c>
      <c r="P1540" s="49" t="s">
        <v>25962</v>
      </c>
      <c r="Q1540" s="49" t="s">
        <v>25973</v>
      </c>
      <c r="R1540" s="49" t="s">
        <v>25984</v>
      </c>
      <c r="S1540" s="49" t="s">
        <v>25995</v>
      </c>
      <c r="T1540" s="49" t="s">
        <v>26006</v>
      </c>
    </row>
    <row r="1541" spans="1:21" x14ac:dyDescent="0.2">
      <c r="A1541" s="49" t="s">
        <v>30</v>
      </c>
      <c r="D1541" s="49" t="s">
        <v>18366</v>
      </c>
      <c r="G1541" s="49" t="s">
        <v>18367</v>
      </c>
      <c r="H1541" s="49" t="s">
        <v>25930</v>
      </c>
      <c r="I1541" s="49" t="s">
        <v>25941</v>
      </c>
      <c r="J1541" s="49" t="s">
        <v>26018</v>
      </c>
      <c r="K1541" s="49" t="s">
        <v>26029</v>
      </c>
      <c r="L1541" s="49" t="s">
        <v>18368</v>
      </c>
      <c r="M1541" s="49" t="s">
        <v>18369</v>
      </c>
      <c r="N1541" s="49" t="s">
        <v>18370</v>
      </c>
      <c r="O1541" s="49" t="s">
        <v>25952</v>
      </c>
      <c r="P1541" s="49" t="s">
        <v>25963</v>
      </c>
      <c r="Q1541" s="49" t="s">
        <v>25974</v>
      </c>
      <c r="R1541" s="49" t="s">
        <v>25985</v>
      </c>
      <c r="S1541" s="49" t="s">
        <v>25996</v>
      </c>
      <c r="T1541" s="49" t="s">
        <v>26007</v>
      </c>
    </row>
    <row r="1542" spans="1:21" x14ac:dyDescent="0.2">
      <c r="A1542" s="49" t="s">
        <v>30</v>
      </c>
      <c r="D1542" s="49" t="s">
        <v>18371</v>
      </c>
      <c r="G1542" s="49" t="s">
        <v>18372</v>
      </c>
      <c r="H1542" s="49" t="s">
        <v>25931</v>
      </c>
      <c r="I1542" s="49" t="s">
        <v>25942</v>
      </c>
      <c r="J1542" s="49" t="s">
        <v>26019</v>
      </c>
      <c r="K1542" s="49" t="s">
        <v>26030</v>
      </c>
      <c r="L1542" s="49" t="s">
        <v>18373</v>
      </c>
      <c r="M1542" s="49" t="s">
        <v>18374</v>
      </c>
      <c r="N1542" s="49" t="s">
        <v>18375</v>
      </c>
      <c r="O1542" s="49" t="s">
        <v>25953</v>
      </c>
      <c r="P1542" s="49" t="s">
        <v>25964</v>
      </c>
      <c r="Q1542" s="49" t="s">
        <v>25975</v>
      </c>
      <c r="R1542" s="49" t="s">
        <v>25986</v>
      </c>
      <c r="S1542" s="49" t="s">
        <v>25997</v>
      </c>
      <c r="T1542" s="49" t="s">
        <v>26008</v>
      </c>
    </row>
    <row r="1543" spans="1:21" x14ac:dyDescent="0.2">
      <c r="A1543" s="49" t="s">
        <v>30</v>
      </c>
      <c r="D1543" s="49" t="s">
        <v>18376</v>
      </c>
      <c r="G1543" s="49" t="s">
        <v>18377</v>
      </c>
      <c r="H1543" s="49" t="s">
        <v>25932</v>
      </c>
      <c r="I1543" s="49" t="s">
        <v>25943</v>
      </c>
      <c r="J1543" s="49" t="s">
        <v>26020</v>
      </c>
      <c r="K1543" s="49" t="s">
        <v>26031</v>
      </c>
      <c r="L1543" s="49" t="s">
        <v>18378</v>
      </c>
      <c r="M1543" s="49" t="s">
        <v>18379</v>
      </c>
      <c r="N1543" s="49" t="s">
        <v>18380</v>
      </c>
      <c r="O1543" s="49" t="s">
        <v>25954</v>
      </c>
      <c r="P1543" s="49" t="s">
        <v>25965</v>
      </c>
      <c r="Q1543" s="49" t="s">
        <v>25976</v>
      </c>
      <c r="R1543" s="49" t="s">
        <v>25987</v>
      </c>
      <c r="S1543" s="49" t="s">
        <v>25998</v>
      </c>
      <c r="T1543" s="49" t="s">
        <v>26009</v>
      </c>
    </row>
    <row r="1544" spans="1:21" x14ac:dyDescent="0.2">
      <c r="A1544" s="49" t="s">
        <v>30</v>
      </c>
      <c r="D1544" s="49" t="s">
        <v>18381</v>
      </c>
      <c r="G1544" s="49" t="s">
        <v>18382</v>
      </c>
      <c r="H1544" s="49" t="s">
        <v>25933</v>
      </c>
      <c r="I1544" s="49" t="s">
        <v>25944</v>
      </c>
      <c r="J1544" s="49" t="s">
        <v>26021</v>
      </c>
      <c r="K1544" s="49" t="s">
        <v>26032</v>
      </c>
      <c r="L1544" s="49" t="s">
        <v>18383</v>
      </c>
      <c r="M1544" s="49" t="s">
        <v>18384</v>
      </c>
      <c r="N1544" s="49" t="s">
        <v>18385</v>
      </c>
      <c r="O1544" s="49" t="s">
        <v>25955</v>
      </c>
      <c r="P1544" s="49" t="s">
        <v>25966</v>
      </c>
      <c r="Q1544" s="49" t="s">
        <v>25977</v>
      </c>
      <c r="R1544" s="49" t="s">
        <v>25988</v>
      </c>
      <c r="S1544" s="49" t="s">
        <v>25999</v>
      </c>
      <c r="T1544" s="49" t="s">
        <v>26010</v>
      </c>
    </row>
    <row r="1545" spans="1:21" x14ac:dyDescent="0.2">
      <c r="A1545" s="49" t="s">
        <v>30</v>
      </c>
      <c r="D1545" s="49" t="s">
        <v>18386</v>
      </c>
      <c r="G1545" s="49" t="s">
        <v>18387</v>
      </c>
      <c r="H1545" s="49" t="s">
        <v>25934</v>
      </c>
      <c r="I1545" s="49" t="s">
        <v>25945</v>
      </c>
      <c r="J1545" s="49" t="s">
        <v>26022</v>
      </c>
      <c r="K1545" s="49" t="s">
        <v>26033</v>
      </c>
      <c r="L1545" s="49" t="s">
        <v>18388</v>
      </c>
      <c r="M1545" s="49" t="s">
        <v>18389</v>
      </c>
      <c r="N1545" s="49" t="s">
        <v>18390</v>
      </c>
      <c r="O1545" s="49" t="s">
        <v>25956</v>
      </c>
      <c r="P1545" s="49" t="s">
        <v>25967</v>
      </c>
      <c r="Q1545" s="49" t="s">
        <v>25978</v>
      </c>
      <c r="R1545" s="49" t="s">
        <v>25989</v>
      </c>
      <c r="S1545" s="49" t="s">
        <v>26000</v>
      </c>
      <c r="T1545" s="49" t="s">
        <v>26011</v>
      </c>
    </row>
    <row r="1546" spans="1:21" x14ac:dyDescent="0.2">
      <c r="A1546" s="49" t="s">
        <v>30</v>
      </c>
      <c r="D1546" s="49" t="s">
        <v>18391</v>
      </c>
      <c r="G1546" s="49" t="s">
        <v>18392</v>
      </c>
      <c r="H1546" s="49" t="s">
        <v>25935</v>
      </c>
      <c r="I1546" s="49" t="s">
        <v>25946</v>
      </c>
      <c r="J1546" s="49" t="s">
        <v>26023</v>
      </c>
      <c r="K1546" s="49" t="s">
        <v>26034</v>
      </c>
      <c r="L1546" s="49" t="s">
        <v>18393</v>
      </c>
      <c r="M1546" s="49" t="s">
        <v>18394</v>
      </c>
      <c r="N1546" s="49" t="s">
        <v>18395</v>
      </c>
      <c r="O1546" s="49" t="s">
        <v>25957</v>
      </c>
      <c r="P1546" s="49" t="s">
        <v>25968</v>
      </c>
      <c r="Q1546" s="49" t="s">
        <v>25979</v>
      </c>
      <c r="R1546" s="49" t="s">
        <v>25990</v>
      </c>
      <c r="S1546" s="49" t="s">
        <v>26001</v>
      </c>
      <c r="T1546" s="49" t="s">
        <v>26012</v>
      </c>
    </row>
    <row r="1547" spans="1:21" x14ac:dyDescent="0.2">
      <c r="A1547" s="49" t="s">
        <v>30</v>
      </c>
      <c r="D1547" s="49" t="s">
        <v>18396</v>
      </c>
      <c r="G1547" s="49" t="s">
        <v>18397</v>
      </c>
      <c r="H1547" s="49" t="s">
        <v>25936</v>
      </c>
      <c r="I1547" s="49" t="s">
        <v>25947</v>
      </c>
      <c r="J1547" s="49" t="s">
        <v>26024</v>
      </c>
      <c r="K1547" s="49" t="s">
        <v>26035</v>
      </c>
      <c r="L1547" s="49" t="s">
        <v>18398</v>
      </c>
      <c r="M1547" s="49" t="s">
        <v>18399</v>
      </c>
      <c r="N1547" s="49" t="s">
        <v>18400</v>
      </c>
      <c r="O1547" s="49" t="s">
        <v>25958</v>
      </c>
      <c r="P1547" s="49" t="s">
        <v>25969</v>
      </c>
      <c r="Q1547" s="49" t="s">
        <v>25980</v>
      </c>
      <c r="R1547" s="49" t="s">
        <v>25991</v>
      </c>
      <c r="S1547" s="49" t="s">
        <v>26002</v>
      </c>
      <c r="T1547" s="49" t="s">
        <v>26013</v>
      </c>
    </row>
    <row r="1548" spans="1:21" x14ac:dyDescent="0.2">
      <c r="A1548" s="49" t="s">
        <v>30</v>
      </c>
    </row>
    <row r="1549" spans="1:21" x14ac:dyDescent="0.2">
      <c r="A1549" s="49" t="s">
        <v>30</v>
      </c>
      <c r="E1549" s="49" t="s">
        <v>31</v>
      </c>
      <c r="F1549" s="49" t="s">
        <v>31</v>
      </c>
      <c r="G1549" s="49" t="s">
        <v>31</v>
      </c>
      <c r="J1549" s="49" t="s">
        <v>31</v>
      </c>
      <c r="K1549" s="49" t="s">
        <v>31</v>
      </c>
      <c r="L1549" s="49" t="s">
        <v>31</v>
      </c>
      <c r="M1549" s="49" t="s">
        <v>31</v>
      </c>
    </row>
    <row r="1550" spans="1:21" x14ac:dyDescent="0.2">
      <c r="A1550" s="49" t="s">
        <v>30</v>
      </c>
      <c r="D1550" s="49" t="s">
        <v>18401</v>
      </c>
      <c r="E1550" s="49" t="s">
        <v>7818</v>
      </c>
      <c r="F1550" s="49" t="s">
        <v>18402</v>
      </c>
      <c r="H1550" s="49" t="s">
        <v>18403</v>
      </c>
      <c r="O1550" s="49" t="s">
        <v>18404</v>
      </c>
      <c r="P1550" s="49" t="s">
        <v>18405</v>
      </c>
      <c r="Q1550" s="49" t="s">
        <v>18406</v>
      </c>
      <c r="R1550" s="49" t="s">
        <v>18407</v>
      </c>
      <c r="S1550" s="49" t="s">
        <v>18408</v>
      </c>
      <c r="T1550" s="49" t="s">
        <v>18409</v>
      </c>
      <c r="U1550" s="49" t="s">
        <v>18410</v>
      </c>
    </row>
    <row r="1551" spans="1:21" x14ac:dyDescent="0.2">
      <c r="A1551" s="49" t="s">
        <v>30</v>
      </c>
      <c r="D1551" s="49" t="s">
        <v>18411</v>
      </c>
      <c r="G1551" s="49" t="s">
        <v>18412</v>
      </c>
      <c r="H1551" s="49" t="s">
        <v>25806</v>
      </c>
      <c r="I1551" s="49" t="s">
        <v>25818</v>
      </c>
      <c r="J1551" s="49" t="s">
        <v>25902</v>
      </c>
      <c r="K1551" s="49" t="s">
        <v>25914</v>
      </c>
      <c r="L1551" s="49" t="s">
        <v>18413</v>
      </c>
      <c r="M1551" s="49" t="s">
        <v>18414</v>
      </c>
      <c r="N1551" s="49" t="s">
        <v>18415</v>
      </c>
      <c r="O1551" s="49" t="s">
        <v>25830</v>
      </c>
      <c r="P1551" s="49" t="s">
        <v>25842</v>
      </c>
      <c r="Q1551" s="49" t="s">
        <v>25854</v>
      </c>
      <c r="R1551" s="49" t="s">
        <v>25866</v>
      </c>
      <c r="S1551" s="49" t="s">
        <v>25878</v>
      </c>
      <c r="T1551" s="49" t="s">
        <v>25890</v>
      </c>
    </row>
    <row r="1552" spans="1:21" x14ac:dyDescent="0.2">
      <c r="A1552" s="49" t="s">
        <v>30</v>
      </c>
      <c r="D1552" s="49" t="s">
        <v>18416</v>
      </c>
      <c r="G1552" s="49" t="s">
        <v>18417</v>
      </c>
      <c r="H1552" s="49" t="s">
        <v>25807</v>
      </c>
      <c r="I1552" s="49" t="s">
        <v>25819</v>
      </c>
      <c r="J1552" s="49" t="s">
        <v>25903</v>
      </c>
      <c r="K1552" s="49" t="s">
        <v>25915</v>
      </c>
      <c r="L1552" s="49" t="s">
        <v>18418</v>
      </c>
      <c r="M1552" s="49" t="s">
        <v>18419</v>
      </c>
      <c r="N1552" s="49" t="s">
        <v>18420</v>
      </c>
      <c r="O1552" s="49" t="s">
        <v>25831</v>
      </c>
      <c r="P1552" s="49" t="s">
        <v>25843</v>
      </c>
      <c r="Q1552" s="49" t="s">
        <v>25855</v>
      </c>
      <c r="R1552" s="49" t="s">
        <v>25867</v>
      </c>
      <c r="S1552" s="49" t="s">
        <v>25879</v>
      </c>
      <c r="T1552" s="49" t="s">
        <v>25891</v>
      </c>
    </row>
    <row r="1553" spans="1:21" x14ac:dyDescent="0.2">
      <c r="A1553" s="49" t="s">
        <v>30</v>
      </c>
      <c r="D1553" s="49" t="s">
        <v>18421</v>
      </c>
      <c r="G1553" s="49" t="s">
        <v>18422</v>
      </c>
      <c r="H1553" s="49" t="s">
        <v>25808</v>
      </c>
      <c r="I1553" s="49" t="s">
        <v>25820</v>
      </c>
      <c r="J1553" s="49" t="s">
        <v>25904</v>
      </c>
      <c r="K1553" s="49" t="s">
        <v>25916</v>
      </c>
      <c r="L1553" s="49" t="s">
        <v>18423</v>
      </c>
      <c r="M1553" s="49" t="s">
        <v>18424</v>
      </c>
      <c r="N1553" s="49" t="s">
        <v>18425</v>
      </c>
      <c r="O1553" s="49" t="s">
        <v>25832</v>
      </c>
      <c r="P1553" s="49" t="s">
        <v>25844</v>
      </c>
      <c r="Q1553" s="49" t="s">
        <v>25856</v>
      </c>
      <c r="R1553" s="49" t="s">
        <v>25868</v>
      </c>
      <c r="S1553" s="49" t="s">
        <v>25880</v>
      </c>
      <c r="T1553" s="49" t="s">
        <v>25892</v>
      </c>
    </row>
    <row r="1554" spans="1:21" x14ac:dyDescent="0.2">
      <c r="A1554" s="49" t="s">
        <v>30</v>
      </c>
      <c r="D1554" s="49" t="s">
        <v>18426</v>
      </c>
      <c r="G1554" s="49" t="s">
        <v>18427</v>
      </c>
      <c r="H1554" s="49" t="s">
        <v>25809</v>
      </c>
      <c r="I1554" s="49" t="s">
        <v>25821</v>
      </c>
      <c r="J1554" s="49" t="s">
        <v>25905</v>
      </c>
      <c r="K1554" s="49" t="s">
        <v>25917</v>
      </c>
      <c r="L1554" s="49" t="s">
        <v>18428</v>
      </c>
      <c r="M1554" s="49" t="s">
        <v>18429</v>
      </c>
      <c r="N1554" s="49" t="s">
        <v>18430</v>
      </c>
      <c r="O1554" s="49" t="s">
        <v>25833</v>
      </c>
      <c r="P1554" s="49" t="s">
        <v>25845</v>
      </c>
      <c r="Q1554" s="49" t="s">
        <v>25857</v>
      </c>
      <c r="R1554" s="49" t="s">
        <v>25869</v>
      </c>
      <c r="S1554" s="49" t="s">
        <v>25881</v>
      </c>
      <c r="T1554" s="49" t="s">
        <v>25893</v>
      </c>
    </row>
    <row r="1555" spans="1:21" x14ac:dyDescent="0.2">
      <c r="A1555" s="49" t="s">
        <v>30</v>
      </c>
      <c r="D1555" s="49" t="s">
        <v>18431</v>
      </c>
      <c r="G1555" s="49" t="s">
        <v>18432</v>
      </c>
      <c r="H1555" s="49" t="s">
        <v>25810</v>
      </c>
      <c r="I1555" s="49" t="s">
        <v>25822</v>
      </c>
      <c r="J1555" s="49" t="s">
        <v>25906</v>
      </c>
      <c r="K1555" s="49" t="s">
        <v>25918</v>
      </c>
      <c r="L1555" s="49" t="s">
        <v>18433</v>
      </c>
      <c r="M1555" s="49" t="s">
        <v>18434</v>
      </c>
      <c r="N1555" s="49" t="s">
        <v>18435</v>
      </c>
      <c r="O1555" s="49" t="s">
        <v>25834</v>
      </c>
      <c r="P1555" s="49" t="s">
        <v>25846</v>
      </c>
      <c r="Q1555" s="49" t="s">
        <v>25858</v>
      </c>
      <c r="R1555" s="49" t="s">
        <v>25870</v>
      </c>
      <c r="S1555" s="49" t="s">
        <v>25882</v>
      </c>
      <c r="T1555" s="49" t="s">
        <v>25894</v>
      </c>
    </row>
    <row r="1556" spans="1:21" x14ac:dyDescent="0.2">
      <c r="A1556" s="49" t="s">
        <v>30</v>
      </c>
      <c r="D1556" s="49" t="s">
        <v>18436</v>
      </c>
      <c r="G1556" s="49" t="s">
        <v>18437</v>
      </c>
      <c r="H1556" s="49" t="s">
        <v>25811</v>
      </c>
      <c r="I1556" s="49" t="s">
        <v>25823</v>
      </c>
      <c r="J1556" s="49" t="s">
        <v>25907</v>
      </c>
      <c r="K1556" s="49" t="s">
        <v>25919</v>
      </c>
      <c r="L1556" s="49" t="s">
        <v>18438</v>
      </c>
      <c r="M1556" s="49" t="s">
        <v>18439</v>
      </c>
      <c r="N1556" s="49" t="s">
        <v>18440</v>
      </c>
      <c r="O1556" s="49" t="s">
        <v>25835</v>
      </c>
      <c r="P1556" s="49" t="s">
        <v>25847</v>
      </c>
      <c r="Q1556" s="49" t="s">
        <v>25859</v>
      </c>
      <c r="R1556" s="49" t="s">
        <v>25871</v>
      </c>
      <c r="S1556" s="49" t="s">
        <v>25883</v>
      </c>
      <c r="T1556" s="49" t="s">
        <v>25895</v>
      </c>
    </row>
    <row r="1557" spans="1:21" x14ac:dyDescent="0.2">
      <c r="A1557" s="49" t="s">
        <v>30</v>
      </c>
      <c r="D1557" s="49" t="s">
        <v>18441</v>
      </c>
      <c r="G1557" s="49" t="s">
        <v>18442</v>
      </c>
      <c r="H1557" s="49" t="s">
        <v>25812</v>
      </c>
      <c r="I1557" s="49" t="s">
        <v>25824</v>
      </c>
      <c r="J1557" s="49" t="s">
        <v>25908</v>
      </c>
      <c r="K1557" s="49" t="s">
        <v>25920</v>
      </c>
      <c r="L1557" s="49" t="s">
        <v>18443</v>
      </c>
      <c r="M1557" s="49" t="s">
        <v>18444</v>
      </c>
      <c r="N1557" s="49" t="s">
        <v>18445</v>
      </c>
      <c r="O1557" s="49" t="s">
        <v>25836</v>
      </c>
      <c r="P1557" s="49" t="s">
        <v>25848</v>
      </c>
      <c r="Q1557" s="49" t="s">
        <v>25860</v>
      </c>
      <c r="R1557" s="49" t="s">
        <v>25872</v>
      </c>
      <c r="S1557" s="49" t="s">
        <v>25884</v>
      </c>
      <c r="T1557" s="49" t="s">
        <v>25896</v>
      </c>
    </row>
    <row r="1558" spans="1:21" x14ac:dyDescent="0.2">
      <c r="A1558" s="49" t="s">
        <v>30</v>
      </c>
      <c r="D1558" s="49" t="s">
        <v>18446</v>
      </c>
      <c r="G1558" s="49" t="s">
        <v>18447</v>
      </c>
      <c r="H1558" s="49" t="s">
        <v>25813</v>
      </c>
      <c r="I1558" s="49" t="s">
        <v>25825</v>
      </c>
      <c r="J1558" s="49" t="s">
        <v>25909</v>
      </c>
      <c r="K1558" s="49" t="s">
        <v>25921</v>
      </c>
      <c r="L1558" s="49" t="s">
        <v>18448</v>
      </c>
      <c r="M1558" s="49" t="s">
        <v>18449</v>
      </c>
      <c r="N1558" s="49" t="s">
        <v>18450</v>
      </c>
      <c r="O1558" s="49" t="s">
        <v>25837</v>
      </c>
      <c r="P1558" s="49" t="s">
        <v>25849</v>
      </c>
      <c r="Q1558" s="49" t="s">
        <v>25861</v>
      </c>
      <c r="R1558" s="49" t="s">
        <v>25873</v>
      </c>
      <c r="S1558" s="49" t="s">
        <v>25885</v>
      </c>
      <c r="T1558" s="49" t="s">
        <v>25897</v>
      </c>
    </row>
    <row r="1559" spans="1:21" x14ac:dyDescent="0.2">
      <c r="A1559" s="49" t="s">
        <v>30</v>
      </c>
      <c r="D1559" s="49" t="s">
        <v>18451</v>
      </c>
      <c r="G1559" s="49" t="s">
        <v>18452</v>
      </c>
      <c r="H1559" s="49" t="s">
        <v>25814</v>
      </c>
      <c r="I1559" s="49" t="s">
        <v>25826</v>
      </c>
      <c r="J1559" s="49" t="s">
        <v>25910</v>
      </c>
      <c r="K1559" s="49" t="s">
        <v>25922</v>
      </c>
      <c r="L1559" s="49" t="s">
        <v>18453</v>
      </c>
      <c r="M1559" s="49" t="s">
        <v>18454</v>
      </c>
      <c r="N1559" s="49" t="s">
        <v>18455</v>
      </c>
      <c r="O1559" s="49" t="s">
        <v>25838</v>
      </c>
      <c r="P1559" s="49" t="s">
        <v>25850</v>
      </c>
      <c r="Q1559" s="49" t="s">
        <v>25862</v>
      </c>
      <c r="R1559" s="49" t="s">
        <v>25874</v>
      </c>
      <c r="S1559" s="49" t="s">
        <v>25886</v>
      </c>
      <c r="T1559" s="49" t="s">
        <v>25898</v>
      </c>
    </row>
    <row r="1560" spans="1:21" x14ac:dyDescent="0.2">
      <c r="A1560" s="49" t="s">
        <v>30</v>
      </c>
      <c r="D1560" s="49" t="s">
        <v>18456</v>
      </c>
      <c r="G1560" s="49" t="s">
        <v>18457</v>
      </c>
      <c r="H1560" s="49" t="s">
        <v>25815</v>
      </c>
      <c r="I1560" s="49" t="s">
        <v>25827</v>
      </c>
      <c r="J1560" s="49" t="s">
        <v>25911</v>
      </c>
      <c r="K1560" s="49" t="s">
        <v>25923</v>
      </c>
      <c r="L1560" s="49" t="s">
        <v>18458</v>
      </c>
      <c r="M1560" s="49" t="s">
        <v>18459</v>
      </c>
      <c r="N1560" s="49" t="s">
        <v>18460</v>
      </c>
      <c r="O1560" s="49" t="s">
        <v>25839</v>
      </c>
      <c r="P1560" s="49" t="s">
        <v>25851</v>
      </c>
      <c r="Q1560" s="49" t="s">
        <v>25863</v>
      </c>
      <c r="R1560" s="49" t="s">
        <v>25875</v>
      </c>
      <c r="S1560" s="49" t="s">
        <v>25887</v>
      </c>
      <c r="T1560" s="49" t="s">
        <v>25899</v>
      </c>
    </row>
    <row r="1561" spans="1:21" x14ac:dyDescent="0.2">
      <c r="A1561" s="49" t="s">
        <v>30</v>
      </c>
      <c r="D1561" s="49" t="s">
        <v>18461</v>
      </c>
      <c r="G1561" s="49" t="s">
        <v>18462</v>
      </c>
      <c r="H1561" s="49" t="s">
        <v>25816</v>
      </c>
      <c r="I1561" s="49" t="s">
        <v>25828</v>
      </c>
      <c r="J1561" s="49" t="s">
        <v>25912</v>
      </c>
      <c r="K1561" s="49" t="s">
        <v>25924</v>
      </c>
      <c r="L1561" s="49" t="s">
        <v>18463</v>
      </c>
      <c r="M1561" s="49" t="s">
        <v>18464</v>
      </c>
      <c r="N1561" s="49" t="s">
        <v>18465</v>
      </c>
      <c r="O1561" s="49" t="s">
        <v>25840</v>
      </c>
      <c r="P1561" s="49" t="s">
        <v>25852</v>
      </c>
      <c r="Q1561" s="49" t="s">
        <v>25864</v>
      </c>
      <c r="R1561" s="49" t="s">
        <v>25876</v>
      </c>
      <c r="S1561" s="49" t="s">
        <v>25888</v>
      </c>
      <c r="T1561" s="49" t="s">
        <v>25900</v>
      </c>
    </row>
    <row r="1562" spans="1:21" x14ac:dyDescent="0.2">
      <c r="A1562" s="49" t="s">
        <v>30</v>
      </c>
      <c r="D1562" s="49" t="s">
        <v>18466</v>
      </c>
      <c r="G1562" s="49" t="s">
        <v>18467</v>
      </c>
      <c r="H1562" s="49" t="s">
        <v>25817</v>
      </c>
      <c r="I1562" s="49" t="s">
        <v>25829</v>
      </c>
      <c r="J1562" s="49" t="s">
        <v>25913</v>
      </c>
      <c r="K1562" s="49" t="s">
        <v>25925</v>
      </c>
      <c r="L1562" s="49" t="s">
        <v>18468</v>
      </c>
      <c r="M1562" s="49" t="s">
        <v>18469</v>
      </c>
      <c r="N1562" s="49" t="s">
        <v>18470</v>
      </c>
      <c r="O1562" s="49" t="s">
        <v>25841</v>
      </c>
      <c r="P1562" s="49" t="s">
        <v>25853</v>
      </c>
      <c r="Q1562" s="49" t="s">
        <v>25865</v>
      </c>
      <c r="R1562" s="49" t="s">
        <v>25877</v>
      </c>
      <c r="S1562" s="49" t="s">
        <v>25889</v>
      </c>
      <c r="T1562" s="49" t="s">
        <v>25901</v>
      </c>
    </row>
    <row r="1563" spans="1:21" x14ac:dyDescent="0.2">
      <c r="A1563" s="49" t="s">
        <v>30</v>
      </c>
    </row>
    <row r="1564" spans="1:21" x14ac:dyDescent="0.2">
      <c r="A1564" s="49" t="s">
        <v>30</v>
      </c>
      <c r="E1564" s="49" t="s">
        <v>31</v>
      </c>
      <c r="F1564" s="49" t="s">
        <v>31</v>
      </c>
      <c r="G1564" s="49" t="s">
        <v>31</v>
      </c>
      <c r="J1564" s="49" t="s">
        <v>31</v>
      </c>
      <c r="K1564" s="49" t="s">
        <v>31</v>
      </c>
      <c r="L1564" s="49" t="s">
        <v>31</v>
      </c>
      <c r="M1564" s="49" t="s">
        <v>31</v>
      </c>
    </row>
    <row r="1565" spans="1:21" x14ac:dyDescent="0.2">
      <c r="A1565" s="49" t="s">
        <v>30</v>
      </c>
      <c r="D1565" s="49" t="s">
        <v>18471</v>
      </c>
      <c r="E1565" s="49" t="s">
        <v>7819</v>
      </c>
      <c r="F1565" s="49" t="s">
        <v>18472</v>
      </c>
      <c r="H1565" s="49" t="s">
        <v>18473</v>
      </c>
      <c r="O1565" s="49" t="s">
        <v>18474</v>
      </c>
      <c r="P1565" s="49" t="s">
        <v>18475</v>
      </c>
      <c r="Q1565" s="49" t="s">
        <v>18476</v>
      </c>
      <c r="R1565" s="49" t="s">
        <v>18477</v>
      </c>
      <c r="S1565" s="49" t="s">
        <v>18478</v>
      </c>
      <c r="T1565" s="49" t="s">
        <v>18479</v>
      </c>
      <c r="U1565" s="49" t="s">
        <v>18480</v>
      </c>
    </row>
    <row r="1566" spans="1:21" x14ac:dyDescent="0.2">
      <c r="A1566" s="49" t="s">
        <v>30</v>
      </c>
      <c r="D1566" s="49" t="s">
        <v>18481</v>
      </c>
      <c r="G1566" s="49" t="s">
        <v>18482</v>
      </c>
      <c r="H1566" s="49" t="s">
        <v>25736</v>
      </c>
      <c r="I1566" s="49" t="s">
        <v>25743</v>
      </c>
      <c r="J1566" s="49" t="s">
        <v>25792</v>
      </c>
      <c r="K1566" s="49" t="s">
        <v>25799</v>
      </c>
      <c r="L1566" s="49" t="s">
        <v>18483</v>
      </c>
      <c r="M1566" s="49" t="s">
        <v>18484</v>
      </c>
      <c r="N1566" s="49" t="s">
        <v>18485</v>
      </c>
      <c r="O1566" s="49" t="s">
        <v>25750</v>
      </c>
      <c r="P1566" s="49" t="s">
        <v>25757</v>
      </c>
      <c r="Q1566" s="49" t="s">
        <v>25764</v>
      </c>
      <c r="R1566" s="49" t="s">
        <v>25771</v>
      </c>
      <c r="S1566" s="49" t="s">
        <v>25778</v>
      </c>
      <c r="T1566" s="49" t="s">
        <v>25785</v>
      </c>
    </row>
    <row r="1567" spans="1:21" x14ac:dyDescent="0.2">
      <c r="A1567" s="49" t="s">
        <v>30</v>
      </c>
      <c r="D1567" s="49" t="s">
        <v>18486</v>
      </c>
      <c r="G1567" s="49" t="s">
        <v>18487</v>
      </c>
      <c r="H1567" s="49" t="s">
        <v>25737</v>
      </c>
      <c r="I1567" s="49" t="s">
        <v>25744</v>
      </c>
      <c r="J1567" s="49" t="s">
        <v>25793</v>
      </c>
      <c r="K1567" s="49" t="s">
        <v>25800</v>
      </c>
      <c r="L1567" s="49" t="s">
        <v>18488</v>
      </c>
      <c r="M1567" s="49" t="s">
        <v>18489</v>
      </c>
      <c r="N1567" s="49" t="s">
        <v>18490</v>
      </c>
      <c r="O1567" s="49" t="s">
        <v>25751</v>
      </c>
      <c r="P1567" s="49" t="s">
        <v>25758</v>
      </c>
      <c r="Q1567" s="49" t="s">
        <v>25765</v>
      </c>
      <c r="R1567" s="49" t="s">
        <v>25772</v>
      </c>
      <c r="S1567" s="49" t="s">
        <v>25779</v>
      </c>
      <c r="T1567" s="49" t="s">
        <v>25786</v>
      </c>
    </row>
    <row r="1568" spans="1:21" x14ac:dyDescent="0.2">
      <c r="A1568" s="49" t="s">
        <v>30</v>
      </c>
      <c r="D1568" s="49" t="s">
        <v>18491</v>
      </c>
      <c r="G1568" s="49" t="s">
        <v>18492</v>
      </c>
      <c r="H1568" s="49" t="s">
        <v>25738</v>
      </c>
      <c r="I1568" s="49" t="s">
        <v>25745</v>
      </c>
      <c r="J1568" s="49" t="s">
        <v>25794</v>
      </c>
      <c r="K1568" s="49" t="s">
        <v>25801</v>
      </c>
      <c r="L1568" s="49" t="s">
        <v>18493</v>
      </c>
      <c r="M1568" s="49" t="s">
        <v>18494</v>
      </c>
      <c r="N1568" s="49" t="s">
        <v>18495</v>
      </c>
      <c r="O1568" s="49" t="s">
        <v>25752</v>
      </c>
      <c r="P1568" s="49" t="s">
        <v>25759</v>
      </c>
      <c r="Q1568" s="49" t="s">
        <v>25766</v>
      </c>
      <c r="R1568" s="49" t="s">
        <v>25773</v>
      </c>
      <c r="S1568" s="49" t="s">
        <v>25780</v>
      </c>
      <c r="T1568" s="49" t="s">
        <v>25787</v>
      </c>
    </row>
    <row r="1569" spans="1:21" x14ac:dyDescent="0.2">
      <c r="A1569" s="49" t="s">
        <v>30</v>
      </c>
      <c r="D1569" s="49" t="s">
        <v>18496</v>
      </c>
      <c r="G1569" s="49" t="s">
        <v>18497</v>
      </c>
      <c r="H1569" s="49" t="s">
        <v>25739</v>
      </c>
      <c r="I1569" s="49" t="s">
        <v>25746</v>
      </c>
      <c r="J1569" s="49" t="s">
        <v>25795</v>
      </c>
      <c r="K1569" s="49" t="s">
        <v>25802</v>
      </c>
      <c r="L1569" s="49" t="s">
        <v>18498</v>
      </c>
      <c r="M1569" s="49" t="s">
        <v>18499</v>
      </c>
      <c r="N1569" s="49" t="s">
        <v>18500</v>
      </c>
      <c r="O1569" s="49" t="s">
        <v>25753</v>
      </c>
      <c r="P1569" s="49" t="s">
        <v>25760</v>
      </c>
      <c r="Q1569" s="49" t="s">
        <v>25767</v>
      </c>
      <c r="R1569" s="49" t="s">
        <v>25774</v>
      </c>
      <c r="S1569" s="49" t="s">
        <v>25781</v>
      </c>
      <c r="T1569" s="49" t="s">
        <v>25788</v>
      </c>
    </row>
    <row r="1570" spans="1:21" x14ac:dyDescent="0.2">
      <c r="A1570" s="49" t="s">
        <v>30</v>
      </c>
      <c r="D1570" s="49" t="s">
        <v>18501</v>
      </c>
      <c r="G1570" s="49" t="s">
        <v>18502</v>
      </c>
      <c r="H1570" s="49" t="s">
        <v>25740</v>
      </c>
      <c r="I1570" s="49" t="s">
        <v>25747</v>
      </c>
      <c r="J1570" s="49" t="s">
        <v>25796</v>
      </c>
      <c r="K1570" s="49" t="s">
        <v>25803</v>
      </c>
      <c r="L1570" s="49" t="s">
        <v>18503</v>
      </c>
      <c r="M1570" s="49" t="s">
        <v>18504</v>
      </c>
      <c r="N1570" s="49" t="s">
        <v>18505</v>
      </c>
      <c r="O1570" s="49" t="s">
        <v>25754</v>
      </c>
      <c r="P1570" s="49" t="s">
        <v>25761</v>
      </c>
      <c r="Q1570" s="49" t="s">
        <v>25768</v>
      </c>
      <c r="R1570" s="49" t="s">
        <v>25775</v>
      </c>
      <c r="S1570" s="49" t="s">
        <v>25782</v>
      </c>
      <c r="T1570" s="49" t="s">
        <v>25789</v>
      </c>
    </row>
    <row r="1571" spans="1:21" x14ac:dyDescent="0.2">
      <c r="A1571" s="49" t="s">
        <v>30</v>
      </c>
      <c r="D1571" s="49" t="s">
        <v>18506</v>
      </c>
      <c r="G1571" s="49" t="s">
        <v>18507</v>
      </c>
      <c r="H1571" s="49" t="s">
        <v>25741</v>
      </c>
      <c r="I1571" s="49" t="s">
        <v>25748</v>
      </c>
      <c r="J1571" s="49" t="s">
        <v>25797</v>
      </c>
      <c r="K1571" s="49" t="s">
        <v>25804</v>
      </c>
      <c r="L1571" s="49" t="s">
        <v>18508</v>
      </c>
      <c r="M1571" s="49" t="s">
        <v>18509</v>
      </c>
      <c r="N1571" s="49" t="s">
        <v>18510</v>
      </c>
      <c r="O1571" s="49" t="s">
        <v>25755</v>
      </c>
      <c r="P1571" s="49" t="s">
        <v>25762</v>
      </c>
      <c r="Q1571" s="49" t="s">
        <v>25769</v>
      </c>
      <c r="R1571" s="49" t="s">
        <v>25776</v>
      </c>
      <c r="S1571" s="49" t="s">
        <v>25783</v>
      </c>
      <c r="T1571" s="49" t="s">
        <v>25790</v>
      </c>
    </row>
    <row r="1572" spans="1:21" x14ac:dyDescent="0.2">
      <c r="A1572" s="49" t="s">
        <v>30</v>
      </c>
      <c r="D1572" s="49" t="s">
        <v>18511</v>
      </c>
      <c r="G1572" s="49" t="s">
        <v>18512</v>
      </c>
      <c r="H1572" s="49" t="s">
        <v>25742</v>
      </c>
      <c r="I1572" s="49" t="s">
        <v>25749</v>
      </c>
      <c r="J1572" s="49" t="s">
        <v>25798</v>
      </c>
      <c r="K1572" s="49" t="s">
        <v>25805</v>
      </c>
      <c r="L1572" s="49" t="s">
        <v>18513</v>
      </c>
      <c r="M1572" s="49" t="s">
        <v>18514</v>
      </c>
      <c r="N1572" s="49" t="s">
        <v>18515</v>
      </c>
      <c r="O1572" s="49" t="s">
        <v>25756</v>
      </c>
      <c r="P1572" s="49" t="s">
        <v>25763</v>
      </c>
      <c r="Q1572" s="49" t="s">
        <v>25770</v>
      </c>
      <c r="R1572" s="49" t="s">
        <v>25777</v>
      </c>
      <c r="S1572" s="49" t="s">
        <v>25784</v>
      </c>
      <c r="T1572" s="49" t="s">
        <v>25791</v>
      </c>
    </row>
    <row r="1573" spans="1:21" x14ac:dyDescent="0.2">
      <c r="A1573" s="49" t="s">
        <v>30</v>
      </c>
    </row>
    <row r="1574" spans="1:21" x14ac:dyDescent="0.2">
      <c r="A1574" s="49" t="s">
        <v>30</v>
      </c>
      <c r="E1574" s="49" t="s">
        <v>31</v>
      </c>
      <c r="F1574" s="49" t="s">
        <v>31</v>
      </c>
      <c r="G1574" s="49" t="s">
        <v>31</v>
      </c>
      <c r="J1574" s="49" t="s">
        <v>31</v>
      </c>
      <c r="K1574" s="49" t="s">
        <v>31</v>
      </c>
      <c r="L1574" s="49" t="s">
        <v>31</v>
      </c>
      <c r="M1574" s="49" t="s">
        <v>31</v>
      </c>
    </row>
    <row r="1575" spans="1:21" x14ac:dyDescent="0.2">
      <c r="A1575" s="49" t="s">
        <v>30</v>
      </c>
      <c r="D1575" s="49" t="s">
        <v>18516</v>
      </c>
      <c r="E1575" s="49" t="s">
        <v>7820</v>
      </c>
      <c r="F1575" s="49" t="s">
        <v>18517</v>
      </c>
      <c r="H1575" s="49" t="s">
        <v>18518</v>
      </c>
      <c r="O1575" s="49" t="s">
        <v>18519</v>
      </c>
      <c r="P1575" s="49" t="s">
        <v>18520</v>
      </c>
      <c r="Q1575" s="49" t="s">
        <v>18521</v>
      </c>
      <c r="R1575" s="49" t="s">
        <v>18522</v>
      </c>
      <c r="S1575" s="49" t="s">
        <v>18523</v>
      </c>
      <c r="T1575" s="49" t="s">
        <v>18524</v>
      </c>
      <c r="U1575" s="49" t="s">
        <v>18525</v>
      </c>
    </row>
    <row r="1576" spans="1:21" x14ac:dyDescent="0.2">
      <c r="A1576" s="49" t="s">
        <v>30</v>
      </c>
      <c r="D1576" s="49" t="s">
        <v>18526</v>
      </c>
      <c r="G1576" s="49" t="s">
        <v>18527</v>
      </c>
      <c r="H1576" s="49" t="s">
        <v>25646</v>
      </c>
      <c r="I1576" s="49" t="s">
        <v>25655</v>
      </c>
      <c r="J1576" s="49" t="s">
        <v>25718</v>
      </c>
      <c r="K1576" s="49" t="s">
        <v>25727</v>
      </c>
      <c r="L1576" s="49" t="s">
        <v>18528</v>
      </c>
      <c r="M1576" s="49" t="s">
        <v>18529</v>
      </c>
      <c r="N1576" s="49" t="s">
        <v>18530</v>
      </c>
      <c r="O1576" s="49" t="s">
        <v>25664</v>
      </c>
      <c r="P1576" s="49" t="s">
        <v>25673</v>
      </c>
      <c r="Q1576" s="49" t="s">
        <v>25682</v>
      </c>
      <c r="R1576" s="49" t="s">
        <v>25691</v>
      </c>
      <c r="S1576" s="49" t="s">
        <v>25700</v>
      </c>
      <c r="T1576" s="49" t="s">
        <v>25709</v>
      </c>
    </row>
    <row r="1577" spans="1:21" x14ac:dyDescent="0.2">
      <c r="A1577" s="49" t="s">
        <v>30</v>
      </c>
      <c r="D1577" s="49" t="s">
        <v>18531</v>
      </c>
      <c r="G1577" s="49" t="s">
        <v>18532</v>
      </c>
      <c r="H1577" s="49" t="s">
        <v>25647</v>
      </c>
      <c r="I1577" s="49" t="s">
        <v>25656</v>
      </c>
      <c r="J1577" s="49" t="s">
        <v>25719</v>
      </c>
      <c r="K1577" s="49" t="s">
        <v>25728</v>
      </c>
      <c r="L1577" s="49" t="s">
        <v>18533</v>
      </c>
      <c r="M1577" s="49" t="s">
        <v>18534</v>
      </c>
      <c r="N1577" s="49" t="s">
        <v>18535</v>
      </c>
      <c r="O1577" s="49" t="s">
        <v>25665</v>
      </c>
      <c r="P1577" s="49" t="s">
        <v>25674</v>
      </c>
      <c r="Q1577" s="49" t="s">
        <v>25683</v>
      </c>
      <c r="R1577" s="49" t="s">
        <v>25692</v>
      </c>
      <c r="S1577" s="49" t="s">
        <v>25701</v>
      </c>
      <c r="T1577" s="49" t="s">
        <v>25710</v>
      </c>
    </row>
    <row r="1578" spans="1:21" x14ac:dyDescent="0.2">
      <c r="A1578" s="49" t="s">
        <v>30</v>
      </c>
      <c r="D1578" s="49" t="s">
        <v>18536</v>
      </c>
      <c r="G1578" s="49" t="s">
        <v>18537</v>
      </c>
      <c r="H1578" s="49" t="s">
        <v>25648</v>
      </c>
      <c r="I1578" s="49" t="s">
        <v>25657</v>
      </c>
      <c r="J1578" s="49" t="s">
        <v>25720</v>
      </c>
      <c r="K1578" s="49" t="s">
        <v>25729</v>
      </c>
      <c r="L1578" s="49" t="s">
        <v>18538</v>
      </c>
      <c r="M1578" s="49" t="s">
        <v>18539</v>
      </c>
      <c r="N1578" s="49" t="s">
        <v>18540</v>
      </c>
      <c r="O1578" s="49" t="s">
        <v>25666</v>
      </c>
      <c r="P1578" s="49" t="s">
        <v>25675</v>
      </c>
      <c r="Q1578" s="49" t="s">
        <v>25684</v>
      </c>
      <c r="R1578" s="49" t="s">
        <v>25693</v>
      </c>
      <c r="S1578" s="49" t="s">
        <v>25702</v>
      </c>
      <c r="T1578" s="49" t="s">
        <v>25711</v>
      </c>
    </row>
    <row r="1579" spans="1:21" x14ac:dyDescent="0.2">
      <c r="A1579" s="49" t="s">
        <v>30</v>
      </c>
      <c r="D1579" s="49" t="s">
        <v>18541</v>
      </c>
      <c r="G1579" s="49" t="s">
        <v>18542</v>
      </c>
      <c r="H1579" s="49" t="s">
        <v>25649</v>
      </c>
      <c r="I1579" s="49" t="s">
        <v>25658</v>
      </c>
      <c r="J1579" s="49" t="s">
        <v>25721</v>
      </c>
      <c r="K1579" s="49" t="s">
        <v>25730</v>
      </c>
      <c r="L1579" s="49" t="s">
        <v>18543</v>
      </c>
      <c r="M1579" s="49" t="s">
        <v>18544</v>
      </c>
      <c r="N1579" s="49" t="s">
        <v>18545</v>
      </c>
      <c r="O1579" s="49" t="s">
        <v>25667</v>
      </c>
      <c r="P1579" s="49" t="s">
        <v>25676</v>
      </c>
      <c r="Q1579" s="49" t="s">
        <v>25685</v>
      </c>
      <c r="R1579" s="49" t="s">
        <v>25694</v>
      </c>
      <c r="S1579" s="49" t="s">
        <v>25703</v>
      </c>
      <c r="T1579" s="49" t="s">
        <v>25712</v>
      </c>
    </row>
    <row r="1580" spans="1:21" x14ac:dyDescent="0.2">
      <c r="A1580" s="49" t="s">
        <v>30</v>
      </c>
      <c r="D1580" s="49" t="s">
        <v>18546</v>
      </c>
      <c r="G1580" s="49" t="s">
        <v>18547</v>
      </c>
      <c r="H1580" s="49" t="s">
        <v>25650</v>
      </c>
      <c r="I1580" s="49" t="s">
        <v>25659</v>
      </c>
      <c r="J1580" s="49" t="s">
        <v>25722</v>
      </c>
      <c r="K1580" s="49" t="s">
        <v>25731</v>
      </c>
      <c r="L1580" s="49" t="s">
        <v>18548</v>
      </c>
      <c r="M1580" s="49" t="s">
        <v>18549</v>
      </c>
      <c r="N1580" s="49" t="s">
        <v>18550</v>
      </c>
      <c r="O1580" s="49" t="s">
        <v>25668</v>
      </c>
      <c r="P1580" s="49" t="s">
        <v>25677</v>
      </c>
      <c r="Q1580" s="49" t="s">
        <v>25686</v>
      </c>
      <c r="R1580" s="49" t="s">
        <v>25695</v>
      </c>
      <c r="S1580" s="49" t="s">
        <v>25704</v>
      </c>
      <c r="T1580" s="49" t="s">
        <v>25713</v>
      </c>
    </row>
    <row r="1581" spans="1:21" x14ac:dyDescent="0.2">
      <c r="A1581" s="49" t="s">
        <v>30</v>
      </c>
      <c r="D1581" s="49" t="s">
        <v>18551</v>
      </c>
      <c r="G1581" s="49" t="s">
        <v>18552</v>
      </c>
      <c r="H1581" s="49" t="s">
        <v>25651</v>
      </c>
      <c r="I1581" s="49" t="s">
        <v>25660</v>
      </c>
      <c r="J1581" s="49" t="s">
        <v>25723</v>
      </c>
      <c r="K1581" s="49" t="s">
        <v>25732</v>
      </c>
      <c r="L1581" s="49" t="s">
        <v>18553</v>
      </c>
      <c r="M1581" s="49" t="s">
        <v>18554</v>
      </c>
      <c r="N1581" s="49" t="s">
        <v>18555</v>
      </c>
      <c r="O1581" s="49" t="s">
        <v>25669</v>
      </c>
      <c r="P1581" s="49" t="s">
        <v>25678</v>
      </c>
      <c r="Q1581" s="49" t="s">
        <v>25687</v>
      </c>
      <c r="R1581" s="49" t="s">
        <v>25696</v>
      </c>
      <c r="S1581" s="49" t="s">
        <v>25705</v>
      </c>
      <c r="T1581" s="49" t="s">
        <v>25714</v>
      </c>
    </row>
    <row r="1582" spans="1:21" x14ac:dyDescent="0.2">
      <c r="A1582" s="49" t="s">
        <v>30</v>
      </c>
      <c r="D1582" s="49" t="s">
        <v>18556</v>
      </c>
      <c r="G1582" s="49" t="s">
        <v>18557</v>
      </c>
      <c r="H1582" s="49" t="s">
        <v>25652</v>
      </c>
      <c r="I1582" s="49" t="s">
        <v>25661</v>
      </c>
      <c r="J1582" s="49" t="s">
        <v>25724</v>
      </c>
      <c r="K1582" s="49" t="s">
        <v>25733</v>
      </c>
      <c r="L1582" s="49" t="s">
        <v>18558</v>
      </c>
      <c r="M1582" s="49" t="s">
        <v>18559</v>
      </c>
      <c r="N1582" s="49" t="s">
        <v>18560</v>
      </c>
      <c r="O1582" s="49" t="s">
        <v>25670</v>
      </c>
      <c r="P1582" s="49" t="s">
        <v>25679</v>
      </c>
      <c r="Q1582" s="49" t="s">
        <v>25688</v>
      </c>
      <c r="R1582" s="49" t="s">
        <v>25697</v>
      </c>
      <c r="S1582" s="49" t="s">
        <v>25706</v>
      </c>
      <c r="T1582" s="49" t="s">
        <v>25715</v>
      </c>
    </row>
    <row r="1583" spans="1:21" x14ac:dyDescent="0.2">
      <c r="A1583" s="49" t="s">
        <v>30</v>
      </c>
      <c r="D1583" s="49" t="s">
        <v>18561</v>
      </c>
      <c r="G1583" s="49" t="s">
        <v>18562</v>
      </c>
      <c r="H1583" s="49" t="s">
        <v>25653</v>
      </c>
      <c r="I1583" s="49" t="s">
        <v>25662</v>
      </c>
      <c r="J1583" s="49" t="s">
        <v>25725</v>
      </c>
      <c r="K1583" s="49" t="s">
        <v>25734</v>
      </c>
      <c r="L1583" s="49" t="s">
        <v>18563</v>
      </c>
      <c r="M1583" s="49" t="s">
        <v>18564</v>
      </c>
      <c r="N1583" s="49" t="s">
        <v>18565</v>
      </c>
      <c r="O1583" s="49" t="s">
        <v>25671</v>
      </c>
      <c r="P1583" s="49" t="s">
        <v>25680</v>
      </c>
      <c r="Q1583" s="49" t="s">
        <v>25689</v>
      </c>
      <c r="R1583" s="49" t="s">
        <v>25698</v>
      </c>
      <c r="S1583" s="49" t="s">
        <v>25707</v>
      </c>
      <c r="T1583" s="49" t="s">
        <v>25716</v>
      </c>
    </row>
    <row r="1584" spans="1:21" x14ac:dyDescent="0.2">
      <c r="A1584" s="49" t="s">
        <v>30</v>
      </c>
      <c r="D1584" s="49" t="s">
        <v>18566</v>
      </c>
      <c r="G1584" s="49" t="s">
        <v>18567</v>
      </c>
      <c r="H1584" s="49" t="s">
        <v>25654</v>
      </c>
      <c r="I1584" s="49" t="s">
        <v>25663</v>
      </c>
      <c r="J1584" s="49" t="s">
        <v>25726</v>
      </c>
      <c r="K1584" s="49" t="s">
        <v>25735</v>
      </c>
      <c r="L1584" s="49" t="s">
        <v>18568</v>
      </c>
      <c r="M1584" s="49" t="s">
        <v>18569</v>
      </c>
      <c r="N1584" s="49" t="s">
        <v>18570</v>
      </c>
      <c r="O1584" s="49" t="s">
        <v>25672</v>
      </c>
      <c r="P1584" s="49" t="s">
        <v>25681</v>
      </c>
      <c r="Q1584" s="49" t="s">
        <v>25690</v>
      </c>
      <c r="R1584" s="49" t="s">
        <v>25699</v>
      </c>
      <c r="S1584" s="49" t="s">
        <v>25708</v>
      </c>
      <c r="T1584" s="49" t="s">
        <v>25717</v>
      </c>
    </row>
    <row r="1585" spans="1:21" x14ac:dyDescent="0.2">
      <c r="A1585" s="49" t="s">
        <v>30</v>
      </c>
    </row>
    <row r="1586" spans="1:21" x14ac:dyDescent="0.2">
      <c r="A1586" s="49" t="s">
        <v>30</v>
      </c>
      <c r="E1586" s="49" t="s">
        <v>31</v>
      </c>
      <c r="F1586" s="49" t="s">
        <v>31</v>
      </c>
      <c r="G1586" s="49" t="s">
        <v>31</v>
      </c>
      <c r="J1586" s="49" t="s">
        <v>31</v>
      </c>
      <c r="K1586" s="49" t="s">
        <v>31</v>
      </c>
      <c r="L1586" s="49" t="s">
        <v>31</v>
      </c>
      <c r="M1586" s="49" t="s">
        <v>31</v>
      </c>
    </row>
    <row r="1587" spans="1:21" x14ac:dyDescent="0.2">
      <c r="A1587" s="49" t="s">
        <v>30</v>
      </c>
      <c r="D1587" s="49" t="s">
        <v>18571</v>
      </c>
      <c r="E1587" s="49" t="s">
        <v>7849</v>
      </c>
      <c r="F1587" s="49" t="s">
        <v>18572</v>
      </c>
      <c r="H1587" s="49" t="s">
        <v>18573</v>
      </c>
      <c r="O1587" s="49" t="s">
        <v>18574</v>
      </c>
      <c r="P1587" s="49" t="s">
        <v>18575</v>
      </c>
      <c r="Q1587" s="49" t="s">
        <v>18576</v>
      </c>
      <c r="R1587" s="49" t="s">
        <v>18577</v>
      </c>
      <c r="S1587" s="49" t="s">
        <v>18578</v>
      </c>
      <c r="T1587" s="49" t="s">
        <v>18579</v>
      </c>
      <c r="U1587" s="49" t="s">
        <v>18580</v>
      </c>
    </row>
    <row r="1588" spans="1:21" x14ac:dyDescent="0.2">
      <c r="A1588" s="49" t="s">
        <v>30</v>
      </c>
      <c r="D1588" s="49" t="s">
        <v>18581</v>
      </c>
      <c r="G1588" s="49" t="s">
        <v>18582</v>
      </c>
      <c r="H1588" s="49" t="s">
        <v>25516</v>
      </c>
      <c r="I1588" s="49" t="s">
        <v>25529</v>
      </c>
      <c r="J1588" s="49" t="s">
        <v>25620</v>
      </c>
      <c r="K1588" s="49" t="s">
        <v>25633</v>
      </c>
      <c r="L1588" s="49" t="s">
        <v>18583</v>
      </c>
      <c r="M1588" s="49" t="s">
        <v>18584</v>
      </c>
      <c r="N1588" s="49" t="s">
        <v>18585</v>
      </c>
      <c r="O1588" s="49" t="s">
        <v>25542</v>
      </c>
      <c r="P1588" s="49" t="s">
        <v>25555</v>
      </c>
      <c r="Q1588" s="49" t="s">
        <v>25568</v>
      </c>
      <c r="R1588" s="49" t="s">
        <v>25581</v>
      </c>
      <c r="S1588" s="49" t="s">
        <v>25594</v>
      </c>
      <c r="T1588" s="49" t="s">
        <v>25607</v>
      </c>
    </row>
    <row r="1589" spans="1:21" x14ac:dyDescent="0.2">
      <c r="A1589" s="49" t="s">
        <v>30</v>
      </c>
      <c r="D1589" s="49" t="s">
        <v>18586</v>
      </c>
      <c r="G1589" s="49" t="s">
        <v>18587</v>
      </c>
      <c r="H1589" s="49" t="s">
        <v>25517</v>
      </c>
      <c r="I1589" s="49" t="s">
        <v>25530</v>
      </c>
      <c r="J1589" s="49" t="s">
        <v>25621</v>
      </c>
      <c r="K1589" s="49" t="s">
        <v>25634</v>
      </c>
      <c r="L1589" s="49" t="s">
        <v>18588</v>
      </c>
      <c r="M1589" s="49" t="s">
        <v>18589</v>
      </c>
      <c r="N1589" s="49" t="s">
        <v>18590</v>
      </c>
      <c r="O1589" s="49" t="s">
        <v>25543</v>
      </c>
      <c r="P1589" s="49" t="s">
        <v>25556</v>
      </c>
      <c r="Q1589" s="49" t="s">
        <v>25569</v>
      </c>
      <c r="R1589" s="49" t="s">
        <v>25582</v>
      </c>
      <c r="S1589" s="49" t="s">
        <v>25595</v>
      </c>
      <c r="T1589" s="49" t="s">
        <v>25608</v>
      </c>
    </row>
    <row r="1590" spans="1:21" x14ac:dyDescent="0.2">
      <c r="A1590" s="49" t="s">
        <v>30</v>
      </c>
      <c r="D1590" s="49" t="s">
        <v>18591</v>
      </c>
      <c r="G1590" s="49" t="s">
        <v>18592</v>
      </c>
      <c r="H1590" s="49" t="s">
        <v>25518</v>
      </c>
      <c r="I1590" s="49" t="s">
        <v>25531</v>
      </c>
      <c r="J1590" s="49" t="s">
        <v>25622</v>
      </c>
      <c r="K1590" s="49" t="s">
        <v>25635</v>
      </c>
      <c r="L1590" s="49" t="s">
        <v>18593</v>
      </c>
      <c r="M1590" s="49" t="s">
        <v>18594</v>
      </c>
      <c r="N1590" s="49" t="s">
        <v>18595</v>
      </c>
      <c r="O1590" s="49" t="s">
        <v>25544</v>
      </c>
      <c r="P1590" s="49" t="s">
        <v>25557</v>
      </c>
      <c r="Q1590" s="49" t="s">
        <v>25570</v>
      </c>
      <c r="R1590" s="49" t="s">
        <v>25583</v>
      </c>
      <c r="S1590" s="49" t="s">
        <v>25596</v>
      </c>
      <c r="T1590" s="49" t="s">
        <v>25609</v>
      </c>
    </row>
    <row r="1591" spans="1:21" x14ac:dyDescent="0.2">
      <c r="A1591" s="49" t="s">
        <v>30</v>
      </c>
      <c r="D1591" s="49" t="s">
        <v>18596</v>
      </c>
      <c r="G1591" s="49" t="s">
        <v>18597</v>
      </c>
      <c r="H1591" s="49" t="s">
        <v>25519</v>
      </c>
      <c r="I1591" s="49" t="s">
        <v>25532</v>
      </c>
      <c r="J1591" s="49" t="s">
        <v>25623</v>
      </c>
      <c r="K1591" s="49" t="s">
        <v>25636</v>
      </c>
      <c r="L1591" s="49" t="s">
        <v>18598</v>
      </c>
      <c r="M1591" s="49" t="s">
        <v>18599</v>
      </c>
      <c r="N1591" s="49" t="s">
        <v>18600</v>
      </c>
      <c r="O1591" s="49" t="s">
        <v>25545</v>
      </c>
      <c r="P1591" s="49" t="s">
        <v>25558</v>
      </c>
      <c r="Q1591" s="49" t="s">
        <v>25571</v>
      </c>
      <c r="R1591" s="49" t="s">
        <v>25584</v>
      </c>
      <c r="S1591" s="49" t="s">
        <v>25597</v>
      </c>
      <c r="T1591" s="49" t="s">
        <v>25610</v>
      </c>
    </row>
    <row r="1592" spans="1:21" x14ac:dyDescent="0.2">
      <c r="A1592" s="49" t="s">
        <v>30</v>
      </c>
      <c r="D1592" s="49" t="s">
        <v>18601</v>
      </c>
      <c r="G1592" s="49" t="s">
        <v>18602</v>
      </c>
      <c r="H1592" s="49" t="s">
        <v>25520</v>
      </c>
      <c r="I1592" s="49" t="s">
        <v>25533</v>
      </c>
      <c r="J1592" s="49" t="s">
        <v>25624</v>
      </c>
      <c r="K1592" s="49" t="s">
        <v>25637</v>
      </c>
      <c r="L1592" s="49" t="s">
        <v>18603</v>
      </c>
      <c r="M1592" s="49" t="s">
        <v>18604</v>
      </c>
      <c r="N1592" s="49" t="s">
        <v>18605</v>
      </c>
      <c r="O1592" s="49" t="s">
        <v>25546</v>
      </c>
      <c r="P1592" s="49" t="s">
        <v>25559</v>
      </c>
      <c r="Q1592" s="49" t="s">
        <v>25572</v>
      </c>
      <c r="R1592" s="49" t="s">
        <v>25585</v>
      </c>
      <c r="S1592" s="49" t="s">
        <v>25598</v>
      </c>
      <c r="T1592" s="49" t="s">
        <v>25611</v>
      </c>
    </row>
    <row r="1593" spans="1:21" x14ac:dyDescent="0.2">
      <c r="A1593" s="49" t="s">
        <v>30</v>
      </c>
      <c r="D1593" s="49" t="s">
        <v>18606</v>
      </c>
      <c r="G1593" s="49" t="s">
        <v>18607</v>
      </c>
      <c r="H1593" s="49" t="s">
        <v>25521</v>
      </c>
      <c r="I1593" s="49" t="s">
        <v>25534</v>
      </c>
      <c r="J1593" s="49" t="s">
        <v>25625</v>
      </c>
      <c r="K1593" s="49" t="s">
        <v>25638</v>
      </c>
      <c r="L1593" s="49" t="s">
        <v>18608</v>
      </c>
      <c r="M1593" s="49" t="s">
        <v>18609</v>
      </c>
      <c r="N1593" s="49" t="s">
        <v>18610</v>
      </c>
      <c r="O1593" s="49" t="s">
        <v>25547</v>
      </c>
      <c r="P1593" s="49" t="s">
        <v>25560</v>
      </c>
      <c r="Q1593" s="49" t="s">
        <v>25573</v>
      </c>
      <c r="R1593" s="49" t="s">
        <v>25586</v>
      </c>
      <c r="S1593" s="49" t="s">
        <v>25599</v>
      </c>
      <c r="T1593" s="49" t="s">
        <v>25612</v>
      </c>
    </row>
    <row r="1594" spans="1:21" x14ac:dyDescent="0.2">
      <c r="A1594" s="49" t="s">
        <v>30</v>
      </c>
      <c r="D1594" s="49" t="s">
        <v>18611</v>
      </c>
      <c r="G1594" s="49" t="s">
        <v>18612</v>
      </c>
      <c r="H1594" s="49" t="s">
        <v>25522</v>
      </c>
      <c r="I1594" s="49" t="s">
        <v>25535</v>
      </c>
      <c r="J1594" s="49" t="s">
        <v>25626</v>
      </c>
      <c r="K1594" s="49" t="s">
        <v>25639</v>
      </c>
      <c r="L1594" s="49" t="s">
        <v>18613</v>
      </c>
      <c r="M1594" s="49" t="s">
        <v>18614</v>
      </c>
      <c r="N1594" s="49" t="s">
        <v>18615</v>
      </c>
      <c r="O1594" s="49" t="s">
        <v>25548</v>
      </c>
      <c r="P1594" s="49" t="s">
        <v>25561</v>
      </c>
      <c r="Q1594" s="49" t="s">
        <v>25574</v>
      </c>
      <c r="R1594" s="49" t="s">
        <v>25587</v>
      </c>
      <c r="S1594" s="49" t="s">
        <v>25600</v>
      </c>
      <c r="T1594" s="49" t="s">
        <v>25613</v>
      </c>
    </row>
    <row r="1595" spans="1:21" x14ac:dyDescent="0.2">
      <c r="A1595" s="49" t="s">
        <v>30</v>
      </c>
      <c r="D1595" s="49" t="s">
        <v>18616</v>
      </c>
      <c r="G1595" s="49" t="s">
        <v>18617</v>
      </c>
      <c r="H1595" s="49" t="s">
        <v>25523</v>
      </c>
      <c r="I1595" s="49" t="s">
        <v>25536</v>
      </c>
      <c r="J1595" s="49" t="s">
        <v>25627</v>
      </c>
      <c r="K1595" s="49" t="s">
        <v>25640</v>
      </c>
      <c r="L1595" s="49" t="s">
        <v>18618</v>
      </c>
      <c r="M1595" s="49" t="s">
        <v>18619</v>
      </c>
      <c r="N1595" s="49" t="s">
        <v>18620</v>
      </c>
      <c r="O1595" s="49" t="s">
        <v>25549</v>
      </c>
      <c r="P1595" s="49" t="s">
        <v>25562</v>
      </c>
      <c r="Q1595" s="49" t="s">
        <v>25575</v>
      </c>
      <c r="R1595" s="49" t="s">
        <v>25588</v>
      </c>
      <c r="S1595" s="49" t="s">
        <v>25601</v>
      </c>
      <c r="T1595" s="49" t="s">
        <v>25614</v>
      </c>
    </row>
    <row r="1596" spans="1:21" x14ac:dyDescent="0.2">
      <c r="A1596" s="49" t="s">
        <v>30</v>
      </c>
      <c r="D1596" s="49" t="s">
        <v>18621</v>
      </c>
      <c r="G1596" s="49" t="s">
        <v>18622</v>
      </c>
      <c r="H1596" s="49" t="s">
        <v>25524</v>
      </c>
      <c r="I1596" s="49" t="s">
        <v>25537</v>
      </c>
      <c r="J1596" s="49" t="s">
        <v>25628</v>
      </c>
      <c r="K1596" s="49" t="s">
        <v>25641</v>
      </c>
      <c r="L1596" s="49" t="s">
        <v>18623</v>
      </c>
      <c r="M1596" s="49" t="s">
        <v>18624</v>
      </c>
      <c r="N1596" s="49" t="s">
        <v>18625</v>
      </c>
      <c r="O1596" s="49" t="s">
        <v>25550</v>
      </c>
      <c r="P1596" s="49" t="s">
        <v>25563</v>
      </c>
      <c r="Q1596" s="49" t="s">
        <v>25576</v>
      </c>
      <c r="R1596" s="49" t="s">
        <v>25589</v>
      </c>
      <c r="S1596" s="49" t="s">
        <v>25602</v>
      </c>
      <c r="T1596" s="49" t="s">
        <v>25615</v>
      </c>
    </row>
    <row r="1597" spans="1:21" x14ac:dyDescent="0.2">
      <c r="A1597" s="49" t="s">
        <v>30</v>
      </c>
      <c r="D1597" s="49" t="s">
        <v>18626</v>
      </c>
      <c r="G1597" s="49" t="s">
        <v>18627</v>
      </c>
      <c r="H1597" s="49" t="s">
        <v>25525</v>
      </c>
      <c r="I1597" s="49" t="s">
        <v>25538</v>
      </c>
      <c r="J1597" s="49" t="s">
        <v>25629</v>
      </c>
      <c r="K1597" s="49" t="s">
        <v>25642</v>
      </c>
      <c r="L1597" s="49" t="s">
        <v>18628</v>
      </c>
      <c r="M1597" s="49" t="s">
        <v>18629</v>
      </c>
      <c r="N1597" s="49" t="s">
        <v>18630</v>
      </c>
      <c r="O1597" s="49" t="s">
        <v>25551</v>
      </c>
      <c r="P1597" s="49" t="s">
        <v>25564</v>
      </c>
      <c r="Q1597" s="49" t="s">
        <v>25577</v>
      </c>
      <c r="R1597" s="49" t="s">
        <v>25590</v>
      </c>
      <c r="S1597" s="49" t="s">
        <v>25603</v>
      </c>
      <c r="T1597" s="49" t="s">
        <v>25616</v>
      </c>
    </row>
    <row r="1598" spans="1:21" x14ac:dyDescent="0.2">
      <c r="A1598" s="49" t="s">
        <v>30</v>
      </c>
      <c r="D1598" s="49" t="s">
        <v>18631</v>
      </c>
      <c r="G1598" s="49" t="s">
        <v>18632</v>
      </c>
      <c r="H1598" s="49" t="s">
        <v>25526</v>
      </c>
      <c r="I1598" s="49" t="s">
        <v>25539</v>
      </c>
      <c r="J1598" s="49" t="s">
        <v>25630</v>
      </c>
      <c r="K1598" s="49" t="s">
        <v>25643</v>
      </c>
      <c r="L1598" s="49" t="s">
        <v>18633</v>
      </c>
      <c r="M1598" s="49" t="s">
        <v>18634</v>
      </c>
      <c r="N1598" s="49" t="s">
        <v>18635</v>
      </c>
      <c r="O1598" s="49" t="s">
        <v>25552</v>
      </c>
      <c r="P1598" s="49" t="s">
        <v>25565</v>
      </c>
      <c r="Q1598" s="49" t="s">
        <v>25578</v>
      </c>
      <c r="R1598" s="49" t="s">
        <v>25591</v>
      </c>
      <c r="S1598" s="49" t="s">
        <v>25604</v>
      </c>
      <c r="T1598" s="49" t="s">
        <v>25617</v>
      </c>
    </row>
    <row r="1599" spans="1:21" x14ac:dyDescent="0.2">
      <c r="A1599" s="49" t="s">
        <v>30</v>
      </c>
      <c r="D1599" s="49" t="s">
        <v>18636</v>
      </c>
      <c r="G1599" s="49" t="s">
        <v>18637</v>
      </c>
      <c r="H1599" s="49" t="s">
        <v>25527</v>
      </c>
      <c r="I1599" s="49" t="s">
        <v>25540</v>
      </c>
      <c r="J1599" s="49" t="s">
        <v>25631</v>
      </c>
      <c r="K1599" s="49" t="s">
        <v>25644</v>
      </c>
      <c r="L1599" s="49" t="s">
        <v>18638</v>
      </c>
      <c r="M1599" s="49" t="s">
        <v>18639</v>
      </c>
      <c r="N1599" s="49" t="s">
        <v>18640</v>
      </c>
      <c r="O1599" s="49" t="s">
        <v>25553</v>
      </c>
      <c r="P1599" s="49" t="s">
        <v>25566</v>
      </c>
      <c r="Q1599" s="49" t="s">
        <v>25579</v>
      </c>
      <c r="R1599" s="49" t="s">
        <v>25592</v>
      </c>
      <c r="S1599" s="49" t="s">
        <v>25605</v>
      </c>
      <c r="T1599" s="49" t="s">
        <v>25618</v>
      </c>
    </row>
    <row r="1600" spans="1:21" x14ac:dyDescent="0.2">
      <c r="A1600" s="49" t="s">
        <v>30</v>
      </c>
      <c r="D1600" s="49" t="s">
        <v>18641</v>
      </c>
      <c r="G1600" s="49" t="s">
        <v>18642</v>
      </c>
      <c r="H1600" s="49" t="s">
        <v>25528</v>
      </c>
      <c r="I1600" s="49" t="s">
        <v>25541</v>
      </c>
      <c r="J1600" s="49" t="s">
        <v>25632</v>
      </c>
      <c r="K1600" s="49" t="s">
        <v>25645</v>
      </c>
      <c r="L1600" s="49" t="s">
        <v>18643</v>
      </c>
      <c r="M1600" s="49" t="s">
        <v>18644</v>
      </c>
      <c r="N1600" s="49" t="s">
        <v>18645</v>
      </c>
      <c r="O1600" s="49" t="s">
        <v>25554</v>
      </c>
      <c r="P1600" s="49" t="s">
        <v>25567</v>
      </c>
      <c r="Q1600" s="49" t="s">
        <v>25580</v>
      </c>
      <c r="R1600" s="49" t="s">
        <v>25593</v>
      </c>
      <c r="S1600" s="49" t="s">
        <v>25606</v>
      </c>
      <c r="T1600" s="49" t="s">
        <v>25619</v>
      </c>
    </row>
    <row r="1601" spans="1:21" x14ac:dyDescent="0.2">
      <c r="A1601" s="49" t="s">
        <v>30</v>
      </c>
    </row>
    <row r="1602" spans="1:21" x14ac:dyDescent="0.2">
      <c r="A1602" s="49" t="s">
        <v>30</v>
      </c>
      <c r="E1602" s="49" t="s">
        <v>31</v>
      </c>
      <c r="F1602" s="49" t="s">
        <v>31</v>
      </c>
      <c r="G1602" s="49" t="s">
        <v>31</v>
      </c>
      <c r="J1602" s="49" t="s">
        <v>31</v>
      </c>
      <c r="K1602" s="49" t="s">
        <v>31</v>
      </c>
      <c r="L1602" s="49" t="s">
        <v>31</v>
      </c>
      <c r="M1602" s="49" t="s">
        <v>31</v>
      </c>
    </row>
    <row r="1603" spans="1:21" x14ac:dyDescent="0.2">
      <c r="A1603" s="49" t="s">
        <v>30</v>
      </c>
      <c r="D1603" s="49" t="s">
        <v>18646</v>
      </c>
      <c r="E1603" s="49" t="s">
        <v>7864</v>
      </c>
      <c r="F1603" s="49" t="s">
        <v>18647</v>
      </c>
      <c r="H1603" s="49" t="s">
        <v>18648</v>
      </c>
      <c r="O1603" s="49" t="s">
        <v>18649</v>
      </c>
      <c r="P1603" s="49" t="s">
        <v>18650</v>
      </c>
      <c r="Q1603" s="49" t="s">
        <v>18651</v>
      </c>
      <c r="R1603" s="49" t="s">
        <v>18652</v>
      </c>
      <c r="S1603" s="49" t="s">
        <v>18653</v>
      </c>
      <c r="T1603" s="49" t="s">
        <v>18654</v>
      </c>
      <c r="U1603" s="49" t="s">
        <v>18655</v>
      </c>
    </row>
    <row r="1604" spans="1:21" x14ac:dyDescent="0.2">
      <c r="A1604" s="49" t="s">
        <v>30</v>
      </c>
      <c r="D1604" s="49" t="s">
        <v>18656</v>
      </c>
      <c r="G1604" s="49" t="s">
        <v>18657</v>
      </c>
      <c r="H1604" s="49" t="s">
        <v>25386</v>
      </c>
      <c r="I1604" s="49" t="s">
        <v>25399</v>
      </c>
      <c r="J1604" s="49" t="s">
        <v>25490</v>
      </c>
      <c r="K1604" s="49" t="s">
        <v>25503</v>
      </c>
      <c r="L1604" s="49" t="s">
        <v>18658</v>
      </c>
      <c r="M1604" s="49" t="s">
        <v>18659</v>
      </c>
      <c r="N1604" s="49" t="s">
        <v>18660</v>
      </c>
      <c r="O1604" s="49" t="s">
        <v>25412</v>
      </c>
      <c r="P1604" s="49" t="s">
        <v>25425</v>
      </c>
      <c r="Q1604" s="49" t="s">
        <v>25438</v>
      </c>
      <c r="R1604" s="49" t="s">
        <v>25451</v>
      </c>
      <c r="S1604" s="49" t="s">
        <v>25464</v>
      </c>
      <c r="T1604" s="49" t="s">
        <v>25477</v>
      </c>
    </row>
    <row r="1605" spans="1:21" x14ac:dyDescent="0.2">
      <c r="A1605" s="49" t="s">
        <v>30</v>
      </c>
      <c r="D1605" s="49" t="s">
        <v>18661</v>
      </c>
      <c r="G1605" s="49" t="s">
        <v>18662</v>
      </c>
      <c r="H1605" s="49" t="s">
        <v>25387</v>
      </c>
      <c r="I1605" s="49" t="s">
        <v>25400</v>
      </c>
      <c r="J1605" s="49" t="s">
        <v>25491</v>
      </c>
      <c r="K1605" s="49" t="s">
        <v>25504</v>
      </c>
      <c r="L1605" s="49" t="s">
        <v>18663</v>
      </c>
      <c r="M1605" s="49" t="s">
        <v>18664</v>
      </c>
      <c r="N1605" s="49" t="s">
        <v>18665</v>
      </c>
      <c r="O1605" s="49" t="s">
        <v>25413</v>
      </c>
      <c r="P1605" s="49" t="s">
        <v>25426</v>
      </c>
      <c r="Q1605" s="49" t="s">
        <v>25439</v>
      </c>
      <c r="R1605" s="49" t="s">
        <v>25452</v>
      </c>
      <c r="S1605" s="49" t="s">
        <v>25465</v>
      </c>
      <c r="T1605" s="49" t="s">
        <v>25478</v>
      </c>
    </row>
    <row r="1606" spans="1:21" x14ac:dyDescent="0.2">
      <c r="A1606" s="49" t="s">
        <v>30</v>
      </c>
      <c r="D1606" s="49" t="s">
        <v>18666</v>
      </c>
      <c r="G1606" s="49" t="s">
        <v>18667</v>
      </c>
      <c r="H1606" s="49" t="s">
        <v>25388</v>
      </c>
      <c r="I1606" s="49" t="s">
        <v>25401</v>
      </c>
      <c r="J1606" s="49" t="s">
        <v>25492</v>
      </c>
      <c r="K1606" s="49" t="s">
        <v>25505</v>
      </c>
      <c r="L1606" s="49" t="s">
        <v>18668</v>
      </c>
      <c r="M1606" s="49" t="s">
        <v>18669</v>
      </c>
      <c r="N1606" s="49" t="s">
        <v>18670</v>
      </c>
      <c r="O1606" s="49" t="s">
        <v>25414</v>
      </c>
      <c r="P1606" s="49" t="s">
        <v>25427</v>
      </c>
      <c r="Q1606" s="49" t="s">
        <v>25440</v>
      </c>
      <c r="R1606" s="49" t="s">
        <v>25453</v>
      </c>
      <c r="S1606" s="49" t="s">
        <v>25466</v>
      </c>
      <c r="T1606" s="49" t="s">
        <v>25479</v>
      </c>
    </row>
    <row r="1607" spans="1:21" x14ac:dyDescent="0.2">
      <c r="A1607" s="49" t="s">
        <v>30</v>
      </c>
      <c r="D1607" s="49" t="s">
        <v>18671</v>
      </c>
      <c r="G1607" s="49" t="s">
        <v>18672</v>
      </c>
      <c r="H1607" s="49" t="s">
        <v>25389</v>
      </c>
      <c r="I1607" s="49" t="s">
        <v>25402</v>
      </c>
      <c r="J1607" s="49" t="s">
        <v>25493</v>
      </c>
      <c r="K1607" s="49" t="s">
        <v>25506</v>
      </c>
      <c r="L1607" s="49" t="s">
        <v>18673</v>
      </c>
      <c r="M1607" s="49" t="s">
        <v>18674</v>
      </c>
      <c r="N1607" s="49" t="s">
        <v>18675</v>
      </c>
      <c r="O1607" s="49" t="s">
        <v>25415</v>
      </c>
      <c r="P1607" s="49" t="s">
        <v>25428</v>
      </c>
      <c r="Q1607" s="49" t="s">
        <v>25441</v>
      </c>
      <c r="R1607" s="49" t="s">
        <v>25454</v>
      </c>
      <c r="S1607" s="49" t="s">
        <v>25467</v>
      </c>
      <c r="T1607" s="49" t="s">
        <v>25480</v>
      </c>
    </row>
    <row r="1608" spans="1:21" x14ac:dyDescent="0.2">
      <c r="A1608" s="49" t="s">
        <v>30</v>
      </c>
      <c r="D1608" s="49" t="s">
        <v>18676</v>
      </c>
      <c r="G1608" s="49" t="s">
        <v>18677</v>
      </c>
      <c r="H1608" s="49" t="s">
        <v>25390</v>
      </c>
      <c r="I1608" s="49" t="s">
        <v>25403</v>
      </c>
      <c r="J1608" s="49" t="s">
        <v>25494</v>
      </c>
      <c r="K1608" s="49" t="s">
        <v>25507</v>
      </c>
      <c r="L1608" s="49" t="s">
        <v>18678</v>
      </c>
      <c r="M1608" s="49" t="s">
        <v>18679</v>
      </c>
      <c r="N1608" s="49" t="s">
        <v>18680</v>
      </c>
      <c r="O1608" s="49" t="s">
        <v>25416</v>
      </c>
      <c r="P1608" s="49" t="s">
        <v>25429</v>
      </c>
      <c r="Q1608" s="49" t="s">
        <v>25442</v>
      </c>
      <c r="R1608" s="49" t="s">
        <v>25455</v>
      </c>
      <c r="S1608" s="49" t="s">
        <v>25468</v>
      </c>
      <c r="T1608" s="49" t="s">
        <v>25481</v>
      </c>
    </row>
    <row r="1609" spans="1:21" x14ac:dyDescent="0.2">
      <c r="A1609" s="49" t="s">
        <v>30</v>
      </c>
      <c r="D1609" s="49" t="s">
        <v>18681</v>
      </c>
      <c r="G1609" s="49" t="s">
        <v>18682</v>
      </c>
      <c r="H1609" s="49" t="s">
        <v>25391</v>
      </c>
      <c r="I1609" s="49" t="s">
        <v>25404</v>
      </c>
      <c r="J1609" s="49" t="s">
        <v>25495</v>
      </c>
      <c r="K1609" s="49" t="s">
        <v>25508</v>
      </c>
      <c r="L1609" s="49" t="s">
        <v>18683</v>
      </c>
      <c r="M1609" s="49" t="s">
        <v>18684</v>
      </c>
      <c r="N1609" s="49" t="s">
        <v>18685</v>
      </c>
      <c r="O1609" s="49" t="s">
        <v>25417</v>
      </c>
      <c r="P1609" s="49" t="s">
        <v>25430</v>
      </c>
      <c r="Q1609" s="49" t="s">
        <v>25443</v>
      </c>
      <c r="R1609" s="49" t="s">
        <v>25456</v>
      </c>
      <c r="S1609" s="49" t="s">
        <v>25469</v>
      </c>
      <c r="T1609" s="49" t="s">
        <v>25482</v>
      </c>
    </row>
    <row r="1610" spans="1:21" x14ac:dyDescent="0.2">
      <c r="A1610" s="49" t="s">
        <v>30</v>
      </c>
      <c r="D1610" s="49" t="s">
        <v>18686</v>
      </c>
      <c r="G1610" s="49" t="s">
        <v>18687</v>
      </c>
      <c r="H1610" s="49" t="s">
        <v>25392</v>
      </c>
      <c r="I1610" s="49" t="s">
        <v>25405</v>
      </c>
      <c r="J1610" s="49" t="s">
        <v>25496</v>
      </c>
      <c r="K1610" s="49" t="s">
        <v>25509</v>
      </c>
      <c r="L1610" s="49" t="s">
        <v>18688</v>
      </c>
      <c r="M1610" s="49" t="s">
        <v>18689</v>
      </c>
      <c r="N1610" s="49" t="s">
        <v>18690</v>
      </c>
      <c r="O1610" s="49" t="s">
        <v>25418</v>
      </c>
      <c r="P1610" s="49" t="s">
        <v>25431</v>
      </c>
      <c r="Q1610" s="49" t="s">
        <v>25444</v>
      </c>
      <c r="R1610" s="49" t="s">
        <v>25457</v>
      </c>
      <c r="S1610" s="49" t="s">
        <v>25470</v>
      </c>
      <c r="T1610" s="49" t="s">
        <v>25483</v>
      </c>
    </row>
    <row r="1611" spans="1:21" x14ac:dyDescent="0.2">
      <c r="A1611" s="49" t="s">
        <v>30</v>
      </c>
      <c r="D1611" s="49" t="s">
        <v>18691</v>
      </c>
      <c r="G1611" s="49" t="s">
        <v>18692</v>
      </c>
      <c r="H1611" s="49" t="s">
        <v>25393</v>
      </c>
      <c r="I1611" s="49" t="s">
        <v>25406</v>
      </c>
      <c r="J1611" s="49" t="s">
        <v>25497</v>
      </c>
      <c r="K1611" s="49" t="s">
        <v>25510</v>
      </c>
      <c r="L1611" s="49" t="s">
        <v>18693</v>
      </c>
      <c r="M1611" s="49" t="s">
        <v>18694</v>
      </c>
      <c r="N1611" s="49" t="s">
        <v>18695</v>
      </c>
      <c r="O1611" s="49" t="s">
        <v>25419</v>
      </c>
      <c r="P1611" s="49" t="s">
        <v>25432</v>
      </c>
      <c r="Q1611" s="49" t="s">
        <v>25445</v>
      </c>
      <c r="R1611" s="49" t="s">
        <v>25458</v>
      </c>
      <c r="S1611" s="49" t="s">
        <v>25471</v>
      </c>
      <c r="T1611" s="49" t="s">
        <v>25484</v>
      </c>
    </row>
    <row r="1612" spans="1:21" x14ac:dyDescent="0.2">
      <c r="A1612" s="49" t="s">
        <v>30</v>
      </c>
      <c r="D1612" s="49" t="s">
        <v>18696</v>
      </c>
      <c r="G1612" s="49" t="s">
        <v>18697</v>
      </c>
      <c r="H1612" s="49" t="s">
        <v>25394</v>
      </c>
      <c r="I1612" s="49" t="s">
        <v>25407</v>
      </c>
      <c r="J1612" s="49" t="s">
        <v>25498</v>
      </c>
      <c r="K1612" s="49" t="s">
        <v>25511</v>
      </c>
      <c r="L1612" s="49" t="s">
        <v>18698</v>
      </c>
      <c r="M1612" s="49" t="s">
        <v>18699</v>
      </c>
      <c r="N1612" s="49" t="s">
        <v>18700</v>
      </c>
      <c r="O1612" s="49" t="s">
        <v>25420</v>
      </c>
      <c r="P1612" s="49" t="s">
        <v>25433</v>
      </c>
      <c r="Q1612" s="49" t="s">
        <v>25446</v>
      </c>
      <c r="R1612" s="49" t="s">
        <v>25459</v>
      </c>
      <c r="S1612" s="49" t="s">
        <v>25472</v>
      </c>
      <c r="T1612" s="49" t="s">
        <v>25485</v>
      </c>
    </row>
    <row r="1613" spans="1:21" x14ac:dyDescent="0.2">
      <c r="A1613" s="49" t="s">
        <v>30</v>
      </c>
      <c r="D1613" s="49" t="s">
        <v>18701</v>
      </c>
      <c r="G1613" s="49" t="s">
        <v>18702</v>
      </c>
      <c r="H1613" s="49" t="s">
        <v>25395</v>
      </c>
      <c r="I1613" s="49" t="s">
        <v>25408</v>
      </c>
      <c r="J1613" s="49" t="s">
        <v>25499</v>
      </c>
      <c r="K1613" s="49" t="s">
        <v>25512</v>
      </c>
      <c r="L1613" s="49" t="s">
        <v>18703</v>
      </c>
      <c r="M1613" s="49" t="s">
        <v>18704</v>
      </c>
      <c r="N1613" s="49" t="s">
        <v>18705</v>
      </c>
      <c r="O1613" s="49" t="s">
        <v>25421</v>
      </c>
      <c r="P1613" s="49" t="s">
        <v>25434</v>
      </c>
      <c r="Q1613" s="49" t="s">
        <v>25447</v>
      </c>
      <c r="R1613" s="49" t="s">
        <v>25460</v>
      </c>
      <c r="S1613" s="49" t="s">
        <v>25473</v>
      </c>
      <c r="T1613" s="49" t="s">
        <v>25486</v>
      </c>
    </row>
    <row r="1614" spans="1:21" x14ac:dyDescent="0.2">
      <c r="A1614" s="49" t="s">
        <v>30</v>
      </c>
      <c r="D1614" s="49" t="s">
        <v>18706</v>
      </c>
      <c r="G1614" s="49" t="s">
        <v>18707</v>
      </c>
      <c r="H1614" s="49" t="s">
        <v>25396</v>
      </c>
      <c r="I1614" s="49" t="s">
        <v>25409</v>
      </c>
      <c r="J1614" s="49" t="s">
        <v>25500</v>
      </c>
      <c r="K1614" s="49" t="s">
        <v>25513</v>
      </c>
      <c r="L1614" s="49" t="s">
        <v>18708</v>
      </c>
      <c r="M1614" s="49" t="s">
        <v>18709</v>
      </c>
      <c r="N1614" s="49" t="s">
        <v>18710</v>
      </c>
      <c r="O1614" s="49" t="s">
        <v>25422</v>
      </c>
      <c r="P1614" s="49" t="s">
        <v>25435</v>
      </c>
      <c r="Q1614" s="49" t="s">
        <v>25448</v>
      </c>
      <c r="R1614" s="49" t="s">
        <v>25461</v>
      </c>
      <c r="S1614" s="49" t="s">
        <v>25474</v>
      </c>
      <c r="T1614" s="49" t="s">
        <v>25487</v>
      </c>
    </row>
    <row r="1615" spans="1:21" x14ac:dyDescent="0.2">
      <c r="A1615" s="49" t="s">
        <v>30</v>
      </c>
      <c r="D1615" s="49" t="s">
        <v>18711</v>
      </c>
      <c r="G1615" s="49" t="s">
        <v>18712</v>
      </c>
      <c r="H1615" s="49" t="s">
        <v>25397</v>
      </c>
      <c r="I1615" s="49" t="s">
        <v>25410</v>
      </c>
      <c r="J1615" s="49" t="s">
        <v>25501</v>
      </c>
      <c r="K1615" s="49" t="s">
        <v>25514</v>
      </c>
      <c r="L1615" s="49" t="s">
        <v>18713</v>
      </c>
      <c r="M1615" s="49" t="s">
        <v>18714</v>
      </c>
      <c r="N1615" s="49" t="s">
        <v>18715</v>
      </c>
      <c r="O1615" s="49" t="s">
        <v>25423</v>
      </c>
      <c r="P1615" s="49" t="s">
        <v>25436</v>
      </c>
      <c r="Q1615" s="49" t="s">
        <v>25449</v>
      </c>
      <c r="R1615" s="49" t="s">
        <v>25462</v>
      </c>
      <c r="S1615" s="49" t="s">
        <v>25475</v>
      </c>
      <c r="T1615" s="49" t="s">
        <v>25488</v>
      </c>
    </row>
    <row r="1616" spans="1:21" x14ac:dyDescent="0.2">
      <c r="A1616" s="49" t="s">
        <v>30</v>
      </c>
      <c r="D1616" s="49" t="s">
        <v>18716</v>
      </c>
      <c r="G1616" s="49" t="s">
        <v>18717</v>
      </c>
      <c r="H1616" s="49" t="s">
        <v>25398</v>
      </c>
      <c r="I1616" s="49" t="s">
        <v>25411</v>
      </c>
      <c r="J1616" s="49" t="s">
        <v>25502</v>
      </c>
      <c r="K1616" s="49" t="s">
        <v>25515</v>
      </c>
      <c r="L1616" s="49" t="s">
        <v>18718</v>
      </c>
      <c r="M1616" s="49" t="s">
        <v>18719</v>
      </c>
      <c r="N1616" s="49" t="s">
        <v>18720</v>
      </c>
      <c r="O1616" s="49" t="s">
        <v>25424</v>
      </c>
      <c r="P1616" s="49" t="s">
        <v>25437</v>
      </c>
      <c r="Q1616" s="49" t="s">
        <v>25450</v>
      </c>
      <c r="R1616" s="49" t="s">
        <v>25463</v>
      </c>
      <c r="S1616" s="49" t="s">
        <v>25476</v>
      </c>
      <c r="T1616" s="49" t="s">
        <v>25489</v>
      </c>
    </row>
    <row r="1617" spans="1:21" x14ac:dyDescent="0.2">
      <c r="A1617" s="49" t="s">
        <v>30</v>
      </c>
    </row>
    <row r="1618" spans="1:21" x14ac:dyDescent="0.2">
      <c r="A1618" s="49" t="s">
        <v>30</v>
      </c>
      <c r="E1618" s="49" t="s">
        <v>31</v>
      </c>
      <c r="F1618" s="49" t="s">
        <v>31</v>
      </c>
      <c r="G1618" s="49" t="s">
        <v>31</v>
      </c>
      <c r="J1618" s="49" t="s">
        <v>31</v>
      </c>
      <c r="K1618" s="49" t="s">
        <v>31</v>
      </c>
      <c r="L1618" s="49" t="s">
        <v>31</v>
      </c>
      <c r="M1618" s="49" t="s">
        <v>31</v>
      </c>
    </row>
    <row r="1619" spans="1:21" x14ac:dyDescent="0.2">
      <c r="A1619" s="49" t="s">
        <v>30</v>
      </c>
      <c r="D1619" s="49" t="s">
        <v>18721</v>
      </c>
      <c r="E1619" s="49" t="s">
        <v>7949</v>
      </c>
      <c r="F1619" s="49" t="s">
        <v>18722</v>
      </c>
      <c r="H1619" s="49" t="s">
        <v>18723</v>
      </c>
      <c r="O1619" s="49" t="s">
        <v>18724</v>
      </c>
      <c r="P1619" s="49" t="s">
        <v>18725</v>
      </c>
      <c r="Q1619" s="49" t="s">
        <v>18726</v>
      </c>
      <c r="R1619" s="49" t="s">
        <v>18727</v>
      </c>
      <c r="S1619" s="49" t="s">
        <v>18728</v>
      </c>
      <c r="T1619" s="49" t="s">
        <v>18729</v>
      </c>
      <c r="U1619" s="49" t="s">
        <v>18730</v>
      </c>
    </row>
    <row r="1620" spans="1:21" x14ac:dyDescent="0.2">
      <c r="A1620" s="49" t="s">
        <v>30</v>
      </c>
      <c r="D1620" s="49" t="s">
        <v>18731</v>
      </c>
      <c r="G1620" s="49" t="s">
        <v>18732</v>
      </c>
      <c r="H1620" s="49" t="s">
        <v>25316</v>
      </c>
      <c r="I1620" s="49" t="s">
        <v>25323</v>
      </c>
      <c r="J1620" s="49" t="s">
        <v>25372</v>
      </c>
      <c r="K1620" s="49" t="s">
        <v>25379</v>
      </c>
      <c r="L1620" s="49" t="s">
        <v>18733</v>
      </c>
      <c r="M1620" s="49" t="s">
        <v>18734</v>
      </c>
      <c r="N1620" s="49" t="s">
        <v>18735</v>
      </c>
      <c r="O1620" s="49" t="s">
        <v>25330</v>
      </c>
      <c r="P1620" s="49" t="s">
        <v>25337</v>
      </c>
      <c r="Q1620" s="49" t="s">
        <v>25344</v>
      </c>
      <c r="R1620" s="49" t="s">
        <v>25351</v>
      </c>
      <c r="S1620" s="49" t="s">
        <v>25358</v>
      </c>
      <c r="T1620" s="49" t="s">
        <v>25365</v>
      </c>
    </row>
    <row r="1621" spans="1:21" x14ac:dyDescent="0.2">
      <c r="A1621" s="49" t="s">
        <v>30</v>
      </c>
      <c r="D1621" s="49" t="s">
        <v>18736</v>
      </c>
      <c r="G1621" s="49" t="s">
        <v>18737</v>
      </c>
      <c r="H1621" s="49" t="s">
        <v>25317</v>
      </c>
      <c r="I1621" s="49" t="s">
        <v>25324</v>
      </c>
      <c r="J1621" s="49" t="s">
        <v>25373</v>
      </c>
      <c r="K1621" s="49" t="s">
        <v>25380</v>
      </c>
      <c r="L1621" s="49" t="s">
        <v>18738</v>
      </c>
      <c r="M1621" s="49" t="s">
        <v>18739</v>
      </c>
      <c r="N1621" s="49" t="s">
        <v>18740</v>
      </c>
      <c r="O1621" s="49" t="s">
        <v>25331</v>
      </c>
      <c r="P1621" s="49" t="s">
        <v>25338</v>
      </c>
      <c r="Q1621" s="49" t="s">
        <v>25345</v>
      </c>
      <c r="R1621" s="49" t="s">
        <v>25352</v>
      </c>
      <c r="S1621" s="49" t="s">
        <v>25359</v>
      </c>
      <c r="T1621" s="49" t="s">
        <v>25366</v>
      </c>
    </row>
    <row r="1622" spans="1:21" x14ac:dyDescent="0.2">
      <c r="A1622" s="49" t="s">
        <v>30</v>
      </c>
      <c r="D1622" s="49" t="s">
        <v>18741</v>
      </c>
      <c r="G1622" s="49" t="s">
        <v>18742</v>
      </c>
      <c r="H1622" s="49" t="s">
        <v>25318</v>
      </c>
      <c r="I1622" s="49" t="s">
        <v>25325</v>
      </c>
      <c r="J1622" s="49" t="s">
        <v>25374</v>
      </c>
      <c r="K1622" s="49" t="s">
        <v>25381</v>
      </c>
      <c r="L1622" s="49" t="s">
        <v>18743</v>
      </c>
      <c r="M1622" s="49" t="s">
        <v>18744</v>
      </c>
      <c r="N1622" s="49" t="s">
        <v>18745</v>
      </c>
      <c r="O1622" s="49" t="s">
        <v>25332</v>
      </c>
      <c r="P1622" s="49" t="s">
        <v>25339</v>
      </c>
      <c r="Q1622" s="49" t="s">
        <v>25346</v>
      </c>
      <c r="R1622" s="49" t="s">
        <v>25353</v>
      </c>
      <c r="S1622" s="49" t="s">
        <v>25360</v>
      </c>
      <c r="T1622" s="49" t="s">
        <v>25367</v>
      </c>
    </row>
    <row r="1623" spans="1:21" x14ac:dyDescent="0.2">
      <c r="A1623" s="49" t="s">
        <v>30</v>
      </c>
      <c r="D1623" s="49" t="s">
        <v>18746</v>
      </c>
      <c r="G1623" s="49" t="s">
        <v>18747</v>
      </c>
      <c r="H1623" s="49" t="s">
        <v>25319</v>
      </c>
      <c r="I1623" s="49" t="s">
        <v>25326</v>
      </c>
      <c r="J1623" s="49" t="s">
        <v>25375</v>
      </c>
      <c r="K1623" s="49" t="s">
        <v>25382</v>
      </c>
      <c r="L1623" s="49" t="s">
        <v>18748</v>
      </c>
      <c r="M1623" s="49" t="s">
        <v>18749</v>
      </c>
      <c r="N1623" s="49" t="s">
        <v>18750</v>
      </c>
      <c r="O1623" s="49" t="s">
        <v>25333</v>
      </c>
      <c r="P1623" s="49" t="s">
        <v>25340</v>
      </c>
      <c r="Q1623" s="49" t="s">
        <v>25347</v>
      </c>
      <c r="R1623" s="49" t="s">
        <v>25354</v>
      </c>
      <c r="S1623" s="49" t="s">
        <v>25361</v>
      </c>
      <c r="T1623" s="49" t="s">
        <v>25368</v>
      </c>
    </row>
    <row r="1624" spans="1:21" x14ac:dyDescent="0.2">
      <c r="A1624" s="49" t="s">
        <v>30</v>
      </c>
      <c r="D1624" s="49" t="s">
        <v>18751</v>
      </c>
      <c r="G1624" s="49" t="s">
        <v>18752</v>
      </c>
      <c r="H1624" s="49" t="s">
        <v>25320</v>
      </c>
      <c r="I1624" s="49" t="s">
        <v>25327</v>
      </c>
      <c r="J1624" s="49" t="s">
        <v>25376</v>
      </c>
      <c r="K1624" s="49" t="s">
        <v>25383</v>
      </c>
      <c r="L1624" s="49" t="s">
        <v>18753</v>
      </c>
      <c r="M1624" s="49" t="s">
        <v>18754</v>
      </c>
      <c r="N1624" s="49" t="s">
        <v>18755</v>
      </c>
      <c r="O1624" s="49" t="s">
        <v>25334</v>
      </c>
      <c r="P1624" s="49" t="s">
        <v>25341</v>
      </c>
      <c r="Q1624" s="49" t="s">
        <v>25348</v>
      </c>
      <c r="R1624" s="49" t="s">
        <v>25355</v>
      </c>
      <c r="S1624" s="49" t="s">
        <v>25362</v>
      </c>
      <c r="T1624" s="49" t="s">
        <v>25369</v>
      </c>
    </row>
    <row r="1625" spans="1:21" x14ac:dyDescent="0.2">
      <c r="A1625" s="49" t="s">
        <v>30</v>
      </c>
      <c r="D1625" s="49" t="s">
        <v>18756</v>
      </c>
      <c r="G1625" s="49" t="s">
        <v>18757</v>
      </c>
      <c r="H1625" s="49" t="s">
        <v>25321</v>
      </c>
      <c r="I1625" s="49" t="s">
        <v>25328</v>
      </c>
      <c r="J1625" s="49" t="s">
        <v>25377</v>
      </c>
      <c r="K1625" s="49" t="s">
        <v>25384</v>
      </c>
      <c r="L1625" s="49" t="s">
        <v>18758</v>
      </c>
      <c r="M1625" s="49" t="s">
        <v>18759</v>
      </c>
      <c r="N1625" s="49" t="s">
        <v>18760</v>
      </c>
      <c r="O1625" s="49" t="s">
        <v>25335</v>
      </c>
      <c r="P1625" s="49" t="s">
        <v>25342</v>
      </c>
      <c r="Q1625" s="49" t="s">
        <v>25349</v>
      </c>
      <c r="R1625" s="49" t="s">
        <v>25356</v>
      </c>
      <c r="S1625" s="49" t="s">
        <v>25363</v>
      </c>
      <c r="T1625" s="49" t="s">
        <v>25370</v>
      </c>
    </row>
    <row r="1626" spans="1:21" x14ac:dyDescent="0.2">
      <c r="A1626" s="49" t="s">
        <v>30</v>
      </c>
      <c r="D1626" s="49" t="s">
        <v>18761</v>
      </c>
      <c r="G1626" s="49" t="s">
        <v>18762</v>
      </c>
      <c r="H1626" s="49" t="s">
        <v>25322</v>
      </c>
      <c r="I1626" s="49" t="s">
        <v>25329</v>
      </c>
      <c r="J1626" s="49" t="s">
        <v>25378</v>
      </c>
      <c r="K1626" s="49" t="s">
        <v>25385</v>
      </c>
      <c r="L1626" s="49" t="s">
        <v>18763</v>
      </c>
      <c r="M1626" s="49" t="s">
        <v>18764</v>
      </c>
      <c r="N1626" s="49" t="s">
        <v>18765</v>
      </c>
      <c r="O1626" s="49" t="s">
        <v>25336</v>
      </c>
      <c r="P1626" s="49" t="s">
        <v>25343</v>
      </c>
      <c r="Q1626" s="49" t="s">
        <v>25350</v>
      </c>
      <c r="R1626" s="49" t="s">
        <v>25357</v>
      </c>
      <c r="S1626" s="49" t="s">
        <v>25364</v>
      </c>
      <c r="T1626" s="49" t="s">
        <v>25371</v>
      </c>
    </row>
    <row r="1627" spans="1:21" x14ac:dyDescent="0.2">
      <c r="A1627" s="49" t="s">
        <v>30</v>
      </c>
    </row>
    <row r="1628" spans="1:21" x14ac:dyDescent="0.2">
      <c r="A1628" s="49" t="s">
        <v>30</v>
      </c>
      <c r="E1628" s="49" t="s">
        <v>31</v>
      </c>
      <c r="F1628" s="49" t="s">
        <v>31</v>
      </c>
      <c r="G1628" s="49" t="s">
        <v>31</v>
      </c>
      <c r="J1628" s="49" t="s">
        <v>31</v>
      </c>
      <c r="K1628" s="49" t="s">
        <v>31</v>
      </c>
      <c r="L1628" s="49" t="s">
        <v>31</v>
      </c>
      <c r="M1628" s="49" t="s">
        <v>31</v>
      </c>
    </row>
    <row r="1629" spans="1:21" x14ac:dyDescent="0.2">
      <c r="A1629" s="49" t="s">
        <v>30</v>
      </c>
      <c r="D1629" s="49" t="s">
        <v>18766</v>
      </c>
      <c r="E1629" s="49" t="s">
        <v>8020</v>
      </c>
      <c r="F1629" s="49" t="s">
        <v>18767</v>
      </c>
      <c r="H1629" s="49" t="s">
        <v>18768</v>
      </c>
      <c r="O1629" s="49" t="s">
        <v>18769</v>
      </c>
      <c r="P1629" s="49" t="s">
        <v>18770</v>
      </c>
      <c r="Q1629" s="49" t="s">
        <v>18771</v>
      </c>
      <c r="R1629" s="49" t="s">
        <v>18772</v>
      </c>
      <c r="S1629" s="49" t="s">
        <v>18773</v>
      </c>
      <c r="T1629" s="49" t="s">
        <v>18774</v>
      </c>
      <c r="U1629" s="49" t="s">
        <v>18775</v>
      </c>
    </row>
    <row r="1630" spans="1:21" x14ac:dyDescent="0.2">
      <c r="A1630" s="49" t="s">
        <v>30</v>
      </c>
      <c r="D1630" s="49" t="s">
        <v>18776</v>
      </c>
      <c r="G1630" s="49" t="s">
        <v>18777</v>
      </c>
      <c r="H1630" s="49" t="s">
        <v>25066</v>
      </c>
      <c r="I1630" s="49" t="s">
        <v>25091</v>
      </c>
      <c r="J1630" s="49" t="s">
        <v>25266</v>
      </c>
      <c r="K1630" s="49" t="s">
        <v>25291</v>
      </c>
      <c r="L1630" s="49" t="s">
        <v>18778</v>
      </c>
      <c r="M1630" s="49" t="s">
        <v>18779</v>
      </c>
      <c r="N1630" s="49" t="s">
        <v>18780</v>
      </c>
      <c r="O1630" s="49" t="s">
        <v>25116</v>
      </c>
      <c r="P1630" s="49" t="s">
        <v>25141</v>
      </c>
      <c r="Q1630" s="49" t="s">
        <v>25166</v>
      </c>
      <c r="R1630" s="49" t="s">
        <v>25191</v>
      </c>
      <c r="S1630" s="49" t="s">
        <v>25216</v>
      </c>
      <c r="T1630" s="49" t="s">
        <v>25241</v>
      </c>
    </row>
    <row r="1631" spans="1:21" x14ac:dyDescent="0.2">
      <c r="A1631" s="49" t="s">
        <v>30</v>
      </c>
      <c r="D1631" s="49" t="s">
        <v>18781</v>
      </c>
      <c r="G1631" s="49" t="s">
        <v>18782</v>
      </c>
      <c r="H1631" s="49" t="s">
        <v>25067</v>
      </c>
      <c r="I1631" s="49" t="s">
        <v>25092</v>
      </c>
      <c r="J1631" s="49" t="s">
        <v>25267</v>
      </c>
      <c r="K1631" s="49" t="s">
        <v>25292</v>
      </c>
      <c r="L1631" s="49" t="s">
        <v>18783</v>
      </c>
      <c r="M1631" s="49" t="s">
        <v>18784</v>
      </c>
      <c r="N1631" s="49" t="s">
        <v>18785</v>
      </c>
      <c r="O1631" s="49" t="s">
        <v>25117</v>
      </c>
      <c r="P1631" s="49" t="s">
        <v>25142</v>
      </c>
      <c r="Q1631" s="49" t="s">
        <v>25167</v>
      </c>
      <c r="R1631" s="49" t="s">
        <v>25192</v>
      </c>
      <c r="S1631" s="49" t="s">
        <v>25217</v>
      </c>
      <c r="T1631" s="49" t="s">
        <v>25242</v>
      </c>
    </row>
    <row r="1632" spans="1:21" x14ac:dyDescent="0.2">
      <c r="A1632" s="49" t="s">
        <v>30</v>
      </c>
      <c r="D1632" s="49" t="s">
        <v>18786</v>
      </c>
      <c r="G1632" s="49" t="s">
        <v>18787</v>
      </c>
      <c r="H1632" s="49" t="s">
        <v>25068</v>
      </c>
      <c r="I1632" s="49" t="s">
        <v>25093</v>
      </c>
      <c r="J1632" s="49" t="s">
        <v>25268</v>
      </c>
      <c r="K1632" s="49" t="s">
        <v>25293</v>
      </c>
      <c r="L1632" s="49" t="s">
        <v>18788</v>
      </c>
      <c r="M1632" s="49" t="s">
        <v>18789</v>
      </c>
      <c r="N1632" s="49" t="s">
        <v>18790</v>
      </c>
      <c r="O1632" s="49" t="s">
        <v>25118</v>
      </c>
      <c r="P1632" s="49" t="s">
        <v>25143</v>
      </c>
      <c r="Q1632" s="49" t="s">
        <v>25168</v>
      </c>
      <c r="R1632" s="49" t="s">
        <v>25193</v>
      </c>
      <c r="S1632" s="49" t="s">
        <v>25218</v>
      </c>
      <c r="T1632" s="49" t="s">
        <v>25243</v>
      </c>
    </row>
    <row r="1633" spans="1:20" x14ac:dyDescent="0.2">
      <c r="A1633" s="49" t="s">
        <v>30</v>
      </c>
      <c r="D1633" s="49" t="s">
        <v>18791</v>
      </c>
      <c r="G1633" s="49" t="s">
        <v>18792</v>
      </c>
      <c r="H1633" s="49" t="s">
        <v>25069</v>
      </c>
      <c r="I1633" s="49" t="s">
        <v>25094</v>
      </c>
      <c r="J1633" s="49" t="s">
        <v>25269</v>
      </c>
      <c r="K1633" s="49" t="s">
        <v>25294</v>
      </c>
      <c r="L1633" s="49" t="s">
        <v>18793</v>
      </c>
      <c r="M1633" s="49" t="s">
        <v>18794</v>
      </c>
      <c r="N1633" s="49" t="s">
        <v>18795</v>
      </c>
      <c r="O1633" s="49" t="s">
        <v>25119</v>
      </c>
      <c r="P1633" s="49" t="s">
        <v>25144</v>
      </c>
      <c r="Q1633" s="49" t="s">
        <v>25169</v>
      </c>
      <c r="R1633" s="49" t="s">
        <v>25194</v>
      </c>
      <c r="S1633" s="49" t="s">
        <v>25219</v>
      </c>
      <c r="T1633" s="49" t="s">
        <v>25244</v>
      </c>
    </row>
    <row r="1634" spans="1:20" x14ac:dyDescent="0.2">
      <c r="A1634" s="49" t="s">
        <v>30</v>
      </c>
      <c r="D1634" s="49" t="s">
        <v>18796</v>
      </c>
      <c r="G1634" s="49" t="s">
        <v>18797</v>
      </c>
      <c r="H1634" s="49" t="s">
        <v>25070</v>
      </c>
      <c r="I1634" s="49" t="s">
        <v>25095</v>
      </c>
      <c r="J1634" s="49" t="s">
        <v>25270</v>
      </c>
      <c r="K1634" s="49" t="s">
        <v>25295</v>
      </c>
      <c r="L1634" s="49" t="s">
        <v>18798</v>
      </c>
      <c r="M1634" s="49" t="s">
        <v>18799</v>
      </c>
      <c r="N1634" s="49" t="s">
        <v>18800</v>
      </c>
      <c r="O1634" s="49" t="s">
        <v>25120</v>
      </c>
      <c r="P1634" s="49" t="s">
        <v>25145</v>
      </c>
      <c r="Q1634" s="49" t="s">
        <v>25170</v>
      </c>
      <c r="R1634" s="49" t="s">
        <v>25195</v>
      </c>
      <c r="S1634" s="49" t="s">
        <v>25220</v>
      </c>
      <c r="T1634" s="49" t="s">
        <v>25245</v>
      </c>
    </row>
    <row r="1635" spans="1:20" x14ac:dyDescent="0.2">
      <c r="A1635" s="49" t="s">
        <v>30</v>
      </c>
      <c r="D1635" s="49" t="s">
        <v>18801</v>
      </c>
      <c r="G1635" s="49" t="s">
        <v>18802</v>
      </c>
      <c r="H1635" s="49" t="s">
        <v>25071</v>
      </c>
      <c r="I1635" s="49" t="s">
        <v>25096</v>
      </c>
      <c r="J1635" s="49" t="s">
        <v>25271</v>
      </c>
      <c r="K1635" s="49" t="s">
        <v>25296</v>
      </c>
      <c r="L1635" s="49" t="s">
        <v>18803</v>
      </c>
      <c r="M1635" s="49" t="s">
        <v>18804</v>
      </c>
      <c r="N1635" s="49" t="s">
        <v>18805</v>
      </c>
      <c r="O1635" s="49" t="s">
        <v>25121</v>
      </c>
      <c r="P1635" s="49" t="s">
        <v>25146</v>
      </c>
      <c r="Q1635" s="49" t="s">
        <v>25171</v>
      </c>
      <c r="R1635" s="49" t="s">
        <v>25196</v>
      </c>
      <c r="S1635" s="49" t="s">
        <v>25221</v>
      </c>
      <c r="T1635" s="49" t="s">
        <v>25246</v>
      </c>
    </row>
    <row r="1636" spans="1:20" x14ac:dyDescent="0.2">
      <c r="A1636" s="49" t="s">
        <v>30</v>
      </c>
      <c r="D1636" s="49" t="s">
        <v>18806</v>
      </c>
      <c r="G1636" s="49" t="s">
        <v>18807</v>
      </c>
      <c r="H1636" s="49" t="s">
        <v>25072</v>
      </c>
      <c r="I1636" s="49" t="s">
        <v>25097</v>
      </c>
      <c r="J1636" s="49" t="s">
        <v>25272</v>
      </c>
      <c r="K1636" s="49" t="s">
        <v>25297</v>
      </c>
      <c r="L1636" s="49" t="s">
        <v>18808</v>
      </c>
      <c r="M1636" s="49" t="s">
        <v>18809</v>
      </c>
      <c r="N1636" s="49" t="s">
        <v>18810</v>
      </c>
      <c r="O1636" s="49" t="s">
        <v>25122</v>
      </c>
      <c r="P1636" s="49" t="s">
        <v>25147</v>
      </c>
      <c r="Q1636" s="49" t="s">
        <v>25172</v>
      </c>
      <c r="R1636" s="49" t="s">
        <v>25197</v>
      </c>
      <c r="S1636" s="49" t="s">
        <v>25222</v>
      </c>
      <c r="T1636" s="49" t="s">
        <v>25247</v>
      </c>
    </row>
    <row r="1637" spans="1:20" x14ac:dyDescent="0.2">
      <c r="A1637" s="49" t="s">
        <v>30</v>
      </c>
      <c r="D1637" s="49" t="s">
        <v>18811</v>
      </c>
      <c r="G1637" s="49" t="s">
        <v>18812</v>
      </c>
      <c r="H1637" s="49" t="s">
        <v>25073</v>
      </c>
      <c r="I1637" s="49" t="s">
        <v>25098</v>
      </c>
      <c r="J1637" s="49" t="s">
        <v>25273</v>
      </c>
      <c r="K1637" s="49" t="s">
        <v>25298</v>
      </c>
      <c r="L1637" s="49" t="s">
        <v>18813</v>
      </c>
      <c r="M1637" s="49" t="s">
        <v>18814</v>
      </c>
      <c r="N1637" s="49" t="s">
        <v>18815</v>
      </c>
      <c r="O1637" s="49" t="s">
        <v>25123</v>
      </c>
      <c r="P1637" s="49" t="s">
        <v>25148</v>
      </c>
      <c r="Q1637" s="49" t="s">
        <v>25173</v>
      </c>
      <c r="R1637" s="49" t="s">
        <v>25198</v>
      </c>
      <c r="S1637" s="49" t="s">
        <v>25223</v>
      </c>
      <c r="T1637" s="49" t="s">
        <v>25248</v>
      </c>
    </row>
    <row r="1638" spans="1:20" x14ac:dyDescent="0.2">
      <c r="A1638" s="49" t="s">
        <v>30</v>
      </c>
      <c r="D1638" s="49" t="s">
        <v>18816</v>
      </c>
      <c r="G1638" s="49" t="s">
        <v>18817</v>
      </c>
      <c r="H1638" s="49" t="s">
        <v>25074</v>
      </c>
      <c r="I1638" s="49" t="s">
        <v>25099</v>
      </c>
      <c r="J1638" s="49" t="s">
        <v>25274</v>
      </c>
      <c r="K1638" s="49" t="s">
        <v>25299</v>
      </c>
      <c r="L1638" s="49" t="s">
        <v>18818</v>
      </c>
      <c r="M1638" s="49" t="s">
        <v>18819</v>
      </c>
      <c r="N1638" s="49" t="s">
        <v>18820</v>
      </c>
      <c r="O1638" s="49" t="s">
        <v>25124</v>
      </c>
      <c r="P1638" s="49" t="s">
        <v>25149</v>
      </c>
      <c r="Q1638" s="49" t="s">
        <v>25174</v>
      </c>
      <c r="R1638" s="49" t="s">
        <v>25199</v>
      </c>
      <c r="S1638" s="49" t="s">
        <v>25224</v>
      </c>
      <c r="T1638" s="49" t="s">
        <v>25249</v>
      </c>
    </row>
    <row r="1639" spans="1:20" x14ac:dyDescent="0.2">
      <c r="A1639" s="49" t="s">
        <v>30</v>
      </c>
      <c r="D1639" s="49" t="s">
        <v>18821</v>
      </c>
      <c r="G1639" s="49" t="s">
        <v>18822</v>
      </c>
      <c r="H1639" s="49" t="s">
        <v>25075</v>
      </c>
      <c r="I1639" s="49" t="s">
        <v>25100</v>
      </c>
      <c r="J1639" s="49" t="s">
        <v>25275</v>
      </c>
      <c r="K1639" s="49" t="s">
        <v>25300</v>
      </c>
      <c r="L1639" s="49" t="s">
        <v>18823</v>
      </c>
      <c r="M1639" s="49" t="s">
        <v>18824</v>
      </c>
      <c r="N1639" s="49" t="s">
        <v>18825</v>
      </c>
      <c r="O1639" s="49" t="s">
        <v>25125</v>
      </c>
      <c r="P1639" s="49" t="s">
        <v>25150</v>
      </c>
      <c r="Q1639" s="49" t="s">
        <v>25175</v>
      </c>
      <c r="R1639" s="49" t="s">
        <v>25200</v>
      </c>
      <c r="S1639" s="49" t="s">
        <v>25225</v>
      </c>
      <c r="T1639" s="49" t="s">
        <v>25250</v>
      </c>
    </row>
    <row r="1640" spans="1:20" x14ac:dyDescent="0.2">
      <c r="A1640" s="49" t="s">
        <v>30</v>
      </c>
      <c r="D1640" s="49" t="s">
        <v>18826</v>
      </c>
      <c r="G1640" s="49" t="s">
        <v>18827</v>
      </c>
      <c r="H1640" s="49" t="s">
        <v>25076</v>
      </c>
      <c r="I1640" s="49" t="s">
        <v>25101</v>
      </c>
      <c r="J1640" s="49" t="s">
        <v>25276</v>
      </c>
      <c r="K1640" s="49" t="s">
        <v>25301</v>
      </c>
      <c r="L1640" s="49" t="s">
        <v>18828</v>
      </c>
      <c r="M1640" s="49" t="s">
        <v>18829</v>
      </c>
      <c r="N1640" s="49" t="s">
        <v>18830</v>
      </c>
      <c r="O1640" s="49" t="s">
        <v>25126</v>
      </c>
      <c r="P1640" s="49" t="s">
        <v>25151</v>
      </c>
      <c r="Q1640" s="49" t="s">
        <v>25176</v>
      </c>
      <c r="R1640" s="49" t="s">
        <v>25201</v>
      </c>
      <c r="S1640" s="49" t="s">
        <v>25226</v>
      </c>
      <c r="T1640" s="49" t="s">
        <v>25251</v>
      </c>
    </row>
    <row r="1641" spans="1:20" x14ac:dyDescent="0.2">
      <c r="A1641" s="49" t="s">
        <v>30</v>
      </c>
      <c r="D1641" s="49" t="s">
        <v>18831</v>
      </c>
      <c r="G1641" s="49" t="s">
        <v>18832</v>
      </c>
      <c r="H1641" s="49" t="s">
        <v>25077</v>
      </c>
      <c r="I1641" s="49" t="s">
        <v>25102</v>
      </c>
      <c r="J1641" s="49" t="s">
        <v>25277</v>
      </c>
      <c r="K1641" s="49" t="s">
        <v>25302</v>
      </c>
      <c r="L1641" s="49" t="s">
        <v>18833</v>
      </c>
      <c r="M1641" s="49" t="s">
        <v>18834</v>
      </c>
      <c r="N1641" s="49" t="s">
        <v>18835</v>
      </c>
      <c r="O1641" s="49" t="s">
        <v>25127</v>
      </c>
      <c r="P1641" s="49" t="s">
        <v>25152</v>
      </c>
      <c r="Q1641" s="49" t="s">
        <v>25177</v>
      </c>
      <c r="R1641" s="49" t="s">
        <v>25202</v>
      </c>
      <c r="S1641" s="49" t="s">
        <v>25227</v>
      </c>
      <c r="T1641" s="49" t="s">
        <v>25252</v>
      </c>
    </row>
    <row r="1642" spans="1:20" x14ac:dyDescent="0.2">
      <c r="A1642" s="49" t="s">
        <v>30</v>
      </c>
      <c r="D1642" s="49" t="s">
        <v>18836</v>
      </c>
      <c r="G1642" s="49" t="s">
        <v>18837</v>
      </c>
      <c r="H1642" s="49" t="s">
        <v>25078</v>
      </c>
      <c r="I1642" s="49" t="s">
        <v>25103</v>
      </c>
      <c r="J1642" s="49" t="s">
        <v>25278</v>
      </c>
      <c r="K1642" s="49" t="s">
        <v>25303</v>
      </c>
      <c r="L1642" s="49" t="s">
        <v>18838</v>
      </c>
      <c r="M1642" s="49" t="s">
        <v>18839</v>
      </c>
      <c r="N1642" s="49" t="s">
        <v>18840</v>
      </c>
      <c r="O1642" s="49" t="s">
        <v>25128</v>
      </c>
      <c r="P1642" s="49" t="s">
        <v>25153</v>
      </c>
      <c r="Q1642" s="49" t="s">
        <v>25178</v>
      </c>
      <c r="R1642" s="49" t="s">
        <v>25203</v>
      </c>
      <c r="S1642" s="49" t="s">
        <v>25228</v>
      </c>
      <c r="T1642" s="49" t="s">
        <v>25253</v>
      </c>
    </row>
    <row r="1643" spans="1:20" x14ac:dyDescent="0.2">
      <c r="A1643" s="49" t="s">
        <v>30</v>
      </c>
      <c r="D1643" s="49" t="s">
        <v>18841</v>
      </c>
      <c r="G1643" s="49" t="s">
        <v>18842</v>
      </c>
      <c r="H1643" s="49" t="s">
        <v>25079</v>
      </c>
      <c r="I1643" s="49" t="s">
        <v>25104</v>
      </c>
      <c r="J1643" s="49" t="s">
        <v>25279</v>
      </c>
      <c r="K1643" s="49" t="s">
        <v>25304</v>
      </c>
      <c r="L1643" s="49" t="s">
        <v>18843</v>
      </c>
      <c r="M1643" s="49" t="s">
        <v>18844</v>
      </c>
      <c r="N1643" s="49" t="s">
        <v>18845</v>
      </c>
      <c r="O1643" s="49" t="s">
        <v>25129</v>
      </c>
      <c r="P1643" s="49" t="s">
        <v>25154</v>
      </c>
      <c r="Q1643" s="49" t="s">
        <v>25179</v>
      </c>
      <c r="R1643" s="49" t="s">
        <v>25204</v>
      </c>
      <c r="S1643" s="49" t="s">
        <v>25229</v>
      </c>
      <c r="T1643" s="49" t="s">
        <v>25254</v>
      </c>
    </row>
    <row r="1644" spans="1:20" x14ac:dyDescent="0.2">
      <c r="A1644" s="49" t="s">
        <v>30</v>
      </c>
      <c r="D1644" s="49" t="s">
        <v>18846</v>
      </c>
      <c r="G1644" s="49" t="s">
        <v>18847</v>
      </c>
      <c r="H1644" s="49" t="s">
        <v>25080</v>
      </c>
      <c r="I1644" s="49" t="s">
        <v>25105</v>
      </c>
      <c r="J1644" s="49" t="s">
        <v>25280</v>
      </c>
      <c r="K1644" s="49" t="s">
        <v>25305</v>
      </c>
      <c r="L1644" s="49" t="s">
        <v>18848</v>
      </c>
      <c r="M1644" s="49" t="s">
        <v>18849</v>
      </c>
      <c r="N1644" s="49" t="s">
        <v>18850</v>
      </c>
      <c r="O1644" s="49" t="s">
        <v>25130</v>
      </c>
      <c r="P1644" s="49" t="s">
        <v>25155</v>
      </c>
      <c r="Q1644" s="49" t="s">
        <v>25180</v>
      </c>
      <c r="R1644" s="49" t="s">
        <v>25205</v>
      </c>
      <c r="S1644" s="49" t="s">
        <v>25230</v>
      </c>
      <c r="T1644" s="49" t="s">
        <v>25255</v>
      </c>
    </row>
    <row r="1645" spans="1:20" x14ac:dyDescent="0.2">
      <c r="A1645" s="49" t="s">
        <v>30</v>
      </c>
      <c r="D1645" s="49" t="s">
        <v>18851</v>
      </c>
      <c r="G1645" s="49" t="s">
        <v>18852</v>
      </c>
      <c r="H1645" s="49" t="s">
        <v>25081</v>
      </c>
      <c r="I1645" s="49" t="s">
        <v>25106</v>
      </c>
      <c r="J1645" s="49" t="s">
        <v>25281</v>
      </c>
      <c r="K1645" s="49" t="s">
        <v>25306</v>
      </c>
      <c r="L1645" s="49" t="s">
        <v>18853</v>
      </c>
      <c r="M1645" s="49" t="s">
        <v>18854</v>
      </c>
      <c r="N1645" s="49" t="s">
        <v>18855</v>
      </c>
      <c r="O1645" s="49" t="s">
        <v>25131</v>
      </c>
      <c r="P1645" s="49" t="s">
        <v>25156</v>
      </c>
      <c r="Q1645" s="49" t="s">
        <v>25181</v>
      </c>
      <c r="R1645" s="49" t="s">
        <v>25206</v>
      </c>
      <c r="S1645" s="49" t="s">
        <v>25231</v>
      </c>
      <c r="T1645" s="49" t="s">
        <v>25256</v>
      </c>
    </row>
    <row r="1646" spans="1:20" x14ac:dyDescent="0.2">
      <c r="A1646" s="49" t="s">
        <v>30</v>
      </c>
      <c r="D1646" s="49" t="s">
        <v>18856</v>
      </c>
      <c r="G1646" s="49" t="s">
        <v>18857</v>
      </c>
      <c r="H1646" s="49" t="s">
        <v>25082</v>
      </c>
      <c r="I1646" s="49" t="s">
        <v>25107</v>
      </c>
      <c r="J1646" s="49" t="s">
        <v>25282</v>
      </c>
      <c r="K1646" s="49" t="s">
        <v>25307</v>
      </c>
      <c r="L1646" s="49" t="s">
        <v>18858</v>
      </c>
      <c r="M1646" s="49" t="s">
        <v>18859</v>
      </c>
      <c r="N1646" s="49" t="s">
        <v>18860</v>
      </c>
      <c r="O1646" s="49" t="s">
        <v>25132</v>
      </c>
      <c r="P1646" s="49" t="s">
        <v>25157</v>
      </c>
      <c r="Q1646" s="49" t="s">
        <v>25182</v>
      </c>
      <c r="R1646" s="49" t="s">
        <v>25207</v>
      </c>
      <c r="S1646" s="49" t="s">
        <v>25232</v>
      </c>
      <c r="T1646" s="49" t="s">
        <v>25257</v>
      </c>
    </row>
    <row r="1647" spans="1:20" x14ac:dyDescent="0.2">
      <c r="A1647" s="49" t="s">
        <v>30</v>
      </c>
      <c r="D1647" s="49" t="s">
        <v>18861</v>
      </c>
      <c r="G1647" s="49" t="s">
        <v>18862</v>
      </c>
      <c r="H1647" s="49" t="s">
        <v>25083</v>
      </c>
      <c r="I1647" s="49" t="s">
        <v>25108</v>
      </c>
      <c r="J1647" s="49" t="s">
        <v>25283</v>
      </c>
      <c r="K1647" s="49" t="s">
        <v>25308</v>
      </c>
      <c r="L1647" s="49" t="s">
        <v>18863</v>
      </c>
      <c r="M1647" s="49" t="s">
        <v>18864</v>
      </c>
      <c r="N1647" s="49" t="s">
        <v>18865</v>
      </c>
      <c r="O1647" s="49" t="s">
        <v>25133</v>
      </c>
      <c r="P1647" s="49" t="s">
        <v>25158</v>
      </c>
      <c r="Q1647" s="49" t="s">
        <v>25183</v>
      </c>
      <c r="R1647" s="49" t="s">
        <v>25208</v>
      </c>
      <c r="S1647" s="49" t="s">
        <v>25233</v>
      </c>
      <c r="T1647" s="49" t="s">
        <v>25258</v>
      </c>
    </row>
    <row r="1648" spans="1:20" x14ac:dyDescent="0.2">
      <c r="A1648" s="49" t="s">
        <v>30</v>
      </c>
      <c r="D1648" s="49" t="s">
        <v>18866</v>
      </c>
      <c r="G1648" s="49" t="s">
        <v>18867</v>
      </c>
      <c r="H1648" s="49" t="s">
        <v>25084</v>
      </c>
      <c r="I1648" s="49" t="s">
        <v>25109</v>
      </c>
      <c r="J1648" s="49" t="s">
        <v>25284</v>
      </c>
      <c r="K1648" s="49" t="s">
        <v>25309</v>
      </c>
      <c r="L1648" s="49" t="s">
        <v>18868</v>
      </c>
      <c r="M1648" s="49" t="s">
        <v>18869</v>
      </c>
      <c r="N1648" s="49" t="s">
        <v>18870</v>
      </c>
      <c r="O1648" s="49" t="s">
        <v>25134</v>
      </c>
      <c r="P1648" s="49" t="s">
        <v>25159</v>
      </c>
      <c r="Q1648" s="49" t="s">
        <v>25184</v>
      </c>
      <c r="R1648" s="49" t="s">
        <v>25209</v>
      </c>
      <c r="S1648" s="49" t="s">
        <v>25234</v>
      </c>
      <c r="T1648" s="49" t="s">
        <v>25259</v>
      </c>
    </row>
    <row r="1649" spans="1:21" x14ac:dyDescent="0.2">
      <c r="A1649" s="49" t="s">
        <v>30</v>
      </c>
      <c r="D1649" s="49" t="s">
        <v>18871</v>
      </c>
      <c r="G1649" s="49" t="s">
        <v>18872</v>
      </c>
      <c r="H1649" s="49" t="s">
        <v>25085</v>
      </c>
      <c r="I1649" s="49" t="s">
        <v>25110</v>
      </c>
      <c r="J1649" s="49" t="s">
        <v>25285</v>
      </c>
      <c r="K1649" s="49" t="s">
        <v>25310</v>
      </c>
      <c r="L1649" s="49" t="s">
        <v>18873</v>
      </c>
      <c r="M1649" s="49" t="s">
        <v>18874</v>
      </c>
      <c r="N1649" s="49" t="s">
        <v>18875</v>
      </c>
      <c r="O1649" s="49" t="s">
        <v>25135</v>
      </c>
      <c r="P1649" s="49" t="s">
        <v>25160</v>
      </c>
      <c r="Q1649" s="49" t="s">
        <v>25185</v>
      </c>
      <c r="R1649" s="49" t="s">
        <v>25210</v>
      </c>
      <c r="S1649" s="49" t="s">
        <v>25235</v>
      </c>
      <c r="T1649" s="49" t="s">
        <v>25260</v>
      </c>
    </row>
    <row r="1650" spans="1:21" x14ac:dyDescent="0.2">
      <c r="A1650" s="49" t="s">
        <v>30</v>
      </c>
      <c r="D1650" s="49" t="s">
        <v>18876</v>
      </c>
      <c r="G1650" s="49" t="s">
        <v>18877</v>
      </c>
      <c r="H1650" s="49" t="s">
        <v>25086</v>
      </c>
      <c r="I1650" s="49" t="s">
        <v>25111</v>
      </c>
      <c r="J1650" s="49" t="s">
        <v>25286</v>
      </c>
      <c r="K1650" s="49" t="s">
        <v>25311</v>
      </c>
      <c r="L1650" s="49" t="s">
        <v>18878</v>
      </c>
      <c r="M1650" s="49" t="s">
        <v>18879</v>
      </c>
      <c r="N1650" s="49" t="s">
        <v>18880</v>
      </c>
      <c r="O1650" s="49" t="s">
        <v>25136</v>
      </c>
      <c r="P1650" s="49" t="s">
        <v>25161</v>
      </c>
      <c r="Q1650" s="49" t="s">
        <v>25186</v>
      </c>
      <c r="R1650" s="49" t="s">
        <v>25211</v>
      </c>
      <c r="S1650" s="49" t="s">
        <v>25236</v>
      </c>
      <c r="T1650" s="49" t="s">
        <v>25261</v>
      </c>
    </row>
    <row r="1651" spans="1:21" x14ac:dyDescent="0.2">
      <c r="A1651" s="49" t="s">
        <v>30</v>
      </c>
      <c r="D1651" s="49" t="s">
        <v>18881</v>
      </c>
      <c r="G1651" s="49" t="s">
        <v>18882</v>
      </c>
      <c r="H1651" s="49" t="s">
        <v>25087</v>
      </c>
      <c r="I1651" s="49" t="s">
        <v>25112</v>
      </c>
      <c r="J1651" s="49" t="s">
        <v>25287</v>
      </c>
      <c r="K1651" s="49" t="s">
        <v>25312</v>
      </c>
      <c r="L1651" s="49" t="s">
        <v>18883</v>
      </c>
      <c r="M1651" s="49" t="s">
        <v>18884</v>
      </c>
      <c r="N1651" s="49" t="s">
        <v>18885</v>
      </c>
      <c r="O1651" s="49" t="s">
        <v>25137</v>
      </c>
      <c r="P1651" s="49" t="s">
        <v>25162</v>
      </c>
      <c r="Q1651" s="49" t="s">
        <v>25187</v>
      </c>
      <c r="R1651" s="49" t="s">
        <v>25212</v>
      </c>
      <c r="S1651" s="49" t="s">
        <v>25237</v>
      </c>
      <c r="T1651" s="49" t="s">
        <v>25262</v>
      </c>
    </row>
    <row r="1652" spans="1:21" x14ac:dyDescent="0.2">
      <c r="A1652" s="49" t="s">
        <v>30</v>
      </c>
      <c r="D1652" s="49" t="s">
        <v>18886</v>
      </c>
      <c r="G1652" s="49" t="s">
        <v>18887</v>
      </c>
      <c r="H1652" s="49" t="s">
        <v>25088</v>
      </c>
      <c r="I1652" s="49" t="s">
        <v>25113</v>
      </c>
      <c r="J1652" s="49" t="s">
        <v>25288</v>
      </c>
      <c r="K1652" s="49" t="s">
        <v>25313</v>
      </c>
      <c r="L1652" s="49" t="s">
        <v>18888</v>
      </c>
      <c r="M1652" s="49" t="s">
        <v>18889</v>
      </c>
      <c r="N1652" s="49" t="s">
        <v>18890</v>
      </c>
      <c r="O1652" s="49" t="s">
        <v>25138</v>
      </c>
      <c r="P1652" s="49" t="s">
        <v>25163</v>
      </c>
      <c r="Q1652" s="49" t="s">
        <v>25188</v>
      </c>
      <c r="R1652" s="49" t="s">
        <v>25213</v>
      </c>
      <c r="S1652" s="49" t="s">
        <v>25238</v>
      </c>
      <c r="T1652" s="49" t="s">
        <v>25263</v>
      </c>
    </row>
    <row r="1653" spans="1:21" x14ac:dyDescent="0.2">
      <c r="A1653" s="49" t="s">
        <v>30</v>
      </c>
      <c r="D1653" s="49" t="s">
        <v>18891</v>
      </c>
      <c r="G1653" s="49" t="s">
        <v>18892</v>
      </c>
      <c r="H1653" s="49" t="s">
        <v>25089</v>
      </c>
      <c r="I1653" s="49" t="s">
        <v>25114</v>
      </c>
      <c r="J1653" s="49" t="s">
        <v>25289</v>
      </c>
      <c r="K1653" s="49" t="s">
        <v>25314</v>
      </c>
      <c r="L1653" s="49" t="s">
        <v>18893</v>
      </c>
      <c r="M1653" s="49" t="s">
        <v>18894</v>
      </c>
      <c r="N1653" s="49" t="s">
        <v>18895</v>
      </c>
      <c r="O1653" s="49" t="s">
        <v>25139</v>
      </c>
      <c r="P1653" s="49" t="s">
        <v>25164</v>
      </c>
      <c r="Q1653" s="49" t="s">
        <v>25189</v>
      </c>
      <c r="R1653" s="49" t="s">
        <v>25214</v>
      </c>
      <c r="S1653" s="49" t="s">
        <v>25239</v>
      </c>
      <c r="T1653" s="49" t="s">
        <v>25264</v>
      </c>
    </row>
    <row r="1654" spans="1:21" x14ac:dyDescent="0.2">
      <c r="A1654" s="49" t="s">
        <v>30</v>
      </c>
      <c r="D1654" s="49" t="s">
        <v>18896</v>
      </c>
      <c r="G1654" s="49" t="s">
        <v>18897</v>
      </c>
      <c r="H1654" s="49" t="s">
        <v>25090</v>
      </c>
      <c r="I1654" s="49" t="s">
        <v>25115</v>
      </c>
      <c r="J1654" s="49" t="s">
        <v>25290</v>
      </c>
      <c r="K1654" s="49" t="s">
        <v>25315</v>
      </c>
      <c r="L1654" s="49" t="s">
        <v>18898</v>
      </c>
      <c r="M1654" s="49" t="s">
        <v>18899</v>
      </c>
      <c r="N1654" s="49" t="s">
        <v>18900</v>
      </c>
      <c r="O1654" s="49" t="s">
        <v>25140</v>
      </c>
      <c r="P1654" s="49" t="s">
        <v>25165</v>
      </c>
      <c r="Q1654" s="49" t="s">
        <v>25190</v>
      </c>
      <c r="R1654" s="49" t="s">
        <v>25215</v>
      </c>
      <c r="S1654" s="49" t="s">
        <v>25240</v>
      </c>
      <c r="T1654" s="49" t="s">
        <v>25265</v>
      </c>
    </row>
    <row r="1655" spans="1:21" x14ac:dyDescent="0.2">
      <c r="A1655" s="49" t="s">
        <v>30</v>
      </c>
    </row>
    <row r="1656" spans="1:21" x14ac:dyDescent="0.2">
      <c r="A1656" s="49" t="s">
        <v>30</v>
      </c>
      <c r="E1656" s="49" t="s">
        <v>31</v>
      </c>
      <c r="F1656" s="49" t="s">
        <v>31</v>
      </c>
      <c r="G1656" s="49" t="s">
        <v>31</v>
      </c>
      <c r="J1656" s="49" t="s">
        <v>31</v>
      </c>
      <c r="K1656" s="49" t="s">
        <v>31</v>
      </c>
      <c r="L1656" s="49" t="s">
        <v>31</v>
      </c>
      <c r="M1656" s="49" t="s">
        <v>31</v>
      </c>
    </row>
    <row r="1657" spans="1:21" x14ac:dyDescent="0.2">
      <c r="A1657" s="49" t="s">
        <v>30</v>
      </c>
      <c r="D1657" s="49" t="s">
        <v>18901</v>
      </c>
      <c r="E1657" s="49" t="s">
        <v>8077</v>
      </c>
      <c r="F1657" s="49" t="s">
        <v>18902</v>
      </c>
      <c r="H1657" s="49" t="s">
        <v>18903</v>
      </c>
      <c r="O1657" s="49" t="s">
        <v>18904</v>
      </c>
      <c r="P1657" s="49" t="s">
        <v>18905</v>
      </c>
      <c r="Q1657" s="49" t="s">
        <v>18906</v>
      </c>
      <c r="R1657" s="49" t="s">
        <v>18907</v>
      </c>
      <c r="S1657" s="49" t="s">
        <v>18908</v>
      </c>
      <c r="T1657" s="49" t="s">
        <v>18909</v>
      </c>
      <c r="U1657" s="49" t="s">
        <v>18910</v>
      </c>
    </row>
    <row r="1658" spans="1:21" x14ac:dyDescent="0.2">
      <c r="A1658" s="49" t="s">
        <v>30</v>
      </c>
      <c r="D1658" s="49" t="s">
        <v>18911</v>
      </c>
      <c r="G1658" s="49" t="s">
        <v>18912</v>
      </c>
      <c r="H1658" s="49" t="s">
        <v>24916</v>
      </c>
      <c r="I1658" s="49" t="s">
        <v>24931</v>
      </c>
      <c r="J1658" s="49" t="s">
        <v>25036</v>
      </c>
      <c r="K1658" s="49" t="s">
        <v>25051</v>
      </c>
      <c r="L1658" s="49" t="s">
        <v>18913</v>
      </c>
      <c r="M1658" s="49" t="s">
        <v>18914</v>
      </c>
      <c r="N1658" s="49" t="s">
        <v>18915</v>
      </c>
      <c r="O1658" s="49" t="s">
        <v>24946</v>
      </c>
      <c r="P1658" s="49" t="s">
        <v>24961</v>
      </c>
      <c r="Q1658" s="49" t="s">
        <v>24976</v>
      </c>
      <c r="R1658" s="49" t="s">
        <v>24991</v>
      </c>
      <c r="S1658" s="49" t="s">
        <v>25006</v>
      </c>
      <c r="T1658" s="49" t="s">
        <v>25021</v>
      </c>
    </row>
    <row r="1659" spans="1:21" x14ac:dyDescent="0.2">
      <c r="A1659" s="49" t="s">
        <v>30</v>
      </c>
      <c r="D1659" s="49" t="s">
        <v>18916</v>
      </c>
      <c r="G1659" s="49" t="s">
        <v>18917</v>
      </c>
      <c r="H1659" s="49" t="s">
        <v>24917</v>
      </c>
      <c r="I1659" s="49" t="s">
        <v>24932</v>
      </c>
      <c r="J1659" s="49" t="s">
        <v>25037</v>
      </c>
      <c r="K1659" s="49" t="s">
        <v>25052</v>
      </c>
      <c r="L1659" s="49" t="s">
        <v>18918</v>
      </c>
      <c r="M1659" s="49" t="s">
        <v>18919</v>
      </c>
      <c r="N1659" s="49" t="s">
        <v>18920</v>
      </c>
      <c r="O1659" s="49" t="s">
        <v>24947</v>
      </c>
      <c r="P1659" s="49" t="s">
        <v>24962</v>
      </c>
      <c r="Q1659" s="49" t="s">
        <v>24977</v>
      </c>
      <c r="R1659" s="49" t="s">
        <v>24992</v>
      </c>
      <c r="S1659" s="49" t="s">
        <v>25007</v>
      </c>
      <c r="T1659" s="49" t="s">
        <v>25022</v>
      </c>
    </row>
    <row r="1660" spans="1:21" x14ac:dyDescent="0.2">
      <c r="A1660" s="49" t="s">
        <v>30</v>
      </c>
      <c r="D1660" s="49" t="s">
        <v>18921</v>
      </c>
      <c r="G1660" s="49" t="s">
        <v>18922</v>
      </c>
      <c r="H1660" s="49" t="s">
        <v>24918</v>
      </c>
      <c r="I1660" s="49" t="s">
        <v>24933</v>
      </c>
      <c r="J1660" s="49" t="s">
        <v>25038</v>
      </c>
      <c r="K1660" s="49" t="s">
        <v>25053</v>
      </c>
      <c r="L1660" s="49" t="s">
        <v>18923</v>
      </c>
      <c r="M1660" s="49" t="s">
        <v>18924</v>
      </c>
      <c r="N1660" s="49" t="s">
        <v>18925</v>
      </c>
      <c r="O1660" s="49" t="s">
        <v>24948</v>
      </c>
      <c r="P1660" s="49" t="s">
        <v>24963</v>
      </c>
      <c r="Q1660" s="49" t="s">
        <v>24978</v>
      </c>
      <c r="R1660" s="49" t="s">
        <v>24993</v>
      </c>
      <c r="S1660" s="49" t="s">
        <v>25008</v>
      </c>
      <c r="T1660" s="49" t="s">
        <v>25023</v>
      </c>
    </row>
    <row r="1661" spans="1:21" x14ac:dyDescent="0.2">
      <c r="A1661" s="49" t="s">
        <v>30</v>
      </c>
      <c r="D1661" s="49" t="s">
        <v>18926</v>
      </c>
      <c r="G1661" s="49" t="s">
        <v>18927</v>
      </c>
      <c r="H1661" s="49" t="s">
        <v>24919</v>
      </c>
      <c r="I1661" s="49" t="s">
        <v>24934</v>
      </c>
      <c r="J1661" s="49" t="s">
        <v>25039</v>
      </c>
      <c r="K1661" s="49" t="s">
        <v>25054</v>
      </c>
      <c r="L1661" s="49" t="s">
        <v>18928</v>
      </c>
      <c r="M1661" s="49" t="s">
        <v>18929</v>
      </c>
      <c r="N1661" s="49" t="s">
        <v>18930</v>
      </c>
      <c r="O1661" s="49" t="s">
        <v>24949</v>
      </c>
      <c r="P1661" s="49" t="s">
        <v>24964</v>
      </c>
      <c r="Q1661" s="49" t="s">
        <v>24979</v>
      </c>
      <c r="R1661" s="49" t="s">
        <v>24994</v>
      </c>
      <c r="S1661" s="49" t="s">
        <v>25009</v>
      </c>
      <c r="T1661" s="49" t="s">
        <v>25024</v>
      </c>
    </row>
    <row r="1662" spans="1:21" x14ac:dyDescent="0.2">
      <c r="A1662" s="49" t="s">
        <v>30</v>
      </c>
      <c r="D1662" s="49" t="s">
        <v>18931</v>
      </c>
      <c r="G1662" s="49" t="s">
        <v>18932</v>
      </c>
      <c r="H1662" s="49" t="s">
        <v>24920</v>
      </c>
      <c r="I1662" s="49" t="s">
        <v>24935</v>
      </c>
      <c r="J1662" s="49" t="s">
        <v>25040</v>
      </c>
      <c r="K1662" s="49" t="s">
        <v>25055</v>
      </c>
      <c r="L1662" s="49" t="s">
        <v>18933</v>
      </c>
      <c r="M1662" s="49" t="s">
        <v>18934</v>
      </c>
      <c r="N1662" s="49" t="s">
        <v>18935</v>
      </c>
      <c r="O1662" s="49" t="s">
        <v>24950</v>
      </c>
      <c r="P1662" s="49" t="s">
        <v>24965</v>
      </c>
      <c r="Q1662" s="49" t="s">
        <v>24980</v>
      </c>
      <c r="R1662" s="49" t="s">
        <v>24995</v>
      </c>
      <c r="S1662" s="49" t="s">
        <v>25010</v>
      </c>
      <c r="T1662" s="49" t="s">
        <v>25025</v>
      </c>
    </row>
    <row r="1663" spans="1:21" x14ac:dyDescent="0.2">
      <c r="A1663" s="49" t="s">
        <v>30</v>
      </c>
      <c r="D1663" s="49" t="s">
        <v>18936</v>
      </c>
      <c r="G1663" s="49" t="s">
        <v>18937</v>
      </c>
      <c r="H1663" s="49" t="s">
        <v>24921</v>
      </c>
      <c r="I1663" s="49" t="s">
        <v>24936</v>
      </c>
      <c r="J1663" s="49" t="s">
        <v>25041</v>
      </c>
      <c r="K1663" s="49" t="s">
        <v>25056</v>
      </c>
      <c r="L1663" s="49" t="s">
        <v>18938</v>
      </c>
      <c r="M1663" s="49" t="s">
        <v>18939</v>
      </c>
      <c r="N1663" s="49" t="s">
        <v>18940</v>
      </c>
      <c r="O1663" s="49" t="s">
        <v>24951</v>
      </c>
      <c r="P1663" s="49" t="s">
        <v>24966</v>
      </c>
      <c r="Q1663" s="49" t="s">
        <v>24981</v>
      </c>
      <c r="R1663" s="49" t="s">
        <v>24996</v>
      </c>
      <c r="S1663" s="49" t="s">
        <v>25011</v>
      </c>
      <c r="T1663" s="49" t="s">
        <v>25026</v>
      </c>
    </row>
    <row r="1664" spans="1:21" x14ac:dyDescent="0.2">
      <c r="A1664" s="49" t="s">
        <v>30</v>
      </c>
      <c r="D1664" s="49" t="s">
        <v>18941</v>
      </c>
      <c r="G1664" s="49" t="s">
        <v>18942</v>
      </c>
      <c r="H1664" s="49" t="s">
        <v>24922</v>
      </c>
      <c r="I1664" s="49" t="s">
        <v>24937</v>
      </c>
      <c r="J1664" s="49" t="s">
        <v>25042</v>
      </c>
      <c r="K1664" s="49" t="s">
        <v>25057</v>
      </c>
      <c r="L1664" s="49" t="s">
        <v>18943</v>
      </c>
      <c r="M1664" s="49" t="s">
        <v>18944</v>
      </c>
      <c r="N1664" s="49" t="s">
        <v>18945</v>
      </c>
      <c r="O1664" s="49" t="s">
        <v>24952</v>
      </c>
      <c r="P1664" s="49" t="s">
        <v>24967</v>
      </c>
      <c r="Q1664" s="49" t="s">
        <v>24982</v>
      </c>
      <c r="R1664" s="49" t="s">
        <v>24997</v>
      </c>
      <c r="S1664" s="49" t="s">
        <v>25012</v>
      </c>
      <c r="T1664" s="49" t="s">
        <v>25027</v>
      </c>
    </row>
    <row r="1665" spans="1:21" x14ac:dyDescent="0.2">
      <c r="A1665" s="49" t="s">
        <v>30</v>
      </c>
      <c r="D1665" s="49" t="s">
        <v>18946</v>
      </c>
      <c r="G1665" s="49" t="s">
        <v>18947</v>
      </c>
      <c r="H1665" s="49" t="s">
        <v>24923</v>
      </c>
      <c r="I1665" s="49" t="s">
        <v>24938</v>
      </c>
      <c r="J1665" s="49" t="s">
        <v>25043</v>
      </c>
      <c r="K1665" s="49" t="s">
        <v>25058</v>
      </c>
      <c r="L1665" s="49" t="s">
        <v>18948</v>
      </c>
      <c r="M1665" s="49" t="s">
        <v>18949</v>
      </c>
      <c r="N1665" s="49" t="s">
        <v>18950</v>
      </c>
      <c r="O1665" s="49" t="s">
        <v>24953</v>
      </c>
      <c r="P1665" s="49" t="s">
        <v>24968</v>
      </c>
      <c r="Q1665" s="49" t="s">
        <v>24983</v>
      </c>
      <c r="R1665" s="49" t="s">
        <v>24998</v>
      </c>
      <c r="S1665" s="49" t="s">
        <v>25013</v>
      </c>
      <c r="T1665" s="49" t="s">
        <v>25028</v>
      </c>
    </row>
    <row r="1666" spans="1:21" x14ac:dyDescent="0.2">
      <c r="A1666" s="49" t="s">
        <v>30</v>
      </c>
      <c r="D1666" s="49" t="s">
        <v>18951</v>
      </c>
      <c r="G1666" s="49" t="s">
        <v>18952</v>
      </c>
      <c r="H1666" s="49" t="s">
        <v>24924</v>
      </c>
      <c r="I1666" s="49" t="s">
        <v>24939</v>
      </c>
      <c r="J1666" s="49" t="s">
        <v>25044</v>
      </c>
      <c r="K1666" s="49" t="s">
        <v>25059</v>
      </c>
      <c r="L1666" s="49" t="s">
        <v>18953</v>
      </c>
      <c r="M1666" s="49" t="s">
        <v>18954</v>
      </c>
      <c r="N1666" s="49" t="s">
        <v>18955</v>
      </c>
      <c r="O1666" s="49" t="s">
        <v>24954</v>
      </c>
      <c r="P1666" s="49" t="s">
        <v>24969</v>
      </c>
      <c r="Q1666" s="49" t="s">
        <v>24984</v>
      </c>
      <c r="R1666" s="49" t="s">
        <v>24999</v>
      </c>
      <c r="S1666" s="49" t="s">
        <v>25014</v>
      </c>
      <c r="T1666" s="49" t="s">
        <v>25029</v>
      </c>
    </row>
    <row r="1667" spans="1:21" x14ac:dyDescent="0.2">
      <c r="A1667" s="49" t="s">
        <v>30</v>
      </c>
      <c r="D1667" s="49" t="s">
        <v>18956</v>
      </c>
      <c r="G1667" s="49" t="s">
        <v>18957</v>
      </c>
      <c r="H1667" s="49" t="s">
        <v>24925</v>
      </c>
      <c r="I1667" s="49" t="s">
        <v>24940</v>
      </c>
      <c r="J1667" s="49" t="s">
        <v>25045</v>
      </c>
      <c r="K1667" s="49" t="s">
        <v>25060</v>
      </c>
      <c r="L1667" s="49" t="s">
        <v>18958</v>
      </c>
      <c r="M1667" s="49" t="s">
        <v>18959</v>
      </c>
      <c r="N1667" s="49" t="s">
        <v>18960</v>
      </c>
      <c r="O1667" s="49" t="s">
        <v>24955</v>
      </c>
      <c r="P1667" s="49" t="s">
        <v>24970</v>
      </c>
      <c r="Q1667" s="49" t="s">
        <v>24985</v>
      </c>
      <c r="R1667" s="49" t="s">
        <v>25000</v>
      </c>
      <c r="S1667" s="49" t="s">
        <v>25015</v>
      </c>
      <c r="T1667" s="49" t="s">
        <v>25030</v>
      </c>
    </row>
    <row r="1668" spans="1:21" x14ac:dyDescent="0.2">
      <c r="A1668" s="49" t="s">
        <v>30</v>
      </c>
      <c r="D1668" s="49" t="s">
        <v>18961</v>
      </c>
      <c r="G1668" s="49" t="s">
        <v>18962</v>
      </c>
      <c r="H1668" s="49" t="s">
        <v>24926</v>
      </c>
      <c r="I1668" s="49" t="s">
        <v>24941</v>
      </c>
      <c r="J1668" s="49" t="s">
        <v>25046</v>
      </c>
      <c r="K1668" s="49" t="s">
        <v>25061</v>
      </c>
      <c r="L1668" s="49" t="s">
        <v>18963</v>
      </c>
      <c r="M1668" s="49" t="s">
        <v>18964</v>
      </c>
      <c r="N1668" s="49" t="s">
        <v>18965</v>
      </c>
      <c r="O1668" s="49" t="s">
        <v>24956</v>
      </c>
      <c r="P1668" s="49" t="s">
        <v>24971</v>
      </c>
      <c r="Q1668" s="49" t="s">
        <v>24986</v>
      </c>
      <c r="R1668" s="49" t="s">
        <v>25001</v>
      </c>
      <c r="S1668" s="49" t="s">
        <v>25016</v>
      </c>
      <c r="T1668" s="49" t="s">
        <v>25031</v>
      </c>
    </row>
    <row r="1669" spans="1:21" x14ac:dyDescent="0.2">
      <c r="A1669" s="49" t="s">
        <v>30</v>
      </c>
      <c r="D1669" s="49" t="s">
        <v>18966</v>
      </c>
      <c r="G1669" s="49" t="s">
        <v>18967</v>
      </c>
      <c r="H1669" s="49" t="s">
        <v>24927</v>
      </c>
      <c r="I1669" s="49" t="s">
        <v>24942</v>
      </c>
      <c r="J1669" s="49" t="s">
        <v>25047</v>
      </c>
      <c r="K1669" s="49" t="s">
        <v>25062</v>
      </c>
      <c r="L1669" s="49" t="s">
        <v>18968</v>
      </c>
      <c r="M1669" s="49" t="s">
        <v>18969</v>
      </c>
      <c r="N1669" s="49" t="s">
        <v>18970</v>
      </c>
      <c r="O1669" s="49" t="s">
        <v>24957</v>
      </c>
      <c r="P1669" s="49" t="s">
        <v>24972</v>
      </c>
      <c r="Q1669" s="49" t="s">
        <v>24987</v>
      </c>
      <c r="R1669" s="49" t="s">
        <v>25002</v>
      </c>
      <c r="S1669" s="49" t="s">
        <v>25017</v>
      </c>
      <c r="T1669" s="49" t="s">
        <v>25032</v>
      </c>
    </row>
    <row r="1670" spans="1:21" x14ac:dyDescent="0.2">
      <c r="A1670" s="49" t="s">
        <v>30</v>
      </c>
      <c r="D1670" s="49" t="s">
        <v>18971</v>
      </c>
      <c r="G1670" s="49" t="s">
        <v>18972</v>
      </c>
      <c r="H1670" s="49" t="s">
        <v>24928</v>
      </c>
      <c r="I1670" s="49" t="s">
        <v>24943</v>
      </c>
      <c r="J1670" s="49" t="s">
        <v>25048</v>
      </c>
      <c r="K1670" s="49" t="s">
        <v>25063</v>
      </c>
      <c r="L1670" s="49" t="s">
        <v>18973</v>
      </c>
      <c r="M1670" s="49" t="s">
        <v>18974</v>
      </c>
      <c r="N1670" s="49" t="s">
        <v>18975</v>
      </c>
      <c r="O1670" s="49" t="s">
        <v>24958</v>
      </c>
      <c r="P1670" s="49" t="s">
        <v>24973</v>
      </c>
      <c r="Q1670" s="49" t="s">
        <v>24988</v>
      </c>
      <c r="R1670" s="49" t="s">
        <v>25003</v>
      </c>
      <c r="S1670" s="49" t="s">
        <v>25018</v>
      </c>
      <c r="T1670" s="49" t="s">
        <v>25033</v>
      </c>
    </row>
    <row r="1671" spans="1:21" x14ac:dyDescent="0.2">
      <c r="A1671" s="49" t="s">
        <v>30</v>
      </c>
      <c r="D1671" s="49" t="s">
        <v>18976</v>
      </c>
      <c r="G1671" s="49" t="s">
        <v>18977</v>
      </c>
      <c r="H1671" s="49" t="s">
        <v>24929</v>
      </c>
      <c r="I1671" s="49" t="s">
        <v>24944</v>
      </c>
      <c r="J1671" s="49" t="s">
        <v>25049</v>
      </c>
      <c r="K1671" s="49" t="s">
        <v>25064</v>
      </c>
      <c r="L1671" s="49" t="s">
        <v>18978</v>
      </c>
      <c r="M1671" s="49" t="s">
        <v>18979</v>
      </c>
      <c r="N1671" s="49" t="s">
        <v>18980</v>
      </c>
      <c r="O1671" s="49" t="s">
        <v>24959</v>
      </c>
      <c r="P1671" s="49" t="s">
        <v>24974</v>
      </c>
      <c r="Q1671" s="49" t="s">
        <v>24989</v>
      </c>
      <c r="R1671" s="49" t="s">
        <v>25004</v>
      </c>
      <c r="S1671" s="49" t="s">
        <v>25019</v>
      </c>
      <c r="T1671" s="49" t="s">
        <v>25034</v>
      </c>
    </row>
    <row r="1672" spans="1:21" x14ac:dyDescent="0.2">
      <c r="A1672" s="49" t="s">
        <v>30</v>
      </c>
      <c r="D1672" s="49" t="s">
        <v>18981</v>
      </c>
      <c r="G1672" s="49" t="s">
        <v>18982</v>
      </c>
      <c r="H1672" s="49" t="s">
        <v>24930</v>
      </c>
      <c r="I1672" s="49" t="s">
        <v>24945</v>
      </c>
      <c r="J1672" s="49" t="s">
        <v>25050</v>
      </c>
      <c r="K1672" s="49" t="s">
        <v>25065</v>
      </c>
      <c r="L1672" s="49" t="s">
        <v>18983</v>
      </c>
      <c r="M1672" s="49" t="s">
        <v>18984</v>
      </c>
      <c r="N1672" s="49" t="s">
        <v>18985</v>
      </c>
      <c r="O1672" s="49" t="s">
        <v>24960</v>
      </c>
      <c r="P1672" s="49" t="s">
        <v>24975</v>
      </c>
      <c r="Q1672" s="49" t="s">
        <v>24990</v>
      </c>
      <c r="R1672" s="49" t="s">
        <v>25005</v>
      </c>
      <c r="S1672" s="49" t="s">
        <v>25020</v>
      </c>
      <c r="T1672" s="49" t="s">
        <v>25035</v>
      </c>
    </row>
    <row r="1673" spans="1:21" x14ac:dyDescent="0.2">
      <c r="A1673" s="49" t="s">
        <v>30</v>
      </c>
    </row>
    <row r="1674" spans="1:21" x14ac:dyDescent="0.2">
      <c r="A1674" s="49" t="s">
        <v>30</v>
      </c>
      <c r="E1674" s="49" t="s">
        <v>31</v>
      </c>
      <c r="F1674" s="49" t="s">
        <v>31</v>
      </c>
      <c r="G1674" s="49" t="s">
        <v>31</v>
      </c>
      <c r="J1674" s="49" t="s">
        <v>31</v>
      </c>
      <c r="K1674" s="49" t="s">
        <v>31</v>
      </c>
      <c r="L1674" s="49" t="s">
        <v>31</v>
      </c>
      <c r="M1674" s="49" t="s">
        <v>31</v>
      </c>
    </row>
    <row r="1675" spans="1:21" x14ac:dyDescent="0.2">
      <c r="A1675" s="49" t="s">
        <v>30</v>
      </c>
      <c r="D1675" s="49" t="s">
        <v>18986</v>
      </c>
      <c r="E1675" s="49" t="s">
        <v>8162</v>
      </c>
      <c r="F1675" s="49" t="s">
        <v>18987</v>
      </c>
      <c r="H1675" s="49" t="s">
        <v>18988</v>
      </c>
      <c r="O1675" s="49" t="s">
        <v>18989</v>
      </c>
      <c r="P1675" s="49" t="s">
        <v>18990</v>
      </c>
      <c r="Q1675" s="49" t="s">
        <v>18991</v>
      </c>
      <c r="R1675" s="49" t="s">
        <v>18992</v>
      </c>
      <c r="S1675" s="49" t="s">
        <v>18993</v>
      </c>
      <c r="T1675" s="49" t="s">
        <v>18994</v>
      </c>
      <c r="U1675" s="49" t="s">
        <v>18995</v>
      </c>
    </row>
    <row r="1676" spans="1:21" x14ac:dyDescent="0.2">
      <c r="A1676" s="49" t="s">
        <v>30</v>
      </c>
      <c r="D1676" s="49" t="s">
        <v>18996</v>
      </c>
      <c r="G1676" s="49" t="s">
        <v>18997</v>
      </c>
      <c r="H1676" s="49" t="s">
        <v>24776</v>
      </c>
      <c r="I1676" s="49" t="s">
        <v>24790</v>
      </c>
      <c r="J1676" s="49" t="s">
        <v>24888</v>
      </c>
      <c r="K1676" s="49" t="s">
        <v>24902</v>
      </c>
      <c r="L1676" s="49" t="s">
        <v>18998</v>
      </c>
      <c r="M1676" s="49" t="s">
        <v>18999</v>
      </c>
      <c r="N1676" s="49" t="s">
        <v>19000</v>
      </c>
      <c r="O1676" s="49" t="s">
        <v>24804</v>
      </c>
      <c r="P1676" s="49" t="s">
        <v>24818</v>
      </c>
      <c r="Q1676" s="49" t="s">
        <v>24832</v>
      </c>
      <c r="R1676" s="49" t="s">
        <v>24846</v>
      </c>
      <c r="S1676" s="49" t="s">
        <v>24860</v>
      </c>
      <c r="T1676" s="49" t="s">
        <v>24874</v>
      </c>
    </row>
    <row r="1677" spans="1:21" x14ac:dyDescent="0.2">
      <c r="A1677" s="49" t="s">
        <v>30</v>
      </c>
      <c r="D1677" s="49" t="s">
        <v>19001</v>
      </c>
      <c r="G1677" s="49" t="s">
        <v>19002</v>
      </c>
      <c r="H1677" s="49" t="s">
        <v>24777</v>
      </c>
      <c r="I1677" s="49" t="s">
        <v>24791</v>
      </c>
      <c r="J1677" s="49" t="s">
        <v>24889</v>
      </c>
      <c r="K1677" s="49" t="s">
        <v>24903</v>
      </c>
      <c r="L1677" s="49" t="s">
        <v>19003</v>
      </c>
      <c r="M1677" s="49" t="s">
        <v>19004</v>
      </c>
      <c r="N1677" s="49" t="s">
        <v>19005</v>
      </c>
      <c r="O1677" s="49" t="s">
        <v>24805</v>
      </c>
      <c r="P1677" s="49" t="s">
        <v>24819</v>
      </c>
      <c r="Q1677" s="49" t="s">
        <v>24833</v>
      </c>
      <c r="R1677" s="49" t="s">
        <v>24847</v>
      </c>
      <c r="S1677" s="49" t="s">
        <v>24861</v>
      </c>
      <c r="T1677" s="49" t="s">
        <v>24875</v>
      </c>
    </row>
    <row r="1678" spans="1:21" x14ac:dyDescent="0.2">
      <c r="A1678" s="49" t="s">
        <v>30</v>
      </c>
      <c r="D1678" s="49" t="s">
        <v>19006</v>
      </c>
      <c r="G1678" s="49" t="s">
        <v>19007</v>
      </c>
      <c r="H1678" s="49" t="s">
        <v>24778</v>
      </c>
      <c r="I1678" s="49" t="s">
        <v>24792</v>
      </c>
      <c r="J1678" s="49" t="s">
        <v>24890</v>
      </c>
      <c r="K1678" s="49" t="s">
        <v>24904</v>
      </c>
      <c r="L1678" s="49" t="s">
        <v>19008</v>
      </c>
      <c r="M1678" s="49" t="s">
        <v>19009</v>
      </c>
      <c r="N1678" s="49" t="s">
        <v>19010</v>
      </c>
      <c r="O1678" s="49" t="s">
        <v>24806</v>
      </c>
      <c r="P1678" s="49" t="s">
        <v>24820</v>
      </c>
      <c r="Q1678" s="49" t="s">
        <v>24834</v>
      </c>
      <c r="R1678" s="49" t="s">
        <v>24848</v>
      </c>
      <c r="S1678" s="49" t="s">
        <v>24862</v>
      </c>
      <c r="T1678" s="49" t="s">
        <v>24876</v>
      </c>
    </row>
    <row r="1679" spans="1:21" x14ac:dyDescent="0.2">
      <c r="A1679" s="49" t="s">
        <v>30</v>
      </c>
      <c r="D1679" s="49" t="s">
        <v>19011</v>
      </c>
      <c r="G1679" s="49" t="s">
        <v>19012</v>
      </c>
      <c r="H1679" s="49" t="s">
        <v>24779</v>
      </c>
      <c r="I1679" s="49" t="s">
        <v>24793</v>
      </c>
      <c r="J1679" s="49" t="s">
        <v>24891</v>
      </c>
      <c r="K1679" s="49" t="s">
        <v>24905</v>
      </c>
      <c r="L1679" s="49" t="s">
        <v>19013</v>
      </c>
      <c r="M1679" s="49" t="s">
        <v>19014</v>
      </c>
      <c r="N1679" s="49" t="s">
        <v>19015</v>
      </c>
      <c r="O1679" s="49" t="s">
        <v>24807</v>
      </c>
      <c r="P1679" s="49" t="s">
        <v>24821</v>
      </c>
      <c r="Q1679" s="49" t="s">
        <v>24835</v>
      </c>
      <c r="R1679" s="49" t="s">
        <v>24849</v>
      </c>
      <c r="S1679" s="49" t="s">
        <v>24863</v>
      </c>
      <c r="T1679" s="49" t="s">
        <v>24877</v>
      </c>
    </row>
    <row r="1680" spans="1:21" x14ac:dyDescent="0.2">
      <c r="A1680" s="49" t="s">
        <v>30</v>
      </c>
      <c r="D1680" s="49" t="s">
        <v>19016</v>
      </c>
      <c r="G1680" s="49" t="s">
        <v>19017</v>
      </c>
      <c r="H1680" s="49" t="s">
        <v>24780</v>
      </c>
      <c r="I1680" s="49" t="s">
        <v>24794</v>
      </c>
      <c r="J1680" s="49" t="s">
        <v>24892</v>
      </c>
      <c r="K1680" s="49" t="s">
        <v>24906</v>
      </c>
      <c r="L1680" s="49" t="s">
        <v>19018</v>
      </c>
      <c r="M1680" s="49" t="s">
        <v>19019</v>
      </c>
      <c r="N1680" s="49" t="s">
        <v>19020</v>
      </c>
      <c r="O1680" s="49" t="s">
        <v>24808</v>
      </c>
      <c r="P1680" s="49" t="s">
        <v>24822</v>
      </c>
      <c r="Q1680" s="49" t="s">
        <v>24836</v>
      </c>
      <c r="R1680" s="49" t="s">
        <v>24850</v>
      </c>
      <c r="S1680" s="49" t="s">
        <v>24864</v>
      </c>
      <c r="T1680" s="49" t="s">
        <v>24878</v>
      </c>
    </row>
    <row r="1681" spans="1:21" x14ac:dyDescent="0.2">
      <c r="A1681" s="49" t="s">
        <v>30</v>
      </c>
      <c r="D1681" s="49" t="s">
        <v>19021</v>
      </c>
      <c r="G1681" s="49" t="s">
        <v>19022</v>
      </c>
      <c r="H1681" s="49" t="s">
        <v>24781</v>
      </c>
      <c r="I1681" s="49" t="s">
        <v>24795</v>
      </c>
      <c r="J1681" s="49" t="s">
        <v>24893</v>
      </c>
      <c r="K1681" s="49" t="s">
        <v>24907</v>
      </c>
      <c r="L1681" s="49" t="s">
        <v>19023</v>
      </c>
      <c r="M1681" s="49" t="s">
        <v>19024</v>
      </c>
      <c r="N1681" s="49" t="s">
        <v>19025</v>
      </c>
      <c r="O1681" s="49" t="s">
        <v>24809</v>
      </c>
      <c r="P1681" s="49" t="s">
        <v>24823</v>
      </c>
      <c r="Q1681" s="49" t="s">
        <v>24837</v>
      </c>
      <c r="R1681" s="49" t="s">
        <v>24851</v>
      </c>
      <c r="S1681" s="49" t="s">
        <v>24865</v>
      </c>
      <c r="T1681" s="49" t="s">
        <v>24879</v>
      </c>
    </row>
    <row r="1682" spans="1:21" x14ac:dyDescent="0.2">
      <c r="A1682" s="49" t="s">
        <v>30</v>
      </c>
      <c r="D1682" s="49" t="s">
        <v>19026</v>
      </c>
      <c r="G1682" s="49" t="s">
        <v>19027</v>
      </c>
      <c r="H1682" s="49" t="s">
        <v>24782</v>
      </c>
      <c r="I1682" s="49" t="s">
        <v>24796</v>
      </c>
      <c r="J1682" s="49" t="s">
        <v>24894</v>
      </c>
      <c r="K1682" s="49" t="s">
        <v>24908</v>
      </c>
      <c r="L1682" s="49" t="s">
        <v>19028</v>
      </c>
      <c r="M1682" s="49" t="s">
        <v>19029</v>
      </c>
      <c r="N1682" s="49" t="s">
        <v>19030</v>
      </c>
      <c r="O1682" s="49" t="s">
        <v>24810</v>
      </c>
      <c r="P1682" s="49" t="s">
        <v>24824</v>
      </c>
      <c r="Q1682" s="49" t="s">
        <v>24838</v>
      </c>
      <c r="R1682" s="49" t="s">
        <v>24852</v>
      </c>
      <c r="S1682" s="49" t="s">
        <v>24866</v>
      </c>
      <c r="T1682" s="49" t="s">
        <v>24880</v>
      </c>
    </row>
    <row r="1683" spans="1:21" x14ac:dyDescent="0.2">
      <c r="A1683" s="49" t="s">
        <v>30</v>
      </c>
      <c r="D1683" s="49" t="s">
        <v>19031</v>
      </c>
      <c r="G1683" s="49" t="s">
        <v>19032</v>
      </c>
      <c r="H1683" s="49" t="s">
        <v>24783</v>
      </c>
      <c r="I1683" s="49" t="s">
        <v>24797</v>
      </c>
      <c r="J1683" s="49" t="s">
        <v>24895</v>
      </c>
      <c r="K1683" s="49" t="s">
        <v>24909</v>
      </c>
      <c r="L1683" s="49" t="s">
        <v>19033</v>
      </c>
      <c r="M1683" s="49" t="s">
        <v>19034</v>
      </c>
      <c r="N1683" s="49" t="s">
        <v>19035</v>
      </c>
      <c r="O1683" s="49" t="s">
        <v>24811</v>
      </c>
      <c r="P1683" s="49" t="s">
        <v>24825</v>
      </c>
      <c r="Q1683" s="49" t="s">
        <v>24839</v>
      </c>
      <c r="R1683" s="49" t="s">
        <v>24853</v>
      </c>
      <c r="S1683" s="49" t="s">
        <v>24867</v>
      </c>
      <c r="T1683" s="49" t="s">
        <v>24881</v>
      </c>
    </row>
    <row r="1684" spans="1:21" x14ac:dyDescent="0.2">
      <c r="A1684" s="49" t="s">
        <v>30</v>
      </c>
      <c r="D1684" s="49" t="s">
        <v>19036</v>
      </c>
      <c r="G1684" s="49" t="s">
        <v>19037</v>
      </c>
      <c r="H1684" s="49" t="s">
        <v>24784</v>
      </c>
      <c r="I1684" s="49" t="s">
        <v>24798</v>
      </c>
      <c r="J1684" s="49" t="s">
        <v>24896</v>
      </c>
      <c r="K1684" s="49" t="s">
        <v>24910</v>
      </c>
      <c r="L1684" s="49" t="s">
        <v>19038</v>
      </c>
      <c r="M1684" s="49" t="s">
        <v>19039</v>
      </c>
      <c r="N1684" s="49" t="s">
        <v>19040</v>
      </c>
      <c r="O1684" s="49" t="s">
        <v>24812</v>
      </c>
      <c r="P1684" s="49" t="s">
        <v>24826</v>
      </c>
      <c r="Q1684" s="49" t="s">
        <v>24840</v>
      </c>
      <c r="R1684" s="49" t="s">
        <v>24854</v>
      </c>
      <c r="S1684" s="49" t="s">
        <v>24868</v>
      </c>
      <c r="T1684" s="49" t="s">
        <v>24882</v>
      </c>
    </row>
    <row r="1685" spans="1:21" x14ac:dyDescent="0.2">
      <c r="A1685" s="49" t="s">
        <v>30</v>
      </c>
      <c r="D1685" s="49" t="s">
        <v>19041</v>
      </c>
      <c r="G1685" s="49" t="s">
        <v>19042</v>
      </c>
      <c r="H1685" s="49" t="s">
        <v>24785</v>
      </c>
      <c r="I1685" s="49" t="s">
        <v>24799</v>
      </c>
      <c r="J1685" s="49" t="s">
        <v>24897</v>
      </c>
      <c r="K1685" s="49" t="s">
        <v>24911</v>
      </c>
      <c r="L1685" s="49" t="s">
        <v>19043</v>
      </c>
      <c r="M1685" s="49" t="s">
        <v>19044</v>
      </c>
      <c r="N1685" s="49" t="s">
        <v>19045</v>
      </c>
      <c r="O1685" s="49" t="s">
        <v>24813</v>
      </c>
      <c r="P1685" s="49" t="s">
        <v>24827</v>
      </c>
      <c r="Q1685" s="49" t="s">
        <v>24841</v>
      </c>
      <c r="R1685" s="49" t="s">
        <v>24855</v>
      </c>
      <c r="S1685" s="49" t="s">
        <v>24869</v>
      </c>
      <c r="T1685" s="49" t="s">
        <v>24883</v>
      </c>
    </row>
    <row r="1686" spans="1:21" x14ac:dyDescent="0.2">
      <c r="A1686" s="49" t="s">
        <v>30</v>
      </c>
      <c r="D1686" s="49" t="s">
        <v>19046</v>
      </c>
      <c r="G1686" s="49" t="s">
        <v>19047</v>
      </c>
      <c r="H1686" s="49" t="s">
        <v>24786</v>
      </c>
      <c r="I1686" s="49" t="s">
        <v>24800</v>
      </c>
      <c r="J1686" s="49" t="s">
        <v>24898</v>
      </c>
      <c r="K1686" s="49" t="s">
        <v>24912</v>
      </c>
      <c r="L1686" s="49" t="s">
        <v>19048</v>
      </c>
      <c r="M1686" s="49" t="s">
        <v>19049</v>
      </c>
      <c r="N1686" s="49" t="s">
        <v>19050</v>
      </c>
      <c r="O1686" s="49" t="s">
        <v>24814</v>
      </c>
      <c r="P1686" s="49" t="s">
        <v>24828</v>
      </c>
      <c r="Q1686" s="49" t="s">
        <v>24842</v>
      </c>
      <c r="R1686" s="49" t="s">
        <v>24856</v>
      </c>
      <c r="S1686" s="49" t="s">
        <v>24870</v>
      </c>
      <c r="T1686" s="49" t="s">
        <v>24884</v>
      </c>
    </row>
    <row r="1687" spans="1:21" x14ac:dyDescent="0.2">
      <c r="A1687" s="49" t="s">
        <v>30</v>
      </c>
      <c r="D1687" s="49" t="s">
        <v>19051</v>
      </c>
      <c r="G1687" s="49" t="s">
        <v>19052</v>
      </c>
      <c r="H1687" s="49" t="s">
        <v>24787</v>
      </c>
      <c r="I1687" s="49" t="s">
        <v>24801</v>
      </c>
      <c r="J1687" s="49" t="s">
        <v>24899</v>
      </c>
      <c r="K1687" s="49" t="s">
        <v>24913</v>
      </c>
      <c r="L1687" s="49" t="s">
        <v>19053</v>
      </c>
      <c r="M1687" s="49" t="s">
        <v>19054</v>
      </c>
      <c r="N1687" s="49" t="s">
        <v>19055</v>
      </c>
      <c r="O1687" s="49" t="s">
        <v>24815</v>
      </c>
      <c r="P1687" s="49" t="s">
        <v>24829</v>
      </c>
      <c r="Q1687" s="49" t="s">
        <v>24843</v>
      </c>
      <c r="R1687" s="49" t="s">
        <v>24857</v>
      </c>
      <c r="S1687" s="49" t="s">
        <v>24871</v>
      </c>
      <c r="T1687" s="49" t="s">
        <v>24885</v>
      </c>
    </row>
    <row r="1688" spans="1:21" x14ac:dyDescent="0.2">
      <c r="A1688" s="49" t="s">
        <v>30</v>
      </c>
      <c r="D1688" s="49" t="s">
        <v>19056</v>
      </c>
      <c r="G1688" s="49" t="s">
        <v>19057</v>
      </c>
      <c r="H1688" s="49" t="s">
        <v>24788</v>
      </c>
      <c r="I1688" s="49" t="s">
        <v>24802</v>
      </c>
      <c r="J1688" s="49" t="s">
        <v>24900</v>
      </c>
      <c r="K1688" s="49" t="s">
        <v>24914</v>
      </c>
      <c r="L1688" s="49" t="s">
        <v>19058</v>
      </c>
      <c r="M1688" s="49" t="s">
        <v>19059</v>
      </c>
      <c r="N1688" s="49" t="s">
        <v>19060</v>
      </c>
      <c r="O1688" s="49" t="s">
        <v>24816</v>
      </c>
      <c r="P1688" s="49" t="s">
        <v>24830</v>
      </c>
      <c r="Q1688" s="49" t="s">
        <v>24844</v>
      </c>
      <c r="R1688" s="49" t="s">
        <v>24858</v>
      </c>
      <c r="S1688" s="49" t="s">
        <v>24872</v>
      </c>
      <c r="T1688" s="49" t="s">
        <v>24886</v>
      </c>
    </row>
    <row r="1689" spans="1:21" x14ac:dyDescent="0.2">
      <c r="A1689" s="49" t="s">
        <v>30</v>
      </c>
      <c r="D1689" s="49" t="s">
        <v>19061</v>
      </c>
      <c r="G1689" s="49" t="s">
        <v>19062</v>
      </c>
      <c r="H1689" s="49" t="s">
        <v>24789</v>
      </c>
      <c r="I1689" s="49" t="s">
        <v>24803</v>
      </c>
      <c r="J1689" s="49" t="s">
        <v>24901</v>
      </c>
      <c r="K1689" s="49" t="s">
        <v>24915</v>
      </c>
      <c r="L1689" s="49" t="s">
        <v>19063</v>
      </c>
      <c r="M1689" s="49" t="s">
        <v>19064</v>
      </c>
      <c r="N1689" s="49" t="s">
        <v>19065</v>
      </c>
      <c r="O1689" s="49" t="s">
        <v>24817</v>
      </c>
      <c r="P1689" s="49" t="s">
        <v>24831</v>
      </c>
      <c r="Q1689" s="49" t="s">
        <v>24845</v>
      </c>
      <c r="R1689" s="49" t="s">
        <v>24859</v>
      </c>
      <c r="S1689" s="49" t="s">
        <v>24873</v>
      </c>
      <c r="T1689" s="49" t="s">
        <v>24887</v>
      </c>
    </row>
    <row r="1690" spans="1:21" x14ac:dyDescent="0.2">
      <c r="A1690" s="49" t="s">
        <v>30</v>
      </c>
    </row>
    <row r="1691" spans="1:21" x14ac:dyDescent="0.2">
      <c r="A1691" s="49" t="s">
        <v>30</v>
      </c>
      <c r="E1691" s="49" t="s">
        <v>31</v>
      </c>
      <c r="F1691" s="49" t="s">
        <v>31</v>
      </c>
      <c r="G1691" s="49" t="s">
        <v>31</v>
      </c>
      <c r="J1691" s="49" t="s">
        <v>31</v>
      </c>
      <c r="K1691" s="49" t="s">
        <v>31</v>
      </c>
      <c r="L1691" s="49" t="s">
        <v>31</v>
      </c>
      <c r="M1691" s="49" t="s">
        <v>31</v>
      </c>
    </row>
    <row r="1692" spans="1:21" x14ac:dyDescent="0.2">
      <c r="A1692" s="49" t="s">
        <v>30</v>
      </c>
      <c r="D1692" s="49" t="s">
        <v>19066</v>
      </c>
      <c r="E1692" s="49" t="s">
        <v>8205</v>
      </c>
      <c r="F1692" s="49" t="s">
        <v>19067</v>
      </c>
      <c r="H1692" s="49" t="s">
        <v>19068</v>
      </c>
      <c r="O1692" s="49" t="s">
        <v>19069</v>
      </c>
      <c r="P1692" s="49" t="s">
        <v>19070</v>
      </c>
      <c r="Q1692" s="49" t="s">
        <v>19071</v>
      </c>
      <c r="R1692" s="49" t="s">
        <v>19072</v>
      </c>
      <c r="S1692" s="49" t="s">
        <v>19073</v>
      </c>
      <c r="T1692" s="49" t="s">
        <v>19074</v>
      </c>
      <c r="U1692" s="49" t="s">
        <v>19075</v>
      </c>
    </row>
    <row r="1693" spans="1:21" x14ac:dyDescent="0.2">
      <c r="A1693" s="49" t="s">
        <v>30</v>
      </c>
      <c r="D1693" s="49" t="s">
        <v>19076</v>
      </c>
      <c r="G1693" s="49" t="s">
        <v>19077</v>
      </c>
      <c r="H1693" s="49" t="s">
        <v>24656</v>
      </c>
      <c r="I1693" s="49" t="s">
        <v>24668</v>
      </c>
      <c r="J1693" s="49" t="s">
        <v>24752</v>
      </c>
      <c r="K1693" s="49" t="s">
        <v>24764</v>
      </c>
      <c r="L1693" s="49" t="s">
        <v>19078</v>
      </c>
      <c r="M1693" s="49" t="s">
        <v>19079</v>
      </c>
      <c r="N1693" s="49" t="s">
        <v>19080</v>
      </c>
      <c r="O1693" s="49" t="s">
        <v>24680</v>
      </c>
      <c r="P1693" s="49" t="s">
        <v>24692</v>
      </c>
      <c r="Q1693" s="49" t="s">
        <v>24704</v>
      </c>
      <c r="R1693" s="49" t="s">
        <v>24716</v>
      </c>
      <c r="S1693" s="49" t="s">
        <v>24728</v>
      </c>
      <c r="T1693" s="49" t="s">
        <v>24740</v>
      </c>
    </row>
    <row r="1694" spans="1:21" x14ac:dyDescent="0.2">
      <c r="A1694" s="49" t="s">
        <v>30</v>
      </c>
      <c r="D1694" s="49" t="s">
        <v>19081</v>
      </c>
      <c r="G1694" s="49" t="s">
        <v>19082</v>
      </c>
      <c r="H1694" s="49" t="s">
        <v>24657</v>
      </c>
      <c r="I1694" s="49" t="s">
        <v>24669</v>
      </c>
      <c r="J1694" s="49" t="s">
        <v>24753</v>
      </c>
      <c r="K1694" s="49" t="s">
        <v>24765</v>
      </c>
      <c r="L1694" s="49" t="s">
        <v>19083</v>
      </c>
      <c r="M1694" s="49" t="s">
        <v>19084</v>
      </c>
      <c r="N1694" s="49" t="s">
        <v>19085</v>
      </c>
      <c r="O1694" s="49" t="s">
        <v>24681</v>
      </c>
      <c r="P1694" s="49" t="s">
        <v>24693</v>
      </c>
      <c r="Q1694" s="49" t="s">
        <v>24705</v>
      </c>
      <c r="R1694" s="49" t="s">
        <v>24717</v>
      </c>
      <c r="S1694" s="49" t="s">
        <v>24729</v>
      </c>
      <c r="T1694" s="49" t="s">
        <v>24741</v>
      </c>
    </row>
    <row r="1695" spans="1:21" x14ac:dyDescent="0.2">
      <c r="A1695" s="49" t="s">
        <v>30</v>
      </c>
      <c r="D1695" s="49" t="s">
        <v>19086</v>
      </c>
      <c r="G1695" s="49" t="s">
        <v>19087</v>
      </c>
      <c r="H1695" s="49" t="s">
        <v>24658</v>
      </c>
      <c r="I1695" s="49" t="s">
        <v>24670</v>
      </c>
      <c r="J1695" s="49" t="s">
        <v>24754</v>
      </c>
      <c r="K1695" s="49" t="s">
        <v>24766</v>
      </c>
      <c r="L1695" s="49" t="s">
        <v>19088</v>
      </c>
      <c r="M1695" s="49" t="s">
        <v>19089</v>
      </c>
      <c r="N1695" s="49" t="s">
        <v>19090</v>
      </c>
      <c r="O1695" s="49" t="s">
        <v>24682</v>
      </c>
      <c r="P1695" s="49" t="s">
        <v>24694</v>
      </c>
      <c r="Q1695" s="49" t="s">
        <v>24706</v>
      </c>
      <c r="R1695" s="49" t="s">
        <v>24718</v>
      </c>
      <c r="S1695" s="49" t="s">
        <v>24730</v>
      </c>
      <c r="T1695" s="49" t="s">
        <v>24742</v>
      </c>
    </row>
    <row r="1696" spans="1:21" x14ac:dyDescent="0.2">
      <c r="A1696" s="49" t="s">
        <v>30</v>
      </c>
      <c r="D1696" s="49" t="s">
        <v>19091</v>
      </c>
      <c r="G1696" s="49" t="s">
        <v>19092</v>
      </c>
      <c r="H1696" s="49" t="s">
        <v>24659</v>
      </c>
      <c r="I1696" s="49" t="s">
        <v>24671</v>
      </c>
      <c r="J1696" s="49" t="s">
        <v>24755</v>
      </c>
      <c r="K1696" s="49" t="s">
        <v>24767</v>
      </c>
      <c r="L1696" s="49" t="s">
        <v>19093</v>
      </c>
      <c r="M1696" s="49" t="s">
        <v>19094</v>
      </c>
      <c r="N1696" s="49" t="s">
        <v>19095</v>
      </c>
      <c r="O1696" s="49" t="s">
        <v>24683</v>
      </c>
      <c r="P1696" s="49" t="s">
        <v>24695</v>
      </c>
      <c r="Q1696" s="49" t="s">
        <v>24707</v>
      </c>
      <c r="R1696" s="49" t="s">
        <v>24719</v>
      </c>
      <c r="S1696" s="49" t="s">
        <v>24731</v>
      </c>
      <c r="T1696" s="49" t="s">
        <v>24743</v>
      </c>
    </row>
    <row r="1697" spans="1:21" x14ac:dyDescent="0.2">
      <c r="A1697" s="49" t="s">
        <v>30</v>
      </c>
      <c r="D1697" s="49" t="s">
        <v>19096</v>
      </c>
      <c r="G1697" s="49" t="s">
        <v>19097</v>
      </c>
      <c r="H1697" s="49" t="s">
        <v>24660</v>
      </c>
      <c r="I1697" s="49" t="s">
        <v>24672</v>
      </c>
      <c r="J1697" s="49" t="s">
        <v>24756</v>
      </c>
      <c r="K1697" s="49" t="s">
        <v>24768</v>
      </c>
      <c r="L1697" s="49" t="s">
        <v>19098</v>
      </c>
      <c r="M1697" s="49" t="s">
        <v>19099</v>
      </c>
      <c r="N1697" s="49" t="s">
        <v>19100</v>
      </c>
      <c r="O1697" s="49" t="s">
        <v>24684</v>
      </c>
      <c r="P1697" s="49" t="s">
        <v>24696</v>
      </c>
      <c r="Q1697" s="49" t="s">
        <v>24708</v>
      </c>
      <c r="R1697" s="49" t="s">
        <v>24720</v>
      </c>
      <c r="S1697" s="49" t="s">
        <v>24732</v>
      </c>
      <c r="T1697" s="49" t="s">
        <v>24744</v>
      </c>
    </row>
    <row r="1698" spans="1:21" x14ac:dyDescent="0.2">
      <c r="A1698" s="49" t="s">
        <v>30</v>
      </c>
      <c r="D1698" s="49" t="s">
        <v>19101</v>
      </c>
      <c r="G1698" s="49" t="s">
        <v>19102</v>
      </c>
      <c r="H1698" s="49" t="s">
        <v>24661</v>
      </c>
      <c r="I1698" s="49" t="s">
        <v>24673</v>
      </c>
      <c r="J1698" s="49" t="s">
        <v>24757</v>
      </c>
      <c r="K1698" s="49" t="s">
        <v>24769</v>
      </c>
      <c r="L1698" s="49" t="s">
        <v>19103</v>
      </c>
      <c r="M1698" s="49" t="s">
        <v>19104</v>
      </c>
      <c r="N1698" s="49" t="s">
        <v>19105</v>
      </c>
      <c r="O1698" s="49" t="s">
        <v>24685</v>
      </c>
      <c r="P1698" s="49" t="s">
        <v>24697</v>
      </c>
      <c r="Q1698" s="49" t="s">
        <v>24709</v>
      </c>
      <c r="R1698" s="49" t="s">
        <v>24721</v>
      </c>
      <c r="S1698" s="49" t="s">
        <v>24733</v>
      </c>
      <c r="T1698" s="49" t="s">
        <v>24745</v>
      </c>
    </row>
    <row r="1699" spans="1:21" x14ac:dyDescent="0.2">
      <c r="A1699" s="49" t="s">
        <v>30</v>
      </c>
      <c r="D1699" s="49" t="s">
        <v>19106</v>
      </c>
      <c r="G1699" s="49" t="s">
        <v>19107</v>
      </c>
      <c r="H1699" s="49" t="s">
        <v>24662</v>
      </c>
      <c r="I1699" s="49" t="s">
        <v>24674</v>
      </c>
      <c r="J1699" s="49" t="s">
        <v>24758</v>
      </c>
      <c r="K1699" s="49" t="s">
        <v>24770</v>
      </c>
      <c r="L1699" s="49" t="s">
        <v>19108</v>
      </c>
      <c r="M1699" s="49" t="s">
        <v>19109</v>
      </c>
      <c r="N1699" s="49" t="s">
        <v>19110</v>
      </c>
      <c r="O1699" s="49" t="s">
        <v>24686</v>
      </c>
      <c r="P1699" s="49" t="s">
        <v>24698</v>
      </c>
      <c r="Q1699" s="49" t="s">
        <v>24710</v>
      </c>
      <c r="R1699" s="49" t="s">
        <v>24722</v>
      </c>
      <c r="S1699" s="49" t="s">
        <v>24734</v>
      </c>
      <c r="T1699" s="49" t="s">
        <v>24746</v>
      </c>
    </row>
    <row r="1700" spans="1:21" x14ac:dyDescent="0.2">
      <c r="A1700" s="49" t="s">
        <v>30</v>
      </c>
      <c r="D1700" s="49" t="s">
        <v>19111</v>
      </c>
      <c r="G1700" s="49" t="s">
        <v>19112</v>
      </c>
      <c r="H1700" s="49" t="s">
        <v>24663</v>
      </c>
      <c r="I1700" s="49" t="s">
        <v>24675</v>
      </c>
      <c r="J1700" s="49" t="s">
        <v>24759</v>
      </c>
      <c r="K1700" s="49" t="s">
        <v>24771</v>
      </c>
      <c r="L1700" s="49" t="s">
        <v>19113</v>
      </c>
      <c r="M1700" s="49" t="s">
        <v>19114</v>
      </c>
      <c r="N1700" s="49" t="s">
        <v>19115</v>
      </c>
      <c r="O1700" s="49" t="s">
        <v>24687</v>
      </c>
      <c r="P1700" s="49" t="s">
        <v>24699</v>
      </c>
      <c r="Q1700" s="49" t="s">
        <v>24711</v>
      </c>
      <c r="R1700" s="49" t="s">
        <v>24723</v>
      </c>
      <c r="S1700" s="49" t="s">
        <v>24735</v>
      </c>
      <c r="T1700" s="49" t="s">
        <v>24747</v>
      </c>
    </row>
    <row r="1701" spans="1:21" x14ac:dyDescent="0.2">
      <c r="A1701" s="49" t="s">
        <v>30</v>
      </c>
      <c r="D1701" s="49" t="s">
        <v>19116</v>
      </c>
      <c r="G1701" s="49" t="s">
        <v>19117</v>
      </c>
      <c r="H1701" s="49" t="s">
        <v>24664</v>
      </c>
      <c r="I1701" s="49" t="s">
        <v>24676</v>
      </c>
      <c r="J1701" s="49" t="s">
        <v>24760</v>
      </c>
      <c r="K1701" s="49" t="s">
        <v>24772</v>
      </c>
      <c r="L1701" s="49" t="s">
        <v>19118</v>
      </c>
      <c r="M1701" s="49" t="s">
        <v>19119</v>
      </c>
      <c r="N1701" s="49" t="s">
        <v>19120</v>
      </c>
      <c r="O1701" s="49" t="s">
        <v>24688</v>
      </c>
      <c r="P1701" s="49" t="s">
        <v>24700</v>
      </c>
      <c r="Q1701" s="49" t="s">
        <v>24712</v>
      </c>
      <c r="R1701" s="49" t="s">
        <v>24724</v>
      </c>
      <c r="S1701" s="49" t="s">
        <v>24736</v>
      </c>
      <c r="T1701" s="49" t="s">
        <v>24748</v>
      </c>
    </row>
    <row r="1702" spans="1:21" x14ac:dyDescent="0.2">
      <c r="A1702" s="49" t="s">
        <v>30</v>
      </c>
      <c r="D1702" s="49" t="s">
        <v>19121</v>
      </c>
      <c r="G1702" s="49" t="s">
        <v>19122</v>
      </c>
      <c r="H1702" s="49" t="s">
        <v>24665</v>
      </c>
      <c r="I1702" s="49" t="s">
        <v>24677</v>
      </c>
      <c r="J1702" s="49" t="s">
        <v>24761</v>
      </c>
      <c r="K1702" s="49" t="s">
        <v>24773</v>
      </c>
      <c r="L1702" s="49" t="s">
        <v>19123</v>
      </c>
      <c r="M1702" s="49" t="s">
        <v>19124</v>
      </c>
      <c r="N1702" s="49" t="s">
        <v>19125</v>
      </c>
      <c r="O1702" s="49" t="s">
        <v>24689</v>
      </c>
      <c r="P1702" s="49" t="s">
        <v>24701</v>
      </c>
      <c r="Q1702" s="49" t="s">
        <v>24713</v>
      </c>
      <c r="R1702" s="49" t="s">
        <v>24725</v>
      </c>
      <c r="S1702" s="49" t="s">
        <v>24737</v>
      </c>
      <c r="T1702" s="49" t="s">
        <v>24749</v>
      </c>
    </row>
    <row r="1703" spans="1:21" x14ac:dyDescent="0.2">
      <c r="A1703" s="49" t="s">
        <v>30</v>
      </c>
      <c r="D1703" s="49" t="s">
        <v>19126</v>
      </c>
      <c r="G1703" s="49" t="s">
        <v>19127</v>
      </c>
      <c r="H1703" s="49" t="s">
        <v>24666</v>
      </c>
      <c r="I1703" s="49" t="s">
        <v>24678</v>
      </c>
      <c r="J1703" s="49" t="s">
        <v>24762</v>
      </c>
      <c r="K1703" s="49" t="s">
        <v>24774</v>
      </c>
      <c r="L1703" s="49" t="s">
        <v>19128</v>
      </c>
      <c r="M1703" s="49" t="s">
        <v>19129</v>
      </c>
      <c r="N1703" s="49" t="s">
        <v>19130</v>
      </c>
      <c r="O1703" s="49" t="s">
        <v>24690</v>
      </c>
      <c r="P1703" s="49" t="s">
        <v>24702</v>
      </c>
      <c r="Q1703" s="49" t="s">
        <v>24714</v>
      </c>
      <c r="R1703" s="49" t="s">
        <v>24726</v>
      </c>
      <c r="S1703" s="49" t="s">
        <v>24738</v>
      </c>
      <c r="T1703" s="49" t="s">
        <v>24750</v>
      </c>
    </row>
    <row r="1704" spans="1:21" x14ac:dyDescent="0.2">
      <c r="A1704" s="49" t="s">
        <v>30</v>
      </c>
      <c r="D1704" s="49" t="s">
        <v>19131</v>
      </c>
      <c r="G1704" s="49" t="s">
        <v>19132</v>
      </c>
      <c r="H1704" s="49" t="s">
        <v>24667</v>
      </c>
      <c r="I1704" s="49" t="s">
        <v>24679</v>
      </c>
      <c r="J1704" s="49" t="s">
        <v>24763</v>
      </c>
      <c r="K1704" s="49" t="s">
        <v>24775</v>
      </c>
      <c r="L1704" s="49" t="s">
        <v>19133</v>
      </c>
      <c r="M1704" s="49" t="s">
        <v>19134</v>
      </c>
      <c r="N1704" s="49" t="s">
        <v>19135</v>
      </c>
      <c r="O1704" s="49" t="s">
        <v>24691</v>
      </c>
      <c r="P1704" s="49" t="s">
        <v>24703</v>
      </c>
      <c r="Q1704" s="49" t="s">
        <v>24715</v>
      </c>
      <c r="R1704" s="49" t="s">
        <v>24727</v>
      </c>
      <c r="S1704" s="49" t="s">
        <v>24739</v>
      </c>
      <c r="T1704" s="49" t="s">
        <v>24751</v>
      </c>
    </row>
    <row r="1705" spans="1:21" x14ac:dyDescent="0.2">
      <c r="A1705" s="49" t="s">
        <v>30</v>
      </c>
    </row>
    <row r="1706" spans="1:21" x14ac:dyDescent="0.2">
      <c r="A1706" s="49" t="s">
        <v>30</v>
      </c>
      <c r="E1706" s="49" t="s">
        <v>31</v>
      </c>
      <c r="F1706" s="49" t="s">
        <v>31</v>
      </c>
      <c r="G1706" s="49" t="s">
        <v>31</v>
      </c>
      <c r="J1706" s="49" t="s">
        <v>31</v>
      </c>
      <c r="K1706" s="49" t="s">
        <v>31</v>
      </c>
      <c r="L1706" s="49" t="s">
        <v>31</v>
      </c>
      <c r="M1706" s="49" t="s">
        <v>31</v>
      </c>
    </row>
    <row r="1707" spans="1:21" x14ac:dyDescent="0.2">
      <c r="A1707" s="49" t="s">
        <v>30</v>
      </c>
      <c r="D1707" s="49" t="s">
        <v>19136</v>
      </c>
      <c r="E1707" s="49" t="s">
        <v>8262</v>
      </c>
      <c r="F1707" s="49" t="s">
        <v>19137</v>
      </c>
      <c r="H1707" s="49" t="s">
        <v>19138</v>
      </c>
      <c r="O1707" s="49" t="s">
        <v>19139</v>
      </c>
      <c r="P1707" s="49" t="s">
        <v>19140</v>
      </c>
      <c r="Q1707" s="49" t="s">
        <v>19141</v>
      </c>
      <c r="R1707" s="49" t="s">
        <v>19142</v>
      </c>
      <c r="S1707" s="49" t="s">
        <v>19143</v>
      </c>
      <c r="T1707" s="49" t="s">
        <v>19144</v>
      </c>
      <c r="U1707" s="49" t="s">
        <v>19145</v>
      </c>
    </row>
    <row r="1708" spans="1:21" x14ac:dyDescent="0.2">
      <c r="A1708" s="49" t="s">
        <v>30</v>
      </c>
      <c r="D1708" s="49" t="s">
        <v>19146</v>
      </c>
      <c r="G1708" s="49" t="s">
        <v>19147</v>
      </c>
      <c r="H1708" s="49" t="s">
        <v>24496</v>
      </c>
      <c r="I1708" s="49" t="s">
        <v>24512</v>
      </c>
      <c r="J1708" s="49" t="s">
        <v>24624</v>
      </c>
      <c r="K1708" s="49" t="s">
        <v>24640</v>
      </c>
      <c r="L1708" s="49" t="s">
        <v>19148</v>
      </c>
      <c r="M1708" s="49" t="s">
        <v>19149</v>
      </c>
      <c r="N1708" s="49" t="s">
        <v>19150</v>
      </c>
      <c r="O1708" s="49" t="s">
        <v>24528</v>
      </c>
      <c r="P1708" s="49" t="s">
        <v>24544</v>
      </c>
      <c r="Q1708" s="49" t="s">
        <v>24560</v>
      </c>
      <c r="R1708" s="49" t="s">
        <v>24576</v>
      </c>
      <c r="S1708" s="49" t="s">
        <v>24592</v>
      </c>
      <c r="T1708" s="49" t="s">
        <v>24608</v>
      </c>
    </row>
    <row r="1709" spans="1:21" x14ac:dyDescent="0.2">
      <c r="A1709" s="49" t="s">
        <v>30</v>
      </c>
      <c r="D1709" s="49" t="s">
        <v>19151</v>
      </c>
      <c r="G1709" s="49" t="s">
        <v>19152</v>
      </c>
      <c r="H1709" s="49" t="s">
        <v>24497</v>
      </c>
      <c r="I1709" s="49" t="s">
        <v>24513</v>
      </c>
      <c r="J1709" s="49" t="s">
        <v>24625</v>
      </c>
      <c r="K1709" s="49" t="s">
        <v>24641</v>
      </c>
      <c r="L1709" s="49" t="s">
        <v>19153</v>
      </c>
      <c r="M1709" s="49" t="s">
        <v>19154</v>
      </c>
      <c r="N1709" s="49" t="s">
        <v>19155</v>
      </c>
      <c r="O1709" s="49" t="s">
        <v>24529</v>
      </c>
      <c r="P1709" s="49" t="s">
        <v>24545</v>
      </c>
      <c r="Q1709" s="49" t="s">
        <v>24561</v>
      </c>
      <c r="R1709" s="49" t="s">
        <v>24577</v>
      </c>
      <c r="S1709" s="49" t="s">
        <v>24593</v>
      </c>
      <c r="T1709" s="49" t="s">
        <v>24609</v>
      </c>
    </row>
    <row r="1710" spans="1:21" x14ac:dyDescent="0.2">
      <c r="A1710" s="49" t="s">
        <v>30</v>
      </c>
      <c r="D1710" s="49" t="s">
        <v>19156</v>
      </c>
      <c r="G1710" s="49" t="s">
        <v>19157</v>
      </c>
      <c r="H1710" s="49" t="s">
        <v>24498</v>
      </c>
      <c r="I1710" s="49" t="s">
        <v>24514</v>
      </c>
      <c r="J1710" s="49" t="s">
        <v>24626</v>
      </c>
      <c r="K1710" s="49" t="s">
        <v>24642</v>
      </c>
      <c r="L1710" s="49" t="s">
        <v>19158</v>
      </c>
      <c r="M1710" s="49" t="s">
        <v>19159</v>
      </c>
      <c r="N1710" s="49" t="s">
        <v>19160</v>
      </c>
      <c r="O1710" s="49" t="s">
        <v>24530</v>
      </c>
      <c r="P1710" s="49" t="s">
        <v>24546</v>
      </c>
      <c r="Q1710" s="49" t="s">
        <v>24562</v>
      </c>
      <c r="R1710" s="49" t="s">
        <v>24578</v>
      </c>
      <c r="S1710" s="49" t="s">
        <v>24594</v>
      </c>
      <c r="T1710" s="49" t="s">
        <v>24610</v>
      </c>
    </row>
    <row r="1711" spans="1:21" x14ac:dyDescent="0.2">
      <c r="A1711" s="49" t="s">
        <v>30</v>
      </c>
      <c r="D1711" s="49" t="s">
        <v>19161</v>
      </c>
      <c r="G1711" s="49" t="s">
        <v>19162</v>
      </c>
      <c r="H1711" s="49" t="s">
        <v>24499</v>
      </c>
      <c r="I1711" s="49" t="s">
        <v>24515</v>
      </c>
      <c r="J1711" s="49" t="s">
        <v>24627</v>
      </c>
      <c r="K1711" s="49" t="s">
        <v>24643</v>
      </c>
      <c r="L1711" s="49" t="s">
        <v>19163</v>
      </c>
      <c r="M1711" s="49" t="s">
        <v>19164</v>
      </c>
      <c r="N1711" s="49" t="s">
        <v>19165</v>
      </c>
      <c r="O1711" s="49" t="s">
        <v>24531</v>
      </c>
      <c r="P1711" s="49" t="s">
        <v>24547</v>
      </c>
      <c r="Q1711" s="49" t="s">
        <v>24563</v>
      </c>
      <c r="R1711" s="49" t="s">
        <v>24579</v>
      </c>
      <c r="S1711" s="49" t="s">
        <v>24595</v>
      </c>
      <c r="T1711" s="49" t="s">
        <v>24611</v>
      </c>
    </row>
    <row r="1712" spans="1:21" x14ac:dyDescent="0.2">
      <c r="A1712" s="49" t="s">
        <v>30</v>
      </c>
      <c r="D1712" s="49" t="s">
        <v>19166</v>
      </c>
      <c r="G1712" s="49" t="s">
        <v>19167</v>
      </c>
      <c r="H1712" s="49" t="s">
        <v>24500</v>
      </c>
      <c r="I1712" s="49" t="s">
        <v>24516</v>
      </c>
      <c r="J1712" s="49" t="s">
        <v>24628</v>
      </c>
      <c r="K1712" s="49" t="s">
        <v>24644</v>
      </c>
      <c r="L1712" s="49" t="s">
        <v>19168</v>
      </c>
      <c r="M1712" s="49" t="s">
        <v>19169</v>
      </c>
      <c r="N1712" s="49" t="s">
        <v>19170</v>
      </c>
      <c r="O1712" s="49" t="s">
        <v>24532</v>
      </c>
      <c r="P1712" s="49" t="s">
        <v>24548</v>
      </c>
      <c r="Q1712" s="49" t="s">
        <v>24564</v>
      </c>
      <c r="R1712" s="49" t="s">
        <v>24580</v>
      </c>
      <c r="S1712" s="49" t="s">
        <v>24596</v>
      </c>
      <c r="T1712" s="49" t="s">
        <v>24612</v>
      </c>
    </row>
    <row r="1713" spans="1:21" x14ac:dyDescent="0.2">
      <c r="A1713" s="49" t="s">
        <v>30</v>
      </c>
      <c r="D1713" s="49" t="s">
        <v>19171</v>
      </c>
      <c r="G1713" s="49" t="s">
        <v>19172</v>
      </c>
      <c r="H1713" s="49" t="s">
        <v>24501</v>
      </c>
      <c r="I1713" s="49" t="s">
        <v>24517</v>
      </c>
      <c r="J1713" s="49" t="s">
        <v>24629</v>
      </c>
      <c r="K1713" s="49" t="s">
        <v>24645</v>
      </c>
      <c r="L1713" s="49" t="s">
        <v>19173</v>
      </c>
      <c r="M1713" s="49" t="s">
        <v>19174</v>
      </c>
      <c r="N1713" s="49" t="s">
        <v>19175</v>
      </c>
      <c r="O1713" s="49" t="s">
        <v>24533</v>
      </c>
      <c r="P1713" s="49" t="s">
        <v>24549</v>
      </c>
      <c r="Q1713" s="49" t="s">
        <v>24565</v>
      </c>
      <c r="R1713" s="49" t="s">
        <v>24581</v>
      </c>
      <c r="S1713" s="49" t="s">
        <v>24597</v>
      </c>
      <c r="T1713" s="49" t="s">
        <v>24613</v>
      </c>
    </row>
    <row r="1714" spans="1:21" x14ac:dyDescent="0.2">
      <c r="A1714" s="49" t="s">
        <v>30</v>
      </c>
      <c r="D1714" s="49" t="s">
        <v>19176</v>
      </c>
      <c r="G1714" s="49" t="s">
        <v>19177</v>
      </c>
      <c r="H1714" s="49" t="s">
        <v>24502</v>
      </c>
      <c r="I1714" s="49" t="s">
        <v>24518</v>
      </c>
      <c r="J1714" s="49" t="s">
        <v>24630</v>
      </c>
      <c r="K1714" s="49" t="s">
        <v>24646</v>
      </c>
      <c r="L1714" s="49" t="s">
        <v>19178</v>
      </c>
      <c r="M1714" s="49" t="s">
        <v>19179</v>
      </c>
      <c r="N1714" s="49" t="s">
        <v>19180</v>
      </c>
      <c r="O1714" s="49" t="s">
        <v>24534</v>
      </c>
      <c r="P1714" s="49" t="s">
        <v>24550</v>
      </c>
      <c r="Q1714" s="49" t="s">
        <v>24566</v>
      </c>
      <c r="R1714" s="49" t="s">
        <v>24582</v>
      </c>
      <c r="S1714" s="49" t="s">
        <v>24598</v>
      </c>
      <c r="T1714" s="49" t="s">
        <v>24614</v>
      </c>
    </row>
    <row r="1715" spans="1:21" x14ac:dyDescent="0.2">
      <c r="A1715" s="49" t="s">
        <v>30</v>
      </c>
      <c r="D1715" s="49" t="s">
        <v>19181</v>
      </c>
      <c r="G1715" s="49" t="s">
        <v>19182</v>
      </c>
      <c r="H1715" s="49" t="s">
        <v>24503</v>
      </c>
      <c r="I1715" s="49" t="s">
        <v>24519</v>
      </c>
      <c r="J1715" s="49" t="s">
        <v>24631</v>
      </c>
      <c r="K1715" s="49" t="s">
        <v>24647</v>
      </c>
      <c r="L1715" s="49" t="s">
        <v>19183</v>
      </c>
      <c r="M1715" s="49" t="s">
        <v>19184</v>
      </c>
      <c r="N1715" s="49" t="s">
        <v>19185</v>
      </c>
      <c r="O1715" s="49" t="s">
        <v>24535</v>
      </c>
      <c r="P1715" s="49" t="s">
        <v>24551</v>
      </c>
      <c r="Q1715" s="49" t="s">
        <v>24567</v>
      </c>
      <c r="R1715" s="49" t="s">
        <v>24583</v>
      </c>
      <c r="S1715" s="49" t="s">
        <v>24599</v>
      </c>
      <c r="T1715" s="49" t="s">
        <v>24615</v>
      </c>
    </row>
    <row r="1716" spans="1:21" x14ac:dyDescent="0.2">
      <c r="A1716" s="49" t="s">
        <v>30</v>
      </c>
      <c r="D1716" s="49" t="s">
        <v>19186</v>
      </c>
      <c r="G1716" s="49" t="s">
        <v>19187</v>
      </c>
      <c r="H1716" s="49" t="s">
        <v>24504</v>
      </c>
      <c r="I1716" s="49" t="s">
        <v>24520</v>
      </c>
      <c r="J1716" s="49" t="s">
        <v>24632</v>
      </c>
      <c r="K1716" s="49" t="s">
        <v>24648</v>
      </c>
      <c r="L1716" s="49" t="s">
        <v>19188</v>
      </c>
      <c r="M1716" s="49" t="s">
        <v>19189</v>
      </c>
      <c r="N1716" s="49" t="s">
        <v>19190</v>
      </c>
      <c r="O1716" s="49" t="s">
        <v>24536</v>
      </c>
      <c r="P1716" s="49" t="s">
        <v>24552</v>
      </c>
      <c r="Q1716" s="49" t="s">
        <v>24568</v>
      </c>
      <c r="R1716" s="49" t="s">
        <v>24584</v>
      </c>
      <c r="S1716" s="49" t="s">
        <v>24600</v>
      </c>
      <c r="T1716" s="49" t="s">
        <v>24616</v>
      </c>
    </row>
    <row r="1717" spans="1:21" x14ac:dyDescent="0.2">
      <c r="A1717" s="49" t="s">
        <v>30</v>
      </c>
      <c r="D1717" s="49" t="s">
        <v>19191</v>
      </c>
      <c r="G1717" s="49" t="s">
        <v>19192</v>
      </c>
      <c r="H1717" s="49" t="s">
        <v>24505</v>
      </c>
      <c r="I1717" s="49" t="s">
        <v>24521</v>
      </c>
      <c r="J1717" s="49" t="s">
        <v>24633</v>
      </c>
      <c r="K1717" s="49" t="s">
        <v>24649</v>
      </c>
      <c r="L1717" s="49" t="s">
        <v>19193</v>
      </c>
      <c r="M1717" s="49" t="s">
        <v>19194</v>
      </c>
      <c r="N1717" s="49" t="s">
        <v>19195</v>
      </c>
      <c r="O1717" s="49" t="s">
        <v>24537</v>
      </c>
      <c r="P1717" s="49" t="s">
        <v>24553</v>
      </c>
      <c r="Q1717" s="49" t="s">
        <v>24569</v>
      </c>
      <c r="R1717" s="49" t="s">
        <v>24585</v>
      </c>
      <c r="S1717" s="49" t="s">
        <v>24601</v>
      </c>
      <c r="T1717" s="49" t="s">
        <v>24617</v>
      </c>
    </row>
    <row r="1718" spans="1:21" x14ac:dyDescent="0.2">
      <c r="A1718" s="49" t="s">
        <v>30</v>
      </c>
      <c r="D1718" s="49" t="s">
        <v>19196</v>
      </c>
      <c r="G1718" s="49" t="s">
        <v>19197</v>
      </c>
      <c r="H1718" s="49" t="s">
        <v>24506</v>
      </c>
      <c r="I1718" s="49" t="s">
        <v>24522</v>
      </c>
      <c r="J1718" s="49" t="s">
        <v>24634</v>
      </c>
      <c r="K1718" s="49" t="s">
        <v>24650</v>
      </c>
      <c r="L1718" s="49" t="s">
        <v>19198</v>
      </c>
      <c r="M1718" s="49" t="s">
        <v>19199</v>
      </c>
      <c r="N1718" s="49" t="s">
        <v>19200</v>
      </c>
      <c r="O1718" s="49" t="s">
        <v>24538</v>
      </c>
      <c r="P1718" s="49" t="s">
        <v>24554</v>
      </c>
      <c r="Q1718" s="49" t="s">
        <v>24570</v>
      </c>
      <c r="R1718" s="49" t="s">
        <v>24586</v>
      </c>
      <c r="S1718" s="49" t="s">
        <v>24602</v>
      </c>
      <c r="T1718" s="49" t="s">
        <v>24618</v>
      </c>
    </row>
    <row r="1719" spans="1:21" x14ac:dyDescent="0.2">
      <c r="A1719" s="49" t="s">
        <v>30</v>
      </c>
      <c r="D1719" s="49" t="s">
        <v>19201</v>
      </c>
      <c r="G1719" s="49" t="s">
        <v>19202</v>
      </c>
      <c r="H1719" s="49" t="s">
        <v>24507</v>
      </c>
      <c r="I1719" s="49" t="s">
        <v>24523</v>
      </c>
      <c r="J1719" s="49" t="s">
        <v>24635</v>
      </c>
      <c r="K1719" s="49" t="s">
        <v>24651</v>
      </c>
      <c r="L1719" s="49" t="s">
        <v>19203</v>
      </c>
      <c r="M1719" s="49" t="s">
        <v>19204</v>
      </c>
      <c r="N1719" s="49" t="s">
        <v>19205</v>
      </c>
      <c r="O1719" s="49" t="s">
        <v>24539</v>
      </c>
      <c r="P1719" s="49" t="s">
        <v>24555</v>
      </c>
      <c r="Q1719" s="49" t="s">
        <v>24571</v>
      </c>
      <c r="R1719" s="49" t="s">
        <v>24587</v>
      </c>
      <c r="S1719" s="49" t="s">
        <v>24603</v>
      </c>
      <c r="T1719" s="49" t="s">
        <v>24619</v>
      </c>
    </row>
    <row r="1720" spans="1:21" x14ac:dyDescent="0.2">
      <c r="A1720" s="49" t="s">
        <v>30</v>
      </c>
      <c r="D1720" s="49" t="s">
        <v>19206</v>
      </c>
      <c r="G1720" s="49" t="s">
        <v>19207</v>
      </c>
      <c r="H1720" s="49" t="s">
        <v>24508</v>
      </c>
      <c r="I1720" s="49" t="s">
        <v>24524</v>
      </c>
      <c r="J1720" s="49" t="s">
        <v>24636</v>
      </c>
      <c r="K1720" s="49" t="s">
        <v>24652</v>
      </c>
      <c r="L1720" s="49" t="s">
        <v>19208</v>
      </c>
      <c r="M1720" s="49" t="s">
        <v>19209</v>
      </c>
      <c r="N1720" s="49" t="s">
        <v>19210</v>
      </c>
      <c r="O1720" s="49" t="s">
        <v>24540</v>
      </c>
      <c r="P1720" s="49" t="s">
        <v>24556</v>
      </c>
      <c r="Q1720" s="49" t="s">
        <v>24572</v>
      </c>
      <c r="R1720" s="49" t="s">
        <v>24588</v>
      </c>
      <c r="S1720" s="49" t="s">
        <v>24604</v>
      </c>
      <c r="T1720" s="49" t="s">
        <v>24620</v>
      </c>
    </row>
    <row r="1721" spans="1:21" x14ac:dyDescent="0.2">
      <c r="A1721" s="49" t="s">
        <v>30</v>
      </c>
      <c r="D1721" s="49" t="s">
        <v>19211</v>
      </c>
      <c r="G1721" s="49" t="s">
        <v>19212</v>
      </c>
      <c r="H1721" s="49" t="s">
        <v>24509</v>
      </c>
      <c r="I1721" s="49" t="s">
        <v>24525</v>
      </c>
      <c r="J1721" s="49" t="s">
        <v>24637</v>
      </c>
      <c r="K1721" s="49" t="s">
        <v>24653</v>
      </c>
      <c r="L1721" s="49" t="s">
        <v>19213</v>
      </c>
      <c r="M1721" s="49" t="s">
        <v>19214</v>
      </c>
      <c r="N1721" s="49" t="s">
        <v>19215</v>
      </c>
      <c r="O1721" s="49" t="s">
        <v>24541</v>
      </c>
      <c r="P1721" s="49" t="s">
        <v>24557</v>
      </c>
      <c r="Q1721" s="49" t="s">
        <v>24573</v>
      </c>
      <c r="R1721" s="49" t="s">
        <v>24589</v>
      </c>
      <c r="S1721" s="49" t="s">
        <v>24605</v>
      </c>
      <c r="T1721" s="49" t="s">
        <v>24621</v>
      </c>
    </row>
    <row r="1722" spans="1:21" x14ac:dyDescent="0.2">
      <c r="A1722" s="49" t="s">
        <v>30</v>
      </c>
      <c r="D1722" s="49" t="s">
        <v>19216</v>
      </c>
      <c r="G1722" s="49" t="s">
        <v>19217</v>
      </c>
      <c r="H1722" s="49" t="s">
        <v>24510</v>
      </c>
      <c r="I1722" s="49" t="s">
        <v>24526</v>
      </c>
      <c r="J1722" s="49" t="s">
        <v>24638</v>
      </c>
      <c r="K1722" s="49" t="s">
        <v>24654</v>
      </c>
      <c r="L1722" s="49" t="s">
        <v>19218</v>
      </c>
      <c r="M1722" s="49" t="s">
        <v>19219</v>
      </c>
      <c r="N1722" s="49" t="s">
        <v>19220</v>
      </c>
      <c r="O1722" s="49" t="s">
        <v>24542</v>
      </c>
      <c r="P1722" s="49" t="s">
        <v>24558</v>
      </c>
      <c r="Q1722" s="49" t="s">
        <v>24574</v>
      </c>
      <c r="R1722" s="49" t="s">
        <v>24590</v>
      </c>
      <c r="S1722" s="49" t="s">
        <v>24606</v>
      </c>
      <c r="T1722" s="49" t="s">
        <v>24622</v>
      </c>
    </row>
    <row r="1723" spans="1:21" x14ac:dyDescent="0.2">
      <c r="A1723" s="49" t="s">
        <v>30</v>
      </c>
      <c r="D1723" s="49" t="s">
        <v>19221</v>
      </c>
      <c r="G1723" s="49" t="s">
        <v>19222</v>
      </c>
      <c r="H1723" s="49" t="s">
        <v>24511</v>
      </c>
      <c r="I1723" s="49" t="s">
        <v>24527</v>
      </c>
      <c r="J1723" s="49" t="s">
        <v>24639</v>
      </c>
      <c r="K1723" s="49" t="s">
        <v>24655</v>
      </c>
      <c r="L1723" s="49" t="s">
        <v>19223</v>
      </c>
      <c r="M1723" s="49" t="s">
        <v>19224</v>
      </c>
      <c r="N1723" s="49" t="s">
        <v>19225</v>
      </c>
      <c r="O1723" s="49" t="s">
        <v>24543</v>
      </c>
      <c r="P1723" s="49" t="s">
        <v>24559</v>
      </c>
      <c r="Q1723" s="49" t="s">
        <v>24575</v>
      </c>
      <c r="R1723" s="49" t="s">
        <v>24591</v>
      </c>
      <c r="S1723" s="49" t="s">
        <v>24607</v>
      </c>
      <c r="T1723" s="49" t="s">
        <v>24623</v>
      </c>
    </row>
    <row r="1724" spans="1:21" x14ac:dyDescent="0.2">
      <c r="A1724" s="49" t="s">
        <v>30</v>
      </c>
    </row>
    <row r="1725" spans="1:21" x14ac:dyDescent="0.2">
      <c r="A1725" s="49" t="s">
        <v>30</v>
      </c>
      <c r="E1725" s="49" t="s">
        <v>31</v>
      </c>
      <c r="F1725" s="49" t="s">
        <v>31</v>
      </c>
      <c r="G1725" s="49" t="s">
        <v>31</v>
      </c>
      <c r="J1725" s="49" t="s">
        <v>31</v>
      </c>
      <c r="K1725" s="49" t="s">
        <v>31</v>
      </c>
      <c r="L1725" s="49" t="s">
        <v>31</v>
      </c>
      <c r="M1725" s="49" t="s">
        <v>31</v>
      </c>
    </row>
    <row r="1726" spans="1:21" x14ac:dyDescent="0.2">
      <c r="A1726" s="49" t="s">
        <v>30</v>
      </c>
      <c r="D1726" s="49" t="s">
        <v>19226</v>
      </c>
      <c r="E1726" s="49" t="s">
        <v>8333</v>
      </c>
      <c r="F1726" s="49" t="s">
        <v>19227</v>
      </c>
      <c r="H1726" s="49" t="s">
        <v>19228</v>
      </c>
      <c r="O1726" s="49" t="s">
        <v>19229</v>
      </c>
      <c r="P1726" s="49" t="s">
        <v>19230</v>
      </c>
      <c r="Q1726" s="49" t="s">
        <v>19231</v>
      </c>
      <c r="R1726" s="49" t="s">
        <v>19232</v>
      </c>
      <c r="S1726" s="49" t="s">
        <v>19233</v>
      </c>
      <c r="T1726" s="49" t="s">
        <v>19234</v>
      </c>
      <c r="U1726" s="49" t="s">
        <v>19235</v>
      </c>
    </row>
    <row r="1727" spans="1:21" x14ac:dyDescent="0.2">
      <c r="A1727" s="49" t="s">
        <v>30</v>
      </c>
      <c r="D1727" s="49" t="s">
        <v>19236</v>
      </c>
      <c r="G1727" s="49" t="s">
        <v>19237</v>
      </c>
      <c r="H1727" s="49" t="s">
        <v>24306</v>
      </c>
      <c r="I1727" s="49" t="s">
        <v>24325</v>
      </c>
      <c r="J1727" s="49" t="s">
        <v>24458</v>
      </c>
      <c r="K1727" s="49" t="s">
        <v>24477</v>
      </c>
      <c r="L1727" s="49" t="s">
        <v>19238</v>
      </c>
      <c r="M1727" s="49" t="s">
        <v>19239</v>
      </c>
      <c r="N1727" s="49" t="s">
        <v>19240</v>
      </c>
      <c r="O1727" s="49" t="s">
        <v>24344</v>
      </c>
      <c r="P1727" s="49" t="s">
        <v>24363</v>
      </c>
      <c r="Q1727" s="49" t="s">
        <v>24382</v>
      </c>
      <c r="R1727" s="49" t="s">
        <v>24401</v>
      </c>
      <c r="S1727" s="49" t="s">
        <v>24420</v>
      </c>
      <c r="T1727" s="49" t="s">
        <v>24439</v>
      </c>
    </row>
    <row r="1728" spans="1:21" x14ac:dyDescent="0.2">
      <c r="A1728" s="49" t="s">
        <v>30</v>
      </c>
      <c r="D1728" s="49" t="s">
        <v>19241</v>
      </c>
      <c r="G1728" s="49" t="s">
        <v>19242</v>
      </c>
      <c r="H1728" s="49" t="s">
        <v>24307</v>
      </c>
      <c r="I1728" s="49" t="s">
        <v>24326</v>
      </c>
      <c r="J1728" s="49" t="s">
        <v>24459</v>
      </c>
      <c r="K1728" s="49" t="s">
        <v>24478</v>
      </c>
      <c r="L1728" s="49" t="s">
        <v>19243</v>
      </c>
      <c r="M1728" s="49" t="s">
        <v>19244</v>
      </c>
      <c r="N1728" s="49" t="s">
        <v>19245</v>
      </c>
      <c r="O1728" s="49" t="s">
        <v>24345</v>
      </c>
      <c r="P1728" s="49" t="s">
        <v>24364</v>
      </c>
      <c r="Q1728" s="49" t="s">
        <v>24383</v>
      </c>
      <c r="R1728" s="49" t="s">
        <v>24402</v>
      </c>
      <c r="S1728" s="49" t="s">
        <v>24421</v>
      </c>
      <c r="T1728" s="49" t="s">
        <v>24440</v>
      </c>
    </row>
    <row r="1729" spans="1:20" x14ac:dyDescent="0.2">
      <c r="A1729" s="49" t="s">
        <v>30</v>
      </c>
      <c r="D1729" s="49" t="s">
        <v>19246</v>
      </c>
      <c r="G1729" s="49" t="s">
        <v>19247</v>
      </c>
      <c r="H1729" s="49" t="s">
        <v>24308</v>
      </c>
      <c r="I1729" s="49" t="s">
        <v>24327</v>
      </c>
      <c r="J1729" s="49" t="s">
        <v>24460</v>
      </c>
      <c r="K1729" s="49" t="s">
        <v>24479</v>
      </c>
      <c r="L1729" s="49" t="s">
        <v>19248</v>
      </c>
      <c r="M1729" s="49" t="s">
        <v>19249</v>
      </c>
      <c r="N1729" s="49" t="s">
        <v>19250</v>
      </c>
      <c r="O1729" s="49" t="s">
        <v>24346</v>
      </c>
      <c r="P1729" s="49" t="s">
        <v>24365</v>
      </c>
      <c r="Q1729" s="49" t="s">
        <v>24384</v>
      </c>
      <c r="R1729" s="49" t="s">
        <v>24403</v>
      </c>
      <c r="S1729" s="49" t="s">
        <v>24422</v>
      </c>
      <c r="T1729" s="49" t="s">
        <v>24441</v>
      </c>
    </row>
    <row r="1730" spans="1:20" x14ac:dyDescent="0.2">
      <c r="A1730" s="49" t="s">
        <v>30</v>
      </c>
      <c r="D1730" s="49" t="s">
        <v>19251</v>
      </c>
      <c r="G1730" s="49" t="s">
        <v>19252</v>
      </c>
      <c r="H1730" s="49" t="s">
        <v>24309</v>
      </c>
      <c r="I1730" s="49" t="s">
        <v>24328</v>
      </c>
      <c r="J1730" s="49" t="s">
        <v>24461</v>
      </c>
      <c r="K1730" s="49" t="s">
        <v>24480</v>
      </c>
      <c r="L1730" s="49" t="s">
        <v>19253</v>
      </c>
      <c r="M1730" s="49" t="s">
        <v>19254</v>
      </c>
      <c r="N1730" s="49" t="s">
        <v>19255</v>
      </c>
      <c r="O1730" s="49" t="s">
        <v>24347</v>
      </c>
      <c r="P1730" s="49" t="s">
        <v>24366</v>
      </c>
      <c r="Q1730" s="49" t="s">
        <v>24385</v>
      </c>
      <c r="R1730" s="49" t="s">
        <v>24404</v>
      </c>
      <c r="S1730" s="49" t="s">
        <v>24423</v>
      </c>
      <c r="T1730" s="49" t="s">
        <v>24442</v>
      </c>
    </row>
    <row r="1731" spans="1:20" x14ac:dyDescent="0.2">
      <c r="A1731" s="49" t="s">
        <v>30</v>
      </c>
      <c r="D1731" s="49" t="s">
        <v>19256</v>
      </c>
      <c r="G1731" s="49" t="s">
        <v>19257</v>
      </c>
      <c r="H1731" s="49" t="s">
        <v>24310</v>
      </c>
      <c r="I1731" s="49" t="s">
        <v>24329</v>
      </c>
      <c r="J1731" s="49" t="s">
        <v>24462</v>
      </c>
      <c r="K1731" s="49" t="s">
        <v>24481</v>
      </c>
      <c r="L1731" s="49" t="s">
        <v>19258</v>
      </c>
      <c r="M1731" s="49" t="s">
        <v>19259</v>
      </c>
      <c r="N1731" s="49" t="s">
        <v>19260</v>
      </c>
      <c r="O1731" s="49" t="s">
        <v>24348</v>
      </c>
      <c r="P1731" s="49" t="s">
        <v>24367</v>
      </c>
      <c r="Q1731" s="49" t="s">
        <v>24386</v>
      </c>
      <c r="R1731" s="49" t="s">
        <v>24405</v>
      </c>
      <c r="S1731" s="49" t="s">
        <v>24424</v>
      </c>
      <c r="T1731" s="49" t="s">
        <v>24443</v>
      </c>
    </row>
    <row r="1732" spans="1:20" x14ac:dyDescent="0.2">
      <c r="A1732" s="49" t="s">
        <v>30</v>
      </c>
      <c r="D1732" s="49" t="s">
        <v>19261</v>
      </c>
      <c r="G1732" s="49" t="s">
        <v>19262</v>
      </c>
      <c r="H1732" s="49" t="s">
        <v>24311</v>
      </c>
      <c r="I1732" s="49" t="s">
        <v>24330</v>
      </c>
      <c r="J1732" s="49" t="s">
        <v>24463</v>
      </c>
      <c r="K1732" s="49" t="s">
        <v>24482</v>
      </c>
      <c r="L1732" s="49" t="s">
        <v>19263</v>
      </c>
      <c r="M1732" s="49" t="s">
        <v>19264</v>
      </c>
      <c r="N1732" s="49" t="s">
        <v>19265</v>
      </c>
      <c r="O1732" s="49" t="s">
        <v>24349</v>
      </c>
      <c r="P1732" s="49" t="s">
        <v>24368</v>
      </c>
      <c r="Q1732" s="49" t="s">
        <v>24387</v>
      </c>
      <c r="R1732" s="49" t="s">
        <v>24406</v>
      </c>
      <c r="S1732" s="49" t="s">
        <v>24425</v>
      </c>
      <c r="T1732" s="49" t="s">
        <v>24444</v>
      </c>
    </row>
    <row r="1733" spans="1:20" x14ac:dyDescent="0.2">
      <c r="A1733" s="49" t="s">
        <v>30</v>
      </c>
      <c r="D1733" s="49" t="s">
        <v>19266</v>
      </c>
      <c r="G1733" s="49" t="s">
        <v>19267</v>
      </c>
      <c r="H1733" s="49" t="s">
        <v>24312</v>
      </c>
      <c r="I1733" s="49" t="s">
        <v>24331</v>
      </c>
      <c r="J1733" s="49" t="s">
        <v>24464</v>
      </c>
      <c r="K1733" s="49" t="s">
        <v>24483</v>
      </c>
      <c r="L1733" s="49" t="s">
        <v>19268</v>
      </c>
      <c r="M1733" s="49" t="s">
        <v>19269</v>
      </c>
      <c r="N1733" s="49" t="s">
        <v>19270</v>
      </c>
      <c r="O1733" s="49" t="s">
        <v>24350</v>
      </c>
      <c r="P1733" s="49" t="s">
        <v>24369</v>
      </c>
      <c r="Q1733" s="49" t="s">
        <v>24388</v>
      </c>
      <c r="R1733" s="49" t="s">
        <v>24407</v>
      </c>
      <c r="S1733" s="49" t="s">
        <v>24426</v>
      </c>
      <c r="T1733" s="49" t="s">
        <v>24445</v>
      </c>
    </row>
    <row r="1734" spans="1:20" x14ac:dyDescent="0.2">
      <c r="A1734" s="49" t="s">
        <v>30</v>
      </c>
      <c r="D1734" s="49" t="s">
        <v>19271</v>
      </c>
      <c r="G1734" s="49" t="s">
        <v>19272</v>
      </c>
      <c r="H1734" s="49" t="s">
        <v>24313</v>
      </c>
      <c r="I1734" s="49" t="s">
        <v>24332</v>
      </c>
      <c r="J1734" s="49" t="s">
        <v>24465</v>
      </c>
      <c r="K1734" s="49" t="s">
        <v>24484</v>
      </c>
      <c r="L1734" s="49" t="s">
        <v>19273</v>
      </c>
      <c r="M1734" s="49" t="s">
        <v>19274</v>
      </c>
      <c r="N1734" s="49" t="s">
        <v>19275</v>
      </c>
      <c r="O1734" s="49" t="s">
        <v>24351</v>
      </c>
      <c r="P1734" s="49" t="s">
        <v>24370</v>
      </c>
      <c r="Q1734" s="49" t="s">
        <v>24389</v>
      </c>
      <c r="R1734" s="49" t="s">
        <v>24408</v>
      </c>
      <c r="S1734" s="49" t="s">
        <v>24427</v>
      </c>
      <c r="T1734" s="49" t="s">
        <v>24446</v>
      </c>
    </row>
    <row r="1735" spans="1:20" x14ac:dyDescent="0.2">
      <c r="A1735" s="49" t="s">
        <v>30</v>
      </c>
      <c r="D1735" s="49" t="s">
        <v>19276</v>
      </c>
      <c r="G1735" s="49" t="s">
        <v>19277</v>
      </c>
      <c r="H1735" s="49" t="s">
        <v>24314</v>
      </c>
      <c r="I1735" s="49" t="s">
        <v>24333</v>
      </c>
      <c r="J1735" s="49" t="s">
        <v>24466</v>
      </c>
      <c r="K1735" s="49" t="s">
        <v>24485</v>
      </c>
      <c r="L1735" s="49" t="s">
        <v>19278</v>
      </c>
      <c r="M1735" s="49" t="s">
        <v>19279</v>
      </c>
      <c r="N1735" s="49" t="s">
        <v>19280</v>
      </c>
      <c r="O1735" s="49" t="s">
        <v>24352</v>
      </c>
      <c r="P1735" s="49" t="s">
        <v>24371</v>
      </c>
      <c r="Q1735" s="49" t="s">
        <v>24390</v>
      </c>
      <c r="R1735" s="49" t="s">
        <v>24409</v>
      </c>
      <c r="S1735" s="49" t="s">
        <v>24428</v>
      </c>
      <c r="T1735" s="49" t="s">
        <v>24447</v>
      </c>
    </row>
    <row r="1736" spans="1:20" x14ac:dyDescent="0.2">
      <c r="A1736" s="49" t="s">
        <v>30</v>
      </c>
      <c r="D1736" s="49" t="s">
        <v>19281</v>
      </c>
      <c r="G1736" s="49" t="s">
        <v>19282</v>
      </c>
      <c r="H1736" s="49" t="s">
        <v>24315</v>
      </c>
      <c r="I1736" s="49" t="s">
        <v>24334</v>
      </c>
      <c r="J1736" s="49" t="s">
        <v>24467</v>
      </c>
      <c r="K1736" s="49" t="s">
        <v>24486</v>
      </c>
      <c r="L1736" s="49" t="s">
        <v>19283</v>
      </c>
      <c r="M1736" s="49" t="s">
        <v>19284</v>
      </c>
      <c r="N1736" s="49" t="s">
        <v>19285</v>
      </c>
      <c r="O1736" s="49" t="s">
        <v>24353</v>
      </c>
      <c r="P1736" s="49" t="s">
        <v>24372</v>
      </c>
      <c r="Q1736" s="49" t="s">
        <v>24391</v>
      </c>
      <c r="R1736" s="49" t="s">
        <v>24410</v>
      </c>
      <c r="S1736" s="49" t="s">
        <v>24429</v>
      </c>
      <c r="T1736" s="49" t="s">
        <v>24448</v>
      </c>
    </row>
    <row r="1737" spans="1:20" x14ac:dyDescent="0.2">
      <c r="A1737" s="49" t="s">
        <v>30</v>
      </c>
      <c r="D1737" s="49" t="s">
        <v>19286</v>
      </c>
      <c r="G1737" s="49" t="s">
        <v>19287</v>
      </c>
      <c r="H1737" s="49" t="s">
        <v>24316</v>
      </c>
      <c r="I1737" s="49" t="s">
        <v>24335</v>
      </c>
      <c r="J1737" s="49" t="s">
        <v>24468</v>
      </c>
      <c r="K1737" s="49" t="s">
        <v>24487</v>
      </c>
      <c r="L1737" s="49" t="s">
        <v>19288</v>
      </c>
      <c r="M1737" s="49" t="s">
        <v>19289</v>
      </c>
      <c r="N1737" s="49" t="s">
        <v>19290</v>
      </c>
      <c r="O1737" s="49" t="s">
        <v>24354</v>
      </c>
      <c r="P1737" s="49" t="s">
        <v>24373</v>
      </c>
      <c r="Q1737" s="49" t="s">
        <v>24392</v>
      </c>
      <c r="R1737" s="49" t="s">
        <v>24411</v>
      </c>
      <c r="S1737" s="49" t="s">
        <v>24430</v>
      </c>
      <c r="T1737" s="49" t="s">
        <v>24449</v>
      </c>
    </row>
    <row r="1738" spans="1:20" x14ac:dyDescent="0.2">
      <c r="A1738" s="49" t="s">
        <v>30</v>
      </c>
      <c r="D1738" s="49" t="s">
        <v>19291</v>
      </c>
      <c r="G1738" s="49" t="s">
        <v>19292</v>
      </c>
      <c r="H1738" s="49" t="s">
        <v>24317</v>
      </c>
      <c r="I1738" s="49" t="s">
        <v>24336</v>
      </c>
      <c r="J1738" s="49" t="s">
        <v>24469</v>
      </c>
      <c r="K1738" s="49" t="s">
        <v>24488</v>
      </c>
      <c r="L1738" s="49" t="s">
        <v>19293</v>
      </c>
      <c r="M1738" s="49" t="s">
        <v>19294</v>
      </c>
      <c r="N1738" s="49" t="s">
        <v>19295</v>
      </c>
      <c r="O1738" s="49" t="s">
        <v>24355</v>
      </c>
      <c r="P1738" s="49" t="s">
        <v>24374</v>
      </c>
      <c r="Q1738" s="49" t="s">
        <v>24393</v>
      </c>
      <c r="R1738" s="49" t="s">
        <v>24412</v>
      </c>
      <c r="S1738" s="49" t="s">
        <v>24431</v>
      </c>
      <c r="T1738" s="49" t="s">
        <v>24450</v>
      </c>
    </row>
    <row r="1739" spans="1:20" x14ac:dyDescent="0.2">
      <c r="A1739" s="49" t="s">
        <v>30</v>
      </c>
      <c r="D1739" s="49" t="s">
        <v>19296</v>
      </c>
      <c r="G1739" s="49" t="s">
        <v>19297</v>
      </c>
      <c r="H1739" s="49" t="s">
        <v>24318</v>
      </c>
      <c r="I1739" s="49" t="s">
        <v>24337</v>
      </c>
      <c r="J1739" s="49" t="s">
        <v>24470</v>
      </c>
      <c r="K1739" s="49" t="s">
        <v>24489</v>
      </c>
      <c r="L1739" s="49" t="s">
        <v>19298</v>
      </c>
      <c r="M1739" s="49" t="s">
        <v>19299</v>
      </c>
      <c r="N1739" s="49" t="s">
        <v>19300</v>
      </c>
      <c r="O1739" s="49" t="s">
        <v>24356</v>
      </c>
      <c r="P1739" s="49" t="s">
        <v>24375</v>
      </c>
      <c r="Q1739" s="49" t="s">
        <v>24394</v>
      </c>
      <c r="R1739" s="49" t="s">
        <v>24413</v>
      </c>
      <c r="S1739" s="49" t="s">
        <v>24432</v>
      </c>
      <c r="T1739" s="49" t="s">
        <v>24451</v>
      </c>
    </row>
    <row r="1740" spans="1:20" x14ac:dyDescent="0.2">
      <c r="A1740" s="49" t="s">
        <v>30</v>
      </c>
      <c r="D1740" s="49" t="s">
        <v>19301</v>
      </c>
      <c r="G1740" s="49" t="s">
        <v>19302</v>
      </c>
      <c r="H1740" s="49" t="s">
        <v>24319</v>
      </c>
      <c r="I1740" s="49" t="s">
        <v>24338</v>
      </c>
      <c r="J1740" s="49" t="s">
        <v>24471</v>
      </c>
      <c r="K1740" s="49" t="s">
        <v>24490</v>
      </c>
      <c r="L1740" s="49" t="s">
        <v>19303</v>
      </c>
      <c r="M1740" s="49" t="s">
        <v>19304</v>
      </c>
      <c r="N1740" s="49" t="s">
        <v>19305</v>
      </c>
      <c r="O1740" s="49" t="s">
        <v>24357</v>
      </c>
      <c r="P1740" s="49" t="s">
        <v>24376</v>
      </c>
      <c r="Q1740" s="49" t="s">
        <v>24395</v>
      </c>
      <c r="R1740" s="49" t="s">
        <v>24414</v>
      </c>
      <c r="S1740" s="49" t="s">
        <v>24433</v>
      </c>
      <c r="T1740" s="49" t="s">
        <v>24452</v>
      </c>
    </row>
    <row r="1741" spans="1:20" x14ac:dyDescent="0.2">
      <c r="A1741" s="49" t="s">
        <v>30</v>
      </c>
      <c r="D1741" s="49" t="s">
        <v>19306</v>
      </c>
      <c r="G1741" s="49" t="s">
        <v>19307</v>
      </c>
      <c r="H1741" s="49" t="s">
        <v>24320</v>
      </c>
      <c r="I1741" s="49" t="s">
        <v>24339</v>
      </c>
      <c r="J1741" s="49" t="s">
        <v>24472</v>
      </c>
      <c r="K1741" s="49" t="s">
        <v>24491</v>
      </c>
      <c r="L1741" s="49" t="s">
        <v>19308</v>
      </c>
      <c r="M1741" s="49" t="s">
        <v>19309</v>
      </c>
      <c r="N1741" s="49" t="s">
        <v>19310</v>
      </c>
      <c r="O1741" s="49" t="s">
        <v>24358</v>
      </c>
      <c r="P1741" s="49" t="s">
        <v>24377</v>
      </c>
      <c r="Q1741" s="49" t="s">
        <v>24396</v>
      </c>
      <c r="R1741" s="49" t="s">
        <v>24415</v>
      </c>
      <c r="S1741" s="49" t="s">
        <v>24434</v>
      </c>
      <c r="T1741" s="49" t="s">
        <v>24453</v>
      </c>
    </row>
    <row r="1742" spans="1:20" x14ac:dyDescent="0.2">
      <c r="A1742" s="49" t="s">
        <v>30</v>
      </c>
      <c r="D1742" s="49" t="s">
        <v>19311</v>
      </c>
      <c r="G1742" s="49" t="s">
        <v>19312</v>
      </c>
      <c r="H1742" s="49" t="s">
        <v>24321</v>
      </c>
      <c r="I1742" s="49" t="s">
        <v>24340</v>
      </c>
      <c r="J1742" s="49" t="s">
        <v>24473</v>
      </c>
      <c r="K1742" s="49" t="s">
        <v>24492</v>
      </c>
      <c r="L1742" s="49" t="s">
        <v>19313</v>
      </c>
      <c r="M1742" s="49" t="s">
        <v>19314</v>
      </c>
      <c r="N1742" s="49" t="s">
        <v>19315</v>
      </c>
      <c r="O1742" s="49" t="s">
        <v>24359</v>
      </c>
      <c r="P1742" s="49" t="s">
        <v>24378</v>
      </c>
      <c r="Q1742" s="49" t="s">
        <v>24397</v>
      </c>
      <c r="R1742" s="49" t="s">
        <v>24416</v>
      </c>
      <c r="S1742" s="49" t="s">
        <v>24435</v>
      </c>
      <c r="T1742" s="49" t="s">
        <v>24454</v>
      </c>
    </row>
    <row r="1743" spans="1:20" x14ac:dyDescent="0.2">
      <c r="A1743" s="49" t="s">
        <v>30</v>
      </c>
      <c r="D1743" s="49" t="s">
        <v>19316</v>
      </c>
      <c r="G1743" s="49" t="s">
        <v>19317</v>
      </c>
      <c r="H1743" s="49" t="s">
        <v>24322</v>
      </c>
      <c r="I1743" s="49" t="s">
        <v>24341</v>
      </c>
      <c r="J1743" s="49" t="s">
        <v>24474</v>
      </c>
      <c r="K1743" s="49" t="s">
        <v>24493</v>
      </c>
      <c r="L1743" s="49" t="s">
        <v>19318</v>
      </c>
      <c r="M1743" s="49" t="s">
        <v>19319</v>
      </c>
      <c r="N1743" s="49" t="s">
        <v>19320</v>
      </c>
      <c r="O1743" s="49" t="s">
        <v>24360</v>
      </c>
      <c r="P1743" s="49" t="s">
        <v>24379</v>
      </c>
      <c r="Q1743" s="49" t="s">
        <v>24398</v>
      </c>
      <c r="R1743" s="49" t="s">
        <v>24417</v>
      </c>
      <c r="S1743" s="49" t="s">
        <v>24436</v>
      </c>
      <c r="T1743" s="49" t="s">
        <v>24455</v>
      </c>
    </row>
    <row r="1744" spans="1:20" x14ac:dyDescent="0.2">
      <c r="A1744" s="49" t="s">
        <v>30</v>
      </c>
      <c r="D1744" s="49" t="s">
        <v>19321</v>
      </c>
      <c r="G1744" s="49" t="s">
        <v>19322</v>
      </c>
      <c r="H1744" s="49" t="s">
        <v>24323</v>
      </c>
      <c r="I1744" s="49" t="s">
        <v>24342</v>
      </c>
      <c r="J1744" s="49" t="s">
        <v>24475</v>
      </c>
      <c r="K1744" s="49" t="s">
        <v>24494</v>
      </c>
      <c r="L1744" s="49" t="s">
        <v>19323</v>
      </c>
      <c r="M1744" s="49" t="s">
        <v>19324</v>
      </c>
      <c r="N1744" s="49" t="s">
        <v>19325</v>
      </c>
      <c r="O1744" s="49" t="s">
        <v>24361</v>
      </c>
      <c r="P1744" s="49" t="s">
        <v>24380</v>
      </c>
      <c r="Q1744" s="49" t="s">
        <v>24399</v>
      </c>
      <c r="R1744" s="49" t="s">
        <v>24418</v>
      </c>
      <c r="S1744" s="49" t="s">
        <v>24437</v>
      </c>
      <c r="T1744" s="49" t="s">
        <v>24456</v>
      </c>
    </row>
    <row r="1745" spans="1:21" x14ac:dyDescent="0.2">
      <c r="A1745" s="49" t="s">
        <v>30</v>
      </c>
      <c r="D1745" s="49" t="s">
        <v>19326</v>
      </c>
      <c r="G1745" s="49" t="s">
        <v>19327</v>
      </c>
      <c r="H1745" s="49" t="s">
        <v>24324</v>
      </c>
      <c r="I1745" s="49" t="s">
        <v>24343</v>
      </c>
      <c r="J1745" s="49" t="s">
        <v>24476</v>
      </c>
      <c r="K1745" s="49" t="s">
        <v>24495</v>
      </c>
      <c r="L1745" s="49" t="s">
        <v>19328</v>
      </c>
      <c r="M1745" s="49" t="s">
        <v>19329</v>
      </c>
      <c r="N1745" s="49" t="s">
        <v>19330</v>
      </c>
      <c r="O1745" s="49" t="s">
        <v>24362</v>
      </c>
      <c r="P1745" s="49" t="s">
        <v>24381</v>
      </c>
      <c r="Q1745" s="49" t="s">
        <v>24400</v>
      </c>
      <c r="R1745" s="49" t="s">
        <v>24419</v>
      </c>
      <c r="S1745" s="49" t="s">
        <v>24438</v>
      </c>
      <c r="T1745" s="49" t="s">
        <v>24457</v>
      </c>
    </row>
    <row r="1746" spans="1:21" x14ac:dyDescent="0.2">
      <c r="A1746" s="49" t="s">
        <v>30</v>
      </c>
    </row>
    <row r="1747" spans="1:21" x14ac:dyDescent="0.2">
      <c r="A1747" s="49" t="s">
        <v>30</v>
      </c>
      <c r="E1747" s="49" t="s">
        <v>31</v>
      </c>
      <c r="F1747" s="49" t="s">
        <v>31</v>
      </c>
      <c r="G1747" s="49" t="s">
        <v>31</v>
      </c>
      <c r="J1747" s="49" t="s">
        <v>31</v>
      </c>
      <c r="K1747" s="49" t="s">
        <v>31</v>
      </c>
      <c r="L1747" s="49" t="s">
        <v>31</v>
      </c>
      <c r="M1747" s="49" t="s">
        <v>31</v>
      </c>
    </row>
    <row r="1748" spans="1:21" x14ac:dyDescent="0.2">
      <c r="A1748" s="49" t="s">
        <v>30</v>
      </c>
      <c r="D1748" s="49" t="s">
        <v>19331</v>
      </c>
      <c r="E1748" s="49" t="s">
        <v>8404</v>
      </c>
      <c r="F1748" s="49" t="s">
        <v>19332</v>
      </c>
      <c r="H1748" s="49" t="s">
        <v>19333</v>
      </c>
      <c r="O1748" s="49" t="s">
        <v>19334</v>
      </c>
      <c r="P1748" s="49" t="s">
        <v>19335</v>
      </c>
      <c r="Q1748" s="49" t="s">
        <v>19336</v>
      </c>
      <c r="R1748" s="49" t="s">
        <v>19337</v>
      </c>
      <c r="S1748" s="49" t="s">
        <v>19338</v>
      </c>
      <c r="T1748" s="49" t="s">
        <v>19339</v>
      </c>
      <c r="U1748" s="49" t="s">
        <v>19340</v>
      </c>
    </row>
    <row r="1749" spans="1:21" x14ac:dyDescent="0.2">
      <c r="A1749" s="49" t="s">
        <v>30</v>
      </c>
      <c r="D1749" s="49" t="s">
        <v>19341</v>
      </c>
      <c r="G1749" s="49" t="s">
        <v>19342</v>
      </c>
      <c r="H1749" s="49" t="s">
        <v>24156</v>
      </c>
      <c r="I1749" s="49" t="s">
        <v>24171</v>
      </c>
      <c r="J1749" s="49" t="s">
        <v>24276</v>
      </c>
      <c r="K1749" s="49" t="s">
        <v>24291</v>
      </c>
      <c r="L1749" s="49" t="s">
        <v>19343</v>
      </c>
      <c r="M1749" s="49" t="s">
        <v>19344</v>
      </c>
      <c r="N1749" s="49" t="s">
        <v>19345</v>
      </c>
      <c r="O1749" s="49" t="s">
        <v>24186</v>
      </c>
      <c r="P1749" s="49" t="s">
        <v>24201</v>
      </c>
      <c r="Q1749" s="49" t="s">
        <v>24216</v>
      </c>
      <c r="R1749" s="49" t="s">
        <v>24231</v>
      </c>
      <c r="S1749" s="49" t="s">
        <v>24246</v>
      </c>
      <c r="T1749" s="49" t="s">
        <v>24261</v>
      </c>
    </row>
    <row r="1750" spans="1:21" x14ac:dyDescent="0.2">
      <c r="A1750" s="49" t="s">
        <v>30</v>
      </c>
      <c r="D1750" s="49" t="s">
        <v>19346</v>
      </c>
      <c r="G1750" s="49" t="s">
        <v>19347</v>
      </c>
      <c r="H1750" s="49" t="s">
        <v>24157</v>
      </c>
      <c r="I1750" s="49" t="s">
        <v>24172</v>
      </c>
      <c r="J1750" s="49" t="s">
        <v>24277</v>
      </c>
      <c r="K1750" s="49" t="s">
        <v>24292</v>
      </c>
      <c r="L1750" s="49" t="s">
        <v>19348</v>
      </c>
      <c r="M1750" s="49" t="s">
        <v>19349</v>
      </c>
      <c r="N1750" s="49" t="s">
        <v>19350</v>
      </c>
      <c r="O1750" s="49" t="s">
        <v>24187</v>
      </c>
      <c r="P1750" s="49" t="s">
        <v>24202</v>
      </c>
      <c r="Q1750" s="49" t="s">
        <v>24217</v>
      </c>
      <c r="R1750" s="49" t="s">
        <v>24232</v>
      </c>
      <c r="S1750" s="49" t="s">
        <v>24247</v>
      </c>
      <c r="T1750" s="49" t="s">
        <v>24262</v>
      </c>
    </row>
    <row r="1751" spans="1:21" x14ac:dyDescent="0.2">
      <c r="A1751" s="49" t="s">
        <v>30</v>
      </c>
      <c r="D1751" s="49" t="s">
        <v>19351</v>
      </c>
      <c r="G1751" s="49" t="s">
        <v>19352</v>
      </c>
      <c r="H1751" s="49" t="s">
        <v>24158</v>
      </c>
      <c r="I1751" s="49" t="s">
        <v>24173</v>
      </c>
      <c r="J1751" s="49" t="s">
        <v>24278</v>
      </c>
      <c r="K1751" s="49" t="s">
        <v>24293</v>
      </c>
      <c r="L1751" s="49" t="s">
        <v>19353</v>
      </c>
      <c r="M1751" s="49" t="s">
        <v>19354</v>
      </c>
      <c r="N1751" s="49" t="s">
        <v>19355</v>
      </c>
      <c r="O1751" s="49" t="s">
        <v>24188</v>
      </c>
      <c r="P1751" s="49" t="s">
        <v>24203</v>
      </c>
      <c r="Q1751" s="49" t="s">
        <v>24218</v>
      </c>
      <c r="R1751" s="49" t="s">
        <v>24233</v>
      </c>
      <c r="S1751" s="49" t="s">
        <v>24248</v>
      </c>
      <c r="T1751" s="49" t="s">
        <v>24263</v>
      </c>
    </row>
    <row r="1752" spans="1:21" x14ac:dyDescent="0.2">
      <c r="A1752" s="49" t="s">
        <v>30</v>
      </c>
      <c r="D1752" s="49" t="s">
        <v>19356</v>
      </c>
      <c r="G1752" s="49" t="s">
        <v>19357</v>
      </c>
      <c r="H1752" s="49" t="s">
        <v>24159</v>
      </c>
      <c r="I1752" s="49" t="s">
        <v>24174</v>
      </c>
      <c r="J1752" s="49" t="s">
        <v>24279</v>
      </c>
      <c r="K1752" s="49" t="s">
        <v>24294</v>
      </c>
      <c r="L1752" s="49" t="s">
        <v>19358</v>
      </c>
      <c r="M1752" s="49" t="s">
        <v>19359</v>
      </c>
      <c r="N1752" s="49" t="s">
        <v>19360</v>
      </c>
      <c r="O1752" s="49" t="s">
        <v>24189</v>
      </c>
      <c r="P1752" s="49" t="s">
        <v>24204</v>
      </c>
      <c r="Q1752" s="49" t="s">
        <v>24219</v>
      </c>
      <c r="R1752" s="49" t="s">
        <v>24234</v>
      </c>
      <c r="S1752" s="49" t="s">
        <v>24249</v>
      </c>
      <c r="T1752" s="49" t="s">
        <v>24264</v>
      </c>
    </row>
    <row r="1753" spans="1:21" x14ac:dyDescent="0.2">
      <c r="A1753" s="49" t="s">
        <v>30</v>
      </c>
      <c r="D1753" s="49" t="s">
        <v>19361</v>
      </c>
      <c r="G1753" s="49" t="s">
        <v>19362</v>
      </c>
      <c r="H1753" s="49" t="s">
        <v>24160</v>
      </c>
      <c r="I1753" s="49" t="s">
        <v>24175</v>
      </c>
      <c r="J1753" s="49" t="s">
        <v>24280</v>
      </c>
      <c r="K1753" s="49" t="s">
        <v>24295</v>
      </c>
      <c r="L1753" s="49" t="s">
        <v>19363</v>
      </c>
      <c r="M1753" s="49" t="s">
        <v>19364</v>
      </c>
      <c r="N1753" s="49" t="s">
        <v>19365</v>
      </c>
      <c r="O1753" s="49" t="s">
        <v>24190</v>
      </c>
      <c r="P1753" s="49" t="s">
        <v>24205</v>
      </c>
      <c r="Q1753" s="49" t="s">
        <v>24220</v>
      </c>
      <c r="R1753" s="49" t="s">
        <v>24235</v>
      </c>
      <c r="S1753" s="49" t="s">
        <v>24250</v>
      </c>
      <c r="T1753" s="49" t="s">
        <v>24265</v>
      </c>
    </row>
    <row r="1754" spans="1:21" x14ac:dyDescent="0.2">
      <c r="A1754" s="49" t="s">
        <v>30</v>
      </c>
      <c r="D1754" s="49" t="s">
        <v>19366</v>
      </c>
      <c r="G1754" s="49" t="s">
        <v>19367</v>
      </c>
      <c r="H1754" s="49" t="s">
        <v>24161</v>
      </c>
      <c r="I1754" s="49" t="s">
        <v>24176</v>
      </c>
      <c r="J1754" s="49" t="s">
        <v>24281</v>
      </c>
      <c r="K1754" s="49" t="s">
        <v>24296</v>
      </c>
      <c r="L1754" s="49" t="s">
        <v>19368</v>
      </c>
      <c r="M1754" s="49" t="s">
        <v>19369</v>
      </c>
      <c r="N1754" s="49" t="s">
        <v>19370</v>
      </c>
      <c r="O1754" s="49" t="s">
        <v>24191</v>
      </c>
      <c r="P1754" s="49" t="s">
        <v>24206</v>
      </c>
      <c r="Q1754" s="49" t="s">
        <v>24221</v>
      </c>
      <c r="R1754" s="49" t="s">
        <v>24236</v>
      </c>
      <c r="S1754" s="49" t="s">
        <v>24251</v>
      </c>
      <c r="T1754" s="49" t="s">
        <v>24266</v>
      </c>
    </row>
    <row r="1755" spans="1:21" x14ac:dyDescent="0.2">
      <c r="A1755" s="49" t="s">
        <v>30</v>
      </c>
      <c r="D1755" s="49" t="s">
        <v>19371</v>
      </c>
      <c r="G1755" s="49" t="s">
        <v>19372</v>
      </c>
      <c r="H1755" s="49" t="s">
        <v>24162</v>
      </c>
      <c r="I1755" s="49" t="s">
        <v>24177</v>
      </c>
      <c r="J1755" s="49" t="s">
        <v>24282</v>
      </c>
      <c r="K1755" s="49" t="s">
        <v>24297</v>
      </c>
      <c r="L1755" s="49" t="s">
        <v>19373</v>
      </c>
      <c r="M1755" s="49" t="s">
        <v>19374</v>
      </c>
      <c r="N1755" s="49" t="s">
        <v>19375</v>
      </c>
      <c r="O1755" s="49" t="s">
        <v>24192</v>
      </c>
      <c r="P1755" s="49" t="s">
        <v>24207</v>
      </c>
      <c r="Q1755" s="49" t="s">
        <v>24222</v>
      </c>
      <c r="R1755" s="49" t="s">
        <v>24237</v>
      </c>
      <c r="S1755" s="49" t="s">
        <v>24252</v>
      </c>
      <c r="T1755" s="49" t="s">
        <v>24267</v>
      </c>
    </row>
    <row r="1756" spans="1:21" x14ac:dyDescent="0.2">
      <c r="A1756" s="49" t="s">
        <v>30</v>
      </c>
      <c r="D1756" s="49" t="s">
        <v>19376</v>
      </c>
      <c r="G1756" s="49" t="s">
        <v>19377</v>
      </c>
      <c r="H1756" s="49" t="s">
        <v>24163</v>
      </c>
      <c r="I1756" s="49" t="s">
        <v>24178</v>
      </c>
      <c r="J1756" s="49" t="s">
        <v>24283</v>
      </c>
      <c r="K1756" s="49" t="s">
        <v>24298</v>
      </c>
      <c r="L1756" s="49" t="s">
        <v>19378</v>
      </c>
      <c r="M1756" s="49" t="s">
        <v>19379</v>
      </c>
      <c r="N1756" s="49" t="s">
        <v>19380</v>
      </c>
      <c r="O1756" s="49" t="s">
        <v>24193</v>
      </c>
      <c r="P1756" s="49" t="s">
        <v>24208</v>
      </c>
      <c r="Q1756" s="49" t="s">
        <v>24223</v>
      </c>
      <c r="R1756" s="49" t="s">
        <v>24238</v>
      </c>
      <c r="S1756" s="49" t="s">
        <v>24253</v>
      </c>
      <c r="T1756" s="49" t="s">
        <v>24268</v>
      </c>
    </row>
    <row r="1757" spans="1:21" x14ac:dyDescent="0.2">
      <c r="A1757" s="49" t="s">
        <v>30</v>
      </c>
      <c r="D1757" s="49" t="s">
        <v>19381</v>
      </c>
      <c r="G1757" s="49" t="s">
        <v>19382</v>
      </c>
      <c r="H1757" s="49" t="s">
        <v>24164</v>
      </c>
      <c r="I1757" s="49" t="s">
        <v>24179</v>
      </c>
      <c r="J1757" s="49" t="s">
        <v>24284</v>
      </c>
      <c r="K1757" s="49" t="s">
        <v>24299</v>
      </c>
      <c r="L1757" s="49" t="s">
        <v>19383</v>
      </c>
      <c r="M1757" s="49" t="s">
        <v>19384</v>
      </c>
      <c r="N1757" s="49" t="s">
        <v>19385</v>
      </c>
      <c r="O1757" s="49" t="s">
        <v>24194</v>
      </c>
      <c r="P1757" s="49" t="s">
        <v>24209</v>
      </c>
      <c r="Q1757" s="49" t="s">
        <v>24224</v>
      </c>
      <c r="R1757" s="49" t="s">
        <v>24239</v>
      </c>
      <c r="S1757" s="49" t="s">
        <v>24254</v>
      </c>
      <c r="T1757" s="49" t="s">
        <v>24269</v>
      </c>
    </row>
    <row r="1758" spans="1:21" x14ac:dyDescent="0.2">
      <c r="A1758" s="49" t="s">
        <v>30</v>
      </c>
      <c r="D1758" s="49" t="s">
        <v>19386</v>
      </c>
      <c r="G1758" s="49" t="s">
        <v>19387</v>
      </c>
      <c r="H1758" s="49" t="s">
        <v>24165</v>
      </c>
      <c r="I1758" s="49" t="s">
        <v>24180</v>
      </c>
      <c r="J1758" s="49" t="s">
        <v>24285</v>
      </c>
      <c r="K1758" s="49" t="s">
        <v>24300</v>
      </c>
      <c r="L1758" s="49" t="s">
        <v>19388</v>
      </c>
      <c r="M1758" s="49" t="s">
        <v>19389</v>
      </c>
      <c r="N1758" s="49" t="s">
        <v>19390</v>
      </c>
      <c r="O1758" s="49" t="s">
        <v>24195</v>
      </c>
      <c r="P1758" s="49" t="s">
        <v>24210</v>
      </c>
      <c r="Q1758" s="49" t="s">
        <v>24225</v>
      </c>
      <c r="R1758" s="49" t="s">
        <v>24240</v>
      </c>
      <c r="S1758" s="49" t="s">
        <v>24255</v>
      </c>
      <c r="T1758" s="49" t="s">
        <v>24270</v>
      </c>
    </row>
    <row r="1759" spans="1:21" x14ac:dyDescent="0.2">
      <c r="A1759" s="49" t="s">
        <v>30</v>
      </c>
      <c r="D1759" s="49" t="s">
        <v>19391</v>
      </c>
      <c r="G1759" s="49" t="s">
        <v>19392</v>
      </c>
      <c r="H1759" s="49" t="s">
        <v>24166</v>
      </c>
      <c r="I1759" s="49" t="s">
        <v>24181</v>
      </c>
      <c r="J1759" s="49" t="s">
        <v>24286</v>
      </c>
      <c r="K1759" s="49" t="s">
        <v>24301</v>
      </c>
      <c r="L1759" s="49" t="s">
        <v>19393</v>
      </c>
      <c r="M1759" s="49" t="s">
        <v>19394</v>
      </c>
      <c r="N1759" s="49" t="s">
        <v>19395</v>
      </c>
      <c r="O1759" s="49" t="s">
        <v>24196</v>
      </c>
      <c r="P1759" s="49" t="s">
        <v>24211</v>
      </c>
      <c r="Q1759" s="49" t="s">
        <v>24226</v>
      </c>
      <c r="R1759" s="49" t="s">
        <v>24241</v>
      </c>
      <c r="S1759" s="49" t="s">
        <v>24256</v>
      </c>
      <c r="T1759" s="49" t="s">
        <v>24271</v>
      </c>
    </row>
    <row r="1760" spans="1:21" x14ac:dyDescent="0.2">
      <c r="A1760" s="49" t="s">
        <v>30</v>
      </c>
      <c r="D1760" s="49" t="s">
        <v>19396</v>
      </c>
      <c r="G1760" s="49" t="s">
        <v>19397</v>
      </c>
      <c r="H1760" s="49" t="s">
        <v>24167</v>
      </c>
      <c r="I1760" s="49" t="s">
        <v>24182</v>
      </c>
      <c r="J1760" s="49" t="s">
        <v>24287</v>
      </c>
      <c r="K1760" s="49" t="s">
        <v>24302</v>
      </c>
      <c r="L1760" s="49" t="s">
        <v>19398</v>
      </c>
      <c r="M1760" s="49" t="s">
        <v>19399</v>
      </c>
      <c r="N1760" s="49" t="s">
        <v>19400</v>
      </c>
      <c r="O1760" s="49" t="s">
        <v>24197</v>
      </c>
      <c r="P1760" s="49" t="s">
        <v>24212</v>
      </c>
      <c r="Q1760" s="49" t="s">
        <v>24227</v>
      </c>
      <c r="R1760" s="49" t="s">
        <v>24242</v>
      </c>
      <c r="S1760" s="49" t="s">
        <v>24257</v>
      </c>
      <c r="T1760" s="49" t="s">
        <v>24272</v>
      </c>
    </row>
    <row r="1761" spans="1:21" x14ac:dyDescent="0.2">
      <c r="A1761" s="49" t="s">
        <v>30</v>
      </c>
      <c r="D1761" s="49" t="s">
        <v>19401</v>
      </c>
      <c r="G1761" s="49" t="s">
        <v>19402</v>
      </c>
      <c r="H1761" s="49" t="s">
        <v>24168</v>
      </c>
      <c r="I1761" s="49" t="s">
        <v>24183</v>
      </c>
      <c r="J1761" s="49" t="s">
        <v>24288</v>
      </c>
      <c r="K1761" s="49" t="s">
        <v>24303</v>
      </c>
      <c r="L1761" s="49" t="s">
        <v>19403</v>
      </c>
      <c r="M1761" s="49" t="s">
        <v>19404</v>
      </c>
      <c r="N1761" s="49" t="s">
        <v>19405</v>
      </c>
      <c r="O1761" s="49" t="s">
        <v>24198</v>
      </c>
      <c r="P1761" s="49" t="s">
        <v>24213</v>
      </c>
      <c r="Q1761" s="49" t="s">
        <v>24228</v>
      </c>
      <c r="R1761" s="49" t="s">
        <v>24243</v>
      </c>
      <c r="S1761" s="49" t="s">
        <v>24258</v>
      </c>
      <c r="T1761" s="49" t="s">
        <v>24273</v>
      </c>
    </row>
    <row r="1762" spans="1:21" x14ac:dyDescent="0.2">
      <c r="A1762" s="49" t="s">
        <v>30</v>
      </c>
      <c r="D1762" s="49" t="s">
        <v>19406</v>
      </c>
      <c r="G1762" s="49" t="s">
        <v>19407</v>
      </c>
      <c r="H1762" s="49" t="s">
        <v>24169</v>
      </c>
      <c r="I1762" s="49" t="s">
        <v>24184</v>
      </c>
      <c r="J1762" s="49" t="s">
        <v>24289</v>
      </c>
      <c r="K1762" s="49" t="s">
        <v>24304</v>
      </c>
      <c r="L1762" s="49" t="s">
        <v>19408</v>
      </c>
      <c r="M1762" s="49" t="s">
        <v>19409</v>
      </c>
      <c r="N1762" s="49" t="s">
        <v>19410</v>
      </c>
      <c r="O1762" s="49" t="s">
        <v>24199</v>
      </c>
      <c r="P1762" s="49" t="s">
        <v>24214</v>
      </c>
      <c r="Q1762" s="49" t="s">
        <v>24229</v>
      </c>
      <c r="R1762" s="49" t="s">
        <v>24244</v>
      </c>
      <c r="S1762" s="49" t="s">
        <v>24259</v>
      </c>
      <c r="T1762" s="49" t="s">
        <v>24274</v>
      </c>
    </row>
    <row r="1763" spans="1:21" x14ac:dyDescent="0.2">
      <c r="A1763" s="49" t="s">
        <v>30</v>
      </c>
      <c r="D1763" s="49" t="s">
        <v>19411</v>
      </c>
      <c r="G1763" s="49" t="s">
        <v>19412</v>
      </c>
      <c r="H1763" s="49" t="s">
        <v>24170</v>
      </c>
      <c r="I1763" s="49" t="s">
        <v>24185</v>
      </c>
      <c r="J1763" s="49" t="s">
        <v>24290</v>
      </c>
      <c r="K1763" s="49" t="s">
        <v>24305</v>
      </c>
      <c r="L1763" s="49" t="s">
        <v>19413</v>
      </c>
      <c r="M1763" s="49" t="s">
        <v>19414</v>
      </c>
      <c r="N1763" s="49" t="s">
        <v>19415</v>
      </c>
      <c r="O1763" s="49" t="s">
        <v>24200</v>
      </c>
      <c r="P1763" s="49" t="s">
        <v>24215</v>
      </c>
      <c r="Q1763" s="49" t="s">
        <v>24230</v>
      </c>
      <c r="R1763" s="49" t="s">
        <v>24245</v>
      </c>
      <c r="S1763" s="49" t="s">
        <v>24260</v>
      </c>
      <c r="T1763" s="49" t="s">
        <v>24275</v>
      </c>
    </row>
    <row r="1764" spans="1:21" x14ac:dyDescent="0.2">
      <c r="A1764" s="49" t="s">
        <v>30</v>
      </c>
    </row>
    <row r="1765" spans="1:21" x14ac:dyDescent="0.2">
      <c r="A1765" s="49" t="s">
        <v>30</v>
      </c>
      <c r="E1765" s="49" t="s">
        <v>31</v>
      </c>
      <c r="F1765" s="49" t="s">
        <v>31</v>
      </c>
      <c r="G1765" s="49" t="s">
        <v>31</v>
      </c>
      <c r="J1765" s="49" t="s">
        <v>31</v>
      </c>
      <c r="K1765" s="49" t="s">
        <v>31</v>
      </c>
      <c r="L1765" s="49" t="s">
        <v>31</v>
      </c>
      <c r="M1765" s="49" t="s">
        <v>31</v>
      </c>
    </row>
    <row r="1766" spans="1:21" x14ac:dyDescent="0.2">
      <c r="A1766" s="49" t="s">
        <v>30</v>
      </c>
      <c r="D1766" s="49" t="s">
        <v>19416</v>
      </c>
      <c r="E1766" s="49" t="s">
        <v>8475</v>
      </c>
      <c r="F1766" s="49" t="s">
        <v>19417</v>
      </c>
      <c r="H1766" s="49" t="s">
        <v>19418</v>
      </c>
      <c r="O1766" s="49" t="s">
        <v>19419</v>
      </c>
      <c r="P1766" s="49" t="s">
        <v>19420</v>
      </c>
      <c r="Q1766" s="49" t="s">
        <v>19421</v>
      </c>
      <c r="R1766" s="49" t="s">
        <v>19422</v>
      </c>
      <c r="S1766" s="49" t="s">
        <v>19423</v>
      </c>
      <c r="T1766" s="49" t="s">
        <v>19424</v>
      </c>
      <c r="U1766" s="49" t="s">
        <v>19425</v>
      </c>
    </row>
    <row r="1767" spans="1:21" x14ac:dyDescent="0.2">
      <c r="A1767" s="49" t="s">
        <v>30</v>
      </c>
      <c r="D1767" s="49" t="s">
        <v>19426</v>
      </c>
      <c r="G1767" s="49" t="s">
        <v>19427</v>
      </c>
      <c r="H1767" s="49" t="s">
        <v>23966</v>
      </c>
      <c r="I1767" s="49" t="s">
        <v>23985</v>
      </c>
      <c r="J1767" s="49" t="s">
        <v>24118</v>
      </c>
      <c r="K1767" s="49" t="s">
        <v>24137</v>
      </c>
      <c r="L1767" s="49" t="s">
        <v>19428</v>
      </c>
      <c r="M1767" s="49" t="s">
        <v>19429</v>
      </c>
      <c r="N1767" s="49" t="s">
        <v>19430</v>
      </c>
      <c r="O1767" s="49" t="s">
        <v>24004</v>
      </c>
      <c r="P1767" s="49" t="s">
        <v>24023</v>
      </c>
      <c r="Q1767" s="49" t="s">
        <v>24042</v>
      </c>
      <c r="R1767" s="49" t="s">
        <v>24061</v>
      </c>
      <c r="S1767" s="49" t="s">
        <v>24080</v>
      </c>
      <c r="T1767" s="49" t="s">
        <v>24099</v>
      </c>
    </row>
    <row r="1768" spans="1:21" x14ac:dyDescent="0.2">
      <c r="A1768" s="49" t="s">
        <v>30</v>
      </c>
      <c r="D1768" s="49" t="s">
        <v>19431</v>
      </c>
      <c r="G1768" s="49" t="s">
        <v>19432</v>
      </c>
      <c r="H1768" s="49" t="s">
        <v>23967</v>
      </c>
      <c r="I1768" s="49" t="s">
        <v>23986</v>
      </c>
      <c r="J1768" s="49" t="s">
        <v>24119</v>
      </c>
      <c r="K1768" s="49" t="s">
        <v>24138</v>
      </c>
      <c r="L1768" s="49" t="s">
        <v>19433</v>
      </c>
      <c r="M1768" s="49" t="s">
        <v>19434</v>
      </c>
      <c r="N1768" s="49" t="s">
        <v>19435</v>
      </c>
      <c r="O1768" s="49" t="s">
        <v>24005</v>
      </c>
      <c r="P1768" s="49" t="s">
        <v>24024</v>
      </c>
      <c r="Q1768" s="49" t="s">
        <v>24043</v>
      </c>
      <c r="R1768" s="49" t="s">
        <v>24062</v>
      </c>
      <c r="S1768" s="49" t="s">
        <v>24081</v>
      </c>
      <c r="T1768" s="49" t="s">
        <v>24100</v>
      </c>
    </row>
    <row r="1769" spans="1:21" x14ac:dyDescent="0.2">
      <c r="A1769" s="49" t="s">
        <v>30</v>
      </c>
      <c r="D1769" s="49" t="s">
        <v>19436</v>
      </c>
      <c r="G1769" s="49" t="s">
        <v>19437</v>
      </c>
      <c r="H1769" s="49" t="s">
        <v>23968</v>
      </c>
      <c r="I1769" s="49" t="s">
        <v>23987</v>
      </c>
      <c r="J1769" s="49" t="s">
        <v>24120</v>
      </c>
      <c r="K1769" s="49" t="s">
        <v>24139</v>
      </c>
      <c r="L1769" s="49" t="s">
        <v>19438</v>
      </c>
      <c r="M1769" s="49" t="s">
        <v>19439</v>
      </c>
      <c r="N1769" s="49" t="s">
        <v>19440</v>
      </c>
      <c r="O1769" s="49" t="s">
        <v>24006</v>
      </c>
      <c r="P1769" s="49" t="s">
        <v>24025</v>
      </c>
      <c r="Q1769" s="49" t="s">
        <v>24044</v>
      </c>
      <c r="R1769" s="49" t="s">
        <v>24063</v>
      </c>
      <c r="S1769" s="49" t="s">
        <v>24082</v>
      </c>
      <c r="T1769" s="49" t="s">
        <v>24101</v>
      </c>
    </row>
    <row r="1770" spans="1:21" x14ac:dyDescent="0.2">
      <c r="A1770" s="49" t="s">
        <v>30</v>
      </c>
      <c r="D1770" s="49" t="s">
        <v>19441</v>
      </c>
      <c r="G1770" s="49" t="s">
        <v>19442</v>
      </c>
      <c r="H1770" s="49" t="s">
        <v>23969</v>
      </c>
      <c r="I1770" s="49" t="s">
        <v>23988</v>
      </c>
      <c r="J1770" s="49" t="s">
        <v>24121</v>
      </c>
      <c r="K1770" s="49" t="s">
        <v>24140</v>
      </c>
      <c r="L1770" s="49" t="s">
        <v>19443</v>
      </c>
      <c r="M1770" s="49" t="s">
        <v>19444</v>
      </c>
      <c r="N1770" s="49" t="s">
        <v>19445</v>
      </c>
      <c r="O1770" s="49" t="s">
        <v>24007</v>
      </c>
      <c r="P1770" s="49" t="s">
        <v>24026</v>
      </c>
      <c r="Q1770" s="49" t="s">
        <v>24045</v>
      </c>
      <c r="R1770" s="49" t="s">
        <v>24064</v>
      </c>
      <c r="S1770" s="49" t="s">
        <v>24083</v>
      </c>
      <c r="T1770" s="49" t="s">
        <v>24102</v>
      </c>
    </row>
    <row r="1771" spans="1:21" x14ac:dyDescent="0.2">
      <c r="A1771" s="49" t="s">
        <v>30</v>
      </c>
      <c r="D1771" s="49" t="s">
        <v>19446</v>
      </c>
      <c r="G1771" s="49" t="s">
        <v>19447</v>
      </c>
      <c r="H1771" s="49" t="s">
        <v>23970</v>
      </c>
      <c r="I1771" s="49" t="s">
        <v>23989</v>
      </c>
      <c r="J1771" s="49" t="s">
        <v>24122</v>
      </c>
      <c r="K1771" s="49" t="s">
        <v>24141</v>
      </c>
      <c r="L1771" s="49" t="s">
        <v>19448</v>
      </c>
      <c r="M1771" s="49" t="s">
        <v>19449</v>
      </c>
      <c r="N1771" s="49" t="s">
        <v>19450</v>
      </c>
      <c r="O1771" s="49" t="s">
        <v>24008</v>
      </c>
      <c r="P1771" s="49" t="s">
        <v>24027</v>
      </c>
      <c r="Q1771" s="49" t="s">
        <v>24046</v>
      </c>
      <c r="R1771" s="49" t="s">
        <v>24065</v>
      </c>
      <c r="S1771" s="49" t="s">
        <v>24084</v>
      </c>
      <c r="T1771" s="49" t="s">
        <v>24103</v>
      </c>
    </row>
    <row r="1772" spans="1:21" x14ac:dyDescent="0.2">
      <c r="A1772" s="49" t="s">
        <v>30</v>
      </c>
      <c r="D1772" s="49" t="s">
        <v>19451</v>
      </c>
      <c r="G1772" s="49" t="s">
        <v>19452</v>
      </c>
      <c r="H1772" s="49" t="s">
        <v>23971</v>
      </c>
      <c r="I1772" s="49" t="s">
        <v>23990</v>
      </c>
      <c r="J1772" s="49" t="s">
        <v>24123</v>
      </c>
      <c r="K1772" s="49" t="s">
        <v>24142</v>
      </c>
      <c r="L1772" s="49" t="s">
        <v>19453</v>
      </c>
      <c r="M1772" s="49" t="s">
        <v>19454</v>
      </c>
      <c r="N1772" s="49" t="s">
        <v>19455</v>
      </c>
      <c r="O1772" s="49" t="s">
        <v>24009</v>
      </c>
      <c r="P1772" s="49" t="s">
        <v>24028</v>
      </c>
      <c r="Q1772" s="49" t="s">
        <v>24047</v>
      </c>
      <c r="R1772" s="49" t="s">
        <v>24066</v>
      </c>
      <c r="S1772" s="49" t="s">
        <v>24085</v>
      </c>
      <c r="T1772" s="49" t="s">
        <v>24104</v>
      </c>
    </row>
    <row r="1773" spans="1:21" x14ac:dyDescent="0.2">
      <c r="A1773" s="49" t="s">
        <v>30</v>
      </c>
      <c r="D1773" s="49" t="s">
        <v>19456</v>
      </c>
      <c r="G1773" s="49" t="s">
        <v>19457</v>
      </c>
      <c r="H1773" s="49" t="s">
        <v>23972</v>
      </c>
      <c r="I1773" s="49" t="s">
        <v>23991</v>
      </c>
      <c r="J1773" s="49" t="s">
        <v>24124</v>
      </c>
      <c r="K1773" s="49" t="s">
        <v>24143</v>
      </c>
      <c r="L1773" s="49" t="s">
        <v>19458</v>
      </c>
      <c r="M1773" s="49" t="s">
        <v>19459</v>
      </c>
      <c r="N1773" s="49" t="s">
        <v>19460</v>
      </c>
      <c r="O1773" s="49" t="s">
        <v>24010</v>
      </c>
      <c r="P1773" s="49" t="s">
        <v>24029</v>
      </c>
      <c r="Q1773" s="49" t="s">
        <v>24048</v>
      </c>
      <c r="R1773" s="49" t="s">
        <v>24067</v>
      </c>
      <c r="S1773" s="49" t="s">
        <v>24086</v>
      </c>
      <c r="T1773" s="49" t="s">
        <v>24105</v>
      </c>
    </row>
    <row r="1774" spans="1:21" x14ac:dyDescent="0.2">
      <c r="A1774" s="49" t="s">
        <v>30</v>
      </c>
      <c r="D1774" s="49" t="s">
        <v>19461</v>
      </c>
      <c r="G1774" s="49" t="s">
        <v>19462</v>
      </c>
      <c r="H1774" s="49" t="s">
        <v>23973</v>
      </c>
      <c r="I1774" s="49" t="s">
        <v>23992</v>
      </c>
      <c r="J1774" s="49" t="s">
        <v>24125</v>
      </c>
      <c r="K1774" s="49" t="s">
        <v>24144</v>
      </c>
      <c r="L1774" s="49" t="s">
        <v>19463</v>
      </c>
      <c r="M1774" s="49" t="s">
        <v>19464</v>
      </c>
      <c r="N1774" s="49" t="s">
        <v>19465</v>
      </c>
      <c r="O1774" s="49" t="s">
        <v>24011</v>
      </c>
      <c r="P1774" s="49" t="s">
        <v>24030</v>
      </c>
      <c r="Q1774" s="49" t="s">
        <v>24049</v>
      </c>
      <c r="R1774" s="49" t="s">
        <v>24068</v>
      </c>
      <c r="S1774" s="49" t="s">
        <v>24087</v>
      </c>
      <c r="T1774" s="49" t="s">
        <v>24106</v>
      </c>
    </row>
    <row r="1775" spans="1:21" x14ac:dyDescent="0.2">
      <c r="A1775" s="49" t="s">
        <v>30</v>
      </c>
      <c r="D1775" s="49" t="s">
        <v>19466</v>
      </c>
      <c r="G1775" s="49" t="s">
        <v>19467</v>
      </c>
      <c r="H1775" s="49" t="s">
        <v>23974</v>
      </c>
      <c r="I1775" s="49" t="s">
        <v>23993</v>
      </c>
      <c r="J1775" s="49" t="s">
        <v>24126</v>
      </c>
      <c r="K1775" s="49" t="s">
        <v>24145</v>
      </c>
      <c r="L1775" s="49" t="s">
        <v>19468</v>
      </c>
      <c r="M1775" s="49" t="s">
        <v>19469</v>
      </c>
      <c r="N1775" s="49" t="s">
        <v>19470</v>
      </c>
      <c r="O1775" s="49" t="s">
        <v>24012</v>
      </c>
      <c r="P1775" s="49" t="s">
        <v>24031</v>
      </c>
      <c r="Q1775" s="49" t="s">
        <v>24050</v>
      </c>
      <c r="R1775" s="49" t="s">
        <v>24069</v>
      </c>
      <c r="S1775" s="49" t="s">
        <v>24088</v>
      </c>
      <c r="T1775" s="49" t="s">
        <v>24107</v>
      </c>
    </row>
    <row r="1776" spans="1:21" x14ac:dyDescent="0.2">
      <c r="A1776" s="49" t="s">
        <v>30</v>
      </c>
      <c r="D1776" s="49" t="s">
        <v>19471</v>
      </c>
      <c r="G1776" s="49" t="s">
        <v>19472</v>
      </c>
      <c r="H1776" s="49" t="s">
        <v>23975</v>
      </c>
      <c r="I1776" s="49" t="s">
        <v>23994</v>
      </c>
      <c r="J1776" s="49" t="s">
        <v>24127</v>
      </c>
      <c r="K1776" s="49" t="s">
        <v>24146</v>
      </c>
      <c r="L1776" s="49" t="s">
        <v>19473</v>
      </c>
      <c r="M1776" s="49" t="s">
        <v>19474</v>
      </c>
      <c r="N1776" s="49" t="s">
        <v>19475</v>
      </c>
      <c r="O1776" s="49" t="s">
        <v>24013</v>
      </c>
      <c r="P1776" s="49" t="s">
        <v>24032</v>
      </c>
      <c r="Q1776" s="49" t="s">
        <v>24051</v>
      </c>
      <c r="R1776" s="49" t="s">
        <v>24070</v>
      </c>
      <c r="S1776" s="49" t="s">
        <v>24089</v>
      </c>
      <c r="T1776" s="49" t="s">
        <v>24108</v>
      </c>
    </row>
    <row r="1777" spans="1:21" x14ac:dyDescent="0.2">
      <c r="A1777" s="49" t="s">
        <v>30</v>
      </c>
      <c r="D1777" s="49" t="s">
        <v>19476</v>
      </c>
      <c r="G1777" s="49" t="s">
        <v>19477</v>
      </c>
      <c r="H1777" s="49" t="s">
        <v>23976</v>
      </c>
      <c r="I1777" s="49" t="s">
        <v>23995</v>
      </c>
      <c r="J1777" s="49" t="s">
        <v>24128</v>
      </c>
      <c r="K1777" s="49" t="s">
        <v>24147</v>
      </c>
      <c r="L1777" s="49" t="s">
        <v>19478</v>
      </c>
      <c r="M1777" s="49" t="s">
        <v>19479</v>
      </c>
      <c r="N1777" s="49" t="s">
        <v>19480</v>
      </c>
      <c r="O1777" s="49" t="s">
        <v>24014</v>
      </c>
      <c r="P1777" s="49" t="s">
        <v>24033</v>
      </c>
      <c r="Q1777" s="49" t="s">
        <v>24052</v>
      </c>
      <c r="R1777" s="49" t="s">
        <v>24071</v>
      </c>
      <c r="S1777" s="49" t="s">
        <v>24090</v>
      </c>
      <c r="T1777" s="49" t="s">
        <v>24109</v>
      </c>
    </row>
    <row r="1778" spans="1:21" x14ac:dyDescent="0.2">
      <c r="A1778" s="49" t="s">
        <v>30</v>
      </c>
      <c r="D1778" s="49" t="s">
        <v>19481</v>
      </c>
      <c r="G1778" s="49" t="s">
        <v>19482</v>
      </c>
      <c r="H1778" s="49" t="s">
        <v>23977</v>
      </c>
      <c r="I1778" s="49" t="s">
        <v>23996</v>
      </c>
      <c r="J1778" s="49" t="s">
        <v>24129</v>
      </c>
      <c r="K1778" s="49" t="s">
        <v>24148</v>
      </c>
      <c r="L1778" s="49" t="s">
        <v>19483</v>
      </c>
      <c r="M1778" s="49" t="s">
        <v>19484</v>
      </c>
      <c r="N1778" s="49" t="s">
        <v>19485</v>
      </c>
      <c r="O1778" s="49" t="s">
        <v>24015</v>
      </c>
      <c r="P1778" s="49" t="s">
        <v>24034</v>
      </c>
      <c r="Q1778" s="49" t="s">
        <v>24053</v>
      </c>
      <c r="R1778" s="49" t="s">
        <v>24072</v>
      </c>
      <c r="S1778" s="49" t="s">
        <v>24091</v>
      </c>
      <c r="T1778" s="49" t="s">
        <v>24110</v>
      </c>
    </row>
    <row r="1779" spans="1:21" x14ac:dyDescent="0.2">
      <c r="A1779" s="49" t="s">
        <v>30</v>
      </c>
      <c r="D1779" s="49" t="s">
        <v>19486</v>
      </c>
      <c r="G1779" s="49" t="s">
        <v>19487</v>
      </c>
      <c r="H1779" s="49" t="s">
        <v>23978</v>
      </c>
      <c r="I1779" s="49" t="s">
        <v>23997</v>
      </c>
      <c r="J1779" s="49" t="s">
        <v>24130</v>
      </c>
      <c r="K1779" s="49" t="s">
        <v>24149</v>
      </c>
      <c r="L1779" s="49" t="s">
        <v>19488</v>
      </c>
      <c r="M1779" s="49" t="s">
        <v>19489</v>
      </c>
      <c r="N1779" s="49" t="s">
        <v>19490</v>
      </c>
      <c r="O1779" s="49" t="s">
        <v>24016</v>
      </c>
      <c r="P1779" s="49" t="s">
        <v>24035</v>
      </c>
      <c r="Q1779" s="49" t="s">
        <v>24054</v>
      </c>
      <c r="R1779" s="49" t="s">
        <v>24073</v>
      </c>
      <c r="S1779" s="49" t="s">
        <v>24092</v>
      </c>
      <c r="T1779" s="49" t="s">
        <v>24111</v>
      </c>
    </row>
    <row r="1780" spans="1:21" x14ac:dyDescent="0.2">
      <c r="A1780" s="49" t="s">
        <v>30</v>
      </c>
      <c r="D1780" s="49" t="s">
        <v>19491</v>
      </c>
      <c r="G1780" s="49" t="s">
        <v>19492</v>
      </c>
      <c r="H1780" s="49" t="s">
        <v>23979</v>
      </c>
      <c r="I1780" s="49" t="s">
        <v>23998</v>
      </c>
      <c r="J1780" s="49" t="s">
        <v>24131</v>
      </c>
      <c r="K1780" s="49" t="s">
        <v>24150</v>
      </c>
      <c r="L1780" s="49" t="s">
        <v>19493</v>
      </c>
      <c r="M1780" s="49" t="s">
        <v>19494</v>
      </c>
      <c r="N1780" s="49" t="s">
        <v>19495</v>
      </c>
      <c r="O1780" s="49" t="s">
        <v>24017</v>
      </c>
      <c r="P1780" s="49" t="s">
        <v>24036</v>
      </c>
      <c r="Q1780" s="49" t="s">
        <v>24055</v>
      </c>
      <c r="R1780" s="49" t="s">
        <v>24074</v>
      </c>
      <c r="S1780" s="49" t="s">
        <v>24093</v>
      </c>
      <c r="T1780" s="49" t="s">
        <v>24112</v>
      </c>
    </row>
    <row r="1781" spans="1:21" x14ac:dyDescent="0.2">
      <c r="A1781" s="49" t="s">
        <v>30</v>
      </c>
      <c r="D1781" s="49" t="s">
        <v>19496</v>
      </c>
      <c r="G1781" s="49" t="s">
        <v>19497</v>
      </c>
      <c r="H1781" s="49" t="s">
        <v>23980</v>
      </c>
      <c r="I1781" s="49" t="s">
        <v>23999</v>
      </c>
      <c r="J1781" s="49" t="s">
        <v>24132</v>
      </c>
      <c r="K1781" s="49" t="s">
        <v>24151</v>
      </c>
      <c r="L1781" s="49" t="s">
        <v>19498</v>
      </c>
      <c r="M1781" s="49" t="s">
        <v>19499</v>
      </c>
      <c r="N1781" s="49" t="s">
        <v>19500</v>
      </c>
      <c r="O1781" s="49" t="s">
        <v>24018</v>
      </c>
      <c r="P1781" s="49" t="s">
        <v>24037</v>
      </c>
      <c r="Q1781" s="49" t="s">
        <v>24056</v>
      </c>
      <c r="R1781" s="49" t="s">
        <v>24075</v>
      </c>
      <c r="S1781" s="49" t="s">
        <v>24094</v>
      </c>
      <c r="T1781" s="49" t="s">
        <v>24113</v>
      </c>
    </row>
    <row r="1782" spans="1:21" x14ac:dyDescent="0.2">
      <c r="A1782" s="49" t="s">
        <v>30</v>
      </c>
      <c r="D1782" s="49" t="s">
        <v>19501</v>
      </c>
      <c r="G1782" s="49" t="s">
        <v>19502</v>
      </c>
      <c r="H1782" s="49" t="s">
        <v>23981</v>
      </c>
      <c r="I1782" s="49" t="s">
        <v>24000</v>
      </c>
      <c r="J1782" s="49" t="s">
        <v>24133</v>
      </c>
      <c r="K1782" s="49" t="s">
        <v>24152</v>
      </c>
      <c r="L1782" s="49" t="s">
        <v>19503</v>
      </c>
      <c r="M1782" s="49" t="s">
        <v>19504</v>
      </c>
      <c r="N1782" s="49" t="s">
        <v>19505</v>
      </c>
      <c r="O1782" s="49" t="s">
        <v>24019</v>
      </c>
      <c r="P1782" s="49" t="s">
        <v>24038</v>
      </c>
      <c r="Q1782" s="49" t="s">
        <v>24057</v>
      </c>
      <c r="R1782" s="49" t="s">
        <v>24076</v>
      </c>
      <c r="S1782" s="49" t="s">
        <v>24095</v>
      </c>
      <c r="T1782" s="49" t="s">
        <v>24114</v>
      </c>
    </row>
    <row r="1783" spans="1:21" x14ac:dyDescent="0.2">
      <c r="A1783" s="49" t="s">
        <v>30</v>
      </c>
      <c r="D1783" s="49" t="s">
        <v>19506</v>
      </c>
      <c r="G1783" s="49" t="s">
        <v>19507</v>
      </c>
      <c r="H1783" s="49" t="s">
        <v>23982</v>
      </c>
      <c r="I1783" s="49" t="s">
        <v>24001</v>
      </c>
      <c r="J1783" s="49" t="s">
        <v>24134</v>
      </c>
      <c r="K1783" s="49" t="s">
        <v>24153</v>
      </c>
      <c r="L1783" s="49" t="s">
        <v>19508</v>
      </c>
      <c r="M1783" s="49" t="s">
        <v>19509</v>
      </c>
      <c r="N1783" s="49" t="s">
        <v>19510</v>
      </c>
      <c r="O1783" s="49" t="s">
        <v>24020</v>
      </c>
      <c r="P1783" s="49" t="s">
        <v>24039</v>
      </c>
      <c r="Q1783" s="49" t="s">
        <v>24058</v>
      </c>
      <c r="R1783" s="49" t="s">
        <v>24077</v>
      </c>
      <c r="S1783" s="49" t="s">
        <v>24096</v>
      </c>
      <c r="T1783" s="49" t="s">
        <v>24115</v>
      </c>
    </row>
    <row r="1784" spans="1:21" x14ac:dyDescent="0.2">
      <c r="A1784" s="49" t="s">
        <v>30</v>
      </c>
      <c r="D1784" s="49" t="s">
        <v>19511</v>
      </c>
      <c r="G1784" s="49" t="s">
        <v>19512</v>
      </c>
      <c r="H1784" s="49" t="s">
        <v>23983</v>
      </c>
      <c r="I1784" s="49" t="s">
        <v>24002</v>
      </c>
      <c r="J1784" s="49" t="s">
        <v>24135</v>
      </c>
      <c r="K1784" s="49" t="s">
        <v>24154</v>
      </c>
      <c r="L1784" s="49" t="s">
        <v>19513</v>
      </c>
      <c r="M1784" s="49" t="s">
        <v>19514</v>
      </c>
      <c r="N1784" s="49" t="s">
        <v>19515</v>
      </c>
      <c r="O1784" s="49" t="s">
        <v>24021</v>
      </c>
      <c r="P1784" s="49" t="s">
        <v>24040</v>
      </c>
      <c r="Q1784" s="49" t="s">
        <v>24059</v>
      </c>
      <c r="R1784" s="49" t="s">
        <v>24078</v>
      </c>
      <c r="S1784" s="49" t="s">
        <v>24097</v>
      </c>
      <c r="T1784" s="49" t="s">
        <v>24116</v>
      </c>
    </row>
    <row r="1785" spans="1:21" x14ac:dyDescent="0.2">
      <c r="A1785" s="49" t="s">
        <v>30</v>
      </c>
      <c r="D1785" s="49" t="s">
        <v>19516</v>
      </c>
      <c r="G1785" s="49" t="s">
        <v>19517</v>
      </c>
      <c r="H1785" s="49" t="s">
        <v>23984</v>
      </c>
      <c r="I1785" s="49" t="s">
        <v>24003</v>
      </c>
      <c r="J1785" s="49" t="s">
        <v>24136</v>
      </c>
      <c r="K1785" s="49" t="s">
        <v>24155</v>
      </c>
      <c r="L1785" s="49" t="s">
        <v>19518</v>
      </c>
      <c r="M1785" s="49" t="s">
        <v>19519</v>
      </c>
      <c r="N1785" s="49" t="s">
        <v>19520</v>
      </c>
      <c r="O1785" s="49" t="s">
        <v>24022</v>
      </c>
      <c r="P1785" s="49" t="s">
        <v>24041</v>
      </c>
      <c r="Q1785" s="49" t="s">
        <v>24060</v>
      </c>
      <c r="R1785" s="49" t="s">
        <v>24079</v>
      </c>
      <c r="S1785" s="49" t="s">
        <v>24098</v>
      </c>
      <c r="T1785" s="49" t="s">
        <v>24117</v>
      </c>
    </row>
    <row r="1786" spans="1:21" x14ac:dyDescent="0.2">
      <c r="A1786" s="49" t="s">
        <v>30</v>
      </c>
    </row>
    <row r="1787" spans="1:21" x14ac:dyDescent="0.2">
      <c r="A1787" s="49" t="s">
        <v>30</v>
      </c>
      <c r="E1787" s="49" t="s">
        <v>31</v>
      </c>
      <c r="F1787" s="49" t="s">
        <v>31</v>
      </c>
      <c r="G1787" s="49" t="s">
        <v>31</v>
      </c>
      <c r="J1787" s="49" t="s">
        <v>31</v>
      </c>
      <c r="K1787" s="49" t="s">
        <v>31</v>
      </c>
      <c r="L1787" s="49" t="s">
        <v>31</v>
      </c>
      <c r="M1787" s="49" t="s">
        <v>31</v>
      </c>
    </row>
    <row r="1788" spans="1:21" x14ac:dyDescent="0.2">
      <c r="A1788" s="49" t="s">
        <v>30</v>
      </c>
      <c r="D1788" s="49" t="s">
        <v>19521</v>
      </c>
      <c r="E1788" s="49" t="s">
        <v>8518</v>
      </c>
      <c r="F1788" s="49" t="s">
        <v>19522</v>
      </c>
      <c r="H1788" s="49" t="s">
        <v>19523</v>
      </c>
      <c r="O1788" s="49" t="s">
        <v>19524</v>
      </c>
      <c r="P1788" s="49" t="s">
        <v>19525</v>
      </c>
      <c r="Q1788" s="49" t="s">
        <v>19526</v>
      </c>
      <c r="R1788" s="49" t="s">
        <v>19527</v>
      </c>
      <c r="S1788" s="49" t="s">
        <v>19528</v>
      </c>
      <c r="T1788" s="49" t="s">
        <v>19529</v>
      </c>
      <c r="U1788" s="49" t="s">
        <v>19530</v>
      </c>
    </row>
    <row r="1789" spans="1:21" x14ac:dyDescent="0.2">
      <c r="A1789" s="49" t="s">
        <v>30</v>
      </c>
      <c r="D1789" s="49" t="s">
        <v>19531</v>
      </c>
      <c r="G1789" s="49" t="s">
        <v>19532</v>
      </c>
      <c r="H1789" s="49" t="s">
        <v>23716</v>
      </c>
      <c r="I1789" s="49" t="s">
        <v>23741</v>
      </c>
      <c r="J1789" s="49" t="s">
        <v>23916</v>
      </c>
      <c r="K1789" s="49" t="s">
        <v>23941</v>
      </c>
      <c r="L1789" s="49" t="s">
        <v>19533</v>
      </c>
      <c r="M1789" s="49" t="s">
        <v>19534</v>
      </c>
      <c r="N1789" s="49" t="s">
        <v>19535</v>
      </c>
      <c r="O1789" s="49" t="s">
        <v>23766</v>
      </c>
      <c r="P1789" s="49" t="s">
        <v>23791</v>
      </c>
      <c r="Q1789" s="49" t="s">
        <v>23816</v>
      </c>
      <c r="R1789" s="49" t="s">
        <v>23841</v>
      </c>
      <c r="S1789" s="49" t="s">
        <v>23866</v>
      </c>
      <c r="T1789" s="49" t="s">
        <v>23891</v>
      </c>
    </row>
    <row r="1790" spans="1:21" x14ac:dyDescent="0.2">
      <c r="A1790" s="49" t="s">
        <v>30</v>
      </c>
      <c r="D1790" s="49" t="s">
        <v>19536</v>
      </c>
      <c r="G1790" s="49" t="s">
        <v>19537</v>
      </c>
      <c r="H1790" s="49" t="s">
        <v>23717</v>
      </c>
      <c r="I1790" s="49" t="s">
        <v>23742</v>
      </c>
      <c r="J1790" s="49" t="s">
        <v>23917</v>
      </c>
      <c r="K1790" s="49" t="s">
        <v>23942</v>
      </c>
      <c r="L1790" s="49" t="s">
        <v>19538</v>
      </c>
      <c r="M1790" s="49" t="s">
        <v>19539</v>
      </c>
      <c r="N1790" s="49" t="s">
        <v>19540</v>
      </c>
      <c r="O1790" s="49" t="s">
        <v>23767</v>
      </c>
      <c r="P1790" s="49" t="s">
        <v>23792</v>
      </c>
      <c r="Q1790" s="49" t="s">
        <v>23817</v>
      </c>
      <c r="R1790" s="49" t="s">
        <v>23842</v>
      </c>
      <c r="S1790" s="49" t="s">
        <v>23867</v>
      </c>
      <c r="T1790" s="49" t="s">
        <v>23892</v>
      </c>
    </row>
    <row r="1791" spans="1:21" x14ac:dyDescent="0.2">
      <c r="A1791" s="49" t="s">
        <v>30</v>
      </c>
      <c r="D1791" s="49" t="s">
        <v>19541</v>
      </c>
      <c r="G1791" s="49" t="s">
        <v>19542</v>
      </c>
      <c r="H1791" s="49" t="s">
        <v>23718</v>
      </c>
      <c r="I1791" s="49" t="s">
        <v>23743</v>
      </c>
      <c r="J1791" s="49" t="s">
        <v>23918</v>
      </c>
      <c r="K1791" s="49" t="s">
        <v>23943</v>
      </c>
      <c r="L1791" s="49" t="s">
        <v>19543</v>
      </c>
      <c r="M1791" s="49" t="s">
        <v>19544</v>
      </c>
      <c r="N1791" s="49" t="s">
        <v>19545</v>
      </c>
      <c r="O1791" s="49" t="s">
        <v>23768</v>
      </c>
      <c r="P1791" s="49" t="s">
        <v>23793</v>
      </c>
      <c r="Q1791" s="49" t="s">
        <v>23818</v>
      </c>
      <c r="R1791" s="49" t="s">
        <v>23843</v>
      </c>
      <c r="S1791" s="49" t="s">
        <v>23868</v>
      </c>
      <c r="T1791" s="49" t="s">
        <v>23893</v>
      </c>
    </row>
    <row r="1792" spans="1:21" x14ac:dyDescent="0.2">
      <c r="A1792" s="49" t="s">
        <v>30</v>
      </c>
      <c r="D1792" s="49" t="s">
        <v>19546</v>
      </c>
      <c r="G1792" s="49" t="s">
        <v>19547</v>
      </c>
      <c r="H1792" s="49" t="s">
        <v>23719</v>
      </c>
      <c r="I1792" s="49" t="s">
        <v>23744</v>
      </c>
      <c r="J1792" s="49" t="s">
        <v>23919</v>
      </c>
      <c r="K1792" s="49" t="s">
        <v>23944</v>
      </c>
      <c r="L1792" s="49" t="s">
        <v>19548</v>
      </c>
      <c r="M1792" s="49" t="s">
        <v>19549</v>
      </c>
      <c r="N1792" s="49" t="s">
        <v>19550</v>
      </c>
      <c r="O1792" s="49" t="s">
        <v>23769</v>
      </c>
      <c r="P1792" s="49" t="s">
        <v>23794</v>
      </c>
      <c r="Q1792" s="49" t="s">
        <v>23819</v>
      </c>
      <c r="R1792" s="49" t="s">
        <v>23844</v>
      </c>
      <c r="S1792" s="49" t="s">
        <v>23869</v>
      </c>
      <c r="T1792" s="49" t="s">
        <v>23894</v>
      </c>
    </row>
    <row r="1793" spans="1:20" x14ac:dyDescent="0.2">
      <c r="A1793" s="49" t="s">
        <v>30</v>
      </c>
      <c r="D1793" s="49" t="s">
        <v>19551</v>
      </c>
      <c r="G1793" s="49" t="s">
        <v>19552</v>
      </c>
      <c r="H1793" s="49" t="s">
        <v>23720</v>
      </c>
      <c r="I1793" s="49" t="s">
        <v>23745</v>
      </c>
      <c r="J1793" s="49" t="s">
        <v>23920</v>
      </c>
      <c r="K1793" s="49" t="s">
        <v>23945</v>
      </c>
      <c r="L1793" s="49" t="s">
        <v>19553</v>
      </c>
      <c r="M1793" s="49" t="s">
        <v>19554</v>
      </c>
      <c r="N1793" s="49" t="s">
        <v>19555</v>
      </c>
      <c r="O1793" s="49" t="s">
        <v>23770</v>
      </c>
      <c r="P1793" s="49" t="s">
        <v>23795</v>
      </c>
      <c r="Q1793" s="49" t="s">
        <v>23820</v>
      </c>
      <c r="R1793" s="49" t="s">
        <v>23845</v>
      </c>
      <c r="S1793" s="49" t="s">
        <v>23870</v>
      </c>
      <c r="T1793" s="49" t="s">
        <v>23895</v>
      </c>
    </row>
    <row r="1794" spans="1:20" x14ac:dyDescent="0.2">
      <c r="A1794" s="49" t="s">
        <v>30</v>
      </c>
      <c r="D1794" s="49" t="s">
        <v>19556</v>
      </c>
      <c r="G1794" s="49" t="s">
        <v>19557</v>
      </c>
      <c r="H1794" s="49" t="s">
        <v>23721</v>
      </c>
      <c r="I1794" s="49" t="s">
        <v>23746</v>
      </c>
      <c r="J1794" s="49" t="s">
        <v>23921</v>
      </c>
      <c r="K1794" s="49" t="s">
        <v>23946</v>
      </c>
      <c r="L1794" s="49" t="s">
        <v>19558</v>
      </c>
      <c r="M1794" s="49" t="s">
        <v>19559</v>
      </c>
      <c r="N1794" s="49" t="s">
        <v>19560</v>
      </c>
      <c r="O1794" s="49" t="s">
        <v>23771</v>
      </c>
      <c r="P1794" s="49" t="s">
        <v>23796</v>
      </c>
      <c r="Q1794" s="49" t="s">
        <v>23821</v>
      </c>
      <c r="R1794" s="49" t="s">
        <v>23846</v>
      </c>
      <c r="S1794" s="49" t="s">
        <v>23871</v>
      </c>
      <c r="T1794" s="49" t="s">
        <v>23896</v>
      </c>
    </row>
    <row r="1795" spans="1:20" x14ac:dyDescent="0.2">
      <c r="A1795" s="49" t="s">
        <v>30</v>
      </c>
      <c r="D1795" s="49" t="s">
        <v>19561</v>
      </c>
      <c r="G1795" s="49" t="s">
        <v>19562</v>
      </c>
      <c r="H1795" s="49" t="s">
        <v>23722</v>
      </c>
      <c r="I1795" s="49" t="s">
        <v>23747</v>
      </c>
      <c r="J1795" s="49" t="s">
        <v>23922</v>
      </c>
      <c r="K1795" s="49" t="s">
        <v>23947</v>
      </c>
      <c r="L1795" s="49" t="s">
        <v>19563</v>
      </c>
      <c r="M1795" s="49" t="s">
        <v>19564</v>
      </c>
      <c r="N1795" s="49" t="s">
        <v>19565</v>
      </c>
      <c r="O1795" s="49" t="s">
        <v>23772</v>
      </c>
      <c r="P1795" s="49" t="s">
        <v>23797</v>
      </c>
      <c r="Q1795" s="49" t="s">
        <v>23822</v>
      </c>
      <c r="R1795" s="49" t="s">
        <v>23847</v>
      </c>
      <c r="S1795" s="49" t="s">
        <v>23872</v>
      </c>
      <c r="T1795" s="49" t="s">
        <v>23897</v>
      </c>
    </row>
    <row r="1796" spans="1:20" x14ac:dyDescent="0.2">
      <c r="A1796" s="49" t="s">
        <v>30</v>
      </c>
      <c r="D1796" s="49" t="s">
        <v>19566</v>
      </c>
      <c r="G1796" s="49" t="s">
        <v>19567</v>
      </c>
      <c r="H1796" s="49" t="s">
        <v>23723</v>
      </c>
      <c r="I1796" s="49" t="s">
        <v>23748</v>
      </c>
      <c r="J1796" s="49" t="s">
        <v>23923</v>
      </c>
      <c r="K1796" s="49" t="s">
        <v>23948</v>
      </c>
      <c r="L1796" s="49" t="s">
        <v>19568</v>
      </c>
      <c r="M1796" s="49" t="s">
        <v>19569</v>
      </c>
      <c r="N1796" s="49" t="s">
        <v>19570</v>
      </c>
      <c r="O1796" s="49" t="s">
        <v>23773</v>
      </c>
      <c r="P1796" s="49" t="s">
        <v>23798</v>
      </c>
      <c r="Q1796" s="49" t="s">
        <v>23823</v>
      </c>
      <c r="R1796" s="49" t="s">
        <v>23848</v>
      </c>
      <c r="S1796" s="49" t="s">
        <v>23873</v>
      </c>
      <c r="T1796" s="49" t="s">
        <v>23898</v>
      </c>
    </row>
    <row r="1797" spans="1:20" x14ac:dyDescent="0.2">
      <c r="A1797" s="49" t="s">
        <v>30</v>
      </c>
      <c r="D1797" s="49" t="s">
        <v>19571</v>
      </c>
      <c r="G1797" s="49" t="s">
        <v>19572</v>
      </c>
      <c r="H1797" s="49" t="s">
        <v>23724</v>
      </c>
      <c r="I1797" s="49" t="s">
        <v>23749</v>
      </c>
      <c r="J1797" s="49" t="s">
        <v>23924</v>
      </c>
      <c r="K1797" s="49" t="s">
        <v>23949</v>
      </c>
      <c r="L1797" s="49" t="s">
        <v>19573</v>
      </c>
      <c r="M1797" s="49" t="s">
        <v>19574</v>
      </c>
      <c r="N1797" s="49" t="s">
        <v>19575</v>
      </c>
      <c r="O1797" s="49" t="s">
        <v>23774</v>
      </c>
      <c r="P1797" s="49" t="s">
        <v>23799</v>
      </c>
      <c r="Q1797" s="49" t="s">
        <v>23824</v>
      </c>
      <c r="R1797" s="49" t="s">
        <v>23849</v>
      </c>
      <c r="S1797" s="49" t="s">
        <v>23874</v>
      </c>
      <c r="T1797" s="49" t="s">
        <v>23899</v>
      </c>
    </row>
    <row r="1798" spans="1:20" x14ac:dyDescent="0.2">
      <c r="A1798" s="49" t="s">
        <v>30</v>
      </c>
      <c r="D1798" s="49" t="s">
        <v>19576</v>
      </c>
      <c r="G1798" s="49" t="s">
        <v>19577</v>
      </c>
      <c r="H1798" s="49" t="s">
        <v>23725</v>
      </c>
      <c r="I1798" s="49" t="s">
        <v>23750</v>
      </c>
      <c r="J1798" s="49" t="s">
        <v>23925</v>
      </c>
      <c r="K1798" s="49" t="s">
        <v>23950</v>
      </c>
      <c r="L1798" s="49" t="s">
        <v>19578</v>
      </c>
      <c r="M1798" s="49" t="s">
        <v>19579</v>
      </c>
      <c r="N1798" s="49" t="s">
        <v>19580</v>
      </c>
      <c r="O1798" s="49" t="s">
        <v>23775</v>
      </c>
      <c r="P1798" s="49" t="s">
        <v>23800</v>
      </c>
      <c r="Q1798" s="49" t="s">
        <v>23825</v>
      </c>
      <c r="R1798" s="49" t="s">
        <v>23850</v>
      </c>
      <c r="S1798" s="49" t="s">
        <v>23875</v>
      </c>
      <c r="T1798" s="49" t="s">
        <v>23900</v>
      </c>
    </row>
    <row r="1799" spans="1:20" x14ac:dyDescent="0.2">
      <c r="A1799" s="49" t="s">
        <v>30</v>
      </c>
      <c r="D1799" s="49" t="s">
        <v>19581</v>
      </c>
      <c r="G1799" s="49" t="s">
        <v>19582</v>
      </c>
      <c r="H1799" s="49" t="s">
        <v>23726</v>
      </c>
      <c r="I1799" s="49" t="s">
        <v>23751</v>
      </c>
      <c r="J1799" s="49" t="s">
        <v>23926</v>
      </c>
      <c r="K1799" s="49" t="s">
        <v>23951</v>
      </c>
      <c r="L1799" s="49" t="s">
        <v>19583</v>
      </c>
      <c r="M1799" s="49" t="s">
        <v>19584</v>
      </c>
      <c r="N1799" s="49" t="s">
        <v>19585</v>
      </c>
      <c r="O1799" s="49" t="s">
        <v>23776</v>
      </c>
      <c r="P1799" s="49" t="s">
        <v>23801</v>
      </c>
      <c r="Q1799" s="49" t="s">
        <v>23826</v>
      </c>
      <c r="R1799" s="49" t="s">
        <v>23851</v>
      </c>
      <c r="S1799" s="49" t="s">
        <v>23876</v>
      </c>
      <c r="T1799" s="49" t="s">
        <v>23901</v>
      </c>
    </row>
    <row r="1800" spans="1:20" x14ac:dyDescent="0.2">
      <c r="A1800" s="49" t="s">
        <v>30</v>
      </c>
      <c r="D1800" s="49" t="s">
        <v>19586</v>
      </c>
      <c r="G1800" s="49" t="s">
        <v>19587</v>
      </c>
      <c r="H1800" s="49" t="s">
        <v>23727</v>
      </c>
      <c r="I1800" s="49" t="s">
        <v>23752</v>
      </c>
      <c r="J1800" s="49" t="s">
        <v>23927</v>
      </c>
      <c r="K1800" s="49" t="s">
        <v>23952</v>
      </c>
      <c r="L1800" s="49" t="s">
        <v>19588</v>
      </c>
      <c r="M1800" s="49" t="s">
        <v>19589</v>
      </c>
      <c r="N1800" s="49" t="s">
        <v>19590</v>
      </c>
      <c r="O1800" s="49" t="s">
        <v>23777</v>
      </c>
      <c r="P1800" s="49" t="s">
        <v>23802</v>
      </c>
      <c r="Q1800" s="49" t="s">
        <v>23827</v>
      </c>
      <c r="R1800" s="49" t="s">
        <v>23852</v>
      </c>
      <c r="S1800" s="49" t="s">
        <v>23877</v>
      </c>
      <c r="T1800" s="49" t="s">
        <v>23902</v>
      </c>
    </row>
    <row r="1801" spans="1:20" x14ac:dyDescent="0.2">
      <c r="A1801" s="49" t="s">
        <v>30</v>
      </c>
      <c r="D1801" s="49" t="s">
        <v>19591</v>
      </c>
      <c r="G1801" s="49" t="s">
        <v>19592</v>
      </c>
      <c r="H1801" s="49" t="s">
        <v>23728</v>
      </c>
      <c r="I1801" s="49" t="s">
        <v>23753</v>
      </c>
      <c r="J1801" s="49" t="s">
        <v>23928</v>
      </c>
      <c r="K1801" s="49" t="s">
        <v>23953</v>
      </c>
      <c r="L1801" s="49" t="s">
        <v>19593</v>
      </c>
      <c r="M1801" s="49" t="s">
        <v>19594</v>
      </c>
      <c r="N1801" s="49" t="s">
        <v>19595</v>
      </c>
      <c r="O1801" s="49" t="s">
        <v>23778</v>
      </c>
      <c r="P1801" s="49" t="s">
        <v>23803</v>
      </c>
      <c r="Q1801" s="49" t="s">
        <v>23828</v>
      </c>
      <c r="R1801" s="49" t="s">
        <v>23853</v>
      </c>
      <c r="S1801" s="49" t="s">
        <v>23878</v>
      </c>
      <c r="T1801" s="49" t="s">
        <v>23903</v>
      </c>
    </row>
    <row r="1802" spans="1:20" x14ac:dyDescent="0.2">
      <c r="A1802" s="49" t="s">
        <v>30</v>
      </c>
      <c r="D1802" s="49" t="s">
        <v>19596</v>
      </c>
      <c r="G1802" s="49" t="s">
        <v>19597</v>
      </c>
      <c r="H1802" s="49" t="s">
        <v>23729</v>
      </c>
      <c r="I1802" s="49" t="s">
        <v>23754</v>
      </c>
      <c r="J1802" s="49" t="s">
        <v>23929</v>
      </c>
      <c r="K1802" s="49" t="s">
        <v>23954</v>
      </c>
      <c r="L1802" s="49" t="s">
        <v>19598</v>
      </c>
      <c r="M1802" s="49" t="s">
        <v>19599</v>
      </c>
      <c r="N1802" s="49" t="s">
        <v>19600</v>
      </c>
      <c r="O1802" s="49" t="s">
        <v>23779</v>
      </c>
      <c r="P1802" s="49" t="s">
        <v>23804</v>
      </c>
      <c r="Q1802" s="49" t="s">
        <v>23829</v>
      </c>
      <c r="R1802" s="49" t="s">
        <v>23854</v>
      </c>
      <c r="S1802" s="49" t="s">
        <v>23879</v>
      </c>
      <c r="T1802" s="49" t="s">
        <v>23904</v>
      </c>
    </row>
    <row r="1803" spans="1:20" x14ac:dyDescent="0.2">
      <c r="A1803" s="49" t="s">
        <v>30</v>
      </c>
      <c r="D1803" s="49" t="s">
        <v>19601</v>
      </c>
      <c r="G1803" s="49" t="s">
        <v>19602</v>
      </c>
      <c r="H1803" s="49" t="s">
        <v>23730</v>
      </c>
      <c r="I1803" s="49" t="s">
        <v>23755</v>
      </c>
      <c r="J1803" s="49" t="s">
        <v>23930</v>
      </c>
      <c r="K1803" s="49" t="s">
        <v>23955</v>
      </c>
      <c r="L1803" s="49" t="s">
        <v>19603</v>
      </c>
      <c r="M1803" s="49" t="s">
        <v>19604</v>
      </c>
      <c r="N1803" s="49" t="s">
        <v>19605</v>
      </c>
      <c r="O1803" s="49" t="s">
        <v>23780</v>
      </c>
      <c r="P1803" s="49" t="s">
        <v>23805</v>
      </c>
      <c r="Q1803" s="49" t="s">
        <v>23830</v>
      </c>
      <c r="R1803" s="49" t="s">
        <v>23855</v>
      </c>
      <c r="S1803" s="49" t="s">
        <v>23880</v>
      </c>
      <c r="T1803" s="49" t="s">
        <v>23905</v>
      </c>
    </row>
    <row r="1804" spans="1:20" x14ac:dyDescent="0.2">
      <c r="A1804" s="49" t="s">
        <v>30</v>
      </c>
      <c r="D1804" s="49" t="s">
        <v>19606</v>
      </c>
      <c r="G1804" s="49" t="s">
        <v>19607</v>
      </c>
      <c r="H1804" s="49" t="s">
        <v>23731</v>
      </c>
      <c r="I1804" s="49" t="s">
        <v>23756</v>
      </c>
      <c r="J1804" s="49" t="s">
        <v>23931</v>
      </c>
      <c r="K1804" s="49" t="s">
        <v>23956</v>
      </c>
      <c r="L1804" s="49" t="s">
        <v>19608</v>
      </c>
      <c r="M1804" s="49" t="s">
        <v>19609</v>
      </c>
      <c r="N1804" s="49" t="s">
        <v>19610</v>
      </c>
      <c r="O1804" s="49" t="s">
        <v>23781</v>
      </c>
      <c r="P1804" s="49" t="s">
        <v>23806</v>
      </c>
      <c r="Q1804" s="49" t="s">
        <v>23831</v>
      </c>
      <c r="R1804" s="49" t="s">
        <v>23856</v>
      </c>
      <c r="S1804" s="49" t="s">
        <v>23881</v>
      </c>
      <c r="T1804" s="49" t="s">
        <v>23906</v>
      </c>
    </row>
    <row r="1805" spans="1:20" x14ac:dyDescent="0.2">
      <c r="A1805" s="49" t="s">
        <v>30</v>
      </c>
      <c r="D1805" s="49" t="s">
        <v>19611</v>
      </c>
      <c r="G1805" s="49" t="s">
        <v>19612</v>
      </c>
      <c r="H1805" s="49" t="s">
        <v>23732</v>
      </c>
      <c r="I1805" s="49" t="s">
        <v>23757</v>
      </c>
      <c r="J1805" s="49" t="s">
        <v>23932</v>
      </c>
      <c r="K1805" s="49" t="s">
        <v>23957</v>
      </c>
      <c r="L1805" s="49" t="s">
        <v>19613</v>
      </c>
      <c r="M1805" s="49" t="s">
        <v>19614</v>
      </c>
      <c r="N1805" s="49" t="s">
        <v>19615</v>
      </c>
      <c r="O1805" s="49" t="s">
        <v>23782</v>
      </c>
      <c r="P1805" s="49" t="s">
        <v>23807</v>
      </c>
      <c r="Q1805" s="49" t="s">
        <v>23832</v>
      </c>
      <c r="R1805" s="49" t="s">
        <v>23857</v>
      </c>
      <c r="S1805" s="49" t="s">
        <v>23882</v>
      </c>
      <c r="T1805" s="49" t="s">
        <v>23907</v>
      </c>
    </row>
    <row r="1806" spans="1:20" x14ac:dyDescent="0.2">
      <c r="A1806" s="49" t="s">
        <v>30</v>
      </c>
      <c r="D1806" s="49" t="s">
        <v>19616</v>
      </c>
      <c r="G1806" s="49" t="s">
        <v>19617</v>
      </c>
      <c r="H1806" s="49" t="s">
        <v>23733</v>
      </c>
      <c r="I1806" s="49" t="s">
        <v>23758</v>
      </c>
      <c r="J1806" s="49" t="s">
        <v>23933</v>
      </c>
      <c r="K1806" s="49" t="s">
        <v>23958</v>
      </c>
      <c r="L1806" s="49" t="s">
        <v>19618</v>
      </c>
      <c r="M1806" s="49" t="s">
        <v>19619</v>
      </c>
      <c r="N1806" s="49" t="s">
        <v>19620</v>
      </c>
      <c r="O1806" s="49" t="s">
        <v>23783</v>
      </c>
      <c r="P1806" s="49" t="s">
        <v>23808</v>
      </c>
      <c r="Q1806" s="49" t="s">
        <v>23833</v>
      </c>
      <c r="R1806" s="49" t="s">
        <v>23858</v>
      </c>
      <c r="S1806" s="49" t="s">
        <v>23883</v>
      </c>
      <c r="T1806" s="49" t="s">
        <v>23908</v>
      </c>
    </row>
    <row r="1807" spans="1:20" x14ac:dyDescent="0.2">
      <c r="A1807" s="49" t="s">
        <v>30</v>
      </c>
      <c r="D1807" s="49" t="s">
        <v>19621</v>
      </c>
      <c r="G1807" s="49" t="s">
        <v>19622</v>
      </c>
      <c r="H1807" s="49" t="s">
        <v>23734</v>
      </c>
      <c r="I1807" s="49" t="s">
        <v>23759</v>
      </c>
      <c r="J1807" s="49" t="s">
        <v>23934</v>
      </c>
      <c r="K1807" s="49" t="s">
        <v>23959</v>
      </c>
      <c r="L1807" s="49" t="s">
        <v>19623</v>
      </c>
      <c r="M1807" s="49" t="s">
        <v>19624</v>
      </c>
      <c r="N1807" s="49" t="s">
        <v>19625</v>
      </c>
      <c r="O1807" s="49" t="s">
        <v>23784</v>
      </c>
      <c r="P1807" s="49" t="s">
        <v>23809</v>
      </c>
      <c r="Q1807" s="49" t="s">
        <v>23834</v>
      </c>
      <c r="R1807" s="49" t="s">
        <v>23859</v>
      </c>
      <c r="S1807" s="49" t="s">
        <v>23884</v>
      </c>
      <c r="T1807" s="49" t="s">
        <v>23909</v>
      </c>
    </row>
    <row r="1808" spans="1:20" x14ac:dyDescent="0.2">
      <c r="A1808" s="49" t="s">
        <v>30</v>
      </c>
      <c r="D1808" s="49" t="s">
        <v>19626</v>
      </c>
      <c r="G1808" s="49" t="s">
        <v>19627</v>
      </c>
      <c r="H1808" s="49" t="s">
        <v>23735</v>
      </c>
      <c r="I1808" s="49" t="s">
        <v>23760</v>
      </c>
      <c r="J1808" s="49" t="s">
        <v>23935</v>
      </c>
      <c r="K1808" s="49" t="s">
        <v>23960</v>
      </c>
      <c r="L1808" s="49" t="s">
        <v>19628</v>
      </c>
      <c r="M1808" s="49" t="s">
        <v>19629</v>
      </c>
      <c r="N1808" s="49" t="s">
        <v>19630</v>
      </c>
      <c r="O1808" s="49" t="s">
        <v>23785</v>
      </c>
      <c r="P1808" s="49" t="s">
        <v>23810</v>
      </c>
      <c r="Q1808" s="49" t="s">
        <v>23835</v>
      </c>
      <c r="R1808" s="49" t="s">
        <v>23860</v>
      </c>
      <c r="S1808" s="49" t="s">
        <v>23885</v>
      </c>
      <c r="T1808" s="49" t="s">
        <v>23910</v>
      </c>
    </row>
    <row r="1809" spans="1:21" x14ac:dyDescent="0.2">
      <c r="A1809" s="49" t="s">
        <v>30</v>
      </c>
      <c r="D1809" s="49" t="s">
        <v>19631</v>
      </c>
      <c r="G1809" s="49" t="s">
        <v>19632</v>
      </c>
      <c r="H1809" s="49" t="s">
        <v>23736</v>
      </c>
      <c r="I1809" s="49" t="s">
        <v>23761</v>
      </c>
      <c r="J1809" s="49" t="s">
        <v>23936</v>
      </c>
      <c r="K1809" s="49" t="s">
        <v>23961</v>
      </c>
      <c r="L1809" s="49" t="s">
        <v>19633</v>
      </c>
      <c r="M1809" s="49" t="s">
        <v>19634</v>
      </c>
      <c r="N1809" s="49" t="s">
        <v>19635</v>
      </c>
      <c r="O1809" s="49" t="s">
        <v>23786</v>
      </c>
      <c r="P1809" s="49" t="s">
        <v>23811</v>
      </c>
      <c r="Q1809" s="49" t="s">
        <v>23836</v>
      </c>
      <c r="R1809" s="49" t="s">
        <v>23861</v>
      </c>
      <c r="S1809" s="49" t="s">
        <v>23886</v>
      </c>
      <c r="T1809" s="49" t="s">
        <v>23911</v>
      </c>
    </row>
    <row r="1810" spans="1:21" x14ac:dyDescent="0.2">
      <c r="A1810" s="49" t="s">
        <v>30</v>
      </c>
      <c r="D1810" s="49" t="s">
        <v>19636</v>
      </c>
      <c r="G1810" s="49" t="s">
        <v>19637</v>
      </c>
      <c r="H1810" s="49" t="s">
        <v>23737</v>
      </c>
      <c r="I1810" s="49" t="s">
        <v>23762</v>
      </c>
      <c r="J1810" s="49" t="s">
        <v>23937</v>
      </c>
      <c r="K1810" s="49" t="s">
        <v>23962</v>
      </c>
      <c r="L1810" s="49" t="s">
        <v>19638</v>
      </c>
      <c r="M1810" s="49" t="s">
        <v>19639</v>
      </c>
      <c r="N1810" s="49" t="s">
        <v>19640</v>
      </c>
      <c r="O1810" s="49" t="s">
        <v>23787</v>
      </c>
      <c r="P1810" s="49" t="s">
        <v>23812</v>
      </c>
      <c r="Q1810" s="49" t="s">
        <v>23837</v>
      </c>
      <c r="R1810" s="49" t="s">
        <v>23862</v>
      </c>
      <c r="S1810" s="49" t="s">
        <v>23887</v>
      </c>
      <c r="T1810" s="49" t="s">
        <v>23912</v>
      </c>
    </row>
    <row r="1811" spans="1:21" x14ac:dyDescent="0.2">
      <c r="A1811" s="49" t="s">
        <v>30</v>
      </c>
      <c r="D1811" s="49" t="s">
        <v>19641</v>
      </c>
      <c r="G1811" s="49" t="s">
        <v>19642</v>
      </c>
      <c r="H1811" s="49" t="s">
        <v>23738</v>
      </c>
      <c r="I1811" s="49" t="s">
        <v>23763</v>
      </c>
      <c r="J1811" s="49" t="s">
        <v>23938</v>
      </c>
      <c r="K1811" s="49" t="s">
        <v>23963</v>
      </c>
      <c r="L1811" s="49" t="s">
        <v>19643</v>
      </c>
      <c r="M1811" s="49" t="s">
        <v>19644</v>
      </c>
      <c r="N1811" s="49" t="s">
        <v>19645</v>
      </c>
      <c r="O1811" s="49" t="s">
        <v>23788</v>
      </c>
      <c r="P1811" s="49" t="s">
        <v>23813</v>
      </c>
      <c r="Q1811" s="49" t="s">
        <v>23838</v>
      </c>
      <c r="R1811" s="49" t="s">
        <v>23863</v>
      </c>
      <c r="S1811" s="49" t="s">
        <v>23888</v>
      </c>
      <c r="T1811" s="49" t="s">
        <v>23913</v>
      </c>
    </row>
    <row r="1812" spans="1:21" x14ac:dyDescent="0.2">
      <c r="A1812" s="49" t="s">
        <v>30</v>
      </c>
      <c r="D1812" s="49" t="s">
        <v>19646</v>
      </c>
      <c r="G1812" s="49" t="s">
        <v>19647</v>
      </c>
      <c r="H1812" s="49" t="s">
        <v>23739</v>
      </c>
      <c r="I1812" s="49" t="s">
        <v>23764</v>
      </c>
      <c r="J1812" s="49" t="s">
        <v>23939</v>
      </c>
      <c r="K1812" s="49" t="s">
        <v>23964</v>
      </c>
      <c r="L1812" s="49" t="s">
        <v>19648</v>
      </c>
      <c r="M1812" s="49" t="s">
        <v>19649</v>
      </c>
      <c r="N1812" s="49" t="s">
        <v>19650</v>
      </c>
      <c r="O1812" s="49" t="s">
        <v>23789</v>
      </c>
      <c r="P1812" s="49" t="s">
        <v>23814</v>
      </c>
      <c r="Q1812" s="49" t="s">
        <v>23839</v>
      </c>
      <c r="R1812" s="49" t="s">
        <v>23864</v>
      </c>
      <c r="S1812" s="49" t="s">
        <v>23889</v>
      </c>
      <c r="T1812" s="49" t="s">
        <v>23914</v>
      </c>
    </row>
    <row r="1813" spans="1:21" x14ac:dyDescent="0.2">
      <c r="A1813" s="49" t="s">
        <v>30</v>
      </c>
      <c r="D1813" s="49" t="s">
        <v>19651</v>
      </c>
      <c r="G1813" s="49" t="s">
        <v>19652</v>
      </c>
      <c r="H1813" s="49" t="s">
        <v>23740</v>
      </c>
      <c r="I1813" s="49" t="s">
        <v>23765</v>
      </c>
      <c r="J1813" s="49" t="s">
        <v>23940</v>
      </c>
      <c r="K1813" s="49" t="s">
        <v>23965</v>
      </c>
      <c r="L1813" s="49" t="s">
        <v>19653</v>
      </c>
      <c r="M1813" s="49" t="s">
        <v>19654</v>
      </c>
      <c r="N1813" s="49" t="s">
        <v>19655</v>
      </c>
      <c r="O1813" s="49" t="s">
        <v>23790</v>
      </c>
      <c r="P1813" s="49" t="s">
        <v>23815</v>
      </c>
      <c r="Q1813" s="49" t="s">
        <v>23840</v>
      </c>
      <c r="R1813" s="49" t="s">
        <v>23865</v>
      </c>
      <c r="S1813" s="49" t="s">
        <v>23890</v>
      </c>
      <c r="T1813" s="49" t="s">
        <v>23915</v>
      </c>
    </row>
    <row r="1814" spans="1:21" x14ac:dyDescent="0.2">
      <c r="A1814" s="49" t="s">
        <v>30</v>
      </c>
    </row>
    <row r="1815" spans="1:21" x14ac:dyDescent="0.2">
      <c r="A1815" s="49" t="s">
        <v>30</v>
      </c>
      <c r="E1815" s="49" t="s">
        <v>31</v>
      </c>
      <c r="F1815" s="49" t="s">
        <v>31</v>
      </c>
      <c r="G1815" s="49" t="s">
        <v>31</v>
      </c>
      <c r="J1815" s="49" t="s">
        <v>31</v>
      </c>
      <c r="K1815" s="49" t="s">
        <v>31</v>
      </c>
      <c r="L1815" s="49" t="s">
        <v>31</v>
      </c>
      <c r="M1815" s="49" t="s">
        <v>31</v>
      </c>
    </row>
    <row r="1816" spans="1:21" x14ac:dyDescent="0.2">
      <c r="A1816" s="49" t="s">
        <v>30</v>
      </c>
      <c r="D1816" s="49" t="s">
        <v>19656</v>
      </c>
      <c r="E1816" s="49" t="s">
        <v>8617</v>
      </c>
      <c r="F1816" s="49" t="s">
        <v>19657</v>
      </c>
      <c r="H1816" s="49" t="s">
        <v>19658</v>
      </c>
      <c r="O1816" s="49" t="s">
        <v>19659</v>
      </c>
      <c r="P1816" s="49" t="s">
        <v>19660</v>
      </c>
      <c r="Q1816" s="49" t="s">
        <v>19661</v>
      </c>
      <c r="R1816" s="49" t="s">
        <v>19662</v>
      </c>
      <c r="S1816" s="49" t="s">
        <v>19663</v>
      </c>
      <c r="T1816" s="49" t="s">
        <v>19664</v>
      </c>
      <c r="U1816" s="49" t="s">
        <v>19665</v>
      </c>
    </row>
    <row r="1817" spans="1:21" x14ac:dyDescent="0.2">
      <c r="A1817" s="49" t="s">
        <v>30</v>
      </c>
      <c r="D1817" s="49" t="s">
        <v>19666</v>
      </c>
      <c r="G1817" s="49" t="s">
        <v>19667</v>
      </c>
      <c r="H1817" s="49" t="s">
        <v>23636</v>
      </c>
      <c r="I1817" s="49" t="s">
        <v>23644</v>
      </c>
      <c r="J1817" s="49" t="s">
        <v>23700</v>
      </c>
      <c r="K1817" s="49" t="s">
        <v>23708</v>
      </c>
      <c r="L1817" s="49" t="s">
        <v>19668</v>
      </c>
      <c r="M1817" s="49" t="s">
        <v>19669</v>
      </c>
      <c r="N1817" s="49" t="s">
        <v>19670</v>
      </c>
      <c r="O1817" s="49" t="s">
        <v>23652</v>
      </c>
      <c r="P1817" s="49" t="s">
        <v>23660</v>
      </c>
      <c r="Q1817" s="49" t="s">
        <v>23668</v>
      </c>
      <c r="R1817" s="49" t="s">
        <v>23676</v>
      </c>
      <c r="S1817" s="49" t="s">
        <v>23684</v>
      </c>
      <c r="T1817" s="49" t="s">
        <v>23692</v>
      </c>
    </row>
    <row r="1818" spans="1:21" x14ac:dyDescent="0.2">
      <c r="A1818" s="49" t="s">
        <v>30</v>
      </c>
      <c r="D1818" s="49" t="s">
        <v>19671</v>
      </c>
      <c r="G1818" s="49" t="s">
        <v>19672</v>
      </c>
      <c r="H1818" s="49" t="s">
        <v>23637</v>
      </c>
      <c r="I1818" s="49" t="s">
        <v>23645</v>
      </c>
      <c r="J1818" s="49" t="s">
        <v>23701</v>
      </c>
      <c r="K1818" s="49" t="s">
        <v>23709</v>
      </c>
      <c r="L1818" s="49" t="s">
        <v>19673</v>
      </c>
      <c r="M1818" s="49" t="s">
        <v>19674</v>
      </c>
      <c r="N1818" s="49" t="s">
        <v>19675</v>
      </c>
      <c r="O1818" s="49" t="s">
        <v>23653</v>
      </c>
      <c r="P1818" s="49" t="s">
        <v>23661</v>
      </c>
      <c r="Q1818" s="49" t="s">
        <v>23669</v>
      </c>
      <c r="R1818" s="49" t="s">
        <v>23677</v>
      </c>
      <c r="S1818" s="49" t="s">
        <v>23685</v>
      </c>
      <c r="T1818" s="49" t="s">
        <v>23693</v>
      </c>
    </row>
    <row r="1819" spans="1:21" x14ac:dyDescent="0.2">
      <c r="A1819" s="49" t="s">
        <v>30</v>
      </c>
      <c r="D1819" s="49" t="s">
        <v>19676</v>
      </c>
      <c r="G1819" s="49" t="s">
        <v>19677</v>
      </c>
      <c r="H1819" s="49" t="s">
        <v>23638</v>
      </c>
      <c r="I1819" s="49" t="s">
        <v>23646</v>
      </c>
      <c r="J1819" s="49" t="s">
        <v>23702</v>
      </c>
      <c r="K1819" s="49" t="s">
        <v>23710</v>
      </c>
      <c r="L1819" s="49" t="s">
        <v>19678</v>
      </c>
      <c r="M1819" s="49" t="s">
        <v>19679</v>
      </c>
      <c r="N1819" s="49" t="s">
        <v>19680</v>
      </c>
      <c r="O1819" s="49" t="s">
        <v>23654</v>
      </c>
      <c r="P1819" s="49" t="s">
        <v>23662</v>
      </c>
      <c r="Q1819" s="49" t="s">
        <v>23670</v>
      </c>
      <c r="R1819" s="49" t="s">
        <v>23678</v>
      </c>
      <c r="S1819" s="49" t="s">
        <v>23686</v>
      </c>
      <c r="T1819" s="49" t="s">
        <v>23694</v>
      </c>
    </row>
    <row r="1820" spans="1:21" x14ac:dyDescent="0.2">
      <c r="A1820" s="49" t="s">
        <v>30</v>
      </c>
      <c r="D1820" s="49" t="s">
        <v>19681</v>
      </c>
      <c r="G1820" s="49" t="s">
        <v>19682</v>
      </c>
      <c r="H1820" s="49" t="s">
        <v>23639</v>
      </c>
      <c r="I1820" s="49" t="s">
        <v>23647</v>
      </c>
      <c r="J1820" s="49" t="s">
        <v>23703</v>
      </c>
      <c r="K1820" s="49" t="s">
        <v>23711</v>
      </c>
      <c r="L1820" s="49" t="s">
        <v>19683</v>
      </c>
      <c r="M1820" s="49" t="s">
        <v>19684</v>
      </c>
      <c r="N1820" s="49" t="s">
        <v>19685</v>
      </c>
      <c r="O1820" s="49" t="s">
        <v>23655</v>
      </c>
      <c r="P1820" s="49" t="s">
        <v>23663</v>
      </c>
      <c r="Q1820" s="49" t="s">
        <v>23671</v>
      </c>
      <c r="R1820" s="49" t="s">
        <v>23679</v>
      </c>
      <c r="S1820" s="49" t="s">
        <v>23687</v>
      </c>
      <c r="T1820" s="49" t="s">
        <v>23695</v>
      </c>
    </row>
    <row r="1821" spans="1:21" x14ac:dyDescent="0.2">
      <c r="A1821" s="49" t="s">
        <v>30</v>
      </c>
      <c r="D1821" s="49" t="s">
        <v>19686</v>
      </c>
      <c r="G1821" s="49" t="s">
        <v>19687</v>
      </c>
      <c r="H1821" s="49" t="s">
        <v>23640</v>
      </c>
      <c r="I1821" s="49" t="s">
        <v>23648</v>
      </c>
      <c r="J1821" s="49" t="s">
        <v>23704</v>
      </c>
      <c r="K1821" s="49" t="s">
        <v>23712</v>
      </c>
      <c r="L1821" s="49" t="s">
        <v>19688</v>
      </c>
      <c r="M1821" s="49" t="s">
        <v>19689</v>
      </c>
      <c r="N1821" s="49" t="s">
        <v>19690</v>
      </c>
      <c r="O1821" s="49" t="s">
        <v>23656</v>
      </c>
      <c r="P1821" s="49" t="s">
        <v>23664</v>
      </c>
      <c r="Q1821" s="49" t="s">
        <v>23672</v>
      </c>
      <c r="R1821" s="49" t="s">
        <v>23680</v>
      </c>
      <c r="S1821" s="49" t="s">
        <v>23688</v>
      </c>
      <c r="T1821" s="49" t="s">
        <v>23696</v>
      </c>
    </row>
    <row r="1822" spans="1:21" x14ac:dyDescent="0.2">
      <c r="A1822" s="49" t="s">
        <v>30</v>
      </c>
      <c r="D1822" s="49" t="s">
        <v>19691</v>
      </c>
      <c r="G1822" s="49" t="s">
        <v>19692</v>
      </c>
      <c r="H1822" s="49" t="s">
        <v>23641</v>
      </c>
      <c r="I1822" s="49" t="s">
        <v>23649</v>
      </c>
      <c r="J1822" s="49" t="s">
        <v>23705</v>
      </c>
      <c r="K1822" s="49" t="s">
        <v>23713</v>
      </c>
      <c r="L1822" s="49" t="s">
        <v>19693</v>
      </c>
      <c r="M1822" s="49" t="s">
        <v>19694</v>
      </c>
      <c r="N1822" s="49" t="s">
        <v>19695</v>
      </c>
      <c r="O1822" s="49" t="s">
        <v>23657</v>
      </c>
      <c r="P1822" s="49" t="s">
        <v>23665</v>
      </c>
      <c r="Q1822" s="49" t="s">
        <v>23673</v>
      </c>
      <c r="R1822" s="49" t="s">
        <v>23681</v>
      </c>
      <c r="S1822" s="49" t="s">
        <v>23689</v>
      </c>
      <c r="T1822" s="49" t="s">
        <v>23697</v>
      </c>
    </row>
    <row r="1823" spans="1:21" x14ac:dyDescent="0.2">
      <c r="A1823" s="49" t="s">
        <v>30</v>
      </c>
      <c r="D1823" s="49" t="s">
        <v>19696</v>
      </c>
      <c r="G1823" s="49" t="s">
        <v>19697</v>
      </c>
      <c r="H1823" s="49" t="s">
        <v>23642</v>
      </c>
      <c r="I1823" s="49" t="s">
        <v>23650</v>
      </c>
      <c r="J1823" s="49" t="s">
        <v>23706</v>
      </c>
      <c r="K1823" s="49" t="s">
        <v>23714</v>
      </c>
      <c r="L1823" s="49" t="s">
        <v>19698</v>
      </c>
      <c r="M1823" s="49" t="s">
        <v>19699</v>
      </c>
      <c r="N1823" s="49" t="s">
        <v>19700</v>
      </c>
      <c r="O1823" s="49" t="s">
        <v>23658</v>
      </c>
      <c r="P1823" s="49" t="s">
        <v>23666</v>
      </c>
      <c r="Q1823" s="49" t="s">
        <v>23674</v>
      </c>
      <c r="R1823" s="49" t="s">
        <v>23682</v>
      </c>
      <c r="S1823" s="49" t="s">
        <v>23690</v>
      </c>
      <c r="T1823" s="49" t="s">
        <v>23698</v>
      </c>
    </row>
    <row r="1824" spans="1:21" x14ac:dyDescent="0.2">
      <c r="A1824" s="49" t="s">
        <v>30</v>
      </c>
      <c r="D1824" s="49" t="s">
        <v>19701</v>
      </c>
      <c r="G1824" s="49" t="s">
        <v>19702</v>
      </c>
      <c r="H1824" s="49" t="s">
        <v>23643</v>
      </c>
      <c r="I1824" s="49" t="s">
        <v>23651</v>
      </c>
      <c r="J1824" s="49" t="s">
        <v>23707</v>
      </c>
      <c r="K1824" s="49" t="s">
        <v>23715</v>
      </c>
      <c r="L1824" s="49" t="s">
        <v>19703</v>
      </c>
      <c r="M1824" s="49" t="s">
        <v>19704</v>
      </c>
      <c r="N1824" s="49" t="s">
        <v>19705</v>
      </c>
      <c r="O1824" s="49" t="s">
        <v>23659</v>
      </c>
      <c r="P1824" s="49" t="s">
        <v>23667</v>
      </c>
      <c r="Q1824" s="49" t="s">
        <v>23675</v>
      </c>
      <c r="R1824" s="49" t="s">
        <v>23683</v>
      </c>
      <c r="S1824" s="49" t="s">
        <v>23691</v>
      </c>
      <c r="T1824" s="49" t="s">
        <v>23699</v>
      </c>
    </row>
    <row r="1825" spans="1:21" x14ac:dyDescent="0.2">
      <c r="A1825" s="49" t="s">
        <v>30</v>
      </c>
    </row>
    <row r="1826" spans="1:21" x14ac:dyDescent="0.2">
      <c r="A1826" s="49" t="s">
        <v>30</v>
      </c>
      <c r="E1826" s="49" t="s">
        <v>31</v>
      </c>
      <c r="F1826" s="49" t="s">
        <v>31</v>
      </c>
      <c r="G1826" s="49" t="s">
        <v>31</v>
      </c>
      <c r="J1826" s="49" t="s">
        <v>31</v>
      </c>
      <c r="K1826" s="49" t="s">
        <v>31</v>
      </c>
      <c r="L1826" s="49" t="s">
        <v>31</v>
      </c>
      <c r="M1826" s="49" t="s">
        <v>31</v>
      </c>
    </row>
    <row r="1827" spans="1:21" x14ac:dyDescent="0.2">
      <c r="A1827" s="49" t="s">
        <v>30</v>
      </c>
      <c r="D1827" s="49" t="s">
        <v>19706</v>
      </c>
      <c r="E1827" s="49" t="s">
        <v>8632</v>
      </c>
      <c r="F1827" s="49" t="s">
        <v>19707</v>
      </c>
      <c r="H1827" s="49" t="s">
        <v>19708</v>
      </c>
      <c r="O1827" s="49" t="s">
        <v>19709</v>
      </c>
      <c r="P1827" s="49" t="s">
        <v>19710</v>
      </c>
      <c r="Q1827" s="49" t="s">
        <v>19711</v>
      </c>
      <c r="R1827" s="49" t="s">
        <v>19712</v>
      </c>
      <c r="S1827" s="49" t="s">
        <v>19713</v>
      </c>
      <c r="T1827" s="49" t="s">
        <v>19714</v>
      </c>
      <c r="U1827" s="49" t="s">
        <v>19715</v>
      </c>
    </row>
    <row r="1828" spans="1:21" x14ac:dyDescent="0.2">
      <c r="A1828" s="49" t="s">
        <v>30</v>
      </c>
      <c r="D1828" s="49" t="s">
        <v>19716</v>
      </c>
      <c r="G1828" s="49" t="s">
        <v>19717</v>
      </c>
      <c r="H1828" s="49" t="s">
        <v>23526</v>
      </c>
      <c r="I1828" s="49" t="s">
        <v>23537</v>
      </c>
      <c r="J1828" s="49" t="s">
        <v>23614</v>
      </c>
      <c r="K1828" s="49" t="s">
        <v>23625</v>
      </c>
      <c r="L1828" s="49" t="s">
        <v>19718</v>
      </c>
      <c r="M1828" s="49" t="s">
        <v>19719</v>
      </c>
      <c r="N1828" s="49" t="s">
        <v>19720</v>
      </c>
      <c r="O1828" s="49" t="s">
        <v>23548</v>
      </c>
      <c r="P1828" s="49" t="s">
        <v>23559</v>
      </c>
      <c r="Q1828" s="49" t="s">
        <v>23570</v>
      </c>
      <c r="R1828" s="49" t="s">
        <v>23581</v>
      </c>
      <c r="S1828" s="49" t="s">
        <v>23592</v>
      </c>
      <c r="T1828" s="49" t="s">
        <v>23603</v>
      </c>
    </row>
    <row r="1829" spans="1:21" x14ac:dyDescent="0.2">
      <c r="A1829" s="49" t="s">
        <v>30</v>
      </c>
      <c r="D1829" s="49" t="s">
        <v>19721</v>
      </c>
      <c r="G1829" s="49" t="s">
        <v>19722</v>
      </c>
      <c r="H1829" s="49" t="s">
        <v>23527</v>
      </c>
      <c r="I1829" s="49" t="s">
        <v>23538</v>
      </c>
      <c r="J1829" s="49" t="s">
        <v>23615</v>
      </c>
      <c r="K1829" s="49" t="s">
        <v>23626</v>
      </c>
      <c r="L1829" s="49" t="s">
        <v>19723</v>
      </c>
      <c r="M1829" s="49" t="s">
        <v>19724</v>
      </c>
      <c r="N1829" s="49" t="s">
        <v>19725</v>
      </c>
      <c r="O1829" s="49" t="s">
        <v>23549</v>
      </c>
      <c r="P1829" s="49" t="s">
        <v>23560</v>
      </c>
      <c r="Q1829" s="49" t="s">
        <v>23571</v>
      </c>
      <c r="R1829" s="49" t="s">
        <v>23582</v>
      </c>
      <c r="S1829" s="49" t="s">
        <v>23593</v>
      </c>
      <c r="T1829" s="49" t="s">
        <v>23604</v>
      </c>
    </row>
    <row r="1830" spans="1:21" x14ac:dyDescent="0.2">
      <c r="A1830" s="49" t="s">
        <v>30</v>
      </c>
      <c r="D1830" s="49" t="s">
        <v>19726</v>
      </c>
      <c r="G1830" s="49" t="s">
        <v>19727</v>
      </c>
      <c r="H1830" s="49" t="s">
        <v>23528</v>
      </c>
      <c r="I1830" s="49" t="s">
        <v>23539</v>
      </c>
      <c r="J1830" s="49" t="s">
        <v>23616</v>
      </c>
      <c r="K1830" s="49" t="s">
        <v>23627</v>
      </c>
      <c r="L1830" s="49" t="s">
        <v>19728</v>
      </c>
      <c r="M1830" s="49" t="s">
        <v>19729</v>
      </c>
      <c r="N1830" s="49" t="s">
        <v>19730</v>
      </c>
      <c r="O1830" s="49" t="s">
        <v>23550</v>
      </c>
      <c r="P1830" s="49" t="s">
        <v>23561</v>
      </c>
      <c r="Q1830" s="49" t="s">
        <v>23572</v>
      </c>
      <c r="R1830" s="49" t="s">
        <v>23583</v>
      </c>
      <c r="S1830" s="49" t="s">
        <v>23594</v>
      </c>
      <c r="T1830" s="49" t="s">
        <v>23605</v>
      </c>
    </row>
    <row r="1831" spans="1:21" x14ac:dyDescent="0.2">
      <c r="A1831" s="49" t="s">
        <v>30</v>
      </c>
      <c r="D1831" s="49" t="s">
        <v>19731</v>
      </c>
      <c r="G1831" s="49" t="s">
        <v>19732</v>
      </c>
      <c r="H1831" s="49" t="s">
        <v>23529</v>
      </c>
      <c r="I1831" s="49" t="s">
        <v>23540</v>
      </c>
      <c r="J1831" s="49" t="s">
        <v>23617</v>
      </c>
      <c r="K1831" s="49" t="s">
        <v>23628</v>
      </c>
      <c r="L1831" s="49" t="s">
        <v>19733</v>
      </c>
      <c r="M1831" s="49" t="s">
        <v>19734</v>
      </c>
      <c r="N1831" s="49" t="s">
        <v>19735</v>
      </c>
      <c r="O1831" s="49" t="s">
        <v>23551</v>
      </c>
      <c r="P1831" s="49" t="s">
        <v>23562</v>
      </c>
      <c r="Q1831" s="49" t="s">
        <v>23573</v>
      </c>
      <c r="R1831" s="49" t="s">
        <v>23584</v>
      </c>
      <c r="S1831" s="49" t="s">
        <v>23595</v>
      </c>
      <c r="T1831" s="49" t="s">
        <v>23606</v>
      </c>
    </row>
    <row r="1832" spans="1:21" x14ac:dyDescent="0.2">
      <c r="A1832" s="49" t="s">
        <v>30</v>
      </c>
      <c r="D1832" s="49" t="s">
        <v>19736</v>
      </c>
      <c r="G1832" s="49" t="s">
        <v>19737</v>
      </c>
      <c r="H1832" s="49" t="s">
        <v>23530</v>
      </c>
      <c r="I1832" s="49" t="s">
        <v>23541</v>
      </c>
      <c r="J1832" s="49" t="s">
        <v>23618</v>
      </c>
      <c r="K1832" s="49" t="s">
        <v>23629</v>
      </c>
      <c r="L1832" s="49" t="s">
        <v>19738</v>
      </c>
      <c r="M1832" s="49" t="s">
        <v>19739</v>
      </c>
      <c r="N1832" s="49" t="s">
        <v>19740</v>
      </c>
      <c r="O1832" s="49" t="s">
        <v>23552</v>
      </c>
      <c r="P1832" s="49" t="s">
        <v>23563</v>
      </c>
      <c r="Q1832" s="49" t="s">
        <v>23574</v>
      </c>
      <c r="R1832" s="49" t="s">
        <v>23585</v>
      </c>
      <c r="S1832" s="49" t="s">
        <v>23596</v>
      </c>
      <c r="T1832" s="49" t="s">
        <v>23607</v>
      </c>
    </row>
    <row r="1833" spans="1:21" x14ac:dyDescent="0.2">
      <c r="A1833" s="49" t="s">
        <v>30</v>
      </c>
      <c r="D1833" s="49" t="s">
        <v>19741</v>
      </c>
      <c r="G1833" s="49" t="s">
        <v>19742</v>
      </c>
      <c r="H1833" s="49" t="s">
        <v>23531</v>
      </c>
      <c r="I1833" s="49" t="s">
        <v>23542</v>
      </c>
      <c r="J1833" s="49" t="s">
        <v>23619</v>
      </c>
      <c r="K1833" s="49" t="s">
        <v>23630</v>
      </c>
      <c r="L1833" s="49" t="s">
        <v>19743</v>
      </c>
      <c r="M1833" s="49" t="s">
        <v>19744</v>
      </c>
      <c r="N1833" s="49" t="s">
        <v>19745</v>
      </c>
      <c r="O1833" s="49" t="s">
        <v>23553</v>
      </c>
      <c r="P1833" s="49" t="s">
        <v>23564</v>
      </c>
      <c r="Q1833" s="49" t="s">
        <v>23575</v>
      </c>
      <c r="R1833" s="49" t="s">
        <v>23586</v>
      </c>
      <c r="S1833" s="49" t="s">
        <v>23597</v>
      </c>
      <c r="T1833" s="49" t="s">
        <v>23608</v>
      </c>
    </row>
    <row r="1834" spans="1:21" x14ac:dyDescent="0.2">
      <c r="A1834" s="49" t="s">
        <v>30</v>
      </c>
      <c r="D1834" s="49" t="s">
        <v>19746</v>
      </c>
      <c r="G1834" s="49" t="s">
        <v>19747</v>
      </c>
      <c r="H1834" s="49" t="s">
        <v>23532</v>
      </c>
      <c r="I1834" s="49" t="s">
        <v>23543</v>
      </c>
      <c r="J1834" s="49" t="s">
        <v>23620</v>
      </c>
      <c r="K1834" s="49" t="s">
        <v>23631</v>
      </c>
      <c r="L1834" s="49" t="s">
        <v>19748</v>
      </c>
      <c r="M1834" s="49" t="s">
        <v>19749</v>
      </c>
      <c r="N1834" s="49" t="s">
        <v>19750</v>
      </c>
      <c r="O1834" s="49" t="s">
        <v>23554</v>
      </c>
      <c r="P1834" s="49" t="s">
        <v>23565</v>
      </c>
      <c r="Q1834" s="49" t="s">
        <v>23576</v>
      </c>
      <c r="R1834" s="49" t="s">
        <v>23587</v>
      </c>
      <c r="S1834" s="49" t="s">
        <v>23598</v>
      </c>
      <c r="T1834" s="49" t="s">
        <v>23609</v>
      </c>
    </row>
    <row r="1835" spans="1:21" x14ac:dyDescent="0.2">
      <c r="A1835" s="49" t="s">
        <v>30</v>
      </c>
      <c r="D1835" s="49" t="s">
        <v>19751</v>
      </c>
      <c r="G1835" s="49" t="s">
        <v>19752</v>
      </c>
      <c r="H1835" s="49" t="s">
        <v>23533</v>
      </c>
      <c r="I1835" s="49" t="s">
        <v>23544</v>
      </c>
      <c r="J1835" s="49" t="s">
        <v>23621</v>
      </c>
      <c r="K1835" s="49" t="s">
        <v>23632</v>
      </c>
      <c r="L1835" s="49" t="s">
        <v>19753</v>
      </c>
      <c r="M1835" s="49" t="s">
        <v>19754</v>
      </c>
      <c r="N1835" s="49" t="s">
        <v>19755</v>
      </c>
      <c r="O1835" s="49" t="s">
        <v>23555</v>
      </c>
      <c r="P1835" s="49" t="s">
        <v>23566</v>
      </c>
      <c r="Q1835" s="49" t="s">
        <v>23577</v>
      </c>
      <c r="R1835" s="49" t="s">
        <v>23588</v>
      </c>
      <c r="S1835" s="49" t="s">
        <v>23599</v>
      </c>
      <c r="T1835" s="49" t="s">
        <v>23610</v>
      </c>
    </row>
    <row r="1836" spans="1:21" x14ac:dyDescent="0.2">
      <c r="A1836" s="49" t="s">
        <v>30</v>
      </c>
      <c r="D1836" s="49" t="s">
        <v>19756</v>
      </c>
      <c r="G1836" s="49" t="s">
        <v>19757</v>
      </c>
      <c r="H1836" s="49" t="s">
        <v>23534</v>
      </c>
      <c r="I1836" s="49" t="s">
        <v>23545</v>
      </c>
      <c r="J1836" s="49" t="s">
        <v>23622</v>
      </c>
      <c r="K1836" s="49" t="s">
        <v>23633</v>
      </c>
      <c r="L1836" s="49" t="s">
        <v>19758</v>
      </c>
      <c r="M1836" s="49" t="s">
        <v>19759</v>
      </c>
      <c r="N1836" s="49" t="s">
        <v>19760</v>
      </c>
      <c r="O1836" s="49" t="s">
        <v>23556</v>
      </c>
      <c r="P1836" s="49" t="s">
        <v>23567</v>
      </c>
      <c r="Q1836" s="49" t="s">
        <v>23578</v>
      </c>
      <c r="R1836" s="49" t="s">
        <v>23589</v>
      </c>
      <c r="S1836" s="49" t="s">
        <v>23600</v>
      </c>
      <c r="T1836" s="49" t="s">
        <v>23611</v>
      </c>
    </row>
    <row r="1837" spans="1:21" x14ac:dyDescent="0.2">
      <c r="A1837" s="49" t="s">
        <v>30</v>
      </c>
      <c r="D1837" s="49" t="s">
        <v>19761</v>
      </c>
      <c r="G1837" s="49" t="s">
        <v>19762</v>
      </c>
      <c r="H1837" s="49" t="s">
        <v>23535</v>
      </c>
      <c r="I1837" s="49" t="s">
        <v>23546</v>
      </c>
      <c r="J1837" s="49" t="s">
        <v>23623</v>
      </c>
      <c r="K1837" s="49" t="s">
        <v>23634</v>
      </c>
      <c r="L1837" s="49" t="s">
        <v>19763</v>
      </c>
      <c r="M1837" s="49" t="s">
        <v>19764</v>
      </c>
      <c r="N1837" s="49" t="s">
        <v>19765</v>
      </c>
      <c r="O1837" s="49" t="s">
        <v>23557</v>
      </c>
      <c r="P1837" s="49" t="s">
        <v>23568</v>
      </c>
      <c r="Q1837" s="49" t="s">
        <v>23579</v>
      </c>
      <c r="R1837" s="49" t="s">
        <v>23590</v>
      </c>
      <c r="S1837" s="49" t="s">
        <v>23601</v>
      </c>
      <c r="T1837" s="49" t="s">
        <v>23612</v>
      </c>
    </row>
    <row r="1838" spans="1:21" x14ac:dyDescent="0.2">
      <c r="A1838" s="49" t="s">
        <v>30</v>
      </c>
      <c r="D1838" s="49" t="s">
        <v>19766</v>
      </c>
      <c r="G1838" s="49" t="s">
        <v>19767</v>
      </c>
      <c r="H1838" s="49" t="s">
        <v>23536</v>
      </c>
      <c r="I1838" s="49" t="s">
        <v>23547</v>
      </c>
      <c r="J1838" s="49" t="s">
        <v>23624</v>
      </c>
      <c r="K1838" s="49" t="s">
        <v>23635</v>
      </c>
      <c r="L1838" s="49" t="s">
        <v>19768</v>
      </c>
      <c r="M1838" s="49" t="s">
        <v>19769</v>
      </c>
      <c r="N1838" s="49" t="s">
        <v>19770</v>
      </c>
      <c r="O1838" s="49" t="s">
        <v>23558</v>
      </c>
      <c r="P1838" s="49" t="s">
        <v>23569</v>
      </c>
      <c r="Q1838" s="49" t="s">
        <v>23580</v>
      </c>
      <c r="R1838" s="49" t="s">
        <v>23591</v>
      </c>
      <c r="S1838" s="49" t="s">
        <v>23602</v>
      </c>
      <c r="T1838" s="49" t="s">
        <v>23613</v>
      </c>
    </row>
    <row r="1839" spans="1:21" x14ac:dyDescent="0.2">
      <c r="A1839" s="49" t="s">
        <v>30</v>
      </c>
    </row>
    <row r="1840" spans="1:21" x14ac:dyDescent="0.2">
      <c r="A1840" s="49" t="s">
        <v>30</v>
      </c>
      <c r="E1840" s="49" t="s">
        <v>31</v>
      </c>
      <c r="F1840" s="49" t="s">
        <v>31</v>
      </c>
      <c r="G1840" s="49" t="s">
        <v>31</v>
      </c>
      <c r="J1840" s="49" t="s">
        <v>31</v>
      </c>
      <c r="K1840" s="49" t="s">
        <v>31</v>
      </c>
      <c r="L1840" s="49" t="s">
        <v>31</v>
      </c>
      <c r="M1840" s="49" t="s">
        <v>31</v>
      </c>
    </row>
    <row r="1841" spans="1:21" x14ac:dyDescent="0.2">
      <c r="A1841" s="49" t="s">
        <v>30</v>
      </c>
      <c r="D1841" s="49" t="s">
        <v>19771</v>
      </c>
      <c r="E1841" s="49" t="s">
        <v>8717</v>
      </c>
      <c r="F1841" s="49" t="s">
        <v>19772</v>
      </c>
      <c r="H1841" s="49" t="s">
        <v>19773</v>
      </c>
      <c r="O1841" s="49" t="s">
        <v>19774</v>
      </c>
      <c r="P1841" s="49" t="s">
        <v>19775</v>
      </c>
      <c r="Q1841" s="49" t="s">
        <v>19776</v>
      </c>
      <c r="R1841" s="49" t="s">
        <v>19777</v>
      </c>
      <c r="S1841" s="49" t="s">
        <v>19778</v>
      </c>
      <c r="T1841" s="49" t="s">
        <v>19779</v>
      </c>
      <c r="U1841" s="49" t="s">
        <v>19780</v>
      </c>
    </row>
    <row r="1842" spans="1:21" x14ac:dyDescent="0.2">
      <c r="A1842" s="49" t="s">
        <v>30</v>
      </c>
      <c r="D1842" s="49" t="s">
        <v>19781</v>
      </c>
      <c r="G1842" s="49" t="s">
        <v>19782</v>
      </c>
      <c r="H1842" s="49" t="s">
        <v>23406</v>
      </c>
      <c r="I1842" s="49" t="s">
        <v>23418</v>
      </c>
      <c r="J1842" s="49" t="s">
        <v>23502</v>
      </c>
      <c r="K1842" s="49" t="s">
        <v>23514</v>
      </c>
      <c r="L1842" s="49" t="s">
        <v>19783</v>
      </c>
      <c r="M1842" s="49" t="s">
        <v>19784</v>
      </c>
      <c r="N1842" s="49" t="s">
        <v>19785</v>
      </c>
      <c r="O1842" s="49" t="s">
        <v>23430</v>
      </c>
      <c r="P1842" s="49" t="s">
        <v>23442</v>
      </c>
      <c r="Q1842" s="49" t="s">
        <v>23454</v>
      </c>
      <c r="R1842" s="49" t="s">
        <v>23466</v>
      </c>
      <c r="S1842" s="49" t="s">
        <v>23478</v>
      </c>
      <c r="T1842" s="49" t="s">
        <v>23490</v>
      </c>
    </row>
    <row r="1843" spans="1:21" x14ac:dyDescent="0.2">
      <c r="A1843" s="49" t="s">
        <v>30</v>
      </c>
      <c r="D1843" s="49" t="s">
        <v>19786</v>
      </c>
      <c r="G1843" s="49" t="s">
        <v>19787</v>
      </c>
      <c r="H1843" s="49" t="s">
        <v>23407</v>
      </c>
      <c r="I1843" s="49" t="s">
        <v>23419</v>
      </c>
      <c r="J1843" s="49" t="s">
        <v>23503</v>
      </c>
      <c r="K1843" s="49" t="s">
        <v>23515</v>
      </c>
      <c r="L1843" s="49" t="s">
        <v>19788</v>
      </c>
      <c r="M1843" s="49" t="s">
        <v>19789</v>
      </c>
      <c r="N1843" s="49" t="s">
        <v>19790</v>
      </c>
      <c r="O1843" s="49" t="s">
        <v>23431</v>
      </c>
      <c r="P1843" s="49" t="s">
        <v>23443</v>
      </c>
      <c r="Q1843" s="49" t="s">
        <v>23455</v>
      </c>
      <c r="R1843" s="49" t="s">
        <v>23467</v>
      </c>
      <c r="S1843" s="49" t="s">
        <v>23479</v>
      </c>
      <c r="T1843" s="49" t="s">
        <v>23491</v>
      </c>
    </row>
    <row r="1844" spans="1:21" x14ac:dyDescent="0.2">
      <c r="A1844" s="49" t="s">
        <v>30</v>
      </c>
      <c r="D1844" s="49" t="s">
        <v>19791</v>
      </c>
      <c r="G1844" s="49" t="s">
        <v>19792</v>
      </c>
      <c r="H1844" s="49" t="s">
        <v>23408</v>
      </c>
      <c r="I1844" s="49" t="s">
        <v>23420</v>
      </c>
      <c r="J1844" s="49" t="s">
        <v>23504</v>
      </c>
      <c r="K1844" s="49" t="s">
        <v>23516</v>
      </c>
      <c r="L1844" s="49" t="s">
        <v>19793</v>
      </c>
      <c r="M1844" s="49" t="s">
        <v>19794</v>
      </c>
      <c r="N1844" s="49" t="s">
        <v>19795</v>
      </c>
      <c r="O1844" s="49" t="s">
        <v>23432</v>
      </c>
      <c r="P1844" s="49" t="s">
        <v>23444</v>
      </c>
      <c r="Q1844" s="49" t="s">
        <v>23456</v>
      </c>
      <c r="R1844" s="49" t="s">
        <v>23468</v>
      </c>
      <c r="S1844" s="49" t="s">
        <v>23480</v>
      </c>
      <c r="T1844" s="49" t="s">
        <v>23492</v>
      </c>
    </row>
    <row r="1845" spans="1:21" x14ac:dyDescent="0.2">
      <c r="A1845" s="49" t="s">
        <v>30</v>
      </c>
      <c r="D1845" s="49" t="s">
        <v>19796</v>
      </c>
      <c r="G1845" s="49" t="s">
        <v>19797</v>
      </c>
      <c r="H1845" s="49" t="s">
        <v>23409</v>
      </c>
      <c r="I1845" s="49" t="s">
        <v>23421</v>
      </c>
      <c r="J1845" s="49" t="s">
        <v>23505</v>
      </c>
      <c r="K1845" s="49" t="s">
        <v>23517</v>
      </c>
      <c r="L1845" s="49" t="s">
        <v>19798</v>
      </c>
      <c r="M1845" s="49" t="s">
        <v>19799</v>
      </c>
      <c r="N1845" s="49" t="s">
        <v>19800</v>
      </c>
      <c r="O1845" s="49" t="s">
        <v>23433</v>
      </c>
      <c r="P1845" s="49" t="s">
        <v>23445</v>
      </c>
      <c r="Q1845" s="49" t="s">
        <v>23457</v>
      </c>
      <c r="R1845" s="49" t="s">
        <v>23469</v>
      </c>
      <c r="S1845" s="49" t="s">
        <v>23481</v>
      </c>
      <c r="T1845" s="49" t="s">
        <v>23493</v>
      </c>
    </row>
    <row r="1846" spans="1:21" x14ac:dyDescent="0.2">
      <c r="A1846" s="49" t="s">
        <v>30</v>
      </c>
      <c r="D1846" s="49" t="s">
        <v>19801</v>
      </c>
      <c r="G1846" s="49" t="s">
        <v>19802</v>
      </c>
      <c r="H1846" s="49" t="s">
        <v>23410</v>
      </c>
      <c r="I1846" s="49" t="s">
        <v>23422</v>
      </c>
      <c r="J1846" s="49" t="s">
        <v>23506</v>
      </c>
      <c r="K1846" s="49" t="s">
        <v>23518</v>
      </c>
      <c r="L1846" s="49" t="s">
        <v>19803</v>
      </c>
      <c r="M1846" s="49" t="s">
        <v>19804</v>
      </c>
      <c r="N1846" s="49" t="s">
        <v>19805</v>
      </c>
      <c r="O1846" s="49" t="s">
        <v>23434</v>
      </c>
      <c r="P1846" s="49" t="s">
        <v>23446</v>
      </c>
      <c r="Q1846" s="49" t="s">
        <v>23458</v>
      </c>
      <c r="R1846" s="49" t="s">
        <v>23470</v>
      </c>
      <c r="S1846" s="49" t="s">
        <v>23482</v>
      </c>
      <c r="T1846" s="49" t="s">
        <v>23494</v>
      </c>
    </row>
    <row r="1847" spans="1:21" x14ac:dyDescent="0.2">
      <c r="A1847" s="49" t="s">
        <v>30</v>
      </c>
      <c r="D1847" s="49" t="s">
        <v>19806</v>
      </c>
      <c r="G1847" s="49" t="s">
        <v>19807</v>
      </c>
      <c r="H1847" s="49" t="s">
        <v>23411</v>
      </c>
      <c r="I1847" s="49" t="s">
        <v>23423</v>
      </c>
      <c r="J1847" s="49" t="s">
        <v>23507</v>
      </c>
      <c r="K1847" s="49" t="s">
        <v>23519</v>
      </c>
      <c r="L1847" s="49" t="s">
        <v>19808</v>
      </c>
      <c r="M1847" s="49" t="s">
        <v>19809</v>
      </c>
      <c r="N1847" s="49" t="s">
        <v>19810</v>
      </c>
      <c r="O1847" s="49" t="s">
        <v>23435</v>
      </c>
      <c r="P1847" s="49" t="s">
        <v>23447</v>
      </c>
      <c r="Q1847" s="49" t="s">
        <v>23459</v>
      </c>
      <c r="R1847" s="49" t="s">
        <v>23471</v>
      </c>
      <c r="S1847" s="49" t="s">
        <v>23483</v>
      </c>
      <c r="T1847" s="49" t="s">
        <v>23495</v>
      </c>
    </row>
    <row r="1848" spans="1:21" x14ac:dyDescent="0.2">
      <c r="A1848" s="49" t="s">
        <v>30</v>
      </c>
      <c r="D1848" s="49" t="s">
        <v>19811</v>
      </c>
      <c r="G1848" s="49" t="s">
        <v>19812</v>
      </c>
      <c r="H1848" s="49" t="s">
        <v>23412</v>
      </c>
      <c r="I1848" s="49" t="s">
        <v>23424</v>
      </c>
      <c r="J1848" s="49" t="s">
        <v>23508</v>
      </c>
      <c r="K1848" s="49" t="s">
        <v>23520</v>
      </c>
      <c r="L1848" s="49" t="s">
        <v>19813</v>
      </c>
      <c r="M1848" s="49" t="s">
        <v>19814</v>
      </c>
      <c r="N1848" s="49" t="s">
        <v>19815</v>
      </c>
      <c r="O1848" s="49" t="s">
        <v>23436</v>
      </c>
      <c r="P1848" s="49" t="s">
        <v>23448</v>
      </c>
      <c r="Q1848" s="49" t="s">
        <v>23460</v>
      </c>
      <c r="R1848" s="49" t="s">
        <v>23472</v>
      </c>
      <c r="S1848" s="49" t="s">
        <v>23484</v>
      </c>
      <c r="T1848" s="49" t="s">
        <v>23496</v>
      </c>
    </row>
    <row r="1849" spans="1:21" x14ac:dyDescent="0.2">
      <c r="A1849" s="49" t="s">
        <v>30</v>
      </c>
      <c r="D1849" s="49" t="s">
        <v>19816</v>
      </c>
      <c r="G1849" s="49" t="s">
        <v>19817</v>
      </c>
      <c r="H1849" s="49" t="s">
        <v>23413</v>
      </c>
      <c r="I1849" s="49" t="s">
        <v>23425</v>
      </c>
      <c r="J1849" s="49" t="s">
        <v>23509</v>
      </c>
      <c r="K1849" s="49" t="s">
        <v>23521</v>
      </c>
      <c r="L1849" s="49" t="s">
        <v>19818</v>
      </c>
      <c r="M1849" s="49" t="s">
        <v>19819</v>
      </c>
      <c r="N1849" s="49" t="s">
        <v>19820</v>
      </c>
      <c r="O1849" s="49" t="s">
        <v>23437</v>
      </c>
      <c r="P1849" s="49" t="s">
        <v>23449</v>
      </c>
      <c r="Q1849" s="49" t="s">
        <v>23461</v>
      </c>
      <c r="R1849" s="49" t="s">
        <v>23473</v>
      </c>
      <c r="S1849" s="49" t="s">
        <v>23485</v>
      </c>
      <c r="T1849" s="49" t="s">
        <v>23497</v>
      </c>
    </row>
    <row r="1850" spans="1:21" x14ac:dyDescent="0.2">
      <c r="A1850" s="49" t="s">
        <v>30</v>
      </c>
      <c r="D1850" s="49" t="s">
        <v>19821</v>
      </c>
      <c r="G1850" s="49" t="s">
        <v>19822</v>
      </c>
      <c r="H1850" s="49" t="s">
        <v>23414</v>
      </c>
      <c r="I1850" s="49" t="s">
        <v>23426</v>
      </c>
      <c r="J1850" s="49" t="s">
        <v>23510</v>
      </c>
      <c r="K1850" s="49" t="s">
        <v>23522</v>
      </c>
      <c r="L1850" s="49" t="s">
        <v>19823</v>
      </c>
      <c r="M1850" s="49" t="s">
        <v>19824</v>
      </c>
      <c r="N1850" s="49" t="s">
        <v>19825</v>
      </c>
      <c r="O1850" s="49" t="s">
        <v>23438</v>
      </c>
      <c r="P1850" s="49" t="s">
        <v>23450</v>
      </c>
      <c r="Q1850" s="49" t="s">
        <v>23462</v>
      </c>
      <c r="R1850" s="49" t="s">
        <v>23474</v>
      </c>
      <c r="S1850" s="49" t="s">
        <v>23486</v>
      </c>
      <c r="T1850" s="49" t="s">
        <v>23498</v>
      </c>
    </row>
    <row r="1851" spans="1:21" x14ac:dyDescent="0.2">
      <c r="A1851" s="49" t="s">
        <v>30</v>
      </c>
      <c r="D1851" s="49" t="s">
        <v>19826</v>
      </c>
      <c r="G1851" s="49" t="s">
        <v>19827</v>
      </c>
      <c r="H1851" s="49" t="s">
        <v>23415</v>
      </c>
      <c r="I1851" s="49" t="s">
        <v>23427</v>
      </c>
      <c r="J1851" s="49" t="s">
        <v>23511</v>
      </c>
      <c r="K1851" s="49" t="s">
        <v>23523</v>
      </c>
      <c r="L1851" s="49" t="s">
        <v>19828</v>
      </c>
      <c r="M1851" s="49" t="s">
        <v>19829</v>
      </c>
      <c r="N1851" s="49" t="s">
        <v>19830</v>
      </c>
      <c r="O1851" s="49" t="s">
        <v>23439</v>
      </c>
      <c r="P1851" s="49" t="s">
        <v>23451</v>
      </c>
      <c r="Q1851" s="49" t="s">
        <v>23463</v>
      </c>
      <c r="R1851" s="49" t="s">
        <v>23475</v>
      </c>
      <c r="S1851" s="49" t="s">
        <v>23487</v>
      </c>
      <c r="T1851" s="49" t="s">
        <v>23499</v>
      </c>
    </row>
    <row r="1852" spans="1:21" x14ac:dyDescent="0.2">
      <c r="A1852" s="49" t="s">
        <v>30</v>
      </c>
      <c r="D1852" s="49" t="s">
        <v>19831</v>
      </c>
      <c r="G1852" s="49" t="s">
        <v>19832</v>
      </c>
      <c r="H1852" s="49" t="s">
        <v>23416</v>
      </c>
      <c r="I1852" s="49" t="s">
        <v>23428</v>
      </c>
      <c r="J1852" s="49" t="s">
        <v>23512</v>
      </c>
      <c r="K1852" s="49" t="s">
        <v>23524</v>
      </c>
      <c r="L1852" s="49" t="s">
        <v>19833</v>
      </c>
      <c r="M1852" s="49" t="s">
        <v>19834</v>
      </c>
      <c r="N1852" s="49" t="s">
        <v>19835</v>
      </c>
      <c r="O1852" s="49" t="s">
        <v>23440</v>
      </c>
      <c r="P1852" s="49" t="s">
        <v>23452</v>
      </c>
      <c r="Q1852" s="49" t="s">
        <v>23464</v>
      </c>
      <c r="R1852" s="49" t="s">
        <v>23476</v>
      </c>
      <c r="S1852" s="49" t="s">
        <v>23488</v>
      </c>
      <c r="T1852" s="49" t="s">
        <v>23500</v>
      </c>
    </row>
    <row r="1853" spans="1:21" x14ac:dyDescent="0.2">
      <c r="A1853" s="49" t="s">
        <v>30</v>
      </c>
      <c r="D1853" s="49" t="s">
        <v>19836</v>
      </c>
      <c r="G1853" s="49" t="s">
        <v>19837</v>
      </c>
      <c r="H1853" s="49" t="s">
        <v>23417</v>
      </c>
      <c r="I1853" s="49" t="s">
        <v>23429</v>
      </c>
      <c r="J1853" s="49" t="s">
        <v>23513</v>
      </c>
      <c r="K1853" s="49" t="s">
        <v>23525</v>
      </c>
      <c r="L1853" s="49" t="s">
        <v>19838</v>
      </c>
      <c r="M1853" s="49" t="s">
        <v>19839</v>
      </c>
      <c r="N1853" s="49" t="s">
        <v>19840</v>
      </c>
      <c r="O1853" s="49" t="s">
        <v>23441</v>
      </c>
      <c r="P1853" s="49" t="s">
        <v>23453</v>
      </c>
      <c r="Q1853" s="49" t="s">
        <v>23465</v>
      </c>
      <c r="R1853" s="49" t="s">
        <v>23477</v>
      </c>
      <c r="S1853" s="49" t="s">
        <v>23489</v>
      </c>
      <c r="T1853" s="49" t="s">
        <v>23501</v>
      </c>
    </row>
    <row r="1854" spans="1:21" x14ac:dyDescent="0.2">
      <c r="A1854" s="49" t="s">
        <v>30</v>
      </c>
    </row>
    <row r="1855" spans="1:21" x14ac:dyDescent="0.2">
      <c r="A1855" s="49" t="s">
        <v>30</v>
      </c>
      <c r="E1855" s="49" t="s">
        <v>31</v>
      </c>
      <c r="F1855" s="49" t="s">
        <v>31</v>
      </c>
      <c r="G1855" s="49" t="s">
        <v>31</v>
      </c>
      <c r="J1855" s="49" t="s">
        <v>31</v>
      </c>
      <c r="K1855" s="49" t="s">
        <v>31</v>
      </c>
      <c r="L1855" s="49" t="s">
        <v>31</v>
      </c>
      <c r="M1855" s="49" t="s">
        <v>31</v>
      </c>
    </row>
    <row r="1856" spans="1:21" x14ac:dyDescent="0.2">
      <c r="A1856" s="49" t="s">
        <v>30</v>
      </c>
      <c r="D1856" s="49" t="s">
        <v>19841</v>
      </c>
      <c r="E1856" s="49" t="s">
        <v>8760</v>
      </c>
      <c r="F1856" s="49" t="s">
        <v>19842</v>
      </c>
      <c r="H1856" s="49" t="s">
        <v>19843</v>
      </c>
      <c r="O1856" s="49" t="s">
        <v>19844</v>
      </c>
      <c r="P1856" s="49" t="s">
        <v>19845</v>
      </c>
      <c r="Q1856" s="49" t="s">
        <v>19846</v>
      </c>
      <c r="R1856" s="49" t="s">
        <v>19847</v>
      </c>
      <c r="S1856" s="49" t="s">
        <v>19848</v>
      </c>
      <c r="T1856" s="49" t="s">
        <v>19849</v>
      </c>
      <c r="U1856" s="49" t="s">
        <v>19850</v>
      </c>
    </row>
    <row r="1857" spans="1:21" x14ac:dyDescent="0.2">
      <c r="A1857" s="49" t="s">
        <v>30</v>
      </c>
      <c r="D1857" s="49" t="s">
        <v>19851</v>
      </c>
      <c r="G1857" s="49" t="s">
        <v>19852</v>
      </c>
      <c r="H1857" s="49" t="s">
        <v>23276</v>
      </c>
      <c r="I1857" s="49" t="s">
        <v>23289</v>
      </c>
      <c r="J1857" s="49" t="s">
        <v>23380</v>
      </c>
      <c r="K1857" s="49" t="s">
        <v>23393</v>
      </c>
      <c r="L1857" s="49" t="s">
        <v>19853</v>
      </c>
      <c r="M1857" s="49" t="s">
        <v>19854</v>
      </c>
      <c r="N1857" s="49" t="s">
        <v>19855</v>
      </c>
      <c r="O1857" s="49" t="s">
        <v>23302</v>
      </c>
      <c r="P1857" s="49" t="s">
        <v>23315</v>
      </c>
      <c r="Q1857" s="49" t="s">
        <v>23328</v>
      </c>
      <c r="R1857" s="49" t="s">
        <v>23341</v>
      </c>
      <c r="S1857" s="49" t="s">
        <v>23354</v>
      </c>
      <c r="T1857" s="49" t="s">
        <v>23367</v>
      </c>
    </row>
    <row r="1858" spans="1:21" x14ac:dyDescent="0.2">
      <c r="A1858" s="49" t="s">
        <v>30</v>
      </c>
      <c r="D1858" s="49" t="s">
        <v>19856</v>
      </c>
      <c r="G1858" s="49" t="s">
        <v>19857</v>
      </c>
      <c r="H1858" s="49" t="s">
        <v>23277</v>
      </c>
      <c r="I1858" s="49" t="s">
        <v>23290</v>
      </c>
      <c r="J1858" s="49" t="s">
        <v>23381</v>
      </c>
      <c r="K1858" s="49" t="s">
        <v>23394</v>
      </c>
      <c r="L1858" s="49" t="s">
        <v>19858</v>
      </c>
      <c r="M1858" s="49" t="s">
        <v>19859</v>
      </c>
      <c r="N1858" s="49" t="s">
        <v>19860</v>
      </c>
      <c r="O1858" s="49" t="s">
        <v>23303</v>
      </c>
      <c r="P1858" s="49" t="s">
        <v>23316</v>
      </c>
      <c r="Q1858" s="49" t="s">
        <v>23329</v>
      </c>
      <c r="R1858" s="49" t="s">
        <v>23342</v>
      </c>
      <c r="S1858" s="49" t="s">
        <v>23355</v>
      </c>
      <c r="T1858" s="49" t="s">
        <v>23368</v>
      </c>
    </row>
    <row r="1859" spans="1:21" x14ac:dyDescent="0.2">
      <c r="A1859" s="49" t="s">
        <v>30</v>
      </c>
      <c r="D1859" s="49" t="s">
        <v>19861</v>
      </c>
      <c r="G1859" s="49" t="s">
        <v>19862</v>
      </c>
      <c r="H1859" s="49" t="s">
        <v>23278</v>
      </c>
      <c r="I1859" s="49" t="s">
        <v>23291</v>
      </c>
      <c r="J1859" s="49" t="s">
        <v>23382</v>
      </c>
      <c r="K1859" s="49" t="s">
        <v>23395</v>
      </c>
      <c r="L1859" s="49" t="s">
        <v>19863</v>
      </c>
      <c r="M1859" s="49" t="s">
        <v>19864</v>
      </c>
      <c r="N1859" s="49" t="s">
        <v>19865</v>
      </c>
      <c r="O1859" s="49" t="s">
        <v>23304</v>
      </c>
      <c r="P1859" s="49" t="s">
        <v>23317</v>
      </c>
      <c r="Q1859" s="49" t="s">
        <v>23330</v>
      </c>
      <c r="R1859" s="49" t="s">
        <v>23343</v>
      </c>
      <c r="S1859" s="49" t="s">
        <v>23356</v>
      </c>
      <c r="T1859" s="49" t="s">
        <v>23369</v>
      </c>
    </row>
    <row r="1860" spans="1:21" x14ac:dyDescent="0.2">
      <c r="A1860" s="49" t="s">
        <v>30</v>
      </c>
      <c r="D1860" s="49" t="s">
        <v>19866</v>
      </c>
      <c r="G1860" s="49" t="s">
        <v>19867</v>
      </c>
      <c r="H1860" s="49" t="s">
        <v>23279</v>
      </c>
      <c r="I1860" s="49" t="s">
        <v>23292</v>
      </c>
      <c r="J1860" s="49" t="s">
        <v>23383</v>
      </c>
      <c r="K1860" s="49" t="s">
        <v>23396</v>
      </c>
      <c r="L1860" s="49" t="s">
        <v>19868</v>
      </c>
      <c r="M1860" s="49" t="s">
        <v>19869</v>
      </c>
      <c r="N1860" s="49" t="s">
        <v>19870</v>
      </c>
      <c r="O1860" s="49" t="s">
        <v>23305</v>
      </c>
      <c r="P1860" s="49" t="s">
        <v>23318</v>
      </c>
      <c r="Q1860" s="49" t="s">
        <v>23331</v>
      </c>
      <c r="R1860" s="49" t="s">
        <v>23344</v>
      </c>
      <c r="S1860" s="49" t="s">
        <v>23357</v>
      </c>
      <c r="T1860" s="49" t="s">
        <v>23370</v>
      </c>
    </row>
    <row r="1861" spans="1:21" x14ac:dyDescent="0.2">
      <c r="A1861" s="49" t="s">
        <v>30</v>
      </c>
      <c r="D1861" s="49" t="s">
        <v>19871</v>
      </c>
      <c r="G1861" s="49" t="s">
        <v>19872</v>
      </c>
      <c r="H1861" s="49" t="s">
        <v>23280</v>
      </c>
      <c r="I1861" s="49" t="s">
        <v>23293</v>
      </c>
      <c r="J1861" s="49" t="s">
        <v>23384</v>
      </c>
      <c r="K1861" s="49" t="s">
        <v>23397</v>
      </c>
      <c r="L1861" s="49" t="s">
        <v>19873</v>
      </c>
      <c r="M1861" s="49" t="s">
        <v>19874</v>
      </c>
      <c r="N1861" s="49" t="s">
        <v>19875</v>
      </c>
      <c r="O1861" s="49" t="s">
        <v>23306</v>
      </c>
      <c r="P1861" s="49" t="s">
        <v>23319</v>
      </c>
      <c r="Q1861" s="49" t="s">
        <v>23332</v>
      </c>
      <c r="R1861" s="49" t="s">
        <v>23345</v>
      </c>
      <c r="S1861" s="49" t="s">
        <v>23358</v>
      </c>
      <c r="T1861" s="49" t="s">
        <v>23371</v>
      </c>
    </row>
    <row r="1862" spans="1:21" x14ac:dyDescent="0.2">
      <c r="A1862" s="49" t="s">
        <v>30</v>
      </c>
      <c r="D1862" s="49" t="s">
        <v>19876</v>
      </c>
      <c r="G1862" s="49" t="s">
        <v>19877</v>
      </c>
      <c r="H1862" s="49" t="s">
        <v>23281</v>
      </c>
      <c r="I1862" s="49" t="s">
        <v>23294</v>
      </c>
      <c r="J1862" s="49" t="s">
        <v>23385</v>
      </c>
      <c r="K1862" s="49" t="s">
        <v>23398</v>
      </c>
      <c r="L1862" s="49" t="s">
        <v>19878</v>
      </c>
      <c r="M1862" s="49" t="s">
        <v>19879</v>
      </c>
      <c r="N1862" s="49" t="s">
        <v>19880</v>
      </c>
      <c r="O1862" s="49" t="s">
        <v>23307</v>
      </c>
      <c r="P1862" s="49" t="s">
        <v>23320</v>
      </c>
      <c r="Q1862" s="49" t="s">
        <v>23333</v>
      </c>
      <c r="R1862" s="49" t="s">
        <v>23346</v>
      </c>
      <c r="S1862" s="49" t="s">
        <v>23359</v>
      </c>
      <c r="T1862" s="49" t="s">
        <v>23372</v>
      </c>
    </row>
    <row r="1863" spans="1:21" x14ac:dyDescent="0.2">
      <c r="A1863" s="49" t="s">
        <v>30</v>
      </c>
      <c r="D1863" s="49" t="s">
        <v>19881</v>
      </c>
      <c r="G1863" s="49" t="s">
        <v>19882</v>
      </c>
      <c r="H1863" s="49" t="s">
        <v>23282</v>
      </c>
      <c r="I1863" s="49" t="s">
        <v>23295</v>
      </c>
      <c r="J1863" s="49" t="s">
        <v>23386</v>
      </c>
      <c r="K1863" s="49" t="s">
        <v>23399</v>
      </c>
      <c r="L1863" s="49" t="s">
        <v>19883</v>
      </c>
      <c r="M1863" s="49" t="s">
        <v>19884</v>
      </c>
      <c r="N1863" s="49" t="s">
        <v>19885</v>
      </c>
      <c r="O1863" s="49" t="s">
        <v>23308</v>
      </c>
      <c r="P1863" s="49" t="s">
        <v>23321</v>
      </c>
      <c r="Q1863" s="49" t="s">
        <v>23334</v>
      </c>
      <c r="R1863" s="49" t="s">
        <v>23347</v>
      </c>
      <c r="S1863" s="49" t="s">
        <v>23360</v>
      </c>
      <c r="T1863" s="49" t="s">
        <v>23373</v>
      </c>
    </row>
    <row r="1864" spans="1:21" x14ac:dyDescent="0.2">
      <c r="A1864" s="49" t="s">
        <v>30</v>
      </c>
      <c r="D1864" s="49" t="s">
        <v>19886</v>
      </c>
      <c r="G1864" s="49" t="s">
        <v>19887</v>
      </c>
      <c r="H1864" s="49" t="s">
        <v>23283</v>
      </c>
      <c r="I1864" s="49" t="s">
        <v>23296</v>
      </c>
      <c r="J1864" s="49" t="s">
        <v>23387</v>
      </c>
      <c r="K1864" s="49" t="s">
        <v>23400</v>
      </c>
      <c r="L1864" s="49" t="s">
        <v>19888</v>
      </c>
      <c r="M1864" s="49" t="s">
        <v>19889</v>
      </c>
      <c r="N1864" s="49" t="s">
        <v>19890</v>
      </c>
      <c r="O1864" s="49" t="s">
        <v>23309</v>
      </c>
      <c r="P1864" s="49" t="s">
        <v>23322</v>
      </c>
      <c r="Q1864" s="49" t="s">
        <v>23335</v>
      </c>
      <c r="R1864" s="49" t="s">
        <v>23348</v>
      </c>
      <c r="S1864" s="49" t="s">
        <v>23361</v>
      </c>
      <c r="T1864" s="49" t="s">
        <v>23374</v>
      </c>
    </row>
    <row r="1865" spans="1:21" x14ac:dyDescent="0.2">
      <c r="A1865" s="49" t="s">
        <v>30</v>
      </c>
      <c r="D1865" s="49" t="s">
        <v>19891</v>
      </c>
      <c r="G1865" s="49" t="s">
        <v>19892</v>
      </c>
      <c r="H1865" s="49" t="s">
        <v>23284</v>
      </c>
      <c r="I1865" s="49" t="s">
        <v>23297</v>
      </c>
      <c r="J1865" s="49" t="s">
        <v>23388</v>
      </c>
      <c r="K1865" s="49" t="s">
        <v>23401</v>
      </c>
      <c r="L1865" s="49" t="s">
        <v>19893</v>
      </c>
      <c r="M1865" s="49" t="s">
        <v>19894</v>
      </c>
      <c r="N1865" s="49" t="s">
        <v>19895</v>
      </c>
      <c r="O1865" s="49" t="s">
        <v>23310</v>
      </c>
      <c r="P1865" s="49" t="s">
        <v>23323</v>
      </c>
      <c r="Q1865" s="49" t="s">
        <v>23336</v>
      </c>
      <c r="R1865" s="49" t="s">
        <v>23349</v>
      </c>
      <c r="S1865" s="49" t="s">
        <v>23362</v>
      </c>
      <c r="T1865" s="49" t="s">
        <v>23375</v>
      </c>
    </row>
    <row r="1866" spans="1:21" x14ac:dyDescent="0.2">
      <c r="A1866" s="49" t="s">
        <v>30</v>
      </c>
      <c r="D1866" s="49" t="s">
        <v>19896</v>
      </c>
      <c r="G1866" s="49" t="s">
        <v>19897</v>
      </c>
      <c r="H1866" s="49" t="s">
        <v>23285</v>
      </c>
      <c r="I1866" s="49" t="s">
        <v>23298</v>
      </c>
      <c r="J1866" s="49" t="s">
        <v>23389</v>
      </c>
      <c r="K1866" s="49" t="s">
        <v>23402</v>
      </c>
      <c r="L1866" s="49" t="s">
        <v>19898</v>
      </c>
      <c r="M1866" s="49" t="s">
        <v>19899</v>
      </c>
      <c r="N1866" s="49" t="s">
        <v>19900</v>
      </c>
      <c r="O1866" s="49" t="s">
        <v>23311</v>
      </c>
      <c r="P1866" s="49" t="s">
        <v>23324</v>
      </c>
      <c r="Q1866" s="49" t="s">
        <v>23337</v>
      </c>
      <c r="R1866" s="49" t="s">
        <v>23350</v>
      </c>
      <c r="S1866" s="49" t="s">
        <v>23363</v>
      </c>
      <c r="T1866" s="49" t="s">
        <v>23376</v>
      </c>
    </row>
    <row r="1867" spans="1:21" x14ac:dyDescent="0.2">
      <c r="A1867" s="49" t="s">
        <v>30</v>
      </c>
      <c r="D1867" s="49" t="s">
        <v>19901</v>
      </c>
      <c r="G1867" s="49" t="s">
        <v>19902</v>
      </c>
      <c r="H1867" s="49" t="s">
        <v>23286</v>
      </c>
      <c r="I1867" s="49" t="s">
        <v>23299</v>
      </c>
      <c r="J1867" s="49" t="s">
        <v>23390</v>
      </c>
      <c r="K1867" s="49" t="s">
        <v>23403</v>
      </c>
      <c r="L1867" s="49" t="s">
        <v>19903</v>
      </c>
      <c r="M1867" s="49" t="s">
        <v>19904</v>
      </c>
      <c r="N1867" s="49" t="s">
        <v>19905</v>
      </c>
      <c r="O1867" s="49" t="s">
        <v>23312</v>
      </c>
      <c r="P1867" s="49" t="s">
        <v>23325</v>
      </c>
      <c r="Q1867" s="49" t="s">
        <v>23338</v>
      </c>
      <c r="R1867" s="49" t="s">
        <v>23351</v>
      </c>
      <c r="S1867" s="49" t="s">
        <v>23364</v>
      </c>
      <c r="T1867" s="49" t="s">
        <v>23377</v>
      </c>
    </row>
    <row r="1868" spans="1:21" x14ac:dyDescent="0.2">
      <c r="A1868" s="49" t="s">
        <v>30</v>
      </c>
      <c r="D1868" s="49" t="s">
        <v>19906</v>
      </c>
      <c r="G1868" s="49" t="s">
        <v>19907</v>
      </c>
      <c r="H1868" s="49" t="s">
        <v>23287</v>
      </c>
      <c r="I1868" s="49" t="s">
        <v>23300</v>
      </c>
      <c r="J1868" s="49" t="s">
        <v>23391</v>
      </c>
      <c r="K1868" s="49" t="s">
        <v>23404</v>
      </c>
      <c r="L1868" s="49" t="s">
        <v>19908</v>
      </c>
      <c r="M1868" s="49" t="s">
        <v>19909</v>
      </c>
      <c r="N1868" s="49" t="s">
        <v>19910</v>
      </c>
      <c r="O1868" s="49" t="s">
        <v>23313</v>
      </c>
      <c r="P1868" s="49" t="s">
        <v>23326</v>
      </c>
      <c r="Q1868" s="49" t="s">
        <v>23339</v>
      </c>
      <c r="R1868" s="49" t="s">
        <v>23352</v>
      </c>
      <c r="S1868" s="49" t="s">
        <v>23365</v>
      </c>
      <c r="T1868" s="49" t="s">
        <v>23378</v>
      </c>
    </row>
    <row r="1869" spans="1:21" x14ac:dyDescent="0.2">
      <c r="A1869" s="49" t="s">
        <v>30</v>
      </c>
      <c r="D1869" s="49" t="s">
        <v>19911</v>
      </c>
      <c r="G1869" s="49" t="s">
        <v>19912</v>
      </c>
      <c r="H1869" s="49" t="s">
        <v>23288</v>
      </c>
      <c r="I1869" s="49" t="s">
        <v>23301</v>
      </c>
      <c r="J1869" s="49" t="s">
        <v>23392</v>
      </c>
      <c r="K1869" s="49" t="s">
        <v>23405</v>
      </c>
      <c r="L1869" s="49" t="s">
        <v>19913</v>
      </c>
      <c r="M1869" s="49" t="s">
        <v>19914</v>
      </c>
      <c r="N1869" s="49" t="s">
        <v>19915</v>
      </c>
      <c r="O1869" s="49" t="s">
        <v>23314</v>
      </c>
      <c r="P1869" s="49" t="s">
        <v>23327</v>
      </c>
      <c r="Q1869" s="49" t="s">
        <v>23340</v>
      </c>
      <c r="R1869" s="49" t="s">
        <v>23353</v>
      </c>
      <c r="S1869" s="49" t="s">
        <v>23366</v>
      </c>
      <c r="T1869" s="49" t="s">
        <v>23379</v>
      </c>
    </row>
    <row r="1870" spans="1:21" x14ac:dyDescent="0.2">
      <c r="A1870" s="49" t="s">
        <v>30</v>
      </c>
    </row>
    <row r="1871" spans="1:21" x14ac:dyDescent="0.2">
      <c r="A1871" s="49" t="s">
        <v>30</v>
      </c>
      <c r="E1871" s="49" t="s">
        <v>31</v>
      </c>
      <c r="F1871" s="49" t="s">
        <v>31</v>
      </c>
      <c r="G1871" s="49" t="s">
        <v>31</v>
      </c>
      <c r="J1871" s="49" t="s">
        <v>31</v>
      </c>
      <c r="K1871" s="49" t="s">
        <v>31</v>
      </c>
      <c r="L1871" s="49" t="s">
        <v>31</v>
      </c>
      <c r="M1871" s="49" t="s">
        <v>31</v>
      </c>
    </row>
    <row r="1872" spans="1:21" x14ac:dyDescent="0.2">
      <c r="A1872" s="49" t="s">
        <v>30</v>
      </c>
      <c r="D1872" s="49" t="s">
        <v>19916</v>
      </c>
      <c r="E1872" s="49" t="s">
        <v>8775</v>
      </c>
      <c r="F1872" s="49" t="s">
        <v>19917</v>
      </c>
      <c r="H1872" s="49" t="s">
        <v>19918</v>
      </c>
      <c r="O1872" s="49" t="s">
        <v>19919</v>
      </c>
      <c r="P1872" s="49" t="s">
        <v>19920</v>
      </c>
      <c r="Q1872" s="49" t="s">
        <v>19921</v>
      </c>
      <c r="R1872" s="49" t="s">
        <v>19922</v>
      </c>
      <c r="S1872" s="49" t="s">
        <v>19923</v>
      </c>
      <c r="T1872" s="49" t="s">
        <v>19924</v>
      </c>
      <c r="U1872" s="49" t="s">
        <v>19925</v>
      </c>
    </row>
    <row r="1873" spans="1:20" x14ac:dyDescent="0.2">
      <c r="A1873" s="49" t="s">
        <v>30</v>
      </c>
      <c r="D1873" s="49" t="s">
        <v>19926</v>
      </c>
      <c r="G1873" s="49" t="s">
        <v>19927</v>
      </c>
      <c r="H1873" s="49" t="s">
        <v>23046</v>
      </c>
      <c r="I1873" s="49" t="s">
        <v>23069</v>
      </c>
      <c r="J1873" s="49" t="s">
        <v>23230</v>
      </c>
      <c r="K1873" s="49" t="s">
        <v>23253</v>
      </c>
      <c r="L1873" s="49" t="s">
        <v>19928</v>
      </c>
      <c r="M1873" s="49" t="s">
        <v>19929</v>
      </c>
      <c r="N1873" s="49" t="s">
        <v>19930</v>
      </c>
      <c r="O1873" s="49" t="s">
        <v>23092</v>
      </c>
      <c r="P1873" s="49" t="s">
        <v>23115</v>
      </c>
      <c r="Q1873" s="49" t="s">
        <v>23138</v>
      </c>
      <c r="R1873" s="49" t="s">
        <v>23161</v>
      </c>
      <c r="S1873" s="49" t="s">
        <v>23184</v>
      </c>
      <c r="T1873" s="49" t="s">
        <v>23207</v>
      </c>
    </row>
    <row r="1874" spans="1:20" x14ac:dyDescent="0.2">
      <c r="A1874" s="49" t="s">
        <v>30</v>
      </c>
      <c r="D1874" s="49" t="s">
        <v>19931</v>
      </c>
      <c r="G1874" s="49" t="s">
        <v>19932</v>
      </c>
      <c r="H1874" s="49" t="s">
        <v>23047</v>
      </c>
      <c r="I1874" s="49" t="s">
        <v>23070</v>
      </c>
      <c r="J1874" s="49" t="s">
        <v>23231</v>
      </c>
      <c r="K1874" s="49" t="s">
        <v>23254</v>
      </c>
      <c r="L1874" s="49" t="s">
        <v>19933</v>
      </c>
      <c r="M1874" s="49" t="s">
        <v>19934</v>
      </c>
      <c r="N1874" s="49" t="s">
        <v>19935</v>
      </c>
      <c r="O1874" s="49" t="s">
        <v>23093</v>
      </c>
      <c r="P1874" s="49" t="s">
        <v>23116</v>
      </c>
      <c r="Q1874" s="49" t="s">
        <v>23139</v>
      </c>
      <c r="R1874" s="49" t="s">
        <v>23162</v>
      </c>
      <c r="S1874" s="49" t="s">
        <v>23185</v>
      </c>
      <c r="T1874" s="49" t="s">
        <v>23208</v>
      </c>
    </row>
    <row r="1875" spans="1:20" x14ac:dyDescent="0.2">
      <c r="A1875" s="49" t="s">
        <v>30</v>
      </c>
      <c r="D1875" s="49" t="s">
        <v>19936</v>
      </c>
      <c r="G1875" s="49" t="s">
        <v>19937</v>
      </c>
      <c r="H1875" s="49" t="s">
        <v>23048</v>
      </c>
      <c r="I1875" s="49" t="s">
        <v>23071</v>
      </c>
      <c r="J1875" s="49" t="s">
        <v>23232</v>
      </c>
      <c r="K1875" s="49" t="s">
        <v>23255</v>
      </c>
      <c r="L1875" s="49" t="s">
        <v>19938</v>
      </c>
      <c r="M1875" s="49" t="s">
        <v>19939</v>
      </c>
      <c r="N1875" s="49" t="s">
        <v>19940</v>
      </c>
      <c r="O1875" s="49" t="s">
        <v>23094</v>
      </c>
      <c r="P1875" s="49" t="s">
        <v>23117</v>
      </c>
      <c r="Q1875" s="49" t="s">
        <v>23140</v>
      </c>
      <c r="R1875" s="49" t="s">
        <v>23163</v>
      </c>
      <c r="S1875" s="49" t="s">
        <v>23186</v>
      </c>
      <c r="T1875" s="49" t="s">
        <v>23209</v>
      </c>
    </row>
    <row r="1876" spans="1:20" x14ac:dyDescent="0.2">
      <c r="A1876" s="49" t="s">
        <v>30</v>
      </c>
      <c r="D1876" s="49" t="s">
        <v>19941</v>
      </c>
      <c r="G1876" s="49" t="s">
        <v>19942</v>
      </c>
      <c r="H1876" s="49" t="s">
        <v>23049</v>
      </c>
      <c r="I1876" s="49" t="s">
        <v>23072</v>
      </c>
      <c r="J1876" s="49" t="s">
        <v>23233</v>
      </c>
      <c r="K1876" s="49" t="s">
        <v>23256</v>
      </c>
      <c r="L1876" s="49" t="s">
        <v>19943</v>
      </c>
      <c r="M1876" s="49" t="s">
        <v>19944</v>
      </c>
      <c r="N1876" s="49" t="s">
        <v>19945</v>
      </c>
      <c r="O1876" s="49" t="s">
        <v>23095</v>
      </c>
      <c r="P1876" s="49" t="s">
        <v>23118</v>
      </c>
      <c r="Q1876" s="49" t="s">
        <v>23141</v>
      </c>
      <c r="R1876" s="49" t="s">
        <v>23164</v>
      </c>
      <c r="S1876" s="49" t="s">
        <v>23187</v>
      </c>
      <c r="T1876" s="49" t="s">
        <v>23210</v>
      </c>
    </row>
    <row r="1877" spans="1:20" x14ac:dyDescent="0.2">
      <c r="A1877" s="49" t="s">
        <v>30</v>
      </c>
      <c r="D1877" s="49" t="s">
        <v>19946</v>
      </c>
      <c r="G1877" s="49" t="s">
        <v>19947</v>
      </c>
      <c r="H1877" s="49" t="s">
        <v>23050</v>
      </c>
      <c r="I1877" s="49" t="s">
        <v>23073</v>
      </c>
      <c r="J1877" s="49" t="s">
        <v>23234</v>
      </c>
      <c r="K1877" s="49" t="s">
        <v>23257</v>
      </c>
      <c r="L1877" s="49" t="s">
        <v>19948</v>
      </c>
      <c r="M1877" s="49" t="s">
        <v>19949</v>
      </c>
      <c r="N1877" s="49" t="s">
        <v>19950</v>
      </c>
      <c r="O1877" s="49" t="s">
        <v>23096</v>
      </c>
      <c r="P1877" s="49" t="s">
        <v>23119</v>
      </c>
      <c r="Q1877" s="49" t="s">
        <v>23142</v>
      </c>
      <c r="R1877" s="49" t="s">
        <v>23165</v>
      </c>
      <c r="S1877" s="49" t="s">
        <v>23188</v>
      </c>
      <c r="T1877" s="49" t="s">
        <v>23211</v>
      </c>
    </row>
    <row r="1878" spans="1:20" x14ac:dyDescent="0.2">
      <c r="A1878" s="49" t="s">
        <v>30</v>
      </c>
      <c r="D1878" s="49" t="s">
        <v>19951</v>
      </c>
      <c r="G1878" s="49" t="s">
        <v>19952</v>
      </c>
      <c r="H1878" s="49" t="s">
        <v>23051</v>
      </c>
      <c r="I1878" s="49" t="s">
        <v>23074</v>
      </c>
      <c r="J1878" s="49" t="s">
        <v>23235</v>
      </c>
      <c r="K1878" s="49" t="s">
        <v>23258</v>
      </c>
      <c r="L1878" s="49" t="s">
        <v>19953</v>
      </c>
      <c r="M1878" s="49" t="s">
        <v>19954</v>
      </c>
      <c r="N1878" s="49" t="s">
        <v>19955</v>
      </c>
      <c r="O1878" s="49" t="s">
        <v>23097</v>
      </c>
      <c r="P1878" s="49" t="s">
        <v>23120</v>
      </c>
      <c r="Q1878" s="49" t="s">
        <v>23143</v>
      </c>
      <c r="R1878" s="49" t="s">
        <v>23166</v>
      </c>
      <c r="S1878" s="49" t="s">
        <v>23189</v>
      </c>
      <c r="T1878" s="49" t="s">
        <v>23212</v>
      </c>
    </row>
    <row r="1879" spans="1:20" x14ac:dyDescent="0.2">
      <c r="A1879" s="49" t="s">
        <v>30</v>
      </c>
      <c r="D1879" s="49" t="s">
        <v>19956</v>
      </c>
      <c r="G1879" s="49" t="s">
        <v>19957</v>
      </c>
      <c r="H1879" s="49" t="s">
        <v>23052</v>
      </c>
      <c r="I1879" s="49" t="s">
        <v>23075</v>
      </c>
      <c r="J1879" s="49" t="s">
        <v>23236</v>
      </c>
      <c r="K1879" s="49" t="s">
        <v>23259</v>
      </c>
      <c r="L1879" s="49" t="s">
        <v>19958</v>
      </c>
      <c r="M1879" s="49" t="s">
        <v>19959</v>
      </c>
      <c r="N1879" s="49" t="s">
        <v>19960</v>
      </c>
      <c r="O1879" s="49" t="s">
        <v>23098</v>
      </c>
      <c r="P1879" s="49" t="s">
        <v>23121</v>
      </c>
      <c r="Q1879" s="49" t="s">
        <v>23144</v>
      </c>
      <c r="R1879" s="49" t="s">
        <v>23167</v>
      </c>
      <c r="S1879" s="49" t="s">
        <v>23190</v>
      </c>
      <c r="T1879" s="49" t="s">
        <v>23213</v>
      </c>
    </row>
    <row r="1880" spans="1:20" x14ac:dyDescent="0.2">
      <c r="A1880" s="49" t="s">
        <v>30</v>
      </c>
      <c r="D1880" s="49" t="s">
        <v>19961</v>
      </c>
      <c r="G1880" s="49" t="s">
        <v>19962</v>
      </c>
      <c r="H1880" s="49" t="s">
        <v>23053</v>
      </c>
      <c r="I1880" s="49" t="s">
        <v>23076</v>
      </c>
      <c r="J1880" s="49" t="s">
        <v>23237</v>
      </c>
      <c r="K1880" s="49" t="s">
        <v>23260</v>
      </c>
      <c r="L1880" s="49" t="s">
        <v>19963</v>
      </c>
      <c r="M1880" s="49" t="s">
        <v>19964</v>
      </c>
      <c r="N1880" s="49" t="s">
        <v>19965</v>
      </c>
      <c r="O1880" s="49" t="s">
        <v>23099</v>
      </c>
      <c r="P1880" s="49" t="s">
        <v>23122</v>
      </c>
      <c r="Q1880" s="49" t="s">
        <v>23145</v>
      </c>
      <c r="R1880" s="49" t="s">
        <v>23168</v>
      </c>
      <c r="S1880" s="49" t="s">
        <v>23191</v>
      </c>
      <c r="T1880" s="49" t="s">
        <v>23214</v>
      </c>
    </row>
    <row r="1881" spans="1:20" x14ac:dyDescent="0.2">
      <c r="A1881" s="49" t="s">
        <v>30</v>
      </c>
      <c r="D1881" s="49" t="s">
        <v>19966</v>
      </c>
      <c r="G1881" s="49" t="s">
        <v>19967</v>
      </c>
      <c r="H1881" s="49" t="s">
        <v>23054</v>
      </c>
      <c r="I1881" s="49" t="s">
        <v>23077</v>
      </c>
      <c r="J1881" s="49" t="s">
        <v>23238</v>
      </c>
      <c r="K1881" s="49" t="s">
        <v>23261</v>
      </c>
      <c r="L1881" s="49" t="s">
        <v>19968</v>
      </c>
      <c r="M1881" s="49" t="s">
        <v>19969</v>
      </c>
      <c r="N1881" s="49" t="s">
        <v>19970</v>
      </c>
      <c r="O1881" s="49" t="s">
        <v>23100</v>
      </c>
      <c r="P1881" s="49" t="s">
        <v>23123</v>
      </c>
      <c r="Q1881" s="49" t="s">
        <v>23146</v>
      </c>
      <c r="R1881" s="49" t="s">
        <v>23169</v>
      </c>
      <c r="S1881" s="49" t="s">
        <v>23192</v>
      </c>
      <c r="T1881" s="49" t="s">
        <v>23215</v>
      </c>
    </row>
    <row r="1882" spans="1:20" x14ac:dyDescent="0.2">
      <c r="A1882" s="49" t="s">
        <v>30</v>
      </c>
      <c r="D1882" s="49" t="s">
        <v>19971</v>
      </c>
      <c r="G1882" s="49" t="s">
        <v>19972</v>
      </c>
      <c r="H1882" s="49" t="s">
        <v>23055</v>
      </c>
      <c r="I1882" s="49" t="s">
        <v>23078</v>
      </c>
      <c r="J1882" s="49" t="s">
        <v>23239</v>
      </c>
      <c r="K1882" s="49" t="s">
        <v>23262</v>
      </c>
      <c r="L1882" s="49" t="s">
        <v>19973</v>
      </c>
      <c r="M1882" s="49" t="s">
        <v>19974</v>
      </c>
      <c r="N1882" s="49" t="s">
        <v>19975</v>
      </c>
      <c r="O1882" s="49" t="s">
        <v>23101</v>
      </c>
      <c r="P1882" s="49" t="s">
        <v>23124</v>
      </c>
      <c r="Q1882" s="49" t="s">
        <v>23147</v>
      </c>
      <c r="R1882" s="49" t="s">
        <v>23170</v>
      </c>
      <c r="S1882" s="49" t="s">
        <v>23193</v>
      </c>
      <c r="T1882" s="49" t="s">
        <v>23216</v>
      </c>
    </row>
    <row r="1883" spans="1:20" x14ac:dyDescent="0.2">
      <c r="A1883" s="49" t="s">
        <v>30</v>
      </c>
      <c r="D1883" s="49" t="s">
        <v>19976</v>
      </c>
      <c r="G1883" s="49" t="s">
        <v>19977</v>
      </c>
      <c r="H1883" s="49" t="s">
        <v>23056</v>
      </c>
      <c r="I1883" s="49" t="s">
        <v>23079</v>
      </c>
      <c r="J1883" s="49" t="s">
        <v>23240</v>
      </c>
      <c r="K1883" s="49" t="s">
        <v>23263</v>
      </c>
      <c r="L1883" s="49" t="s">
        <v>19978</v>
      </c>
      <c r="M1883" s="49" t="s">
        <v>19979</v>
      </c>
      <c r="N1883" s="49" t="s">
        <v>19980</v>
      </c>
      <c r="O1883" s="49" t="s">
        <v>23102</v>
      </c>
      <c r="P1883" s="49" t="s">
        <v>23125</v>
      </c>
      <c r="Q1883" s="49" t="s">
        <v>23148</v>
      </c>
      <c r="R1883" s="49" t="s">
        <v>23171</v>
      </c>
      <c r="S1883" s="49" t="s">
        <v>23194</v>
      </c>
      <c r="T1883" s="49" t="s">
        <v>23217</v>
      </c>
    </row>
    <row r="1884" spans="1:20" x14ac:dyDescent="0.2">
      <c r="A1884" s="49" t="s">
        <v>30</v>
      </c>
      <c r="D1884" s="49" t="s">
        <v>19981</v>
      </c>
      <c r="G1884" s="49" t="s">
        <v>19982</v>
      </c>
      <c r="H1884" s="49" t="s">
        <v>23057</v>
      </c>
      <c r="I1884" s="49" t="s">
        <v>23080</v>
      </c>
      <c r="J1884" s="49" t="s">
        <v>23241</v>
      </c>
      <c r="K1884" s="49" t="s">
        <v>23264</v>
      </c>
      <c r="L1884" s="49" t="s">
        <v>19983</v>
      </c>
      <c r="M1884" s="49" t="s">
        <v>19984</v>
      </c>
      <c r="N1884" s="49" t="s">
        <v>19985</v>
      </c>
      <c r="O1884" s="49" t="s">
        <v>23103</v>
      </c>
      <c r="P1884" s="49" t="s">
        <v>23126</v>
      </c>
      <c r="Q1884" s="49" t="s">
        <v>23149</v>
      </c>
      <c r="R1884" s="49" t="s">
        <v>23172</v>
      </c>
      <c r="S1884" s="49" t="s">
        <v>23195</v>
      </c>
      <c r="T1884" s="49" t="s">
        <v>23218</v>
      </c>
    </row>
    <row r="1885" spans="1:20" x14ac:dyDescent="0.2">
      <c r="A1885" s="49" t="s">
        <v>30</v>
      </c>
      <c r="D1885" s="49" t="s">
        <v>19986</v>
      </c>
      <c r="G1885" s="49" t="s">
        <v>19987</v>
      </c>
      <c r="H1885" s="49" t="s">
        <v>23058</v>
      </c>
      <c r="I1885" s="49" t="s">
        <v>23081</v>
      </c>
      <c r="J1885" s="49" t="s">
        <v>23242</v>
      </c>
      <c r="K1885" s="49" t="s">
        <v>23265</v>
      </c>
      <c r="L1885" s="49" t="s">
        <v>19988</v>
      </c>
      <c r="M1885" s="49" t="s">
        <v>19989</v>
      </c>
      <c r="N1885" s="49" t="s">
        <v>19990</v>
      </c>
      <c r="O1885" s="49" t="s">
        <v>23104</v>
      </c>
      <c r="P1885" s="49" t="s">
        <v>23127</v>
      </c>
      <c r="Q1885" s="49" t="s">
        <v>23150</v>
      </c>
      <c r="R1885" s="49" t="s">
        <v>23173</v>
      </c>
      <c r="S1885" s="49" t="s">
        <v>23196</v>
      </c>
      <c r="T1885" s="49" t="s">
        <v>23219</v>
      </c>
    </row>
    <row r="1886" spans="1:20" x14ac:dyDescent="0.2">
      <c r="A1886" s="49" t="s">
        <v>30</v>
      </c>
      <c r="D1886" s="49" t="s">
        <v>19991</v>
      </c>
      <c r="G1886" s="49" t="s">
        <v>19992</v>
      </c>
      <c r="H1886" s="49" t="s">
        <v>23059</v>
      </c>
      <c r="I1886" s="49" t="s">
        <v>23082</v>
      </c>
      <c r="J1886" s="49" t="s">
        <v>23243</v>
      </c>
      <c r="K1886" s="49" t="s">
        <v>23266</v>
      </c>
      <c r="L1886" s="49" t="s">
        <v>19993</v>
      </c>
      <c r="M1886" s="49" t="s">
        <v>19994</v>
      </c>
      <c r="N1886" s="49" t="s">
        <v>19995</v>
      </c>
      <c r="O1886" s="49" t="s">
        <v>23105</v>
      </c>
      <c r="P1886" s="49" t="s">
        <v>23128</v>
      </c>
      <c r="Q1886" s="49" t="s">
        <v>23151</v>
      </c>
      <c r="R1886" s="49" t="s">
        <v>23174</v>
      </c>
      <c r="S1886" s="49" t="s">
        <v>23197</v>
      </c>
      <c r="T1886" s="49" t="s">
        <v>23220</v>
      </c>
    </row>
    <row r="1887" spans="1:20" x14ac:dyDescent="0.2">
      <c r="A1887" s="49" t="s">
        <v>30</v>
      </c>
      <c r="D1887" s="49" t="s">
        <v>19996</v>
      </c>
      <c r="G1887" s="49" t="s">
        <v>19997</v>
      </c>
      <c r="H1887" s="49" t="s">
        <v>23060</v>
      </c>
      <c r="I1887" s="49" t="s">
        <v>23083</v>
      </c>
      <c r="J1887" s="49" t="s">
        <v>23244</v>
      </c>
      <c r="K1887" s="49" t="s">
        <v>23267</v>
      </c>
      <c r="L1887" s="49" t="s">
        <v>19998</v>
      </c>
      <c r="M1887" s="49" t="s">
        <v>19999</v>
      </c>
      <c r="N1887" s="49" t="s">
        <v>20000</v>
      </c>
      <c r="O1887" s="49" t="s">
        <v>23106</v>
      </c>
      <c r="P1887" s="49" t="s">
        <v>23129</v>
      </c>
      <c r="Q1887" s="49" t="s">
        <v>23152</v>
      </c>
      <c r="R1887" s="49" t="s">
        <v>23175</v>
      </c>
      <c r="S1887" s="49" t="s">
        <v>23198</v>
      </c>
      <c r="T1887" s="49" t="s">
        <v>23221</v>
      </c>
    </row>
    <row r="1888" spans="1:20" x14ac:dyDescent="0.2">
      <c r="A1888" s="49" t="s">
        <v>30</v>
      </c>
      <c r="D1888" s="49" t="s">
        <v>20001</v>
      </c>
      <c r="G1888" s="49" t="s">
        <v>20002</v>
      </c>
      <c r="H1888" s="49" t="s">
        <v>23061</v>
      </c>
      <c r="I1888" s="49" t="s">
        <v>23084</v>
      </c>
      <c r="J1888" s="49" t="s">
        <v>23245</v>
      </c>
      <c r="K1888" s="49" t="s">
        <v>23268</v>
      </c>
      <c r="L1888" s="49" t="s">
        <v>20003</v>
      </c>
      <c r="M1888" s="49" t="s">
        <v>20004</v>
      </c>
      <c r="N1888" s="49" t="s">
        <v>20005</v>
      </c>
      <c r="O1888" s="49" t="s">
        <v>23107</v>
      </c>
      <c r="P1888" s="49" t="s">
        <v>23130</v>
      </c>
      <c r="Q1888" s="49" t="s">
        <v>23153</v>
      </c>
      <c r="R1888" s="49" t="s">
        <v>23176</v>
      </c>
      <c r="S1888" s="49" t="s">
        <v>23199</v>
      </c>
      <c r="T1888" s="49" t="s">
        <v>23222</v>
      </c>
    </row>
    <row r="1889" spans="1:21" x14ac:dyDescent="0.2">
      <c r="A1889" s="49" t="s">
        <v>30</v>
      </c>
      <c r="D1889" s="49" t="s">
        <v>20006</v>
      </c>
      <c r="G1889" s="49" t="s">
        <v>20007</v>
      </c>
      <c r="H1889" s="49" t="s">
        <v>23062</v>
      </c>
      <c r="I1889" s="49" t="s">
        <v>23085</v>
      </c>
      <c r="J1889" s="49" t="s">
        <v>23246</v>
      </c>
      <c r="K1889" s="49" t="s">
        <v>23269</v>
      </c>
      <c r="L1889" s="49" t="s">
        <v>20008</v>
      </c>
      <c r="M1889" s="49" t="s">
        <v>20009</v>
      </c>
      <c r="N1889" s="49" t="s">
        <v>20010</v>
      </c>
      <c r="O1889" s="49" t="s">
        <v>23108</v>
      </c>
      <c r="P1889" s="49" t="s">
        <v>23131</v>
      </c>
      <c r="Q1889" s="49" t="s">
        <v>23154</v>
      </c>
      <c r="R1889" s="49" t="s">
        <v>23177</v>
      </c>
      <c r="S1889" s="49" t="s">
        <v>23200</v>
      </c>
      <c r="T1889" s="49" t="s">
        <v>23223</v>
      </c>
    </row>
    <row r="1890" spans="1:21" x14ac:dyDescent="0.2">
      <c r="A1890" s="49" t="s">
        <v>30</v>
      </c>
      <c r="D1890" s="49" t="s">
        <v>20011</v>
      </c>
      <c r="G1890" s="49" t="s">
        <v>20012</v>
      </c>
      <c r="H1890" s="49" t="s">
        <v>23063</v>
      </c>
      <c r="I1890" s="49" t="s">
        <v>23086</v>
      </c>
      <c r="J1890" s="49" t="s">
        <v>23247</v>
      </c>
      <c r="K1890" s="49" t="s">
        <v>23270</v>
      </c>
      <c r="L1890" s="49" t="s">
        <v>20013</v>
      </c>
      <c r="M1890" s="49" t="s">
        <v>20014</v>
      </c>
      <c r="N1890" s="49" t="s">
        <v>20015</v>
      </c>
      <c r="O1890" s="49" t="s">
        <v>23109</v>
      </c>
      <c r="P1890" s="49" t="s">
        <v>23132</v>
      </c>
      <c r="Q1890" s="49" t="s">
        <v>23155</v>
      </c>
      <c r="R1890" s="49" t="s">
        <v>23178</v>
      </c>
      <c r="S1890" s="49" t="s">
        <v>23201</v>
      </c>
      <c r="T1890" s="49" t="s">
        <v>23224</v>
      </c>
    </row>
    <row r="1891" spans="1:21" x14ac:dyDescent="0.2">
      <c r="A1891" s="49" t="s">
        <v>30</v>
      </c>
      <c r="D1891" s="49" t="s">
        <v>20016</v>
      </c>
      <c r="G1891" s="49" t="s">
        <v>20017</v>
      </c>
      <c r="H1891" s="49" t="s">
        <v>23064</v>
      </c>
      <c r="I1891" s="49" t="s">
        <v>23087</v>
      </c>
      <c r="J1891" s="49" t="s">
        <v>23248</v>
      </c>
      <c r="K1891" s="49" t="s">
        <v>23271</v>
      </c>
      <c r="L1891" s="49" t="s">
        <v>20018</v>
      </c>
      <c r="M1891" s="49" t="s">
        <v>20019</v>
      </c>
      <c r="N1891" s="49" t="s">
        <v>20020</v>
      </c>
      <c r="O1891" s="49" t="s">
        <v>23110</v>
      </c>
      <c r="P1891" s="49" t="s">
        <v>23133</v>
      </c>
      <c r="Q1891" s="49" t="s">
        <v>23156</v>
      </c>
      <c r="R1891" s="49" t="s">
        <v>23179</v>
      </c>
      <c r="S1891" s="49" t="s">
        <v>23202</v>
      </c>
      <c r="T1891" s="49" t="s">
        <v>23225</v>
      </c>
    </row>
    <row r="1892" spans="1:21" x14ac:dyDescent="0.2">
      <c r="A1892" s="49" t="s">
        <v>30</v>
      </c>
      <c r="D1892" s="49" t="s">
        <v>20021</v>
      </c>
      <c r="G1892" s="49" t="s">
        <v>20022</v>
      </c>
      <c r="H1892" s="49" t="s">
        <v>23065</v>
      </c>
      <c r="I1892" s="49" t="s">
        <v>23088</v>
      </c>
      <c r="J1892" s="49" t="s">
        <v>23249</v>
      </c>
      <c r="K1892" s="49" t="s">
        <v>23272</v>
      </c>
      <c r="L1892" s="49" t="s">
        <v>20023</v>
      </c>
      <c r="M1892" s="49" t="s">
        <v>20024</v>
      </c>
      <c r="N1892" s="49" t="s">
        <v>20025</v>
      </c>
      <c r="O1892" s="49" t="s">
        <v>23111</v>
      </c>
      <c r="P1892" s="49" t="s">
        <v>23134</v>
      </c>
      <c r="Q1892" s="49" t="s">
        <v>23157</v>
      </c>
      <c r="R1892" s="49" t="s">
        <v>23180</v>
      </c>
      <c r="S1892" s="49" t="s">
        <v>23203</v>
      </c>
      <c r="T1892" s="49" t="s">
        <v>23226</v>
      </c>
    </row>
    <row r="1893" spans="1:21" x14ac:dyDescent="0.2">
      <c r="A1893" s="49" t="s">
        <v>30</v>
      </c>
      <c r="D1893" s="49" t="s">
        <v>20026</v>
      </c>
      <c r="G1893" s="49" t="s">
        <v>20027</v>
      </c>
      <c r="H1893" s="49" t="s">
        <v>23066</v>
      </c>
      <c r="I1893" s="49" t="s">
        <v>23089</v>
      </c>
      <c r="J1893" s="49" t="s">
        <v>23250</v>
      </c>
      <c r="K1893" s="49" t="s">
        <v>23273</v>
      </c>
      <c r="L1893" s="49" t="s">
        <v>20028</v>
      </c>
      <c r="M1893" s="49" t="s">
        <v>20029</v>
      </c>
      <c r="N1893" s="49" t="s">
        <v>20030</v>
      </c>
      <c r="O1893" s="49" t="s">
        <v>23112</v>
      </c>
      <c r="P1893" s="49" t="s">
        <v>23135</v>
      </c>
      <c r="Q1893" s="49" t="s">
        <v>23158</v>
      </c>
      <c r="R1893" s="49" t="s">
        <v>23181</v>
      </c>
      <c r="S1893" s="49" t="s">
        <v>23204</v>
      </c>
      <c r="T1893" s="49" t="s">
        <v>23227</v>
      </c>
    </row>
    <row r="1894" spans="1:21" x14ac:dyDescent="0.2">
      <c r="A1894" s="49" t="s">
        <v>30</v>
      </c>
      <c r="D1894" s="49" t="s">
        <v>20031</v>
      </c>
      <c r="G1894" s="49" t="s">
        <v>20032</v>
      </c>
      <c r="H1894" s="49" t="s">
        <v>23067</v>
      </c>
      <c r="I1894" s="49" t="s">
        <v>23090</v>
      </c>
      <c r="J1894" s="49" t="s">
        <v>23251</v>
      </c>
      <c r="K1894" s="49" t="s">
        <v>23274</v>
      </c>
      <c r="L1894" s="49" t="s">
        <v>20033</v>
      </c>
      <c r="M1894" s="49" t="s">
        <v>20034</v>
      </c>
      <c r="N1894" s="49" t="s">
        <v>20035</v>
      </c>
      <c r="O1894" s="49" t="s">
        <v>23113</v>
      </c>
      <c r="P1894" s="49" t="s">
        <v>23136</v>
      </c>
      <c r="Q1894" s="49" t="s">
        <v>23159</v>
      </c>
      <c r="R1894" s="49" t="s">
        <v>23182</v>
      </c>
      <c r="S1894" s="49" t="s">
        <v>23205</v>
      </c>
      <c r="T1894" s="49" t="s">
        <v>23228</v>
      </c>
    </row>
    <row r="1895" spans="1:21" x14ac:dyDescent="0.2">
      <c r="A1895" s="49" t="s">
        <v>30</v>
      </c>
      <c r="D1895" s="49" t="s">
        <v>20036</v>
      </c>
      <c r="G1895" s="49" t="s">
        <v>20037</v>
      </c>
      <c r="H1895" s="49" t="s">
        <v>23068</v>
      </c>
      <c r="I1895" s="49" t="s">
        <v>23091</v>
      </c>
      <c r="J1895" s="49" t="s">
        <v>23252</v>
      </c>
      <c r="K1895" s="49" t="s">
        <v>23275</v>
      </c>
      <c r="L1895" s="49" t="s">
        <v>20038</v>
      </c>
      <c r="M1895" s="49" t="s">
        <v>20039</v>
      </c>
      <c r="N1895" s="49" t="s">
        <v>20040</v>
      </c>
      <c r="O1895" s="49" t="s">
        <v>23114</v>
      </c>
      <c r="P1895" s="49" t="s">
        <v>23137</v>
      </c>
      <c r="Q1895" s="49" t="s">
        <v>23160</v>
      </c>
      <c r="R1895" s="49" t="s">
        <v>23183</v>
      </c>
      <c r="S1895" s="49" t="s">
        <v>23206</v>
      </c>
      <c r="T1895" s="49" t="s">
        <v>23229</v>
      </c>
    </row>
    <row r="1896" spans="1:21" x14ac:dyDescent="0.2">
      <c r="A1896" s="49" t="s">
        <v>30</v>
      </c>
    </row>
    <row r="1897" spans="1:21" x14ac:dyDescent="0.2">
      <c r="A1897" s="49" t="s">
        <v>30</v>
      </c>
      <c r="E1897" s="49" t="s">
        <v>31</v>
      </c>
      <c r="F1897" s="49" t="s">
        <v>31</v>
      </c>
      <c r="G1897" s="49" t="s">
        <v>31</v>
      </c>
      <c r="J1897" s="49" t="s">
        <v>31</v>
      </c>
      <c r="K1897" s="49" t="s">
        <v>31</v>
      </c>
      <c r="L1897" s="49" t="s">
        <v>31</v>
      </c>
      <c r="M1897" s="49" t="s">
        <v>31</v>
      </c>
    </row>
    <row r="1898" spans="1:21" x14ac:dyDescent="0.2">
      <c r="A1898" s="49" t="s">
        <v>30</v>
      </c>
      <c r="D1898" s="49" t="s">
        <v>20041</v>
      </c>
      <c r="E1898" s="49" t="s">
        <v>8832</v>
      </c>
      <c r="F1898" s="49" t="s">
        <v>20042</v>
      </c>
      <c r="H1898" s="49" t="s">
        <v>20043</v>
      </c>
      <c r="O1898" s="49" t="s">
        <v>20044</v>
      </c>
      <c r="P1898" s="49" t="s">
        <v>20045</v>
      </c>
      <c r="Q1898" s="49" t="s">
        <v>20046</v>
      </c>
      <c r="R1898" s="49" t="s">
        <v>20047</v>
      </c>
      <c r="S1898" s="49" t="s">
        <v>20048</v>
      </c>
      <c r="T1898" s="49" t="s">
        <v>20049</v>
      </c>
      <c r="U1898" s="49" t="s">
        <v>20050</v>
      </c>
    </row>
    <row r="1899" spans="1:21" x14ac:dyDescent="0.2">
      <c r="A1899" s="49" t="s">
        <v>30</v>
      </c>
      <c r="D1899" s="49" t="s">
        <v>20051</v>
      </c>
      <c r="G1899" s="49" t="s">
        <v>20052</v>
      </c>
      <c r="H1899" s="49" t="s">
        <v>22876</v>
      </c>
      <c r="I1899" s="49" t="s">
        <v>22893</v>
      </c>
      <c r="J1899" s="49" t="s">
        <v>23012</v>
      </c>
      <c r="K1899" s="49" t="s">
        <v>23029</v>
      </c>
      <c r="L1899" s="49" t="s">
        <v>20053</v>
      </c>
      <c r="M1899" s="49" t="s">
        <v>20054</v>
      </c>
      <c r="N1899" s="49" t="s">
        <v>20055</v>
      </c>
      <c r="O1899" s="49" t="s">
        <v>22910</v>
      </c>
      <c r="P1899" s="49" t="s">
        <v>22927</v>
      </c>
      <c r="Q1899" s="49" t="s">
        <v>22944</v>
      </c>
      <c r="R1899" s="49" t="s">
        <v>22961</v>
      </c>
      <c r="S1899" s="49" t="s">
        <v>22978</v>
      </c>
      <c r="T1899" s="49" t="s">
        <v>22995</v>
      </c>
    </row>
    <row r="1900" spans="1:21" x14ac:dyDescent="0.2">
      <c r="A1900" s="49" t="s">
        <v>30</v>
      </c>
      <c r="D1900" s="49" t="s">
        <v>20056</v>
      </c>
      <c r="G1900" s="49" t="s">
        <v>20057</v>
      </c>
      <c r="H1900" s="49" t="s">
        <v>22877</v>
      </c>
      <c r="I1900" s="49" t="s">
        <v>22894</v>
      </c>
      <c r="J1900" s="49" t="s">
        <v>23013</v>
      </c>
      <c r="K1900" s="49" t="s">
        <v>23030</v>
      </c>
      <c r="L1900" s="49" t="s">
        <v>20058</v>
      </c>
      <c r="M1900" s="49" t="s">
        <v>20059</v>
      </c>
      <c r="N1900" s="49" t="s">
        <v>20060</v>
      </c>
      <c r="O1900" s="49" t="s">
        <v>22911</v>
      </c>
      <c r="P1900" s="49" t="s">
        <v>22928</v>
      </c>
      <c r="Q1900" s="49" t="s">
        <v>22945</v>
      </c>
      <c r="R1900" s="49" t="s">
        <v>22962</v>
      </c>
      <c r="S1900" s="49" t="s">
        <v>22979</v>
      </c>
      <c r="T1900" s="49" t="s">
        <v>22996</v>
      </c>
    </row>
    <row r="1901" spans="1:21" x14ac:dyDescent="0.2">
      <c r="A1901" s="49" t="s">
        <v>30</v>
      </c>
      <c r="D1901" s="49" t="s">
        <v>20061</v>
      </c>
      <c r="G1901" s="49" t="s">
        <v>20062</v>
      </c>
      <c r="H1901" s="49" t="s">
        <v>22878</v>
      </c>
      <c r="I1901" s="49" t="s">
        <v>22895</v>
      </c>
      <c r="J1901" s="49" t="s">
        <v>23014</v>
      </c>
      <c r="K1901" s="49" t="s">
        <v>23031</v>
      </c>
      <c r="L1901" s="49" t="s">
        <v>20063</v>
      </c>
      <c r="M1901" s="49" t="s">
        <v>20064</v>
      </c>
      <c r="N1901" s="49" t="s">
        <v>20065</v>
      </c>
      <c r="O1901" s="49" t="s">
        <v>22912</v>
      </c>
      <c r="P1901" s="49" t="s">
        <v>22929</v>
      </c>
      <c r="Q1901" s="49" t="s">
        <v>22946</v>
      </c>
      <c r="R1901" s="49" t="s">
        <v>22963</v>
      </c>
      <c r="S1901" s="49" t="s">
        <v>22980</v>
      </c>
      <c r="T1901" s="49" t="s">
        <v>22997</v>
      </c>
    </row>
    <row r="1902" spans="1:21" x14ac:dyDescent="0.2">
      <c r="A1902" s="49" t="s">
        <v>30</v>
      </c>
      <c r="D1902" s="49" t="s">
        <v>20066</v>
      </c>
      <c r="G1902" s="49" t="s">
        <v>20067</v>
      </c>
      <c r="H1902" s="49" t="s">
        <v>22879</v>
      </c>
      <c r="I1902" s="49" t="s">
        <v>22896</v>
      </c>
      <c r="J1902" s="49" t="s">
        <v>23015</v>
      </c>
      <c r="K1902" s="49" t="s">
        <v>23032</v>
      </c>
      <c r="L1902" s="49" t="s">
        <v>20068</v>
      </c>
      <c r="M1902" s="49" t="s">
        <v>20069</v>
      </c>
      <c r="N1902" s="49" t="s">
        <v>20070</v>
      </c>
      <c r="O1902" s="49" t="s">
        <v>22913</v>
      </c>
      <c r="P1902" s="49" t="s">
        <v>22930</v>
      </c>
      <c r="Q1902" s="49" t="s">
        <v>22947</v>
      </c>
      <c r="R1902" s="49" t="s">
        <v>22964</v>
      </c>
      <c r="S1902" s="49" t="s">
        <v>22981</v>
      </c>
      <c r="T1902" s="49" t="s">
        <v>22998</v>
      </c>
    </row>
    <row r="1903" spans="1:21" x14ac:dyDescent="0.2">
      <c r="A1903" s="49" t="s">
        <v>30</v>
      </c>
      <c r="D1903" s="49" t="s">
        <v>20071</v>
      </c>
      <c r="G1903" s="49" t="s">
        <v>20072</v>
      </c>
      <c r="H1903" s="49" t="s">
        <v>22880</v>
      </c>
      <c r="I1903" s="49" t="s">
        <v>22897</v>
      </c>
      <c r="J1903" s="49" t="s">
        <v>23016</v>
      </c>
      <c r="K1903" s="49" t="s">
        <v>23033</v>
      </c>
      <c r="L1903" s="49" t="s">
        <v>20073</v>
      </c>
      <c r="M1903" s="49" t="s">
        <v>20074</v>
      </c>
      <c r="N1903" s="49" t="s">
        <v>20075</v>
      </c>
      <c r="O1903" s="49" t="s">
        <v>22914</v>
      </c>
      <c r="P1903" s="49" t="s">
        <v>22931</v>
      </c>
      <c r="Q1903" s="49" t="s">
        <v>22948</v>
      </c>
      <c r="R1903" s="49" t="s">
        <v>22965</v>
      </c>
      <c r="S1903" s="49" t="s">
        <v>22982</v>
      </c>
      <c r="T1903" s="49" t="s">
        <v>22999</v>
      </c>
    </row>
    <row r="1904" spans="1:21" x14ac:dyDescent="0.2">
      <c r="A1904" s="49" t="s">
        <v>30</v>
      </c>
      <c r="D1904" s="49" t="s">
        <v>20076</v>
      </c>
      <c r="G1904" s="49" t="s">
        <v>20077</v>
      </c>
      <c r="H1904" s="49" t="s">
        <v>22881</v>
      </c>
      <c r="I1904" s="49" t="s">
        <v>22898</v>
      </c>
      <c r="J1904" s="49" t="s">
        <v>23017</v>
      </c>
      <c r="K1904" s="49" t="s">
        <v>23034</v>
      </c>
      <c r="L1904" s="49" t="s">
        <v>20078</v>
      </c>
      <c r="M1904" s="49" t="s">
        <v>20079</v>
      </c>
      <c r="N1904" s="49" t="s">
        <v>20080</v>
      </c>
      <c r="O1904" s="49" t="s">
        <v>22915</v>
      </c>
      <c r="P1904" s="49" t="s">
        <v>22932</v>
      </c>
      <c r="Q1904" s="49" t="s">
        <v>22949</v>
      </c>
      <c r="R1904" s="49" t="s">
        <v>22966</v>
      </c>
      <c r="S1904" s="49" t="s">
        <v>22983</v>
      </c>
      <c r="T1904" s="49" t="s">
        <v>23000</v>
      </c>
    </row>
    <row r="1905" spans="1:21" x14ac:dyDescent="0.2">
      <c r="A1905" s="49" t="s">
        <v>30</v>
      </c>
      <c r="D1905" s="49" t="s">
        <v>20081</v>
      </c>
      <c r="G1905" s="49" t="s">
        <v>20082</v>
      </c>
      <c r="H1905" s="49" t="s">
        <v>22882</v>
      </c>
      <c r="I1905" s="49" t="s">
        <v>22899</v>
      </c>
      <c r="J1905" s="49" t="s">
        <v>23018</v>
      </c>
      <c r="K1905" s="49" t="s">
        <v>23035</v>
      </c>
      <c r="L1905" s="49" t="s">
        <v>20083</v>
      </c>
      <c r="M1905" s="49" t="s">
        <v>20084</v>
      </c>
      <c r="N1905" s="49" t="s">
        <v>20085</v>
      </c>
      <c r="O1905" s="49" t="s">
        <v>22916</v>
      </c>
      <c r="P1905" s="49" t="s">
        <v>22933</v>
      </c>
      <c r="Q1905" s="49" t="s">
        <v>22950</v>
      </c>
      <c r="R1905" s="49" t="s">
        <v>22967</v>
      </c>
      <c r="S1905" s="49" t="s">
        <v>22984</v>
      </c>
      <c r="T1905" s="49" t="s">
        <v>23001</v>
      </c>
    </row>
    <row r="1906" spans="1:21" x14ac:dyDescent="0.2">
      <c r="A1906" s="49" t="s">
        <v>30</v>
      </c>
      <c r="D1906" s="49" t="s">
        <v>20086</v>
      </c>
      <c r="G1906" s="49" t="s">
        <v>20087</v>
      </c>
      <c r="H1906" s="49" t="s">
        <v>22883</v>
      </c>
      <c r="I1906" s="49" t="s">
        <v>22900</v>
      </c>
      <c r="J1906" s="49" t="s">
        <v>23019</v>
      </c>
      <c r="K1906" s="49" t="s">
        <v>23036</v>
      </c>
      <c r="L1906" s="49" t="s">
        <v>20088</v>
      </c>
      <c r="M1906" s="49" t="s">
        <v>20089</v>
      </c>
      <c r="N1906" s="49" t="s">
        <v>20090</v>
      </c>
      <c r="O1906" s="49" t="s">
        <v>22917</v>
      </c>
      <c r="P1906" s="49" t="s">
        <v>22934</v>
      </c>
      <c r="Q1906" s="49" t="s">
        <v>22951</v>
      </c>
      <c r="R1906" s="49" t="s">
        <v>22968</v>
      </c>
      <c r="S1906" s="49" t="s">
        <v>22985</v>
      </c>
      <c r="T1906" s="49" t="s">
        <v>23002</v>
      </c>
    </row>
    <row r="1907" spans="1:21" x14ac:dyDescent="0.2">
      <c r="A1907" s="49" t="s">
        <v>30</v>
      </c>
      <c r="D1907" s="49" t="s">
        <v>20091</v>
      </c>
      <c r="G1907" s="49" t="s">
        <v>20092</v>
      </c>
      <c r="H1907" s="49" t="s">
        <v>22884</v>
      </c>
      <c r="I1907" s="49" t="s">
        <v>22901</v>
      </c>
      <c r="J1907" s="49" t="s">
        <v>23020</v>
      </c>
      <c r="K1907" s="49" t="s">
        <v>23037</v>
      </c>
      <c r="L1907" s="49" t="s">
        <v>20093</v>
      </c>
      <c r="M1907" s="49" t="s">
        <v>20094</v>
      </c>
      <c r="N1907" s="49" t="s">
        <v>20095</v>
      </c>
      <c r="O1907" s="49" t="s">
        <v>22918</v>
      </c>
      <c r="P1907" s="49" t="s">
        <v>22935</v>
      </c>
      <c r="Q1907" s="49" t="s">
        <v>22952</v>
      </c>
      <c r="R1907" s="49" t="s">
        <v>22969</v>
      </c>
      <c r="S1907" s="49" t="s">
        <v>22986</v>
      </c>
      <c r="T1907" s="49" t="s">
        <v>23003</v>
      </c>
    </row>
    <row r="1908" spans="1:21" x14ac:dyDescent="0.2">
      <c r="A1908" s="49" t="s">
        <v>30</v>
      </c>
      <c r="D1908" s="49" t="s">
        <v>20096</v>
      </c>
      <c r="G1908" s="49" t="s">
        <v>20097</v>
      </c>
      <c r="H1908" s="49" t="s">
        <v>22885</v>
      </c>
      <c r="I1908" s="49" t="s">
        <v>22902</v>
      </c>
      <c r="J1908" s="49" t="s">
        <v>23021</v>
      </c>
      <c r="K1908" s="49" t="s">
        <v>23038</v>
      </c>
      <c r="L1908" s="49" t="s">
        <v>20098</v>
      </c>
      <c r="M1908" s="49" t="s">
        <v>20099</v>
      </c>
      <c r="N1908" s="49" t="s">
        <v>20100</v>
      </c>
      <c r="O1908" s="49" t="s">
        <v>22919</v>
      </c>
      <c r="P1908" s="49" t="s">
        <v>22936</v>
      </c>
      <c r="Q1908" s="49" t="s">
        <v>22953</v>
      </c>
      <c r="R1908" s="49" t="s">
        <v>22970</v>
      </c>
      <c r="S1908" s="49" t="s">
        <v>22987</v>
      </c>
      <c r="T1908" s="49" t="s">
        <v>23004</v>
      </c>
    </row>
    <row r="1909" spans="1:21" x14ac:dyDescent="0.2">
      <c r="A1909" s="49" t="s">
        <v>30</v>
      </c>
      <c r="D1909" s="49" t="s">
        <v>20101</v>
      </c>
      <c r="G1909" s="49" t="s">
        <v>20102</v>
      </c>
      <c r="H1909" s="49" t="s">
        <v>22886</v>
      </c>
      <c r="I1909" s="49" t="s">
        <v>22903</v>
      </c>
      <c r="J1909" s="49" t="s">
        <v>23022</v>
      </c>
      <c r="K1909" s="49" t="s">
        <v>23039</v>
      </c>
      <c r="L1909" s="49" t="s">
        <v>20103</v>
      </c>
      <c r="M1909" s="49" t="s">
        <v>20104</v>
      </c>
      <c r="N1909" s="49" t="s">
        <v>20105</v>
      </c>
      <c r="O1909" s="49" t="s">
        <v>22920</v>
      </c>
      <c r="P1909" s="49" t="s">
        <v>22937</v>
      </c>
      <c r="Q1909" s="49" t="s">
        <v>22954</v>
      </c>
      <c r="R1909" s="49" t="s">
        <v>22971</v>
      </c>
      <c r="S1909" s="49" t="s">
        <v>22988</v>
      </c>
      <c r="T1909" s="49" t="s">
        <v>23005</v>
      </c>
    </row>
    <row r="1910" spans="1:21" x14ac:dyDescent="0.2">
      <c r="A1910" s="49" t="s">
        <v>30</v>
      </c>
      <c r="D1910" s="49" t="s">
        <v>20106</v>
      </c>
      <c r="G1910" s="49" t="s">
        <v>20107</v>
      </c>
      <c r="H1910" s="49" t="s">
        <v>22887</v>
      </c>
      <c r="I1910" s="49" t="s">
        <v>22904</v>
      </c>
      <c r="J1910" s="49" t="s">
        <v>23023</v>
      </c>
      <c r="K1910" s="49" t="s">
        <v>23040</v>
      </c>
      <c r="L1910" s="49" t="s">
        <v>20108</v>
      </c>
      <c r="M1910" s="49" t="s">
        <v>20109</v>
      </c>
      <c r="N1910" s="49" t="s">
        <v>20110</v>
      </c>
      <c r="O1910" s="49" t="s">
        <v>22921</v>
      </c>
      <c r="P1910" s="49" t="s">
        <v>22938</v>
      </c>
      <c r="Q1910" s="49" t="s">
        <v>22955</v>
      </c>
      <c r="R1910" s="49" t="s">
        <v>22972</v>
      </c>
      <c r="S1910" s="49" t="s">
        <v>22989</v>
      </c>
      <c r="T1910" s="49" t="s">
        <v>23006</v>
      </c>
    </row>
    <row r="1911" spans="1:21" x14ac:dyDescent="0.2">
      <c r="A1911" s="49" t="s">
        <v>30</v>
      </c>
      <c r="D1911" s="49" t="s">
        <v>20111</v>
      </c>
      <c r="G1911" s="49" t="s">
        <v>20112</v>
      </c>
      <c r="H1911" s="49" t="s">
        <v>22888</v>
      </c>
      <c r="I1911" s="49" t="s">
        <v>22905</v>
      </c>
      <c r="J1911" s="49" t="s">
        <v>23024</v>
      </c>
      <c r="K1911" s="49" t="s">
        <v>23041</v>
      </c>
      <c r="L1911" s="49" t="s">
        <v>20113</v>
      </c>
      <c r="M1911" s="49" t="s">
        <v>20114</v>
      </c>
      <c r="N1911" s="49" t="s">
        <v>20115</v>
      </c>
      <c r="O1911" s="49" t="s">
        <v>22922</v>
      </c>
      <c r="P1911" s="49" t="s">
        <v>22939</v>
      </c>
      <c r="Q1911" s="49" t="s">
        <v>22956</v>
      </c>
      <c r="R1911" s="49" t="s">
        <v>22973</v>
      </c>
      <c r="S1911" s="49" t="s">
        <v>22990</v>
      </c>
      <c r="T1911" s="49" t="s">
        <v>23007</v>
      </c>
    </row>
    <row r="1912" spans="1:21" x14ac:dyDescent="0.2">
      <c r="A1912" s="49" t="s">
        <v>30</v>
      </c>
      <c r="D1912" s="49" t="s">
        <v>20116</v>
      </c>
      <c r="G1912" s="49" t="s">
        <v>20117</v>
      </c>
      <c r="H1912" s="49" t="s">
        <v>22889</v>
      </c>
      <c r="I1912" s="49" t="s">
        <v>22906</v>
      </c>
      <c r="J1912" s="49" t="s">
        <v>23025</v>
      </c>
      <c r="K1912" s="49" t="s">
        <v>23042</v>
      </c>
      <c r="L1912" s="49" t="s">
        <v>20118</v>
      </c>
      <c r="M1912" s="49" t="s">
        <v>20119</v>
      </c>
      <c r="N1912" s="49" t="s">
        <v>20120</v>
      </c>
      <c r="O1912" s="49" t="s">
        <v>22923</v>
      </c>
      <c r="P1912" s="49" t="s">
        <v>22940</v>
      </c>
      <c r="Q1912" s="49" t="s">
        <v>22957</v>
      </c>
      <c r="R1912" s="49" t="s">
        <v>22974</v>
      </c>
      <c r="S1912" s="49" t="s">
        <v>22991</v>
      </c>
      <c r="T1912" s="49" t="s">
        <v>23008</v>
      </c>
    </row>
    <row r="1913" spans="1:21" x14ac:dyDescent="0.2">
      <c r="A1913" s="49" t="s">
        <v>30</v>
      </c>
      <c r="D1913" s="49" t="s">
        <v>20121</v>
      </c>
      <c r="G1913" s="49" t="s">
        <v>20122</v>
      </c>
      <c r="H1913" s="49" t="s">
        <v>22890</v>
      </c>
      <c r="I1913" s="49" t="s">
        <v>22907</v>
      </c>
      <c r="J1913" s="49" t="s">
        <v>23026</v>
      </c>
      <c r="K1913" s="49" t="s">
        <v>23043</v>
      </c>
      <c r="L1913" s="49" t="s">
        <v>20123</v>
      </c>
      <c r="M1913" s="49" t="s">
        <v>20124</v>
      </c>
      <c r="N1913" s="49" t="s">
        <v>20125</v>
      </c>
      <c r="O1913" s="49" t="s">
        <v>22924</v>
      </c>
      <c r="P1913" s="49" t="s">
        <v>22941</v>
      </c>
      <c r="Q1913" s="49" t="s">
        <v>22958</v>
      </c>
      <c r="R1913" s="49" t="s">
        <v>22975</v>
      </c>
      <c r="S1913" s="49" t="s">
        <v>22992</v>
      </c>
      <c r="T1913" s="49" t="s">
        <v>23009</v>
      </c>
    </row>
    <row r="1914" spans="1:21" x14ac:dyDescent="0.2">
      <c r="A1914" s="49" t="s">
        <v>30</v>
      </c>
      <c r="D1914" s="49" t="s">
        <v>20126</v>
      </c>
      <c r="G1914" s="49" t="s">
        <v>20127</v>
      </c>
      <c r="H1914" s="49" t="s">
        <v>22891</v>
      </c>
      <c r="I1914" s="49" t="s">
        <v>22908</v>
      </c>
      <c r="J1914" s="49" t="s">
        <v>23027</v>
      </c>
      <c r="K1914" s="49" t="s">
        <v>23044</v>
      </c>
      <c r="L1914" s="49" t="s">
        <v>20128</v>
      </c>
      <c r="M1914" s="49" t="s">
        <v>20129</v>
      </c>
      <c r="N1914" s="49" t="s">
        <v>20130</v>
      </c>
      <c r="O1914" s="49" t="s">
        <v>22925</v>
      </c>
      <c r="P1914" s="49" t="s">
        <v>22942</v>
      </c>
      <c r="Q1914" s="49" t="s">
        <v>22959</v>
      </c>
      <c r="R1914" s="49" t="s">
        <v>22976</v>
      </c>
      <c r="S1914" s="49" t="s">
        <v>22993</v>
      </c>
      <c r="T1914" s="49" t="s">
        <v>23010</v>
      </c>
    </row>
    <row r="1915" spans="1:21" x14ac:dyDescent="0.2">
      <c r="A1915" s="49" t="s">
        <v>30</v>
      </c>
      <c r="D1915" s="49" t="s">
        <v>20131</v>
      </c>
      <c r="G1915" s="49" t="s">
        <v>20132</v>
      </c>
      <c r="H1915" s="49" t="s">
        <v>22892</v>
      </c>
      <c r="I1915" s="49" t="s">
        <v>22909</v>
      </c>
      <c r="J1915" s="49" t="s">
        <v>23028</v>
      </c>
      <c r="K1915" s="49" t="s">
        <v>23045</v>
      </c>
      <c r="L1915" s="49" t="s">
        <v>20133</v>
      </c>
      <c r="M1915" s="49" t="s">
        <v>20134</v>
      </c>
      <c r="N1915" s="49" t="s">
        <v>20135</v>
      </c>
      <c r="O1915" s="49" t="s">
        <v>22926</v>
      </c>
      <c r="P1915" s="49" t="s">
        <v>22943</v>
      </c>
      <c r="Q1915" s="49" t="s">
        <v>22960</v>
      </c>
      <c r="R1915" s="49" t="s">
        <v>22977</v>
      </c>
      <c r="S1915" s="49" t="s">
        <v>22994</v>
      </c>
      <c r="T1915" s="49" t="s">
        <v>23011</v>
      </c>
    </row>
    <row r="1916" spans="1:21" x14ac:dyDescent="0.2">
      <c r="A1916" s="49" t="s">
        <v>30</v>
      </c>
    </row>
    <row r="1917" spans="1:21" x14ac:dyDescent="0.2">
      <c r="A1917" s="49" t="s">
        <v>30</v>
      </c>
      <c r="E1917" s="49" t="s">
        <v>31</v>
      </c>
      <c r="F1917" s="49" t="s">
        <v>31</v>
      </c>
      <c r="G1917" s="49" t="s">
        <v>31</v>
      </c>
      <c r="J1917" s="49" t="s">
        <v>31</v>
      </c>
      <c r="K1917" s="49" t="s">
        <v>31</v>
      </c>
      <c r="L1917" s="49" t="s">
        <v>31</v>
      </c>
      <c r="M1917" s="49" t="s">
        <v>31</v>
      </c>
    </row>
    <row r="1918" spans="1:21" x14ac:dyDescent="0.2">
      <c r="A1918" s="49" t="s">
        <v>30</v>
      </c>
      <c r="D1918" s="49" t="s">
        <v>20136</v>
      </c>
      <c r="E1918" s="49" t="s">
        <v>8833</v>
      </c>
      <c r="F1918" s="49" t="s">
        <v>20137</v>
      </c>
      <c r="H1918" s="49" t="s">
        <v>20138</v>
      </c>
      <c r="O1918" s="49" t="s">
        <v>20139</v>
      </c>
      <c r="P1918" s="49" t="s">
        <v>20140</v>
      </c>
      <c r="Q1918" s="49" t="s">
        <v>20141</v>
      </c>
      <c r="R1918" s="49" t="s">
        <v>20142</v>
      </c>
      <c r="S1918" s="49" t="s">
        <v>20143</v>
      </c>
      <c r="T1918" s="49" t="s">
        <v>20144</v>
      </c>
      <c r="U1918" s="49" t="s">
        <v>20145</v>
      </c>
    </row>
    <row r="1919" spans="1:21" x14ac:dyDescent="0.2">
      <c r="A1919" s="49" t="s">
        <v>30</v>
      </c>
      <c r="D1919" s="49" t="s">
        <v>20146</v>
      </c>
      <c r="G1919" s="49" t="s">
        <v>20147</v>
      </c>
      <c r="H1919" s="49" t="s">
        <v>22766</v>
      </c>
      <c r="I1919" s="49" t="s">
        <v>22777</v>
      </c>
      <c r="J1919" s="49" t="s">
        <v>22854</v>
      </c>
      <c r="K1919" s="49" t="s">
        <v>22865</v>
      </c>
      <c r="L1919" s="49" t="s">
        <v>20148</v>
      </c>
      <c r="M1919" s="49" t="s">
        <v>20149</v>
      </c>
      <c r="N1919" s="49" t="s">
        <v>20150</v>
      </c>
      <c r="O1919" s="49" t="s">
        <v>22788</v>
      </c>
      <c r="P1919" s="49" t="s">
        <v>22799</v>
      </c>
      <c r="Q1919" s="49" t="s">
        <v>22810</v>
      </c>
      <c r="R1919" s="49" t="s">
        <v>22821</v>
      </c>
      <c r="S1919" s="49" t="s">
        <v>22832</v>
      </c>
      <c r="T1919" s="49" t="s">
        <v>22843</v>
      </c>
    </row>
    <row r="1920" spans="1:21" x14ac:dyDescent="0.2">
      <c r="A1920" s="49" t="s">
        <v>30</v>
      </c>
      <c r="D1920" s="49" t="s">
        <v>20151</v>
      </c>
      <c r="G1920" s="49" t="s">
        <v>20152</v>
      </c>
      <c r="H1920" s="49" t="s">
        <v>22767</v>
      </c>
      <c r="I1920" s="49" t="s">
        <v>22778</v>
      </c>
      <c r="J1920" s="49" t="s">
        <v>22855</v>
      </c>
      <c r="K1920" s="49" t="s">
        <v>22866</v>
      </c>
      <c r="L1920" s="49" t="s">
        <v>20153</v>
      </c>
      <c r="M1920" s="49" t="s">
        <v>20154</v>
      </c>
      <c r="N1920" s="49" t="s">
        <v>20155</v>
      </c>
      <c r="O1920" s="49" t="s">
        <v>22789</v>
      </c>
      <c r="P1920" s="49" t="s">
        <v>22800</v>
      </c>
      <c r="Q1920" s="49" t="s">
        <v>22811</v>
      </c>
      <c r="R1920" s="49" t="s">
        <v>22822</v>
      </c>
      <c r="S1920" s="49" t="s">
        <v>22833</v>
      </c>
      <c r="T1920" s="49" t="s">
        <v>22844</v>
      </c>
    </row>
    <row r="1921" spans="1:21" x14ac:dyDescent="0.2">
      <c r="A1921" s="49" t="s">
        <v>30</v>
      </c>
      <c r="D1921" s="49" t="s">
        <v>20156</v>
      </c>
      <c r="G1921" s="49" t="s">
        <v>20157</v>
      </c>
      <c r="H1921" s="49" t="s">
        <v>22768</v>
      </c>
      <c r="I1921" s="49" t="s">
        <v>22779</v>
      </c>
      <c r="J1921" s="49" t="s">
        <v>22856</v>
      </c>
      <c r="K1921" s="49" t="s">
        <v>22867</v>
      </c>
      <c r="L1921" s="49" t="s">
        <v>20158</v>
      </c>
      <c r="M1921" s="49" t="s">
        <v>20159</v>
      </c>
      <c r="N1921" s="49" t="s">
        <v>20160</v>
      </c>
      <c r="O1921" s="49" t="s">
        <v>22790</v>
      </c>
      <c r="P1921" s="49" t="s">
        <v>22801</v>
      </c>
      <c r="Q1921" s="49" t="s">
        <v>22812</v>
      </c>
      <c r="R1921" s="49" t="s">
        <v>22823</v>
      </c>
      <c r="S1921" s="49" t="s">
        <v>22834</v>
      </c>
      <c r="T1921" s="49" t="s">
        <v>22845</v>
      </c>
    </row>
    <row r="1922" spans="1:21" x14ac:dyDescent="0.2">
      <c r="A1922" s="49" t="s">
        <v>30</v>
      </c>
      <c r="D1922" s="49" t="s">
        <v>20161</v>
      </c>
      <c r="G1922" s="49" t="s">
        <v>20162</v>
      </c>
      <c r="H1922" s="49" t="s">
        <v>22769</v>
      </c>
      <c r="I1922" s="49" t="s">
        <v>22780</v>
      </c>
      <c r="J1922" s="49" t="s">
        <v>22857</v>
      </c>
      <c r="K1922" s="49" t="s">
        <v>22868</v>
      </c>
      <c r="L1922" s="49" t="s">
        <v>20163</v>
      </c>
      <c r="M1922" s="49" t="s">
        <v>20164</v>
      </c>
      <c r="N1922" s="49" t="s">
        <v>20165</v>
      </c>
      <c r="O1922" s="49" t="s">
        <v>22791</v>
      </c>
      <c r="P1922" s="49" t="s">
        <v>22802</v>
      </c>
      <c r="Q1922" s="49" t="s">
        <v>22813</v>
      </c>
      <c r="R1922" s="49" t="s">
        <v>22824</v>
      </c>
      <c r="S1922" s="49" t="s">
        <v>22835</v>
      </c>
      <c r="T1922" s="49" t="s">
        <v>22846</v>
      </c>
    </row>
    <row r="1923" spans="1:21" x14ac:dyDescent="0.2">
      <c r="A1923" s="49" t="s">
        <v>30</v>
      </c>
      <c r="D1923" s="49" t="s">
        <v>20166</v>
      </c>
      <c r="G1923" s="49" t="s">
        <v>20167</v>
      </c>
      <c r="H1923" s="49" t="s">
        <v>22770</v>
      </c>
      <c r="I1923" s="49" t="s">
        <v>22781</v>
      </c>
      <c r="J1923" s="49" t="s">
        <v>22858</v>
      </c>
      <c r="K1923" s="49" t="s">
        <v>22869</v>
      </c>
      <c r="L1923" s="49" t="s">
        <v>20168</v>
      </c>
      <c r="M1923" s="49" t="s">
        <v>20169</v>
      </c>
      <c r="N1923" s="49" t="s">
        <v>20170</v>
      </c>
      <c r="O1923" s="49" t="s">
        <v>22792</v>
      </c>
      <c r="P1923" s="49" t="s">
        <v>22803</v>
      </c>
      <c r="Q1923" s="49" t="s">
        <v>22814</v>
      </c>
      <c r="R1923" s="49" t="s">
        <v>22825</v>
      </c>
      <c r="S1923" s="49" t="s">
        <v>22836</v>
      </c>
      <c r="T1923" s="49" t="s">
        <v>22847</v>
      </c>
    </row>
    <row r="1924" spans="1:21" x14ac:dyDescent="0.2">
      <c r="A1924" s="49" t="s">
        <v>30</v>
      </c>
      <c r="D1924" s="49" t="s">
        <v>20171</v>
      </c>
      <c r="G1924" s="49" t="s">
        <v>20172</v>
      </c>
      <c r="H1924" s="49" t="s">
        <v>22771</v>
      </c>
      <c r="I1924" s="49" t="s">
        <v>22782</v>
      </c>
      <c r="J1924" s="49" t="s">
        <v>22859</v>
      </c>
      <c r="K1924" s="49" t="s">
        <v>22870</v>
      </c>
      <c r="L1924" s="49" t="s">
        <v>20173</v>
      </c>
      <c r="M1924" s="49" t="s">
        <v>20174</v>
      </c>
      <c r="N1924" s="49" t="s">
        <v>20175</v>
      </c>
      <c r="O1924" s="49" t="s">
        <v>22793</v>
      </c>
      <c r="P1924" s="49" t="s">
        <v>22804</v>
      </c>
      <c r="Q1924" s="49" t="s">
        <v>22815</v>
      </c>
      <c r="R1924" s="49" t="s">
        <v>22826</v>
      </c>
      <c r="S1924" s="49" t="s">
        <v>22837</v>
      </c>
      <c r="T1924" s="49" t="s">
        <v>22848</v>
      </c>
    </row>
    <row r="1925" spans="1:21" x14ac:dyDescent="0.2">
      <c r="A1925" s="49" t="s">
        <v>30</v>
      </c>
      <c r="D1925" s="49" t="s">
        <v>20176</v>
      </c>
      <c r="G1925" s="49" t="s">
        <v>20177</v>
      </c>
      <c r="H1925" s="49" t="s">
        <v>22772</v>
      </c>
      <c r="I1925" s="49" t="s">
        <v>22783</v>
      </c>
      <c r="J1925" s="49" t="s">
        <v>22860</v>
      </c>
      <c r="K1925" s="49" t="s">
        <v>22871</v>
      </c>
      <c r="L1925" s="49" t="s">
        <v>20178</v>
      </c>
      <c r="M1925" s="49" t="s">
        <v>20179</v>
      </c>
      <c r="N1925" s="49" t="s">
        <v>20180</v>
      </c>
      <c r="O1925" s="49" t="s">
        <v>22794</v>
      </c>
      <c r="P1925" s="49" t="s">
        <v>22805</v>
      </c>
      <c r="Q1925" s="49" t="s">
        <v>22816</v>
      </c>
      <c r="R1925" s="49" t="s">
        <v>22827</v>
      </c>
      <c r="S1925" s="49" t="s">
        <v>22838</v>
      </c>
      <c r="T1925" s="49" t="s">
        <v>22849</v>
      </c>
    </row>
    <row r="1926" spans="1:21" x14ac:dyDescent="0.2">
      <c r="A1926" s="49" t="s">
        <v>30</v>
      </c>
      <c r="D1926" s="49" t="s">
        <v>20181</v>
      </c>
      <c r="G1926" s="49" t="s">
        <v>20182</v>
      </c>
      <c r="H1926" s="49" t="s">
        <v>22773</v>
      </c>
      <c r="I1926" s="49" t="s">
        <v>22784</v>
      </c>
      <c r="J1926" s="49" t="s">
        <v>22861</v>
      </c>
      <c r="K1926" s="49" t="s">
        <v>22872</v>
      </c>
      <c r="L1926" s="49" t="s">
        <v>20183</v>
      </c>
      <c r="M1926" s="49" t="s">
        <v>20184</v>
      </c>
      <c r="N1926" s="49" t="s">
        <v>20185</v>
      </c>
      <c r="O1926" s="49" t="s">
        <v>22795</v>
      </c>
      <c r="P1926" s="49" t="s">
        <v>22806</v>
      </c>
      <c r="Q1926" s="49" t="s">
        <v>22817</v>
      </c>
      <c r="R1926" s="49" t="s">
        <v>22828</v>
      </c>
      <c r="S1926" s="49" t="s">
        <v>22839</v>
      </c>
      <c r="T1926" s="49" t="s">
        <v>22850</v>
      </c>
    </row>
    <row r="1927" spans="1:21" x14ac:dyDescent="0.2">
      <c r="A1927" s="49" t="s">
        <v>30</v>
      </c>
      <c r="D1927" s="49" t="s">
        <v>20186</v>
      </c>
      <c r="G1927" s="49" t="s">
        <v>20187</v>
      </c>
      <c r="H1927" s="49" t="s">
        <v>22774</v>
      </c>
      <c r="I1927" s="49" t="s">
        <v>22785</v>
      </c>
      <c r="J1927" s="49" t="s">
        <v>22862</v>
      </c>
      <c r="K1927" s="49" t="s">
        <v>22873</v>
      </c>
      <c r="L1927" s="49" t="s">
        <v>20188</v>
      </c>
      <c r="M1927" s="49" t="s">
        <v>20189</v>
      </c>
      <c r="N1927" s="49" t="s">
        <v>20190</v>
      </c>
      <c r="O1927" s="49" t="s">
        <v>22796</v>
      </c>
      <c r="P1927" s="49" t="s">
        <v>22807</v>
      </c>
      <c r="Q1927" s="49" t="s">
        <v>22818</v>
      </c>
      <c r="R1927" s="49" t="s">
        <v>22829</v>
      </c>
      <c r="S1927" s="49" t="s">
        <v>22840</v>
      </c>
      <c r="T1927" s="49" t="s">
        <v>22851</v>
      </c>
    </row>
    <row r="1928" spans="1:21" x14ac:dyDescent="0.2">
      <c r="A1928" s="49" t="s">
        <v>30</v>
      </c>
      <c r="D1928" s="49" t="s">
        <v>20191</v>
      </c>
      <c r="G1928" s="49" t="s">
        <v>20192</v>
      </c>
      <c r="H1928" s="49" t="s">
        <v>22775</v>
      </c>
      <c r="I1928" s="49" t="s">
        <v>22786</v>
      </c>
      <c r="J1928" s="49" t="s">
        <v>22863</v>
      </c>
      <c r="K1928" s="49" t="s">
        <v>22874</v>
      </c>
      <c r="L1928" s="49" t="s">
        <v>20193</v>
      </c>
      <c r="M1928" s="49" t="s">
        <v>20194</v>
      </c>
      <c r="N1928" s="49" t="s">
        <v>20195</v>
      </c>
      <c r="O1928" s="49" t="s">
        <v>22797</v>
      </c>
      <c r="P1928" s="49" t="s">
        <v>22808</v>
      </c>
      <c r="Q1928" s="49" t="s">
        <v>22819</v>
      </c>
      <c r="R1928" s="49" t="s">
        <v>22830</v>
      </c>
      <c r="S1928" s="49" t="s">
        <v>22841</v>
      </c>
      <c r="T1928" s="49" t="s">
        <v>22852</v>
      </c>
    </row>
    <row r="1929" spans="1:21" x14ac:dyDescent="0.2">
      <c r="A1929" s="49" t="s">
        <v>30</v>
      </c>
      <c r="D1929" s="49" t="s">
        <v>20196</v>
      </c>
      <c r="G1929" s="49" t="s">
        <v>20197</v>
      </c>
      <c r="H1929" s="49" t="s">
        <v>22776</v>
      </c>
      <c r="I1929" s="49" t="s">
        <v>22787</v>
      </c>
      <c r="J1929" s="49" t="s">
        <v>22864</v>
      </c>
      <c r="K1929" s="49" t="s">
        <v>22875</v>
      </c>
      <c r="L1929" s="49" t="s">
        <v>20198</v>
      </c>
      <c r="M1929" s="49" t="s">
        <v>20199</v>
      </c>
      <c r="N1929" s="49" t="s">
        <v>20200</v>
      </c>
      <c r="O1929" s="49" t="s">
        <v>22798</v>
      </c>
      <c r="P1929" s="49" t="s">
        <v>22809</v>
      </c>
      <c r="Q1929" s="49" t="s">
        <v>22820</v>
      </c>
      <c r="R1929" s="49" t="s">
        <v>22831</v>
      </c>
      <c r="S1929" s="49" t="s">
        <v>22842</v>
      </c>
      <c r="T1929" s="49" t="s">
        <v>22853</v>
      </c>
    </row>
    <row r="1930" spans="1:21" x14ac:dyDescent="0.2">
      <c r="A1930" s="49" t="s">
        <v>30</v>
      </c>
    </row>
    <row r="1931" spans="1:21" x14ac:dyDescent="0.2">
      <c r="A1931" s="49" t="s">
        <v>30</v>
      </c>
      <c r="E1931" s="49" t="s">
        <v>31</v>
      </c>
      <c r="F1931" s="49" t="s">
        <v>31</v>
      </c>
      <c r="G1931" s="49" t="s">
        <v>31</v>
      </c>
      <c r="J1931" s="49" t="s">
        <v>31</v>
      </c>
      <c r="K1931" s="49" t="s">
        <v>31</v>
      </c>
      <c r="L1931" s="49" t="s">
        <v>31</v>
      </c>
      <c r="M1931" s="49" t="s">
        <v>31</v>
      </c>
    </row>
    <row r="1932" spans="1:21" x14ac:dyDescent="0.2">
      <c r="A1932" s="49" t="s">
        <v>30</v>
      </c>
      <c r="D1932" s="49" t="s">
        <v>20201</v>
      </c>
      <c r="E1932" s="49" t="s">
        <v>8834</v>
      </c>
      <c r="F1932" s="49" t="s">
        <v>20202</v>
      </c>
      <c r="H1932" s="49" t="s">
        <v>20203</v>
      </c>
      <c r="O1932" s="49" t="s">
        <v>20204</v>
      </c>
      <c r="P1932" s="49" t="s">
        <v>20205</v>
      </c>
      <c r="Q1932" s="49" t="s">
        <v>20206</v>
      </c>
      <c r="R1932" s="49" t="s">
        <v>20207</v>
      </c>
      <c r="S1932" s="49" t="s">
        <v>20208</v>
      </c>
      <c r="T1932" s="49" t="s">
        <v>20209</v>
      </c>
      <c r="U1932" s="49" t="s">
        <v>20210</v>
      </c>
    </row>
    <row r="1933" spans="1:21" x14ac:dyDescent="0.2">
      <c r="A1933" s="49" t="s">
        <v>30</v>
      </c>
      <c r="D1933" s="49" t="s">
        <v>20211</v>
      </c>
      <c r="G1933" s="49" t="s">
        <v>20212</v>
      </c>
      <c r="H1933" s="49" t="s">
        <v>22576</v>
      </c>
      <c r="I1933" s="49" t="s">
        <v>22595</v>
      </c>
      <c r="J1933" s="49" t="s">
        <v>22728</v>
      </c>
      <c r="K1933" s="49" t="s">
        <v>22747</v>
      </c>
      <c r="L1933" s="49" t="s">
        <v>20213</v>
      </c>
      <c r="M1933" s="49" t="s">
        <v>20214</v>
      </c>
      <c r="N1933" s="49" t="s">
        <v>20215</v>
      </c>
      <c r="O1933" s="49" t="s">
        <v>22614</v>
      </c>
      <c r="P1933" s="49" t="s">
        <v>22633</v>
      </c>
      <c r="Q1933" s="49" t="s">
        <v>22652</v>
      </c>
      <c r="R1933" s="49" t="s">
        <v>22671</v>
      </c>
      <c r="S1933" s="49" t="s">
        <v>22690</v>
      </c>
      <c r="T1933" s="49" t="s">
        <v>22709</v>
      </c>
    </row>
    <row r="1934" spans="1:21" x14ac:dyDescent="0.2">
      <c r="A1934" s="49" t="s">
        <v>30</v>
      </c>
      <c r="D1934" s="49" t="s">
        <v>20216</v>
      </c>
      <c r="G1934" s="49" t="s">
        <v>20217</v>
      </c>
      <c r="H1934" s="49" t="s">
        <v>22577</v>
      </c>
      <c r="I1934" s="49" t="s">
        <v>22596</v>
      </c>
      <c r="J1934" s="49" t="s">
        <v>22729</v>
      </c>
      <c r="K1934" s="49" t="s">
        <v>22748</v>
      </c>
      <c r="L1934" s="49" t="s">
        <v>20218</v>
      </c>
      <c r="M1934" s="49" t="s">
        <v>20219</v>
      </c>
      <c r="N1934" s="49" t="s">
        <v>20220</v>
      </c>
      <c r="O1934" s="49" t="s">
        <v>22615</v>
      </c>
      <c r="P1934" s="49" t="s">
        <v>22634</v>
      </c>
      <c r="Q1934" s="49" t="s">
        <v>22653</v>
      </c>
      <c r="R1934" s="49" t="s">
        <v>22672</v>
      </c>
      <c r="S1934" s="49" t="s">
        <v>22691</v>
      </c>
      <c r="T1934" s="49" t="s">
        <v>22710</v>
      </c>
    </row>
    <row r="1935" spans="1:21" x14ac:dyDescent="0.2">
      <c r="A1935" s="49" t="s">
        <v>30</v>
      </c>
      <c r="D1935" s="49" t="s">
        <v>20221</v>
      </c>
      <c r="G1935" s="49" t="s">
        <v>20222</v>
      </c>
      <c r="H1935" s="49" t="s">
        <v>22578</v>
      </c>
      <c r="I1935" s="49" t="s">
        <v>22597</v>
      </c>
      <c r="J1935" s="49" t="s">
        <v>22730</v>
      </c>
      <c r="K1935" s="49" t="s">
        <v>22749</v>
      </c>
      <c r="L1935" s="49" t="s">
        <v>20223</v>
      </c>
      <c r="M1935" s="49" t="s">
        <v>20224</v>
      </c>
      <c r="N1935" s="49" t="s">
        <v>20225</v>
      </c>
      <c r="O1935" s="49" t="s">
        <v>22616</v>
      </c>
      <c r="P1935" s="49" t="s">
        <v>22635</v>
      </c>
      <c r="Q1935" s="49" t="s">
        <v>22654</v>
      </c>
      <c r="R1935" s="49" t="s">
        <v>22673</v>
      </c>
      <c r="S1935" s="49" t="s">
        <v>22692</v>
      </c>
      <c r="T1935" s="49" t="s">
        <v>22711</v>
      </c>
    </row>
    <row r="1936" spans="1:21" x14ac:dyDescent="0.2">
      <c r="A1936" s="49" t="s">
        <v>30</v>
      </c>
      <c r="D1936" s="49" t="s">
        <v>20226</v>
      </c>
      <c r="G1936" s="49" t="s">
        <v>20227</v>
      </c>
      <c r="H1936" s="49" t="s">
        <v>22579</v>
      </c>
      <c r="I1936" s="49" t="s">
        <v>22598</v>
      </c>
      <c r="J1936" s="49" t="s">
        <v>22731</v>
      </c>
      <c r="K1936" s="49" t="s">
        <v>22750</v>
      </c>
      <c r="L1936" s="49" t="s">
        <v>20228</v>
      </c>
      <c r="M1936" s="49" t="s">
        <v>20229</v>
      </c>
      <c r="N1936" s="49" t="s">
        <v>20230</v>
      </c>
      <c r="O1936" s="49" t="s">
        <v>22617</v>
      </c>
      <c r="P1936" s="49" t="s">
        <v>22636</v>
      </c>
      <c r="Q1936" s="49" t="s">
        <v>22655</v>
      </c>
      <c r="R1936" s="49" t="s">
        <v>22674</v>
      </c>
      <c r="S1936" s="49" t="s">
        <v>22693</v>
      </c>
      <c r="T1936" s="49" t="s">
        <v>22712</v>
      </c>
    </row>
    <row r="1937" spans="1:20" x14ac:dyDescent="0.2">
      <c r="A1937" s="49" t="s">
        <v>30</v>
      </c>
      <c r="D1937" s="49" t="s">
        <v>20231</v>
      </c>
      <c r="G1937" s="49" t="s">
        <v>20232</v>
      </c>
      <c r="H1937" s="49" t="s">
        <v>22580</v>
      </c>
      <c r="I1937" s="49" t="s">
        <v>22599</v>
      </c>
      <c r="J1937" s="49" t="s">
        <v>22732</v>
      </c>
      <c r="K1937" s="49" t="s">
        <v>22751</v>
      </c>
      <c r="L1937" s="49" t="s">
        <v>20233</v>
      </c>
      <c r="M1937" s="49" t="s">
        <v>20234</v>
      </c>
      <c r="N1937" s="49" t="s">
        <v>20235</v>
      </c>
      <c r="O1937" s="49" t="s">
        <v>22618</v>
      </c>
      <c r="P1937" s="49" t="s">
        <v>22637</v>
      </c>
      <c r="Q1937" s="49" t="s">
        <v>22656</v>
      </c>
      <c r="R1937" s="49" t="s">
        <v>22675</v>
      </c>
      <c r="S1937" s="49" t="s">
        <v>22694</v>
      </c>
      <c r="T1937" s="49" t="s">
        <v>22713</v>
      </c>
    </row>
    <row r="1938" spans="1:20" x14ac:dyDescent="0.2">
      <c r="A1938" s="49" t="s">
        <v>30</v>
      </c>
      <c r="D1938" s="49" t="s">
        <v>20236</v>
      </c>
      <c r="G1938" s="49" t="s">
        <v>20237</v>
      </c>
      <c r="H1938" s="49" t="s">
        <v>22581</v>
      </c>
      <c r="I1938" s="49" t="s">
        <v>22600</v>
      </c>
      <c r="J1938" s="49" t="s">
        <v>22733</v>
      </c>
      <c r="K1938" s="49" t="s">
        <v>22752</v>
      </c>
      <c r="L1938" s="49" t="s">
        <v>20238</v>
      </c>
      <c r="M1938" s="49" t="s">
        <v>20239</v>
      </c>
      <c r="N1938" s="49" t="s">
        <v>20240</v>
      </c>
      <c r="O1938" s="49" t="s">
        <v>22619</v>
      </c>
      <c r="P1938" s="49" t="s">
        <v>22638</v>
      </c>
      <c r="Q1938" s="49" t="s">
        <v>22657</v>
      </c>
      <c r="R1938" s="49" t="s">
        <v>22676</v>
      </c>
      <c r="S1938" s="49" t="s">
        <v>22695</v>
      </c>
      <c r="T1938" s="49" t="s">
        <v>22714</v>
      </c>
    </row>
    <row r="1939" spans="1:20" x14ac:dyDescent="0.2">
      <c r="A1939" s="49" t="s">
        <v>30</v>
      </c>
      <c r="D1939" s="49" t="s">
        <v>20241</v>
      </c>
      <c r="G1939" s="49" t="s">
        <v>20242</v>
      </c>
      <c r="H1939" s="49" t="s">
        <v>22582</v>
      </c>
      <c r="I1939" s="49" t="s">
        <v>22601</v>
      </c>
      <c r="J1939" s="49" t="s">
        <v>22734</v>
      </c>
      <c r="K1939" s="49" t="s">
        <v>22753</v>
      </c>
      <c r="L1939" s="49" t="s">
        <v>20243</v>
      </c>
      <c r="M1939" s="49" t="s">
        <v>20244</v>
      </c>
      <c r="N1939" s="49" t="s">
        <v>20245</v>
      </c>
      <c r="O1939" s="49" t="s">
        <v>22620</v>
      </c>
      <c r="P1939" s="49" t="s">
        <v>22639</v>
      </c>
      <c r="Q1939" s="49" t="s">
        <v>22658</v>
      </c>
      <c r="R1939" s="49" t="s">
        <v>22677</v>
      </c>
      <c r="S1939" s="49" t="s">
        <v>22696</v>
      </c>
      <c r="T1939" s="49" t="s">
        <v>22715</v>
      </c>
    </row>
    <row r="1940" spans="1:20" x14ac:dyDescent="0.2">
      <c r="A1940" s="49" t="s">
        <v>30</v>
      </c>
      <c r="D1940" s="49" t="s">
        <v>20246</v>
      </c>
      <c r="G1940" s="49" t="s">
        <v>20247</v>
      </c>
      <c r="H1940" s="49" t="s">
        <v>22583</v>
      </c>
      <c r="I1940" s="49" t="s">
        <v>22602</v>
      </c>
      <c r="J1940" s="49" t="s">
        <v>22735</v>
      </c>
      <c r="K1940" s="49" t="s">
        <v>22754</v>
      </c>
      <c r="L1940" s="49" t="s">
        <v>20248</v>
      </c>
      <c r="M1940" s="49" t="s">
        <v>20249</v>
      </c>
      <c r="N1940" s="49" t="s">
        <v>20250</v>
      </c>
      <c r="O1940" s="49" t="s">
        <v>22621</v>
      </c>
      <c r="P1940" s="49" t="s">
        <v>22640</v>
      </c>
      <c r="Q1940" s="49" t="s">
        <v>22659</v>
      </c>
      <c r="R1940" s="49" t="s">
        <v>22678</v>
      </c>
      <c r="S1940" s="49" t="s">
        <v>22697</v>
      </c>
      <c r="T1940" s="49" t="s">
        <v>22716</v>
      </c>
    </row>
    <row r="1941" spans="1:20" x14ac:dyDescent="0.2">
      <c r="A1941" s="49" t="s">
        <v>30</v>
      </c>
      <c r="D1941" s="49" t="s">
        <v>20251</v>
      </c>
      <c r="G1941" s="49" t="s">
        <v>20252</v>
      </c>
      <c r="H1941" s="49" t="s">
        <v>22584</v>
      </c>
      <c r="I1941" s="49" t="s">
        <v>22603</v>
      </c>
      <c r="J1941" s="49" t="s">
        <v>22736</v>
      </c>
      <c r="K1941" s="49" t="s">
        <v>22755</v>
      </c>
      <c r="L1941" s="49" t="s">
        <v>20253</v>
      </c>
      <c r="M1941" s="49" t="s">
        <v>20254</v>
      </c>
      <c r="N1941" s="49" t="s">
        <v>20255</v>
      </c>
      <c r="O1941" s="49" t="s">
        <v>22622</v>
      </c>
      <c r="P1941" s="49" t="s">
        <v>22641</v>
      </c>
      <c r="Q1941" s="49" t="s">
        <v>22660</v>
      </c>
      <c r="R1941" s="49" t="s">
        <v>22679</v>
      </c>
      <c r="S1941" s="49" t="s">
        <v>22698</v>
      </c>
      <c r="T1941" s="49" t="s">
        <v>22717</v>
      </c>
    </row>
    <row r="1942" spans="1:20" x14ac:dyDescent="0.2">
      <c r="A1942" s="49" t="s">
        <v>30</v>
      </c>
      <c r="D1942" s="49" t="s">
        <v>20256</v>
      </c>
      <c r="G1942" s="49" t="s">
        <v>20257</v>
      </c>
      <c r="H1942" s="49" t="s">
        <v>22585</v>
      </c>
      <c r="I1942" s="49" t="s">
        <v>22604</v>
      </c>
      <c r="J1942" s="49" t="s">
        <v>22737</v>
      </c>
      <c r="K1942" s="49" t="s">
        <v>22756</v>
      </c>
      <c r="L1942" s="49" t="s">
        <v>20258</v>
      </c>
      <c r="M1942" s="49" t="s">
        <v>20259</v>
      </c>
      <c r="N1942" s="49" t="s">
        <v>20260</v>
      </c>
      <c r="O1942" s="49" t="s">
        <v>22623</v>
      </c>
      <c r="P1942" s="49" t="s">
        <v>22642</v>
      </c>
      <c r="Q1942" s="49" t="s">
        <v>22661</v>
      </c>
      <c r="R1942" s="49" t="s">
        <v>22680</v>
      </c>
      <c r="S1942" s="49" t="s">
        <v>22699</v>
      </c>
      <c r="T1942" s="49" t="s">
        <v>22718</v>
      </c>
    </row>
    <row r="1943" spans="1:20" x14ac:dyDescent="0.2">
      <c r="A1943" s="49" t="s">
        <v>30</v>
      </c>
      <c r="D1943" s="49" t="s">
        <v>20261</v>
      </c>
      <c r="G1943" s="49" t="s">
        <v>20262</v>
      </c>
      <c r="H1943" s="49" t="s">
        <v>22586</v>
      </c>
      <c r="I1943" s="49" t="s">
        <v>22605</v>
      </c>
      <c r="J1943" s="49" t="s">
        <v>22738</v>
      </c>
      <c r="K1943" s="49" t="s">
        <v>22757</v>
      </c>
      <c r="L1943" s="49" t="s">
        <v>20263</v>
      </c>
      <c r="M1943" s="49" t="s">
        <v>20264</v>
      </c>
      <c r="N1943" s="49" t="s">
        <v>20265</v>
      </c>
      <c r="O1943" s="49" t="s">
        <v>22624</v>
      </c>
      <c r="P1943" s="49" t="s">
        <v>22643</v>
      </c>
      <c r="Q1943" s="49" t="s">
        <v>22662</v>
      </c>
      <c r="R1943" s="49" t="s">
        <v>22681</v>
      </c>
      <c r="S1943" s="49" t="s">
        <v>22700</v>
      </c>
      <c r="T1943" s="49" t="s">
        <v>22719</v>
      </c>
    </row>
    <row r="1944" spans="1:20" x14ac:dyDescent="0.2">
      <c r="A1944" s="49" t="s">
        <v>30</v>
      </c>
      <c r="D1944" s="49" t="s">
        <v>20266</v>
      </c>
      <c r="G1944" s="49" t="s">
        <v>20267</v>
      </c>
      <c r="H1944" s="49" t="s">
        <v>22587</v>
      </c>
      <c r="I1944" s="49" t="s">
        <v>22606</v>
      </c>
      <c r="J1944" s="49" t="s">
        <v>22739</v>
      </c>
      <c r="K1944" s="49" t="s">
        <v>22758</v>
      </c>
      <c r="L1944" s="49" t="s">
        <v>20268</v>
      </c>
      <c r="M1944" s="49" t="s">
        <v>20269</v>
      </c>
      <c r="N1944" s="49" t="s">
        <v>20270</v>
      </c>
      <c r="O1944" s="49" t="s">
        <v>22625</v>
      </c>
      <c r="P1944" s="49" t="s">
        <v>22644</v>
      </c>
      <c r="Q1944" s="49" t="s">
        <v>22663</v>
      </c>
      <c r="R1944" s="49" t="s">
        <v>22682</v>
      </c>
      <c r="S1944" s="49" t="s">
        <v>22701</v>
      </c>
      <c r="T1944" s="49" t="s">
        <v>22720</v>
      </c>
    </row>
    <row r="1945" spans="1:20" x14ac:dyDescent="0.2">
      <c r="A1945" s="49" t="s">
        <v>30</v>
      </c>
      <c r="D1945" s="49" t="s">
        <v>20271</v>
      </c>
      <c r="G1945" s="49" t="s">
        <v>20272</v>
      </c>
      <c r="H1945" s="49" t="s">
        <v>22588</v>
      </c>
      <c r="I1945" s="49" t="s">
        <v>22607</v>
      </c>
      <c r="J1945" s="49" t="s">
        <v>22740</v>
      </c>
      <c r="K1945" s="49" t="s">
        <v>22759</v>
      </c>
      <c r="L1945" s="49" t="s">
        <v>20273</v>
      </c>
      <c r="M1945" s="49" t="s">
        <v>20274</v>
      </c>
      <c r="N1945" s="49" t="s">
        <v>20275</v>
      </c>
      <c r="O1945" s="49" t="s">
        <v>22626</v>
      </c>
      <c r="P1945" s="49" t="s">
        <v>22645</v>
      </c>
      <c r="Q1945" s="49" t="s">
        <v>22664</v>
      </c>
      <c r="R1945" s="49" t="s">
        <v>22683</v>
      </c>
      <c r="S1945" s="49" t="s">
        <v>22702</v>
      </c>
      <c r="T1945" s="49" t="s">
        <v>22721</v>
      </c>
    </row>
    <row r="1946" spans="1:20" x14ac:dyDescent="0.2">
      <c r="A1946" s="49" t="s">
        <v>30</v>
      </c>
      <c r="D1946" s="49" t="s">
        <v>20276</v>
      </c>
      <c r="G1946" s="49" t="s">
        <v>20277</v>
      </c>
      <c r="H1946" s="49" t="s">
        <v>22589</v>
      </c>
      <c r="I1946" s="49" t="s">
        <v>22608</v>
      </c>
      <c r="J1946" s="49" t="s">
        <v>22741</v>
      </c>
      <c r="K1946" s="49" t="s">
        <v>22760</v>
      </c>
      <c r="L1946" s="49" t="s">
        <v>20278</v>
      </c>
      <c r="M1946" s="49" t="s">
        <v>20279</v>
      </c>
      <c r="N1946" s="49" t="s">
        <v>20280</v>
      </c>
      <c r="O1946" s="49" t="s">
        <v>22627</v>
      </c>
      <c r="P1946" s="49" t="s">
        <v>22646</v>
      </c>
      <c r="Q1946" s="49" t="s">
        <v>22665</v>
      </c>
      <c r="R1946" s="49" t="s">
        <v>22684</v>
      </c>
      <c r="S1946" s="49" t="s">
        <v>22703</v>
      </c>
      <c r="T1946" s="49" t="s">
        <v>22722</v>
      </c>
    </row>
    <row r="1947" spans="1:20" x14ac:dyDescent="0.2">
      <c r="A1947" s="49" t="s">
        <v>30</v>
      </c>
      <c r="D1947" s="49" t="s">
        <v>20281</v>
      </c>
      <c r="G1947" s="49" t="s">
        <v>20282</v>
      </c>
      <c r="H1947" s="49" t="s">
        <v>22590</v>
      </c>
      <c r="I1947" s="49" t="s">
        <v>22609</v>
      </c>
      <c r="J1947" s="49" t="s">
        <v>22742</v>
      </c>
      <c r="K1947" s="49" t="s">
        <v>22761</v>
      </c>
      <c r="L1947" s="49" t="s">
        <v>20283</v>
      </c>
      <c r="M1947" s="49" t="s">
        <v>20284</v>
      </c>
      <c r="N1947" s="49" t="s">
        <v>20285</v>
      </c>
      <c r="O1947" s="49" t="s">
        <v>22628</v>
      </c>
      <c r="P1947" s="49" t="s">
        <v>22647</v>
      </c>
      <c r="Q1947" s="49" t="s">
        <v>22666</v>
      </c>
      <c r="R1947" s="49" t="s">
        <v>22685</v>
      </c>
      <c r="S1947" s="49" t="s">
        <v>22704</v>
      </c>
      <c r="T1947" s="49" t="s">
        <v>22723</v>
      </c>
    </row>
    <row r="1948" spans="1:20" x14ac:dyDescent="0.2">
      <c r="A1948" s="49" t="s">
        <v>30</v>
      </c>
      <c r="D1948" s="49" t="s">
        <v>20286</v>
      </c>
      <c r="G1948" s="49" t="s">
        <v>20287</v>
      </c>
      <c r="H1948" s="49" t="s">
        <v>22591</v>
      </c>
      <c r="I1948" s="49" t="s">
        <v>22610</v>
      </c>
      <c r="J1948" s="49" t="s">
        <v>22743</v>
      </c>
      <c r="K1948" s="49" t="s">
        <v>22762</v>
      </c>
      <c r="L1948" s="49" t="s">
        <v>20288</v>
      </c>
      <c r="M1948" s="49" t="s">
        <v>20289</v>
      </c>
      <c r="N1948" s="49" t="s">
        <v>20290</v>
      </c>
      <c r="O1948" s="49" t="s">
        <v>22629</v>
      </c>
      <c r="P1948" s="49" t="s">
        <v>22648</v>
      </c>
      <c r="Q1948" s="49" t="s">
        <v>22667</v>
      </c>
      <c r="R1948" s="49" t="s">
        <v>22686</v>
      </c>
      <c r="S1948" s="49" t="s">
        <v>22705</v>
      </c>
      <c r="T1948" s="49" t="s">
        <v>22724</v>
      </c>
    </row>
    <row r="1949" spans="1:20" x14ac:dyDescent="0.2">
      <c r="A1949" s="49" t="s">
        <v>30</v>
      </c>
      <c r="D1949" s="49" t="s">
        <v>20291</v>
      </c>
      <c r="G1949" s="49" t="s">
        <v>20292</v>
      </c>
      <c r="H1949" s="49" t="s">
        <v>22592</v>
      </c>
      <c r="I1949" s="49" t="s">
        <v>22611</v>
      </c>
      <c r="J1949" s="49" t="s">
        <v>22744</v>
      </c>
      <c r="K1949" s="49" t="s">
        <v>22763</v>
      </c>
      <c r="L1949" s="49" t="s">
        <v>20293</v>
      </c>
      <c r="M1949" s="49" t="s">
        <v>20294</v>
      </c>
      <c r="N1949" s="49" t="s">
        <v>20295</v>
      </c>
      <c r="O1949" s="49" t="s">
        <v>22630</v>
      </c>
      <c r="P1949" s="49" t="s">
        <v>22649</v>
      </c>
      <c r="Q1949" s="49" t="s">
        <v>22668</v>
      </c>
      <c r="R1949" s="49" t="s">
        <v>22687</v>
      </c>
      <c r="S1949" s="49" t="s">
        <v>22706</v>
      </c>
      <c r="T1949" s="49" t="s">
        <v>22725</v>
      </c>
    </row>
    <row r="1950" spans="1:20" x14ac:dyDescent="0.2">
      <c r="A1950" s="49" t="s">
        <v>30</v>
      </c>
      <c r="D1950" s="49" t="s">
        <v>20296</v>
      </c>
      <c r="G1950" s="49" t="s">
        <v>20297</v>
      </c>
      <c r="H1950" s="49" t="s">
        <v>22593</v>
      </c>
      <c r="I1950" s="49" t="s">
        <v>22612</v>
      </c>
      <c r="J1950" s="49" t="s">
        <v>22745</v>
      </c>
      <c r="K1950" s="49" t="s">
        <v>22764</v>
      </c>
      <c r="L1950" s="49" t="s">
        <v>20298</v>
      </c>
      <c r="M1950" s="49" t="s">
        <v>20299</v>
      </c>
      <c r="N1950" s="49" t="s">
        <v>20300</v>
      </c>
      <c r="O1950" s="49" t="s">
        <v>22631</v>
      </c>
      <c r="P1950" s="49" t="s">
        <v>22650</v>
      </c>
      <c r="Q1950" s="49" t="s">
        <v>22669</v>
      </c>
      <c r="R1950" s="49" t="s">
        <v>22688</v>
      </c>
      <c r="S1950" s="49" t="s">
        <v>22707</v>
      </c>
      <c r="T1950" s="49" t="s">
        <v>22726</v>
      </c>
    </row>
    <row r="1951" spans="1:20" x14ac:dyDescent="0.2">
      <c r="A1951" s="49" t="s">
        <v>30</v>
      </c>
      <c r="D1951" s="49" t="s">
        <v>20301</v>
      </c>
      <c r="G1951" s="49" t="s">
        <v>20302</v>
      </c>
      <c r="H1951" s="49" t="s">
        <v>22594</v>
      </c>
      <c r="I1951" s="49" t="s">
        <v>22613</v>
      </c>
      <c r="J1951" s="49" t="s">
        <v>22746</v>
      </c>
      <c r="K1951" s="49" t="s">
        <v>22765</v>
      </c>
      <c r="L1951" s="49" t="s">
        <v>20303</v>
      </c>
      <c r="M1951" s="49" t="s">
        <v>20304</v>
      </c>
      <c r="N1951" s="49" t="s">
        <v>20305</v>
      </c>
      <c r="O1951" s="49" t="s">
        <v>22632</v>
      </c>
      <c r="P1951" s="49" t="s">
        <v>22651</v>
      </c>
      <c r="Q1951" s="49" t="s">
        <v>22670</v>
      </c>
      <c r="R1951" s="49" t="s">
        <v>22689</v>
      </c>
      <c r="S1951" s="49" t="s">
        <v>22708</v>
      </c>
      <c r="T1951" s="49" t="s">
        <v>22727</v>
      </c>
    </row>
    <row r="1952" spans="1:20" x14ac:dyDescent="0.2">
      <c r="A1952" s="49" t="s">
        <v>30</v>
      </c>
    </row>
    <row r="1953" spans="1:21" x14ac:dyDescent="0.2">
      <c r="A1953" s="49" t="s">
        <v>30</v>
      </c>
      <c r="E1953" s="49" t="s">
        <v>31</v>
      </c>
      <c r="F1953" s="49" t="s">
        <v>31</v>
      </c>
      <c r="G1953" s="49" t="s">
        <v>31</v>
      </c>
      <c r="J1953" s="49" t="s">
        <v>31</v>
      </c>
      <c r="K1953" s="49" t="s">
        <v>31</v>
      </c>
      <c r="L1953" s="49" t="s">
        <v>31</v>
      </c>
      <c r="M1953" s="49" t="s">
        <v>31</v>
      </c>
    </row>
    <row r="1954" spans="1:21" x14ac:dyDescent="0.2">
      <c r="A1954" s="49" t="s">
        <v>30</v>
      </c>
      <c r="D1954" s="49" t="s">
        <v>20306</v>
      </c>
      <c r="E1954" s="49" t="s">
        <v>8835</v>
      </c>
      <c r="F1954" s="49" t="s">
        <v>20307</v>
      </c>
      <c r="H1954" s="49" t="s">
        <v>20308</v>
      </c>
      <c r="O1954" s="49" t="s">
        <v>20309</v>
      </c>
      <c r="P1954" s="49" t="s">
        <v>20310</v>
      </c>
      <c r="Q1954" s="49" t="s">
        <v>20311</v>
      </c>
      <c r="R1954" s="49" t="s">
        <v>20312</v>
      </c>
      <c r="S1954" s="49" t="s">
        <v>20313</v>
      </c>
      <c r="T1954" s="49" t="s">
        <v>20314</v>
      </c>
      <c r="U1954" s="49" t="s">
        <v>20315</v>
      </c>
    </row>
    <row r="1955" spans="1:21" x14ac:dyDescent="0.2">
      <c r="A1955" s="49" t="s">
        <v>30</v>
      </c>
      <c r="D1955" s="49" t="s">
        <v>20316</v>
      </c>
      <c r="G1955" s="49" t="s">
        <v>20317</v>
      </c>
      <c r="H1955" s="49" t="s">
        <v>22316</v>
      </c>
      <c r="I1955" s="49" t="s">
        <v>22342</v>
      </c>
      <c r="J1955" s="49" t="s">
        <v>22524</v>
      </c>
      <c r="K1955" s="49" t="s">
        <v>22550</v>
      </c>
      <c r="L1955" s="49" t="s">
        <v>20318</v>
      </c>
      <c r="M1955" s="49" t="s">
        <v>20319</v>
      </c>
      <c r="N1955" s="49" t="s">
        <v>20320</v>
      </c>
      <c r="O1955" s="49" t="s">
        <v>22368</v>
      </c>
      <c r="P1955" s="49" t="s">
        <v>22394</v>
      </c>
      <c r="Q1955" s="49" t="s">
        <v>22420</v>
      </c>
      <c r="R1955" s="49" t="s">
        <v>22446</v>
      </c>
      <c r="S1955" s="49" t="s">
        <v>22472</v>
      </c>
      <c r="T1955" s="49" t="s">
        <v>22498</v>
      </c>
    </row>
    <row r="1956" spans="1:21" x14ac:dyDescent="0.2">
      <c r="A1956" s="49" t="s">
        <v>30</v>
      </c>
      <c r="D1956" s="49" t="s">
        <v>20321</v>
      </c>
      <c r="G1956" s="49" t="s">
        <v>20322</v>
      </c>
      <c r="H1956" s="49" t="s">
        <v>22317</v>
      </c>
      <c r="I1956" s="49" t="s">
        <v>22343</v>
      </c>
      <c r="J1956" s="49" t="s">
        <v>22525</v>
      </c>
      <c r="K1956" s="49" t="s">
        <v>22551</v>
      </c>
      <c r="L1956" s="49" t="s">
        <v>20323</v>
      </c>
      <c r="M1956" s="49" t="s">
        <v>20324</v>
      </c>
      <c r="N1956" s="49" t="s">
        <v>20325</v>
      </c>
      <c r="O1956" s="49" t="s">
        <v>22369</v>
      </c>
      <c r="P1956" s="49" t="s">
        <v>22395</v>
      </c>
      <c r="Q1956" s="49" t="s">
        <v>22421</v>
      </c>
      <c r="R1956" s="49" t="s">
        <v>22447</v>
      </c>
      <c r="S1956" s="49" t="s">
        <v>22473</v>
      </c>
      <c r="T1956" s="49" t="s">
        <v>22499</v>
      </c>
    </row>
    <row r="1957" spans="1:21" x14ac:dyDescent="0.2">
      <c r="A1957" s="49" t="s">
        <v>30</v>
      </c>
      <c r="D1957" s="49" t="s">
        <v>20326</v>
      </c>
      <c r="G1957" s="49" t="s">
        <v>20327</v>
      </c>
      <c r="H1957" s="49" t="s">
        <v>22318</v>
      </c>
      <c r="I1957" s="49" t="s">
        <v>22344</v>
      </c>
      <c r="J1957" s="49" t="s">
        <v>22526</v>
      </c>
      <c r="K1957" s="49" t="s">
        <v>22552</v>
      </c>
      <c r="L1957" s="49" t="s">
        <v>20328</v>
      </c>
      <c r="M1957" s="49" t="s">
        <v>20329</v>
      </c>
      <c r="N1957" s="49" t="s">
        <v>20330</v>
      </c>
      <c r="O1957" s="49" t="s">
        <v>22370</v>
      </c>
      <c r="P1957" s="49" t="s">
        <v>22396</v>
      </c>
      <c r="Q1957" s="49" t="s">
        <v>22422</v>
      </c>
      <c r="R1957" s="49" t="s">
        <v>22448</v>
      </c>
      <c r="S1957" s="49" t="s">
        <v>22474</v>
      </c>
      <c r="T1957" s="49" t="s">
        <v>22500</v>
      </c>
    </row>
    <row r="1958" spans="1:21" x14ac:dyDescent="0.2">
      <c r="A1958" s="49" t="s">
        <v>30</v>
      </c>
      <c r="D1958" s="49" t="s">
        <v>20331</v>
      </c>
      <c r="G1958" s="49" t="s">
        <v>20332</v>
      </c>
      <c r="H1958" s="49" t="s">
        <v>22319</v>
      </c>
      <c r="I1958" s="49" t="s">
        <v>22345</v>
      </c>
      <c r="J1958" s="49" t="s">
        <v>22527</v>
      </c>
      <c r="K1958" s="49" t="s">
        <v>22553</v>
      </c>
      <c r="L1958" s="49" t="s">
        <v>20333</v>
      </c>
      <c r="M1958" s="49" t="s">
        <v>20334</v>
      </c>
      <c r="N1958" s="49" t="s">
        <v>20335</v>
      </c>
      <c r="O1958" s="49" t="s">
        <v>22371</v>
      </c>
      <c r="P1958" s="49" t="s">
        <v>22397</v>
      </c>
      <c r="Q1958" s="49" t="s">
        <v>22423</v>
      </c>
      <c r="R1958" s="49" t="s">
        <v>22449</v>
      </c>
      <c r="S1958" s="49" t="s">
        <v>22475</v>
      </c>
      <c r="T1958" s="49" t="s">
        <v>22501</v>
      </c>
    </row>
    <row r="1959" spans="1:21" x14ac:dyDescent="0.2">
      <c r="A1959" s="49" t="s">
        <v>30</v>
      </c>
      <c r="D1959" s="49" t="s">
        <v>20336</v>
      </c>
      <c r="G1959" s="49" t="s">
        <v>20337</v>
      </c>
      <c r="H1959" s="49" t="s">
        <v>22320</v>
      </c>
      <c r="I1959" s="49" t="s">
        <v>22346</v>
      </c>
      <c r="J1959" s="49" t="s">
        <v>22528</v>
      </c>
      <c r="K1959" s="49" t="s">
        <v>22554</v>
      </c>
      <c r="L1959" s="49" t="s">
        <v>20338</v>
      </c>
      <c r="M1959" s="49" t="s">
        <v>20339</v>
      </c>
      <c r="N1959" s="49" t="s">
        <v>20340</v>
      </c>
      <c r="O1959" s="49" t="s">
        <v>22372</v>
      </c>
      <c r="P1959" s="49" t="s">
        <v>22398</v>
      </c>
      <c r="Q1959" s="49" t="s">
        <v>22424</v>
      </c>
      <c r="R1959" s="49" t="s">
        <v>22450</v>
      </c>
      <c r="S1959" s="49" t="s">
        <v>22476</v>
      </c>
      <c r="T1959" s="49" t="s">
        <v>22502</v>
      </c>
    </row>
    <row r="1960" spans="1:21" x14ac:dyDescent="0.2">
      <c r="A1960" s="49" t="s">
        <v>30</v>
      </c>
      <c r="D1960" s="49" t="s">
        <v>20341</v>
      </c>
      <c r="G1960" s="49" t="s">
        <v>20342</v>
      </c>
      <c r="H1960" s="49" t="s">
        <v>22321</v>
      </c>
      <c r="I1960" s="49" t="s">
        <v>22347</v>
      </c>
      <c r="J1960" s="49" t="s">
        <v>22529</v>
      </c>
      <c r="K1960" s="49" t="s">
        <v>22555</v>
      </c>
      <c r="L1960" s="49" t="s">
        <v>20343</v>
      </c>
      <c r="M1960" s="49" t="s">
        <v>20344</v>
      </c>
      <c r="N1960" s="49" t="s">
        <v>20345</v>
      </c>
      <c r="O1960" s="49" t="s">
        <v>22373</v>
      </c>
      <c r="P1960" s="49" t="s">
        <v>22399</v>
      </c>
      <c r="Q1960" s="49" t="s">
        <v>22425</v>
      </c>
      <c r="R1960" s="49" t="s">
        <v>22451</v>
      </c>
      <c r="S1960" s="49" t="s">
        <v>22477</v>
      </c>
      <c r="T1960" s="49" t="s">
        <v>22503</v>
      </c>
    </row>
    <row r="1961" spans="1:21" x14ac:dyDescent="0.2">
      <c r="A1961" s="49" t="s">
        <v>30</v>
      </c>
      <c r="D1961" s="49" t="s">
        <v>20346</v>
      </c>
      <c r="G1961" s="49" t="s">
        <v>20347</v>
      </c>
      <c r="H1961" s="49" t="s">
        <v>22322</v>
      </c>
      <c r="I1961" s="49" t="s">
        <v>22348</v>
      </c>
      <c r="J1961" s="49" t="s">
        <v>22530</v>
      </c>
      <c r="K1961" s="49" t="s">
        <v>22556</v>
      </c>
      <c r="L1961" s="49" t="s">
        <v>20348</v>
      </c>
      <c r="M1961" s="49" t="s">
        <v>20349</v>
      </c>
      <c r="N1961" s="49" t="s">
        <v>20350</v>
      </c>
      <c r="O1961" s="49" t="s">
        <v>22374</v>
      </c>
      <c r="P1961" s="49" t="s">
        <v>22400</v>
      </c>
      <c r="Q1961" s="49" t="s">
        <v>22426</v>
      </c>
      <c r="R1961" s="49" t="s">
        <v>22452</v>
      </c>
      <c r="S1961" s="49" t="s">
        <v>22478</v>
      </c>
      <c r="T1961" s="49" t="s">
        <v>22504</v>
      </c>
    </row>
    <row r="1962" spans="1:21" x14ac:dyDescent="0.2">
      <c r="A1962" s="49" t="s">
        <v>30</v>
      </c>
      <c r="D1962" s="49" t="s">
        <v>20351</v>
      </c>
      <c r="G1962" s="49" t="s">
        <v>20352</v>
      </c>
      <c r="H1962" s="49" t="s">
        <v>22323</v>
      </c>
      <c r="I1962" s="49" t="s">
        <v>22349</v>
      </c>
      <c r="J1962" s="49" t="s">
        <v>22531</v>
      </c>
      <c r="K1962" s="49" t="s">
        <v>22557</v>
      </c>
      <c r="L1962" s="49" t="s">
        <v>20353</v>
      </c>
      <c r="M1962" s="49" t="s">
        <v>20354</v>
      </c>
      <c r="N1962" s="49" t="s">
        <v>20355</v>
      </c>
      <c r="O1962" s="49" t="s">
        <v>22375</v>
      </c>
      <c r="P1962" s="49" t="s">
        <v>22401</v>
      </c>
      <c r="Q1962" s="49" t="s">
        <v>22427</v>
      </c>
      <c r="R1962" s="49" t="s">
        <v>22453</v>
      </c>
      <c r="S1962" s="49" t="s">
        <v>22479</v>
      </c>
      <c r="T1962" s="49" t="s">
        <v>22505</v>
      </c>
    </row>
    <row r="1963" spans="1:21" x14ac:dyDescent="0.2">
      <c r="A1963" s="49" t="s">
        <v>30</v>
      </c>
      <c r="D1963" s="49" t="s">
        <v>20356</v>
      </c>
      <c r="G1963" s="49" t="s">
        <v>20357</v>
      </c>
      <c r="H1963" s="49" t="s">
        <v>22324</v>
      </c>
      <c r="I1963" s="49" t="s">
        <v>22350</v>
      </c>
      <c r="J1963" s="49" t="s">
        <v>22532</v>
      </c>
      <c r="K1963" s="49" t="s">
        <v>22558</v>
      </c>
      <c r="L1963" s="49" t="s">
        <v>20358</v>
      </c>
      <c r="M1963" s="49" t="s">
        <v>20359</v>
      </c>
      <c r="N1963" s="49" t="s">
        <v>20360</v>
      </c>
      <c r="O1963" s="49" t="s">
        <v>22376</v>
      </c>
      <c r="P1963" s="49" t="s">
        <v>22402</v>
      </c>
      <c r="Q1963" s="49" t="s">
        <v>22428</v>
      </c>
      <c r="R1963" s="49" t="s">
        <v>22454</v>
      </c>
      <c r="S1963" s="49" t="s">
        <v>22480</v>
      </c>
      <c r="T1963" s="49" t="s">
        <v>22506</v>
      </c>
    </row>
    <row r="1964" spans="1:21" x14ac:dyDescent="0.2">
      <c r="A1964" s="49" t="s">
        <v>30</v>
      </c>
      <c r="D1964" s="49" t="s">
        <v>20361</v>
      </c>
      <c r="G1964" s="49" t="s">
        <v>20362</v>
      </c>
      <c r="H1964" s="49" t="s">
        <v>22325</v>
      </c>
      <c r="I1964" s="49" t="s">
        <v>22351</v>
      </c>
      <c r="J1964" s="49" t="s">
        <v>22533</v>
      </c>
      <c r="K1964" s="49" t="s">
        <v>22559</v>
      </c>
      <c r="L1964" s="49" t="s">
        <v>20363</v>
      </c>
      <c r="M1964" s="49" t="s">
        <v>20364</v>
      </c>
      <c r="N1964" s="49" t="s">
        <v>20365</v>
      </c>
      <c r="O1964" s="49" t="s">
        <v>22377</v>
      </c>
      <c r="P1964" s="49" t="s">
        <v>22403</v>
      </c>
      <c r="Q1964" s="49" t="s">
        <v>22429</v>
      </c>
      <c r="R1964" s="49" t="s">
        <v>22455</v>
      </c>
      <c r="S1964" s="49" t="s">
        <v>22481</v>
      </c>
      <c r="T1964" s="49" t="s">
        <v>22507</v>
      </c>
    </row>
    <row r="1965" spans="1:21" x14ac:dyDescent="0.2">
      <c r="A1965" s="49" t="s">
        <v>30</v>
      </c>
      <c r="D1965" s="49" t="s">
        <v>20366</v>
      </c>
      <c r="G1965" s="49" t="s">
        <v>20367</v>
      </c>
      <c r="H1965" s="49" t="s">
        <v>22326</v>
      </c>
      <c r="I1965" s="49" t="s">
        <v>22352</v>
      </c>
      <c r="J1965" s="49" t="s">
        <v>22534</v>
      </c>
      <c r="K1965" s="49" t="s">
        <v>22560</v>
      </c>
      <c r="L1965" s="49" t="s">
        <v>20368</v>
      </c>
      <c r="M1965" s="49" t="s">
        <v>20369</v>
      </c>
      <c r="N1965" s="49" t="s">
        <v>20370</v>
      </c>
      <c r="O1965" s="49" t="s">
        <v>22378</v>
      </c>
      <c r="P1965" s="49" t="s">
        <v>22404</v>
      </c>
      <c r="Q1965" s="49" t="s">
        <v>22430</v>
      </c>
      <c r="R1965" s="49" t="s">
        <v>22456</v>
      </c>
      <c r="S1965" s="49" t="s">
        <v>22482</v>
      </c>
      <c r="T1965" s="49" t="s">
        <v>22508</v>
      </c>
    </row>
    <row r="1966" spans="1:21" x14ac:dyDescent="0.2">
      <c r="A1966" s="49" t="s">
        <v>30</v>
      </c>
      <c r="D1966" s="49" t="s">
        <v>20371</v>
      </c>
      <c r="G1966" s="49" t="s">
        <v>20372</v>
      </c>
      <c r="H1966" s="49" t="s">
        <v>22327</v>
      </c>
      <c r="I1966" s="49" t="s">
        <v>22353</v>
      </c>
      <c r="J1966" s="49" t="s">
        <v>22535</v>
      </c>
      <c r="K1966" s="49" t="s">
        <v>22561</v>
      </c>
      <c r="L1966" s="49" t="s">
        <v>20373</v>
      </c>
      <c r="M1966" s="49" t="s">
        <v>20374</v>
      </c>
      <c r="N1966" s="49" t="s">
        <v>20375</v>
      </c>
      <c r="O1966" s="49" t="s">
        <v>22379</v>
      </c>
      <c r="P1966" s="49" t="s">
        <v>22405</v>
      </c>
      <c r="Q1966" s="49" t="s">
        <v>22431</v>
      </c>
      <c r="R1966" s="49" t="s">
        <v>22457</v>
      </c>
      <c r="S1966" s="49" t="s">
        <v>22483</v>
      </c>
      <c r="T1966" s="49" t="s">
        <v>22509</v>
      </c>
    </row>
    <row r="1967" spans="1:21" x14ac:dyDescent="0.2">
      <c r="A1967" s="49" t="s">
        <v>30</v>
      </c>
      <c r="D1967" s="49" t="s">
        <v>20376</v>
      </c>
      <c r="G1967" s="49" t="s">
        <v>20377</v>
      </c>
      <c r="H1967" s="49" t="s">
        <v>22328</v>
      </c>
      <c r="I1967" s="49" t="s">
        <v>22354</v>
      </c>
      <c r="J1967" s="49" t="s">
        <v>22536</v>
      </c>
      <c r="K1967" s="49" t="s">
        <v>22562</v>
      </c>
      <c r="L1967" s="49" t="s">
        <v>20378</v>
      </c>
      <c r="M1967" s="49" t="s">
        <v>20379</v>
      </c>
      <c r="N1967" s="49" t="s">
        <v>20380</v>
      </c>
      <c r="O1967" s="49" t="s">
        <v>22380</v>
      </c>
      <c r="P1967" s="49" t="s">
        <v>22406</v>
      </c>
      <c r="Q1967" s="49" t="s">
        <v>22432</v>
      </c>
      <c r="R1967" s="49" t="s">
        <v>22458</v>
      </c>
      <c r="S1967" s="49" t="s">
        <v>22484</v>
      </c>
      <c r="T1967" s="49" t="s">
        <v>22510</v>
      </c>
    </row>
    <row r="1968" spans="1:21" x14ac:dyDescent="0.2">
      <c r="A1968" s="49" t="s">
        <v>30</v>
      </c>
      <c r="D1968" s="49" t="s">
        <v>20381</v>
      </c>
      <c r="G1968" s="49" t="s">
        <v>20382</v>
      </c>
      <c r="H1968" s="49" t="s">
        <v>22329</v>
      </c>
      <c r="I1968" s="49" t="s">
        <v>22355</v>
      </c>
      <c r="J1968" s="49" t="s">
        <v>22537</v>
      </c>
      <c r="K1968" s="49" t="s">
        <v>22563</v>
      </c>
      <c r="L1968" s="49" t="s">
        <v>20383</v>
      </c>
      <c r="M1968" s="49" t="s">
        <v>20384</v>
      </c>
      <c r="N1968" s="49" t="s">
        <v>20385</v>
      </c>
      <c r="O1968" s="49" t="s">
        <v>22381</v>
      </c>
      <c r="P1968" s="49" t="s">
        <v>22407</v>
      </c>
      <c r="Q1968" s="49" t="s">
        <v>22433</v>
      </c>
      <c r="R1968" s="49" t="s">
        <v>22459</v>
      </c>
      <c r="S1968" s="49" t="s">
        <v>22485</v>
      </c>
      <c r="T1968" s="49" t="s">
        <v>22511</v>
      </c>
    </row>
    <row r="1969" spans="1:21" x14ac:dyDescent="0.2">
      <c r="A1969" s="49" t="s">
        <v>30</v>
      </c>
      <c r="D1969" s="49" t="s">
        <v>20386</v>
      </c>
      <c r="G1969" s="49" t="s">
        <v>20387</v>
      </c>
      <c r="H1969" s="49" t="s">
        <v>22330</v>
      </c>
      <c r="I1969" s="49" t="s">
        <v>22356</v>
      </c>
      <c r="J1969" s="49" t="s">
        <v>22538</v>
      </c>
      <c r="K1969" s="49" t="s">
        <v>22564</v>
      </c>
      <c r="L1969" s="49" t="s">
        <v>20388</v>
      </c>
      <c r="M1969" s="49" t="s">
        <v>20389</v>
      </c>
      <c r="N1969" s="49" t="s">
        <v>20390</v>
      </c>
      <c r="O1969" s="49" t="s">
        <v>22382</v>
      </c>
      <c r="P1969" s="49" t="s">
        <v>22408</v>
      </c>
      <c r="Q1969" s="49" t="s">
        <v>22434</v>
      </c>
      <c r="R1969" s="49" t="s">
        <v>22460</v>
      </c>
      <c r="S1969" s="49" t="s">
        <v>22486</v>
      </c>
      <c r="T1969" s="49" t="s">
        <v>22512</v>
      </c>
    </row>
    <row r="1970" spans="1:21" x14ac:dyDescent="0.2">
      <c r="A1970" s="49" t="s">
        <v>30</v>
      </c>
      <c r="D1970" s="49" t="s">
        <v>20391</v>
      </c>
      <c r="G1970" s="49" t="s">
        <v>20392</v>
      </c>
      <c r="H1970" s="49" t="s">
        <v>22331</v>
      </c>
      <c r="I1970" s="49" t="s">
        <v>22357</v>
      </c>
      <c r="J1970" s="49" t="s">
        <v>22539</v>
      </c>
      <c r="K1970" s="49" t="s">
        <v>22565</v>
      </c>
      <c r="L1970" s="49" t="s">
        <v>20393</v>
      </c>
      <c r="M1970" s="49" t="s">
        <v>20394</v>
      </c>
      <c r="N1970" s="49" t="s">
        <v>20395</v>
      </c>
      <c r="O1970" s="49" t="s">
        <v>22383</v>
      </c>
      <c r="P1970" s="49" t="s">
        <v>22409</v>
      </c>
      <c r="Q1970" s="49" t="s">
        <v>22435</v>
      </c>
      <c r="R1970" s="49" t="s">
        <v>22461</v>
      </c>
      <c r="S1970" s="49" t="s">
        <v>22487</v>
      </c>
      <c r="T1970" s="49" t="s">
        <v>22513</v>
      </c>
    </row>
    <row r="1971" spans="1:21" x14ac:dyDescent="0.2">
      <c r="A1971" s="49" t="s">
        <v>30</v>
      </c>
      <c r="D1971" s="49" t="s">
        <v>20396</v>
      </c>
      <c r="G1971" s="49" t="s">
        <v>20397</v>
      </c>
      <c r="H1971" s="49" t="s">
        <v>22332</v>
      </c>
      <c r="I1971" s="49" t="s">
        <v>22358</v>
      </c>
      <c r="J1971" s="49" t="s">
        <v>22540</v>
      </c>
      <c r="K1971" s="49" t="s">
        <v>22566</v>
      </c>
      <c r="L1971" s="49" t="s">
        <v>20398</v>
      </c>
      <c r="M1971" s="49" t="s">
        <v>20399</v>
      </c>
      <c r="N1971" s="49" t="s">
        <v>20400</v>
      </c>
      <c r="O1971" s="49" t="s">
        <v>22384</v>
      </c>
      <c r="P1971" s="49" t="s">
        <v>22410</v>
      </c>
      <c r="Q1971" s="49" t="s">
        <v>22436</v>
      </c>
      <c r="R1971" s="49" t="s">
        <v>22462</v>
      </c>
      <c r="S1971" s="49" t="s">
        <v>22488</v>
      </c>
      <c r="T1971" s="49" t="s">
        <v>22514</v>
      </c>
    </row>
    <row r="1972" spans="1:21" x14ac:dyDescent="0.2">
      <c r="A1972" s="49" t="s">
        <v>30</v>
      </c>
      <c r="D1972" s="49" t="s">
        <v>20401</v>
      </c>
      <c r="G1972" s="49" t="s">
        <v>20402</v>
      </c>
      <c r="H1972" s="49" t="s">
        <v>22333</v>
      </c>
      <c r="I1972" s="49" t="s">
        <v>22359</v>
      </c>
      <c r="J1972" s="49" t="s">
        <v>22541</v>
      </c>
      <c r="K1972" s="49" t="s">
        <v>22567</v>
      </c>
      <c r="L1972" s="49" t="s">
        <v>20403</v>
      </c>
      <c r="M1972" s="49" t="s">
        <v>20404</v>
      </c>
      <c r="N1972" s="49" t="s">
        <v>20405</v>
      </c>
      <c r="O1972" s="49" t="s">
        <v>22385</v>
      </c>
      <c r="P1972" s="49" t="s">
        <v>22411</v>
      </c>
      <c r="Q1972" s="49" t="s">
        <v>22437</v>
      </c>
      <c r="R1972" s="49" t="s">
        <v>22463</v>
      </c>
      <c r="S1972" s="49" t="s">
        <v>22489</v>
      </c>
      <c r="T1972" s="49" t="s">
        <v>22515</v>
      </c>
    </row>
    <row r="1973" spans="1:21" x14ac:dyDescent="0.2">
      <c r="A1973" s="49" t="s">
        <v>30</v>
      </c>
      <c r="D1973" s="49" t="s">
        <v>20406</v>
      </c>
      <c r="G1973" s="49" t="s">
        <v>20407</v>
      </c>
      <c r="H1973" s="49" t="s">
        <v>22334</v>
      </c>
      <c r="I1973" s="49" t="s">
        <v>22360</v>
      </c>
      <c r="J1973" s="49" t="s">
        <v>22542</v>
      </c>
      <c r="K1973" s="49" t="s">
        <v>22568</v>
      </c>
      <c r="L1973" s="49" t="s">
        <v>20408</v>
      </c>
      <c r="M1973" s="49" t="s">
        <v>20409</v>
      </c>
      <c r="N1973" s="49" t="s">
        <v>20410</v>
      </c>
      <c r="O1973" s="49" t="s">
        <v>22386</v>
      </c>
      <c r="P1973" s="49" t="s">
        <v>22412</v>
      </c>
      <c r="Q1973" s="49" t="s">
        <v>22438</v>
      </c>
      <c r="R1973" s="49" t="s">
        <v>22464</v>
      </c>
      <c r="S1973" s="49" t="s">
        <v>22490</v>
      </c>
      <c r="T1973" s="49" t="s">
        <v>22516</v>
      </c>
    </row>
    <row r="1974" spans="1:21" x14ac:dyDescent="0.2">
      <c r="A1974" s="49" t="s">
        <v>30</v>
      </c>
      <c r="D1974" s="49" t="s">
        <v>20411</v>
      </c>
      <c r="G1974" s="49" t="s">
        <v>20412</v>
      </c>
      <c r="H1974" s="49" t="s">
        <v>22335</v>
      </c>
      <c r="I1974" s="49" t="s">
        <v>22361</v>
      </c>
      <c r="J1974" s="49" t="s">
        <v>22543</v>
      </c>
      <c r="K1974" s="49" t="s">
        <v>22569</v>
      </c>
      <c r="L1974" s="49" t="s">
        <v>20413</v>
      </c>
      <c r="M1974" s="49" t="s">
        <v>20414</v>
      </c>
      <c r="N1974" s="49" t="s">
        <v>20415</v>
      </c>
      <c r="O1974" s="49" t="s">
        <v>22387</v>
      </c>
      <c r="P1974" s="49" t="s">
        <v>22413</v>
      </c>
      <c r="Q1974" s="49" t="s">
        <v>22439</v>
      </c>
      <c r="R1974" s="49" t="s">
        <v>22465</v>
      </c>
      <c r="S1974" s="49" t="s">
        <v>22491</v>
      </c>
      <c r="T1974" s="49" t="s">
        <v>22517</v>
      </c>
    </row>
    <row r="1975" spans="1:21" x14ac:dyDescent="0.2">
      <c r="A1975" s="49" t="s">
        <v>30</v>
      </c>
      <c r="D1975" s="49" t="s">
        <v>20416</v>
      </c>
      <c r="G1975" s="49" t="s">
        <v>20417</v>
      </c>
      <c r="H1975" s="49" t="s">
        <v>22336</v>
      </c>
      <c r="I1975" s="49" t="s">
        <v>22362</v>
      </c>
      <c r="J1975" s="49" t="s">
        <v>22544</v>
      </c>
      <c r="K1975" s="49" t="s">
        <v>22570</v>
      </c>
      <c r="L1975" s="49" t="s">
        <v>20418</v>
      </c>
      <c r="M1975" s="49" t="s">
        <v>20419</v>
      </c>
      <c r="N1975" s="49" t="s">
        <v>20420</v>
      </c>
      <c r="O1975" s="49" t="s">
        <v>22388</v>
      </c>
      <c r="P1975" s="49" t="s">
        <v>22414</v>
      </c>
      <c r="Q1975" s="49" t="s">
        <v>22440</v>
      </c>
      <c r="R1975" s="49" t="s">
        <v>22466</v>
      </c>
      <c r="S1975" s="49" t="s">
        <v>22492</v>
      </c>
      <c r="T1975" s="49" t="s">
        <v>22518</v>
      </c>
    </row>
    <row r="1976" spans="1:21" x14ac:dyDescent="0.2">
      <c r="A1976" s="49" t="s">
        <v>30</v>
      </c>
      <c r="D1976" s="49" t="s">
        <v>20421</v>
      </c>
      <c r="G1976" s="49" t="s">
        <v>20422</v>
      </c>
      <c r="H1976" s="49" t="s">
        <v>22337</v>
      </c>
      <c r="I1976" s="49" t="s">
        <v>22363</v>
      </c>
      <c r="J1976" s="49" t="s">
        <v>22545</v>
      </c>
      <c r="K1976" s="49" t="s">
        <v>22571</v>
      </c>
      <c r="L1976" s="49" t="s">
        <v>20423</v>
      </c>
      <c r="M1976" s="49" t="s">
        <v>20424</v>
      </c>
      <c r="N1976" s="49" t="s">
        <v>20425</v>
      </c>
      <c r="O1976" s="49" t="s">
        <v>22389</v>
      </c>
      <c r="P1976" s="49" t="s">
        <v>22415</v>
      </c>
      <c r="Q1976" s="49" t="s">
        <v>22441</v>
      </c>
      <c r="R1976" s="49" t="s">
        <v>22467</v>
      </c>
      <c r="S1976" s="49" t="s">
        <v>22493</v>
      </c>
      <c r="T1976" s="49" t="s">
        <v>22519</v>
      </c>
    </row>
    <row r="1977" spans="1:21" x14ac:dyDescent="0.2">
      <c r="A1977" s="49" t="s">
        <v>30</v>
      </c>
      <c r="D1977" s="49" t="s">
        <v>20426</v>
      </c>
      <c r="G1977" s="49" t="s">
        <v>20427</v>
      </c>
      <c r="H1977" s="49" t="s">
        <v>22338</v>
      </c>
      <c r="I1977" s="49" t="s">
        <v>22364</v>
      </c>
      <c r="J1977" s="49" t="s">
        <v>22546</v>
      </c>
      <c r="K1977" s="49" t="s">
        <v>22572</v>
      </c>
      <c r="L1977" s="49" t="s">
        <v>20428</v>
      </c>
      <c r="M1977" s="49" t="s">
        <v>20429</v>
      </c>
      <c r="N1977" s="49" t="s">
        <v>20430</v>
      </c>
      <c r="O1977" s="49" t="s">
        <v>22390</v>
      </c>
      <c r="P1977" s="49" t="s">
        <v>22416</v>
      </c>
      <c r="Q1977" s="49" t="s">
        <v>22442</v>
      </c>
      <c r="R1977" s="49" t="s">
        <v>22468</v>
      </c>
      <c r="S1977" s="49" t="s">
        <v>22494</v>
      </c>
      <c r="T1977" s="49" t="s">
        <v>22520</v>
      </c>
    </row>
    <row r="1978" spans="1:21" x14ac:dyDescent="0.2">
      <c r="A1978" s="49" t="s">
        <v>30</v>
      </c>
      <c r="D1978" s="49" t="s">
        <v>20431</v>
      </c>
      <c r="G1978" s="49" t="s">
        <v>20432</v>
      </c>
      <c r="H1978" s="49" t="s">
        <v>22339</v>
      </c>
      <c r="I1978" s="49" t="s">
        <v>22365</v>
      </c>
      <c r="J1978" s="49" t="s">
        <v>22547</v>
      </c>
      <c r="K1978" s="49" t="s">
        <v>22573</v>
      </c>
      <c r="L1978" s="49" t="s">
        <v>20433</v>
      </c>
      <c r="M1978" s="49" t="s">
        <v>20434</v>
      </c>
      <c r="N1978" s="49" t="s">
        <v>20435</v>
      </c>
      <c r="O1978" s="49" t="s">
        <v>22391</v>
      </c>
      <c r="P1978" s="49" t="s">
        <v>22417</v>
      </c>
      <c r="Q1978" s="49" t="s">
        <v>22443</v>
      </c>
      <c r="R1978" s="49" t="s">
        <v>22469</v>
      </c>
      <c r="S1978" s="49" t="s">
        <v>22495</v>
      </c>
      <c r="T1978" s="49" t="s">
        <v>22521</v>
      </c>
    </row>
    <row r="1979" spans="1:21" x14ac:dyDescent="0.2">
      <c r="A1979" s="49" t="s">
        <v>30</v>
      </c>
      <c r="D1979" s="49" t="s">
        <v>20436</v>
      </c>
      <c r="G1979" s="49" t="s">
        <v>20437</v>
      </c>
      <c r="H1979" s="49" t="s">
        <v>22340</v>
      </c>
      <c r="I1979" s="49" t="s">
        <v>22366</v>
      </c>
      <c r="J1979" s="49" t="s">
        <v>22548</v>
      </c>
      <c r="K1979" s="49" t="s">
        <v>22574</v>
      </c>
      <c r="L1979" s="49" t="s">
        <v>20438</v>
      </c>
      <c r="M1979" s="49" t="s">
        <v>20439</v>
      </c>
      <c r="N1979" s="49" t="s">
        <v>20440</v>
      </c>
      <c r="O1979" s="49" t="s">
        <v>22392</v>
      </c>
      <c r="P1979" s="49" t="s">
        <v>22418</v>
      </c>
      <c r="Q1979" s="49" t="s">
        <v>22444</v>
      </c>
      <c r="R1979" s="49" t="s">
        <v>22470</v>
      </c>
      <c r="S1979" s="49" t="s">
        <v>22496</v>
      </c>
      <c r="T1979" s="49" t="s">
        <v>22522</v>
      </c>
    </row>
    <row r="1980" spans="1:21" x14ac:dyDescent="0.2">
      <c r="A1980" s="49" t="s">
        <v>30</v>
      </c>
      <c r="D1980" s="49" t="s">
        <v>20441</v>
      </c>
      <c r="G1980" s="49" t="s">
        <v>20442</v>
      </c>
      <c r="H1980" s="49" t="s">
        <v>22341</v>
      </c>
      <c r="I1980" s="49" t="s">
        <v>22367</v>
      </c>
      <c r="J1980" s="49" t="s">
        <v>22549</v>
      </c>
      <c r="K1980" s="49" t="s">
        <v>22575</v>
      </c>
      <c r="L1980" s="49" t="s">
        <v>20443</v>
      </c>
      <c r="M1980" s="49" t="s">
        <v>20444</v>
      </c>
      <c r="N1980" s="49" t="s">
        <v>20445</v>
      </c>
      <c r="O1980" s="49" t="s">
        <v>22393</v>
      </c>
      <c r="P1980" s="49" t="s">
        <v>22419</v>
      </c>
      <c r="Q1980" s="49" t="s">
        <v>22445</v>
      </c>
      <c r="R1980" s="49" t="s">
        <v>22471</v>
      </c>
      <c r="S1980" s="49" t="s">
        <v>22497</v>
      </c>
      <c r="T1980" s="49" t="s">
        <v>22523</v>
      </c>
    </row>
    <row r="1981" spans="1:21" x14ac:dyDescent="0.2">
      <c r="A1981" s="49" t="s">
        <v>30</v>
      </c>
    </row>
    <row r="1982" spans="1:21" x14ac:dyDescent="0.2">
      <c r="A1982" s="49" t="s">
        <v>30</v>
      </c>
      <c r="E1982" s="49" t="s">
        <v>31</v>
      </c>
      <c r="F1982" s="49" t="s">
        <v>31</v>
      </c>
      <c r="G1982" s="49" t="s">
        <v>31</v>
      </c>
      <c r="J1982" s="49" t="s">
        <v>31</v>
      </c>
      <c r="K1982" s="49" t="s">
        <v>31</v>
      </c>
      <c r="L1982" s="49" t="s">
        <v>31</v>
      </c>
      <c r="M1982" s="49" t="s">
        <v>31</v>
      </c>
    </row>
    <row r="1983" spans="1:21" x14ac:dyDescent="0.2">
      <c r="A1983" s="49" t="s">
        <v>30</v>
      </c>
      <c r="D1983" s="49" t="s">
        <v>20446</v>
      </c>
      <c r="E1983" s="49" t="s">
        <v>8836</v>
      </c>
      <c r="F1983" s="49" t="s">
        <v>20447</v>
      </c>
      <c r="H1983" s="49" t="s">
        <v>20448</v>
      </c>
      <c r="O1983" s="49" t="s">
        <v>20449</v>
      </c>
      <c r="P1983" s="49" t="s">
        <v>20450</v>
      </c>
      <c r="Q1983" s="49" t="s">
        <v>20451</v>
      </c>
      <c r="R1983" s="49" t="s">
        <v>20452</v>
      </c>
      <c r="S1983" s="49" t="s">
        <v>20453</v>
      </c>
      <c r="T1983" s="49" t="s">
        <v>20454</v>
      </c>
      <c r="U1983" s="49" t="s">
        <v>20455</v>
      </c>
    </row>
    <row r="1984" spans="1:21" x14ac:dyDescent="0.2">
      <c r="A1984" s="49" t="s">
        <v>30</v>
      </c>
      <c r="D1984" s="49" t="s">
        <v>20456</v>
      </c>
      <c r="G1984" s="49" t="s">
        <v>20457</v>
      </c>
      <c r="H1984" s="49" t="s">
        <v>22046</v>
      </c>
      <c r="I1984" s="49" t="s">
        <v>22073</v>
      </c>
      <c r="J1984" s="49" t="s">
        <v>22262</v>
      </c>
      <c r="K1984" s="49" t="s">
        <v>22289</v>
      </c>
      <c r="L1984" s="49" t="s">
        <v>20458</v>
      </c>
      <c r="M1984" s="49" t="s">
        <v>20459</v>
      </c>
      <c r="N1984" s="49" t="s">
        <v>20460</v>
      </c>
      <c r="O1984" s="49" t="s">
        <v>22100</v>
      </c>
      <c r="P1984" s="49" t="s">
        <v>22127</v>
      </c>
      <c r="Q1984" s="49" t="s">
        <v>22154</v>
      </c>
      <c r="R1984" s="49" t="s">
        <v>22181</v>
      </c>
      <c r="S1984" s="49" t="s">
        <v>22208</v>
      </c>
      <c r="T1984" s="49" t="s">
        <v>22235</v>
      </c>
    </row>
    <row r="1985" spans="1:20" x14ac:dyDescent="0.2">
      <c r="A1985" s="49" t="s">
        <v>30</v>
      </c>
      <c r="D1985" s="49" t="s">
        <v>20461</v>
      </c>
      <c r="G1985" s="49" t="s">
        <v>20462</v>
      </c>
      <c r="H1985" s="49" t="s">
        <v>22047</v>
      </c>
      <c r="I1985" s="49" t="s">
        <v>22074</v>
      </c>
      <c r="J1985" s="49" t="s">
        <v>22263</v>
      </c>
      <c r="K1985" s="49" t="s">
        <v>22290</v>
      </c>
      <c r="L1985" s="49" t="s">
        <v>20463</v>
      </c>
      <c r="M1985" s="49" t="s">
        <v>20464</v>
      </c>
      <c r="N1985" s="49" t="s">
        <v>20465</v>
      </c>
      <c r="O1985" s="49" t="s">
        <v>22101</v>
      </c>
      <c r="P1985" s="49" t="s">
        <v>22128</v>
      </c>
      <c r="Q1985" s="49" t="s">
        <v>22155</v>
      </c>
      <c r="R1985" s="49" t="s">
        <v>22182</v>
      </c>
      <c r="S1985" s="49" t="s">
        <v>22209</v>
      </c>
      <c r="T1985" s="49" t="s">
        <v>22236</v>
      </c>
    </row>
    <row r="1986" spans="1:20" x14ac:dyDescent="0.2">
      <c r="A1986" s="49" t="s">
        <v>30</v>
      </c>
      <c r="D1986" s="49" t="s">
        <v>20466</v>
      </c>
      <c r="G1986" s="49" t="s">
        <v>20467</v>
      </c>
      <c r="H1986" s="49" t="s">
        <v>22048</v>
      </c>
      <c r="I1986" s="49" t="s">
        <v>22075</v>
      </c>
      <c r="J1986" s="49" t="s">
        <v>22264</v>
      </c>
      <c r="K1986" s="49" t="s">
        <v>22291</v>
      </c>
      <c r="L1986" s="49" t="s">
        <v>20468</v>
      </c>
      <c r="M1986" s="49" t="s">
        <v>20469</v>
      </c>
      <c r="N1986" s="49" t="s">
        <v>20470</v>
      </c>
      <c r="O1986" s="49" t="s">
        <v>22102</v>
      </c>
      <c r="P1986" s="49" t="s">
        <v>22129</v>
      </c>
      <c r="Q1986" s="49" t="s">
        <v>22156</v>
      </c>
      <c r="R1986" s="49" t="s">
        <v>22183</v>
      </c>
      <c r="S1986" s="49" t="s">
        <v>22210</v>
      </c>
      <c r="T1986" s="49" t="s">
        <v>22237</v>
      </c>
    </row>
    <row r="1987" spans="1:20" x14ac:dyDescent="0.2">
      <c r="A1987" s="49" t="s">
        <v>30</v>
      </c>
      <c r="D1987" s="49" t="s">
        <v>20471</v>
      </c>
      <c r="G1987" s="49" t="s">
        <v>20472</v>
      </c>
      <c r="H1987" s="49" t="s">
        <v>22049</v>
      </c>
      <c r="I1987" s="49" t="s">
        <v>22076</v>
      </c>
      <c r="J1987" s="49" t="s">
        <v>22265</v>
      </c>
      <c r="K1987" s="49" t="s">
        <v>22292</v>
      </c>
      <c r="L1987" s="49" t="s">
        <v>20473</v>
      </c>
      <c r="M1987" s="49" t="s">
        <v>20474</v>
      </c>
      <c r="N1987" s="49" t="s">
        <v>20475</v>
      </c>
      <c r="O1987" s="49" t="s">
        <v>22103</v>
      </c>
      <c r="P1987" s="49" t="s">
        <v>22130</v>
      </c>
      <c r="Q1987" s="49" t="s">
        <v>22157</v>
      </c>
      <c r="R1987" s="49" t="s">
        <v>22184</v>
      </c>
      <c r="S1987" s="49" t="s">
        <v>22211</v>
      </c>
      <c r="T1987" s="49" t="s">
        <v>22238</v>
      </c>
    </row>
    <row r="1988" spans="1:20" x14ac:dyDescent="0.2">
      <c r="A1988" s="49" t="s">
        <v>30</v>
      </c>
      <c r="D1988" s="49" t="s">
        <v>20476</v>
      </c>
      <c r="G1988" s="49" t="s">
        <v>20477</v>
      </c>
      <c r="H1988" s="49" t="s">
        <v>22050</v>
      </c>
      <c r="I1988" s="49" t="s">
        <v>22077</v>
      </c>
      <c r="J1988" s="49" t="s">
        <v>22266</v>
      </c>
      <c r="K1988" s="49" t="s">
        <v>22293</v>
      </c>
      <c r="L1988" s="49" t="s">
        <v>20478</v>
      </c>
      <c r="M1988" s="49" t="s">
        <v>20479</v>
      </c>
      <c r="N1988" s="49" t="s">
        <v>20480</v>
      </c>
      <c r="O1988" s="49" t="s">
        <v>22104</v>
      </c>
      <c r="P1988" s="49" t="s">
        <v>22131</v>
      </c>
      <c r="Q1988" s="49" t="s">
        <v>22158</v>
      </c>
      <c r="R1988" s="49" t="s">
        <v>22185</v>
      </c>
      <c r="S1988" s="49" t="s">
        <v>22212</v>
      </c>
      <c r="T1988" s="49" t="s">
        <v>22239</v>
      </c>
    </row>
    <row r="1989" spans="1:20" x14ac:dyDescent="0.2">
      <c r="A1989" s="49" t="s">
        <v>30</v>
      </c>
      <c r="D1989" s="49" t="s">
        <v>20481</v>
      </c>
      <c r="G1989" s="49" t="s">
        <v>20482</v>
      </c>
      <c r="H1989" s="49" t="s">
        <v>22051</v>
      </c>
      <c r="I1989" s="49" t="s">
        <v>22078</v>
      </c>
      <c r="J1989" s="49" t="s">
        <v>22267</v>
      </c>
      <c r="K1989" s="49" t="s">
        <v>22294</v>
      </c>
      <c r="L1989" s="49" t="s">
        <v>20483</v>
      </c>
      <c r="M1989" s="49" t="s">
        <v>20484</v>
      </c>
      <c r="N1989" s="49" t="s">
        <v>20485</v>
      </c>
      <c r="O1989" s="49" t="s">
        <v>22105</v>
      </c>
      <c r="P1989" s="49" t="s">
        <v>22132</v>
      </c>
      <c r="Q1989" s="49" t="s">
        <v>22159</v>
      </c>
      <c r="R1989" s="49" t="s">
        <v>22186</v>
      </c>
      <c r="S1989" s="49" t="s">
        <v>22213</v>
      </c>
      <c r="T1989" s="49" t="s">
        <v>22240</v>
      </c>
    </row>
    <row r="1990" spans="1:20" x14ac:dyDescent="0.2">
      <c r="A1990" s="49" t="s">
        <v>30</v>
      </c>
      <c r="D1990" s="49" t="s">
        <v>20486</v>
      </c>
      <c r="G1990" s="49" t="s">
        <v>20487</v>
      </c>
      <c r="H1990" s="49" t="s">
        <v>22052</v>
      </c>
      <c r="I1990" s="49" t="s">
        <v>22079</v>
      </c>
      <c r="J1990" s="49" t="s">
        <v>22268</v>
      </c>
      <c r="K1990" s="49" t="s">
        <v>22295</v>
      </c>
      <c r="L1990" s="49" t="s">
        <v>20488</v>
      </c>
      <c r="M1990" s="49" t="s">
        <v>20489</v>
      </c>
      <c r="N1990" s="49" t="s">
        <v>20490</v>
      </c>
      <c r="O1990" s="49" t="s">
        <v>22106</v>
      </c>
      <c r="P1990" s="49" t="s">
        <v>22133</v>
      </c>
      <c r="Q1990" s="49" t="s">
        <v>22160</v>
      </c>
      <c r="R1990" s="49" t="s">
        <v>22187</v>
      </c>
      <c r="S1990" s="49" t="s">
        <v>22214</v>
      </c>
      <c r="T1990" s="49" t="s">
        <v>22241</v>
      </c>
    </row>
    <row r="1991" spans="1:20" x14ac:dyDescent="0.2">
      <c r="A1991" s="49" t="s">
        <v>30</v>
      </c>
      <c r="D1991" s="49" t="s">
        <v>20491</v>
      </c>
      <c r="G1991" s="49" t="s">
        <v>20492</v>
      </c>
      <c r="H1991" s="49" t="s">
        <v>22053</v>
      </c>
      <c r="I1991" s="49" t="s">
        <v>22080</v>
      </c>
      <c r="J1991" s="49" t="s">
        <v>22269</v>
      </c>
      <c r="K1991" s="49" t="s">
        <v>22296</v>
      </c>
      <c r="L1991" s="49" t="s">
        <v>20493</v>
      </c>
      <c r="M1991" s="49" t="s">
        <v>20494</v>
      </c>
      <c r="N1991" s="49" t="s">
        <v>20495</v>
      </c>
      <c r="O1991" s="49" t="s">
        <v>22107</v>
      </c>
      <c r="P1991" s="49" t="s">
        <v>22134</v>
      </c>
      <c r="Q1991" s="49" t="s">
        <v>22161</v>
      </c>
      <c r="R1991" s="49" t="s">
        <v>22188</v>
      </c>
      <c r="S1991" s="49" t="s">
        <v>22215</v>
      </c>
      <c r="T1991" s="49" t="s">
        <v>22242</v>
      </c>
    </row>
    <row r="1992" spans="1:20" x14ac:dyDescent="0.2">
      <c r="A1992" s="49" t="s">
        <v>30</v>
      </c>
      <c r="D1992" s="49" t="s">
        <v>20496</v>
      </c>
      <c r="G1992" s="49" t="s">
        <v>20497</v>
      </c>
      <c r="H1992" s="49" t="s">
        <v>22054</v>
      </c>
      <c r="I1992" s="49" t="s">
        <v>22081</v>
      </c>
      <c r="J1992" s="49" t="s">
        <v>22270</v>
      </c>
      <c r="K1992" s="49" t="s">
        <v>22297</v>
      </c>
      <c r="L1992" s="49" t="s">
        <v>20498</v>
      </c>
      <c r="M1992" s="49" t="s">
        <v>20499</v>
      </c>
      <c r="N1992" s="49" t="s">
        <v>20500</v>
      </c>
      <c r="O1992" s="49" t="s">
        <v>22108</v>
      </c>
      <c r="P1992" s="49" t="s">
        <v>22135</v>
      </c>
      <c r="Q1992" s="49" t="s">
        <v>22162</v>
      </c>
      <c r="R1992" s="49" t="s">
        <v>22189</v>
      </c>
      <c r="S1992" s="49" t="s">
        <v>22216</v>
      </c>
      <c r="T1992" s="49" t="s">
        <v>22243</v>
      </c>
    </row>
    <row r="1993" spans="1:20" x14ac:dyDescent="0.2">
      <c r="A1993" s="49" t="s">
        <v>30</v>
      </c>
      <c r="D1993" s="49" t="s">
        <v>20501</v>
      </c>
      <c r="G1993" s="49" t="s">
        <v>20502</v>
      </c>
      <c r="H1993" s="49" t="s">
        <v>22055</v>
      </c>
      <c r="I1993" s="49" t="s">
        <v>22082</v>
      </c>
      <c r="J1993" s="49" t="s">
        <v>22271</v>
      </c>
      <c r="K1993" s="49" t="s">
        <v>22298</v>
      </c>
      <c r="L1993" s="49" t="s">
        <v>20503</v>
      </c>
      <c r="M1993" s="49" t="s">
        <v>20504</v>
      </c>
      <c r="N1993" s="49" t="s">
        <v>20505</v>
      </c>
      <c r="O1993" s="49" t="s">
        <v>22109</v>
      </c>
      <c r="P1993" s="49" t="s">
        <v>22136</v>
      </c>
      <c r="Q1993" s="49" t="s">
        <v>22163</v>
      </c>
      <c r="R1993" s="49" t="s">
        <v>22190</v>
      </c>
      <c r="S1993" s="49" t="s">
        <v>22217</v>
      </c>
      <c r="T1993" s="49" t="s">
        <v>22244</v>
      </c>
    </row>
    <row r="1994" spans="1:20" x14ac:dyDescent="0.2">
      <c r="A1994" s="49" t="s">
        <v>30</v>
      </c>
      <c r="D1994" s="49" t="s">
        <v>20506</v>
      </c>
      <c r="G1994" s="49" t="s">
        <v>20507</v>
      </c>
      <c r="H1994" s="49" t="s">
        <v>22056</v>
      </c>
      <c r="I1994" s="49" t="s">
        <v>22083</v>
      </c>
      <c r="J1994" s="49" t="s">
        <v>22272</v>
      </c>
      <c r="K1994" s="49" t="s">
        <v>22299</v>
      </c>
      <c r="L1994" s="49" t="s">
        <v>20508</v>
      </c>
      <c r="M1994" s="49" t="s">
        <v>20509</v>
      </c>
      <c r="N1994" s="49" t="s">
        <v>20510</v>
      </c>
      <c r="O1994" s="49" t="s">
        <v>22110</v>
      </c>
      <c r="P1994" s="49" t="s">
        <v>22137</v>
      </c>
      <c r="Q1994" s="49" t="s">
        <v>22164</v>
      </c>
      <c r="R1994" s="49" t="s">
        <v>22191</v>
      </c>
      <c r="S1994" s="49" t="s">
        <v>22218</v>
      </c>
      <c r="T1994" s="49" t="s">
        <v>22245</v>
      </c>
    </row>
    <row r="1995" spans="1:20" x14ac:dyDescent="0.2">
      <c r="A1995" s="49" t="s">
        <v>30</v>
      </c>
      <c r="D1995" s="49" t="s">
        <v>20511</v>
      </c>
      <c r="G1995" s="49" t="s">
        <v>20512</v>
      </c>
      <c r="H1995" s="49" t="s">
        <v>22057</v>
      </c>
      <c r="I1995" s="49" t="s">
        <v>22084</v>
      </c>
      <c r="J1995" s="49" t="s">
        <v>22273</v>
      </c>
      <c r="K1995" s="49" t="s">
        <v>22300</v>
      </c>
      <c r="L1995" s="49" t="s">
        <v>20513</v>
      </c>
      <c r="M1995" s="49" t="s">
        <v>20514</v>
      </c>
      <c r="N1995" s="49" t="s">
        <v>20515</v>
      </c>
      <c r="O1995" s="49" t="s">
        <v>22111</v>
      </c>
      <c r="P1995" s="49" t="s">
        <v>22138</v>
      </c>
      <c r="Q1995" s="49" t="s">
        <v>22165</v>
      </c>
      <c r="R1995" s="49" t="s">
        <v>22192</v>
      </c>
      <c r="S1995" s="49" t="s">
        <v>22219</v>
      </c>
      <c r="T1995" s="49" t="s">
        <v>22246</v>
      </c>
    </row>
    <row r="1996" spans="1:20" x14ac:dyDescent="0.2">
      <c r="A1996" s="49" t="s">
        <v>30</v>
      </c>
      <c r="D1996" s="49" t="s">
        <v>20516</v>
      </c>
      <c r="G1996" s="49" t="s">
        <v>20517</v>
      </c>
      <c r="H1996" s="49" t="s">
        <v>22058</v>
      </c>
      <c r="I1996" s="49" t="s">
        <v>22085</v>
      </c>
      <c r="J1996" s="49" t="s">
        <v>22274</v>
      </c>
      <c r="K1996" s="49" t="s">
        <v>22301</v>
      </c>
      <c r="L1996" s="49" t="s">
        <v>20518</v>
      </c>
      <c r="M1996" s="49" t="s">
        <v>20519</v>
      </c>
      <c r="N1996" s="49" t="s">
        <v>20520</v>
      </c>
      <c r="O1996" s="49" t="s">
        <v>22112</v>
      </c>
      <c r="P1996" s="49" t="s">
        <v>22139</v>
      </c>
      <c r="Q1996" s="49" t="s">
        <v>22166</v>
      </c>
      <c r="R1996" s="49" t="s">
        <v>22193</v>
      </c>
      <c r="S1996" s="49" t="s">
        <v>22220</v>
      </c>
      <c r="T1996" s="49" t="s">
        <v>22247</v>
      </c>
    </row>
    <row r="1997" spans="1:20" x14ac:dyDescent="0.2">
      <c r="A1997" s="49" t="s">
        <v>30</v>
      </c>
      <c r="D1997" s="49" t="s">
        <v>20521</v>
      </c>
      <c r="G1997" s="49" t="s">
        <v>20522</v>
      </c>
      <c r="H1997" s="49" t="s">
        <v>22059</v>
      </c>
      <c r="I1997" s="49" t="s">
        <v>22086</v>
      </c>
      <c r="J1997" s="49" t="s">
        <v>22275</v>
      </c>
      <c r="K1997" s="49" t="s">
        <v>22302</v>
      </c>
      <c r="L1997" s="49" t="s">
        <v>20523</v>
      </c>
      <c r="M1997" s="49" t="s">
        <v>20524</v>
      </c>
      <c r="N1997" s="49" t="s">
        <v>20525</v>
      </c>
      <c r="O1997" s="49" t="s">
        <v>22113</v>
      </c>
      <c r="P1997" s="49" t="s">
        <v>22140</v>
      </c>
      <c r="Q1997" s="49" t="s">
        <v>22167</v>
      </c>
      <c r="R1997" s="49" t="s">
        <v>22194</v>
      </c>
      <c r="S1997" s="49" t="s">
        <v>22221</v>
      </c>
      <c r="T1997" s="49" t="s">
        <v>22248</v>
      </c>
    </row>
    <row r="1998" spans="1:20" x14ac:dyDescent="0.2">
      <c r="A1998" s="49" t="s">
        <v>30</v>
      </c>
      <c r="D1998" s="49" t="s">
        <v>20526</v>
      </c>
      <c r="G1998" s="49" t="s">
        <v>20527</v>
      </c>
      <c r="H1998" s="49" t="s">
        <v>22060</v>
      </c>
      <c r="I1998" s="49" t="s">
        <v>22087</v>
      </c>
      <c r="J1998" s="49" t="s">
        <v>22276</v>
      </c>
      <c r="K1998" s="49" t="s">
        <v>22303</v>
      </c>
      <c r="L1998" s="49" t="s">
        <v>20528</v>
      </c>
      <c r="M1998" s="49" t="s">
        <v>20529</v>
      </c>
      <c r="N1998" s="49" t="s">
        <v>20530</v>
      </c>
      <c r="O1998" s="49" t="s">
        <v>22114</v>
      </c>
      <c r="P1998" s="49" t="s">
        <v>22141</v>
      </c>
      <c r="Q1998" s="49" t="s">
        <v>22168</v>
      </c>
      <c r="R1998" s="49" t="s">
        <v>22195</v>
      </c>
      <c r="S1998" s="49" t="s">
        <v>22222</v>
      </c>
      <c r="T1998" s="49" t="s">
        <v>22249</v>
      </c>
    </row>
    <row r="1999" spans="1:20" x14ac:dyDescent="0.2">
      <c r="A1999" s="49" t="s">
        <v>30</v>
      </c>
      <c r="D1999" s="49" t="s">
        <v>20531</v>
      </c>
      <c r="G1999" s="49" t="s">
        <v>20532</v>
      </c>
      <c r="H1999" s="49" t="s">
        <v>22061</v>
      </c>
      <c r="I1999" s="49" t="s">
        <v>22088</v>
      </c>
      <c r="J1999" s="49" t="s">
        <v>22277</v>
      </c>
      <c r="K1999" s="49" t="s">
        <v>22304</v>
      </c>
      <c r="L1999" s="49" t="s">
        <v>20533</v>
      </c>
      <c r="M1999" s="49" t="s">
        <v>20534</v>
      </c>
      <c r="N1999" s="49" t="s">
        <v>20535</v>
      </c>
      <c r="O1999" s="49" t="s">
        <v>22115</v>
      </c>
      <c r="P1999" s="49" t="s">
        <v>22142</v>
      </c>
      <c r="Q1999" s="49" t="s">
        <v>22169</v>
      </c>
      <c r="R1999" s="49" t="s">
        <v>22196</v>
      </c>
      <c r="S1999" s="49" t="s">
        <v>22223</v>
      </c>
      <c r="T1999" s="49" t="s">
        <v>22250</v>
      </c>
    </row>
    <row r="2000" spans="1:20" x14ac:dyDescent="0.2">
      <c r="A2000" s="49" t="s">
        <v>30</v>
      </c>
      <c r="D2000" s="49" t="s">
        <v>20536</v>
      </c>
      <c r="G2000" s="49" t="s">
        <v>20537</v>
      </c>
      <c r="H2000" s="49" t="s">
        <v>22062</v>
      </c>
      <c r="I2000" s="49" t="s">
        <v>22089</v>
      </c>
      <c r="J2000" s="49" t="s">
        <v>22278</v>
      </c>
      <c r="K2000" s="49" t="s">
        <v>22305</v>
      </c>
      <c r="L2000" s="49" t="s">
        <v>20538</v>
      </c>
      <c r="M2000" s="49" t="s">
        <v>20539</v>
      </c>
      <c r="N2000" s="49" t="s">
        <v>20540</v>
      </c>
      <c r="O2000" s="49" t="s">
        <v>22116</v>
      </c>
      <c r="P2000" s="49" t="s">
        <v>22143</v>
      </c>
      <c r="Q2000" s="49" t="s">
        <v>22170</v>
      </c>
      <c r="R2000" s="49" t="s">
        <v>22197</v>
      </c>
      <c r="S2000" s="49" t="s">
        <v>22224</v>
      </c>
      <c r="T2000" s="49" t="s">
        <v>22251</v>
      </c>
    </row>
    <row r="2001" spans="1:21" x14ac:dyDescent="0.2">
      <c r="A2001" s="49" t="s">
        <v>30</v>
      </c>
      <c r="D2001" s="49" t="s">
        <v>20541</v>
      </c>
      <c r="G2001" s="49" t="s">
        <v>20542</v>
      </c>
      <c r="H2001" s="49" t="s">
        <v>22063</v>
      </c>
      <c r="I2001" s="49" t="s">
        <v>22090</v>
      </c>
      <c r="J2001" s="49" t="s">
        <v>22279</v>
      </c>
      <c r="K2001" s="49" t="s">
        <v>22306</v>
      </c>
      <c r="L2001" s="49" t="s">
        <v>20543</v>
      </c>
      <c r="M2001" s="49" t="s">
        <v>20544</v>
      </c>
      <c r="N2001" s="49" t="s">
        <v>20545</v>
      </c>
      <c r="O2001" s="49" t="s">
        <v>22117</v>
      </c>
      <c r="P2001" s="49" t="s">
        <v>22144</v>
      </c>
      <c r="Q2001" s="49" t="s">
        <v>22171</v>
      </c>
      <c r="R2001" s="49" t="s">
        <v>22198</v>
      </c>
      <c r="S2001" s="49" t="s">
        <v>22225</v>
      </c>
      <c r="T2001" s="49" t="s">
        <v>22252</v>
      </c>
    </row>
    <row r="2002" spans="1:21" x14ac:dyDescent="0.2">
      <c r="A2002" s="49" t="s">
        <v>30</v>
      </c>
      <c r="D2002" s="49" t="s">
        <v>20546</v>
      </c>
      <c r="G2002" s="49" t="s">
        <v>20547</v>
      </c>
      <c r="H2002" s="49" t="s">
        <v>22064</v>
      </c>
      <c r="I2002" s="49" t="s">
        <v>22091</v>
      </c>
      <c r="J2002" s="49" t="s">
        <v>22280</v>
      </c>
      <c r="K2002" s="49" t="s">
        <v>22307</v>
      </c>
      <c r="L2002" s="49" t="s">
        <v>20548</v>
      </c>
      <c r="M2002" s="49" t="s">
        <v>20549</v>
      </c>
      <c r="N2002" s="49" t="s">
        <v>20550</v>
      </c>
      <c r="O2002" s="49" t="s">
        <v>22118</v>
      </c>
      <c r="P2002" s="49" t="s">
        <v>22145</v>
      </c>
      <c r="Q2002" s="49" t="s">
        <v>22172</v>
      </c>
      <c r="R2002" s="49" t="s">
        <v>22199</v>
      </c>
      <c r="S2002" s="49" t="s">
        <v>22226</v>
      </c>
      <c r="T2002" s="49" t="s">
        <v>22253</v>
      </c>
    </row>
    <row r="2003" spans="1:21" x14ac:dyDescent="0.2">
      <c r="A2003" s="49" t="s">
        <v>30</v>
      </c>
      <c r="D2003" s="49" t="s">
        <v>20551</v>
      </c>
      <c r="G2003" s="49" t="s">
        <v>20552</v>
      </c>
      <c r="H2003" s="49" t="s">
        <v>22065</v>
      </c>
      <c r="I2003" s="49" t="s">
        <v>22092</v>
      </c>
      <c r="J2003" s="49" t="s">
        <v>22281</v>
      </c>
      <c r="K2003" s="49" t="s">
        <v>22308</v>
      </c>
      <c r="L2003" s="49" t="s">
        <v>20553</v>
      </c>
      <c r="M2003" s="49" t="s">
        <v>20554</v>
      </c>
      <c r="N2003" s="49" t="s">
        <v>20555</v>
      </c>
      <c r="O2003" s="49" t="s">
        <v>22119</v>
      </c>
      <c r="P2003" s="49" t="s">
        <v>22146</v>
      </c>
      <c r="Q2003" s="49" t="s">
        <v>22173</v>
      </c>
      <c r="R2003" s="49" t="s">
        <v>22200</v>
      </c>
      <c r="S2003" s="49" t="s">
        <v>22227</v>
      </c>
      <c r="T2003" s="49" t="s">
        <v>22254</v>
      </c>
    </row>
    <row r="2004" spans="1:21" x14ac:dyDescent="0.2">
      <c r="A2004" s="49" t="s">
        <v>30</v>
      </c>
      <c r="D2004" s="49" t="s">
        <v>20556</v>
      </c>
      <c r="G2004" s="49" t="s">
        <v>20557</v>
      </c>
      <c r="H2004" s="49" t="s">
        <v>22066</v>
      </c>
      <c r="I2004" s="49" t="s">
        <v>22093</v>
      </c>
      <c r="J2004" s="49" t="s">
        <v>22282</v>
      </c>
      <c r="K2004" s="49" t="s">
        <v>22309</v>
      </c>
      <c r="L2004" s="49" t="s">
        <v>20558</v>
      </c>
      <c r="M2004" s="49" t="s">
        <v>20559</v>
      </c>
      <c r="N2004" s="49" t="s">
        <v>20560</v>
      </c>
      <c r="O2004" s="49" t="s">
        <v>22120</v>
      </c>
      <c r="P2004" s="49" t="s">
        <v>22147</v>
      </c>
      <c r="Q2004" s="49" t="s">
        <v>22174</v>
      </c>
      <c r="R2004" s="49" t="s">
        <v>22201</v>
      </c>
      <c r="S2004" s="49" t="s">
        <v>22228</v>
      </c>
      <c r="T2004" s="49" t="s">
        <v>22255</v>
      </c>
    </row>
    <row r="2005" spans="1:21" x14ac:dyDescent="0.2">
      <c r="A2005" s="49" t="s">
        <v>30</v>
      </c>
      <c r="D2005" s="49" t="s">
        <v>20561</v>
      </c>
      <c r="G2005" s="49" t="s">
        <v>20562</v>
      </c>
      <c r="H2005" s="49" t="s">
        <v>22067</v>
      </c>
      <c r="I2005" s="49" t="s">
        <v>22094</v>
      </c>
      <c r="J2005" s="49" t="s">
        <v>22283</v>
      </c>
      <c r="K2005" s="49" t="s">
        <v>22310</v>
      </c>
      <c r="L2005" s="49" t="s">
        <v>20563</v>
      </c>
      <c r="M2005" s="49" t="s">
        <v>20564</v>
      </c>
      <c r="N2005" s="49" t="s">
        <v>20565</v>
      </c>
      <c r="O2005" s="49" t="s">
        <v>22121</v>
      </c>
      <c r="P2005" s="49" t="s">
        <v>22148</v>
      </c>
      <c r="Q2005" s="49" t="s">
        <v>22175</v>
      </c>
      <c r="R2005" s="49" t="s">
        <v>22202</v>
      </c>
      <c r="S2005" s="49" t="s">
        <v>22229</v>
      </c>
      <c r="T2005" s="49" t="s">
        <v>22256</v>
      </c>
    </row>
    <row r="2006" spans="1:21" x14ac:dyDescent="0.2">
      <c r="A2006" s="49" t="s">
        <v>30</v>
      </c>
      <c r="D2006" s="49" t="s">
        <v>20566</v>
      </c>
      <c r="G2006" s="49" t="s">
        <v>20567</v>
      </c>
      <c r="H2006" s="49" t="s">
        <v>22068</v>
      </c>
      <c r="I2006" s="49" t="s">
        <v>22095</v>
      </c>
      <c r="J2006" s="49" t="s">
        <v>22284</v>
      </c>
      <c r="K2006" s="49" t="s">
        <v>22311</v>
      </c>
      <c r="L2006" s="49" t="s">
        <v>20568</v>
      </c>
      <c r="M2006" s="49" t="s">
        <v>20569</v>
      </c>
      <c r="N2006" s="49" t="s">
        <v>20570</v>
      </c>
      <c r="O2006" s="49" t="s">
        <v>22122</v>
      </c>
      <c r="P2006" s="49" t="s">
        <v>22149</v>
      </c>
      <c r="Q2006" s="49" t="s">
        <v>22176</v>
      </c>
      <c r="R2006" s="49" t="s">
        <v>22203</v>
      </c>
      <c r="S2006" s="49" t="s">
        <v>22230</v>
      </c>
      <c r="T2006" s="49" t="s">
        <v>22257</v>
      </c>
    </row>
    <row r="2007" spans="1:21" x14ac:dyDescent="0.2">
      <c r="A2007" s="49" t="s">
        <v>30</v>
      </c>
      <c r="D2007" s="49" t="s">
        <v>20571</v>
      </c>
      <c r="G2007" s="49" t="s">
        <v>20572</v>
      </c>
      <c r="H2007" s="49" t="s">
        <v>22069</v>
      </c>
      <c r="I2007" s="49" t="s">
        <v>22096</v>
      </c>
      <c r="J2007" s="49" t="s">
        <v>22285</v>
      </c>
      <c r="K2007" s="49" t="s">
        <v>22312</v>
      </c>
      <c r="L2007" s="49" t="s">
        <v>20573</v>
      </c>
      <c r="M2007" s="49" t="s">
        <v>20574</v>
      </c>
      <c r="N2007" s="49" t="s">
        <v>20575</v>
      </c>
      <c r="O2007" s="49" t="s">
        <v>22123</v>
      </c>
      <c r="P2007" s="49" t="s">
        <v>22150</v>
      </c>
      <c r="Q2007" s="49" t="s">
        <v>22177</v>
      </c>
      <c r="R2007" s="49" t="s">
        <v>22204</v>
      </c>
      <c r="S2007" s="49" t="s">
        <v>22231</v>
      </c>
      <c r="T2007" s="49" t="s">
        <v>22258</v>
      </c>
    </row>
    <row r="2008" spans="1:21" x14ac:dyDescent="0.2">
      <c r="A2008" s="49" t="s">
        <v>30</v>
      </c>
      <c r="D2008" s="49" t="s">
        <v>20576</v>
      </c>
      <c r="G2008" s="49" t="s">
        <v>20577</v>
      </c>
      <c r="H2008" s="49" t="s">
        <v>22070</v>
      </c>
      <c r="I2008" s="49" t="s">
        <v>22097</v>
      </c>
      <c r="J2008" s="49" t="s">
        <v>22286</v>
      </c>
      <c r="K2008" s="49" t="s">
        <v>22313</v>
      </c>
      <c r="L2008" s="49" t="s">
        <v>20578</v>
      </c>
      <c r="M2008" s="49" t="s">
        <v>20579</v>
      </c>
      <c r="N2008" s="49" t="s">
        <v>20580</v>
      </c>
      <c r="O2008" s="49" t="s">
        <v>22124</v>
      </c>
      <c r="P2008" s="49" t="s">
        <v>22151</v>
      </c>
      <c r="Q2008" s="49" t="s">
        <v>22178</v>
      </c>
      <c r="R2008" s="49" t="s">
        <v>22205</v>
      </c>
      <c r="S2008" s="49" t="s">
        <v>22232</v>
      </c>
      <c r="T2008" s="49" t="s">
        <v>22259</v>
      </c>
    </row>
    <row r="2009" spans="1:21" x14ac:dyDescent="0.2">
      <c r="A2009" s="49" t="s">
        <v>30</v>
      </c>
      <c r="D2009" s="49" t="s">
        <v>20581</v>
      </c>
      <c r="G2009" s="49" t="s">
        <v>20582</v>
      </c>
      <c r="H2009" s="49" t="s">
        <v>22071</v>
      </c>
      <c r="I2009" s="49" t="s">
        <v>22098</v>
      </c>
      <c r="J2009" s="49" t="s">
        <v>22287</v>
      </c>
      <c r="K2009" s="49" t="s">
        <v>22314</v>
      </c>
      <c r="L2009" s="49" t="s">
        <v>20583</v>
      </c>
      <c r="M2009" s="49" t="s">
        <v>20584</v>
      </c>
      <c r="N2009" s="49" t="s">
        <v>20585</v>
      </c>
      <c r="O2009" s="49" t="s">
        <v>22125</v>
      </c>
      <c r="P2009" s="49" t="s">
        <v>22152</v>
      </c>
      <c r="Q2009" s="49" t="s">
        <v>22179</v>
      </c>
      <c r="R2009" s="49" t="s">
        <v>22206</v>
      </c>
      <c r="S2009" s="49" t="s">
        <v>22233</v>
      </c>
      <c r="T2009" s="49" t="s">
        <v>22260</v>
      </c>
    </row>
    <row r="2010" spans="1:21" x14ac:dyDescent="0.2">
      <c r="A2010" s="49" t="s">
        <v>30</v>
      </c>
      <c r="D2010" s="49" t="s">
        <v>20586</v>
      </c>
      <c r="G2010" s="49" t="s">
        <v>20587</v>
      </c>
      <c r="H2010" s="49" t="s">
        <v>22072</v>
      </c>
      <c r="I2010" s="49" t="s">
        <v>22099</v>
      </c>
      <c r="J2010" s="49" t="s">
        <v>22288</v>
      </c>
      <c r="K2010" s="49" t="s">
        <v>22315</v>
      </c>
      <c r="L2010" s="49" t="s">
        <v>20588</v>
      </c>
      <c r="M2010" s="49" t="s">
        <v>20589</v>
      </c>
      <c r="N2010" s="49" t="s">
        <v>20590</v>
      </c>
      <c r="O2010" s="49" t="s">
        <v>22126</v>
      </c>
      <c r="P2010" s="49" t="s">
        <v>22153</v>
      </c>
      <c r="Q2010" s="49" t="s">
        <v>22180</v>
      </c>
      <c r="R2010" s="49" t="s">
        <v>22207</v>
      </c>
      <c r="S2010" s="49" t="s">
        <v>22234</v>
      </c>
      <c r="T2010" s="49" t="s">
        <v>22261</v>
      </c>
    </row>
    <row r="2011" spans="1:21" x14ac:dyDescent="0.2">
      <c r="A2011" s="49" t="s">
        <v>30</v>
      </c>
    </row>
    <row r="2012" spans="1:21" x14ac:dyDescent="0.2">
      <c r="A2012" s="49" t="s">
        <v>30</v>
      </c>
      <c r="E2012" s="49" t="s">
        <v>31</v>
      </c>
      <c r="F2012" s="49" t="s">
        <v>31</v>
      </c>
      <c r="G2012" s="49" t="s">
        <v>31</v>
      </c>
      <c r="J2012" s="49" t="s">
        <v>31</v>
      </c>
      <c r="K2012" s="49" t="s">
        <v>31</v>
      </c>
      <c r="L2012" s="49" t="s">
        <v>31</v>
      </c>
      <c r="M2012" s="49" t="s">
        <v>31</v>
      </c>
    </row>
    <row r="2013" spans="1:21" x14ac:dyDescent="0.2">
      <c r="A2013" s="49" t="s">
        <v>30</v>
      </c>
      <c r="D2013" s="49" t="s">
        <v>20591</v>
      </c>
      <c r="E2013" s="49" t="s">
        <v>8837</v>
      </c>
      <c r="F2013" s="49" t="s">
        <v>20592</v>
      </c>
      <c r="H2013" s="49" t="s">
        <v>20593</v>
      </c>
      <c r="O2013" s="49" t="s">
        <v>20594</v>
      </c>
      <c r="P2013" s="49" t="s">
        <v>20595</v>
      </c>
      <c r="Q2013" s="49" t="s">
        <v>20596</v>
      </c>
      <c r="R2013" s="49" t="s">
        <v>20597</v>
      </c>
      <c r="S2013" s="49" t="s">
        <v>20598</v>
      </c>
      <c r="T2013" s="49" t="s">
        <v>20599</v>
      </c>
      <c r="U2013" s="49" t="s">
        <v>20600</v>
      </c>
    </row>
    <row r="2014" spans="1:21" x14ac:dyDescent="0.2">
      <c r="A2014" s="49" t="s">
        <v>30</v>
      </c>
      <c r="D2014" s="49" t="s">
        <v>20601</v>
      </c>
      <c r="G2014" s="49" t="s">
        <v>20602</v>
      </c>
      <c r="H2014" s="49" t="s">
        <v>21976</v>
      </c>
      <c r="I2014" s="49" t="s">
        <v>21983</v>
      </c>
      <c r="J2014" s="49" t="s">
        <v>22032</v>
      </c>
      <c r="K2014" s="49" t="s">
        <v>22039</v>
      </c>
      <c r="L2014" s="49" t="s">
        <v>20603</v>
      </c>
      <c r="M2014" s="49" t="s">
        <v>20604</v>
      </c>
      <c r="N2014" s="49" t="s">
        <v>20605</v>
      </c>
      <c r="O2014" s="49" t="s">
        <v>21990</v>
      </c>
      <c r="P2014" s="49" t="s">
        <v>21997</v>
      </c>
      <c r="Q2014" s="49" t="s">
        <v>22004</v>
      </c>
      <c r="R2014" s="49" t="s">
        <v>22011</v>
      </c>
      <c r="S2014" s="49" t="s">
        <v>22018</v>
      </c>
      <c r="T2014" s="49" t="s">
        <v>22025</v>
      </c>
    </row>
    <row r="2015" spans="1:21" x14ac:dyDescent="0.2">
      <c r="A2015" s="49" t="s">
        <v>30</v>
      </c>
      <c r="D2015" s="49" t="s">
        <v>20606</v>
      </c>
      <c r="G2015" s="49" t="s">
        <v>20607</v>
      </c>
      <c r="H2015" s="49" t="s">
        <v>21977</v>
      </c>
      <c r="I2015" s="49" t="s">
        <v>21984</v>
      </c>
      <c r="J2015" s="49" t="s">
        <v>22033</v>
      </c>
      <c r="K2015" s="49" t="s">
        <v>22040</v>
      </c>
      <c r="L2015" s="49" t="s">
        <v>20608</v>
      </c>
      <c r="M2015" s="49" t="s">
        <v>20609</v>
      </c>
      <c r="N2015" s="49" t="s">
        <v>20610</v>
      </c>
      <c r="O2015" s="49" t="s">
        <v>21991</v>
      </c>
      <c r="P2015" s="49" t="s">
        <v>21998</v>
      </c>
      <c r="Q2015" s="49" t="s">
        <v>22005</v>
      </c>
      <c r="R2015" s="49" t="s">
        <v>22012</v>
      </c>
      <c r="S2015" s="49" t="s">
        <v>22019</v>
      </c>
      <c r="T2015" s="49" t="s">
        <v>22026</v>
      </c>
    </row>
    <row r="2016" spans="1:21" x14ac:dyDescent="0.2">
      <c r="A2016" s="49" t="s">
        <v>30</v>
      </c>
      <c r="D2016" s="49" t="s">
        <v>20611</v>
      </c>
      <c r="G2016" s="49" t="s">
        <v>20612</v>
      </c>
      <c r="H2016" s="49" t="s">
        <v>21978</v>
      </c>
      <c r="I2016" s="49" t="s">
        <v>21985</v>
      </c>
      <c r="J2016" s="49" t="s">
        <v>22034</v>
      </c>
      <c r="K2016" s="49" t="s">
        <v>22041</v>
      </c>
      <c r="L2016" s="49" t="s">
        <v>20613</v>
      </c>
      <c r="M2016" s="49" t="s">
        <v>20614</v>
      </c>
      <c r="N2016" s="49" t="s">
        <v>20615</v>
      </c>
      <c r="O2016" s="49" t="s">
        <v>21992</v>
      </c>
      <c r="P2016" s="49" t="s">
        <v>21999</v>
      </c>
      <c r="Q2016" s="49" t="s">
        <v>22006</v>
      </c>
      <c r="R2016" s="49" t="s">
        <v>22013</v>
      </c>
      <c r="S2016" s="49" t="s">
        <v>22020</v>
      </c>
      <c r="T2016" s="49" t="s">
        <v>22027</v>
      </c>
    </row>
    <row r="2017" spans="1:21" x14ac:dyDescent="0.2">
      <c r="A2017" s="49" t="s">
        <v>30</v>
      </c>
      <c r="D2017" s="49" t="s">
        <v>20616</v>
      </c>
      <c r="G2017" s="49" t="s">
        <v>20617</v>
      </c>
      <c r="H2017" s="49" t="s">
        <v>21979</v>
      </c>
      <c r="I2017" s="49" t="s">
        <v>21986</v>
      </c>
      <c r="J2017" s="49" t="s">
        <v>22035</v>
      </c>
      <c r="K2017" s="49" t="s">
        <v>22042</v>
      </c>
      <c r="L2017" s="49" t="s">
        <v>20618</v>
      </c>
      <c r="M2017" s="49" t="s">
        <v>20619</v>
      </c>
      <c r="N2017" s="49" t="s">
        <v>20620</v>
      </c>
      <c r="O2017" s="49" t="s">
        <v>21993</v>
      </c>
      <c r="P2017" s="49" t="s">
        <v>22000</v>
      </c>
      <c r="Q2017" s="49" t="s">
        <v>22007</v>
      </c>
      <c r="R2017" s="49" t="s">
        <v>22014</v>
      </c>
      <c r="S2017" s="49" t="s">
        <v>22021</v>
      </c>
      <c r="T2017" s="49" t="s">
        <v>22028</v>
      </c>
    </row>
    <row r="2018" spans="1:21" x14ac:dyDescent="0.2">
      <c r="A2018" s="49" t="s">
        <v>30</v>
      </c>
      <c r="D2018" s="49" t="s">
        <v>20621</v>
      </c>
      <c r="G2018" s="49" t="s">
        <v>20622</v>
      </c>
      <c r="H2018" s="49" t="s">
        <v>21980</v>
      </c>
      <c r="I2018" s="49" t="s">
        <v>21987</v>
      </c>
      <c r="J2018" s="49" t="s">
        <v>22036</v>
      </c>
      <c r="K2018" s="49" t="s">
        <v>22043</v>
      </c>
      <c r="L2018" s="49" t="s">
        <v>20623</v>
      </c>
      <c r="M2018" s="49" t="s">
        <v>20624</v>
      </c>
      <c r="N2018" s="49" t="s">
        <v>20625</v>
      </c>
      <c r="O2018" s="49" t="s">
        <v>21994</v>
      </c>
      <c r="P2018" s="49" t="s">
        <v>22001</v>
      </c>
      <c r="Q2018" s="49" t="s">
        <v>22008</v>
      </c>
      <c r="R2018" s="49" t="s">
        <v>22015</v>
      </c>
      <c r="S2018" s="49" t="s">
        <v>22022</v>
      </c>
      <c r="T2018" s="49" t="s">
        <v>22029</v>
      </c>
    </row>
    <row r="2019" spans="1:21" x14ac:dyDescent="0.2">
      <c r="A2019" s="49" t="s">
        <v>30</v>
      </c>
      <c r="D2019" s="49" t="s">
        <v>20626</v>
      </c>
      <c r="G2019" s="49" t="s">
        <v>20627</v>
      </c>
      <c r="H2019" s="49" t="s">
        <v>21981</v>
      </c>
      <c r="I2019" s="49" t="s">
        <v>21988</v>
      </c>
      <c r="J2019" s="49" t="s">
        <v>22037</v>
      </c>
      <c r="K2019" s="49" t="s">
        <v>22044</v>
      </c>
      <c r="L2019" s="49" t="s">
        <v>20628</v>
      </c>
      <c r="M2019" s="49" t="s">
        <v>20629</v>
      </c>
      <c r="N2019" s="49" t="s">
        <v>20630</v>
      </c>
      <c r="O2019" s="49" t="s">
        <v>21995</v>
      </c>
      <c r="P2019" s="49" t="s">
        <v>22002</v>
      </c>
      <c r="Q2019" s="49" t="s">
        <v>22009</v>
      </c>
      <c r="R2019" s="49" t="s">
        <v>22016</v>
      </c>
      <c r="S2019" s="49" t="s">
        <v>22023</v>
      </c>
      <c r="T2019" s="49" t="s">
        <v>22030</v>
      </c>
    </row>
    <row r="2020" spans="1:21" x14ac:dyDescent="0.2">
      <c r="A2020" s="49" t="s">
        <v>30</v>
      </c>
      <c r="D2020" s="49" t="s">
        <v>20631</v>
      </c>
      <c r="G2020" s="49" t="s">
        <v>20632</v>
      </c>
      <c r="H2020" s="49" t="s">
        <v>21982</v>
      </c>
      <c r="I2020" s="49" t="s">
        <v>21989</v>
      </c>
      <c r="J2020" s="49" t="s">
        <v>22038</v>
      </c>
      <c r="K2020" s="49" t="s">
        <v>22045</v>
      </c>
      <c r="L2020" s="49" t="s">
        <v>20633</v>
      </c>
      <c r="M2020" s="49" t="s">
        <v>20634</v>
      </c>
      <c r="N2020" s="49" t="s">
        <v>20635</v>
      </c>
      <c r="O2020" s="49" t="s">
        <v>21996</v>
      </c>
      <c r="P2020" s="49" t="s">
        <v>22003</v>
      </c>
      <c r="Q2020" s="49" t="s">
        <v>22010</v>
      </c>
      <c r="R2020" s="49" t="s">
        <v>22017</v>
      </c>
      <c r="S2020" s="49" t="s">
        <v>22024</v>
      </c>
      <c r="T2020" s="49" t="s">
        <v>22031</v>
      </c>
    </row>
    <row r="2021" spans="1:21" x14ac:dyDescent="0.2">
      <c r="A2021" s="49" t="s">
        <v>30</v>
      </c>
    </row>
    <row r="2022" spans="1:21" x14ac:dyDescent="0.2">
      <c r="A2022" s="49" t="s">
        <v>30</v>
      </c>
      <c r="E2022" s="49" t="s">
        <v>31</v>
      </c>
      <c r="F2022" s="49" t="s">
        <v>31</v>
      </c>
      <c r="G2022" s="49" t="s">
        <v>31</v>
      </c>
      <c r="J2022" s="49" t="s">
        <v>31</v>
      </c>
      <c r="K2022" s="49" t="s">
        <v>31</v>
      </c>
      <c r="L2022" s="49" t="s">
        <v>31</v>
      </c>
      <c r="M2022" s="49" t="s">
        <v>31</v>
      </c>
    </row>
    <row r="2023" spans="1:21" x14ac:dyDescent="0.2">
      <c r="A2023" s="49" t="s">
        <v>30</v>
      </c>
      <c r="D2023" s="49" t="s">
        <v>20636</v>
      </c>
      <c r="E2023" s="49" t="s">
        <v>8838</v>
      </c>
      <c r="F2023" s="49" t="s">
        <v>20637</v>
      </c>
      <c r="H2023" s="49" t="s">
        <v>20638</v>
      </c>
      <c r="O2023" s="49" t="s">
        <v>20639</v>
      </c>
      <c r="P2023" s="49" t="s">
        <v>20640</v>
      </c>
      <c r="Q2023" s="49" t="s">
        <v>20641</v>
      </c>
      <c r="R2023" s="49" t="s">
        <v>20642</v>
      </c>
      <c r="S2023" s="49" t="s">
        <v>20643</v>
      </c>
      <c r="T2023" s="49" t="s">
        <v>20644</v>
      </c>
      <c r="U2023" s="49" t="s">
        <v>20645</v>
      </c>
    </row>
    <row r="2024" spans="1:21" x14ac:dyDescent="0.2">
      <c r="A2024" s="49" t="s">
        <v>30</v>
      </c>
      <c r="D2024" s="49" t="s">
        <v>20646</v>
      </c>
      <c r="G2024" s="49" t="s">
        <v>20647</v>
      </c>
      <c r="H2024" s="49" t="s">
        <v>21876</v>
      </c>
      <c r="I2024" s="49" t="s">
        <v>21886</v>
      </c>
      <c r="J2024" s="49" t="s">
        <v>21956</v>
      </c>
      <c r="K2024" s="49" t="s">
        <v>21966</v>
      </c>
      <c r="L2024" s="49" t="s">
        <v>20648</v>
      </c>
      <c r="M2024" s="49" t="s">
        <v>20649</v>
      </c>
      <c r="N2024" s="49" t="s">
        <v>20650</v>
      </c>
      <c r="O2024" s="49" t="s">
        <v>21896</v>
      </c>
      <c r="P2024" s="49" t="s">
        <v>21906</v>
      </c>
      <c r="Q2024" s="49" t="s">
        <v>21916</v>
      </c>
      <c r="R2024" s="49" t="s">
        <v>21926</v>
      </c>
      <c r="S2024" s="49" t="s">
        <v>21936</v>
      </c>
      <c r="T2024" s="49" t="s">
        <v>21946</v>
      </c>
    </row>
    <row r="2025" spans="1:21" x14ac:dyDescent="0.2">
      <c r="A2025" s="49" t="s">
        <v>30</v>
      </c>
      <c r="D2025" s="49" t="s">
        <v>20651</v>
      </c>
      <c r="G2025" s="49" t="s">
        <v>20652</v>
      </c>
      <c r="H2025" s="49" t="s">
        <v>21877</v>
      </c>
      <c r="I2025" s="49" t="s">
        <v>21887</v>
      </c>
      <c r="J2025" s="49" t="s">
        <v>21957</v>
      </c>
      <c r="K2025" s="49" t="s">
        <v>21967</v>
      </c>
      <c r="L2025" s="49" t="s">
        <v>20653</v>
      </c>
      <c r="M2025" s="49" t="s">
        <v>20654</v>
      </c>
      <c r="N2025" s="49" t="s">
        <v>20655</v>
      </c>
      <c r="O2025" s="49" t="s">
        <v>21897</v>
      </c>
      <c r="P2025" s="49" t="s">
        <v>21907</v>
      </c>
      <c r="Q2025" s="49" t="s">
        <v>21917</v>
      </c>
      <c r="R2025" s="49" t="s">
        <v>21927</v>
      </c>
      <c r="S2025" s="49" t="s">
        <v>21937</v>
      </c>
      <c r="T2025" s="49" t="s">
        <v>21947</v>
      </c>
    </row>
    <row r="2026" spans="1:21" x14ac:dyDescent="0.2">
      <c r="A2026" s="49" t="s">
        <v>30</v>
      </c>
      <c r="D2026" s="49" t="s">
        <v>20656</v>
      </c>
      <c r="G2026" s="49" t="s">
        <v>20657</v>
      </c>
      <c r="H2026" s="49" t="s">
        <v>21878</v>
      </c>
      <c r="I2026" s="49" t="s">
        <v>21888</v>
      </c>
      <c r="J2026" s="49" t="s">
        <v>21958</v>
      </c>
      <c r="K2026" s="49" t="s">
        <v>21968</v>
      </c>
      <c r="L2026" s="49" t="s">
        <v>20658</v>
      </c>
      <c r="M2026" s="49" t="s">
        <v>20659</v>
      </c>
      <c r="N2026" s="49" t="s">
        <v>20660</v>
      </c>
      <c r="O2026" s="49" t="s">
        <v>21898</v>
      </c>
      <c r="P2026" s="49" t="s">
        <v>21908</v>
      </c>
      <c r="Q2026" s="49" t="s">
        <v>21918</v>
      </c>
      <c r="R2026" s="49" t="s">
        <v>21928</v>
      </c>
      <c r="S2026" s="49" t="s">
        <v>21938</v>
      </c>
      <c r="T2026" s="49" t="s">
        <v>21948</v>
      </c>
    </row>
    <row r="2027" spans="1:21" x14ac:dyDescent="0.2">
      <c r="A2027" s="49" t="s">
        <v>30</v>
      </c>
      <c r="D2027" s="49" t="s">
        <v>20661</v>
      </c>
      <c r="G2027" s="49" t="s">
        <v>20662</v>
      </c>
      <c r="H2027" s="49" t="s">
        <v>21879</v>
      </c>
      <c r="I2027" s="49" t="s">
        <v>21889</v>
      </c>
      <c r="J2027" s="49" t="s">
        <v>21959</v>
      </c>
      <c r="K2027" s="49" t="s">
        <v>21969</v>
      </c>
      <c r="L2027" s="49" t="s">
        <v>20663</v>
      </c>
      <c r="M2027" s="49" t="s">
        <v>20664</v>
      </c>
      <c r="N2027" s="49" t="s">
        <v>20665</v>
      </c>
      <c r="O2027" s="49" t="s">
        <v>21899</v>
      </c>
      <c r="P2027" s="49" t="s">
        <v>21909</v>
      </c>
      <c r="Q2027" s="49" t="s">
        <v>21919</v>
      </c>
      <c r="R2027" s="49" t="s">
        <v>21929</v>
      </c>
      <c r="S2027" s="49" t="s">
        <v>21939</v>
      </c>
      <c r="T2027" s="49" t="s">
        <v>21949</v>
      </c>
    </row>
    <row r="2028" spans="1:21" x14ac:dyDescent="0.2">
      <c r="A2028" s="49" t="s">
        <v>30</v>
      </c>
      <c r="D2028" s="49" t="s">
        <v>20666</v>
      </c>
      <c r="G2028" s="49" t="s">
        <v>20667</v>
      </c>
      <c r="H2028" s="49" t="s">
        <v>21880</v>
      </c>
      <c r="I2028" s="49" t="s">
        <v>21890</v>
      </c>
      <c r="J2028" s="49" t="s">
        <v>21960</v>
      </c>
      <c r="K2028" s="49" t="s">
        <v>21970</v>
      </c>
      <c r="L2028" s="49" t="s">
        <v>20668</v>
      </c>
      <c r="M2028" s="49" t="s">
        <v>20669</v>
      </c>
      <c r="N2028" s="49" t="s">
        <v>20670</v>
      </c>
      <c r="O2028" s="49" t="s">
        <v>21900</v>
      </c>
      <c r="P2028" s="49" t="s">
        <v>21910</v>
      </c>
      <c r="Q2028" s="49" t="s">
        <v>21920</v>
      </c>
      <c r="R2028" s="49" t="s">
        <v>21930</v>
      </c>
      <c r="S2028" s="49" t="s">
        <v>21940</v>
      </c>
      <c r="T2028" s="49" t="s">
        <v>21950</v>
      </c>
    </row>
    <row r="2029" spans="1:21" x14ac:dyDescent="0.2">
      <c r="A2029" s="49" t="s">
        <v>30</v>
      </c>
      <c r="D2029" s="49" t="s">
        <v>20671</v>
      </c>
      <c r="G2029" s="49" t="s">
        <v>20672</v>
      </c>
      <c r="H2029" s="49" t="s">
        <v>21881</v>
      </c>
      <c r="I2029" s="49" t="s">
        <v>21891</v>
      </c>
      <c r="J2029" s="49" t="s">
        <v>21961</v>
      </c>
      <c r="K2029" s="49" t="s">
        <v>21971</v>
      </c>
      <c r="L2029" s="49" t="s">
        <v>20673</v>
      </c>
      <c r="M2029" s="49" t="s">
        <v>20674</v>
      </c>
      <c r="N2029" s="49" t="s">
        <v>20675</v>
      </c>
      <c r="O2029" s="49" t="s">
        <v>21901</v>
      </c>
      <c r="P2029" s="49" t="s">
        <v>21911</v>
      </c>
      <c r="Q2029" s="49" t="s">
        <v>21921</v>
      </c>
      <c r="R2029" s="49" t="s">
        <v>21931</v>
      </c>
      <c r="S2029" s="49" t="s">
        <v>21941</v>
      </c>
      <c r="T2029" s="49" t="s">
        <v>21951</v>
      </c>
    </row>
    <row r="2030" spans="1:21" x14ac:dyDescent="0.2">
      <c r="A2030" s="49" t="s">
        <v>30</v>
      </c>
      <c r="D2030" s="49" t="s">
        <v>20676</v>
      </c>
      <c r="G2030" s="49" t="s">
        <v>20677</v>
      </c>
      <c r="H2030" s="49" t="s">
        <v>21882</v>
      </c>
      <c r="I2030" s="49" t="s">
        <v>21892</v>
      </c>
      <c r="J2030" s="49" t="s">
        <v>21962</v>
      </c>
      <c r="K2030" s="49" t="s">
        <v>21972</v>
      </c>
      <c r="L2030" s="49" t="s">
        <v>20678</v>
      </c>
      <c r="M2030" s="49" t="s">
        <v>20679</v>
      </c>
      <c r="N2030" s="49" t="s">
        <v>20680</v>
      </c>
      <c r="O2030" s="49" t="s">
        <v>21902</v>
      </c>
      <c r="P2030" s="49" t="s">
        <v>21912</v>
      </c>
      <c r="Q2030" s="49" t="s">
        <v>21922</v>
      </c>
      <c r="R2030" s="49" t="s">
        <v>21932</v>
      </c>
      <c r="S2030" s="49" t="s">
        <v>21942</v>
      </c>
      <c r="T2030" s="49" t="s">
        <v>21952</v>
      </c>
    </row>
    <row r="2031" spans="1:21" x14ac:dyDescent="0.2">
      <c r="A2031" s="49" t="s">
        <v>30</v>
      </c>
      <c r="D2031" s="49" t="s">
        <v>20681</v>
      </c>
      <c r="G2031" s="49" t="s">
        <v>20682</v>
      </c>
      <c r="H2031" s="49" t="s">
        <v>21883</v>
      </c>
      <c r="I2031" s="49" t="s">
        <v>21893</v>
      </c>
      <c r="J2031" s="49" t="s">
        <v>21963</v>
      </c>
      <c r="K2031" s="49" t="s">
        <v>21973</v>
      </c>
      <c r="L2031" s="49" t="s">
        <v>20683</v>
      </c>
      <c r="M2031" s="49" t="s">
        <v>20684</v>
      </c>
      <c r="N2031" s="49" t="s">
        <v>20685</v>
      </c>
      <c r="O2031" s="49" t="s">
        <v>21903</v>
      </c>
      <c r="P2031" s="49" t="s">
        <v>21913</v>
      </c>
      <c r="Q2031" s="49" t="s">
        <v>21923</v>
      </c>
      <c r="R2031" s="49" t="s">
        <v>21933</v>
      </c>
      <c r="S2031" s="49" t="s">
        <v>21943</v>
      </c>
      <c r="T2031" s="49" t="s">
        <v>21953</v>
      </c>
    </row>
    <row r="2032" spans="1:21" x14ac:dyDescent="0.2">
      <c r="A2032" s="49" t="s">
        <v>30</v>
      </c>
      <c r="D2032" s="49" t="s">
        <v>20686</v>
      </c>
      <c r="G2032" s="49" t="s">
        <v>20687</v>
      </c>
      <c r="H2032" s="49" t="s">
        <v>21884</v>
      </c>
      <c r="I2032" s="49" t="s">
        <v>21894</v>
      </c>
      <c r="J2032" s="49" t="s">
        <v>21964</v>
      </c>
      <c r="K2032" s="49" t="s">
        <v>21974</v>
      </c>
      <c r="L2032" s="49" t="s">
        <v>20688</v>
      </c>
      <c r="M2032" s="49" t="s">
        <v>20689</v>
      </c>
      <c r="N2032" s="49" t="s">
        <v>20690</v>
      </c>
      <c r="O2032" s="49" t="s">
        <v>21904</v>
      </c>
      <c r="P2032" s="49" t="s">
        <v>21914</v>
      </c>
      <c r="Q2032" s="49" t="s">
        <v>21924</v>
      </c>
      <c r="R2032" s="49" t="s">
        <v>21934</v>
      </c>
      <c r="S2032" s="49" t="s">
        <v>21944</v>
      </c>
      <c r="T2032" s="49" t="s">
        <v>21954</v>
      </c>
    </row>
    <row r="2033" spans="1:21" x14ac:dyDescent="0.2">
      <c r="A2033" s="49" t="s">
        <v>30</v>
      </c>
      <c r="D2033" s="49" t="s">
        <v>20691</v>
      </c>
      <c r="G2033" s="49" t="s">
        <v>20692</v>
      </c>
      <c r="H2033" s="49" t="s">
        <v>21885</v>
      </c>
      <c r="I2033" s="49" t="s">
        <v>21895</v>
      </c>
      <c r="J2033" s="49" t="s">
        <v>21965</v>
      </c>
      <c r="K2033" s="49" t="s">
        <v>21975</v>
      </c>
      <c r="L2033" s="49" t="s">
        <v>20693</v>
      </c>
      <c r="M2033" s="49" t="s">
        <v>20694</v>
      </c>
      <c r="N2033" s="49" t="s">
        <v>20695</v>
      </c>
      <c r="O2033" s="49" t="s">
        <v>21905</v>
      </c>
      <c r="P2033" s="49" t="s">
        <v>21915</v>
      </c>
      <c r="Q2033" s="49" t="s">
        <v>21925</v>
      </c>
      <c r="R2033" s="49" t="s">
        <v>21935</v>
      </c>
      <c r="S2033" s="49" t="s">
        <v>21945</v>
      </c>
      <c r="T2033" s="49" t="s">
        <v>21955</v>
      </c>
    </row>
    <row r="2034" spans="1:21" x14ac:dyDescent="0.2">
      <c r="A2034" s="49" t="s">
        <v>30</v>
      </c>
    </row>
    <row r="2035" spans="1:21" x14ac:dyDescent="0.2">
      <c r="A2035" s="49" t="s">
        <v>30</v>
      </c>
      <c r="E2035" s="49" t="s">
        <v>31</v>
      </c>
      <c r="F2035" s="49" t="s">
        <v>31</v>
      </c>
      <c r="G2035" s="49" t="s">
        <v>31</v>
      </c>
      <c r="J2035" s="49" t="s">
        <v>31</v>
      </c>
      <c r="K2035" s="49" t="s">
        <v>31</v>
      </c>
      <c r="L2035" s="49" t="s">
        <v>31</v>
      </c>
      <c r="M2035" s="49" t="s">
        <v>31</v>
      </c>
    </row>
    <row r="2036" spans="1:21" x14ac:dyDescent="0.2">
      <c r="A2036" s="49" t="s">
        <v>30</v>
      </c>
      <c r="D2036" s="49" t="s">
        <v>20696</v>
      </c>
      <c r="E2036" s="49" t="s">
        <v>8839</v>
      </c>
      <c r="F2036" s="49" t="s">
        <v>20697</v>
      </c>
      <c r="H2036" s="49" t="s">
        <v>20698</v>
      </c>
      <c r="O2036" s="49" t="s">
        <v>20699</v>
      </c>
      <c r="P2036" s="49" t="s">
        <v>20700</v>
      </c>
      <c r="Q2036" s="49" t="s">
        <v>20701</v>
      </c>
      <c r="R2036" s="49" t="s">
        <v>20702</v>
      </c>
      <c r="S2036" s="49" t="s">
        <v>20703</v>
      </c>
      <c r="T2036" s="49" t="s">
        <v>20704</v>
      </c>
      <c r="U2036" s="49" t="s">
        <v>20705</v>
      </c>
    </row>
    <row r="2037" spans="1:21" x14ac:dyDescent="0.2">
      <c r="A2037" s="49" t="s">
        <v>30</v>
      </c>
      <c r="D2037" s="49" t="s">
        <v>20706</v>
      </c>
      <c r="G2037" s="49" t="s">
        <v>20707</v>
      </c>
      <c r="H2037" s="49" t="s">
        <v>21806</v>
      </c>
      <c r="I2037" s="49" t="s">
        <v>21813</v>
      </c>
      <c r="J2037" s="49" t="s">
        <v>21862</v>
      </c>
      <c r="K2037" s="49" t="s">
        <v>21869</v>
      </c>
      <c r="L2037" s="49" t="s">
        <v>20708</v>
      </c>
      <c r="M2037" s="49" t="s">
        <v>20709</v>
      </c>
      <c r="N2037" s="49" t="s">
        <v>20710</v>
      </c>
      <c r="O2037" s="49" t="s">
        <v>21820</v>
      </c>
      <c r="P2037" s="49" t="s">
        <v>21827</v>
      </c>
      <c r="Q2037" s="49" t="s">
        <v>21834</v>
      </c>
      <c r="R2037" s="49" t="s">
        <v>21841</v>
      </c>
      <c r="S2037" s="49" t="s">
        <v>21848</v>
      </c>
      <c r="T2037" s="49" t="s">
        <v>21855</v>
      </c>
    </row>
    <row r="2038" spans="1:21" x14ac:dyDescent="0.2">
      <c r="A2038" s="49" t="s">
        <v>30</v>
      </c>
      <c r="D2038" s="49" t="s">
        <v>20711</v>
      </c>
      <c r="G2038" s="49" t="s">
        <v>20712</v>
      </c>
      <c r="H2038" s="49" t="s">
        <v>21807</v>
      </c>
      <c r="I2038" s="49" t="s">
        <v>21814</v>
      </c>
      <c r="J2038" s="49" t="s">
        <v>21863</v>
      </c>
      <c r="K2038" s="49" t="s">
        <v>21870</v>
      </c>
      <c r="L2038" s="49" t="s">
        <v>20713</v>
      </c>
      <c r="M2038" s="49" t="s">
        <v>20714</v>
      </c>
      <c r="N2038" s="49" t="s">
        <v>20715</v>
      </c>
      <c r="O2038" s="49" t="s">
        <v>21821</v>
      </c>
      <c r="P2038" s="49" t="s">
        <v>21828</v>
      </c>
      <c r="Q2038" s="49" t="s">
        <v>21835</v>
      </c>
      <c r="R2038" s="49" t="s">
        <v>21842</v>
      </c>
      <c r="S2038" s="49" t="s">
        <v>21849</v>
      </c>
      <c r="T2038" s="49" t="s">
        <v>21856</v>
      </c>
    </row>
    <row r="2039" spans="1:21" x14ac:dyDescent="0.2">
      <c r="A2039" s="49" t="s">
        <v>30</v>
      </c>
      <c r="D2039" s="49" t="s">
        <v>20716</v>
      </c>
      <c r="G2039" s="49" t="s">
        <v>20717</v>
      </c>
      <c r="H2039" s="49" t="s">
        <v>21808</v>
      </c>
      <c r="I2039" s="49" t="s">
        <v>21815</v>
      </c>
      <c r="J2039" s="49" t="s">
        <v>21864</v>
      </c>
      <c r="K2039" s="49" t="s">
        <v>21871</v>
      </c>
      <c r="L2039" s="49" t="s">
        <v>20718</v>
      </c>
      <c r="M2039" s="49" t="s">
        <v>20719</v>
      </c>
      <c r="N2039" s="49" t="s">
        <v>20720</v>
      </c>
      <c r="O2039" s="49" t="s">
        <v>21822</v>
      </c>
      <c r="P2039" s="49" t="s">
        <v>21829</v>
      </c>
      <c r="Q2039" s="49" t="s">
        <v>21836</v>
      </c>
      <c r="R2039" s="49" t="s">
        <v>21843</v>
      </c>
      <c r="S2039" s="49" t="s">
        <v>21850</v>
      </c>
      <c r="T2039" s="49" t="s">
        <v>21857</v>
      </c>
    </row>
    <row r="2040" spans="1:21" x14ac:dyDescent="0.2">
      <c r="A2040" s="49" t="s">
        <v>30</v>
      </c>
      <c r="D2040" s="49" t="s">
        <v>20721</v>
      </c>
      <c r="G2040" s="49" t="s">
        <v>20722</v>
      </c>
      <c r="H2040" s="49" t="s">
        <v>21809</v>
      </c>
      <c r="I2040" s="49" t="s">
        <v>21816</v>
      </c>
      <c r="J2040" s="49" t="s">
        <v>21865</v>
      </c>
      <c r="K2040" s="49" t="s">
        <v>21872</v>
      </c>
      <c r="L2040" s="49" t="s">
        <v>20723</v>
      </c>
      <c r="M2040" s="49" t="s">
        <v>20724</v>
      </c>
      <c r="N2040" s="49" t="s">
        <v>20725</v>
      </c>
      <c r="O2040" s="49" t="s">
        <v>21823</v>
      </c>
      <c r="P2040" s="49" t="s">
        <v>21830</v>
      </c>
      <c r="Q2040" s="49" t="s">
        <v>21837</v>
      </c>
      <c r="R2040" s="49" t="s">
        <v>21844</v>
      </c>
      <c r="S2040" s="49" t="s">
        <v>21851</v>
      </c>
      <c r="T2040" s="49" t="s">
        <v>21858</v>
      </c>
    </row>
    <row r="2041" spans="1:21" x14ac:dyDescent="0.2">
      <c r="A2041" s="49" t="s">
        <v>30</v>
      </c>
      <c r="D2041" s="49" t="s">
        <v>20726</v>
      </c>
      <c r="G2041" s="49" t="s">
        <v>20727</v>
      </c>
      <c r="H2041" s="49" t="s">
        <v>21810</v>
      </c>
      <c r="I2041" s="49" t="s">
        <v>21817</v>
      </c>
      <c r="J2041" s="49" t="s">
        <v>21866</v>
      </c>
      <c r="K2041" s="49" t="s">
        <v>21873</v>
      </c>
      <c r="L2041" s="49" t="s">
        <v>20728</v>
      </c>
      <c r="M2041" s="49" t="s">
        <v>20729</v>
      </c>
      <c r="N2041" s="49" t="s">
        <v>20730</v>
      </c>
      <c r="O2041" s="49" t="s">
        <v>21824</v>
      </c>
      <c r="P2041" s="49" t="s">
        <v>21831</v>
      </c>
      <c r="Q2041" s="49" t="s">
        <v>21838</v>
      </c>
      <c r="R2041" s="49" t="s">
        <v>21845</v>
      </c>
      <c r="S2041" s="49" t="s">
        <v>21852</v>
      </c>
      <c r="T2041" s="49" t="s">
        <v>21859</v>
      </c>
    </row>
    <row r="2042" spans="1:21" x14ac:dyDescent="0.2">
      <c r="A2042" s="49" t="s">
        <v>30</v>
      </c>
      <c r="D2042" s="49" t="s">
        <v>20731</v>
      </c>
      <c r="G2042" s="49" t="s">
        <v>20732</v>
      </c>
      <c r="H2042" s="49" t="s">
        <v>21811</v>
      </c>
      <c r="I2042" s="49" t="s">
        <v>21818</v>
      </c>
      <c r="J2042" s="49" t="s">
        <v>21867</v>
      </c>
      <c r="K2042" s="49" t="s">
        <v>21874</v>
      </c>
      <c r="L2042" s="49" t="s">
        <v>20733</v>
      </c>
      <c r="M2042" s="49" t="s">
        <v>20734</v>
      </c>
      <c r="N2042" s="49" t="s">
        <v>20735</v>
      </c>
      <c r="O2042" s="49" t="s">
        <v>21825</v>
      </c>
      <c r="P2042" s="49" t="s">
        <v>21832</v>
      </c>
      <c r="Q2042" s="49" t="s">
        <v>21839</v>
      </c>
      <c r="R2042" s="49" t="s">
        <v>21846</v>
      </c>
      <c r="S2042" s="49" t="s">
        <v>21853</v>
      </c>
      <c r="T2042" s="49" t="s">
        <v>21860</v>
      </c>
    </row>
    <row r="2043" spans="1:21" x14ac:dyDescent="0.2">
      <c r="A2043" s="49" t="s">
        <v>30</v>
      </c>
      <c r="D2043" s="49" t="s">
        <v>20736</v>
      </c>
      <c r="G2043" s="49" t="s">
        <v>20737</v>
      </c>
      <c r="H2043" s="49" t="s">
        <v>21812</v>
      </c>
      <c r="I2043" s="49" t="s">
        <v>21819</v>
      </c>
      <c r="J2043" s="49" t="s">
        <v>21868</v>
      </c>
      <c r="K2043" s="49" t="s">
        <v>21875</v>
      </c>
      <c r="L2043" s="49" t="s">
        <v>20738</v>
      </c>
      <c r="M2043" s="49" t="s">
        <v>20739</v>
      </c>
      <c r="N2043" s="49" t="s">
        <v>20740</v>
      </c>
      <c r="O2043" s="49" t="s">
        <v>21826</v>
      </c>
      <c r="P2043" s="49" t="s">
        <v>21833</v>
      </c>
      <c r="Q2043" s="49" t="s">
        <v>21840</v>
      </c>
      <c r="R2043" s="49" t="s">
        <v>21847</v>
      </c>
      <c r="S2043" s="49" t="s">
        <v>21854</v>
      </c>
      <c r="T2043" s="49" t="s">
        <v>21861</v>
      </c>
    </row>
    <row r="2044" spans="1:21" x14ac:dyDescent="0.2">
      <c r="A2044" s="49" t="s">
        <v>30</v>
      </c>
    </row>
    <row r="2045" spans="1:21" x14ac:dyDescent="0.2">
      <c r="A2045" s="49" t="s">
        <v>30</v>
      </c>
      <c r="E2045" s="49" t="s">
        <v>31</v>
      </c>
      <c r="F2045" s="49" t="s">
        <v>31</v>
      </c>
      <c r="G2045" s="49" t="s">
        <v>31</v>
      </c>
      <c r="J2045" s="49" t="s">
        <v>31</v>
      </c>
      <c r="K2045" s="49" t="s">
        <v>31</v>
      </c>
      <c r="L2045" s="49" t="s">
        <v>31</v>
      </c>
      <c r="M2045" s="49" t="s">
        <v>31</v>
      </c>
    </row>
    <row r="2046" spans="1:21" x14ac:dyDescent="0.2">
      <c r="A2046" s="49" t="s">
        <v>30</v>
      </c>
      <c r="D2046" s="49" t="s">
        <v>20741</v>
      </c>
      <c r="E2046" s="49" t="s">
        <v>8840</v>
      </c>
      <c r="F2046" s="49" t="s">
        <v>20742</v>
      </c>
      <c r="H2046" s="49" t="s">
        <v>20743</v>
      </c>
      <c r="O2046" s="49" t="s">
        <v>20744</v>
      </c>
      <c r="P2046" s="49" t="s">
        <v>20745</v>
      </c>
      <c r="Q2046" s="49" t="s">
        <v>20746</v>
      </c>
      <c r="R2046" s="49" t="s">
        <v>20747</v>
      </c>
      <c r="S2046" s="49" t="s">
        <v>20748</v>
      </c>
      <c r="T2046" s="49" t="s">
        <v>20749</v>
      </c>
      <c r="U2046" s="49" t="s">
        <v>20750</v>
      </c>
    </row>
    <row r="2047" spans="1:21" x14ac:dyDescent="0.2">
      <c r="A2047" s="49" t="s">
        <v>30</v>
      </c>
      <c r="D2047" s="49" t="s">
        <v>20751</v>
      </c>
      <c r="G2047" s="49" t="s">
        <v>20752</v>
      </c>
      <c r="H2047" s="49" t="s">
        <v>21646</v>
      </c>
      <c r="I2047" s="49" t="s">
        <v>21662</v>
      </c>
      <c r="J2047" s="49" t="s">
        <v>21774</v>
      </c>
      <c r="K2047" s="49" t="s">
        <v>21790</v>
      </c>
      <c r="L2047" s="49" t="s">
        <v>20753</v>
      </c>
      <c r="M2047" s="49" t="s">
        <v>20754</v>
      </c>
      <c r="N2047" s="49" t="s">
        <v>20755</v>
      </c>
      <c r="O2047" s="49" t="s">
        <v>21678</v>
      </c>
      <c r="P2047" s="49" t="s">
        <v>21694</v>
      </c>
      <c r="Q2047" s="49" t="s">
        <v>21710</v>
      </c>
      <c r="R2047" s="49" t="s">
        <v>21726</v>
      </c>
      <c r="S2047" s="49" t="s">
        <v>21742</v>
      </c>
      <c r="T2047" s="49" t="s">
        <v>21758</v>
      </c>
    </row>
    <row r="2048" spans="1:21" x14ac:dyDescent="0.2">
      <c r="A2048" s="49" t="s">
        <v>30</v>
      </c>
      <c r="D2048" s="49" t="s">
        <v>20756</v>
      </c>
      <c r="G2048" s="49" t="s">
        <v>20757</v>
      </c>
      <c r="H2048" s="49" t="s">
        <v>21647</v>
      </c>
      <c r="I2048" s="49" t="s">
        <v>21663</v>
      </c>
      <c r="J2048" s="49" t="s">
        <v>21775</v>
      </c>
      <c r="K2048" s="49" t="s">
        <v>21791</v>
      </c>
      <c r="L2048" s="49" t="s">
        <v>20758</v>
      </c>
      <c r="M2048" s="49" t="s">
        <v>20759</v>
      </c>
      <c r="N2048" s="49" t="s">
        <v>20760</v>
      </c>
      <c r="O2048" s="49" t="s">
        <v>21679</v>
      </c>
      <c r="P2048" s="49" t="s">
        <v>21695</v>
      </c>
      <c r="Q2048" s="49" t="s">
        <v>21711</v>
      </c>
      <c r="R2048" s="49" t="s">
        <v>21727</v>
      </c>
      <c r="S2048" s="49" t="s">
        <v>21743</v>
      </c>
      <c r="T2048" s="49" t="s">
        <v>21759</v>
      </c>
    </row>
    <row r="2049" spans="1:20" x14ac:dyDescent="0.2">
      <c r="A2049" s="49" t="s">
        <v>30</v>
      </c>
      <c r="D2049" s="49" t="s">
        <v>20761</v>
      </c>
      <c r="G2049" s="49" t="s">
        <v>20762</v>
      </c>
      <c r="H2049" s="49" t="s">
        <v>21648</v>
      </c>
      <c r="I2049" s="49" t="s">
        <v>21664</v>
      </c>
      <c r="J2049" s="49" t="s">
        <v>21776</v>
      </c>
      <c r="K2049" s="49" t="s">
        <v>21792</v>
      </c>
      <c r="L2049" s="49" t="s">
        <v>20763</v>
      </c>
      <c r="M2049" s="49" t="s">
        <v>20764</v>
      </c>
      <c r="N2049" s="49" t="s">
        <v>20765</v>
      </c>
      <c r="O2049" s="49" t="s">
        <v>21680</v>
      </c>
      <c r="P2049" s="49" t="s">
        <v>21696</v>
      </c>
      <c r="Q2049" s="49" t="s">
        <v>21712</v>
      </c>
      <c r="R2049" s="49" t="s">
        <v>21728</v>
      </c>
      <c r="S2049" s="49" t="s">
        <v>21744</v>
      </c>
      <c r="T2049" s="49" t="s">
        <v>21760</v>
      </c>
    </row>
    <row r="2050" spans="1:20" x14ac:dyDescent="0.2">
      <c r="A2050" s="49" t="s">
        <v>30</v>
      </c>
      <c r="D2050" s="49" t="s">
        <v>20766</v>
      </c>
      <c r="G2050" s="49" t="s">
        <v>20767</v>
      </c>
      <c r="H2050" s="49" t="s">
        <v>21649</v>
      </c>
      <c r="I2050" s="49" t="s">
        <v>21665</v>
      </c>
      <c r="J2050" s="49" t="s">
        <v>21777</v>
      </c>
      <c r="K2050" s="49" t="s">
        <v>21793</v>
      </c>
      <c r="L2050" s="49" t="s">
        <v>20768</v>
      </c>
      <c r="M2050" s="49" t="s">
        <v>20769</v>
      </c>
      <c r="N2050" s="49" t="s">
        <v>20770</v>
      </c>
      <c r="O2050" s="49" t="s">
        <v>21681</v>
      </c>
      <c r="P2050" s="49" t="s">
        <v>21697</v>
      </c>
      <c r="Q2050" s="49" t="s">
        <v>21713</v>
      </c>
      <c r="R2050" s="49" t="s">
        <v>21729</v>
      </c>
      <c r="S2050" s="49" t="s">
        <v>21745</v>
      </c>
      <c r="T2050" s="49" t="s">
        <v>21761</v>
      </c>
    </row>
    <row r="2051" spans="1:20" x14ac:dyDescent="0.2">
      <c r="A2051" s="49" t="s">
        <v>30</v>
      </c>
      <c r="D2051" s="49" t="s">
        <v>20771</v>
      </c>
      <c r="G2051" s="49" t="s">
        <v>20772</v>
      </c>
      <c r="H2051" s="49" t="s">
        <v>21650</v>
      </c>
      <c r="I2051" s="49" t="s">
        <v>21666</v>
      </c>
      <c r="J2051" s="49" t="s">
        <v>21778</v>
      </c>
      <c r="K2051" s="49" t="s">
        <v>21794</v>
      </c>
      <c r="L2051" s="49" t="s">
        <v>20773</v>
      </c>
      <c r="M2051" s="49" t="s">
        <v>20774</v>
      </c>
      <c r="N2051" s="49" t="s">
        <v>20775</v>
      </c>
      <c r="O2051" s="49" t="s">
        <v>21682</v>
      </c>
      <c r="P2051" s="49" t="s">
        <v>21698</v>
      </c>
      <c r="Q2051" s="49" t="s">
        <v>21714</v>
      </c>
      <c r="R2051" s="49" t="s">
        <v>21730</v>
      </c>
      <c r="S2051" s="49" t="s">
        <v>21746</v>
      </c>
      <c r="T2051" s="49" t="s">
        <v>21762</v>
      </c>
    </row>
    <row r="2052" spans="1:20" x14ac:dyDescent="0.2">
      <c r="A2052" s="49" t="s">
        <v>30</v>
      </c>
      <c r="D2052" s="49" t="s">
        <v>20776</v>
      </c>
      <c r="G2052" s="49" t="s">
        <v>20777</v>
      </c>
      <c r="H2052" s="49" t="s">
        <v>21651</v>
      </c>
      <c r="I2052" s="49" t="s">
        <v>21667</v>
      </c>
      <c r="J2052" s="49" t="s">
        <v>21779</v>
      </c>
      <c r="K2052" s="49" t="s">
        <v>21795</v>
      </c>
      <c r="L2052" s="49" t="s">
        <v>20778</v>
      </c>
      <c r="M2052" s="49" t="s">
        <v>20779</v>
      </c>
      <c r="N2052" s="49" t="s">
        <v>20780</v>
      </c>
      <c r="O2052" s="49" t="s">
        <v>21683</v>
      </c>
      <c r="P2052" s="49" t="s">
        <v>21699</v>
      </c>
      <c r="Q2052" s="49" t="s">
        <v>21715</v>
      </c>
      <c r="R2052" s="49" t="s">
        <v>21731</v>
      </c>
      <c r="S2052" s="49" t="s">
        <v>21747</v>
      </c>
      <c r="T2052" s="49" t="s">
        <v>21763</v>
      </c>
    </row>
    <row r="2053" spans="1:20" x14ac:dyDescent="0.2">
      <c r="A2053" s="49" t="s">
        <v>30</v>
      </c>
      <c r="D2053" s="49" t="s">
        <v>20781</v>
      </c>
      <c r="G2053" s="49" t="s">
        <v>20782</v>
      </c>
      <c r="H2053" s="49" t="s">
        <v>21652</v>
      </c>
      <c r="I2053" s="49" t="s">
        <v>21668</v>
      </c>
      <c r="J2053" s="49" t="s">
        <v>21780</v>
      </c>
      <c r="K2053" s="49" t="s">
        <v>21796</v>
      </c>
      <c r="L2053" s="49" t="s">
        <v>20783</v>
      </c>
      <c r="M2053" s="49" t="s">
        <v>20784</v>
      </c>
      <c r="N2053" s="49" t="s">
        <v>20785</v>
      </c>
      <c r="O2053" s="49" t="s">
        <v>21684</v>
      </c>
      <c r="P2053" s="49" t="s">
        <v>21700</v>
      </c>
      <c r="Q2053" s="49" t="s">
        <v>21716</v>
      </c>
      <c r="R2053" s="49" t="s">
        <v>21732</v>
      </c>
      <c r="S2053" s="49" t="s">
        <v>21748</v>
      </c>
      <c r="T2053" s="49" t="s">
        <v>21764</v>
      </c>
    </row>
    <row r="2054" spans="1:20" x14ac:dyDescent="0.2">
      <c r="A2054" s="49" t="s">
        <v>30</v>
      </c>
      <c r="D2054" s="49" t="s">
        <v>20786</v>
      </c>
      <c r="G2054" s="49" t="s">
        <v>20787</v>
      </c>
      <c r="H2054" s="49" t="s">
        <v>21653</v>
      </c>
      <c r="I2054" s="49" t="s">
        <v>21669</v>
      </c>
      <c r="J2054" s="49" t="s">
        <v>21781</v>
      </c>
      <c r="K2054" s="49" t="s">
        <v>21797</v>
      </c>
      <c r="L2054" s="49" t="s">
        <v>20788</v>
      </c>
      <c r="M2054" s="49" t="s">
        <v>20789</v>
      </c>
      <c r="N2054" s="49" t="s">
        <v>20790</v>
      </c>
      <c r="O2054" s="49" t="s">
        <v>21685</v>
      </c>
      <c r="P2054" s="49" t="s">
        <v>21701</v>
      </c>
      <c r="Q2054" s="49" t="s">
        <v>21717</v>
      </c>
      <c r="R2054" s="49" t="s">
        <v>21733</v>
      </c>
      <c r="S2054" s="49" t="s">
        <v>21749</v>
      </c>
      <c r="T2054" s="49" t="s">
        <v>21765</v>
      </c>
    </row>
    <row r="2055" spans="1:20" x14ac:dyDescent="0.2">
      <c r="A2055" s="49" t="s">
        <v>30</v>
      </c>
      <c r="D2055" s="49" t="s">
        <v>20791</v>
      </c>
      <c r="G2055" s="49" t="s">
        <v>20792</v>
      </c>
      <c r="H2055" s="49" t="s">
        <v>21654</v>
      </c>
      <c r="I2055" s="49" t="s">
        <v>21670</v>
      </c>
      <c r="J2055" s="49" t="s">
        <v>21782</v>
      </c>
      <c r="K2055" s="49" t="s">
        <v>21798</v>
      </c>
      <c r="L2055" s="49" t="s">
        <v>20793</v>
      </c>
      <c r="M2055" s="49" t="s">
        <v>20794</v>
      </c>
      <c r="N2055" s="49" t="s">
        <v>20795</v>
      </c>
      <c r="O2055" s="49" t="s">
        <v>21686</v>
      </c>
      <c r="P2055" s="49" t="s">
        <v>21702</v>
      </c>
      <c r="Q2055" s="49" t="s">
        <v>21718</v>
      </c>
      <c r="R2055" s="49" t="s">
        <v>21734</v>
      </c>
      <c r="S2055" s="49" t="s">
        <v>21750</v>
      </c>
      <c r="T2055" s="49" t="s">
        <v>21766</v>
      </c>
    </row>
    <row r="2056" spans="1:20" x14ac:dyDescent="0.2">
      <c r="A2056" s="49" t="s">
        <v>30</v>
      </c>
      <c r="D2056" s="49" t="s">
        <v>20796</v>
      </c>
      <c r="G2056" s="49" t="s">
        <v>20797</v>
      </c>
      <c r="H2056" s="49" t="s">
        <v>21655</v>
      </c>
      <c r="I2056" s="49" t="s">
        <v>21671</v>
      </c>
      <c r="J2056" s="49" t="s">
        <v>21783</v>
      </c>
      <c r="K2056" s="49" t="s">
        <v>21799</v>
      </c>
      <c r="L2056" s="49" t="s">
        <v>20798</v>
      </c>
      <c r="M2056" s="49" t="s">
        <v>20799</v>
      </c>
      <c r="N2056" s="49" t="s">
        <v>20800</v>
      </c>
      <c r="O2056" s="49" t="s">
        <v>21687</v>
      </c>
      <c r="P2056" s="49" t="s">
        <v>21703</v>
      </c>
      <c r="Q2056" s="49" t="s">
        <v>21719</v>
      </c>
      <c r="R2056" s="49" t="s">
        <v>21735</v>
      </c>
      <c r="S2056" s="49" t="s">
        <v>21751</v>
      </c>
      <c r="T2056" s="49" t="s">
        <v>21767</v>
      </c>
    </row>
    <row r="2057" spans="1:20" x14ac:dyDescent="0.2">
      <c r="A2057" s="49" t="s">
        <v>30</v>
      </c>
      <c r="D2057" s="49" t="s">
        <v>20801</v>
      </c>
      <c r="G2057" s="49" t="s">
        <v>20802</v>
      </c>
      <c r="H2057" s="49" t="s">
        <v>21656</v>
      </c>
      <c r="I2057" s="49" t="s">
        <v>21672</v>
      </c>
      <c r="J2057" s="49" t="s">
        <v>21784</v>
      </c>
      <c r="K2057" s="49" t="s">
        <v>21800</v>
      </c>
      <c r="L2057" s="49" t="s">
        <v>20803</v>
      </c>
      <c r="M2057" s="49" t="s">
        <v>20804</v>
      </c>
      <c r="N2057" s="49" t="s">
        <v>20805</v>
      </c>
      <c r="O2057" s="49" t="s">
        <v>21688</v>
      </c>
      <c r="P2057" s="49" t="s">
        <v>21704</v>
      </c>
      <c r="Q2057" s="49" t="s">
        <v>21720</v>
      </c>
      <c r="R2057" s="49" t="s">
        <v>21736</v>
      </c>
      <c r="S2057" s="49" t="s">
        <v>21752</v>
      </c>
      <c r="T2057" s="49" t="s">
        <v>21768</v>
      </c>
    </row>
    <row r="2058" spans="1:20" x14ac:dyDescent="0.2">
      <c r="A2058" s="49" t="s">
        <v>30</v>
      </c>
      <c r="D2058" s="49" t="s">
        <v>20806</v>
      </c>
      <c r="G2058" s="49" t="s">
        <v>20807</v>
      </c>
      <c r="H2058" s="49" t="s">
        <v>21657</v>
      </c>
      <c r="I2058" s="49" t="s">
        <v>21673</v>
      </c>
      <c r="J2058" s="49" t="s">
        <v>21785</v>
      </c>
      <c r="K2058" s="49" t="s">
        <v>21801</v>
      </c>
      <c r="L2058" s="49" t="s">
        <v>20808</v>
      </c>
      <c r="M2058" s="49" t="s">
        <v>20809</v>
      </c>
      <c r="N2058" s="49" t="s">
        <v>20810</v>
      </c>
      <c r="O2058" s="49" t="s">
        <v>21689</v>
      </c>
      <c r="P2058" s="49" t="s">
        <v>21705</v>
      </c>
      <c r="Q2058" s="49" t="s">
        <v>21721</v>
      </c>
      <c r="R2058" s="49" t="s">
        <v>21737</v>
      </c>
      <c r="S2058" s="49" t="s">
        <v>21753</v>
      </c>
      <c r="T2058" s="49" t="s">
        <v>21769</v>
      </c>
    </row>
    <row r="2059" spans="1:20" x14ac:dyDescent="0.2">
      <c r="A2059" s="49" t="s">
        <v>30</v>
      </c>
      <c r="D2059" s="49" t="s">
        <v>20811</v>
      </c>
      <c r="G2059" s="49" t="s">
        <v>20812</v>
      </c>
      <c r="H2059" s="49" t="s">
        <v>21658</v>
      </c>
      <c r="I2059" s="49" t="s">
        <v>21674</v>
      </c>
      <c r="J2059" s="49" t="s">
        <v>21786</v>
      </c>
      <c r="K2059" s="49" t="s">
        <v>21802</v>
      </c>
      <c r="L2059" s="49" t="s">
        <v>20813</v>
      </c>
      <c r="M2059" s="49" t="s">
        <v>20814</v>
      </c>
      <c r="N2059" s="49" t="s">
        <v>20815</v>
      </c>
      <c r="O2059" s="49" t="s">
        <v>21690</v>
      </c>
      <c r="P2059" s="49" t="s">
        <v>21706</v>
      </c>
      <c r="Q2059" s="49" t="s">
        <v>21722</v>
      </c>
      <c r="R2059" s="49" t="s">
        <v>21738</v>
      </c>
      <c r="S2059" s="49" t="s">
        <v>21754</v>
      </c>
      <c r="T2059" s="49" t="s">
        <v>21770</v>
      </c>
    </row>
    <row r="2060" spans="1:20" x14ac:dyDescent="0.2">
      <c r="A2060" s="49" t="s">
        <v>30</v>
      </c>
      <c r="D2060" s="49" t="s">
        <v>20816</v>
      </c>
      <c r="G2060" s="49" t="s">
        <v>20817</v>
      </c>
      <c r="H2060" s="49" t="s">
        <v>21659</v>
      </c>
      <c r="I2060" s="49" t="s">
        <v>21675</v>
      </c>
      <c r="J2060" s="49" t="s">
        <v>21787</v>
      </c>
      <c r="K2060" s="49" t="s">
        <v>21803</v>
      </c>
      <c r="L2060" s="49" t="s">
        <v>20818</v>
      </c>
      <c r="M2060" s="49" t="s">
        <v>20819</v>
      </c>
      <c r="N2060" s="49" t="s">
        <v>20820</v>
      </c>
      <c r="O2060" s="49" t="s">
        <v>21691</v>
      </c>
      <c r="P2060" s="49" t="s">
        <v>21707</v>
      </c>
      <c r="Q2060" s="49" t="s">
        <v>21723</v>
      </c>
      <c r="R2060" s="49" t="s">
        <v>21739</v>
      </c>
      <c r="S2060" s="49" t="s">
        <v>21755</v>
      </c>
      <c r="T2060" s="49" t="s">
        <v>21771</v>
      </c>
    </row>
    <row r="2061" spans="1:20" x14ac:dyDescent="0.2">
      <c r="A2061" s="49" t="s">
        <v>30</v>
      </c>
      <c r="D2061" s="49" t="s">
        <v>20821</v>
      </c>
      <c r="G2061" s="49" t="s">
        <v>20822</v>
      </c>
      <c r="H2061" s="49" t="s">
        <v>21660</v>
      </c>
      <c r="I2061" s="49" t="s">
        <v>21676</v>
      </c>
      <c r="J2061" s="49" t="s">
        <v>21788</v>
      </c>
      <c r="K2061" s="49" t="s">
        <v>21804</v>
      </c>
      <c r="L2061" s="49" t="s">
        <v>20823</v>
      </c>
      <c r="M2061" s="49" t="s">
        <v>20824</v>
      </c>
      <c r="N2061" s="49" t="s">
        <v>20825</v>
      </c>
      <c r="O2061" s="49" t="s">
        <v>21692</v>
      </c>
      <c r="P2061" s="49" t="s">
        <v>21708</v>
      </c>
      <c r="Q2061" s="49" t="s">
        <v>21724</v>
      </c>
      <c r="R2061" s="49" t="s">
        <v>21740</v>
      </c>
      <c r="S2061" s="49" t="s">
        <v>21756</v>
      </c>
      <c r="T2061" s="49" t="s">
        <v>21772</v>
      </c>
    </row>
    <row r="2062" spans="1:20" x14ac:dyDescent="0.2">
      <c r="A2062" s="49" t="s">
        <v>30</v>
      </c>
      <c r="D2062" s="49" t="s">
        <v>20826</v>
      </c>
      <c r="G2062" s="49" t="s">
        <v>20827</v>
      </c>
      <c r="H2062" s="49" t="s">
        <v>21661</v>
      </c>
      <c r="I2062" s="49" t="s">
        <v>21677</v>
      </c>
      <c r="J2062" s="49" t="s">
        <v>21789</v>
      </c>
      <c r="K2062" s="49" t="s">
        <v>21805</v>
      </c>
      <c r="L2062" s="49" t="s">
        <v>20828</v>
      </c>
      <c r="M2062" s="49" t="s">
        <v>20829</v>
      </c>
      <c r="N2062" s="49" t="s">
        <v>20830</v>
      </c>
      <c r="O2062" s="49" t="s">
        <v>21693</v>
      </c>
      <c r="P2062" s="49" t="s">
        <v>21709</v>
      </c>
      <c r="Q2062" s="49" t="s">
        <v>21725</v>
      </c>
      <c r="R2062" s="49" t="s">
        <v>21741</v>
      </c>
      <c r="S2062" s="49" t="s">
        <v>21757</v>
      </c>
      <c r="T2062" s="49" t="s">
        <v>21773</v>
      </c>
    </row>
    <row r="2063" spans="1:20" x14ac:dyDescent="0.2">
      <c r="A2063" s="49" t="s">
        <v>30</v>
      </c>
    </row>
    <row r="2064" spans="1:20" x14ac:dyDescent="0.2">
      <c r="A2064" s="49" t="s">
        <v>30</v>
      </c>
      <c r="E2064" s="49" t="s">
        <v>31</v>
      </c>
      <c r="F2064" s="49" t="s">
        <v>31</v>
      </c>
      <c r="G2064" s="49" t="s">
        <v>31</v>
      </c>
      <c r="J2064" s="49" t="s">
        <v>31</v>
      </c>
      <c r="K2064" s="49" t="s">
        <v>31</v>
      </c>
      <c r="L2064" s="49" t="s">
        <v>31</v>
      </c>
      <c r="M2064" s="49" t="s">
        <v>31</v>
      </c>
    </row>
    <row r="2065" spans="1:21" x14ac:dyDescent="0.2">
      <c r="A2065" s="49" t="s">
        <v>30</v>
      </c>
      <c r="D2065" s="49" t="s">
        <v>20831</v>
      </c>
      <c r="E2065" s="49" t="s">
        <v>20832</v>
      </c>
      <c r="F2065" s="49" t="s">
        <v>20833</v>
      </c>
      <c r="H2065" s="49" t="s">
        <v>20834</v>
      </c>
      <c r="O2065" s="49" t="s">
        <v>20835</v>
      </c>
      <c r="P2065" s="49" t="s">
        <v>20836</v>
      </c>
      <c r="Q2065" s="49" t="s">
        <v>20837</v>
      </c>
      <c r="R2065" s="49" t="s">
        <v>20838</v>
      </c>
      <c r="S2065" s="49" t="s">
        <v>20839</v>
      </c>
      <c r="T2065" s="49" t="s">
        <v>20840</v>
      </c>
      <c r="U2065" s="49" t="s">
        <v>20841</v>
      </c>
    </row>
    <row r="2066" spans="1:21" x14ac:dyDescent="0.2">
      <c r="A2066" s="49" t="s">
        <v>30</v>
      </c>
      <c r="D2066" s="49" t="s">
        <v>20842</v>
      </c>
      <c r="G2066" s="49" t="s">
        <v>20843</v>
      </c>
      <c r="H2066" s="49" t="s">
        <v>20844</v>
      </c>
      <c r="I2066" s="49" t="s">
        <v>20845</v>
      </c>
      <c r="J2066" s="49" t="s">
        <v>20846</v>
      </c>
      <c r="K2066" s="49" t="s">
        <v>20847</v>
      </c>
      <c r="L2066" s="49" t="s">
        <v>20848</v>
      </c>
      <c r="M2066" s="49" t="s">
        <v>20849</v>
      </c>
      <c r="N2066" s="49" t="s">
        <v>20850</v>
      </c>
      <c r="O2066" s="49" t="s">
        <v>20851</v>
      </c>
      <c r="P2066" s="49" t="s">
        <v>20852</v>
      </c>
      <c r="Q2066" s="49" t="s">
        <v>20853</v>
      </c>
      <c r="R2066" s="49" t="s">
        <v>20854</v>
      </c>
      <c r="S2066" s="49" t="s">
        <v>20855</v>
      </c>
      <c r="T2066" s="49" t="s">
        <v>20856</v>
      </c>
    </row>
    <row r="2067" spans="1:21" x14ac:dyDescent="0.2">
      <c r="A2067" s="49" t="s">
        <v>30</v>
      </c>
    </row>
    <row r="2068" spans="1:21" x14ac:dyDescent="0.2">
      <c r="A2068" s="49" t="s">
        <v>30</v>
      </c>
      <c r="E2068" s="49" t="s">
        <v>31</v>
      </c>
      <c r="F2068" s="49" t="s">
        <v>31</v>
      </c>
      <c r="G2068" s="49" t="s">
        <v>31</v>
      </c>
      <c r="J2068" s="49" t="s">
        <v>31</v>
      </c>
      <c r="K2068" s="49" t="s">
        <v>31</v>
      </c>
      <c r="L2068" s="49" t="s">
        <v>31</v>
      </c>
      <c r="M2068" s="49" t="s">
        <v>31</v>
      </c>
    </row>
    <row r="2069" spans="1:21" x14ac:dyDescent="0.2">
      <c r="A2069" s="49" t="s">
        <v>30</v>
      </c>
      <c r="D2069" s="49" t="s">
        <v>20857</v>
      </c>
      <c r="E2069" s="49" t="s">
        <v>20858</v>
      </c>
      <c r="F2069" s="49" t="s">
        <v>20859</v>
      </c>
      <c r="H2069" s="49" t="s">
        <v>20860</v>
      </c>
      <c r="O2069" s="49" t="s">
        <v>20861</v>
      </c>
      <c r="P2069" s="49" t="s">
        <v>20862</v>
      </c>
      <c r="Q2069" s="49" t="s">
        <v>20863</v>
      </c>
      <c r="R2069" s="49" t="s">
        <v>20864</v>
      </c>
      <c r="S2069" s="49" t="s">
        <v>20865</v>
      </c>
      <c r="T2069" s="49" t="s">
        <v>20866</v>
      </c>
      <c r="U2069" s="49" t="s">
        <v>20867</v>
      </c>
    </row>
    <row r="2070" spans="1:21" x14ac:dyDescent="0.2">
      <c r="A2070" s="49" t="s">
        <v>30</v>
      </c>
      <c r="D2070" s="49" t="s">
        <v>20868</v>
      </c>
      <c r="G2070" s="49" t="s">
        <v>20869</v>
      </c>
      <c r="H2070" s="49" t="s">
        <v>20870</v>
      </c>
      <c r="I2070" s="49" t="s">
        <v>20871</v>
      </c>
      <c r="J2070" s="49" t="s">
        <v>20872</v>
      </c>
      <c r="K2070" s="49" t="s">
        <v>20873</v>
      </c>
      <c r="L2070" s="49" t="s">
        <v>20874</v>
      </c>
      <c r="M2070" s="49" t="s">
        <v>20875</v>
      </c>
      <c r="N2070" s="49" t="s">
        <v>20876</v>
      </c>
      <c r="O2070" s="49" t="s">
        <v>20877</v>
      </c>
      <c r="P2070" s="49" t="s">
        <v>20878</v>
      </c>
      <c r="Q2070" s="49" t="s">
        <v>20879</v>
      </c>
      <c r="R2070" s="49" t="s">
        <v>20880</v>
      </c>
      <c r="S2070" s="49" t="s">
        <v>20881</v>
      </c>
      <c r="T2070" s="49" t="s">
        <v>20882</v>
      </c>
    </row>
    <row r="2071" spans="1:21" x14ac:dyDescent="0.2">
      <c r="A2071" s="49" t="s">
        <v>30</v>
      </c>
    </row>
    <row r="2072" spans="1:21" x14ac:dyDescent="0.2">
      <c r="A2072" s="49" t="s">
        <v>30</v>
      </c>
      <c r="E2072" s="49" t="s">
        <v>31</v>
      </c>
      <c r="F2072" s="49" t="s">
        <v>31</v>
      </c>
      <c r="G2072" s="49" t="s">
        <v>31</v>
      </c>
      <c r="J2072" s="49" t="s">
        <v>31</v>
      </c>
      <c r="K2072" s="49" t="s">
        <v>31</v>
      </c>
      <c r="L2072" s="49" t="s">
        <v>31</v>
      </c>
      <c r="M2072" s="49" t="s">
        <v>31</v>
      </c>
    </row>
    <row r="2073" spans="1:21" x14ac:dyDescent="0.2">
      <c r="A2073" s="49" t="s">
        <v>30</v>
      </c>
      <c r="D2073" s="49" t="s">
        <v>20883</v>
      </c>
      <c r="E2073" s="49" t="s">
        <v>20884</v>
      </c>
      <c r="F2073" s="49" t="s">
        <v>20885</v>
      </c>
      <c r="H2073" s="49" t="s">
        <v>20886</v>
      </c>
      <c r="O2073" s="49" t="s">
        <v>20887</v>
      </c>
      <c r="P2073" s="49" t="s">
        <v>20888</v>
      </c>
      <c r="Q2073" s="49" t="s">
        <v>20889</v>
      </c>
      <c r="R2073" s="49" t="s">
        <v>20890</v>
      </c>
      <c r="S2073" s="49" t="s">
        <v>20891</v>
      </c>
      <c r="T2073" s="49" t="s">
        <v>20892</v>
      </c>
      <c r="U2073" s="49" t="s">
        <v>20893</v>
      </c>
    </row>
    <row r="2074" spans="1:21" x14ac:dyDescent="0.2">
      <c r="A2074" s="49" t="s">
        <v>30</v>
      </c>
      <c r="D2074" s="49" t="s">
        <v>20894</v>
      </c>
      <c r="G2074" s="49" t="s">
        <v>20895</v>
      </c>
      <c r="H2074" s="49" t="s">
        <v>20896</v>
      </c>
      <c r="I2074" s="49" t="s">
        <v>20897</v>
      </c>
      <c r="J2074" s="49" t="s">
        <v>20898</v>
      </c>
      <c r="K2074" s="49" t="s">
        <v>20899</v>
      </c>
      <c r="L2074" s="49" t="s">
        <v>20900</v>
      </c>
      <c r="M2074" s="49" t="s">
        <v>20901</v>
      </c>
      <c r="N2074" s="49" t="s">
        <v>20902</v>
      </c>
      <c r="O2074" s="49" t="s">
        <v>20903</v>
      </c>
      <c r="P2074" s="49" t="s">
        <v>20904</v>
      </c>
      <c r="Q2074" s="49" t="s">
        <v>20905</v>
      </c>
      <c r="R2074" s="49" t="s">
        <v>20906</v>
      </c>
      <c r="S2074" s="49" t="s">
        <v>20907</v>
      </c>
      <c r="T2074" s="49" t="s">
        <v>20908</v>
      </c>
    </row>
    <row r="2075" spans="1:21" x14ac:dyDescent="0.2">
      <c r="A2075" s="49" t="s">
        <v>30</v>
      </c>
      <c r="D2075" s="49" t="s">
        <v>20909</v>
      </c>
      <c r="G2075" s="49" t="s">
        <v>20910</v>
      </c>
      <c r="H2075" s="49" t="s">
        <v>20911</v>
      </c>
      <c r="I2075" s="49" t="s">
        <v>20912</v>
      </c>
      <c r="J2075" s="49" t="s">
        <v>20913</v>
      </c>
      <c r="K2075" s="49" t="s">
        <v>20914</v>
      </c>
      <c r="L2075" s="49" t="s">
        <v>20915</v>
      </c>
      <c r="M2075" s="49" t="s">
        <v>20916</v>
      </c>
      <c r="N2075" s="49" t="s">
        <v>20917</v>
      </c>
      <c r="O2075" s="49" t="s">
        <v>20918</v>
      </c>
      <c r="P2075" s="49" t="s">
        <v>20919</v>
      </c>
      <c r="Q2075" s="49" t="s">
        <v>20920</v>
      </c>
      <c r="R2075" s="49" t="s">
        <v>20921</v>
      </c>
      <c r="S2075" s="49" t="s">
        <v>20922</v>
      </c>
      <c r="T2075" s="49" t="s">
        <v>20923</v>
      </c>
    </row>
    <row r="2076" spans="1:21" x14ac:dyDescent="0.2">
      <c r="A2076" s="49" t="s">
        <v>30</v>
      </c>
    </row>
    <row r="2077" spans="1:21" x14ac:dyDescent="0.2">
      <c r="A2077" s="49" t="s">
        <v>30</v>
      </c>
      <c r="E2077" s="49" t="s">
        <v>31</v>
      </c>
      <c r="F2077" s="49" t="s">
        <v>31</v>
      </c>
      <c r="G2077" s="49" t="s">
        <v>31</v>
      </c>
      <c r="J2077" s="49" t="s">
        <v>31</v>
      </c>
      <c r="K2077" s="49" t="s">
        <v>31</v>
      </c>
      <c r="L2077" s="49" t="s">
        <v>31</v>
      </c>
      <c r="M2077" s="49" t="s">
        <v>31</v>
      </c>
    </row>
    <row r="2078" spans="1:21" x14ac:dyDescent="0.2">
      <c r="A2078" s="49" t="s">
        <v>30</v>
      </c>
      <c r="D2078" s="49" t="s">
        <v>20924</v>
      </c>
      <c r="E2078" s="49" t="s">
        <v>20925</v>
      </c>
      <c r="F2078" s="49" t="s">
        <v>20926</v>
      </c>
      <c r="H2078" s="49" t="s">
        <v>20927</v>
      </c>
      <c r="O2078" s="49" t="s">
        <v>20928</v>
      </c>
      <c r="P2078" s="49" t="s">
        <v>20929</v>
      </c>
      <c r="Q2078" s="49" t="s">
        <v>20930</v>
      </c>
      <c r="R2078" s="49" t="s">
        <v>20931</v>
      </c>
      <c r="S2078" s="49" t="s">
        <v>20932</v>
      </c>
      <c r="T2078" s="49" t="s">
        <v>20933</v>
      </c>
      <c r="U2078" s="49" t="s">
        <v>20934</v>
      </c>
    </row>
    <row r="2079" spans="1:21" x14ac:dyDescent="0.2">
      <c r="A2079" s="49" t="s">
        <v>30</v>
      </c>
      <c r="D2079" s="49" t="s">
        <v>20935</v>
      </c>
      <c r="G2079" s="49" t="s">
        <v>20936</v>
      </c>
      <c r="H2079" s="49" t="s">
        <v>20937</v>
      </c>
      <c r="I2079" s="49" t="s">
        <v>20938</v>
      </c>
      <c r="J2079" s="49" t="s">
        <v>20939</v>
      </c>
      <c r="K2079" s="49" t="s">
        <v>20940</v>
      </c>
      <c r="L2079" s="49" t="s">
        <v>20941</v>
      </c>
      <c r="M2079" s="49" t="s">
        <v>20942</v>
      </c>
      <c r="N2079" s="49" t="s">
        <v>20943</v>
      </c>
      <c r="O2079" s="49" t="s">
        <v>20944</v>
      </c>
      <c r="P2079" s="49" t="s">
        <v>20945</v>
      </c>
      <c r="Q2079" s="49" t="s">
        <v>20946</v>
      </c>
      <c r="R2079" s="49" t="s">
        <v>20947</v>
      </c>
      <c r="S2079" s="49" t="s">
        <v>20948</v>
      </c>
      <c r="T2079" s="49" t="s">
        <v>20949</v>
      </c>
    </row>
    <row r="2080" spans="1:21" x14ac:dyDescent="0.2">
      <c r="A2080" s="49" t="s">
        <v>30</v>
      </c>
    </row>
    <row r="2081" spans="1:21" x14ac:dyDescent="0.2">
      <c r="A2081" s="49" t="s">
        <v>30</v>
      </c>
      <c r="E2081" s="49" t="s">
        <v>31</v>
      </c>
      <c r="F2081" s="49" t="s">
        <v>31</v>
      </c>
      <c r="G2081" s="49" t="s">
        <v>31</v>
      </c>
      <c r="J2081" s="49" t="s">
        <v>31</v>
      </c>
      <c r="K2081" s="49" t="s">
        <v>31</v>
      </c>
      <c r="L2081" s="49" t="s">
        <v>31</v>
      </c>
      <c r="M2081" s="49" t="s">
        <v>31</v>
      </c>
    </row>
    <row r="2082" spans="1:21" x14ac:dyDescent="0.2">
      <c r="A2082" s="49" t="s">
        <v>30</v>
      </c>
      <c r="D2082" s="49" t="s">
        <v>20950</v>
      </c>
      <c r="E2082" s="49" t="s">
        <v>20951</v>
      </c>
      <c r="F2082" s="49" t="s">
        <v>20952</v>
      </c>
      <c r="H2082" s="49" t="s">
        <v>20953</v>
      </c>
      <c r="O2082" s="49" t="s">
        <v>20954</v>
      </c>
      <c r="P2082" s="49" t="s">
        <v>20955</v>
      </c>
      <c r="Q2082" s="49" t="s">
        <v>20956</v>
      </c>
      <c r="R2082" s="49" t="s">
        <v>20957</v>
      </c>
      <c r="S2082" s="49" t="s">
        <v>20958</v>
      </c>
      <c r="T2082" s="49" t="s">
        <v>20959</v>
      </c>
      <c r="U2082" s="49" t="s">
        <v>20960</v>
      </c>
    </row>
    <row r="2083" spans="1:21" x14ac:dyDescent="0.2">
      <c r="A2083" s="49" t="s">
        <v>30</v>
      </c>
      <c r="D2083" s="49" t="s">
        <v>20961</v>
      </c>
      <c r="G2083" s="49" t="s">
        <v>20962</v>
      </c>
      <c r="H2083" s="49" t="s">
        <v>20963</v>
      </c>
      <c r="I2083" s="49" t="s">
        <v>20964</v>
      </c>
      <c r="J2083" s="49" t="s">
        <v>20965</v>
      </c>
      <c r="K2083" s="49" t="s">
        <v>20966</v>
      </c>
      <c r="L2083" s="49" t="s">
        <v>20967</v>
      </c>
      <c r="M2083" s="49" t="s">
        <v>20968</v>
      </c>
      <c r="N2083" s="49" t="s">
        <v>20969</v>
      </c>
      <c r="O2083" s="49" t="s">
        <v>20970</v>
      </c>
      <c r="P2083" s="49" t="s">
        <v>20971</v>
      </c>
      <c r="Q2083" s="49" t="s">
        <v>20972</v>
      </c>
      <c r="R2083" s="49" t="s">
        <v>20973</v>
      </c>
      <c r="S2083" s="49" t="s">
        <v>20974</v>
      </c>
      <c r="T2083" s="49" t="s">
        <v>20975</v>
      </c>
    </row>
    <row r="2084" spans="1:21" x14ac:dyDescent="0.2">
      <c r="A2084" s="49" t="s">
        <v>30</v>
      </c>
    </row>
    <row r="2085" spans="1:21" x14ac:dyDescent="0.2">
      <c r="A2085" s="49" t="s">
        <v>30</v>
      </c>
      <c r="E2085" s="49" t="s">
        <v>31</v>
      </c>
      <c r="F2085" s="49" t="s">
        <v>31</v>
      </c>
      <c r="G2085" s="49" t="s">
        <v>31</v>
      </c>
      <c r="J2085" s="49" t="s">
        <v>31</v>
      </c>
      <c r="K2085" s="49" t="s">
        <v>31</v>
      </c>
      <c r="L2085" s="49" t="s">
        <v>31</v>
      </c>
      <c r="M2085" s="49" t="s">
        <v>31</v>
      </c>
    </row>
    <row r="2086" spans="1:21" x14ac:dyDescent="0.2">
      <c r="A2086" s="49" t="s">
        <v>30</v>
      </c>
      <c r="D2086" s="49" t="s">
        <v>20976</v>
      </c>
      <c r="E2086" s="49" t="s">
        <v>20977</v>
      </c>
      <c r="F2086" s="49" t="s">
        <v>20978</v>
      </c>
      <c r="H2086" s="49" t="s">
        <v>20979</v>
      </c>
      <c r="O2086" s="49" t="s">
        <v>20980</v>
      </c>
      <c r="P2086" s="49" t="s">
        <v>20981</v>
      </c>
      <c r="Q2086" s="49" t="s">
        <v>20982</v>
      </c>
      <c r="R2086" s="49" t="s">
        <v>20983</v>
      </c>
      <c r="S2086" s="49" t="s">
        <v>20984</v>
      </c>
      <c r="T2086" s="49" t="s">
        <v>20985</v>
      </c>
      <c r="U2086" s="49" t="s">
        <v>20986</v>
      </c>
    </row>
    <row r="2087" spans="1:21" x14ac:dyDescent="0.2">
      <c r="A2087" s="49" t="s">
        <v>30</v>
      </c>
      <c r="D2087" s="49" t="s">
        <v>20987</v>
      </c>
      <c r="G2087" s="49" t="s">
        <v>20988</v>
      </c>
      <c r="H2087" s="49" t="s">
        <v>20989</v>
      </c>
      <c r="I2087" s="49" t="s">
        <v>20990</v>
      </c>
      <c r="J2087" s="49" t="s">
        <v>20991</v>
      </c>
      <c r="K2087" s="49" t="s">
        <v>20992</v>
      </c>
      <c r="L2087" s="49" t="s">
        <v>20993</v>
      </c>
      <c r="M2087" s="49" t="s">
        <v>20994</v>
      </c>
      <c r="N2087" s="49" t="s">
        <v>20995</v>
      </c>
      <c r="O2087" s="49" t="s">
        <v>20996</v>
      </c>
      <c r="P2087" s="49" t="s">
        <v>20997</v>
      </c>
      <c r="Q2087" s="49" t="s">
        <v>20998</v>
      </c>
      <c r="R2087" s="49" t="s">
        <v>20999</v>
      </c>
      <c r="S2087" s="49" t="s">
        <v>21000</v>
      </c>
      <c r="T2087" s="49" t="s">
        <v>21001</v>
      </c>
    </row>
    <row r="2088" spans="1:21" x14ac:dyDescent="0.2">
      <c r="A2088" s="49" t="s">
        <v>30</v>
      </c>
      <c r="D2088" s="49" t="s">
        <v>21002</v>
      </c>
      <c r="G2088" s="49" t="s">
        <v>21003</v>
      </c>
      <c r="H2088" s="49" t="s">
        <v>21004</v>
      </c>
      <c r="I2088" s="49" t="s">
        <v>21005</v>
      </c>
      <c r="J2088" s="49" t="s">
        <v>21006</v>
      </c>
      <c r="K2088" s="49" t="s">
        <v>21007</v>
      </c>
      <c r="L2088" s="49" t="s">
        <v>21008</v>
      </c>
      <c r="M2088" s="49" t="s">
        <v>21009</v>
      </c>
      <c r="N2088" s="49" t="s">
        <v>21010</v>
      </c>
      <c r="O2088" s="49" t="s">
        <v>21011</v>
      </c>
      <c r="P2088" s="49" t="s">
        <v>21012</v>
      </c>
      <c r="Q2088" s="49" t="s">
        <v>21013</v>
      </c>
      <c r="R2088" s="49" t="s">
        <v>21014</v>
      </c>
      <c r="S2088" s="49" t="s">
        <v>21015</v>
      </c>
      <c r="T2088" s="49" t="s">
        <v>21016</v>
      </c>
    </row>
    <row r="2089" spans="1:21" x14ac:dyDescent="0.2">
      <c r="A2089" s="49" t="s">
        <v>30</v>
      </c>
    </row>
    <row r="2090" spans="1:21" x14ac:dyDescent="0.2">
      <c r="A2090" s="49" t="s">
        <v>30</v>
      </c>
      <c r="E2090" s="49" t="s">
        <v>31</v>
      </c>
      <c r="F2090" s="49" t="s">
        <v>31</v>
      </c>
      <c r="G2090" s="49" t="s">
        <v>31</v>
      </c>
      <c r="J2090" s="49" t="s">
        <v>31</v>
      </c>
      <c r="K2090" s="49" t="s">
        <v>31</v>
      </c>
      <c r="L2090" s="49" t="s">
        <v>31</v>
      </c>
      <c r="M2090" s="49" t="s">
        <v>31</v>
      </c>
    </row>
    <row r="2091" spans="1:21" x14ac:dyDescent="0.2">
      <c r="A2091" s="49" t="s">
        <v>30</v>
      </c>
      <c r="D2091" s="49" t="s">
        <v>21017</v>
      </c>
      <c r="E2091" s="49" t="s">
        <v>21018</v>
      </c>
      <c r="F2091" s="49" t="s">
        <v>21019</v>
      </c>
      <c r="H2091" s="49" t="s">
        <v>21020</v>
      </c>
      <c r="O2091" s="49" t="s">
        <v>21021</v>
      </c>
      <c r="P2091" s="49" t="s">
        <v>21022</v>
      </c>
      <c r="Q2091" s="49" t="s">
        <v>21023</v>
      </c>
      <c r="R2091" s="49" t="s">
        <v>21024</v>
      </c>
      <c r="S2091" s="49" t="s">
        <v>21025</v>
      </c>
      <c r="T2091" s="49" t="s">
        <v>21026</v>
      </c>
      <c r="U2091" s="49" t="s">
        <v>21027</v>
      </c>
    </row>
    <row r="2092" spans="1:21" x14ac:dyDescent="0.2">
      <c r="A2092" s="49" t="s">
        <v>30</v>
      </c>
      <c r="D2092" s="49" t="s">
        <v>21028</v>
      </c>
      <c r="G2092" s="49" t="s">
        <v>21029</v>
      </c>
      <c r="H2092" s="49" t="s">
        <v>21596</v>
      </c>
      <c r="I2092" s="49" t="s">
        <v>21601</v>
      </c>
      <c r="J2092" s="49" t="s">
        <v>21636</v>
      </c>
      <c r="K2092" s="49" t="s">
        <v>21641</v>
      </c>
      <c r="L2092" s="49" t="s">
        <v>21030</v>
      </c>
      <c r="M2092" s="49" t="s">
        <v>21031</v>
      </c>
      <c r="N2092" s="49" t="s">
        <v>21032</v>
      </c>
      <c r="O2092" s="49" t="s">
        <v>21606</v>
      </c>
      <c r="P2092" s="49" t="s">
        <v>21611</v>
      </c>
      <c r="Q2092" s="49" t="s">
        <v>21616</v>
      </c>
      <c r="R2092" s="49" t="s">
        <v>21621</v>
      </c>
      <c r="S2092" s="49" t="s">
        <v>21626</v>
      </c>
      <c r="T2092" s="49" t="s">
        <v>21631</v>
      </c>
    </row>
    <row r="2093" spans="1:21" x14ac:dyDescent="0.2">
      <c r="A2093" s="49" t="s">
        <v>30</v>
      </c>
      <c r="D2093" s="49" t="s">
        <v>21033</v>
      </c>
      <c r="G2093" s="49" t="s">
        <v>21034</v>
      </c>
      <c r="H2093" s="49" t="s">
        <v>21597</v>
      </c>
      <c r="I2093" s="49" t="s">
        <v>21602</v>
      </c>
      <c r="J2093" s="49" t="s">
        <v>21637</v>
      </c>
      <c r="K2093" s="49" t="s">
        <v>21642</v>
      </c>
      <c r="L2093" s="49" t="s">
        <v>21035</v>
      </c>
      <c r="M2093" s="49" t="s">
        <v>21036</v>
      </c>
      <c r="N2093" s="49" t="s">
        <v>21037</v>
      </c>
      <c r="O2093" s="49" t="s">
        <v>21607</v>
      </c>
      <c r="P2093" s="49" t="s">
        <v>21612</v>
      </c>
      <c r="Q2093" s="49" t="s">
        <v>21617</v>
      </c>
      <c r="R2093" s="49" t="s">
        <v>21622</v>
      </c>
      <c r="S2093" s="49" t="s">
        <v>21627</v>
      </c>
      <c r="T2093" s="49" t="s">
        <v>21632</v>
      </c>
    </row>
    <row r="2094" spans="1:21" x14ac:dyDescent="0.2">
      <c r="A2094" s="49" t="s">
        <v>30</v>
      </c>
      <c r="D2094" s="49" t="s">
        <v>21038</v>
      </c>
      <c r="G2094" s="49" t="s">
        <v>21039</v>
      </c>
      <c r="H2094" s="49" t="s">
        <v>21598</v>
      </c>
      <c r="I2094" s="49" t="s">
        <v>21603</v>
      </c>
      <c r="J2094" s="49" t="s">
        <v>21638</v>
      </c>
      <c r="K2094" s="49" t="s">
        <v>21643</v>
      </c>
      <c r="L2094" s="49" t="s">
        <v>21040</v>
      </c>
      <c r="M2094" s="49" t="s">
        <v>21041</v>
      </c>
      <c r="N2094" s="49" t="s">
        <v>21042</v>
      </c>
      <c r="O2094" s="49" t="s">
        <v>21608</v>
      </c>
      <c r="P2094" s="49" t="s">
        <v>21613</v>
      </c>
      <c r="Q2094" s="49" t="s">
        <v>21618</v>
      </c>
      <c r="R2094" s="49" t="s">
        <v>21623</v>
      </c>
      <c r="S2094" s="49" t="s">
        <v>21628</v>
      </c>
      <c r="T2094" s="49" t="s">
        <v>21633</v>
      </c>
    </row>
    <row r="2095" spans="1:21" x14ac:dyDescent="0.2">
      <c r="A2095" s="49" t="s">
        <v>30</v>
      </c>
      <c r="D2095" s="49" t="s">
        <v>21043</v>
      </c>
      <c r="G2095" s="49" t="s">
        <v>21044</v>
      </c>
      <c r="H2095" s="49" t="s">
        <v>21599</v>
      </c>
      <c r="I2095" s="49" t="s">
        <v>21604</v>
      </c>
      <c r="J2095" s="49" t="s">
        <v>21639</v>
      </c>
      <c r="K2095" s="49" t="s">
        <v>21644</v>
      </c>
      <c r="L2095" s="49" t="s">
        <v>21045</v>
      </c>
      <c r="M2095" s="49" t="s">
        <v>21046</v>
      </c>
      <c r="N2095" s="49" t="s">
        <v>21047</v>
      </c>
      <c r="O2095" s="49" t="s">
        <v>21609</v>
      </c>
      <c r="P2095" s="49" t="s">
        <v>21614</v>
      </c>
      <c r="Q2095" s="49" t="s">
        <v>21619</v>
      </c>
      <c r="R2095" s="49" t="s">
        <v>21624</v>
      </c>
      <c r="S2095" s="49" t="s">
        <v>21629</v>
      </c>
      <c r="T2095" s="49" t="s">
        <v>21634</v>
      </c>
    </row>
    <row r="2096" spans="1:21" x14ac:dyDescent="0.2">
      <c r="A2096" s="49" t="s">
        <v>30</v>
      </c>
      <c r="D2096" s="49" t="s">
        <v>21048</v>
      </c>
      <c r="G2096" s="49" t="s">
        <v>21049</v>
      </c>
      <c r="H2096" s="49" t="s">
        <v>21600</v>
      </c>
      <c r="I2096" s="49" t="s">
        <v>21605</v>
      </c>
      <c r="J2096" s="49" t="s">
        <v>21640</v>
      </c>
      <c r="K2096" s="49" t="s">
        <v>21645</v>
      </c>
      <c r="L2096" s="49" t="s">
        <v>21050</v>
      </c>
      <c r="M2096" s="49" t="s">
        <v>21051</v>
      </c>
      <c r="N2096" s="49" t="s">
        <v>21052</v>
      </c>
      <c r="O2096" s="49" t="s">
        <v>21610</v>
      </c>
      <c r="P2096" s="49" t="s">
        <v>21615</v>
      </c>
      <c r="Q2096" s="49" t="s">
        <v>21620</v>
      </c>
      <c r="R2096" s="49" t="s">
        <v>21625</v>
      </c>
      <c r="S2096" s="49" t="s">
        <v>21630</v>
      </c>
      <c r="T2096" s="49" t="s">
        <v>21635</v>
      </c>
    </row>
    <row r="2097" spans="1:21" x14ac:dyDescent="0.2">
      <c r="A2097" s="49" t="s">
        <v>30</v>
      </c>
    </row>
    <row r="2098" spans="1:21" x14ac:dyDescent="0.2">
      <c r="A2098" s="49" t="s">
        <v>30</v>
      </c>
      <c r="E2098" s="49" t="s">
        <v>31</v>
      </c>
      <c r="F2098" s="49" t="s">
        <v>31</v>
      </c>
      <c r="G2098" s="49" t="s">
        <v>31</v>
      </c>
      <c r="J2098" s="49" t="s">
        <v>31</v>
      </c>
      <c r="K2098" s="49" t="s">
        <v>31</v>
      </c>
      <c r="L2098" s="49" t="s">
        <v>31</v>
      </c>
      <c r="M2098" s="49" t="s">
        <v>31</v>
      </c>
    </row>
    <row r="2099" spans="1:21" x14ac:dyDescent="0.2">
      <c r="A2099" s="49" t="s">
        <v>30</v>
      </c>
      <c r="D2099" s="49" t="s">
        <v>21053</v>
      </c>
      <c r="E2099" s="49" t="s">
        <v>21054</v>
      </c>
      <c r="F2099" s="49" t="s">
        <v>21055</v>
      </c>
      <c r="H2099" s="49" t="s">
        <v>21056</v>
      </c>
      <c r="O2099" s="49" t="s">
        <v>21057</v>
      </c>
      <c r="P2099" s="49" t="s">
        <v>21058</v>
      </c>
      <c r="Q2099" s="49" t="s">
        <v>21059</v>
      </c>
      <c r="R2099" s="49" t="s">
        <v>21060</v>
      </c>
      <c r="S2099" s="49" t="s">
        <v>21061</v>
      </c>
      <c r="T2099" s="49" t="s">
        <v>21062</v>
      </c>
      <c r="U2099" s="49" t="s">
        <v>21063</v>
      </c>
    </row>
    <row r="2100" spans="1:21" x14ac:dyDescent="0.2">
      <c r="A2100" s="49" t="s">
        <v>30</v>
      </c>
      <c r="D2100" s="49" t="s">
        <v>21064</v>
      </c>
      <c r="G2100" s="49" t="s">
        <v>21065</v>
      </c>
      <c r="H2100" s="49" t="s">
        <v>21066</v>
      </c>
      <c r="I2100" s="49" t="s">
        <v>21067</v>
      </c>
      <c r="J2100" s="49" t="s">
        <v>21068</v>
      </c>
      <c r="K2100" s="49" t="s">
        <v>21069</v>
      </c>
      <c r="L2100" s="49" t="s">
        <v>21070</v>
      </c>
      <c r="M2100" s="49" t="s">
        <v>21071</v>
      </c>
      <c r="N2100" s="49" t="s">
        <v>21072</v>
      </c>
      <c r="O2100" s="49" t="s">
        <v>21073</v>
      </c>
      <c r="P2100" s="49" t="s">
        <v>21074</v>
      </c>
      <c r="Q2100" s="49" t="s">
        <v>21075</v>
      </c>
      <c r="R2100" s="49" t="s">
        <v>21076</v>
      </c>
      <c r="S2100" s="49" t="s">
        <v>21077</v>
      </c>
      <c r="T2100" s="49" t="s">
        <v>21078</v>
      </c>
    </row>
    <row r="2101" spans="1:21" x14ac:dyDescent="0.2">
      <c r="A2101" s="49" t="s">
        <v>30</v>
      </c>
      <c r="D2101" s="49" t="s">
        <v>21079</v>
      </c>
      <c r="G2101" s="49" t="s">
        <v>21080</v>
      </c>
      <c r="H2101" s="49" t="s">
        <v>21081</v>
      </c>
      <c r="I2101" s="49" t="s">
        <v>21082</v>
      </c>
      <c r="J2101" s="49" t="s">
        <v>21083</v>
      </c>
      <c r="K2101" s="49" t="s">
        <v>21084</v>
      </c>
      <c r="L2101" s="49" t="s">
        <v>21085</v>
      </c>
      <c r="M2101" s="49" t="s">
        <v>21086</v>
      </c>
      <c r="N2101" s="49" t="s">
        <v>21087</v>
      </c>
      <c r="O2101" s="49" t="s">
        <v>21088</v>
      </c>
      <c r="P2101" s="49" t="s">
        <v>21089</v>
      </c>
      <c r="Q2101" s="49" t="s">
        <v>21090</v>
      </c>
      <c r="R2101" s="49" t="s">
        <v>21091</v>
      </c>
      <c r="S2101" s="49" t="s">
        <v>21092</v>
      </c>
      <c r="T2101" s="49" t="s">
        <v>21093</v>
      </c>
    </row>
    <row r="2102" spans="1:21" x14ac:dyDescent="0.2">
      <c r="A2102" s="49" t="s">
        <v>30</v>
      </c>
    </row>
    <row r="2103" spans="1:21" x14ac:dyDescent="0.2">
      <c r="A2103" s="49" t="s">
        <v>30</v>
      </c>
      <c r="E2103" s="49" t="s">
        <v>31</v>
      </c>
      <c r="F2103" s="49" t="s">
        <v>31</v>
      </c>
      <c r="G2103" s="49" t="s">
        <v>31</v>
      </c>
      <c r="J2103" s="49" t="s">
        <v>31</v>
      </c>
      <c r="K2103" s="49" t="s">
        <v>31</v>
      </c>
      <c r="L2103" s="49" t="s">
        <v>31</v>
      </c>
      <c r="M2103" s="49" t="s">
        <v>31</v>
      </c>
    </row>
    <row r="2104" spans="1:21" x14ac:dyDescent="0.2">
      <c r="A2104" s="49" t="s">
        <v>30</v>
      </c>
      <c r="D2104" s="49" t="s">
        <v>21094</v>
      </c>
      <c r="E2104" s="49" t="s">
        <v>21095</v>
      </c>
      <c r="F2104" s="49" t="s">
        <v>21096</v>
      </c>
      <c r="H2104" s="49" t="s">
        <v>21097</v>
      </c>
      <c r="O2104" s="49" t="s">
        <v>21098</v>
      </c>
      <c r="P2104" s="49" t="s">
        <v>21099</v>
      </c>
      <c r="Q2104" s="49" t="s">
        <v>21100</v>
      </c>
      <c r="R2104" s="49" t="s">
        <v>21101</v>
      </c>
      <c r="S2104" s="49" t="s">
        <v>21102</v>
      </c>
      <c r="T2104" s="49" t="s">
        <v>21103</v>
      </c>
      <c r="U2104" s="49" t="s">
        <v>21104</v>
      </c>
    </row>
    <row r="2105" spans="1:21" x14ac:dyDescent="0.2">
      <c r="A2105" s="49" t="s">
        <v>30</v>
      </c>
      <c r="D2105" s="49" t="s">
        <v>21105</v>
      </c>
      <c r="G2105" s="49" t="s">
        <v>21106</v>
      </c>
      <c r="H2105" s="49" t="s">
        <v>21107</v>
      </c>
      <c r="I2105" s="49" t="s">
        <v>21108</v>
      </c>
      <c r="J2105" s="49" t="s">
        <v>21109</v>
      </c>
      <c r="K2105" s="49" t="s">
        <v>21110</v>
      </c>
      <c r="L2105" s="49" t="s">
        <v>21111</v>
      </c>
      <c r="M2105" s="49" t="s">
        <v>21112</v>
      </c>
      <c r="N2105" s="49" t="s">
        <v>21113</v>
      </c>
      <c r="O2105" s="49" t="s">
        <v>21114</v>
      </c>
      <c r="P2105" s="49" t="s">
        <v>21115</v>
      </c>
      <c r="Q2105" s="49" t="s">
        <v>21116</v>
      </c>
      <c r="R2105" s="49" t="s">
        <v>21117</v>
      </c>
      <c r="S2105" s="49" t="s">
        <v>21118</v>
      </c>
      <c r="T2105" s="49" t="s">
        <v>21119</v>
      </c>
    </row>
    <row r="2106" spans="1:21" x14ac:dyDescent="0.2">
      <c r="A2106" s="49" t="s">
        <v>30</v>
      </c>
    </row>
    <row r="2107" spans="1:21" x14ac:dyDescent="0.2">
      <c r="A2107" s="49" t="s">
        <v>30</v>
      </c>
      <c r="E2107" s="49" t="s">
        <v>31</v>
      </c>
      <c r="F2107" s="49" t="s">
        <v>31</v>
      </c>
      <c r="G2107" s="49" t="s">
        <v>31</v>
      </c>
      <c r="J2107" s="49" t="s">
        <v>31</v>
      </c>
      <c r="K2107" s="49" t="s">
        <v>31</v>
      </c>
      <c r="L2107" s="49" t="s">
        <v>31</v>
      </c>
      <c r="M2107" s="49" t="s">
        <v>31</v>
      </c>
    </row>
    <row r="2108" spans="1:21" x14ac:dyDescent="0.2">
      <c r="A2108" s="49" t="s">
        <v>30</v>
      </c>
      <c r="D2108" s="49" t="s">
        <v>21120</v>
      </c>
      <c r="E2108" s="49" t="s">
        <v>21121</v>
      </c>
      <c r="F2108" s="49" t="s">
        <v>21122</v>
      </c>
      <c r="H2108" s="49" t="s">
        <v>21123</v>
      </c>
      <c r="O2108" s="49" t="s">
        <v>21124</v>
      </c>
      <c r="P2108" s="49" t="s">
        <v>21125</v>
      </c>
      <c r="Q2108" s="49" t="s">
        <v>21126</v>
      </c>
      <c r="R2108" s="49" t="s">
        <v>21127</v>
      </c>
      <c r="S2108" s="49" t="s">
        <v>21128</v>
      </c>
      <c r="T2108" s="49" t="s">
        <v>21129</v>
      </c>
      <c r="U2108" s="49" t="s">
        <v>21130</v>
      </c>
    </row>
    <row r="2109" spans="1:21" x14ac:dyDescent="0.2">
      <c r="A2109" s="49" t="s">
        <v>30</v>
      </c>
      <c r="D2109" s="49" t="s">
        <v>21131</v>
      </c>
      <c r="G2109" s="49" t="s">
        <v>21132</v>
      </c>
      <c r="H2109" s="49" t="s">
        <v>21133</v>
      </c>
      <c r="I2109" s="49" t="s">
        <v>21134</v>
      </c>
      <c r="J2109" s="49" t="s">
        <v>21135</v>
      </c>
      <c r="K2109" s="49" t="s">
        <v>21136</v>
      </c>
      <c r="L2109" s="49" t="s">
        <v>21137</v>
      </c>
      <c r="M2109" s="49" t="s">
        <v>21138</v>
      </c>
      <c r="N2109" s="49" t="s">
        <v>21139</v>
      </c>
      <c r="O2109" s="49" t="s">
        <v>21140</v>
      </c>
      <c r="P2109" s="49" t="s">
        <v>21141</v>
      </c>
      <c r="Q2109" s="49" t="s">
        <v>21142</v>
      </c>
      <c r="R2109" s="49" t="s">
        <v>21143</v>
      </c>
      <c r="S2109" s="49" t="s">
        <v>21144</v>
      </c>
      <c r="T2109" s="49" t="s">
        <v>21145</v>
      </c>
    </row>
    <row r="2110" spans="1:21" x14ac:dyDescent="0.2">
      <c r="A2110" s="49" t="s">
        <v>30</v>
      </c>
      <c r="D2110" s="49" t="s">
        <v>21146</v>
      </c>
      <c r="G2110" s="49" t="s">
        <v>21147</v>
      </c>
      <c r="H2110" s="49" t="s">
        <v>21148</v>
      </c>
      <c r="I2110" s="49" t="s">
        <v>21149</v>
      </c>
      <c r="J2110" s="49" t="s">
        <v>21150</v>
      </c>
      <c r="K2110" s="49" t="s">
        <v>21151</v>
      </c>
      <c r="L2110" s="49" t="s">
        <v>21152</v>
      </c>
      <c r="M2110" s="49" t="s">
        <v>21153</v>
      </c>
      <c r="N2110" s="49" t="s">
        <v>21154</v>
      </c>
      <c r="O2110" s="49" t="s">
        <v>21155</v>
      </c>
      <c r="P2110" s="49" t="s">
        <v>21156</v>
      </c>
      <c r="Q2110" s="49" t="s">
        <v>21157</v>
      </c>
      <c r="R2110" s="49" t="s">
        <v>21158</v>
      </c>
      <c r="S2110" s="49" t="s">
        <v>21159</v>
      </c>
      <c r="T2110" s="49" t="s">
        <v>21160</v>
      </c>
    </row>
    <row r="2111" spans="1:21" x14ac:dyDescent="0.2">
      <c r="A2111" s="49" t="s">
        <v>30</v>
      </c>
    </row>
    <row r="2112" spans="1:21" x14ac:dyDescent="0.2">
      <c r="A2112" s="49" t="s">
        <v>30</v>
      </c>
      <c r="E2112" s="49" t="s">
        <v>31</v>
      </c>
      <c r="F2112" s="49" t="s">
        <v>31</v>
      </c>
      <c r="G2112" s="49" t="s">
        <v>31</v>
      </c>
      <c r="J2112" s="49" t="s">
        <v>31</v>
      </c>
      <c r="K2112" s="49" t="s">
        <v>31</v>
      </c>
      <c r="L2112" s="49" t="s">
        <v>31</v>
      </c>
      <c r="M2112" s="49" t="s">
        <v>31</v>
      </c>
    </row>
    <row r="2113" spans="1:21" x14ac:dyDescent="0.2">
      <c r="A2113" s="49" t="s">
        <v>30</v>
      </c>
      <c r="D2113" s="49" t="s">
        <v>21161</v>
      </c>
      <c r="E2113" s="49" t="s">
        <v>21162</v>
      </c>
      <c r="F2113" s="49" t="s">
        <v>21163</v>
      </c>
      <c r="H2113" s="49" t="s">
        <v>21164</v>
      </c>
      <c r="O2113" s="49" t="s">
        <v>21165</v>
      </c>
      <c r="P2113" s="49" t="s">
        <v>21166</v>
      </c>
      <c r="Q2113" s="49" t="s">
        <v>21167</v>
      </c>
      <c r="R2113" s="49" t="s">
        <v>21168</v>
      </c>
      <c r="S2113" s="49" t="s">
        <v>21169</v>
      </c>
      <c r="T2113" s="49" t="s">
        <v>21170</v>
      </c>
      <c r="U2113" s="49" t="s">
        <v>21171</v>
      </c>
    </row>
    <row r="2114" spans="1:21" x14ac:dyDescent="0.2">
      <c r="A2114" s="49" t="s">
        <v>30</v>
      </c>
      <c r="D2114" s="49" t="s">
        <v>21172</v>
      </c>
      <c r="G2114" s="49" t="s">
        <v>21173</v>
      </c>
      <c r="H2114" s="49" t="s">
        <v>21174</v>
      </c>
      <c r="I2114" s="49" t="s">
        <v>21175</v>
      </c>
      <c r="J2114" s="49" t="s">
        <v>21176</v>
      </c>
      <c r="K2114" s="49" t="s">
        <v>21177</v>
      </c>
      <c r="L2114" s="49" t="s">
        <v>21178</v>
      </c>
      <c r="M2114" s="49" t="s">
        <v>21179</v>
      </c>
      <c r="N2114" s="49" t="s">
        <v>21180</v>
      </c>
      <c r="O2114" s="49" t="s">
        <v>21181</v>
      </c>
      <c r="P2114" s="49" t="s">
        <v>21182</v>
      </c>
      <c r="Q2114" s="49" t="s">
        <v>21183</v>
      </c>
      <c r="R2114" s="49" t="s">
        <v>21184</v>
      </c>
      <c r="S2114" s="49" t="s">
        <v>21185</v>
      </c>
      <c r="T2114" s="49" t="s">
        <v>21186</v>
      </c>
    </row>
    <row r="2115" spans="1:21" x14ac:dyDescent="0.2">
      <c r="A2115" s="49" t="s">
        <v>30</v>
      </c>
      <c r="D2115" s="49" t="s">
        <v>21187</v>
      </c>
      <c r="G2115" s="49" t="s">
        <v>21188</v>
      </c>
      <c r="H2115" s="49" t="s">
        <v>21189</v>
      </c>
      <c r="I2115" s="49" t="s">
        <v>21190</v>
      </c>
      <c r="J2115" s="49" t="s">
        <v>21191</v>
      </c>
      <c r="K2115" s="49" t="s">
        <v>21192</v>
      </c>
      <c r="L2115" s="49" t="s">
        <v>21193</v>
      </c>
      <c r="M2115" s="49" t="s">
        <v>21194</v>
      </c>
      <c r="N2115" s="49" t="s">
        <v>21195</v>
      </c>
      <c r="O2115" s="49" t="s">
        <v>21196</v>
      </c>
      <c r="P2115" s="49" t="s">
        <v>21197</v>
      </c>
      <c r="Q2115" s="49" t="s">
        <v>21198</v>
      </c>
      <c r="R2115" s="49" t="s">
        <v>21199</v>
      </c>
      <c r="S2115" s="49" t="s">
        <v>21200</v>
      </c>
      <c r="T2115" s="49" t="s">
        <v>21201</v>
      </c>
    </row>
    <row r="2116" spans="1:21" x14ac:dyDescent="0.2">
      <c r="A2116" s="49" t="s">
        <v>30</v>
      </c>
    </row>
    <row r="2117" spans="1:21" x14ac:dyDescent="0.2">
      <c r="A2117" s="49" t="s">
        <v>30</v>
      </c>
      <c r="E2117" s="49" t="s">
        <v>31</v>
      </c>
      <c r="F2117" s="49" t="s">
        <v>31</v>
      </c>
      <c r="G2117" s="49" t="s">
        <v>31</v>
      </c>
      <c r="J2117" s="49" t="s">
        <v>31</v>
      </c>
      <c r="K2117" s="49" t="s">
        <v>31</v>
      </c>
      <c r="L2117" s="49" t="s">
        <v>31</v>
      </c>
      <c r="M2117" s="49" t="s">
        <v>31</v>
      </c>
    </row>
    <row r="2118" spans="1:21" x14ac:dyDescent="0.2">
      <c r="A2118" s="49" t="s">
        <v>30</v>
      </c>
      <c r="D2118" s="49" t="s">
        <v>21202</v>
      </c>
      <c r="E2118" s="49" t="s">
        <v>21203</v>
      </c>
      <c r="F2118" s="49" t="s">
        <v>21204</v>
      </c>
      <c r="H2118" s="49" t="s">
        <v>21205</v>
      </c>
      <c r="O2118" s="49" t="s">
        <v>21206</v>
      </c>
      <c r="P2118" s="49" t="s">
        <v>21207</v>
      </c>
      <c r="Q2118" s="49" t="s">
        <v>21208</v>
      </c>
      <c r="R2118" s="49" t="s">
        <v>21209</v>
      </c>
      <c r="S2118" s="49" t="s">
        <v>21210</v>
      </c>
      <c r="T2118" s="49" t="s">
        <v>21211</v>
      </c>
      <c r="U2118" s="49" t="s">
        <v>21212</v>
      </c>
    </row>
    <row r="2119" spans="1:21" x14ac:dyDescent="0.2">
      <c r="A2119" s="49" t="s">
        <v>30</v>
      </c>
      <c r="D2119" s="49" t="s">
        <v>21213</v>
      </c>
      <c r="G2119" s="49" t="s">
        <v>21214</v>
      </c>
      <c r="H2119" s="49" t="s">
        <v>21215</v>
      </c>
      <c r="I2119" s="49" t="s">
        <v>21216</v>
      </c>
      <c r="J2119" s="49" t="s">
        <v>21217</v>
      </c>
      <c r="K2119" s="49" t="s">
        <v>21218</v>
      </c>
      <c r="L2119" s="49" t="s">
        <v>21219</v>
      </c>
      <c r="M2119" s="49" t="s">
        <v>21220</v>
      </c>
      <c r="N2119" s="49" t="s">
        <v>21221</v>
      </c>
      <c r="O2119" s="49" t="s">
        <v>21222</v>
      </c>
      <c r="P2119" s="49" t="s">
        <v>21223</v>
      </c>
      <c r="Q2119" s="49" t="s">
        <v>21224</v>
      </c>
      <c r="R2119" s="49" t="s">
        <v>21225</v>
      </c>
      <c r="S2119" s="49" t="s">
        <v>21226</v>
      </c>
      <c r="T2119" s="49" t="s">
        <v>21227</v>
      </c>
    </row>
    <row r="2120" spans="1:21" x14ac:dyDescent="0.2">
      <c r="A2120" s="49" t="s">
        <v>30</v>
      </c>
    </row>
    <row r="2121" spans="1:21" x14ac:dyDescent="0.2">
      <c r="A2121" s="49" t="s">
        <v>30</v>
      </c>
      <c r="E2121" s="49" t="s">
        <v>31</v>
      </c>
      <c r="F2121" s="49" t="s">
        <v>31</v>
      </c>
      <c r="G2121" s="49" t="s">
        <v>31</v>
      </c>
      <c r="J2121" s="49" t="s">
        <v>31</v>
      </c>
      <c r="K2121" s="49" t="s">
        <v>31</v>
      </c>
      <c r="L2121" s="49" t="s">
        <v>31</v>
      </c>
      <c r="M2121" s="49" t="s">
        <v>31</v>
      </c>
    </row>
    <row r="2122" spans="1:21" x14ac:dyDescent="0.2">
      <c r="A2122" s="49" t="s">
        <v>30</v>
      </c>
      <c r="D2122" s="49" t="s">
        <v>21228</v>
      </c>
      <c r="E2122" s="49" t="s">
        <v>21229</v>
      </c>
      <c r="F2122" s="49" t="s">
        <v>21230</v>
      </c>
      <c r="H2122" s="49" t="s">
        <v>21231</v>
      </c>
      <c r="O2122" s="49" t="s">
        <v>21232</v>
      </c>
      <c r="P2122" s="49" t="s">
        <v>21233</v>
      </c>
      <c r="Q2122" s="49" t="s">
        <v>21234</v>
      </c>
      <c r="R2122" s="49" t="s">
        <v>21235</v>
      </c>
      <c r="S2122" s="49" t="s">
        <v>21236</v>
      </c>
      <c r="T2122" s="49" t="s">
        <v>21237</v>
      </c>
      <c r="U2122" s="49" t="s">
        <v>21238</v>
      </c>
    </row>
    <row r="2123" spans="1:21" x14ac:dyDescent="0.2">
      <c r="A2123" s="49" t="s">
        <v>30</v>
      </c>
      <c r="D2123" s="49" t="s">
        <v>21239</v>
      </c>
      <c r="G2123" s="49" t="s">
        <v>21240</v>
      </c>
      <c r="H2123" s="49" t="s">
        <v>21556</v>
      </c>
      <c r="I2123" s="49" t="s">
        <v>21560</v>
      </c>
      <c r="J2123" s="49" t="s">
        <v>21588</v>
      </c>
      <c r="K2123" s="49" t="s">
        <v>21592</v>
      </c>
      <c r="L2123" s="49" t="s">
        <v>21241</v>
      </c>
      <c r="M2123" s="49" t="s">
        <v>21242</v>
      </c>
      <c r="N2123" s="49" t="s">
        <v>21243</v>
      </c>
      <c r="O2123" s="49" t="s">
        <v>21564</v>
      </c>
      <c r="P2123" s="49" t="s">
        <v>21568</v>
      </c>
      <c r="Q2123" s="49" t="s">
        <v>21572</v>
      </c>
      <c r="R2123" s="49" t="s">
        <v>21576</v>
      </c>
      <c r="S2123" s="49" t="s">
        <v>21580</v>
      </c>
      <c r="T2123" s="49" t="s">
        <v>21584</v>
      </c>
    </row>
    <row r="2124" spans="1:21" x14ac:dyDescent="0.2">
      <c r="A2124" s="49" t="s">
        <v>30</v>
      </c>
      <c r="D2124" s="49" t="s">
        <v>21244</v>
      </c>
      <c r="G2124" s="49" t="s">
        <v>21245</v>
      </c>
      <c r="H2124" s="49" t="s">
        <v>21557</v>
      </c>
      <c r="I2124" s="49" t="s">
        <v>21561</v>
      </c>
      <c r="J2124" s="49" t="s">
        <v>21589</v>
      </c>
      <c r="K2124" s="49" t="s">
        <v>21593</v>
      </c>
      <c r="L2124" s="49" t="s">
        <v>21246</v>
      </c>
      <c r="M2124" s="49" t="s">
        <v>21247</v>
      </c>
      <c r="N2124" s="49" t="s">
        <v>21248</v>
      </c>
      <c r="O2124" s="49" t="s">
        <v>21565</v>
      </c>
      <c r="P2124" s="49" t="s">
        <v>21569</v>
      </c>
      <c r="Q2124" s="49" t="s">
        <v>21573</v>
      </c>
      <c r="R2124" s="49" t="s">
        <v>21577</v>
      </c>
      <c r="S2124" s="49" t="s">
        <v>21581</v>
      </c>
      <c r="T2124" s="49" t="s">
        <v>21585</v>
      </c>
    </row>
    <row r="2125" spans="1:21" x14ac:dyDescent="0.2">
      <c r="A2125" s="49" t="s">
        <v>30</v>
      </c>
      <c r="D2125" s="49" t="s">
        <v>21249</v>
      </c>
      <c r="G2125" s="49" t="s">
        <v>21250</v>
      </c>
      <c r="H2125" s="49" t="s">
        <v>21558</v>
      </c>
      <c r="I2125" s="49" t="s">
        <v>21562</v>
      </c>
      <c r="J2125" s="49" t="s">
        <v>21590</v>
      </c>
      <c r="K2125" s="49" t="s">
        <v>21594</v>
      </c>
      <c r="L2125" s="49" t="s">
        <v>21251</v>
      </c>
      <c r="M2125" s="49" t="s">
        <v>21252</v>
      </c>
      <c r="N2125" s="49" t="s">
        <v>21253</v>
      </c>
      <c r="O2125" s="49" t="s">
        <v>21566</v>
      </c>
      <c r="P2125" s="49" t="s">
        <v>21570</v>
      </c>
      <c r="Q2125" s="49" t="s">
        <v>21574</v>
      </c>
      <c r="R2125" s="49" t="s">
        <v>21578</v>
      </c>
      <c r="S2125" s="49" t="s">
        <v>21582</v>
      </c>
      <c r="T2125" s="49" t="s">
        <v>21586</v>
      </c>
    </row>
    <row r="2126" spans="1:21" x14ac:dyDescent="0.2">
      <c r="A2126" s="49" t="s">
        <v>30</v>
      </c>
      <c r="D2126" s="49" t="s">
        <v>21254</v>
      </c>
      <c r="G2126" s="49" t="s">
        <v>21255</v>
      </c>
      <c r="H2126" s="49" t="s">
        <v>21559</v>
      </c>
      <c r="I2126" s="49" t="s">
        <v>21563</v>
      </c>
      <c r="J2126" s="49" t="s">
        <v>21591</v>
      </c>
      <c r="K2126" s="49" t="s">
        <v>21595</v>
      </c>
      <c r="L2126" s="49" t="s">
        <v>21256</v>
      </c>
      <c r="M2126" s="49" t="s">
        <v>21257</v>
      </c>
      <c r="N2126" s="49" t="s">
        <v>21258</v>
      </c>
      <c r="O2126" s="49" t="s">
        <v>21567</v>
      </c>
      <c r="P2126" s="49" t="s">
        <v>21571</v>
      </c>
      <c r="Q2126" s="49" t="s">
        <v>21575</v>
      </c>
      <c r="R2126" s="49" t="s">
        <v>21579</v>
      </c>
      <c r="S2126" s="49" t="s">
        <v>21583</v>
      </c>
      <c r="T2126" s="49" t="s">
        <v>21587</v>
      </c>
    </row>
    <row r="2127" spans="1:21" x14ac:dyDescent="0.2">
      <c r="A2127" s="49" t="s">
        <v>30</v>
      </c>
    </row>
    <row r="2128" spans="1:21" x14ac:dyDescent="0.2">
      <c r="A2128" s="49" t="s">
        <v>30</v>
      </c>
      <c r="E2128" s="49" t="s">
        <v>31</v>
      </c>
      <c r="F2128" s="49" t="s">
        <v>31</v>
      </c>
      <c r="G2128" s="49" t="s">
        <v>31</v>
      </c>
      <c r="J2128" s="49" t="s">
        <v>31</v>
      </c>
      <c r="K2128" s="49" t="s">
        <v>31</v>
      </c>
      <c r="L2128" s="49" t="s">
        <v>31</v>
      </c>
      <c r="M2128" s="49" t="s">
        <v>31</v>
      </c>
    </row>
    <row r="2129" spans="1:21" x14ac:dyDescent="0.2">
      <c r="A2129" s="49" t="s">
        <v>30</v>
      </c>
      <c r="D2129" s="49" t="s">
        <v>21259</v>
      </c>
      <c r="E2129" s="49" t="s">
        <v>21260</v>
      </c>
      <c r="F2129" s="49" t="s">
        <v>21261</v>
      </c>
      <c r="H2129" s="49" t="s">
        <v>21262</v>
      </c>
      <c r="O2129" s="49" t="s">
        <v>21263</v>
      </c>
      <c r="P2129" s="49" t="s">
        <v>21264</v>
      </c>
      <c r="Q2129" s="49" t="s">
        <v>21265</v>
      </c>
      <c r="R2129" s="49" t="s">
        <v>21266</v>
      </c>
      <c r="S2129" s="49" t="s">
        <v>21267</v>
      </c>
      <c r="T2129" s="49" t="s">
        <v>21268</v>
      </c>
      <c r="U2129" s="49" t="s">
        <v>21269</v>
      </c>
    </row>
    <row r="2130" spans="1:21" x14ac:dyDescent="0.2">
      <c r="A2130" s="49" t="s">
        <v>30</v>
      </c>
      <c r="D2130" s="49" t="s">
        <v>21270</v>
      </c>
      <c r="G2130" s="49" t="s">
        <v>21271</v>
      </c>
      <c r="H2130" s="49" t="s">
        <v>21526</v>
      </c>
      <c r="I2130" s="49" t="s">
        <v>21529</v>
      </c>
      <c r="J2130" s="49" t="s">
        <v>21550</v>
      </c>
      <c r="K2130" s="49" t="s">
        <v>21553</v>
      </c>
      <c r="L2130" s="49" t="s">
        <v>21272</v>
      </c>
      <c r="M2130" s="49" t="s">
        <v>21273</v>
      </c>
      <c r="N2130" s="49" t="s">
        <v>21274</v>
      </c>
      <c r="O2130" s="49" t="s">
        <v>21532</v>
      </c>
      <c r="P2130" s="49" t="s">
        <v>21535</v>
      </c>
      <c r="Q2130" s="49" t="s">
        <v>21538</v>
      </c>
      <c r="R2130" s="49" t="s">
        <v>21541</v>
      </c>
      <c r="S2130" s="49" t="s">
        <v>21544</v>
      </c>
      <c r="T2130" s="49" t="s">
        <v>21547</v>
      </c>
    </row>
    <row r="2131" spans="1:21" x14ac:dyDescent="0.2">
      <c r="A2131" s="49" t="s">
        <v>30</v>
      </c>
      <c r="D2131" s="49" t="s">
        <v>21275</v>
      </c>
      <c r="G2131" s="49" t="s">
        <v>21276</v>
      </c>
      <c r="H2131" s="49" t="s">
        <v>21527</v>
      </c>
      <c r="I2131" s="49" t="s">
        <v>21530</v>
      </c>
      <c r="J2131" s="49" t="s">
        <v>21551</v>
      </c>
      <c r="K2131" s="49" t="s">
        <v>21554</v>
      </c>
      <c r="L2131" s="49" t="s">
        <v>21277</v>
      </c>
      <c r="M2131" s="49" t="s">
        <v>21278</v>
      </c>
      <c r="N2131" s="49" t="s">
        <v>21279</v>
      </c>
      <c r="O2131" s="49" t="s">
        <v>21533</v>
      </c>
      <c r="P2131" s="49" t="s">
        <v>21536</v>
      </c>
      <c r="Q2131" s="49" t="s">
        <v>21539</v>
      </c>
      <c r="R2131" s="49" t="s">
        <v>21542</v>
      </c>
      <c r="S2131" s="49" t="s">
        <v>21545</v>
      </c>
      <c r="T2131" s="49" t="s">
        <v>21548</v>
      </c>
    </row>
    <row r="2132" spans="1:21" x14ac:dyDescent="0.2">
      <c r="A2132" s="49" t="s">
        <v>30</v>
      </c>
      <c r="D2132" s="49" t="s">
        <v>21280</v>
      </c>
      <c r="G2132" s="49" t="s">
        <v>21281</v>
      </c>
      <c r="H2132" s="49" t="s">
        <v>21528</v>
      </c>
      <c r="I2132" s="49" t="s">
        <v>21531</v>
      </c>
      <c r="J2132" s="49" t="s">
        <v>21552</v>
      </c>
      <c r="K2132" s="49" t="s">
        <v>21555</v>
      </c>
      <c r="L2132" s="49" t="s">
        <v>21282</v>
      </c>
      <c r="M2132" s="49" t="s">
        <v>21283</v>
      </c>
      <c r="N2132" s="49" t="s">
        <v>21284</v>
      </c>
      <c r="O2132" s="49" t="s">
        <v>21534</v>
      </c>
      <c r="P2132" s="49" t="s">
        <v>21537</v>
      </c>
      <c r="Q2132" s="49" t="s">
        <v>21540</v>
      </c>
      <c r="R2132" s="49" t="s">
        <v>21543</v>
      </c>
      <c r="S2132" s="49" t="s">
        <v>21546</v>
      </c>
      <c r="T2132" s="49" t="s">
        <v>21549</v>
      </c>
    </row>
    <row r="2133" spans="1:21" x14ac:dyDescent="0.2">
      <c r="A2133" s="49" t="s">
        <v>30</v>
      </c>
    </row>
    <row r="2134" spans="1:21" x14ac:dyDescent="0.2">
      <c r="A2134" s="49" t="s">
        <v>30</v>
      </c>
      <c r="E2134" s="49" t="s">
        <v>31</v>
      </c>
      <c r="F2134" s="49" t="s">
        <v>31</v>
      </c>
      <c r="G2134" s="49" t="s">
        <v>31</v>
      </c>
      <c r="J2134" s="49" t="s">
        <v>31</v>
      </c>
      <c r="K2134" s="49" t="s">
        <v>31</v>
      </c>
      <c r="L2134" s="49" t="s">
        <v>31</v>
      </c>
      <c r="M2134" s="49" t="s">
        <v>31</v>
      </c>
    </row>
    <row r="2135" spans="1:21" x14ac:dyDescent="0.2">
      <c r="A2135" s="49" t="s">
        <v>30</v>
      </c>
      <c r="D2135" s="49" t="s">
        <v>21285</v>
      </c>
      <c r="E2135" s="49" t="s">
        <v>21286</v>
      </c>
      <c r="F2135" s="49" t="s">
        <v>21287</v>
      </c>
      <c r="H2135" s="49" t="s">
        <v>21288</v>
      </c>
      <c r="O2135" s="49" t="s">
        <v>21289</v>
      </c>
      <c r="P2135" s="49" t="s">
        <v>21290</v>
      </c>
      <c r="Q2135" s="49" t="s">
        <v>21291</v>
      </c>
      <c r="R2135" s="49" t="s">
        <v>21292</v>
      </c>
      <c r="S2135" s="49" t="s">
        <v>21293</v>
      </c>
      <c r="T2135" s="49" t="s">
        <v>21294</v>
      </c>
      <c r="U2135" s="49" t="s">
        <v>21295</v>
      </c>
    </row>
    <row r="2136" spans="1:21" x14ac:dyDescent="0.2">
      <c r="A2136" s="49" t="s">
        <v>30</v>
      </c>
      <c r="D2136" s="49" t="s">
        <v>21296</v>
      </c>
      <c r="G2136" s="49" t="s">
        <v>21297</v>
      </c>
      <c r="H2136" s="49" t="s">
        <v>21298</v>
      </c>
      <c r="I2136" s="49" t="s">
        <v>21299</v>
      </c>
      <c r="J2136" s="49" t="s">
        <v>21300</v>
      </c>
      <c r="K2136" s="49" t="s">
        <v>21301</v>
      </c>
      <c r="L2136" s="49" t="s">
        <v>21302</v>
      </c>
      <c r="M2136" s="49" t="s">
        <v>21303</v>
      </c>
      <c r="N2136" s="49" t="s">
        <v>21304</v>
      </c>
      <c r="O2136" s="49" t="s">
        <v>21305</v>
      </c>
      <c r="P2136" s="49" t="s">
        <v>21306</v>
      </c>
      <c r="Q2136" s="49" t="s">
        <v>21307</v>
      </c>
      <c r="R2136" s="49" t="s">
        <v>21308</v>
      </c>
      <c r="S2136" s="49" t="s">
        <v>21309</v>
      </c>
      <c r="T2136" s="49" t="s">
        <v>21310</v>
      </c>
    </row>
    <row r="2137" spans="1:21" x14ac:dyDescent="0.2">
      <c r="A2137" s="49" t="s">
        <v>30</v>
      </c>
    </row>
    <row r="2138" spans="1:21" x14ac:dyDescent="0.2">
      <c r="A2138" s="49" t="s">
        <v>30</v>
      </c>
      <c r="E2138" s="49" t="s">
        <v>31</v>
      </c>
      <c r="F2138" s="49" t="s">
        <v>31</v>
      </c>
      <c r="G2138" s="49" t="s">
        <v>31</v>
      </c>
      <c r="J2138" s="49" t="s">
        <v>31</v>
      </c>
      <c r="K2138" s="49" t="s">
        <v>31</v>
      </c>
      <c r="L2138" s="49" t="s">
        <v>31</v>
      </c>
      <c r="M2138" s="49" t="s">
        <v>31</v>
      </c>
    </row>
    <row r="2139" spans="1:21" x14ac:dyDescent="0.2">
      <c r="A2139" s="49" t="s">
        <v>30</v>
      </c>
      <c r="D2139" s="49" t="s">
        <v>21311</v>
      </c>
      <c r="E2139" s="49" t="s">
        <v>21312</v>
      </c>
      <c r="F2139" s="49" t="s">
        <v>21313</v>
      </c>
      <c r="H2139" s="49" t="s">
        <v>21314</v>
      </c>
      <c r="O2139" s="49" t="s">
        <v>21315</v>
      </c>
      <c r="P2139" s="49" t="s">
        <v>21316</v>
      </c>
      <c r="Q2139" s="49" t="s">
        <v>21317</v>
      </c>
      <c r="R2139" s="49" t="s">
        <v>21318</v>
      </c>
      <c r="S2139" s="49" t="s">
        <v>21319</v>
      </c>
      <c r="T2139" s="49" t="s">
        <v>21320</v>
      </c>
      <c r="U2139" s="49" t="s">
        <v>21321</v>
      </c>
    </row>
    <row r="2140" spans="1:21" x14ac:dyDescent="0.2">
      <c r="A2140" s="49" t="s">
        <v>30</v>
      </c>
      <c r="D2140" s="49" t="s">
        <v>21322</v>
      </c>
      <c r="G2140" s="49" t="s">
        <v>21323</v>
      </c>
      <c r="H2140" s="49" t="s">
        <v>21324</v>
      </c>
      <c r="I2140" s="49" t="s">
        <v>21325</v>
      </c>
      <c r="J2140" s="49" t="s">
        <v>21326</v>
      </c>
      <c r="K2140" s="49" t="s">
        <v>21327</v>
      </c>
      <c r="L2140" s="49" t="s">
        <v>21328</v>
      </c>
      <c r="M2140" s="49" t="s">
        <v>21329</v>
      </c>
      <c r="N2140" s="49" t="s">
        <v>21330</v>
      </c>
      <c r="O2140" s="49" t="s">
        <v>21331</v>
      </c>
      <c r="P2140" s="49" t="s">
        <v>21332</v>
      </c>
      <c r="Q2140" s="49" t="s">
        <v>21333</v>
      </c>
      <c r="R2140" s="49" t="s">
        <v>21334</v>
      </c>
      <c r="S2140" s="49" t="s">
        <v>21335</v>
      </c>
      <c r="T2140" s="49" t="s">
        <v>21336</v>
      </c>
    </row>
    <row r="2141" spans="1:21" x14ac:dyDescent="0.2">
      <c r="A2141" s="49" t="s">
        <v>30</v>
      </c>
      <c r="D2141" s="49" t="s">
        <v>21337</v>
      </c>
      <c r="G2141" s="49" t="s">
        <v>21338</v>
      </c>
      <c r="H2141" s="49" t="s">
        <v>21339</v>
      </c>
      <c r="I2141" s="49" t="s">
        <v>21340</v>
      </c>
      <c r="J2141" s="49" t="s">
        <v>21341</v>
      </c>
      <c r="K2141" s="49" t="s">
        <v>21342</v>
      </c>
      <c r="L2141" s="49" t="s">
        <v>21343</v>
      </c>
      <c r="M2141" s="49" t="s">
        <v>21344</v>
      </c>
      <c r="N2141" s="49" t="s">
        <v>21345</v>
      </c>
      <c r="O2141" s="49" t="s">
        <v>21346</v>
      </c>
      <c r="P2141" s="49" t="s">
        <v>21347</v>
      </c>
      <c r="Q2141" s="49" t="s">
        <v>21348</v>
      </c>
      <c r="R2141" s="49" t="s">
        <v>21349</v>
      </c>
      <c r="S2141" s="49" t="s">
        <v>21350</v>
      </c>
      <c r="T2141" s="49" t="s">
        <v>21351</v>
      </c>
    </row>
    <row r="2142" spans="1:21" x14ac:dyDescent="0.2">
      <c r="A2142" s="49" t="s">
        <v>30</v>
      </c>
    </row>
    <row r="2143" spans="1:21" x14ac:dyDescent="0.2">
      <c r="A2143" s="49" t="s">
        <v>30</v>
      </c>
      <c r="E2143" s="49" t="s">
        <v>31</v>
      </c>
      <c r="F2143" s="49" t="s">
        <v>31</v>
      </c>
      <c r="G2143" s="49" t="s">
        <v>31</v>
      </c>
      <c r="J2143" s="49" t="s">
        <v>31</v>
      </c>
      <c r="K2143" s="49" t="s">
        <v>31</v>
      </c>
      <c r="L2143" s="49" t="s">
        <v>31</v>
      </c>
      <c r="M2143" s="49" t="s">
        <v>31</v>
      </c>
    </row>
    <row r="2144" spans="1:21" x14ac:dyDescent="0.2">
      <c r="A2144" s="49" t="s">
        <v>30</v>
      </c>
      <c r="D2144" s="49" t="s">
        <v>21352</v>
      </c>
      <c r="E2144" s="49" t="s">
        <v>21353</v>
      </c>
      <c r="F2144" s="49" t="s">
        <v>21354</v>
      </c>
      <c r="H2144" s="49" t="s">
        <v>21355</v>
      </c>
      <c r="O2144" s="49" t="s">
        <v>21356</v>
      </c>
      <c r="P2144" s="49" t="s">
        <v>21357</v>
      </c>
      <c r="Q2144" s="49" t="s">
        <v>21358</v>
      </c>
      <c r="R2144" s="49" t="s">
        <v>21359</v>
      </c>
      <c r="S2144" s="49" t="s">
        <v>21360</v>
      </c>
      <c r="T2144" s="49" t="s">
        <v>21361</v>
      </c>
      <c r="U2144" s="49" t="s">
        <v>21362</v>
      </c>
    </row>
    <row r="2145" spans="1:21" x14ac:dyDescent="0.2">
      <c r="A2145" s="49" t="s">
        <v>30</v>
      </c>
      <c r="D2145" s="49" t="s">
        <v>21363</v>
      </c>
      <c r="G2145" s="49" t="s">
        <v>21364</v>
      </c>
      <c r="H2145" s="49" t="s">
        <v>21365</v>
      </c>
      <c r="I2145" s="49" t="s">
        <v>21366</v>
      </c>
      <c r="J2145" s="49" t="s">
        <v>21367</v>
      </c>
      <c r="K2145" s="49" t="s">
        <v>21368</v>
      </c>
      <c r="L2145" s="49" t="s">
        <v>21369</v>
      </c>
      <c r="M2145" s="49" t="s">
        <v>21370</v>
      </c>
      <c r="N2145" s="49" t="s">
        <v>21371</v>
      </c>
      <c r="O2145" s="49" t="s">
        <v>21372</v>
      </c>
      <c r="P2145" s="49" t="s">
        <v>21373</v>
      </c>
      <c r="Q2145" s="49" t="s">
        <v>21374</v>
      </c>
      <c r="R2145" s="49" t="s">
        <v>21375</v>
      </c>
      <c r="S2145" s="49" t="s">
        <v>21376</v>
      </c>
      <c r="T2145" s="49" t="s">
        <v>21377</v>
      </c>
    </row>
    <row r="2146" spans="1:21" x14ac:dyDescent="0.2">
      <c r="A2146" s="49" t="s">
        <v>30</v>
      </c>
      <c r="D2146" s="49" t="s">
        <v>21378</v>
      </c>
      <c r="G2146" s="49" t="s">
        <v>21379</v>
      </c>
      <c r="H2146" s="49" t="s">
        <v>21380</v>
      </c>
      <c r="I2146" s="49" t="s">
        <v>21381</v>
      </c>
      <c r="J2146" s="49" t="s">
        <v>21382</v>
      </c>
      <c r="K2146" s="49" t="s">
        <v>21383</v>
      </c>
      <c r="L2146" s="49" t="s">
        <v>21384</v>
      </c>
      <c r="M2146" s="49" t="s">
        <v>21385</v>
      </c>
      <c r="N2146" s="49" t="s">
        <v>21386</v>
      </c>
      <c r="O2146" s="49" t="s">
        <v>21387</v>
      </c>
      <c r="P2146" s="49" t="s">
        <v>21388</v>
      </c>
      <c r="Q2146" s="49" t="s">
        <v>21389</v>
      </c>
      <c r="R2146" s="49" t="s">
        <v>21390</v>
      </c>
      <c r="S2146" s="49" t="s">
        <v>21391</v>
      </c>
      <c r="T2146" s="49" t="s">
        <v>21392</v>
      </c>
    </row>
    <row r="2147" spans="1:21" x14ac:dyDescent="0.2">
      <c r="A2147" s="49" t="s">
        <v>30</v>
      </c>
    </row>
    <row r="2148" spans="1:21" x14ac:dyDescent="0.2">
      <c r="A2148" s="49" t="s">
        <v>30</v>
      </c>
      <c r="E2148" s="49" t="s">
        <v>31</v>
      </c>
      <c r="F2148" s="49" t="s">
        <v>31</v>
      </c>
      <c r="G2148" s="49" t="s">
        <v>31</v>
      </c>
      <c r="J2148" s="49" t="s">
        <v>31</v>
      </c>
      <c r="K2148" s="49" t="s">
        <v>31</v>
      </c>
      <c r="L2148" s="49" t="s">
        <v>31</v>
      </c>
      <c r="M2148" s="49" t="s">
        <v>31</v>
      </c>
    </row>
    <row r="2149" spans="1:21" x14ac:dyDescent="0.2">
      <c r="A2149" s="49" t="s">
        <v>30</v>
      </c>
      <c r="D2149" s="49" t="s">
        <v>21393</v>
      </c>
      <c r="E2149" s="49" t="s">
        <v>21394</v>
      </c>
      <c r="F2149" s="49" t="s">
        <v>21395</v>
      </c>
      <c r="H2149" s="49" t="s">
        <v>21396</v>
      </c>
      <c r="O2149" s="49" t="s">
        <v>21397</v>
      </c>
      <c r="P2149" s="49" t="s">
        <v>21398</v>
      </c>
      <c r="Q2149" s="49" t="s">
        <v>21399</v>
      </c>
      <c r="R2149" s="49" t="s">
        <v>21400</v>
      </c>
      <c r="S2149" s="49" t="s">
        <v>21401</v>
      </c>
      <c r="T2149" s="49" t="s">
        <v>21402</v>
      </c>
      <c r="U2149" s="49" t="s">
        <v>21403</v>
      </c>
    </row>
    <row r="2150" spans="1:21" x14ac:dyDescent="0.2">
      <c r="A2150" s="49" t="s">
        <v>30</v>
      </c>
      <c r="D2150" s="49" t="s">
        <v>21404</v>
      </c>
      <c r="G2150" s="49" t="s">
        <v>21405</v>
      </c>
      <c r="H2150" s="49" t="s">
        <v>21406</v>
      </c>
      <c r="I2150" s="49" t="s">
        <v>21407</v>
      </c>
      <c r="J2150" s="49" t="s">
        <v>21408</v>
      </c>
      <c r="K2150" s="49" t="s">
        <v>21409</v>
      </c>
      <c r="L2150" s="49" t="s">
        <v>21410</v>
      </c>
      <c r="M2150" s="49" t="s">
        <v>21411</v>
      </c>
      <c r="N2150" s="49" t="s">
        <v>21412</v>
      </c>
      <c r="O2150" s="49" t="s">
        <v>21413</v>
      </c>
      <c r="P2150" s="49" t="s">
        <v>21414</v>
      </c>
      <c r="Q2150" s="49" t="s">
        <v>21415</v>
      </c>
      <c r="R2150" s="49" t="s">
        <v>21416</v>
      </c>
      <c r="S2150" s="49" t="s">
        <v>21417</v>
      </c>
      <c r="T2150" s="49" t="s">
        <v>21418</v>
      </c>
    </row>
    <row r="2151" spans="1:21" x14ac:dyDescent="0.2">
      <c r="A2151" s="49" t="s">
        <v>30</v>
      </c>
    </row>
    <row r="2152" spans="1:21" x14ac:dyDescent="0.2">
      <c r="A2152" s="49" t="s">
        <v>30</v>
      </c>
      <c r="E2152" s="49" t="s">
        <v>31</v>
      </c>
      <c r="F2152" s="49" t="s">
        <v>31</v>
      </c>
      <c r="G2152" s="49" t="s">
        <v>31</v>
      </c>
      <c r="J2152" s="49" t="s">
        <v>31</v>
      </c>
      <c r="K2152" s="49" t="s">
        <v>31</v>
      </c>
      <c r="L2152" s="49" t="s">
        <v>31</v>
      </c>
      <c r="M2152" s="49" t="s">
        <v>31</v>
      </c>
    </row>
    <row r="2153" spans="1:21" x14ac:dyDescent="0.2">
      <c r="A2153" s="49" t="s">
        <v>30</v>
      </c>
      <c r="D2153" s="49" t="s">
        <v>21419</v>
      </c>
      <c r="E2153" s="49" t="s">
        <v>21420</v>
      </c>
      <c r="F2153" s="49" t="s">
        <v>21421</v>
      </c>
      <c r="H2153" s="49" t="s">
        <v>21422</v>
      </c>
      <c r="O2153" s="49" t="s">
        <v>21423</v>
      </c>
      <c r="P2153" s="49" t="s">
        <v>21424</v>
      </c>
      <c r="Q2153" s="49" t="s">
        <v>21425</v>
      </c>
      <c r="R2153" s="49" t="s">
        <v>21426</v>
      </c>
      <c r="S2153" s="49" t="s">
        <v>21427</v>
      </c>
      <c r="T2153" s="49" t="s">
        <v>21428</v>
      </c>
      <c r="U2153" s="49" t="s">
        <v>21429</v>
      </c>
    </row>
    <row r="2154" spans="1:21" x14ac:dyDescent="0.2">
      <c r="A2154" s="49" t="s">
        <v>30</v>
      </c>
      <c r="D2154" s="49" t="s">
        <v>21430</v>
      </c>
      <c r="G2154" s="49" t="s">
        <v>21431</v>
      </c>
      <c r="H2154" s="49" t="s">
        <v>21432</v>
      </c>
      <c r="I2154" s="49" t="s">
        <v>21433</v>
      </c>
      <c r="J2154" s="49" t="s">
        <v>21434</v>
      </c>
      <c r="K2154" s="49" t="s">
        <v>21435</v>
      </c>
      <c r="L2154" s="49" t="s">
        <v>21436</v>
      </c>
      <c r="M2154" s="49" t="s">
        <v>21437</v>
      </c>
      <c r="N2154" s="49" t="s">
        <v>21438</v>
      </c>
      <c r="O2154" s="49" t="s">
        <v>21439</v>
      </c>
      <c r="P2154" s="49" t="s">
        <v>21440</v>
      </c>
      <c r="Q2154" s="49" t="s">
        <v>21441</v>
      </c>
      <c r="R2154" s="49" t="s">
        <v>21442</v>
      </c>
      <c r="S2154" s="49" t="s">
        <v>21443</v>
      </c>
      <c r="T2154" s="49" t="s">
        <v>21444</v>
      </c>
    </row>
    <row r="2155" spans="1:21" x14ac:dyDescent="0.2">
      <c r="A2155" s="49" t="s">
        <v>30</v>
      </c>
    </row>
    <row r="2156" spans="1:21" x14ac:dyDescent="0.2">
      <c r="A2156" s="49" t="s">
        <v>30</v>
      </c>
      <c r="E2156" s="49" t="s">
        <v>31</v>
      </c>
      <c r="F2156" s="49" t="s">
        <v>31</v>
      </c>
      <c r="G2156" s="49" t="s">
        <v>31</v>
      </c>
      <c r="J2156" s="49" t="s">
        <v>31</v>
      </c>
      <c r="K2156" s="49" t="s">
        <v>31</v>
      </c>
      <c r="L2156" s="49" t="s">
        <v>31</v>
      </c>
      <c r="M2156" s="49" t="s">
        <v>31</v>
      </c>
    </row>
    <row r="2157" spans="1:21" x14ac:dyDescent="0.2">
      <c r="A2157" s="49" t="s">
        <v>30</v>
      </c>
      <c r="D2157" s="49" t="s">
        <v>21445</v>
      </c>
      <c r="E2157" s="49" t="s">
        <v>21446</v>
      </c>
      <c r="F2157" s="49" t="s">
        <v>21447</v>
      </c>
      <c r="H2157" s="49" t="s">
        <v>21448</v>
      </c>
      <c r="O2157" s="49" t="s">
        <v>21449</v>
      </c>
      <c r="P2157" s="49" t="s">
        <v>21450</v>
      </c>
      <c r="Q2157" s="49" t="s">
        <v>21451</v>
      </c>
      <c r="R2157" s="49" t="s">
        <v>21452</v>
      </c>
      <c r="S2157" s="49" t="s">
        <v>21453</v>
      </c>
      <c r="T2157" s="49" t="s">
        <v>21454</v>
      </c>
      <c r="U2157" s="49" t="s">
        <v>21455</v>
      </c>
    </row>
    <row r="2158" spans="1:21" x14ac:dyDescent="0.2">
      <c r="A2158" s="49" t="s">
        <v>30</v>
      </c>
      <c r="D2158" s="49" t="s">
        <v>21456</v>
      </c>
      <c r="G2158" s="49" t="s">
        <v>21457</v>
      </c>
      <c r="H2158" s="49" t="s">
        <v>21458</v>
      </c>
      <c r="I2158" s="49" t="s">
        <v>21459</v>
      </c>
      <c r="J2158" s="49" t="s">
        <v>21460</v>
      </c>
      <c r="K2158" s="49" t="s">
        <v>21461</v>
      </c>
      <c r="L2158" s="49" t="s">
        <v>21462</v>
      </c>
      <c r="M2158" s="49" t="s">
        <v>21463</v>
      </c>
      <c r="N2158" s="49" t="s">
        <v>21464</v>
      </c>
      <c r="O2158" s="49" t="s">
        <v>21465</v>
      </c>
      <c r="P2158" s="49" t="s">
        <v>21466</v>
      </c>
      <c r="Q2158" s="49" t="s">
        <v>21467</v>
      </c>
      <c r="R2158" s="49" t="s">
        <v>21468</v>
      </c>
      <c r="S2158" s="49" t="s">
        <v>21469</v>
      </c>
      <c r="T2158" s="49" t="s">
        <v>21470</v>
      </c>
    </row>
    <row r="2159" spans="1:21" x14ac:dyDescent="0.2">
      <c r="A2159" s="49" t="s">
        <v>30</v>
      </c>
    </row>
    <row r="2160" spans="1:21" x14ac:dyDescent="0.2">
      <c r="A2160" s="49" t="s">
        <v>30</v>
      </c>
      <c r="E2160" s="49" t="s">
        <v>31</v>
      </c>
      <c r="F2160" s="49" t="s">
        <v>31</v>
      </c>
      <c r="G2160" s="49" t="s">
        <v>31</v>
      </c>
      <c r="J2160" s="49" t="s">
        <v>31</v>
      </c>
      <c r="K2160" s="49" t="s">
        <v>31</v>
      </c>
      <c r="L2160" s="49" t="s">
        <v>31</v>
      </c>
      <c r="M2160" s="49" t="s">
        <v>31</v>
      </c>
    </row>
    <row r="2161" spans="1:21" x14ac:dyDescent="0.2">
      <c r="A2161" s="49" t="s">
        <v>30</v>
      </c>
      <c r="D2161" s="49" t="s">
        <v>21471</v>
      </c>
      <c r="E2161" s="49" t="s">
        <v>21472</v>
      </c>
      <c r="F2161" s="49" t="s">
        <v>21473</v>
      </c>
      <c r="H2161" s="49" t="s">
        <v>21474</v>
      </c>
      <c r="O2161" s="49" t="s">
        <v>21475</v>
      </c>
      <c r="P2161" s="49" t="s">
        <v>21476</v>
      </c>
      <c r="Q2161" s="49" t="s">
        <v>21477</v>
      </c>
      <c r="R2161" s="49" t="s">
        <v>21478</v>
      </c>
      <c r="S2161" s="49" t="s">
        <v>21479</v>
      </c>
      <c r="T2161" s="49" t="s">
        <v>21480</v>
      </c>
      <c r="U2161" s="49" t="s">
        <v>21481</v>
      </c>
    </row>
    <row r="2162" spans="1:21" x14ac:dyDescent="0.2">
      <c r="A2162" s="49" t="s">
        <v>30</v>
      </c>
      <c r="D2162" s="49" t="s">
        <v>21482</v>
      </c>
      <c r="G2162" s="49" t="s">
        <v>21483</v>
      </c>
      <c r="H2162" s="49" t="s">
        <v>21484</v>
      </c>
      <c r="I2162" s="49" t="s">
        <v>21485</v>
      </c>
      <c r="J2162" s="49" t="s">
        <v>21486</v>
      </c>
      <c r="K2162" s="49" t="s">
        <v>21487</v>
      </c>
      <c r="L2162" s="49" t="s">
        <v>21488</v>
      </c>
      <c r="M2162" s="49" t="s">
        <v>21489</v>
      </c>
      <c r="N2162" s="49" t="s">
        <v>21490</v>
      </c>
      <c r="O2162" s="49" t="s">
        <v>21491</v>
      </c>
      <c r="P2162" s="49" t="s">
        <v>21492</v>
      </c>
      <c r="Q2162" s="49" t="s">
        <v>21493</v>
      </c>
      <c r="R2162" s="49" t="s">
        <v>21494</v>
      </c>
      <c r="S2162" s="49" t="s">
        <v>21495</v>
      </c>
      <c r="T2162" s="49" t="s">
        <v>21496</v>
      </c>
    </row>
    <row r="2163" spans="1:21" x14ac:dyDescent="0.2">
      <c r="A2163" s="49" t="s">
        <v>30</v>
      </c>
    </row>
    <row r="2164" spans="1:21" x14ac:dyDescent="0.2">
      <c r="A2164" s="49" t="s">
        <v>30</v>
      </c>
      <c r="E2164" s="49" t="s">
        <v>31</v>
      </c>
      <c r="F2164" s="49" t="s">
        <v>31</v>
      </c>
      <c r="G2164" s="49" t="s">
        <v>31</v>
      </c>
      <c r="J2164" s="49" t="s">
        <v>31</v>
      </c>
      <c r="K2164" s="49" t="s">
        <v>31</v>
      </c>
      <c r="L2164" s="49" t="s">
        <v>31</v>
      </c>
      <c r="M2164" s="49" t="s">
        <v>31</v>
      </c>
    </row>
    <row r="2166" spans="1:21" x14ac:dyDescent="0.2">
      <c r="N2166" s="49" t="s">
        <v>32</v>
      </c>
      <c r="O2166" s="49" t="s">
        <v>21497</v>
      </c>
      <c r="P2166" s="49" t="s">
        <v>21498</v>
      </c>
      <c r="Q2166" s="49" t="s">
        <v>21499</v>
      </c>
      <c r="R2166" s="49" t="s">
        <v>21500</v>
      </c>
      <c r="S2166" s="49" t="s">
        <v>21501</v>
      </c>
      <c r="T2166" s="49" t="s">
        <v>21502</v>
      </c>
      <c r="U2166" s="49" t="s">
        <v>21503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4.25" customHeight="1" x14ac:dyDescent="0.25"/>
  <cols>
    <col min="1" max="1" width="9.140625" style="1" hidden="1" customWidth="1"/>
    <col min="2" max="2" width="12.28515625" style="1" bestFit="1" customWidth="1"/>
    <col min="3" max="3" width="20.7109375" style="1" bestFit="1" customWidth="1"/>
    <col min="4" max="4" width="19.5703125" style="1" bestFit="1" customWidth="1"/>
    <col min="5" max="5" width="16.85546875" style="1" bestFit="1" customWidth="1"/>
    <col min="6" max="6" width="17.7109375" style="1" bestFit="1" customWidth="1"/>
    <col min="7" max="16384" width="9.140625" style="1"/>
  </cols>
  <sheetData>
    <row r="1" spans="1:6" ht="16.5" hidden="1" customHeight="1" x14ac:dyDescent="0.3">
      <c r="A1" s="2" t="s">
        <v>14013</v>
      </c>
      <c r="B1" s="3" t="s">
        <v>0</v>
      </c>
      <c r="C1" s="3" t="s">
        <v>1</v>
      </c>
      <c r="D1" s="4" t="s">
        <v>2</v>
      </c>
      <c r="E1" s="4" t="s">
        <v>10726</v>
      </c>
    </row>
    <row r="2" spans="1:6" ht="16.5" customHeight="1" x14ac:dyDescent="0.3">
      <c r="A2" s="2"/>
      <c r="B2" s="3"/>
      <c r="C2" s="3"/>
      <c r="D2" s="4"/>
      <c r="E2" s="4"/>
    </row>
    <row r="3" spans="1:6" ht="16.5" customHeight="1" x14ac:dyDescent="0.3">
      <c r="A3" s="2"/>
      <c r="B3" s="5"/>
      <c r="C3" s="6" t="s">
        <v>3</v>
      </c>
      <c r="D3" s="7"/>
      <c r="E3" s="4"/>
      <c r="F3" s="4"/>
    </row>
    <row r="4" spans="1:6" ht="16.5" customHeight="1" x14ac:dyDescent="0.3">
      <c r="A4" s="2" t="s">
        <v>4</v>
      </c>
      <c r="B4" s="3" t="s">
        <v>5</v>
      </c>
      <c r="C4" s="4" t="str">
        <f>"1/1/2019..1/12/2019"</f>
        <v>1/1/2019..1/12/2019</v>
      </c>
      <c r="D4" s="4"/>
      <c r="E4" s="3" t="s">
        <v>10727</v>
      </c>
      <c r="F4" s="4"/>
    </row>
    <row r="5" spans="1:6" ht="16.5" customHeight="1" x14ac:dyDescent="0.3">
      <c r="A5" s="2" t="s">
        <v>4</v>
      </c>
      <c r="B5" s="3" t="s">
        <v>6</v>
      </c>
      <c r="C5" s="4" t="s">
        <v>7</v>
      </c>
      <c r="D5" s="4" t="str">
        <f>"Lookup"</f>
        <v>Lookup</v>
      </c>
      <c r="E5" s="4"/>
    </row>
    <row r="6" spans="1:6" ht="16.5" customHeight="1" x14ac:dyDescent="0.3">
      <c r="A6" s="2" t="s">
        <v>4</v>
      </c>
      <c r="B6" s="3" t="s">
        <v>8</v>
      </c>
      <c r="C6" s="8" t="str">
        <f>"*"</f>
        <v>*</v>
      </c>
      <c r="D6" s="4" t="str">
        <f>"Lookup"</f>
        <v>Lookup</v>
      </c>
    </row>
    <row r="7" spans="1:6" ht="16.5" customHeight="1" x14ac:dyDescent="0.3">
      <c r="B7" s="3"/>
      <c r="C7" s="4"/>
      <c r="D7" s="4"/>
      <c r="E7" s="4"/>
      <c r="F7" s="4"/>
    </row>
    <row r="8" spans="1:6" ht="14.25" customHeight="1" x14ac:dyDescent="0.25">
      <c r="D8" s="8"/>
      <c r="E8" s="9"/>
      <c r="F8" s="10"/>
    </row>
    <row r="9" spans="1:6" ht="16.5" customHeight="1" x14ac:dyDescent="0.3">
      <c r="B9" s="2"/>
      <c r="C9" s="2"/>
      <c r="D9" s="11"/>
      <c r="E9" s="11"/>
      <c r="F9" s="2"/>
    </row>
    <row r="10" spans="1:6" ht="16.5" customHeight="1" x14ac:dyDescent="0.3">
      <c r="B10" s="2"/>
      <c r="C10" s="2"/>
      <c r="D10" s="11"/>
      <c r="E10" s="11"/>
      <c r="F10" s="2"/>
    </row>
    <row r="11" spans="1:6" ht="16.5" customHeight="1" x14ac:dyDescent="0.3">
      <c r="B11" s="2"/>
    </row>
    <row r="12" spans="1:6" ht="16.5" customHeight="1" x14ac:dyDescent="0.3">
      <c r="B12" s="2"/>
      <c r="C12" s="12"/>
      <c r="D12" s="13"/>
      <c r="E12" s="4"/>
      <c r="F12" s="12"/>
    </row>
    <row r="13" spans="1:6" ht="16.5" customHeight="1" x14ac:dyDescent="0.3">
      <c r="B13" s="2"/>
      <c r="C13" s="12"/>
      <c r="D13" s="13"/>
      <c r="E13" s="4"/>
    </row>
    <row r="14" spans="1:6" ht="16.5" customHeight="1" x14ac:dyDescent="0.3">
      <c r="B14" s="2"/>
      <c r="C14" s="12"/>
      <c r="D14" s="14"/>
      <c r="E14" s="4"/>
    </row>
  </sheetData>
  <pageMargins left="0.75" right="0.75" top="1" bottom="1" header="0.5" footer="0.5"/>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6"/>
  <sheetViews>
    <sheetView workbookViewId="0"/>
  </sheetViews>
  <sheetFormatPr defaultRowHeight="12.75" x14ac:dyDescent="0.2"/>
  <sheetData>
    <row r="1" spans="1:21" x14ac:dyDescent="0.2">
      <c r="A1" s="49" t="s">
        <v>33032</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2890</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5" spans="1:21" x14ac:dyDescent="0.2">
      <c r="E15" s="49" t="s">
        <v>31</v>
      </c>
      <c r="F15" s="49" t="s">
        <v>31</v>
      </c>
      <c r="G15" s="49" t="s">
        <v>31</v>
      </c>
      <c r="J15" s="49" t="s">
        <v>31</v>
      </c>
      <c r="K15" s="49" t="s">
        <v>31</v>
      </c>
      <c r="L15" s="49" t="s">
        <v>31</v>
      </c>
      <c r="M15" s="49" t="s">
        <v>31</v>
      </c>
    </row>
    <row r="16" spans="1:21" x14ac:dyDescent="0.2">
      <c r="A16" s="49" t="s">
        <v>30</v>
      </c>
      <c r="D16" s="49" t="s">
        <v>3332</v>
      </c>
      <c r="E16" s="49" t="s">
        <v>4549</v>
      </c>
      <c r="F16" s="49" t="s">
        <v>3333</v>
      </c>
      <c r="H16" s="49" t="s">
        <v>3334</v>
      </c>
      <c r="O16" s="49" t="s">
        <v>8841</v>
      </c>
      <c r="P16" s="49" t="s">
        <v>8842</v>
      </c>
      <c r="Q16" s="49" t="s">
        <v>8843</v>
      </c>
      <c r="R16" s="49" t="s">
        <v>8844</v>
      </c>
      <c r="S16" s="49" t="s">
        <v>8845</v>
      </c>
      <c r="T16" s="49" t="s">
        <v>8846</v>
      </c>
      <c r="U16" s="49" t="s">
        <v>8847</v>
      </c>
    </row>
    <row r="17" spans="1:21" x14ac:dyDescent="0.2">
      <c r="A17" s="49" t="s">
        <v>30</v>
      </c>
      <c r="D17" s="49" t="s">
        <v>2266</v>
      </c>
      <c r="G17" s="49" t="s">
        <v>3342</v>
      </c>
      <c r="H17" s="49" t="s">
        <v>2267</v>
      </c>
      <c r="I17" s="49" t="s">
        <v>2268</v>
      </c>
      <c r="J17" s="49" t="s">
        <v>2269</v>
      </c>
      <c r="K17" s="49" t="s">
        <v>2270</v>
      </c>
      <c r="L17" s="49" t="s">
        <v>2271</v>
      </c>
      <c r="M17" s="49" t="s">
        <v>2272</v>
      </c>
      <c r="N17" s="49" t="s">
        <v>2273</v>
      </c>
      <c r="O17" s="49" t="s">
        <v>3343</v>
      </c>
      <c r="P17" s="49" t="s">
        <v>3344</v>
      </c>
      <c r="Q17" s="49" t="s">
        <v>3345</v>
      </c>
      <c r="R17" s="49" t="s">
        <v>3346</v>
      </c>
      <c r="S17" s="49" t="s">
        <v>3347</v>
      </c>
      <c r="T17" s="49" t="s">
        <v>3348</v>
      </c>
    </row>
    <row r="18" spans="1:21" x14ac:dyDescent="0.2">
      <c r="A18" s="49" t="s">
        <v>30</v>
      </c>
      <c r="D18" s="49" t="s">
        <v>3551</v>
      </c>
      <c r="G18" s="49" t="s">
        <v>14046</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row>
    <row r="20" spans="1:21" x14ac:dyDescent="0.2">
      <c r="A20" s="49" t="s">
        <v>30</v>
      </c>
      <c r="E20" s="49" t="s">
        <v>31</v>
      </c>
      <c r="F20" s="49" t="s">
        <v>31</v>
      </c>
      <c r="G20" s="49" t="s">
        <v>31</v>
      </c>
      <c r="J20" s="49" t="s">
        <v>31</v>
      </c>
      <c r="K20" s="49" t="s">
        <v>31</v>
      </c>
      <c r="L20" s="49" t="s">
        <v>31</v>
      </c>
      <c r="M20" s="49" t="s">
        <v>31</v>
      </c>
    </row>
    <row r="21" spans="1:21" x14ac:dyDescent="0.2">
      <c r="A21" s="49" t="s">
        <v>30</v>
      </c>
      <c r="D21" s="49" t="s">
        <v>8848</v>
      </c>
      <c r="E21" s="49" t="s">
        <v>4550</v>
      </c>
      <c r="F21" s="49" t="s">
        <v>8849</v>
      </c>
      <c r="H21" s="49" t="s">
        <v>8850</v>
      </c>
      <c r="O21" s="49" t="s">
        <v>32168</v>
      </c>
      <c r="P21" s="49" t="s">
        <v>32169</v>
      </c>
      <c r="Q21" s="49" t="s">
        <v>32170</v>
      </c>
      <c r="R21" s="49" t="s">
        <v>32171</v>
      </c>
      <c r="S21" s="49" t="s">
        <v>32172</v>
      </c>
      <c r="T21" s="49" t="s">
        <v>32173</v>
      </c>
      <c r="U21" s="49" t="s">
        <v>32174</v>
      </c>
    </row>
    <row r="22" spans="1:21" x14ac:dyDescent="0.2">
      <c r="A22" s="49" t="s">
        <v>30</v>
      </c>
      <c r="D22" s="49" t="s">
        <v>2645</v>
      </c>
      <c r="G22" s="49" t="s">
        <v>8858</v>
      </c>
      <c r="H22" s="49" t="s">
        <v>2646</v>
      </c>
      <c r="I22" s="49" t="s">
        <v>2647</v>
      </c>
      <c r="J22" s="49" t="s">
        <v>2648</v>
      </c>
      <c r="K22" s="49" t="s">
        <v>2649</v>
      </c>
      <c r="L22" s="49" t="s">
        <v>2650</v>
      </c>
      <c r="M22" s="49" t="s">
        <v>2651</v>
      </c>
      <c r="N22" s="49" t="s">
        <v>2652</v>
      </c>
      <c r="O22" s="49" t="s">
        <v>3566</v>
      </c>
      <c r="P22" s="49" t="s">
        <v>3567</v>
      </c>
      <c r="Q22" s="49" t="s">
        <v>3568</v>
      </c>
      <c r="R22" s="49" t="s">
        <v>3569</v>
      </c>
      <c r="S22" s="49" t="s">
        <v>3570</v>
      </c>
      <c r="T22" s="49" t="s">
        <v>3571</v>
      </c>
    </row>
    <row r="23" spans="1:21" x14ac:dyDescent="0.2">
      <c r="A23" s="49" t="s">
        <v>30</v>
      </c>
      <c r="D23" s="49" t="s">
        <v>1648</v>
      </c>
      <c r="G23" s="49" t="s">
        <v>14069</v>
      </c>
      <c r="H23" s="49" t="s">
        <v>1649</v>
      </c>
      <c r="I23" s="49" t="s">
        <v>1650</v>
      </c>
      <c r="J23" s="49" t="s">
        <v>1651</v>
      </c>
      <c r="K23" s="49" t="s">
        <v>1652</v>
      </c>
      <c r="L23" s="49" t="s">
        <v>1653</v>
      </c>
      <c r="M23" s="49" t="s">
        <v>1654</v>
      </c>
      <c r="N23" s="49" t="s">
        <v>1655</v>
      </c>
      <c r="O23" s="49" t="s">
        <v>3572</v>
      </c>
      <c r="P23" s="49" t="s">
        <v>3573</v>
      </c>
      <c r="Q23" s="49" t="s">
        <v>3574</v>
      </c>
      <c r="R23" s="49" t="s">
        <v>3575</v>
      </c>
      <c r="S23" s="49" t="s">
        <v>3576</v>
      </c>
      <c r="T23" s="49" t="s">
        <v>3577</v>
      </c>
    </row>
    <row r="24" spans="1:21" x14ac:dyDescent="0.2">
      <c r="A24" s="49" t="s">
        <v>30</v>
      </c>
      <c r="D24" s="49" t="s">
        <v>2217</v>
      </c>
      <c r="G24" s="49" t="s">
        <v>14074</v>
      </c>
      <c r="H24" s="49" t="s">
        <v>2218</v>
      </c>
      <c r="I24" s="49" t="s">
        <v>2219</v>
      </c>
      <c r="J24" s="49" t="s">
        <v>2220</v>
      </c>
      <c r="K24" s="49" t="s">
        <v>2221</v>
      </c>
      <c r="L24" s="49" t="s">
        <v>2222</v>
      </c>
      <c r="M24" s="49" t="s">
        <v>2223</v>
      </c>
      <c r="N24" s="49" t="s">
        <v>2224</v>
      </c>
      <c r="O24" s="49" t="s">
        <v>3578</v>
      </c>
      <c r="P24" s="49" t="s">
        <v>3579</v>
      </c>
      <c r="Q24" s="49" t="s">
        <v>3580</v>
      </c>
      <c r="R24" s="49" t="s">
        <v>3581</v>
      </c>
      <c r="S24" s="49" t="s">
        <v>3582</v>
      </c>
      <c r="T24" s="49" t="s">
        <v>3583</v>
      </c>
    </row>
    <row r="25" spans="1:21" x14ac:dyDescent="0.2">
      <c r="A25" s="49" t="s">
        <v>30</v>
      </c>
      <c r="D25" s="49" t="s">
        <v>90</v>
      </c>
      <c r="G25" s="49" t="s">
        <v>14079</v>
      </c>
      <c r="H25" s="49" t="s">
        <v>91</v>
      </c>
      <c r="I25" s="49" t="s">
        <v>92</v>
      </c>
      <c r="J25" s="49" t="s">
        <v>93</v>
      </c>
      <c r="K25" s="49" t="s">
        <v>94</v>
      </c>
      <c r="L25" s="49" t="s">
        <v>95</v>
      </c>
      <c r="M25" s="49" t="s">
        <v>96</v>
      </c>
      <c r="N25" s="49" t="s">
        <v>97</v>
      </c>
      <c r="O25" s="49" t="s">
        <v>3357</v>
      </c>
      <c r="P25" s="49" t="s">
        <v>3358</v>
      </c>
      <c r="Q25" s="49" t="s">
        <v>3359</v>
      </c>
      <c r="R25" s="49" t="s">
        <v>3360</v>
      </c>
      <c r="S25" s="49" t="s">
        <v>3361</v>
      </c>
      <c r="T25" s="49" t="s">
        <v>3362</v>
      </c>
    </row>
    <row r="26" spans="1:21" x14ac:dyDescent="0.2">
      <c r="A26" s="49" t="s">
        <v>30</v>
      </c>
    </row>
    <row r="27" spans="1:21" x14ac:dyDescent="0.2">
      <c r="A27" s="49" t="s">
        <v>30</v>
      </c>
      <c r="E27" s="49" t="s">
        <v>31</v>
      </c>
      <c r="F27" s="49" t="s">
        <v>31</v>
      </c>
      <c r="G27" s="49" t="s">
        <v>31</v>
      </c>
      <c r="J27" s="49" t="s">
        <v>31</v>
      </c>
      <c r="K27" s="49" t="s">
        <v>31</v>
      </c>
      <c r="L27" s="49" t="s">
        <v>31</v>
      </c>
      <c r="M27" s="49" t="s">
        <v>31</v>
      </c>
    </row>
    <row r="28" spans="1:21" x14ac:dyDescent="0.2">
      <c r="A28" s="49" t="s">
        <v>30</v>
      </c>
      <c r="D28" s="49" t="s">
        <v>2277</v>
      </c>
      <c r="E28" s="49" t="s">
        <v>4551</v>
      </c>
      <c r="F28" s="49" t="s">
        <v>2278</v>
      </c>
      <c r="H28" s="49" t="s">
        <v>2279</v>
      </c>
      <c r="O28" s="49" t="s">
        <v>32175</v>
      </c>
      <c r="P28" s="49" t="s">
        <v>32176</v>
      </c>
      <c r="Q28" s="49" t="s">
        <v>32177</v>
      </c>
      <c r="R28" s="49" t="s">
        <v>32178</v>
      </c>
      <c r="S28" s="49" t="s">
        <v>32179</v>
      </c>
      <c r="T28" s="49" t="s">
        <v>32180</v>
      </c>
      <c r="U28" s="49" t="s">
        <v>32181</v>
      </c>
    </row>
    <row r="29" spans="1:21" x14ac:dyDescent="0.2">
      <c r="A29" s="49" t="s">
        <v>30</v>
      </c>
      <c r="D29" s="49" t="s">
        <v>122</v>
      </c>
      <c r="G29" s="49" t="s">
        <v>3584</v>
      </c>
      <c r="H29" s="49" t="s">
        <v>123</v>
      </c>
      <c r="I29" s="49" t="s">
        <v>124</v>
      </c>
      <c r="J29" s="49" t="s">
        <v>125</v>
      </c>
      <c r="K29" s="49" t="s">
        <v>126</v>
      </c>
      <c r="L29" s="49" t="s">
        <v>127</v>
      </c>
      <c r="M29" s="49" t="s">
        <v>128</v>
      </c>
      <c r="N29" s="49" t="s">
        <v>129</v>
      </c>
      <c r="O29" s="49" t="s">
        <v>3585</v>
      </c>
      <c r="P29" s="49" t="s">
        <v>3586</v>
      </c>
      <c r="Q29" s="49" t="s">
        <v>3587</v>
      </c>
      <c r="R29" s="49" t="s">
        <v>3588</v>
      </c>
      <c r="S29" s="49" t="s">
        <v>3589</v>
      </c>
      <c r="T29" s="49" t="s">
        <v>3590</v>
      </c>
    </row>
    <row r="30" spans="1:21" x14ac:dyDescent="0.2">
      <c r="A30" s="49" t="s">
        <v>30</v>
      </c>
      <c r="D30" s="49" t="s">
        <v>130</v>
      </c>
      <c r="G30" s="49" t="s">
        <v>14094</v>
      </c>
      <c r="H30" s="49" t="s">
        <v>131</v>
      </c>
      <c r="I30" s="49" t="s">
        <v>132</v>
      </c>
      <c r="J30" s="49" t="s">
        <v>133</v>
      </c>
      <c r="K30" s="49" t="s">
        <v>134</v>
      </c>
      <c r="L30" s="49" t="s">
        <v>135</v>
      </c>
      <c r="M30" s="49" t="s">
        <v>136</v>
      </c>
      <c r="N30" s="49" t="s">
        <v>137</v>
      </c>
      <c r="O30" s="49" t="s">
        <v>3373</v>
      </c>
      <c r="P30" s="49" t="s">
        <v>3374</v>
      </c>
      <c r="Q30" s="49" t="s">
        <v>3375</v>
      </c>
      <c r="R30" s="49" t="s">
        <v>3376</v>
      </c>
      <c r="S30" s="49" t="s">
        <v>3377</v>
      </c>
      <c r="T30" s="49" t="s">
        <v>3378</v>
      </c>
    </row>
    <row r="31" spans="1:21" x14ac:dyDescent="0.2">
      <c r="A31" s="49" t="s">
        <v>30</v>
      </c>
      <c r="D31" s="49" t="s">
        <v>1659</v>
      </c>
      <c r="G31" s="49" t="s">
        <v>14101</v>
      </c>
      <c r="H31" s="49" t="s">
        <v>1660</v>
      </c>
      <c r="I31" s="49" t="s">
        <v>1661</v>
      </c>
      <c r="J31" s="49" t="s">
        <v>1662</v>
      </c>
      <c r="K31" s="49" t="s">
        <v>1663</v>
      </c>
      <c r="L31" s="49" t="s">
        <v>1664</v>
      </c>
      <c r="M31" s="49" t="s">
        <v>1665</v>
      </c>
      <c r="N31" s="49" t="s">
        <v>1666</v>
      </c>
      <c r="O31" s="49" t="s">
        <v>3379</v>
      </c>
      <c r="P31" s="49" t="s">
        <v>3380</v>
      </c>
      <c r="Q31" s="49" t="s">
        <v>3381</v>
      </c>
      <c r="R31" s="49" t="s">
        <v>3382</v>
      </c>
      <c r="S31" s="49" t="s">
        <v>3383</v>
      </c>
      <c r="T31" s="49" t="s">
        <v>3384</v>
      </c>
    </row>
    <row r="32" spans="1:21" x14ac:dyDescent="0.2">
      <c r="A32" s="49" t="s">
        <v>30</v>
      </c>
      <c r="D32" s="49" t="s">
        <v>1797</v>
      </c>
      <c r="G32" s="49" t="s">
        <v>14109</v>
      </c>
      <c r="H32" s="49" t="s">
        <v>1798</v>
      </c>
      <c r="I32" s="49" t="s">
        <v>1799</v>
      </c>
      <c r="J32" s="49" t="s">
        <v>1800</v>
      </c>
      <c r="K32" s="49" t="s">
        <v>1801</v>
      </c>
      <c r="L32" s="49" t="s">
        <v>1802</v>
      </c>
      <c r="M32" s="49" t="s">
        <v>1803</v>
      </c>
      <c r="N32" s="49" t="s">
        <v>1804</v>
      </c>
      <c r="O32" s="49" t="s">
        <v>3902</v>
      </c>
      <c r="P32" s="49" t="s">
        <v>3903</v>
      </c>
      <c r="Q32" s="49" t="s">
        <v>3904</v>
      </c>
      <c r="R32" s="49" t="s">
        <v>3905</v>
      </c>
      <c r="S32" s="49" t="s">
        <v>3906</v>
      </c>
      <c r="T32" s="49" t="s">
        <v>3907</v>
      </c>
    </row>
    <row r="33" spans="1:21" x14ac:dyDescent="0.2">
      <c r="A33" s="49" t="s">
        <v>30</v>
      </c>
    </row>
    <row r="34" spans="1:21" x14ac:dyDescent="0.2">
      <c r="A34" s="49" t="s">
        <v>30</v>
      </c>
      <c r="E34" s="49" t="s">
        <v>31</v>
      </c>
      <c r="F34" s="49" t="s">
        <v>31</v>
      </c>
      <c r="G34" s="49" t="s">
        <v>31</v>
      </c>
      <c r="J34" s="49" t="s">
        <v>31</v>
      </c>
      <c r="K34" s="49" t="s">
        <v>31</v>
      </c>
      <c r="L34" s="49" t="s">
        <v>31</v>
      </c>
      <c r="M34" s="49" t="s">
        <v>31</v>
      </c>
    </row>
    <row r="35" spans="1:21" x14ac:dyDescent="0.2">
      <c r="A35" s="49" t="s">
        <v>30</v>
      </c>
      <c r="D35" s="49" t="s">
        <v>1805</v>
      </c>
      <c r="E35" s="49" t="s">
        <v>4552</v>
      </c>
      <c r="F35" s="49" t="s">
        <v>1806</v>
      </c>
      <c r="H35" s="49" t="s">
        <v>1807</v>
      </c>
      <c r="O35" s="49" t="s">
        <v>32182</v>
      </c>
      <c r="P35" s="49" t="s">
        <v>32183</v>
      </c>
      <c r="Q35" s="49" t="s">
        <v>32184</v>
      </c>
      <c r="R35" s="49" t="s">
        <v>32185</v>
      </c>
      <c r="S35" s="49" t="s">
        <v>32186</v>
      </c>
      <c r="T35" s="49" t="s">
        <v>32187</v>
      </c>
      <c r="U35" s="49" t="s">
        <v>32188</v>
      </c>
    </row>
    <row r="36" spans="1:21" x14ac:dyDescent="0.2">
      <c r="A36" s="49" t="s">
        <v>30</v>
      </c>
      <c r="D36" s="49" t="s">
        <v>157</v>
      </c>
      <c r="G36" s="49" t="s">
        <v>3908</v>
      </c>
      <c r="H36" s="49" t="s">
        <v>158</v>
      </c>
      <c r="I36" s="49" t="s">
        <v>159</v>
      </c>
      <c r="J36" s="49" t="s">
        <v>160</v>
      </c>
      <c r="K36" s="49" t="s">
        <v>161</v>
      </c>
      <c r="L36" s="49" t="s">
        <v>162</v>
      </c>
      <c r="M36" s="49" t="s">
        <v>163</v>
      </c>
      <c r="N36" s="49" t="s">
        <v>164</v>
      </c>
      <c r="O36" s="49" t="s">
        <v>3391</v>
      </c>
      <c r="P36" s="49" t="s">
        <v>3392</v>
      </c>
      <c r="Q36" s="49" t="s">
        <v>3393</v>
      </c>
      <c r="R36" s="49" t="s">
        <v>3394</v>
      </c>
      <c r="S36" s="49" t="s">
        <v>3395</v>
      </c>
      <c r="T36" s="49" t="s">
        <v>3396</v>
      </c>
    </row>
    <row r="37" spans="1:21" x14ac:dyDescent="0.2">
      <c r="A37" s="49" t="s">
        <v>30</v>
      </c>
    </row>
    <row r="38" spans="1:21" x14ac:dyDescent="0.2">
      <c r="A38" s="49" t="s">
        <v>30</v>
      </c>
      <c r="E38" s="49" t="s">
        <v>31</v>
      </c>
      <c r="F38" s="49" t="s">
        <v>31</v>
      </c>
      <c r="G38" s="49" t="s">
        <v>31</v>
      </c>
      <c r="J38" s="49" t="s">
        <v>31</v>
      </c>
      <c r="K38" s="49" t="s">
        <v>31</v>
      </c>
      <c r="L38" s="49" t="s">
        <v>31</v>
      </c>
      <c r="M38" s="49" t="s">
        <v>31</v>
      </c>
    </row>
    <row r="39" spans="1:21" x14ac:dyDescent="0.2">
      <c r="A39" s="49" t="s">
        <v>30</v>
      </c>
      <c r="D39" s="49" t="s">
        <v>32189</v>
      </c>
      <c r="E39" s="49" t="s">
        <v>4559</v>
      </c>
      <c r="F39" s="49" t="s">
        <v>32190</v>
      </c>
      <c r="H39" s="49" t="s">
        <v>32191</v>
      </c>
      <c r="O39" s="49" t="s">
        <v>32192</v>
      </c>
      <c r="P39" s="49" t="s">
        <v>32193</v>
      </c>
      <c r="Q39" s="49" t="s">
        <v>32194</v>
      </c>
      <c r="R39" s="49" t="s">
        <v>32195</v>
      </c>
      <c r="S39" s="49" t="s">
        <v>32196</v>
      </c>
      <c r="T39" s="49" t="s">
        <v>32197</v>
      </c>
      <c r="U39" s="49" t="s">
        <v>32198</v>
      </c>
    </row>
    <row r="40" spans="1:21" x14ac:dyDescent="0.2">
      <c r="A40" s="49" t="s">
        <v>30</v>
      </c>
      <c r="D40" s="49" t="s">
        <v>1808</v>
      </c>
      <c r="G40" s="49" t="s">
        <v>32199</v>
      </c>
      <c r="H40" s="49" t="s">
        <v>1809</v>
      </c>
      <c r="I40" s="49" t="s">
        <v>1810</v>
      </c>
      <c r="J40" s="49" t="s">
        <v>1811</v>
      </c>
      <c r="K40" s="49" t="s">
        <v>1812</v>
      </c>
      <c r="L40" s="49" t="s">
        <v>1813</v>
      </c>
      <c r="M40" s="49" t="s">
        <v>1814</v>
      </c>
      <c r="N40" s="49" t="s">
        <v>1815</v>
      </c>
      <c r="O40" s="49" t="s">
        <v>32200</v>
      </c>
      <c r="P40" s="49" t="s">
        <v>32201</v>
      </c>
      <c r="Q40" s="49" t="s">
        <v>32202</v>
      </c>
      <c r="R40" s="49" t="s">
        <v>32203</v>
      </c>
      <c r="S40" s="49" t="s">
        <v>32204</v>
      </c>
      <c r="T40" s="49" t="s">
        <v>32205</v>
      </c>
    </row>
    <row r="41" spans="1:21" x14ac:dyDescent="0.2">
      <c r="A41" s="49" t="s">
        <v>30</v>
      </c>
    </row>
    <row r="42" spans="1:21" x14ac:dyDescent="0.2">
      <c r="A42" s="49" t="s">
        <v>30</v>
      </c>
      <c r="E42" s="49" t="s">
        <v>31</v>
      </c>
      <c r="F42" s="49" t="s">
        <v>31</v>
      </c>
      <c r="G42" s="49" t="s">
        <v>31</v>
      </c>
      <c r="J42" s="49" t="s">
        <v>31</v>
      </c>
      <c r="K42" s="49" t="s">
        <v>31</v>
      </c>
      <c r="L42" s="49" t="s">
        <v>31</v>
      </c>
      <c r="M42" s="49" t="s">
        <v>31</v>
      </c>
    </row>
    <row r="43" spans="1:21" x14ac:dyDescent="0.2">
      <c r="A43" s="49" t="s">
        <v>30</v>
      </c>
      <c r="D43" s="49" t="s">
        <v>32206</v>
      </c>
      <c r="E43" s="49" t="s">
        <v>4565</v>
      </c>
      <c r="F43" s="49" t="s">
        <v>32207</v>
      </c>
      <c r="H43" s="49" t="s">
        <v>32208</v>
      </c>
      <c r="O43" s="49" t="s">
        <v>32209</v>
      </c>
      <c r="P43" s="49" t="s">
        <v>32210</v>
      </c>
      <c r="Q43" s="49" t="s">
        <v>32211</v>
      </c>
      <c r="R43" s="49" t="s">
        <v>32212</v>
      </c>
      <c r="S43" s="49" t="s">
        <v>32213</v>
      </c>
      <c r="T43" s="49" t="s">
        <v>32214</v>
      </c>
      <c r="U43" s="49" t="s">
        <v>32215</v>
      </c>
    </row>
    <row r="44" spans="1:21" x14ac:dyDescent="0.2">
      <c r="A44" s="49" t="s">
        <v>30</v>
      </c>
      <c r="D44" s="49" t="s">
        <v>1816</v>
      </c>
      <c r="G44" s="49" t="s">
        <v>32216</v>
      </c>
      <c r="H44" s="49" t="s">
        <v>1817</v>
      </c>
      <c r="I44" s="49" t="s">
        <v>1818</v>
      </c>
      <c r="J44" s="49" t="s">
        <v>1819</v>
      </c>
      <c r="K44" s="49" t="s">
        <v>1820</v>
      </c>
      <c r="L44" s="49" t="s">
        <v>1821</v>
      </c>
      <c r="M44" s="49" t="s">
        <v>1822</v>
      </c>
      <c r="N44" s="49" t="s">
        <v>1823</v>
      </c>
      <c r="O44" s="49" t="s">
        <v>3603</v>
      </c>
      <c r="P44" s="49" t="s">
        <v>3604</v>
      </c>
      <c r="Q44" s="49" t="s">
        <v>3605</v>
      </c>
      <c r="R44" s="49" t="s">
        <v>3606</v>
      </c>
      <c r="S44" s="49" t="s">
        <v>3607</v>
      </c>
      <c r="T44" s="49" t="s">
        <v>3608</v>
      </c>
    </row>
    <row r="45" spans="1:21" x14ac:dyDescent="0.2">
      <c r="A45" s="49" t="s">
        <v>30</v>
      </c>
    </row>
    <row r="46" spans="1:21" x14ac:dyDescent="0.2">
      <c r="A46" s="49" t="s">
        <v>30</v>
      </c>
      <c r="E46" s="49" t="s">
        <v>31</v>
      </c>
      <c r="F46" s="49" t="s">
        <v>31</v>
      </c>
      <c r="G46" s="49" t="s">
        <v>31</v>
      </c>
      <c r="J46" s="49" t="s">
        <v>31</v>
      </c>
      <c r="K46" s="49" t="s">
        <v>31</v>
      </c>
      <c r="L46" s="49" t="s">
        <v>31</v>
      </c>
      <c r="M46" s="49" t="s">
        <v>31</v>
      </c>
    </row>
    <row r="47" spans="1:21" x14ac:dyDescent="0.2">
      <c r="A47" s="49" t="s">
        <v>30</v>
      </c>
      <c r="D47" s="49" t="s">
        <v>32217</v>
      </c>
      <c r="E47" s="49" t="s">
        <v>4566</v>
      </c>
      <c r="F47" s="49" t="s">
        <v>32218</v>
      </c>
      <c r="H47" s="49" t="s">
        <v>32219</v>
      </c>
      <c r="O47" s="49" t="s">
        <v>32220</v>
      </c>
      <c r="P47" s="49" t="s">
        <v>32221</v>
      </c>
      <c r="Q47" s="49" t="s">
        <v>32222</v>
      </c>
      <c r="R47" s="49" t="s">
        <v>32223</v>
      </c>
      <c r="S47" s="49" t="s">
        <v>32224</v>
      </c>
      <c r="T47" s="49" t="s">
        <v>32225</v>
      </c>
      <c r="U47" s="49" t="s">
        <v>32226</v>
      </c>
    </row>
    <row r="48" spans="1:21" x14ac:dyDescent="0.2">
      <c r="A48" s="49" t="s">
        <v>30</v>
      </c>
      <c r="D48" s="49" t="s">
        <v>208</v>
      </c>
      <c r="G48" s="49" t="s">
        <v>32227</v>
      </c>
      <c r="H48" s="49" t="s">
        <v>209</v>
      </c>
      <c r="I48" s="49" t="s">
        <v>210</v>
      </c>
      <c r="J48" s="49" t="s">
        <v>211</v>
      </c>
      <c r="K48" s="49" t="s">
        <v>212</v>
      </c>
      <c r="L48" s="49" t="s">
        <v>213</v>
      </c>
      <c r="M48" s="49" t="s">
        <v>214</v>
      </c>
      <c r="N48" s="49" t="s">
        <v>215</v>
      </c>
      <c r="O48" s="49" t="s">
        <v>3609</v>
      </c>
      <c r="P48" s="49" t="s">
        <v>3610</v>
      </c>
      <c r="Q48" s="49" t="s">
        <v>3611</v>
      </c>
      <c r="R48" s="49" t="s">
        <v>3612</v>
      </c>
      <c r="S48" s="49" t="s">
        <v>3613</v>
      </c>
      <c r="T48" s="49" t="s">
        <v>3614</v>
      </c>
    </row>
    <row r="49" spans="1:21" x14ac:dyDescent="0.2">
      <c r="A49" s="49" t="s">
        <v>30</v>
      </c>
    </row>
    <row r="50" spans="1:21" x14ac:dyDescent="0.2">
      <c r="A50" s="49" t="s">
        <v>30</v>
      </c>
      <c r="E50" s="49" t="s">
        <v>31</v>
      </c>
      <c r="F50" s="49" t="s">
        <v>31</v>
      </c>
      <c r="G50" s="49" t="s">
        <v>31</v>
      </c>
      <c r="J50" s="49" t="s">
        <v>31</v>
      </c>
      <c r="K50" s="49" t="s">
        <v>31</v>
      </c>
      <c r="L50" s="49" t="s">
        <v>31</v>
      </c>
      <c r="M50" s="49" t="s">
        <v>31</v>
      </c>
    </row>
    <row r="51" spans="1:21" x14ac:dyDescent="0.2">
      <c r="A51" s="49" t="s">
        <v>30</v>
      </c>
      <c r="D51" s="49" t="s">
        <v>2225</v>
      </c>
      <c r="E51" s="49" t="s">
        <v>14258</v>
      </c>
      <c r="F51" s="49" t="s">
        <v>2226</v>
      </c>
      <c r="H51" s="49" t="s">
        <v>2227</v>
      </c>
      <c r="O51" s="49" t="s">
        <v>8859</v>
      </c>
      <c r="P51" s="49" t="s">
        <v>8860</v>
      </c>
      <c r="Q51" s="49" t="s">
        <v>8861</v>
      </c>
      <c r="R51" s="49" t="s">
        <v>8862</v>
      </c>
      <c r="S51" s="49" t="s">
        <v>8863</v>
      </c>
      <c r="T51" s="49" t="s">
        <v>8864</v>
      </c>
      <c r="U51" s="49" t="s">
        <v>8865</v>
      </c>
    </row>
    <row r="52" spans="1:21" x14ac:dyDescent="0.2">
      <c r="A52" s="49" t="s">
        <v>30</v>
      </c>
      <c r="D52" s="49" t="s">
        <v>2228</v>
      </c>
      <c r="G52" s="49" t="s">
        <v>3978</v>
      </c>
      <c r="H52" s="49" t="s">
        <v>2229</v>
      </c>
      <c r="I52" s="49" t="s">
        <v>2230</v>
      </c>
      <c r="J52" s="49" t="s">
        <v>2231</v>
      </c>
      <c r="K52" s="49" t="s">
        <v>2232</v>
      </c>
      <c r="L52" s="49" t="s">
        <v>2233</v>
      </c>
      <c r="M52" s="49" t="s">
        <v>2234</v>
      </c>
      <c r="N52" s="49" t="s">
        <v>2235</v>
      </c>
      <c r="O52" s="49" t="s">
        <v>3979</v>
      </c>
      <c r="P52" s="49" t="s">
        <v>3980</v>
      </c>
      <c r="Q52" s="49" t="s">
        <v>3981</v>
      </c>
      <c r="R52" s="49" t="s">
        <v>3982</v>
      </c>
      <c r="S52" s="49" t="s">
        <v>3983</v>
      </c>
      <c r="T52" s="49" t="s">
        <v>3984</v>
      </c>
    </row>
    <row r="53" spans="1:21" x14ac:dyDescent="0.2">
      <c r="A53" s="49" t="s">
        <v>30</v>
      </c>
      <c r="D53" s="49" t="s">
        <v>2236</v>
      </c>
      <c r="G53" s="49" t="s">
        <v>14276</v>
      </c>
      <c r="H53" s="49" t="s">
        <v>2237</v>
      </c>
      <c r="I53" s="49" t="s">
        <v>2238</v>
      </c>
      <c r="J53" s="49" t="s">
        <v>2239</v>
      </c>
      <c r="K53" s="49" t="s">
        <v>2240</v>
      </c>
      <c r="L53" s="49" t="s">
        <v>2241</v>
      </c>
      <c r="M53" s="49" t="s">
        <v>2242</v>
      </c>
      <c r="N53" s="49" t="s">
        <v>2243</v>
      </c>
      <c r="O53" s="49" t="s">
        <v>3422</v>
      </c>
      <c r="P53" s="49" t="s">
        <v>3423</v>
      </c>
      <c r="Q53" s="49" t="s">
        <v>3424</v>
      </c>
      <c r="R53" s="49" t="s">
        <v>3425</v>
      </c>
      <c r="S53" s="49" t="s">
        <v>3426</v>
      </c>
      <c r="T53" s="49" t="s">
        <v>3427</v>
      </c>
    </row>
    <row r="54" spans="1:21" x14ac:dyDescent="0.2">
      <c r="A54" s="49" t="s">
        <v>30</v>
      </c>
    </row>
    <row r="55" spans="1:21" x14ac:dyDescent="0.2">
      <c r="A55" s="49" t="s">
        <v>30</v>
      </c>
      <c r="E55" s="49" t="s">
        <v>31</v>
      </c>
      <c r="F55" s="49" t="s">
        <v>31</v>
      </c>
      <c r="G55" s="49" t="s">
        <v>31</v>
      </c>
      <c r="J55" s="49" t="s">
        <v>31</v>
      </c>
      <c r="K55" s="49" t="s">
        <v>31</v>
      </c>
      <c r="L55" s="49" t="s">
        <v>31</v>
      </c>
      <c r="M55" s="49" t="s">
        <v>31</v>
      </c>
    </row>
    <row r="56" spans="1:21" x14ac:dyDescent="0.2">
      <c r="A56" s="49" t="s">
        <v>30</v>
      </c>
      <c r="D56" s="49" t="s">
        <v>2244</v>
      </c>
      <c r="E56" s="49" t="s">
        <v>4615</v>
      </c>
      <c r="F56" s="49" t="s">
        <v>2245</v>
      </c>
      <c r="H56" s="49" t="s">
        <v>2246</v>
      </c>
      <c r="O56" s="49" t="s">
        <v>32228</v>
      </c>
      <c r="P56" s="49" t="s">
        <v>32229</v>
      </c>
      <c r="Q56" s="49" t="s">
        <v>32230</v>
      </c>
      <c r="R56" s="49" t="s">
        <v>32231</v>
      </c>
      <c r="S56" s="49" t="s">
        <v>32232</v>
      </c>
      <c r="T56" s="49" t="s">
        <v>32233</v>
      </c>
      <c r="U56" s="49" t="s">
        <v>32234</v>
      </c>
    </row>
    <row r="57" spans="1:21" x14ac:dyDescent="0.2">
      <c r="A57" s="49" t="s">
        <v>30</v>
      </c>
      <c r="D57" s="49" t="s">
        <v>259</v>
      </c>
      <c r="G57" s="49" t="s">
        <v>3428</v>
      </c>
      <c r="H57" s="49" t="s">
        <v>260</v>
      </c>
      <c r="I57" s="49" t="s">
        <v>261</v>
      </c>
      <c r="J57" s="49" t="s">
        <v>262</v>
      </c>
      <c r="K57" s="49" t="s">
        <v>263</v>
      </c>
      <c r="L57" s="49" t="s">
        <v>264</v>
      </c>
      <c r="M57" s="49" t="s">
        <v>265</v>
      </c>
      <c r="N57" s="49" t="s">
        <v>266</v>
      </c>
      <c r="O57" s="49" t="s">
        <v>3429</v>
      </c>
      <c r="P57" s="49" t="s">
        <v>3430</v>
      </c>
      <c r="Q57" s="49" t="s">
        <v>3431</v>
      </c>
      <c r="R57" s="49" t="s">
        <v>3432</v>
      </c>
      <c r="S57" s="49" t="s">
        <v>3433</v>
      </c>
      <c r="T57" s="49" t="s">
        <v>3434</v>
      </c>
    </row>
    <row r="58" spans="1:21" x14ac:dyDescent="0.2">
      <c r="A58" s="49" t="s">
        <v>30</v>
      </c>
      <c r="D58" s="49" t="s">
        <v>267</v>
      </c>
      <c r="G58" s="49" t="s">
        <v>14379</v>
      </c>
      <c r="H58" s="49" t="s">
        <v>268</v>
      </c>
      <c r="I58" s="49" t="s">
        <v>269</v>
      </c>
      <c r="J58" s="49" t="s">
        <v>270</v>
      </c>
      <c r="K58" s="49" t="s">
        <v>271</v>
      </c>
      <c r="L58" s="49" t="s">
        <v>272</v>
      </c>
      <c r="M58" s="49" t="s">
        <v>273</v>
      </c>
      <c r="N58" s="49" t="s">
        <v>274</v>
      </c>
      <c r="O58" s="49" t="s">
        <v>3615</v>
      </c>
      <c r="P58" s="49" t="s">
        <v>3616</v>
      </c>
      <c r="Q58" s="49" t="s">
        <v>3617</v>
      </c>
      <c r="R58" s="49" t="s">
        <v>3618</v>
      </c>
      <c r="S58" s="49" t="s">
        <v>3619</v>
      </c>
      <c r="T58" s="49" t="s">
        <v>3620</v>
      </c>
    </row>
    <row r="59" spans="1:21" x14ac:dyDescent="0.2">
      <c r="A59" s="49" t="s">
        <v>30</v>
      </c>
      <c r="D59" s="49" t="s">
        <v>1681</v>
      </c>
      <c r="G59" s="49" t="s">
        <v>14389</v>
      </c>
      <c r="H59" s="49" t="s">
        <v>1682</v>
      </c>
      <c r="I59" s="49" t="s">
        <v>1683</v>
      </c>
      <c r="J59" s="49" t="s">
        <v>1684</v>
      </c>
      <c r="K59" s="49" t="s">
        <v>1685</v>
      </c>
      <c r="L59" s="49" t="s">
        <v>1686</v>
      </c>
      <c r="M59" s="49" t="s">
        <v>1687</v>
      </c>
      <c r="N59" s="49" t="s">
        <v>1688</v>
      </c>
      <c r="O59" s="49" t="s">
        <v>3621</v>
      </c>
      <c r="P59" s="49" t="s">
        <v>3622</v>
      </c>
      <c r="Q59" s="49" t="s">
        <v>3623</v>
      </c>
      <c r="R59" s="49" t="s">
        <v>3624</v>
      </c>
      <c r="S59" s="49" t="s">
        <v>3625</v>
      </c>
      <c r="T59" s="49" t="s">
        <v>3626</v>
      </c>
    </row>
    <row r="60" spans="1:21" x14ac:dyDescent="0.2">
      <c r="A60" s="49" t="s">
        <v>30</v>
      </c>
    </row>
    <row r="61" spans="1:21" x14ac:dyDescent="0.2">
      <c r="A61" s="49" t="s">
        <v>30</v>
      </c>
      <c r="E61" s="49" t="s">
        <v>31</v>
      </c>
      <c r="F61" s="49" t="s">
        <v>31</v>
      </c>
      <c r="G61" s="49" t="s">
        <v>31</v>
      </c>
      <c r="J61" s="49" t="s">
        <v>31</v>
      </c>
      <c r="K61" s="49" t="s">
        <v>31</v>
      </c>
      <c r="L61" s="49" t="s">
        <v>31</v>
      </c>
      <c r="M61" s="49" t="s">
        <v>31</v>
      </c>
    </row>
    <row r="62" spans="1:21" x14ac:dyDescent="0.2">
      <c r="A62" s="49" t="s">
        <v>30</v>
      </c>
      <c r="D62" s="49" t="s">
        <v>9985</v>
      </c>
      <c r="E62" s="49" t="s">
        <v>4618</v>
      </c>
      <c r="F62" s="49" t="s">
        <v>9986</v>
      </c>
      <c r="H62" s="49" t="s">
        <v>9987</v>
      </c>
      <c r="O62" s="49" t="s">
        <v>32235</v>
      </c>
      <c r="P62" s="49" t="s">
        <v>32236</v>
      </c>
      <c r="Q62" s="49" t="s">
        <v>32237</v>
      </c>
      <c r="R62" s="49" t="s">
        <v>32238</v>
      </c>
      <c r="S62" s="49" t="s">
        <v>32239</v>
      </c>
      <c r="T62" s="49" t="s">
        <v>32240</v>
      </c>
      <c r="U62" s="49" t="s">
        <v>32241</v>
      </c>
    </row>
    <row r="63" spans="1:21" x14ac:dyDescent="0.2">
      <c r="A63" s="49" t="s">
        <v>30</v>
      </c>
      <c r="D63" s="49" t="s">
        <v>286</v>
      </c>
      <c r="G63" s="49" t="s">
        <v>9988</v>
      </c>
      <c r="H63" s="49" t="s">
        <v>287</v>
      </c>
      <c r="I63" s="49" t="s">
        <v>288</v>
      </c>
      <c r="J63" s="49" t="s">
        <v>289</v>
      </c>
      <c r="K63" s="49" t="s">
        <v>290</v>
      </c>
      <c r="L63" s="49" t="s">
        <v>291</v>
      </c>
      <c r="M63" s="49" t="s">
        <v>292</v>
      </c>
      <c r="N63" s="49" t="s">
        <v>293</v>
      </c>
      <c r="O63" s="49" t="s">
        <v>4072</v>
      </c>
      <c r="P63" s="49" t="s">
        <v>4073</v>
      </c>
      <c r="Q63" s="49" t="s">
        <v>4074</v>
      </c>
      <c r="R63" s="49" t="s">
        <v>4075</v>
      </c>
      <c r="S63" s="49" t="s">
        <v>4076</v>
      </c>
      <c r="T63" s="49" t="s">
        <v>4077</v>
      </c>
    </row>
    <row r="64" spans="1:21" x14ac:dyDescent="0.2">
      <c r="A64" s="49" t="s">
        <v>30</v>
      </c>
      <c r="D64" s="49" t="s">
        <v>294</v>
      </c>
      <c r="G64" s="49" t="s">
        <v>14405</v>
      </c>
      <c r="H64" s="49" t="s">
        <v>295</v>
      </c>
      <c r="I64" s="49" t="s">
        <v>296</v>
      </c>
      <c r="J64" s="49" t="s">
        <v>297</v>
      </c>
      <c r="K64" s="49" t="s">
        <v>298</v>
      </c>
      <c r="L64" s="49" t="s">
        <v>299</v>
      </c>
      <c r="M64" s="49" t="s">
        <v>300</v>
      </c>
      <c r="N64" s="49" t="s">
        <v>301</v>
      </c>
      <c r="O64" s="49" t="s">
        <v>3627</v>
      </c>
      <c r="P64" s="49" t="s">
        <v>3628</v>
      </c>
      <c r="Q64" s="49" t="s">
        <v>3629</v>
      </c>
      <c r="R64" s="49" t="s">
        <v>3630</v>
      </c>
      <c r="S64" s="49" t="s">
        <v>3631</v>
      </c>
      <c r="T64" s="49" t="s">
        <v>3632</v>
      </c>
    </row>
    <row r="65" spans="1:21" x14ac:dyDescent="0.2">
      <c r="A65" s="49" t="s">
        <v>30</v>
      </c>
      <c r="D65" s="49" t="s">
        <v>2258</v>
      </c>
      <c r="G65" s="49" t="s">
        <v>14412</v>
      </c>
      <c r="H65" s="49" t="s">
        <v>2259</v>
      </c>
      <c r="I65" s="49" t="s">
        <v>2260</v>
      </c>
      <c r="J65" s="49" t="s">
        <v>2261</v>
      </c>
      <c r="K65" s="49" t="s">
        <v>2262</v>
      </c>
      <c r="L65" s="49" t="s">
        <v>2263</v>
      </c>
      <c r="M65" s="49" t="s">
        <v>2264</v>
      </c>
      <c r="N65" s="49" t="s">
        <v>2265</v>
      </c>
      <c r="O65" s="49" t="s">
        <v>3442</v>
      </c>
      <c r="P65" s="49" t="s">
        <v>3443</v>
      </c>
      <c r="Q65" s="49" t="s">
        <v>3444</v>
      </c>
      <c r="R65" s="49" t="s">
        <v>3445</v>
      </c>
      <c r="S65" s="49" t="s">
        <v>3446</v>
      </c>
      <c r="T65" s="49" t="s">
        <v>3447</v>
      </c>
    </row>
    <row r="66" spans="1:21" x14ac:dyDescent="0.2">
      <c r="A66" s="49" t="s">
        <v>30</v>
      </c>
    </row>
    <row r="67" spans="1:21" x14ac:dyDescent="0.2">
      <c r="A67" s="49" t="s">
        <v>30</v>
      </c>
      <c r="E67" s="49" t="s">
        <v>31</v>
      </c>
      <c r="F67" s="49" t="s">
        <v>31</v>
      </c>
      <c r="G67" s="49" t="s">
        <v>31</v>
      </c>
      <c r="J67" s="49" t="s">
        <v>31</v>
      </c>
      <c r="K67" s="49" t="s">
        <v>31</v>
      </c>
      <c r="L67" s="49" t="s">
        <v>31</v>
      </c>
      <c r="M67" s="49" t="s">
        <v>31</v>
      </c>
    </row>
    <row r="68" spans="1:21" x14ac:dyDescent="0.2">
      <c r="A68" s="49" t="s">
        <v>30</v>
      </c>
      <c r="D68" s="49" t="s">
        <v>4560</v>
      </c>
      <c r="E68" s="49" t="s">
        <v>4619</v>
      </c>
      <c r="F68" s="49" t="s">
        <v>4562</v>
      </c>
      <c r="H68" s="49" t="s">
        <v>4563</v>
      </c>
      <c r="O68" s="49" t="s">
        <v>32242</v>
      </c>
      <c r="P68" s="49" t="s">
        <v>32243</v>
      </c>
      <c r="Q68" s="49" t="s">
        <v>32244</v>
      </c>
      <c r="R68" s="49" t="s">
        <v>32245</v>
      </c>
      <c r="S68" s="49" t="s">
        <v>32246</v>
      </c>
      <c r="T68" s="49" t="s">
        <v>32247</v>
      </c>
      <c r="U68" s="49" t="s">
        <v>32248</v>
      </c>
    </row>
    <row r="69" spans="1:21" x14ac:dyDescent="0.2">
      <c r="A69" s="49" t="s">
        <v>30</v>
      </c>
      <c r="D69" s="49" t="s">
        <v>1843</v>
      </c>
      <c r="G69" s="49" t="s">
        <v>13930</v>
      </c>
      <c r="H69" s="49" t="s">
        <v>1844</v>
      </c>
      <c r="I69" s="49" t="s">
        <v>1845</v>
      </c>
      <c r="J69" s="49" t="s">
        <v>1846</v>
      </c>
      <c r="K69" s="49" t="s">
        <v>1847</v>
      </c>
      <c r="L69" s="49" t="s">
        <v>1848</v>
      </c>
      <c r="M69" s="49" t="s">
        <v>1849</v>
      </c>
      <c r="N69" s="49" t="s">
        <v>1850</v>
      </c>
      <c r="O69" s="49" t="s">
        <v>13005</v>
      </c>
      <c r="P69" s="49" t="s">
        <v>13006</v>
      </c>
      <c r="Q69" s="49" t="s">
        <v>13007</v>
      </c>
      <c r="R69" s="49" t="s">
        <v>13008</v>
      </c>
      <c r="S69" s="49" t="s">
        <v>13009</v>
      </c>
      <c r="T69" s="49" t="s">
        <v>13010</v>
      </c>
    </row>
    <row r="70" spans="1:21" x14ac:dyDescent="0.2">
      <c r="A70" s="49" t="s">
        <v>30</v>
      </c>
    </row>
    <row r="71" spans="1:21" x14ac:dyDescent="0.2">
      <c r="A71" s="49" t="s">
        <v>30</v>
      </c>
      <c r="E71" s="49" t="s">
        <v>31</v>
      </c>
      <c r="F71" s="49" t="s">
        <v>31</v>
      </c>
      <c r="G71" s="49" t="s">
        <v>31</v>
      </c>
      <c r="J71" s="49" t="s">
        <v>31</v>
      </c>
      <c r="K71" s="49" t="s">
        <v>31</v>
      </c>
      <c r="L71" s="49" t="s">
        <v>31</v>
      </c>
      <c r="M71" s="49" t="s">
        <v>31</v>
      </c>
    </row>
    <row r="72" spans="1:21" x14ac:dyDescent="0.2">
      <c r="A72" s="49" t="s">
        <v>30</v>
      </c>
      <c r="D72" s="49" t="s">
        <v>13011</v>
      </c>
      <c r="E72" s="49" t="s">
        <v>4655</v>
      </c>
      <c r="F72" s="49" t="s">
        <v>13012</v>
      </c>
      <c r="H72" s="49" t="s">
        <v>13013</v>
      </c>
      <c r="O72" s="49" t="s">
        <v>32249</v>
      </c>
      <c r="P72" s="49" t="s">
        <v>32250</v>
      </c>
      <c r="Q72" s="49" t="s">
        <v>32251</v>
      </c>
      <c r="R72" s="49" t="s">
        <v>32252</v>
      </c>
      <c r="S72" s="49" t="s">
        <v>32253</v>
      </c>
      <c r="T72" s="49" t="s">
        <v>32254</v>
      </c>
      <c r="U72" s="49" t="s">
        <v>32255</v>
      </c>
    </row>
    <row r="73" spans="1:21" x14ac:dyDescent="0.2">
      <c r="A73" s="49" t="s">
        <v>30</v>
      </c>
      <c r="D73" s="49" t="s">
        <v>1851</v>
      </c>
      <c r="G73" s="49" t="s">
        <v>13021</v>
      </c>
      <c r="H73" s="49" t="s">
        <v>1852</v>
      </c>
      <c r="I73" s="49" t="s">
        <v>1853</v>
      </c>
      <c r="J73" s="49" t="s">
        <v>1854</v>
      </c>
      <c r="K73" s="49" t="s">
        <v>1855</v>
      </c>
      <c r="L73" s="49" t="s">
        <v>1856</v>
      </c>
      <c r="M73" s="49" t="s">
        <v>1857</v>
      </c>
      <c r="N73" s="49" t="s">
        <v>1858</v>
      </c>
      <c r="O73" s="49" t="s">
        <v>3448</v>
      </c>
      <c r="P73" s="49" t="s">
        <v>3449</v>
      </c>
      <c r="Q73" s="49" t="s">
        <v>3450</v>
      </c>
      <c r="R73" s="49" t="s">
        <v>3451</v>
      </c>
      <c r="S73" s="49" t="s">
        <v>3452</v>
      </c>
      <c r="T73" s="49" t="s">
        <v>3453</v>
      </c>
    </row>
    <row r="74" spans="1:21" x14ac:dyDescent="0.2">
      <c r="A74" s="49" t="s">
        <v>30</v>
      </c>
      <c r="D74" s="49" t="s">
        <v>1859</v>
      </c>
      <c r="G74" s="49" t="s">
        <v>14453</v>
      </c>
      <c r="H74" s="49" t="s">
        <v>1860</v>
      </c>
      <c r="I74" s="49" t="s">
        <v>1861</v>
      </c>
      <c r="J74" s="49" t="s">
        <v>1862</v>
      </c>
      <c r="K74" s="49" t="s">
        <v>1863</v>
      </c>
      <c r="L74" s="49" t="s">
        <v>1864</v>
      </c>
      <c r="M74" s="49" t="s">
        <v>1865</v>
      </c>
      <c r="N74" s="49" t="s">
        <v>1866</v>
      </c>
      <c r="O74" s="49" t="s">
        <v>3639</v>
      </c>
      <c r="P74" s="49" t="s">
        <v>3640</v>
      </c>
      <c r="Q74" s="49" t="s">
        <v>3641</v>
      </c>
      <c r="R74" s="49" t="s">
        <v>3642</v>
      </c>
      <c r="S74" s="49" t="s">
        <v>3643</v>
      </c>
      <c r="T74" s="49" t="s">
        <v>3644</v>
      </c>
    </row>
    <row r="75" spans="1:21" x14ac:dyDescent="0.2">
      <c r="A75" s="49" t="s">
        <v>30</v>
      </c>
      <c r="D75" s="49" t="s">
        <v>1867</v>
      </c>
      <c r="G75" s="49" t="s">
        <v>14456</v>
      </c>
      <c r="H75" s="49" t="s">
        <v>1868</v>
      </c>
      <c r="I75" s="49" t="s">
        <v>1869</v>
      </c>
      <c r="J75" s="49" t="s">
        <v>1870</v>
      </c>
      <c r="K75" s="49" t="s">
        <v>1871</v>
      </c>
      <c r="L75" s="49" t="s">
        <v>1872</v>
      </c>
      <c r="M75" s="49" t="s">
        <v>1873</v>
      </c>
      <c r="N75" s="49" t="s">
        <v>1874</v>
      </c>
      <c r="O75" s="49" t="s">
        <v>3985</v>
      </c>
      <c r="P75" s="49" t="s">
        <v>3986</v>
      </c>
      <c r="Q75" s="49" t="s">
        <v>3987</v>
      </c>
      <c r="R75" s="49" t="s">
        <v>3988</v>
      </c>
      <c r="S75" s="49" t="s">
        <v>3989</v>
      </c>
      <c r="T75" s="49" t="s">
        <v>3990</v>
      </c>
    </row>
    <row r="76" spans="1:21" x14ac:dyDescent="0.2">
      <c r="A76" s="49" t="s">
        <v>30</v>
      </c>
    </row>
    <row r="77" spans="1:21" x14ac:dyDescent="0.2">
      <c r="A77" s="49" t="s">
        <v>30</v>
      </c>
      <c r="E77" s="49" t="s">
        <v>31</v>
      </c>
      <c r="F77" s="49" t="s">
        <v>31</v>
      </c>
      <c r="G77" s="49" t="s">
        <v>31</v>
      </c>
      <c r="J77" s="49" t="s">
        <v>31</v>
      </c>
      <c r="K77" s="49" t="s">
        <v>31</v>
      </c>
      <c r="L77" s="49" t="s">
        <v>31</v>
      </c>
      <c r="M77" s="49" t="s">
        <v>31</v>
      </c>
    </row>
    <row r="78" spans="1:21" x14ac:dyDescent="0.2">
      <c r="A78" s="49" t="s">
        <v>30</v>
      </c>
      <c r="D78" s="49" t="s">
        <v>8884</v>
      </c>
      <c r="E78" s="49" t="s">
        <v>4675</v>
      </c>
      <c r="F78" s="49" t="s">
        <v>8885</v>
      </c>
      <c r="H78" s="49" t="s">
        <v>8886</v>
      </c>
      <c r="O78" s="49" t="s">
        <v>10297</v>
      </c>
      <c r="P78" s="49" t="s">
        <v>10298</v>
      </c>
      <c r="Q78" s="49" t="s">
        <v>10299</v>
      </c>
      <c r="R78" s="49" t="s">
        <v>10300</v>
      </c>
      <c r="S78" s="49" t="s">
        <v>10301</v>
      </c>
      <c r="T78" s="49" t="s">
        <v>10302</v>
      </c>
      <c r="U78" s="49" t="s">
        <v>10303</v>
      </c>
    </row>
    <row r="79" spans="1:21" x14ac:dyDescent="0.2">
      <c r="A79" s="49" t="s">
        <v>30</v>
      </c>
      <c r="D79" s="49" t="s">
        <v>1875</v>
      </c>
      <c r="G79" s="49" t="s">
        <v>8894</v>
      </c>
      <c r="H79" s="49" t="s">
        <v>1876</v>
      </c>
      <c r="I79" s="49" t="s">
        <v>1877</v>
      </c>
      <c r="J79" s="49" t="s">
        <v>1878</v>
      </c>
      <c r="K79" s="49" t="s">
        <v>1879</v>
      </c>
      <c r="L79" s="49" t="s">
        <v>1880</v>
      </c>
      <c r="M79" s="49" t="s">
        <v>1881</v>
      </c>
      <c r="N79" s="49" t="s">
        <v>1882</v>
      </c>
      <c r="O79" s="49" t="s">
        <v>3991</v>
      </c>
      <c r="P79" s="49" t="s">
        <v>3992</v>
      </c>
      <c r="Q79" s="49" t="s">
        <v>3993</v>
      </c>
      <c r="R79" s="49" t="s">
        <v>3994</v>
      </c>
      <c r="S79" s="49" t="s">
        <v>3995</v>
      </c>
      <c r="T79" s="49" t="s">
        <v>3996</v>
      </c>
    </row>
    <row r="80" spans="1:21" x14ac:dyDescent="0.2">
      <c r="A80" s="49" t="s">
        <v>30</v>
      </c>
      <c r="D80" s="49" t="s">
        <v>1697</v>
      </c>
      <c r="G80" s="49" t="s">
        <v>14490</v>
      </c>
      <c r="H80" s="49" t="s">
        <v>1698</v>
      </c>
      <c r="I80" s="49" t="s">
        <v>1699</v>
      </c>
      <c r="J80" s="49" t="s">
        <v>1700</v>
      </c>
      <c r="K80" s="49" t="s">
        <v>1701</v>
      </c>
      <c r="L80" s="49" t="s">
        <v>1702</v>
      </c>
      <c r="M80" s="49" t="s">
        <v>1703</v>
      </c>
      <c r="N80" s="49" t="s">
        <v>1704</v>
      </c>
      <c r="O80" s="49" t="s">
        <v>3997</v>
      </c>
      <c r="P80" s="49" t="s">
        <v>3998</v>
      </c>
      <c r="Q80" s="49" t="s">
        <v>3999</v>
      </c>
      <c r="R80" s="49" t="s">
        <v>4000</v>
      </c>
      <c r="S80" s="49" t="s">
        <v>4001</v>
      </c>
      <c r="T80" s="49" t="s">
        <v>4002</v>
      </c>
    </row>
    <row r="81" spans="1:21" x14ac:dyDescent="0.2">
      <c r="A81" s="49" t="s">
        <v>30</v>
      </c>
    </row>
    <row r="82" spans="1:21" x14ac:dyDescent="0.2">
      <c r="A82" s="49" t="s">
        <v>30</v>
      </c>
      <c r="E82" s="49" t="s">
        <v>31</v>
      </c>
      <c r="F82" s="49" t="s">
        <v>31</v>
      </c>
      <c r="G82" s="49" t="s">
        <v>31</v>
      </c>
      <c r="J82" s="49" t="s">
        <v>31</v>
      </c>
      <c r="K82" s="49" t="s">
        <v>31</v>
      </c>
      <c r="L82" s="49" t="s">
        <v>31</v>
      </c>
      <c r="M82" s="49" t="s">
        <v>31</v>
      </c>
    </row>
    <row r="83" spans="1:21" x14ac:dyDescent="0.2">
      <c r="A83" s="49" t="s">
        <v>30</v>
      </c>
      <c r="D83" s="49" t="s">
        <v>1705</v>
      </c>
      <c r="E83" s="49" t="s">
        <v>4679</v>
      </c>
      <c r="F83" s="49" t="s">
        <v>1706</v>
      </c>
      <c r="H83" s="49" t="s">
        <v>1707</v>
      </c>
      <c r="O83" s="49" t="s">
        <v>1708</v>
      </c>
      <c r="P83" s="49" t="s">
        <v>1709</v>
      </c>
      <c r="Q83" s="49" t="s">
        <v>1710</v>
      </c>
      <c r="R83" s="49" t="s">
        <v>1711</v>
      </c>
      <c r="S83" s="49" t="s">
        <v>1712</v>
      </c>
      <c r="T83" s="49" t="s">
        <v>1713</v>
      </c>
      <c r="U83" s="49" t="s">
        <v>1714</v>
      </c>
    </row>
    <row r="84" spans="1:21" x14ac:dyDescent="0.2">
      <c r="A84" s="49" t="s">
        <v>30</v>
      </c>
      <c r="D84" s="49" t="s">
        <v>353</v>
      </c>
      <c r="G84" s="49" t="s">
        <v>4003</v>
      </c>
      <c r="H84" s="49" t="s">
        <v>354</v>
      </c>
      <c r="I84" s="49" t="s">
        <v>355</v>
      </c>
      <c r="J84" s="49" t="s">
        <v>356</v>
      </c>
      <c r="K84" s="49" t="s">
        <v>357</v>
      </c>
      <c r="L84" s="49" t="s">
        <v>358</v>
      </c>
      <c r="M84" s="49" t="s">
        <v>359</v>
      </c>
      <c r="N84" s="49" t="s">
        <v>360</v>
      </c>
      <c r="O84" s="49" t="s">
        <v>4004</v>
      </c>
      <c r="P84" s="49" t="s">
        <v>4005</v>
      </c>
      <c r="Q84" s="49" t="s">
        <v>4006</v>
      </c>
      <c r="R84" s="49" t="s">
        <v>4007</v>
      </c>
      <c r="S84" s="49" t="s">
        <v>4008</v>
      </c>
      <c r="T84" s="49" t="s">
        <v>4009</v>
      </c>
    </row>
    <row r="85" spans="1:21" x14ac:dyDescent="0.2">
      <c r="A85" s="49" t="s">
        <v>30</v>
      </c>
    </row>
    <row r="86" spans="1:21" x14ac:dyDescent="0.2">
      <c r="A86" s="49" t="s">
        <v>30</v>
      </c>
      <c r="E86" s="49" t="s">
        <v>31</v>
      </c>
      <c r="F86" s="49" t="s">
        <v>31</v>
      </c>
      <c r="G86" s="49" t="s">
        <v>31</v>
      </c>
      <c r="J86" s="49" t="s">
        <v>31</v>
      </c>
      <c r="K86" s="49" t="s">
        <v>31</v>
      </c>
      <c r="L86" s="49" t="s">
        <v>31</v>
      </c>
      <c r="M86" s="49" t="s">
        <v>31</v>
      </c>
    </row>
    <row r="87" spans="1:21" x14ac:dyDescent="0.2">
      <c r="A87" s="49" t="s">
        <v>30</v>
      </c>
      <c r="D87" s="49" t="s">
        <v>361</v>
      </c>
      <c r="E87" s="49" t="s">
        <v>4683</v>
      </c>
      <c r="F87" s="49" t="s">
        <v>362</v>
      </c>
      <c r="H87" s="49" t="s">
        <v>363</v>
      </c>
      <c r="O87" s="49" t="s">
        <v>32256</v>
      </c>
      <c r="P87" s="49" t="s">
        <v>32257</v>
      </c>
      <c r="Q87" s="49" t="s">
        <v>32258</v>
      </c>
      <c r="R87" s="49" t="s">
        <v>32259</v>
      </c>
      <c r="S87" s="49" t="s">
        <v>32260</v>
      </c>
      <c r="T87" s="49" t="s">
        <v>32261</v>
      </c>
      <c r="U87" s="49" t="s">
        <v>32262</v>
      </c>
    </row>
    <row r="88" spans="1:21" x14ac:dyDescent="0.2">
      <c r="A88" s="49" t="s">
        <v>30</v>
      </c>
      <c r="D88" s="49" t="s">
        <v>364</v>
      </c>
      <c r="G88" s="49" t="s">
        <v>4010</v>
      </c>
      <c r="H88" s="49" t="s">
        <v>365</v>
      </c>
      <c r="I88" s="49" t="s">
        <v>366</v>
      </c>
      <c r="J88" s="49" t="s">
        <v>367</v>
      </c>
      <c r="K88" s="49" t="s">
        <v>368</v>
      </c>
      <c r="L88" s="49" t="s">
        <v>369</v>
      </c>
      <c r="M88" s="49" t="s">
        <v>370</v>
      </c>
      <c r="N88" s="49" t="s">
        <v>371</v>
      </c>
      <c r="O88" s="49" t="s">
        <v>4011</v>
      </c>
      <c r="P88" s="49" t="s">
        <v>4012</v>
      </c>
      <c r="Q88" s="49" t="s">
        <v>4013</v>
      </c>
      <c r="R88" s="49" t="s">
        <v>4014</v>
      </c>
      <c r="S88" s="49" t="s">
        <v>4015</v>
      </c>
      <c r="T88" s="49" t="s">
        <v>4016</v>
      </c>
    </row>
    <row r="89" spans="1:21" x14ac:dyDescent="0.2">
      <c r="A89" s="49" t="s">
        <v>30</v>
      </c>
      <c r="D89" s="49" t="s">
        <v>14118</v>
      </c>
      <c r="G89" s="49" t="s">
        <v>14562</v>
      </c>
      <c r="H89" s="49" t="s">
        <v>31976</v>
      </c>
      <c r="I89" s="49" t="s">
        <v>31977</v>
      </c>
      <c r="J89" s="49" t="s">
        <v>32026</v>
      </c>
      <c r="K89" s="49" t="s">
        <v>32027</v>
      </c>
      <c r="L89" s="49" t="s">
        <v>14120</v>
      </c>
      <c r="M89" s="49" t="s">
        <v>14121</v>
      </c>
      <c r="N89" s="49" t="s">
        <v>14122</v>
      </c>
      <c r="O89" s="49" t="s">
        <v>33026</v>
      </c>
      <c r="P89" s="49" t="s">
        <v>33027</v>
      </c>
      <c r="Q89" s="49" t="s">
        <v>33028</v>
      </c>
      <c r="R89" s="49" t="s">
        <v>33029</v>
      </c>
      <c r="S89" s="49" t="s">
        <v>33030</v>
      </c>
      <c r="T89" s="49" t="s">
        <v>33031</v>
      </c>
    </row>
    <row r="90" spans="1:21" x14ac:dyDescent="0.2">
      <c r="A90" s="49" t="s">
        <v>30</v>
      </c>
      <c r="D90" s="49" t="s">
        <v>372</v>
      </c>
      <c r="G90" s="49" t="s">
        <v>14572</v>
      </c>
      <c r="H90" s="49" t="s">
        <v>373</v>
      </c>
      <c r="I90" s="49" t="s">
        <v>374</v>
      </c>
      <c r="J90" s="49" t="s">
        <v>375</v>
      </c>
      <c r="K90" s="49" t="s">
        <v>376</v>
      </c>
      <c r="L90" s="49" t="s">
        <v>377</v>
      </c>
      <c r="M90" s="49" t="s">
        <v>378</v>
      </c>
      <c r="N90" s="49" t="s">
        <v>379</v>
      </c>
      <c r="O90" s="49" t="s">
        <v>4097</v>
      </c>
      <c r="P90" s="49" t="s">
        <v>4098</v>
      </c>
      <c r="Q90" s="49" t="s">
        <v>4099</v>
      </c>
      <c r="R90" s="49" t="s">
        <v>4100</v>
      </c>
      <c r="S90" s="49" t="s">
        <v>4101</v>
      </c>
      <c r="T90" s="49" t="s">
        <v>4102</v>
      </c>
    </row>
    <row r="91" spans="1:21" x14ac:dyDescent="0.2">
      <c r="A91" s="49" t="s">
        <v>30</v>
      </c>
      <c r="D91" s="49" t="s">
        <v>380</v>
      </c>
      <c r="G91" s="49" t="s">
        <v>14597</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row>
    <row r="93" spans="1:21" x14ac:dyDescent="0.2">
      <c r="A93" s="49" t="s">
        <v>30</v>
      </c>
      <c r="E93" s="49" t="s">
        <v>31</v>
      </c>
      <c r="F93" s="49" t="s">
        <v>31</v>
      </c>
      <c r="G93" s="49" t="s">
        <v>31</v>
      </c>
      <c r="J93" s="49" t="s">
        <v>31</v>
      </c>
      <c r="K93" s="49" t="s">
        <v>31</v>
      </c>
      <c r="L93" s="49" t="s">
        <v>31</v>
      </c>
      <c r="M93" s="49" t="s">
        <v>31</v>
      </c>
    </row>
    <row r="94" spans="1:21" x14ac:dyDescent="0.2">
      <c r="A94" s="49" t="s">
        <v>30</v>
      </c>
      <c r="D94" s="49" t="s">
        <v>9423</v>
      </c>
      <c r="E94" s="49" t="s">
        <v>4686</v>
      </c>
      <c r="F94" s="49" t="s">
        <v>9424</v>
      </c>
      <c r="H94" s="49" t="s">
        <v>9425</v>
      </c>
      <c r="O94" s="49" t="s">
        <v>10630</v>
      </c>
      <c r="P94" s="49" t="s">
        <v>10631</v>
      </c>
      <c r="Q94" s="49" t="s">
        <v>10632</v>
      </c>
      <c r="R94" s="49" t="s">
        <v>10633</v>
      </c>
      <c r="S94" s="49" t="s">
        <v>10634</v>
      </c>
      <c r="T94" s="49" t="s">
        <v>10635</v>
      </c>
      <c r="U94" s="49" t="s">
        <v>10636</v>
      </c>
    </row>
    <row r="95" spans="1:21" x14ac:dyDescent="0.2">
      <c r="A95" s="49" t="s">
        <v>30</v>
      </c>
      <c r="D95" s="49" t="s">
        <v>9426</v>
      </c>
      <c r="G95" s="49" t="s">
        <v>9427</v>
      </c>
      <c r="H95" s="49" t="s">
        <v>9428</v>
      </c>
      <c r="I95" s="49" t="s">
        <v>9429</v>
      </c>
      <c r="J95" s="49" t="s">
        <v>9430</v>
      </c>
      <c r="K95" s="49" t="s">
        <v>9431</v>
      </c>
      <c r="L95" s="49" t="s">
        <v>9432</v>
      </c>
      <c r="M95" s="49" t="s">
        <v>9433</v>
      </c>
      <c r="N95" s="49" t="s">
        <v>9434</v>
      </c>
      <c r="O95" s="49" t="s">
        <v>9435</v>
      </c>
      <c r="P95" s="49" t="s">
        <v>9436</v>
      </c>
      <c r="Q95" s="49" t="s">
        <v>9437</v>
      </c>
      <c r="R95" s="49" t="s">
        <v>9438</v>
      </c>
      <c r="S95" s="49" t="s">
        <v>9439</v>
      </c>
      <c r="T95" s="49" t="s">
        <v>9440</v>
      </c>
    </row>
    <row r="96" spans="1:21" x14ac:dyDescent="0.2">
      <c r="A96" s="49" t="s">
        <v>30</v>
      </c>
    </row>
    <row r="97" spans="1:21" x14ac:dyDescent="0.2">
      <c r="A97" s="49" t="s">
        <v>30</v>
      </c>
      <c r="E97" s="49" t="s">
        <v>31</v>
      </c>
      <c r="F97" s="49" t="s">
        <v>31</v>
      </c>
      <c r="G97" s="49" t="s">
        <v>31</v>
      </c>
      <c r="J97" s="49" t="s">
        <v>31</v>
      </c>
      <c r="K97" s="49" t="s">
        <v>31</v>
      </c>
      <c r="L97" s="49" t="s">
        <v>31</v>
      </c>
      <c r="M97" s="49" t="s">
        <v>31</v>
      </c>
    </row>
    <row r="98" spans="1:21" x14ac:dyDescent="0.2">
      <c r="A98" s="49" t="s">
        <v>30</v>
      </c>
      <c r="D98" s="49" t="s">
        <v>10637</v>
      </c>
      <c r="E98" s="49" t="s">
        <v>4752</v>
      </c>
      <c r="F98" s="49" t="s">
        <v>10638</v>
      </c>
      <c r="H98" s="49" t="s">
        <v>10639</v>
      </c>
      <c r="O98" s="49" t="s">
        <v>13058</v>
      </c>
      <c r="P98" s="49" t="s">
        <v>13059</v>
      </c>
      <c r="Q98" s="49" t="s">
        <v>13060</v>
      </c>
      <c r="R98" s="49" t="s">
        <v>13061</v>
      </c>
      <c r="S98" s="49" t="s">
        <v>13062</v>
      </c>
      <c r="T98" s="49" t="s">
        <v>13063</v>
      </c>
      <c r="U98" s="49" t="s">
        <v>13064</v>
      </c>
    </row>
    <row r="99" spans="1:21" x14ac:dyDescent="0.2">
      <c r="A99" s="49" t="s">
        <v>30</v>
      </c>
      <c r="D99" s="49" t="s">
        <v>2333</v>
      </c>
      <c r="G99" s="49" t="s">
        <v>10640</v>
      </c>
      <c r="H99" s="49" t="s">
        <v>2334</v>
      </c>
      <c r="I99" s="49" t="s">
        <v>2335</v>
      </c>
      <c r="J99" s="49" t="s">
        <v>2336</v>
      </c>
      <c r="K99" s="49" t="s">
        <v>2337</v>
      </c>
      <c r="L99" s="49" t="s">
        <v>2338</v>
      </c>
      <c r="M99" s="49" t="s">
        <v>2339</v>
      </c>
      <c r="N99" s="49" t="s">
        <v>2340</v>
      </c>
      <c r="O99" s="49" t="s">
        <v>4103</v>
      </c>
      <c r="P99" s="49" t="s">
        <v>4104</v>
      </c>
      <c r="Q99" s="49" t="s">
        <v>4105</v>
      </c>
      <c r="R99" s="49" t="s">
        <v>4106</v>
      </c>
      <c r="S99" s="49" t="s">
        <v>4107</v>
      </c>
      <c r="T99" s="49" t="s">
        <v>4108</v>
      </c>
    </row>
    <row r="100" spans="1:21" x14ac:dyDescent="0.2">
      <c r="A100" s="49" t="s">
        <v>30</v>
      </c>
      <c r="D100" s="49" t="s">
        <v>2802</v>
      </c>
      <c r="G100" s="49" t="s">
        <v>14681</v>
      </c>
      <c r="H100" s="49" t="s">
        <v>2803</v>
      </c>
      <c r="I100" s="49" t="s">
        <v>2804</v>
      </c>
      <c r="J100" s="49" t="s">
        <v>2805</v>
      </c>
      <c r="K100" s="49" t="s">
        <v>2806</v>
      </c>
      <c r="L100" s="49" t="s">
        <v>2807</v>
      </c>
      <c r="M100" s="49" t="s">
        <v>2808</v>
      </c>
      <c r="N100" s="49" t="s">
        <v>2809</v>
      </c>
      <c r="O100" s="49" t="s">
        <v>4354</v>
      </c>
      <c r="P100" s="49" t="s">
        <v>4355</v>
      </c>
      <c r="Q100" s="49" t="s">
        <v>4356</v>
      </c>
      <c r="R100" s="49" t="s">
        <v>4357</v>
      </c>
      <c r="S100" s="49" t="s">
        <v>4358</v>
      </c>
      <c r="T100" s="49" t="s">
        <v>4359</v>
      </c>
    </row>
    <row r="101" spans="1:21" x14ac:dyDescent="0.2">
      <c r="A101" s="49" t="s">
        <v>30</v>
      </c>
    </row>
    <row r="102" spans="1:21" x14ac:dyDescent="0.2">
      <c r="A102" s="49" t="s">
        <v>30</v>
      </c>
      <c r="E102" s="49" t="s">
        <v>31</v>
      </c>
      <c r="F102" s="49" t="s">
        <v>31</v>
      </c>
      <c r="G102" s="49" t="s">
        <v>31</v>
      </c>
      <c r="J102" s="49" t="s">
        <v>31</v>
      </c>
      <c r="K102" s="49" t="s">
        <v>31</v>
      </c>
      <c r="L102" s="49" t="s">
        <v>31</v>
      </c>
      <c r="M102" s="49" t="s">
        <v>31</v>
      </c>
    </row>
    <row r="103" spans="1:21" x14ac:dyDescent="0.2">
      <c r="A103" s="49" t="s">
        <v>30</v>
      </c>
      <c r="D103" s="49" t="s">
        <v>10586</v>
      </c>
      <c r="E103" s="49" t="s">
        <v>4756</v>
      </c>
      <c r="F103" s="49" t="s">
        <v>10587</v>
      </c>
      <c r="H103" s="49" t="s">
        <v>10588</v>
      </c>
      <c r="O103" s="49" t="s">
        <v>10589</v>
      </c>
      <c r="P103" s="49" t="s">
        <v>10590</v>
      </c>
      <c r="Q103" s="49" t="s">
        <v>10591</v>
      </c>
      <c r="R103" s="49" t="s">
        <v>10592</v>
      </c>
      <c r="S103" s="49" t="s">
        <v>10593</v>
      </c>
      <c r="T103" s="49" t="s">
        <v>10594</v>
      </c>
      <c r="U103" s="49" t="s">
        <v>10595</v>
      </c>
    </row>
    <row r="104" spans="1:21" x14ac:dyDescent="0.2">
      <c r="A104" s="49" t="s">
        <v>30</v>
      </c>
      <c r="D104" s="49" t="s">
        <v>2341</v>
      </c>
      <c r="G104" s="49" t="s">
        <v>10596</v>
      </c>
      <c r="H104" s="49" t="s">
        <v>2342</v>
      </c>
      <c r="I104" s="49" t="s">
        <v>2343</v>
      </c>
      <c r="J104" s="49" t="s">
        <v>2344</v>
      </c>
      <c r="K104" s="49" t="s">
        <v>2345</v>
      </c>
      <c r="L104" s="49" t="s">
        <v>2346</v>
      </c>
      <c r="M104" s="49" t="s">
        <v>2347</v>
      </c>
      <c r="N104" s="49" t="s">
        <v>2348</v>
      </c>
      <c r="O104" s="49" t="s">
        <v>4366</v>
      </c>
      <c r="P104" s="49" t="s">
        <v>4367</v>
      </c>
      <c r="Q104" s="49" t="s">
        <v>4368</v>
      </c>
      <c r="R104" s="49" t="s">
        <v>4369</v>
      </c>
      <c r="S104" s="49" t="s">
        <v>4370</v>
      </c>
      <c r="T104" s="49" t="s">
        <v>4371</v>
      </c>
    </row>
    <row r="105" spans="1:21" x14ac:dyDescent="0.2">
      <c r="A105" s="49" t="s">
        <v>30</v>
      </c>
    </row>
    <row r="106" spans="1:21" x14ac:dyDescent="0.2">
      <c r="A106" s="49" t="s">
        <v>30</v>
      </c>
      <c r="E106" s="49" t="s">
        <v>31</v>
      </c>
      <c r="F106" s="49" t="s">
        <v>31</v>
      </c>
      <c r="G106" s="49" t="s">
        <v>31</v>
      </c>
      <c r="J106" s="49" t="s">
        <v>31</v>
      </c>
      <c r="K106" s="49" t="s">
        <v>31</v>
      </c>
      <c r="L106" s="49" t="s">
        <v>31</v>
      </c>
      <c r="M106" s="49" t="s">
        <v>31</v>
      </c>
    </row>
    <row r="107" spans="1:21" x14ac:dyDescent="0.2">
      <c r="A107" s="49" t="s">
        <v>30</v>
      </c>
      <c r="D107" s="49" t="s">
        <v>10308</v>
      </c>
      <c r="E107" s="49" t="s">
        <v>4760</v>
      </c>
      <c r="F107" s="49" t="s">
        <v>10309</v>
      </c>
      <c r="H107" s="49" t="s">
        <v>10310</v>
      </c>
      <c r="O107" s="49" t="s">
        <v>32263</v>
      </c>
      <c r="P107" s="49" t="s">
        <v>32264</v>
      </c>
      <c r="Q107" s="49" t="s">
        <v>32265</v>
      </c>
      <c r="R107" s="49" t="s">
        <v>32266</v>
      </c>
      <c r="S107" s="49" t="s">
        <v>32267</v>
      </c>
      <c r="T107" s="49" t="s">
        <v>32268</v>
      </c>
      <c r="U107" s="49" t="s">
        <v>32269</v>
      </c>
    </row>
    <row r="108" spans="1:21" x14ac:dyDescent="0.2">
      <c r="A108" s="49" t="s">
        <v>30</v>
      </c>
      <c r="D108" s="49" t="s">
        <v>439</v>
      </c>
      <c r="G108" s="49" t="s">
        <v>10318</v>
      </c>
      <c r="H108" s="49" t="s">
        <v>440</v>
      </c>
      <c r="I108" s="49" t="s">
        <v>441</v>
      </c>
      <c r="J108" s="49" t="s">
        <v>442</v>
      </c>
      <c r="K108" s="49" t="s">
        <v>443</v>
      </c>
      <c r="L108" s="49" t="s">
        <v>444</v>
      </c>
      <c r="M108" s="49" t="s">
        <v>445</v>
      </c>
      <c r="N108" s="49" t="s">
        <v>446</v>
      </c>
      <c r="O108" s="49" t="s">
        <v>3716</v>
      </c>
      <c r="P108" s="49" t="s">
        <v>3717</v>
      </c>
      <c r="Q108" s="49" t="s">
        <v>3718</v>
      </c>
      <c r="R108" s="49" t="s">
        <v>3719</v>
      </c>
      <c r="S108" s="49" t="s">
        <v>3720</v>
      </c>
      <c r="T108" s="49" t="s">
        <v>3721</v>
      </c>
    </row>
    <row r="109" spans="1:21" x14ac:dyDescent="0.2">
      <c r="A109" s="49" t="s">
        <v>30</v>
      </c>
      <c r="D109" s="49" t="s">
        <v>10777</v>
      </c>
      <c r="G109" s="49" t="s">
        <v>14760</v>
      </c>
      <c r="H109" s="49" t="s">
        <v>12888</v>
      </c>
      <c r="I109" s="49" t="s">
        <v>12889</v>
      </c>
      <c r="J109" s="49" t="s">
        <v>12896</v>
      </c>
      <c r="K109" s="49" t="s">
        <v>12897</v>
      </c>
      <c r="L109" s="49" t="s">
        <v>10778</v>
      </c>
      <c r="M109" s="49" t="s">
        <v>10779</v>
      </c>
      <c r="N109" s="49" t="s">
        <v>10780</v>
      </c>
      <c r="O109" s="49" t="s">
        <v>13069</v>
      </c>
      <c r="P109" s="49" t="s">
        <v>13070</v>
      </c>
      <c r="Q109" s="49" t="s">
        <v>13071</v>
      </c>
      <c r="R109" s="49" t="s">
        <v>13072</v>
      </c>
      <c r="S109" s="49" t="s">
        <v>13073</v>
      </c>
      <c r="T109" s="49" t="s">
        <v>13074</v>
      </c>
    </row>
    <row r="110" spans="1:21" x14ac:dyDescent="0.2">
      <c r="A110" s="49" t="s">
        <v>30</v>
      </c>
      <c r="D110" s="49" t="s">
        <v>1926</v>
      </c>
      <c r="G110" s="49" t="s">
        <v>14779</v>
      </c>
      <c r="H110" s="49" t="s">
        <v>1927</v>
      </c>
      <c r="I110" s="49" t="s">
        <v>1928</v>
      </c>
      <c r="J110" s="49" t="s">
        <v>1929</v>
      </c>
      <c r="K110" s="49" t="s">
        <v>1930</v>
      </c>
      <c r="L110" s="49" t="s">
        <v>1931</v>
      </c>
      <c r="M110" s="49" t="s">
        <v>1932</v>
      </c>
      <c r="N110" s="49" t="s">
        <v>1933</v>
      </c>
      <c r="O110" s="49" t="s">
        <v>3722</v>
      </c>
      <c r="P110" s="49" t="s">
        <v>3723</v>
      </c>
      <c r="Q110" s="49" t="s">
        <v>3724</v>
      </c>
      <c r="R110" s="49" t="s">
        <v>3725</v>
      </c>
      <c r="S110" s="49" t="s">
        <v>3726</v>
      </c>
      <c r="T110" s="49" t="s">
        <v>3727</v>
      </c>
    </row>
    <row r="111" spans="1:21" x14ac:dyDescent="0.2">
      <c r="A111" s="49" t="s">
        <v>30</v>
      </c>
      <c r="D111" s="49" t="s">
        <v>2570</v>
      </c>
      <c r="G111" s="49" t="s">
        <v>14799</v>
      </c>
      <c r="H111" s="49" t="s">
        <v>2571</v>
      </c>
      <c r="I111" s="49" t="s">
        <v>2572</v>
      </c>
      <c r="J111" s="49" t="s">
        <v>2573</v>
      </c>
      <c r="K111" s="49" t="s">
        <v>2574</v>
      </c>
      <c r="L111" s="49" t="s">
        <v>2575</v>
      </c>
      <c r="M111" s="49" t="s">
        <v>2576</v>
      </c>
      <c r="N111" s="49" t="s">
        <v>2577</v>
      </c>
      <c r="O111" s="49" t="s">
        <v>3921</v>
      </c>
      <c r="P111" s="49" t="s">
        <v>3922</v>
      </c>
      <c r="Q111" s="49" t="s">
        <v>3923</v>
      </c>
      <c r="R111" s="49" t="s">
        <v>3924</v>
      </c>
      <c r="S111" s="49" t="s">
        <v>3925</v>
      </c>
      <c r="T111" s="49" t="s">
        <v>3926</v>
      </c>
    </row>
    <row r="112" spans="1:21" x14ac:dyDescent="0.2">
      <c r="A112" s="49" t="s">
        <v>30</v>
      </c>
    </row>
    <row r="113" spans="1:21" x14ac:dyDescent="0.2">
      <c r="A113" s="49" t="s">
        <v>30</v>
      </c>
      <c r="E113" s="49" t="s">
        <v>31</v>
      </c>
      <c r="F113" s="49" t="s">
        <v>31</v>
      </c>
      <c r="G113" s="49" t="s">
        <v>31</v>
      </c>
      <c r="J113" s="49" t="s">
        <v>31</v>
      </c>
      <c r="K113" s="49" t="s">
        <v>31</v>
      </c>
      <c r="L113" s="49" t="s">
        <v>31</v>
      </c>
      <c r="M113" s="49" t="s">
        <v>31</v>
      </c>
    </row>
    <row r="114" spans="1:21" x14ac:dyDescent="0.2">
      <c r="A114" s="49" t="s">
        <v>30</v>
      </c>
      <c r="D114" s="49" t="s">
        <v>32270</v>
      </c>
      <c r="E114" s="49" t="s">
        <v>4805</v>
      </c>
      <c r="F114" s="49" t="s">
        <v>32271</v>
      </c>
      <c r="H114" s="49" t="s">
        <v>32272</v>
      </c>
      <c r="O114" s="49" t="s">
        <v>32273</v>
      </c>
      <c r="P114" s="49" t="s">
        <v>32274</v>
      </c>
      <c r="Q114" s="49" t="s">
        <v>32275</v>
      </c>
      <c r="R114" s="49" t="s">
        <v>32276</v>
      </c>
      <c r="S114" s="49" t="s">
        <v>32277</v>
      </c>
      <c r="T114" s="49" t="s">
        <v>32278</v>
      </c>
      <c r="U114" s="49" t="s">
        <v>32279</v>
      </c>
    </row>
    <row r="115" spans="1:21" x14ac:dyDescent="0.2">
      <c r="A115" s="49" t="s">
        <v>30</v>
      </c>
      <c r="D115" s="49" t="s">
        <v>463</v>
      </c>
      <c r="G115" s="49" t="s">
        <v>32280</v>
      </c>
      <c r="H115" s="49" t="s">
        <v>464</v>
      </c>
      <c r="I115" s="49" t="s">
        <v>465</v>
      </c>
      <c r="J115" s="49" t="s">
        <v>466</v>
      </c>
      <c r="K115" s="49" t="s">
        <v>467</v>
      </c>
      <c r="L115" s="49" t="s">
        <v>468</v>
      </c>
      <c r="M115" s="49" t="s">
        <v>469</v>
      </c>
      <c r="N115" s="49" t="s">
        <v>470</v>
      </c>
      <c r="O115" s="49" t="s">
        <v>3728</v>
      </c>
      <c r="P115" s="49" t="s">
        <v>3729</v>
      </c>
      <c r="Q115" s="49" t="s">
        <v>3730</v>
      </c>
      <c r="R115" s="49" t="s">
        <v>3731</v>
      </c>
      <c r="S115" s="49" t="s">
        <v>3732</v>
      </c>
      <c r="T115" s="49" t="s">
        <v>3733</v>
      </c>
    </row>
    <row r="116" spans="1:21" x14ac:dyDescent="0.2">
      <c r="A116" s="49" t="s">
        <v>30</v>
      </c>
      <c r="D116" s="49" t="s">
        <v>2777</v>
      </c>
      <c r="G116" s="49" t="s">
        <v>14839</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c r="D117" s="49" t="s">
        <v>1737</v>
      </c>
      <c r="G117" s="49" t="s">
        <v>14848</v>
      </c>
      <c r="H117" s="49" t="s">
        <v>1738</v>
      </c>
      <c r="I117" s="49" t="s">
        <v>1739</v>
      </c>
      <c r="J117" s="49" t="s">
        <v>1740</v>
      </c>
      <c r="K117" s="49" t="s">
        <v>1741</v>
      </c>
      <c r="L117" s="49" t="s">
        <v>1742</v>
      </c>
      <c r="M117" s="49" t="s">
        <v>1743</v>
      </c>
      <c r="N117" s="49" t="s">
        <v>1744</v>
      </c>
      <c r="O117" s="49" t="s">
        <v>3934</v>
      </c>
      <c r="P117" s="49" t="s">
        <v>3935</v>
      </c>
      <c r="Q117" s="49" t="s">
        <v>3936</v>
      </c>
      <c r="R117" s="49" t="s">
        <v>3937</v>
      </c>
      <c r="S117" s="49" t="s">
        <v>3938</v>
      </c>
      <c r="T117" s="49" t="s">
        <v>3939</v>
      </c>
    </row>
    <row r="118" spans="1:21" x14ac:dyDescent="0.2">
      <c r="A118" s="49" t="s">
        <v>30</v>
      </c>
    </row>
    <row r="119" spans="1:21" x14ac:dyDescent="0.2">
      <c r="A119" s="49" t="s">
        <v>30</v>
      </c>
      <c r="E119" s="49" t="s">
        <v>31</v>
      </c>
      <c r="F119" s="49" t="s">
        <v>31</v>
      </c>
      <c r="G119" s="49" t="s">
        <v>31</v>
      </c>
      <c r="J119" s="49" t="s">
        <v>31</v>
      </c>
      <c r="K119" s="49" t="s">
        <v>31</v>
      </c>
      <c r="L119" s="49" t="s">
        <v>31</v>
      </c>
      <c r="M119" s="49" t="s">
        <v>31</v>
      </c>
    </row>
    <row r="120" spans="1:21" x14ac:dyDescent="0.2">
      <c r="A120" s="49" t="s">
        <v>30</v>
      </c>
      <c r="D120" s="49" t="s">
        <v>8903</v>
      </c>
      <c r="E120" s="49" t="s">
        <v>4837</v>
      </c>
      <c r="F120" s="49" t="s">
        <v>8904</v>
      </c>
      <c r="H120" s="49" t="s">
        <v>8905</v>
      </c>
      <c r="O120" s="49" t="s">
        <v>32281</v>
      </c>
      <c r="P120" s="49" t="s">
        <v>32282</v>
      </c>
      <c r="Q120" s="49" t="s">
        <v>32283</v>
      </c>
      <c r="R120" s="49" t="s">
        <v>32284</v>
      </c>
      <c r="S120" s="49" t="s">
        <v>32285</v>
      </c>
      <c r="T120" s="49" t="s">
        <v>32286</v>
      </c>
      <c r="U120" s="49" t="s">
        <v>32287</v>
      </c>
    </row>
    <row r="121" spans="1:21" x14ac:dyDescent="0.2">
      <c r="A121" s="49" t="s">
        <v>30</v>
      </c>
      <c r="D121" s="49" t="s">
        <v>487</v>
      </c>
      <c r="G121" s="49" t="s">
        <v>8906</v>
      </c>
      <c r="H121" s="49" t="s">
        <v>488</v>
      </c>
      <c r="I121" s="49" t="s">
        <v>489</v>
      </c>
      <c r="J121" s="49" t="s">
        <v>490</v>
      </c>
      <c r="K121" s="49" t="s">
        <v>491</v>
      </c>
      <c r="L121" s="49" t="s">
        <v>492</v>
      </c>
      <c r="M121" s="49" t="s">
        <v>493</v>
      </c>
      <c r="N121" s="49" t="s">
        <v>494</v>
      </c>
      <c r="O121" s="49" t="s">
        <v>3747</v>
      </c>
      <c r="P121" s="49" t="s">
        <v>3748</v>
      </c>
      <c r="Q121" s="49" t="s">
        <v>3749</v>
      </c>
      <c r="R121" s="49" t="s">
        <v>3750</v>
      </c>
      <c r="S121" s="49" t="s">
        <v>3751</v>
      </c>
      <c r="T121" s="49" t="s">
        <v>3752</v>
      </c>
    </row>
    <row r="122" spans="1:21" x14ac:dyDescent="0.2">
      <c r="A122" s="49" t="s">
        <v>30</v>
      </c>
    </row>
    <row r="123" spans="1:21" x14ac:dyDescent="0.2">
      <c r="A123" s="49" t="s">
        <v>30</v>
      </c>
      <c r="E123" s="49" t="s">
        <v>31</v>
      </c>
      <c r="F123" s="49" t="s">
        <v>31</v>
      </c>
      <c r="G123" s="49" t="s">
        <v>31</v>
      </c>
      <c r="J123" s="49" t="s">
        <v>31</v>
      </c>
      <c r="K123" s="49" t="s">
        <v>31</v>
      </c>
      <c r="L123" s="49" t="s">
        <v>31</v>
      </c>
      <c r="M123" s="49" t="s">
        <v>31</v>
      </c>
    </row>
    <row r="124" spans="1:21" x14ac:dyDescent="0.2">
      <c r="A124" s="49" t="s">
        <v>30</v>
      </c>
      <c r="D124" s="49" t="s">
        <v>32288</v>
      </c>
      <c r="E124" s="49" t="s">
        <v>4844</v>
      </c>
      <c r="F124" s="49" t="s">
        <v>32289</v>
      </c>
      <c r="H124" s="49" t="s">
        <v>32290</v>
      </c>
      <c r="O124" s="49" t="s">
        <v>32291</v>
      </c>
      <c r="P124" s="49" t="s">
        <v>32292</v>
      </c>
      <c r="Q124" s="49" t="s">
        <v>32293</v>
      </c>
      <c r="R124" s="49" t="s">
        <v>32294</v>
      </c>
      <c r="S124" s="49" t="s">
        <v>32295</v>
      </c>
      <c r="T124" s="49" t="s">
        <v>32296</v>
      </c>
      <c r="U124" s="49" t="s">
        <v>32297</v>
      </c>
    </row>
    <row r="125" spans="1:21" x14ac:dyDescent="0.2">
      <c r="A125" s="49" t="s">
        <v>30</v>
      </c>
      <c r="D125" s="49" t="s">
        <v>519</v>
      </c>
      <c r="G125" s="49" t="s">
        <v>32298</v>
      </c>
      <c r="H125" s="49" t="s">
        <v>520</v>
      </c>
      <c r="I125" s="49" t="s">
        <v>521</v>
      </c>
      <c r="J125" s="49" t="s">
        <v>522</v>
      </c>
      <c r="K125" s="49" t="s">
        <v>523</v>
      </c>
      <c r="L125" s="49" t="s">
        <v>524</v>
      </c>
      <c r="M125" s="49" t="s">
        <v>525</v>
      </c>
      <c r="N125" s="49" t="s">
        <v>526</v>
      </c>
      <c r="O125" s="49" t="s">
        <v>3753</v>
      </c>
      <c r="P125" s="49" t="s">
        <v>3754</v>
      </c>
      <c r="Q125" s="49" t="s">
        <v>3755</v>
      </c>
      <c r="R125" s="49" t="s">
        <v>3756</v>
      </c>
      <c r="S125" s="49" t="s">
        <v>3757</v>
      </c>
      <c r="T125" s="49" t="s">
        <v>3758</v>
      </c>
    </row>
    <row r="126" spans="1:21" x14ac:dyDescent="0.2">
      <c r="A126" s="49" t="s">
        <v>30</v>
      </c>
    </row>
    <row r="127" spans="1:21" x14ac:dyDescent="0.2">
      <c r="A127" s="49" t="s">
        <v>30</v>
      </c>
      <c r="E127" s="49" t="s">
        <v>31</v>
      </c>
      <c r="F127" s="49" t="s">
        <v>31</v>
      </c>
      <c r="G127" s="49" t="s">
        <v>31</v>
      </c>
      <c r="J127" s="49" t="s">
        <v>31</v>
      </c>
      <c r="K127" s="49" t="s">
        <v>31</v>
      </c>
      <c r="L127" s="49" t="s">
        <v>31</v>
      </c>
      <c r="M127" s="49" t="s">
        <v>31</v>
      </c>
    </row>
    <row r="128" spans="1:21" x14ac:dyDescent="0.2">
      <c r="A128" s="49" t="s">
        <v>30</v>
      </c>
      <c r="D128" s="49" t="s">
        <v>10005</v>
      </c>
      <c r="E128" s="49" t="s">
        <v>4877</v>
      </c>
      <c r="F128" s="49" t="s">
        <v>10006</v>
      </c>
      <c r="H128" s="49" t="s">
        <v>10007</v>
      </c>
      <c r="O128" s="49" t="s">
        <v>10597</v>
      </c>
      <c r="P128" s="49" t="s">
        <v>10598</v>
      </c>
      <c r="Q128" s="49" t="s">
        <v>10599</v>
      </c>
      <c r="R128" s="49" t="s">
        <v>10600</v>
      </c>
      <c r="S128" s="49" t="s">
        <v>10601</v>
      </c>
      <c r="T128" s="49" t="s">
        <v>10602</v>
      </c>
      <c r="U128" s="49" t="s">
        <v>10603</v>
      </c>
    </row>
    <row r="129" spans="1:21" x14ac:dyDescent="0.2">
      <c r="A129" s="49" t="s">
        <v>30</v>
      </c>
      <c r="D129" s="49" t="s">
        <v>527</v>
      </c>
      <c r="G129" s="49" t="s">
        <v>10008</v>
      </c>
      <c r="H129" s="49" t="s">
        <v>528</v>
      </c>
      <c r="I129" s="49" t="s">
        <v>529</v>
      </c>
      <c r="J129" s="49" t="s">
        <v>530</v>
      </c>
      <c r="K129" s="49" t="s">
        <v>531</v>
      </c>
      <c r="L129" s="49" t="s">
        <v>532</v>
      </c>
      <c r="M129" s="49" t="s">
        <v>533</v>
      </c>
      <c r="N129" s="49" t="s">
        <v>534</v>
      </c>
      <c r="O129" s="49" t="s">
        <v>4373</v>
      </c>
      <c r="P129" s="49" t="s">
        <v>4374</v>
      </c>
      <c r="Q129" s="49" t="s">
        <v>4375</v>
      </c>
      <c r="R129" s="49" t="s">
        <v>4376</v>
      </c>
      <c r="S129" s="49" t="s">
        <v>4377</v>
      </c>
      <c r="T129" s="49" t="s">
        <v>4378</v>
      </c>
    </row>
    <row r="130" spans="1:21" x14ac:dyDescent="0.2">
      <c r="A130" s="49" t="s">
        <v>30</v>
      </c>
    </row>
    <row r="131" spans="1:21" x14ac:dyDescent="0.2">
      <c r="A131" s="49" t="s">
        <v>30</v>
      </c>
      <c r="E131" s="49" t="s">
        <v>31</v>
      </c>
      <c r="F131" s="49" t="s">
        <v>31</v>
      </c>
      <c r="G131" s="49" t="s">
        <v>31</v>
      </c>
      <c r="J131" s="49" t="s">
        <v>31</v>
      </c>
      <c r="K131" s="49" t="s">
        <v>31</v>
      </c>
      <c r="L131" s="49" t="s">
        <v>31</v>
      </c>
      <c r="M131" s="49" t="s">
        <v>31</v>
      </c>
    </row>
    <row r="132" spans="1:21" x14ac:dyDescent="0.2">
      <c r="A132" s="49" t="s">
        <v>30</v>
      </c>
      <c r="D132" s="49" t="s">
        <v>1745</v>
      </c>
      <c r="E132" s="49" t="s">
        <v>4949</v>
      </c>
      <c r="F132" s="49" t="s">
        <v>1746</v>
      </c>
      <c r="H132" s="49" t="s">
        <v>1747</v>
      </c>
      <c r="O132" s="49" t="s">
        <v>10604</v>
      </c>
      <c r="P132" s="49" t="s">
        <v>10605</v>
      </c>
      <c r="Q132" s="49" t="s">
        <v>10606</v>
      </c>
      <c r="R132" s="49" t="s">
        <v>10607</v>
      </c>
      <c r="S132" s="49" t="s">
        <v>10608</v>
      </c>
      <c r="T132" s="49" t="s">
        <v>10609</v>
      </c>
      <c r="U132" s="49" t="s">
        <v>10610</v>
      </c>
    </row>
    <row r="133" spans="1:21" x14ac:dyDescent="0.2">
      <c r="A133" s="49" t="s">
        <v>30</v>
      </c>
      <c r="D133" s="49" t="s">
        <v>1748</v>
      </c>
      <c r="G133" s="49" t="s">
        <v>4379</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row>
    <row r="135" spans="1:21" x14ac:dyDescent="0.2">
      <c r="A135" s="49" t="s">
        <v>30</v>
      </c>
      <c r="E135" s="49" t="s">
        <v>31</v>
      </c>
      <c r="F135" s="49" t="s">
        <v>31</v>
      </c>
      <c r="G135" s="49" t="s">
        <v>31</v>
      </c>
      <c r="J135" s="49" t="s">
        <v>31</v>
      </c>
      <c r="K135" s="49" t="s">
        <v>31</v>
      </c>
      <c r="L135" s="49" t="s">
        <v>31</v>
      </c>
      <c r="M135" s="49" t="s">
        <v>31</v>
      </c>
    </row>
    <row r="136" spans="1:21" x14ac:dyDescent="0.2">
      <c r="A136" s="49" t="s">
        <v>30</v>
      </c>
      <c r="D136" s="49" t="s">
        <v>9452</v>
      </c>
      <c r="E136" s="49" t="s">
        <v>4951</v>
      </c>
      <c r="F136" s="49" t="s">
        <v>9453</v>
      </c>
      <c r="H136" s="49" t="s">
        <v>9454</v>
      </c>
      <c r="O136" s="49" t="s">
        <v>13075</v>
      </c>
      <c r="P136" s="49" t="s">
        <v>13076</v>
      </c>
      <c r="Q136" s="49" t="s">
        <v>13077</v>
      </c>
      <c r="R136" s="49" t="s">
        <v>13078</v>
      </c>
      <c r="S136" s="49" t="s">
        <v>13079</v>
      </c>
      <c r="T136" s="49" t="s">
        <v>13080</v>
      </c>
      <c r="U136" s="49" t="s">
        <v>13081</v>
      </c>
    </row>
    <row r="137" spans="1:21" x14ac:dyDescent="0.2">
      <c r="A137" s="49" t="s">
        <v>30</v>
      </c>
      <c r="D137" s="49" t="s">
        <v>567</v>
      </c>
      <c r="G137" s="49" t="s">
        <v>9455</v>
      </c>
      <c r="H137" s="49" t="s">
        <v>568</v>
      </c>
      <c r="I137" s="49" t="s">
        <v>569</v>
      </c>
      <c r="J137" s="49" t="s">
        <v>570</v>
      </c>
      <c r="K137" s="49" t="s">
        <v>571</v>
      </c>
      <c r="L137" s="49" t="s">
        <v>572</v>
      </c>
      <c r="M137" s="49" t="s">
        <v>573</v>
      </c>
      <c r="N137" s="49" t="s">
        <v>574</v>
      </c>
      <c r="O137" s="49" t="s">
        <v>8911</v>
      </c>
      <c r="P137" s="49" t="s">
        <v>8912</v>
      </c>
      <c r="Q137" s="49" t="s">
        <v>8913</v>
      </c>
      <c r="R137" s="49" t="s">
        <v>8914</v>
      </c>
      <c r="S137" s="49" t="s">
        <v>8915</v>
      </c>
      <c r="T137" s="49" t="s">
        <v>8916</v>
      </c>
    </row>
    <row r="138" spans="1:21" x14ac:dyDescent="0.2">
      <c r="A138" s="49" t="s">
        <v>30</v>
      </c>
      <c r="D138" s="49" t="s">
        <v>575</v>
      </c>
      <c r="G138" s="49" t="s">
        <v>15112</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row>
    <row r="140" spans="1:21" x14ac:dyDescent="0.2">
      <c r="A140" s="49" t="s">
        <v>30</v>
      </c>
      <c r="E140" s="49" t="s">
        <v>31</v>
      </c>
      <c r="F140" s="49" t="s">
        <v>31</v>
      </c>
      <c r="G140" s="49" t="s">
        <v>31</v>
      </c>
      <c r="J140" s="49" t="s">
        <v>31</v>
      </c>
      <c r="K140" s="49" t="s">
        <v>31</v>
      </c>
      <c r="L140" s="49" t="s">
        <v>31</v>
      </c>
      <c r="M140" s="49" t="s">
        <v>31</v>
      </c>
    </row>
    <row r="141" spans="1:21" x14ac:dyDescent="0.2">
      <c r="A141" s="49" t="s">
        <v>30</v>
      </c>
      <c r="D141" s="49" t="s">
        <v>10648</v>
      </c>
      <c r="E141" s="49" t="s">
        <v>4969</v>
      </c>
      <c r="F141" s="49" t="s">
        <v>10649</v>
      </c>
      <c r="H141" s="49" t="s">
        <v>10650</v>
      </c>
      <c r="O141" s="49" t="s">
        <v>32299</v>
      </c>
      <c r="P141" s="49" t="s">
        <v>32300</v>
      </c>
      <c r="Q141" s="49" t="s">
        <v>32301</v>
      </c>
      <c r="R141" s="49" t="s">
        <v>32302</v>
      </c>
      <c r="S141" s="49" t="s">
        <v>32303</v>
      </c>
      <c r="T141" s="49" t="s">
        <v>32304</v>
      </c>
      <c r="U141" s="49" t="s">
        <v>32305</v>
      </c>
    </row>
    <row r="142" spans="1:21" x14ac:dyDescent="0.2">
      <c r="A142" s="49" t="s">
        <v>30</v>
      </c>
      <c r="D142" s="49" t="s">
        <v>1756</v>
      </c>
      <c r="G142" s="49" t="s">
        <v>10658</v>
      </c>
      <c r="H142" s="49" t="s">
        <v>1757</v>
      </c>
      <c r="I142" s="49" t="s">
        <v>1758</v>
      </c>
      <c r="J142" s="49" t="s">
        <v>1759</v>
      </c>
      <c r="K142" s="49" t="s">
        <v>1760</v>
      </c>
      <c r="L142" s="49" t="s">
        <v>1761</v>
      </c>
      <c r="M142" s="49" t="s">
        <v>1762</v>
      </c>
      <c r="N142" s="49" t="s">
        <v>1763</v>
      </c>
      <c r="O142" s="49" t="s">
        <v>3953</v>
      </c>
      <c r="P142" s="49" t="s">
        <v>3954</v>
      </c>
      <c r="Q142" s="49" t="s">
        <v>3955</v>
      </c>
      <c r="R142" s="49" t="s">
        <v>3956</v>
      </c>
      <c r="S142" s="49" t="s">
        <v>3957</v>
      </c>
      <c r="T142" s="49" t="s">
        <v>3958</v>
      </c>
    </row>
    <row r="143" spans="1:21" x14ac:dyDescent="0.2">
      <c r="A143" s="49" t="s">
        <v>30</v>
      </c>
      <c r="D143" s="49" t="s">
        <v>2355</v>
      </c>
      <c r="G143" s="49" t="s">
        <v>15180</v>
      </c>
      <c r="H143" s="49" t="s">
        <v>2356</v>
      </c>
      <c r="I143" s="49" t="s">
        <v>2357</v>
      </c>
      <c r="J143" s="49" t="s">
        <v>2358</v>
      </c>
      <c r="K143" s="49" t="s">
        <v>2359</v>
      </c>
      <c r="L143" s="49" t="s">
        <v>2360</v>
      </c>
      <c r="M143" s="49" t="s">
        <v>2361</v>
      </c>
      <c r="N143" s="49" t="s">
        <v>2362</v>
      </c>
      <c r="O143" s="49" t="s">
        <v>4470</v>
      </c>
      <c r="P143" s="49" t="s">
        <v>4471</v>
      </c>
      <c r="Q143" s="49" t="s">
        <v>4472</v>
      </c>
      <c r="R143" s="49" t="s">
        <v>4473</v>
      </c>
      <c r="S143" s="49" t="s">
        <v>4474</v>
      </c>
      <c r="T143" s="49" t="s">
        <v>4475</v>
      </c>
    </row>
    <row r="144" spans="1:21" x14ac:dyDescent="0.2">
      <c r="A144" s="49" t="s">
        <v>30</v>
      </c>
    </row>
    <row r="145" spans="1:21" x14ac:dyDescent="0.2">
      <c r="A145" s="49" t="s">
        <v>30</v>
      </c>
      <c r="E145" s="49" t="s">
        <v>31</v>
      </c>
      <c r="F145" s="49" t="s">
        <v>31</v>
      </c>
      <c r="G145" s="49" t="s">
        <v>31</v>
      </c>
      <c r="J145" s="49" t="s">
        <v>31</v>
      </c>
      <c r="K145" s="49" t="s">
        <v>31</v>
      </c>
      <c r="L145" s="49" t="s">
        <v>31</v>
      </c>
      <c r="M145" s="49" t="s">
        <v>31</v>
      </c>
    </row>
    <row r="146" spans="1:21" x14ac:dyDescent="0.2">
      <c r="A146" s="49" t="s">
        <v>30</v>
      </c>
      <c r="D146" s="49" t="s">
        <v>32306</v>
      </c>
      <c r="E146" s="49" t="s">
        <v>4970</v>
      </c>
      <c r="F146" s="49" t="s">
        <v>32307</v>
      </c>
      <c r="H146" s="49" t="s">
        <v>32308</v>
      </c>
      <c r="O146" s="49" t="s">
        <v>32309</v>
      </c>
      <c r="P146" s="49" t="s">
        <v>32310</v>
      </c>
      <c r="Q146" s="49" t="s">
        <v>32311</v>
      </c>
      <c r="R146" s="49" t="s">
        <v>32312</v>
      </c>
      <c r="S146" s="49" t="s">
        <v>32313</v>
      </c>
      <c r="T146" s="49" t="s">
        <v>32314</v>
      </c>
      <c r="U146" s="49" t="s">
        <v>32315</v>
      </c>
    </row>
    <row r="147" spans="1:21" x14ac:dyDescent="0.2">
      <c r="A147" s="49" t="s">
        <v>30</v>
      </c>
      <c r="D147" s="49" t="s">
        <v>14192</v>
      </c>
      <c r="G147" s="49" t="s">
        <v>32316</v>
      </c>
      <c r="H147" s="49" t="s">
        <v>31900</v>
      </c>
      <c r="I147" s="49" t="s">
        <v>31901</v>
      </c>
      <c r="J147" s="49" t="s">
        <v>31920</v>
      </c>
      <c r="K147" s="49" t="s">
        <v>31921</v>
      </c>
      <c r="L147" s="49" t="s">
        <v>14194</v>
      </c>
      <c r="M147" s="49" t="s">
        <v>14195</v>
      </c>
      <c r="N147" s="49" t="s">
        <v>14196</v>
      </c>
      <c r="O147" s="49" t="s">
        <v>32317</v>
      </c>
      <c r="P147" s="49" t="s">
        <v>32318</v>
      </c>
      <c r="Q147" s="49" t="s">
        <v>32319</v>
      </c>
      <c r="R147" s="49" t="s">
        <v>32320</v>
      </c>
      <c r="S147" s="49" t="s">
        <v>32321</v>
      </c>
      <c r="T147" s="49" t="s">
        <v>32322</v>
      </c>
    </row>
    <row r="148" spans="1:21" x14ac:dyDescent="0.2">
      <c r="A148" s="49" t="s">
        <v>30</v>
      </c>
      <c r="D148" s="49" t="s">
        <v>623</v>
      </c>
      <c r="G148" s="49" t="s">
        <v>15209</v>
      </c>
      <c r="H148" s="49" t="s">
        <v>624</v>
      </c>
      <c r="I148" s="49" t="s">
        <v>625</v>
      </c>
      <c r="J148" s="49" t="s">
        <v>626</v>
      </c>
      <c r="K148" s="49" t="s">
        <v>627</v>
      </c>
      <c r="L148" s="49" t="s">
        <v>628</v>
      </c>
      <c r="M148" s="49" t="s">
        <v>629</v>
      </c>
      <c r="N148" s="49" t="s">
        <v>630</v>
      </c>
      <c r="O148" s="49" t="s">
        <v>13705</v>
      </c>
      <c r="P148" s="49" t="s">
        <v>13706</v>
      </c>
      <c r="Q148" s="49" t="s">
        <v>13707</v>
      </c>
      <c r="R148" s="49" t="s">
        <v>13708</v>
      </c>
      <c r="S148" s="49" t="s">
        <v>13709</v>
      </c>
      <c r="T148" s="49" t="s">
        <v>13710</v>
      </c>
    </row>
    <row r="149" spans="1:21" x14ac:dyDescent="0.2">
      <c r="A149" s="49" t="s">
        <v>30</v>
      </c>
    </row>
    <row r="150" spans="1:21" x14ac:dyDescent="0.2">
      <c r="A150" s="49" t="s">
        <v>30</v>
      </c>
      <c r="E150" s="49" t="s">
        <v>31</v>
      </c>
      <c r="F150" s="49" t="s">
        <v>31</v>
      </c>
      <c r="G150" s="49" t="s">
        <v>31</v>
      </c>
      <c r="J150" s="49" t="s">
        <v>31</v>
      </c>
      <c r="K150" s="49" t="s">
        <v>31</v>
      </c>
      <c r="L150" s="49" t="s">
        <v>31</v>
      </c>
      <c r="M150" s="49" t="s">
        <v>31</v>
      </c>
    </row>
    <row r="151" spans="1:21" x14ac:dyDescent="0.2">
      <c r="A151" s="49" t="s">
        <v>30</v>
      </c>
      <c r="D151" s="49" t="s">
        <v>32323</v>
      </c>
      <c r="E151" s="49" t="s">
        <v>5002</v>
      </c>
      <c r="F151" s="49" t="s">
        <v>32324</v>
      </c>
      <c r="H151" s="49" t="s">
        <v>32325</v>
      </c>
      <c r="O151" s="49" t="s">
        <v>32326</v>
      </c>
      <c r="P151" s="49" t="s">
        <v>32327</v>
      </c>
      <c r="Q151" s="49" t="s">
        <v>32328</v>
      </c>
      <c r="R151" s="49" t="s">
        <v>32329</v>
      </c>
      <c r="S151" s="49" t="s">
        <v>32330</v>
      </c>
      <c r="T151" s="49" t="s">
        <v>32331</v>
      </c>
      <c r="U151" s="49" t="s">
        <v>32332</v>
      </c>
    </row>
    <row r="152" spans="1:21" x14ac:dyDescent="0.2">
      <c r="A152" s="49" t="s">
        <v>30</v>
      </c>
      <c r="D152" s="49" t="s">
        <v>655</v>
      </c>
      <c r="G152" s="49" t="s">
        <v>32333</v>
      </c>
      <c r="H152" s="49" t="s">
        <v>656</v>
      </c>
      <c r="I152" s="49" t="s">
        <v>657</v>
      </c>
      <c r="J152" s="49" t="s">
        <v>658</v>
      </c>
      <c r="K152" s="49" t="s">
        <v>659</v>
      </c>
      <c r="L152" s="49" t="s">
        <v>660</v>
      </c>
      <c r="M152" s="49" t="s">
        <v>661</v>
      </c>
      <c r="N152" s="49" t="s">
        <v>662</v>
      </c>
      <c r="O152" s="49" t="s">
        <v>32334</v>
      </c>
      <c r="P152" s="49" t="s">
        <v>32335</v>
      </c>
      <c r="Q152" s="49" t="s">
        <v>32336</v>
      </c>
      <c r="R152" s="49" t="s">
        <v>32337</v>
      </c>
      <c r="S152" s="49" t="s">
        <v>32338</v>
      </c>
      <c r="T152" s="49" t="s">
        <v>32339</v>
      </c>
    </row>
    <row r="153" spans="1:21" x14ac:dyDescent="0.2">
      <c r="A153" s="49" t="s">
        <v>30</v>
      </c>
    </row>
    <row r="154" spans="1:21" x14ac:dyDescent="0.2">
      <c r="A154" s="49" t="s">
        <v>30</v>
      </c>
      <c r="E154" s="49" t="s">
        <v>31</v>
      </c>
      <c r="F154" s="49" t="s">
        <v>31</v>
      </c>
      <c r="G154" s="49" t="s">
        <v>31</v>
      </c>
      <c r="J154" s="49" t="s">
        <v>31</v>
      </c>
      <c r="K154" s="49" t="s">
        <v>31</v>
      </c>
      <c r="L154" s="49" t="s">
        <v>31</v>
      </c>
      <c r="M154" s="49" t="s">
        <v>31</v>
      </c>
    </row>
    <row r="155" spans="1:21" x14ac:dyDescent="0.2">
      <c r="A155" s="49" t="s">
        <v>30</v>
      </c>
      <c r="D155" s="49" t="s">
        <v>32340</v>
      </c>
      <c r="E155" s="49" t="s">
        <v>5040</v>
      </c>
      <c r="F155" s="49" t="s">
        <v>32341</v>
      </c>
      <c r="H155" s="49" t="s">
        <v>32342</v>
      </c>
      <c r="O155" s="49" t="s">
        <v>32343</v>
      </c>
      <c r="P155" s="49" t="s">
        <v>32344</v>
      </c>
      <c r="Q155" s="49" t="s">
        <v>32345</v>
      </c>
      <c r="R155" s="49" t="s">
        <v>32346</v>
      </c>
      <c r="S155" s="49" t="s">
        <v>32347</v>
      </c>
      <c r="T155" s="49" t="s">
        <v>32348</v>
      </c>
      <c r="U155" s="49" t="s">
        <v>32349</v>
      </c>
    </row>
    <row r="156" spans="1:21" x14ac:dyDescent="0.2">
      <c r="A156" s="49" t="s">
        <v>30</v>
      </c>
      <c r="D156" s="49" t="s">
        <v>14209</v>
      </c>
      <c r="G156" s="49" t="s">
        <v>32350</v>
      </c>
      <c r="H156" s="49" t="s">
        <v>31878</v>
      </c>
      <c r="I156" s="49" t="s">
        <v>31879</v>
      </c>
      <c r="J156" s="49" t="s">
        <v>31898</v>
      </c>
      <c r="K156" s="49" t="s">
        <v>31899</v>
      </c>
      <c r="L156" s="49" t="s">
        <v>14211</v>
      </c>
      <c r="M156" s="49" t="s">
        <v>14212</v>
      </c>
      <c r="N156" s="49" t="s">
        <v>14213</v>
      </c>
      <c r="O156" s="49" t="s">
        <v>32351</v>
      </c>
      <c r="P156" s="49" t="s">
        <v>32352</v>
      </c>
      <c r="Q156" s="49" t="s">
        <v>32353</v>
      </c>
      <c r="R156" s="49" t="s">
        <v>32354</v>
      </c>
      <c r="S156" s="49" t="s">
        <v>32355</v>
      </c>
      <c r="T156" s="49" t="s">
        <v>32356</v>
      </c>
    </row>
    <row r="157" spans="1:21" x14ac:dyDescent="0.2">
      <c r="A157" s="49" t="s">
        <v>30</v>
      </c>
    </row>
    <row r="158" spans="1:21" x14ac:dyDescent="0.2">
      <c r="A158" s="49" t="s">
        <v>30</v>
      </c>
      <c r="E158" s="49" t="s">
        <v>31</v>
      </c>
      <c r="F158" s="49" t="s">
        <v>31</v>
      </c>
      <c r="G158" s="49" t="s">
        <v>31</v>
      </c>
      <c r="J158" s="49" t="s">
        <v>31</v>
      </c>
      <c r="K158" s="49" t="s">
        <v>31</v>
      </c>
      <c r="L158" s="49" t="s">
        <v>31</v>
      </c>
      <c r="M158" s="49" t="s">
        <v>31</v>
      </c>
    </row>
    <row r="159" spans="1:21" x14ac:dyDescent="0.2">
      <c r="A159" s="49" t="s">
        <v>30</v>
      </c>
      <c r="D159" s="49" t="s">
        <v>32357</v>
      </c>
      <c r="E159" s="49" t="s">
        <v>5066</v>
      </c>
      <c r="F159" s="49" t="s">
        <v>32358</v>
      </c>
      <c r="H159" s="49" t="s">
        <v>32359</v>
      </c>
      <c r="O159" s="49" t="s">
        <v>32360</v>
      </c>
      <c r="P159" s="49" t="s">
        <v>32361</v>
      </c>
      <c r="Q159" s="49" t="s">
        <v>32362</v>
      </c>
      <c r="R159" s="49" t="s">
        <v>32363</v>
      </c>
      <c r="S159" s="49" t="s">
        <v>32364</v>
      </c>
      <c r="T159" s="49" t="s">
        <v>32365</v>
      </c>
      <c r="U159" s="49" t="s">
        <v>32366</v>
      </c>
    </row>
    <row r="160" spans="1:21" x14ac:dyDescent="0.2">
      <c r="A160" s="49" t="s">
        <v>30</v>
      </c>
      <c r="D160" s="49" t="s">
        <v>698</v>
      </c>
      <c r="G160" s="49" t="s">
        <v>32367</v>
      </c>
      <c r="H160" s="49" t="s">
        <v>699</v>
      </c>
      <c r="I160" s="49" t="s">
        <v>700</v>
      </c>
      <c r="J160" s="49" t="s">
        <v>701</v>
      </c>
      <c r="K160" s="49" t="s">
        <v>702</v>
      </c>
      <c r="L160" s="49" t="s">
        <v>703</v>
      </c>
      <c r="M160" s="49" t="s">
        <v>704</v>
      </c>
      <c r="N160" s="49" t="s">
        <v>705</v>
      </c>
      <c r="O160" s="49" t="s">
        <v>8927</v>
      </c>
      <c r="P160" s="49" t="s">
        <v>8928</v>
      </c>
      <c r="Q160" s="49" t="s">
        <v>8929</v>
      </c>
      <c r="R160" s="49" t="s">
        <v>8930</v>
      </c>
      <c r="S160" s="49" t="s">
        <v>8931</v>
      </c>
      <c r="T160" s="49" t="s">
        <v>8932</v>
      </c>
    </row>
    <row r="161" spans="1:21" x14ac:dyDescent="0.2">
      <c r="A161" s="49" t="s">
        <v>30</v>
      </c>
      <c r="D161" s="49" t="s">
        <v>706</v>
      </c>
      <c r="G161" s="49" t="s">
        <v>15315</v>
      </c>
      <c r="H161" s="49" t="s">
        <v>707</v>
      </c>
      <c r="I161" s="49" t="s">
        <v>708</v>
      </c>
      <c r="J161" s="49" t="s">
        <v>709</v>
      </c>
      <c r="K161" s="49" t="s">
        <v>710</v>
      </c>
      <c r="L161" s="49" t="s">
        <v>711</v>
      </c>
      <c r="M161" s="49" t="s">
        <v>712</v>
      </c>
      <c r="N161" s="49" t="s">
        <v>713</v>
      </c>
      <c r="O161" s="49" t="s">
        <v>3811</v>
      </c>
      <c r="P161" s="49" t="s">
        <v>3812</v>
      </c>
      <c r="Q161" s="49" t="s">
        <v>3813</v>
      </c>
      <c r="R161" s="49" t="s">
        <v>3814</v>
      </c>
      <c r="S161" s="49" t="s">
        <v>3815</v>
      </c>
      <c r="T161" s="49" t="s">
        <v>3816</v>
      </c>
    </row>
    <row r="162" spans="1:21" x14ac:dyDescent="0.2">
      <c r="A162" s="49" t="s">
        <v>30</v>
      </c>
    </row>
    <row r="163" spans="1:21" x14ac:dyDescent="0.2">
      <c r="A163" s="49" t="s">
        <v>30</v>
      </c>
      <c r="E163" s="49" t="s">
        <v>31</v>
      </c>
      <c r="F163" s="49" t="s">
        <v>31</v>
      </c>
      <c r="G163" s="49" t="s">
        <v>31</v>
      </c>
      <c r="J163" s="49" t="s">
        <v>31</v>
      </c>
      <c r="K163" s="49" t="s">
        <v>31</v>
      </c>
      <c r="L163" s="49" t="s">
        <v>31</v>
      </c>
      <c r="M163" s="49" t="s">
        <v>31</v>
      </c>
    </row>
    <row r="164" spans="1:21" x14ac:dyDescent="0.2">
      <c r="A164" s="49" t="s">
        <v>30</v>
      </c>
      <c r="D164" s="49" t="s">
        <v>4488</v>
      </c>
      <c r="E164" s="49" t="s">
        <v>5091</v>
      </c>
      <c r="F164" s="49" t="s">
        <v>4489</v>
      </c>
      <c r="H164" s="49" t="s">
        <v>4490</v>
      </c>
      <c r="O164" s="49" t="s">
        <v>4491</v>
      </c>
      <c r="P164" s="49" t="s">
        <v>4492</v>
      </c>
      <c r="Q164" s="49" t="s">
        <v>4493</v>
      </c>
      <c r="R164" s="49" t="s">
        <v>4494</v>
      </c>
      <c r="S164" s="49" t="s">
        <v>4495</v>
      </c>
      <c r="T164" s="49" t="s">
        <v>4496</v>
      </c>
      <c r="U164" s="49" t="s">
        <v>4497</v>
      </c>
    </row>
    <row r="165" spans="1:21" x14ac:dyDescent="0.2">
      <c r="A165" s="49" t="s">
        <v>30</v>
      </c>
      <c r="D165" s="49" t="s">
        <v>2832</v>
      </c>
      <c r="G165" s="49" t="s">
        <v>4498</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row>
    <row r="167" spans="1:21" x14ac:dyDescent="0.2">
      <c r="A167" s="49" t="s">
        <v>30</v>
      </c>
      <c r="E167" s="49" t="s">
        <v>31</v>
      </c>
      <c r="F167" s="49" t="s">
        <v>31</v>
      </c>
      <c r="G167" s="49" t="s">
        <v>31</v>
      </c>
      <c r="J167" s="49" t="s">
        <v>31</v>
      </c>
      <c r="K167" s="49" t="s">
        <v>31</v>
      </c>
      <c r="L167" s="49" t="s">
        <v>31</v>
      </c>
      <c r="M167" s="49" t="s">
        <v>31</v>
      </c>
    </row>
    <row r="168" spans="1:21" x14ac:dyDescent="0.2">
      <c r="A168" s="49" t="s">
        <v>30</v>
      </c>
      <c r="D168" s="49" t="s">
        <v>2840</v>
      </c>
      <c r="E168" s="49" t="s">
        <v>5130</v>
      </c>
      <c r="F168" s="49" t="s">
        <v>2841</v>
      </c>
      <c r="H168" s="49" t="s">
        <v>2842</v>
      </c>
      <c r="O168" s="49" t="s">
        <v>2843</v>
      </c>
      <c r="P168" s="49" t="s">
        <v>2844</v>
      </c>
      <c r="Q168" s="49" t="s">
        <v>2845</v>
      </c>
      <c r="R168" s="49" t="s">
        <v>2846</v>
      </c>
      <c r="S168" s="49" t="s">
        <v>2847</v>
      </c>
      <c r="T168" s="49" t="s">
        <v>2848</v>
      </c>
      <c r="U168" s="49" t="s">
        <v>2849</v>
      </c>
    </row>
    <row r="169" spans="1:21" x14ac:dyDescent="0.2">
      <c r="A169" s="49" t="s">
        <v>30</v>
      </c>
      <c r="D169" s="49" t="s">
        <v>738</v>
      </c>
      <c r="G169" s="49" t="s">
        <v>4499</v>
      </c>
      <c r="H169" s="49" t="s">
        <v>739</v>
      </c>
      <c r="I169" s="49" t="s">
        <v>740</v>
      </c>
      <c r="J169" s="49" t="s">
        <v>741</v>
      </c>
      <c r="K169" s="49" t="s">
        <v>742</v>
      </c>
      <c r="L169" s="49" t="s">
        <v>743</v>
      </c>
      <c r="M169" s="49" t="s">
        <v>744</v>
      </c>
      <c r="N169" s="49" t="s">
        <v>745</v>
      </c>
      <c r="O169" s="49" t="s">
        <v>4500</v>
      </c>
      <c r="P169" s="49" t="s">
        <v>4501</v>
      </c>
      <c r="Q169" s="49" t="s">
        <v>4502</v>
      </c>
      <c r="R169" s="49" t="s">
        <v>4503</v>
      </c>
      <c r="S169" s="49" t="s">
        <v>4504</v>
      </c>
      <c r="T169" s="49" t="s">
        <v>4505</v>
      </c>
    </row>
    <row r="170" spans="1:21" x14ac:dyDescent="0.2">
      <c r="A170" s="49" t="s">
        <v>30</v>
      </c>
    </row>
    <row r="171" spans="1:21" x14ac:dyDescent="0.2">
      <c r="A171" s="49" t="s">
        <v>30</v>
      </c>
      <c r="E171" s="49" t="s">
        <v>31</v>
      </c>
      <c r="F171" s="49" t="s">
        <v>31</v>
      </c>
      <c r="G171" s="49" t="s">
        <v>31</v>
      </c>
      <c r="J171" s="49" t="s">
        <v>31</v>
      </c>
      <c r="K171" s="49" t="s">
        <v>31</v>
      </c>
      <c r="L171" s="49" t="s">
        <v>31</v>
      </c>
      <c r="M171" s="49" t="s">
        <v>31</v>
      </c>
    </row>
    <row r="172" spans="1:21" x14ac:dyDescent="0.2">
      <c r="A172" s="49" t="s">
        <v>30</v>
      </c>
      <c r="D172" s="49" t="s">
        <v>2850</v>
      </c>
      <c r="E172" s="49" t="s">
        <v>5159</v>
      </c>
      <c r="F172" s="49" t="s">
        <v>2851</v>
      </c>
      <c r="H172" s="49" t="s">
        <v>2852</v>
      </c>
      <c r="O172" s="49" t="s">
        <v>32368</v>
      </c>
      <c r="P172" s="49" t="s">
        <v>32369</v>
      </c>
      <c r="Q172" s="49" t="s">
        <v>32370</v>
      </c>
      <c r="R172" s="49" t="s">
        <v>32371</v>
      </c>
      <c r="S172" s="49" t="s">
        <v>32372</v>
      </c>
      <c r="T172" s="49" t="s">
        <v>32373</v>
      </c>
      <c r="U172" s="49" t="s">
        <v>32374</v>
      </c>
    </row>
    <row r="173" spans="1:21" x14ac:dyDescent="0.2">
      <c r="A173" s="49" t="s">
        <v>30</v>
      </c>
      <c r="D173" s="49" t="s">
        <v>2672</v>
      </c>
      <c r="G173" s="49" t="s">
        <v>4506</v>
      </c>
      <c r="H173" s="49" t="s">
        <v>2673</v>
      </c>
      <c r="I173" s="49" t="s">
        <v>2674</v>
      </c>
      <c r="J173" s="49" t="s">
        <v>2675</v>
      </c>
      <c r="K173" s="49" t="s">
        <v>2676</v>
      </c>
      <c r="L173" s="49" t="s">
        <v>2677</v>
      </c>
      <c r="M173" s="49" t="s">
        <v>2678</v>
      </c>
      <c r="N173" s="49" t="s">
        <v>2679</v>
      </c>
      <c r="O173" s="49" t="s">
        <v>4507</v>
      </c>
      <c r="P173" s="49" t="s">
        <v>4508</v>
      </c>
      <c r="Q173" s="49" t="s">
        <v>4509</v>
      </c>
      <c r="R173" s="49" t="s">
        <v>4510</v>
      </c>
      <c r="S173" s="49" t="s">
        <v>4511</v>
      </c>
      <c r="T173" s="49" t="s">
        <v>4512</v>
      </c>
    </row>
    <row r="174" spans="1:21" x14ac:dyDescent="0.2">
      <c r="A174" s="49" t="s">
        <v>30</v>
      </c>
    </row>
    <row r="175" spans="1:21" x14ac:dyDescent="0.2">
      <c r="A175" s="49" t="s">
        <v>30</v>
      </c>
      <c r="E175" s="49" t="s">
        <v>31</v>
      </c>
      <c r="F175" s="49" t="s">
        <v>31</v>
      </c>
      <c r="G175" s="49" t="s">
        <v>31</v>
      </c>
      <c r="J175" s="49" t="s">
        <v>31</v>
      </c>
      <c r="K175" s="49" t="s">
        <v>31</v>
      </c>
      <c r="L175" s="49" t="s">
        <v>31</v>
      </c>
      <c r="M175" s="49" t="s">
        <v>31</v>
      </c>
    </row>
    <row r="176" spans="1:21" x14ac:dyDescent="0.2">
      <c r="A176" s="49" t="s">
        <v>30</v>
      </c>
      <c r="D176" s="49" t="s">
        <v>14239</v>
      </c>
      <c r="E176" s="49" t="s">
        <v>5174</v>
      </c>
      <c r="F176" s="49" t="s">
        <v>14240</v>
      </c>
      <c r="H176" s="49" t="s">
        <v>14241</v>
      </c>
      <c r="O176" s="49" t="s">
        <v>32375</v>
      </c>
      <c r="P176" s="49" t="s">
        <v>32376</v>
      </c>
      <c r="Q176" s="49" t="s">
        <v>32377</v>
      </c>
      <c r="R176" s="49" t="s">
        <v>32378</v>
      </c>
      <c r="S176" s="49" t="s">
        <v>32379</v>
      </c>
      <c r="T176" s="49" t="s">
        <v>32380</v>
      </c>
      <c r="U176" s="49" t="s">
        <v>32381</v>
      </c>
    </row>
    <row r="177" spans="1:21" x14ac:dyDescent="0.2">
      <c r="A177" s="49" t="s">
        <v>30</v>
      </c>
      <c r="D177" s="49" t="s">
        <v>762</v>
      </c>
      <c r="G177" s="49" t="s">
        <v>32382</v>
      </c>
      <c r="H177" s="49" t="s">
        <v>763</v>
      </c>
      <c r="I177" s="49" t="s">
        <v>764</v>
      </c>
      <c r="J177" s="49" t="s">
        <v>765</v>
      </c>
      <c r="K177" s="49" t="s">
        <v>766</v>
      </c>
      <c r="L177" s="49" t="s">
        <v>767</v>
      </c>
      <c r="M177" s="49" t="s">
        <v>768</v>
      </c>
      <c r="N177" s="49" t="s">
        <v>769</v>
      </c>
      <c r="O177" s="49" t="s">
        <v>32383</v>
      </c>
      <c r="P177" s="49" t="s">
        <v>32384</v>
      </c>
      <c r="Q177" s="49" t="s">
        <v>32385</v>
      </c>
      <c r="R177" s="49" t="s">
        <v>32386</v>
      </c>
      <c r="S177" s="49" t="s">
        <v>32387</v>
      </c>
      <c r="T177" s="49" t="s">
        <v>32388</v>
      </c>
    </row>
    <row r="178" spans="1:21" x14ac:dyDescent="0.2">
      <c r="A178" s="49" t="s">
        <v>30</v>
      </c>
      <c r="D178" s="49" t="s">
        <v>770</v>
      </c>
      <c r="G178" s="49" t="s">
        <v>15505</v>
      </c>
      <c r="H178" s="49" t="s">
        <v>771</v>
      </c>
      <c r="I178" s="49" t="s">
        <v>772</v>
      </c>
      <c r="J178" s="49" t="s">
        <v>773</v>
      </c>
      <c r="K178" s="49" t="s">
        <v>774</v>
      </c>
      <c r="L178" s="49" t="s">
        <v>775</v>
      </c>
      <c r="M178" s="49" t="s">
        <v>776</v>
      </c>
      <c r="N178" s="49" t="s">
        <v>777</v>
      </c>
      <c r="O178" s="49" t="s">
        <v>10327</v>
      </c>
      <c r="P178" s="49" t="s">
        <v>10328</v>
      </c>
      <c r="Q178" s="49" t="s">
        <v>10329</v>
      </c>
      <c r="R178" s="49" t="s">
        <v>10330</v>
      </c>
      <c r="S178" s="49" t="s">
        <v>10331</v>
      </c>
      <c r="T178" s="49" t="s">
        <v>10332</v>
      </c>
    </row>
    <row r="179" spans="1:21" x14ac:dyDescent="0.2">
      <c r="A179" s="49" t="s">
        <v>30</v>
      </c>
    </row>
    <row r="180" spans="1:21" x14ac:dyDescent="0.2">
      <c r="A180" s="49" t="s">
        <v>30</v>
      </c>
      <c r="E180" s="49" t="s">
        <v>31</v>
      </c>
      <c r="F180" s="49" t="s">
        <v>31</v>
      </c>
      <c r="G180" s="49" t="s">
        <v>31</v>
      </c>
      <c r="J180" s="49" t="s">
        <v>31</v>
      </c>
      <c r="K180" s="49" t="s">
        <v>31</v>
      </c>
      <c r="L180" s="49" t="s">
        <v>31</v>
      </c>
      <c r="M180" s="49" t="s">
        <v>31</v>
      </c>
    </row>
    <row r="181" spans="1:21" x14ac:dyDescent="0.2">
      <c r="A181" s="49" t="s">
        <v>30</v>
      </c>
      <c r="D181" s="49" t="s">
        <v>10333</v>
      </c>
      <c r="E181" s="49" t="s">
        <v>5301</v>
      </c>
      <c r="F181" s="49" t="s">
        <v>10334</v>
      </c>
      <c r="H181" s="49" t="s">
        <v>10335</v>
      </c>
      <c r="O181" s="49" t="s">
        <v>10336</v>
      </c>
      <c r="P181" s="49" t="s">
        <v>10337</v>
      </c>
      <c r="Q181" s="49" t="s">
        <v>10338</v>
      </c>
      <c r="R181" s="49" t="s">
        <v>10339</v>
      </c>
      <c r="S181" s="49" t="s">
        <v>10340</v>
      </c>
      <c r="T181" s="49" t="s">
        <v>10341</v>
      </c>
      <c r="U181" s="49" t="s">
        <v>10342</v>
      </c>
    </row>
    <row r="182" spans="1:21" x14ac:dyDescent="0.2">
      <c r="A182" s="49" t="s">
        <v>30</v>
      </c>
      <c r="D182" s="49" t="s">
        <v>802</v>
      </c>
      <c r="G182" s="49" t="s">
        <v>10343</v>
      </c>
      <c r="H182" s="49" t="s">
        <v>803</v>
      </c>
      <c r="I182" s="49" t="s">
        <v>804</v>
      </c>
      <c r="J182" s="49" t="s">
        <v>805</v>
      </c>
      <c r="K182" s="49" t="s">
        <v>806</v>
      </c>
      <c r="L182" s="49" t="s">
        <v>807</v>
      </c>
      <c r="M182" s="49" t="s">
        <v>808</v>
      </c>
      <c r="N182" s="49" t="s">
        <v>809</v>
      </c>
      <c r="O182" s="49" t="s">
        <v>10344</v>
      </c>
      <c r="P182" s="49" t="s">
        <v>10345</v>
      </c>
      <c r="Q182" s="49" t="s">
        <v>10346</v>
      </c>
      <c r="R182" s="49" t="s">
        <v>10347</v>
      </c>
      <c r="S182" s="49" t="s">
        <v>10348</v>
      </c>
      <c r="T182" s="49" t="s">
        <v>10349</v>
      </c>
    </row>
    <row r="183" spans="1:21" x14ac:dyDescent="0.2">
      <c r="A183" s="49" t="s">
        <v>30</v>
      </c>
    </row>
    <row r="184" spans="1:21" x14ac:dyDescent="0.2">
      <c r="A184" s="49" t="s">
        <v>30</v>
      </c>
      <c r="E184" s="49" t="s">
        <v>31</v>
      </c>
      <c r="F184" s="49" t="s">
        <v>31</v>
      </c>
      <c r="G184" s="49" t="s">
        <v>31</v>
      </c>
      <c r="J184" s="49" t="s">
        <v>31</v>
      </c>
      <c r="K184" s="49" t="s">
        <v>31</v>
      </c>
      <c r="L184" s="49" t="s">
        <v>31</v>
      </c>
      <c r="M184" s="49" t="s">
        <v>31</v>
      </c>
    </row>
    <row r="185" spans="1:21" x14ac:dyDescent="0.2">
      <c r="A185" s="49" t="s">
        <v>30</v>
      </c>
      <c r="D185" s="49" t="s">
        <v>2680</v>
      </c>
      <c r="E185" s="49" t="s">
        <v>5316</v>
      </c>
      <c r="F185" s="49" t="s">
        <v>2681</v>
      </c>
      <c r="H185" s="49" t="s">
        <v>2682</v>
      </c>
      <c r="O185" s="49" t="s">
        <v>32389</v>
      </c>
      <c r="P185" s="49" t="s">
        <v>32390</v>
      </c>
      <c r="Q185" s="49" t="s">
        <v>32391</v>
      </c>
      <c r="R185" s="49" t="s">
        <v>32392</v>
      </c>
      <c r="S185" s="49" t="s">
        <v>32393</v>
      </c>
      <c r="T185" s="49" t="s">
        <v>32394</v>
      </c>
      <c r="U185" s="49" t="s">
        <v>32395</v>
      </c>
    </row>
    <row r="186" spans="1:21" x14ac:dyDescent="0.2">
      <c r="A186" s="49" t="s">
        <v>30</v>
      </c>
      <c r="D186" s="49" t="s">
        <v>2683</v>
      </c>
      <c r="G186" s="49" t="s">
        <v>10350</v>
      </c>
      <c r="H186" s="49" t="s">
        <v>2684</v>
      </c>
      <c r="I186" s="49" t="s">
        <v>2685</v>
      </c>
      <c r="J186" s="49" t="s">
        <v>2686</v>
      </c>
      <c r="K186" s="49" t="s">
        <v>2687</v>
      </c>
      <c r="L186" s="49" t="s">
        <v>2688</v>
      </c>
      <c r="M186" s="49" t="s">
        <v>2689</v>
      </c>
      <c r="N186" s="49" t="s">
        <v>2690</v>
      </c>
      <c r="O186" s="49" t="s">
        <v>9482</v>
      </c>
      <c r="P186" s="49" t="s">
        <v>9483</v>
      </c>
      <c r="Q186" s="49" t="s">
        <v>9484</v>
      </c>
      <c r="R186" s="49" t="s">
        <v>9485</v>
      </c>
      <c r="S186" s="49" t="s">
        <v>9486</v>
      </c>
      <c r="T186" s="49" t="s">
        <v>9487</v>
      </c>
    </row>
    <row r="187" spans="1:21" x14ac:dyDescent="0.2">
      <c r="A187" s="49" t="s">
        <v>30</v>
      </c>
    </row>
    <row r="188" spans="1:21" x14ac:dyDescent="0.2">
      <c r="A188" s="49" t="s">
        <v>30</v>
      </c>
      <c r="E188" s="49" t="s">
        <v>31</v>
      </c>
      <c r="F188" s="49" t="s">
        <v>31</v>
      </c>
      <c r="G188" s="49" t="s">
        <v>31</v>
      </c>
      <c r="J188" s="49" t="s">
        <v>31</v>
      </c>
      <c r="K188" s="49" t="s">
        <v>31</v>
      </c>
      <c r="L188" s="49" t="s">
        <v>31</v>
      </c>
      <c r="M188" s="49" t="s">
        <v>31</v>
      </c>
    </row>
    <row r="189" spans="1:21" x14ac:dyDescent="0.2">
      <c r="A189" s="49" t="s">
        <v>30</v>
      </c>
      <c r="D189" s="49" t="s">
        <v>4674</v>
      </c>
      <c r="E189" s="49" t="s">
        <v>15665</v>
      </c>
      <c r="F189" s="49" t="s">
        <v>4676</v>
      </c>
      <c r="H189" s="49" t="s">
        <v>4677</v>
      </c>
      <c r="O189" s="49" t="s">
        <v>32396</v>
      </c>
      <c r="P189" s="49" t="s">
        <v>32397</v>
      </c>
      <c r="Q189" s="49" t="s">
        <v>32398</v>
      </c>
      <c r="R189" s="49" t="s">
        <v>32399</v>
      </c>
      <c r="S189" s="49" t="s">
        <v>32400</v>
      </c>
      <c r="T189" s="49" t="s">
        <v>32401</v>
      </c>
      <c r="U189" s="49" t="s">
        <v>32402</v>
      </c>
    </row>
    <row r="190" spans="1:21" x14ac:dyDescent="0.2">
      <c r="A190" s="49" t="s">
        <v>30</v>
      </c>
      <c r="D190" s="49" t="s">
        <v>834</v>
      </c>
      <c r="G190" s="49" t="s">
        <v>32403</v>
      </c>
      <c r="H190" s="49" t="s">
        <v>835</v>
      </c>
      <c r="I190" s="49" t="s">
        <v>836</v>
      </c>
      <c r="J190" s="49" t="s">
        <v>837</v>
      </c>
      <c r="K190" s="49" t="s">
        <v>838</v>
      </c>
      <c r="L190" s="49" t="s">
        <v>839</v>
      </c>
      <c r="M190" s="49" t="s">
        <v>840</v>
      </c>
      <c r="N190" s="49" t="s">
        <v>841</v>
      </c>
      <c r="O190" s="49" t="s">
        <v>8955</v>
      </c>
      <c r="P190" s="49" t="s">
        <v>8956</v>
      </c>
      <c r="Q190" s="49" t="s">
        <v>8957</v>
      </c>
      <c r="R190" s="49" t="s">
        <v>8958</v>
      </c>
      <c r="S190" s="49" t="s">
        <v>8959</v>
      </c>
      <c r="T190" s="49" t="s">
        <v>8960</v>
      </c>
    </row>
    <row r="191" spans="1:21" x14ac:dyDescent="0.2">
      <c r="A191" s="49" t="s">
        <v>30</v>
      </c>
    </row>
    <row r="192" spans="1:21" x14ac:dyDescent="0.2">
      <c r="A192" s="49" t="s">
        <v>30</v>
      </c>
      <c r="E192" s="49" t="s">
        <v>31</v>
      </c>
      <c r="F192" s="49" t="s">
        <v>31</v>
      </c>
      <c r="G192" s="49" t="s">
        <v>31</v>
      </c>
      <c r="J192" s="49" t="s">
        <v>31</v>
      </c>
      <c r="K192" s="49" t="s">
        <v>31</v>
      </c>
      <c r="L192" s="49" t="s">
        <v>31</v>
      </c>
      <c r="M192" s="49" t="s">
        <v>31</v>
      </c>
    </row>
    <row r="193" spans="1:21" x14ac:dyDescent="0.2">
      <c r="A193" s="49" t="s">
        <v>30</v>
      </c>
      <c r="D193" s="49" t="s">
        <v>8961</v>
      </c>
      <c r="E193" s="49" t="s">
        <v>5331</v>
      </c>
      <c r="F193" s="49" t="s">
        <v>8962</v>
      </c>
      <c r="H193" s="49" t="s">
        <v>8963</v>
      </c>
      <c r="O193" s="49" t="s">
        <v>32404</v>
      </c>
      <c r="P193" s="49" t="s">
        <v>32405</v>
      </c>
      <c r="Q193" s="49" t="s">
        <v>32406</v>
      </c>
      <c r="R193" s="49" t="s">
        <v>32407</v>
      </c>
      <c r="S193" s="49" t="s">
        <v>32408</v>
      </c>
      <c r="T193" s="49" t="s">
        <v>32409</v>
      </c>
      <c r="U193" s="49" t="s">
        <v>32410</v>
      </c>
    </row>
    <row r="194" spans="1:21" x14ac:dyDescent="0.2">
      <c r="A194" s="49" t="s">
        <v>30</v>
      </c>
      <c r="D194" s="49" t="s">
        <v>2001</v>
      </c>
      <c r="G194" s="49" t="s">
        <v>8964</v>
      </c>
      <c r="H194" s="49" t="s">
        <v>2002</v>
      </c>
      <c r="I194" s="49" t="s">
        <v>2003</v>
      </c>
      <c r="J194" s="49" t="s">
        <v>2004</v>
      </c>
      <c r="K194" s="49" t="s">
        <v>2005</v>
      </c>
      <c r="L194" s="49" t="s">
        <v>2006</v>
      </c>
      <c r="M194" s="49" t="s">
        <v>2007</v>
      </c>
      <c r="N194" s="49" t="s">
        <v>2008</v>
      </c>
      <c r="O194" s="49" t="s">
        <v>8965</v>
      </c>
      <c r="P194" s="49" t="s">
        <v>8966</v>
      </c>
      <c r="Q194" s="49" t="s">
        <v>8967</v>
      </c>
      <c r="R194" s="49" t="s">
        <v>8968</v>
      </c>
      <c r="S194" s="49" t="s">
        <v>8969</v>
      </c>
      <c r="T194" s="49" t="s">
        <v>8970</v>
      </c>
    </row>
    <row r="195" spans="1:21" x14ac:dyDescent="0.2">
      <c r="A195" s="49" t="s">
        <v>30</v>
      </c>
    </row>
    <row r="196" spans="1:21" x14ac:dyDescent="0.2">
      <c r="A196" s="49" t="s">
        <v>30</v>
      </c>
      <c r="E196" s="49" t="s">
        <v>31</v>
      </c>
      <c r="F196" s="49" t="s">
        <v>31</v>
      </c>
      <c r="G196" s="49" t="s">
        <v>31</v>
      </c>
      <c r="J196" s="49" t="s">
        <v>31</v>
      </c>
      <c r="K196" s="49" t="s">
        <v>31</v>
      </c>
      <c r="L196" s="49" t="s">
        <v>31</v>
      </c>
      <c r="M196" s="49" t="s">
        <v>31</v>
      </c>
    </row>
    <row r="197" spans="1:21" x14ac:dyDescent="0.2">
      <c r="A197" s="49" t="s">
        <v>30</v>
      </c>
      <c r="D197" s="49" t="s">
        <v>32411</v>
      </c>
      <c r="E197" s="49" t="s">
        <v>5459</v>
      </c>
      <c r="F197" s="49" t="s">
        <v>32412</v>
      </c>
      <c r="H197" s="49" t="s">
        <v>32413</v>
      </c>
      <c r="O197" s="49" t="s">
        <v>32414</v>
      </c>
      <c r="P197" s="49" t="s">
        <v>32415</v>
      </c>
      <c r="Q197" s="49" t="s">
        <v>32416</v>
      </c>
      <c r="R197" s="49" t="s">
        <v>32417</v>
      </c>
      <c r="S197" s="49" t="s">
        <v>32418</v>
      </c>
      <c r="T197" s="49" t="s">
        <v>32419</v>
      </c>
      <c r="U197" s="49" t="s">
        <v>32420</v>
      </c>
    </row>
    <row r="198" spans="1:21" x14ac:dyDescent="0.2">
      <c r="A198" s="49" t="s">
        <v>30</v>
      </c>
      <c r="D198" s="49" t="s">
        <v>874</v>
      </c>
      <c r="G198" s="49" t="s">
        <v>32421</v>
      </c>
      <c r="H198" s="49" t="s">
        <v>875</v>
      </c>
      <c r="I198" s="49" t="s">
        <v>876</v>
      </c>
      <c r="J198" s="49" t="s">
        <v>877</v>
      </c>
      <c r="K198" s="49" t="s">
        <v>878</v>
      </c>
      <c r="L198" s="49" t="s">
        <v>879</v>
      </c>
      <c r="M198" s="49" t="s">
        <v>880</v>
      </c>
      <c r="N198" s="49" t="s">
        <v>881</v>
      </c>
      <c r="O198" s="49" t="s">
        <v>8971</v>
      </c>
      <c r="P198" s="49" t="s">
        <v>8972</v>
      </c>
      <c r="Q198" s="49" t="s">
        <v>8973</v>
      </c>
      <c r="R198" s="49" t="s">
        <v>8974</v>
      </c>
      <c r="S198" s="49" t="s">
        <v>8975</v>
      </c>
      <c r="T198" s="49" t="s">
        <v>8976</v>
      </c>
    </row>
    <row r="199" spans="1:21" x14ac:dyDescent="0.2">
      <c r="A199" s="49" t="s">
        <v>30</v>
      </c>
    </row>
    <row r="200" spans="1:21" x14ac:dyDescent="0.2">
      <c r="A200" s="49" t="s">
        <v>30</v>
      </c>
      <c r="E200" s="49" t="s">
        <v>31</v>
      </c>
      <c r="F200" s="49" t="s">
        <v>31</v>
      </c>
      <c r="G200" s="49" t="s">
        <v>31</v>
      </c>
      <c r="J200" s="49" t="s">
        <v>31</v>
      </c>
      <c r="K200" s="49" t="s">
        <v>31</v>
      </c>
      <c r="L200" s="49" t="s">
        <v>31</v>
      </c>
      <c r="M200" s="49" t="s">
        <v>31</v>
      </c>
    </row>
    <row r="201" spans="1:21" x14ac:dyDescent="0.2">
      <c r="A201" s="49" t="s">
        <v>30</v>
      </c>
      <c r="D201" s="49" t="s">
        <v>8977</v>
      </c>
      <c r="E201" s="49" t="s">
        <v>5498</v>
      </c>
      <c r="F201" s="49" t="s">
        <v>8978</v>
      </c>
      <c r="H201" s="49" t="s">
        <v>8979</v>
      </c>
      <c r="O201" s="49" t="s">
        <v>32422</v>
      </c>
      <c r="P201" s="49" t="s">
        <v>32423</v>
      </c>
      <c r="Q201" s="49" t="s">
        <v>32424</v>
      </c>
      <c r="R201" s="49" t="s">
        <v>32425</v>
      </c>
      <c r="S201" s="49" t="s">
        <v>32426</v>
      </c>
      <c r="T201" s="49" t="s">
        <v>32427</v>
      </c>
      <c r="U201" s="49" t="s">
        <v>32428</v>
      </c>
    </row>
    <row r="202" spans="1:21" x14ac:dyDescent="0.2">
      <c r="A202" s="49" t="s">
        <v>30</v>
      </c>
      <c r="D202" s="49" t="s">
        <v>882</v>
      </c>
      <c r="G202" s="49" t="s">
        <v>8980</v>
      </c>
      <c r="H202" s="49" t="s">
        <v>883</v>
      </c>
      <c r="I202" s="49" t="s">
        <v>884</v>
      </c>
      <c r="J202" s="49" t="s">
        <v>885</v>
      </c>
      <c r="K202" s="49" t="s">
        <v>886</v>
      </c>
      <c r="L202" s="49" t="s">
        <v>887</v>
      </c>
      <c r="M202" s="49" t="s">
        <v>888</v>
      </c>
      <c r="N202" s="49" t="s">
        <v>889</v>
      </c>
      <c r="O202" s="49" t="s">
        <v>8981</v>
      </c>
      <c r="P202" s="49" t="s">
        <v>8982</v>
      </c>
      <c r="Q202" s="49" t="s">
        <v>8983</v>
      </c>
      <c r="R202" s="49" t="s">
        <v>8984</v>
      </c>
      <c r="S202" s="49" t="s">
        <v>8985</v>
      </c>
      <c r="T202" s="49" t="s">
        <v>8986</v>
      </c>
    </row>
    <row r="203" spans="1:21" x14ac:dyDescent="0.2">
      <c r="A203" s="49" t="s">
        <v>30</v>
      </c>
      <c r="D203" s="49" t="s">
        <v>890</v>
      </c>
      <c r="G203" s="49" t="s">
        <v>15815</v>
      </c>
      <c r="H203" s="49" t="s">
        <v>891</v>
      </c>
      <c r="I203" s="49" t="s">
        <v>892</v>
      </c>
      <c r="J203" s="49" t="s">
        <v>893</v>
      </c>
      <c r="K203" s="49" t="s">
        <v>894</v>
      </c>
      <c r="L203" s="49" t="s">
        <v>895</v>
      </c>
      <c r="M203" s="49" t="s">
        <v>896</v>
      </c>
      <c r="N203" s="49" t="s">
        <v>897</v>
      </c>
      <c r="O203" s="49" t="s">
        <v>8987</v>
      </c>
      <c r="P203" s="49" t="s">
        <v>8988</v>
      </c>
      <c r="Q203" s="49" t="s">
        <v>8989</v>
      </c>
      <c r="R203" s="49" t="s">
        <v>8990</v>
      </c>
      <c r="S203" s="49" t="s">
        <v>8991</v>
      </c>
      <c r="T203" s="49" t="s">
        <v>8992</v>
      </c>
    </row>
    <row r="204" spans="1:21" x14ac:dyDescent="0.2">
      <c r="A204" s="49" t="s">
        <v>30</v>
      </c>
    </row>
    <row r="205" spans="1:21" x14ac:dyDescent="0.2">
      <c r="A205" s="49" t="s">
        <v>30</v>
      </c>
      <c r="E205" s="49" t="s">
        <v>31</v>
      </c>
      <c r="F205" s="49" t="s">
        <v>31</v>
      </c>
      <c r="G205" s="49" t="s">
        <v>31</v>
      </c>
      <c r="J205" s="49" t="s">
        <v>31</v>
      </c>
      <c r="K205" s="49" t="s">
        <v>31</v>
      </c>
      <c r="L205" s="49" t="s">
        <v>31</v>
      </c>
      <c r="M205" s="49" t="s">
        <v>31</v>
      </c>
    </row>
    <row r="206" spans="1:21" x14ac:dyDescent="0.2">
      <c r="A206" s="49" t="s">
        <v>30</v>
      </c>
      <c r="D206" s="49" t="s">
        <v>32429</v>
      </c>
      <c r="E206" s="49" t="s">
        <v>5555</v>
      </c>
      <c r="F206" s="49" t="s">
        <v>32430</v>
      </c>
      <c r="H206" s="49" t="s">
        <v>32431</v>
      </c>
      <c r="O206" s="49" t="s">
        <v>32432</v>
      </c>
      <c r="P206" s="49" t="s">
        <v>32433</v>
      </c>
      <c r="Q206" s="49" t="s">
        <v>32434</v>
      </c>
      <c r="R206" s="49" t="s">
        <v>32435</v>
      </c>
      <c r="S206" s="49" t="s">
        <v>32436</v>
      </c>
      <c r="T206" s="49" t="s">
        <v>32437</v>
      </c>
      <c r="U206" s="49" t="s">
        <v>32438</v>
      </c>
    </row>
    <row r="207" spans="1:21" x14ac:dyDescent="0.2">
      <c r="A207" s="49" t="s">
        <v>30</v>
      </c>
      <c r="D207" s="49" t="s">
        <v>922</v>
      </c>
      <c r="G207" s="49" t="s">
        <v>32439</v>
      </c>
      <c r="H207" s="49" t="s">
        <v>923</v>
      </c>
      <c r="I207" s="49" t="s">
        <v>924</v>
      </c>
      <c r="J207" s="49" t="s">
        <v>925</v>
      </c>
      <c r="K207" s="49" t="s">
        <v>926</v>
      </c>
      <c r="L207" s="49" t="s">
        <v>927</v>
      </c>
      <c r="M207" s="49" t="s">
        <v>928</v>
      </c>
      <c r="N207" s="49" t="s">
        <v>929</v>
      </c>
      <c r="O207" s="49" t="s">
        <v>32440</v>
      </c>
      <c r="P207" s="49" t="s">
        <v>32441</v>
      </c>
      <c r="Q207" s="49" t="s">
        <v>32442</v>
      </c>
      <c r="R207" s="49" t="s">
        <v>32443</v>
      </c>
      <c r="S207" s="49" t="s">
        <v>32444</v>
      </c>
      <c r="T207" s="49" t="s">
        <v>32445</v>
      </c>
    </row>
    <row r="208" spans="1:21" x14ac:dyDescent="0.2">
      <c r="A208" s="49" t="s">
        <v>30</v>
      </c>
    </row>
    <row r="209" spans="1:21" x14ac:dyDescent="0.2">
      <c r="A209" s="49" t="s">
        <v>30</v>
      </c>
      <c r="E209" s="49" t="s">
        <v>31</v>
      </c>
      <c r="F209" s="49" t="s">
        <v>31</v>
      </c>
      <c r="G209" s="49" t="s">
        <v>31</v>
      </c>
      <c r="J209" s="49" t="s">
        <v>31</v>
      </c>
      <c r="K209" s="49" t="s">
        <v>31</v>
      </c>
      <c r="L209" s="49" t="s">
        <v>31</v>
      </c>
      <c r="M209" s="49" t="s">
        <v>31</v>
      </c>
    </row>
    <row r="210" spans="1:21" x14ac:dyDescent="0.2">
      <c r="A210" s="49" t="s">
        <v>30</v>
      </c>
      <c r="D210" s="49" t="s">
        <v>32446</v>
      </c>
      <c r="E210" s="49" t="s">
        <v>5584</v>
      </c>
      <c r="F210" s="49" t="s">
        <v>32447</v>
      </c>
      <c r="H210" s="49" t="s">
        <v>32448</v>
      </c>
      <c r="O210" s="49" t="s">
        <v>32449</v>
      </c>
      <c r="P210" s="49" t="s">
        <v>32450</v>
      </c>
      <c r="Q210" s="49" t="s">
        <v>32451</v>
      </c>
      <c r="R210" s="49" t="s">
        <v>32452</v>
      </c>
      <c r="S210" s="49" t="s">
        <v>32453</v>
      </c>
      <c r="T210" s="49" t="s">
        <v>32454</v>
      </c>
      <c r="U210" s="49" t="s">
        <v>32455</v>
      </c>
    </row>
    <row r="211" spans="1:21" x14ac:dyDescent="0.2">
      <c r="A211" s="49" t="s">
        <v>30</v>
      </c>
      <c r="D211" s="49" t="s">
        <v>2041</v>
      </c>
      <c r="G211" s="49" t="s">
        <v>32456</v>
      </c>
      <c r="H211" s="49" t="s">
        <v>2042</v>
      </c>
      <c r="I211" s="49" t="s">
        <v>2043</v>
      </c>
      <c r="J211" s="49" t="s">
        <v>2044</v>
      </c>
      <c r="K211" s="49" t="s">
        <v>2045</v>
      </c>
      <c r="L211" s="49" t="s">
        <v>2046</v>
      </c>
      <c r="M211" s="49" t="s">
        <v>2047</v>
      </c>
      <c r="N211" s="49" t="s">
        <v>2048</v>
      </c>
      <c r="O211" s="49" t="s">
        <v>8993</v>
      </c>
      <c r="P211" s="49" t="s">
        <v>8994</v>
      </c>
      <c r="Q211" s="49" t="s">
        <v>8995</v>
      </c>
      <c r="R211" s="49" t="s">
        <v>8996</v>
      </c>
      <c r="S211" s="49" t="s">
        <v>8997</v>
      </c>
      <c r="T211" s="49" t="s">
        <v>8998</v>
      </c>
    </row>
    <row r="212" spans="1:21" x14ac:dyDescent="0.2">
      <c r="A212" s="49" t="s">
        <v>30</v>
      </c>
    </row>
    <row r="213" spans="1:21" x14ac:dyDescent="0.2">
      <c r="A213" s="49" t="s">
        <v>30</v>
      </c>
      <c r="E213" s="49" t="s">
        <v>31</v>
      </c>
      <c r="F213" s="49" t="s">
        <v>31</v>
      </c>
      <c r="G213" s="49" t="s">
        <v>31</v>
      </c>
      <c r="J213" s="49" t="s">
        <v>31</v>
      </c>
      <c r="K213" s="49" t="s">
        <v>31</v>
      </c>
      <c r="L213" s="49" t="s">
        <v>31</v>
      </c>
      <c r="M213" s="49" t="s">
        <v>31</v>
      </c>
    </row>
    <row r="214" spans="1:21" x14ac:dyDescent="0.2">
      <c r="A214" s="49" t="s">
        <v>30</v>
      </c>
      <c r="D214" s="49" t="s">
        <v>13826</v>
      </c>
      <c r="E214" s="49" t="s">
        <v>5627</v>
      </c>
      <c r="F214" s="49" t="s">
        <v>13827</v>
      </c>
      <c r="H214" s="49" t="s">
        <v>13828</v>
      </c>
      <c r="O214" s="49" t="s">
        <v>32457</v>
      </c>
      <c r="P214" s="49" t="s">
        <v>32458</v>
      </c>
      <c r="Q214" s="49" t="s">
        <v>32459</v>
      </c>
      <c r="R214" s="49" t="s">
        <v>32460</v>
      </c>
      <c r="S214" s="49" t="s">
        <v>32461</v>
      </c>
      <c r="T214" s="49" t="s">
        <v>32462</v>
      </c>
      <c r="U214" s="49" t="s">
        <v>32463</v>
      </c>
    </row>
    <row r="215" spans="1:21" x14ac:dyDescent="0.2">
      <c r="A215" s="49" t="s">
        <v>30</v>
      </c>
      <c r="D215" s="49" t="s">
        <v>962</v>
      </c>
      <c r="G215" s="49" t="s">
        <v>13836</v>
      </c>
      <c r="H215" s="49" t="s">
        <v>963</v>
      </c>
      <c r="I215" s="49" t="s">
        <v>964</v>
      </c>
      <c r="J215" s="49" t="s">
        <v>965</v>
      </c>
      <c r="K215" s="49" t="s">
        <v>966</v>
      </c>
      <c r="L215" s="49" t="s">
        <v>967</v>
      </c>
      <c r="M215" s="49" t="s">
        <v>968</v>
      </c>
      <c r="N215" s="49" t="s">
        <v>969</v>
      </c>
      <c r="O215" s="49" t="s">
        <v>10396</v>
      </c>
      <c r="P215" s="49" t="s">
        <v>10397</v>
      </c>
      <c r="Q215" s="49" t="s">
        <v>10398</v>
      </c>
      <c r="R215" s="49" t="s">
        <v>10399</v>
      </c>
      <c r="S215" s="49" t="s">
        <v>10400</v>
      </c>
      <c r="T215" s="49" t="s">
        <v>10401</v>
      </c>
    </row>
    <row r="216" spans="1:21" x14ac:dyDescent="0.2">
      <c r="A216" s="49" t="s">
        <v>30</v>
      </c>
    </row>
    <row r="217" spans="1:21" x14ac:dyDescent="0.2">
      <c r="A217" s="49" t="s">
        <v>30</v>
      </c>
      <c r="E217" s="49" t="s">
        <v>31</v>
      </c>
      <c r="F217" s="49" t="s">
        <v>31</v>
      </c>
      <c r="G217" s="49" t="s">
        <v>31</v>
      </c>
      <c r="J217" s="49" t="s">
        <v>31</v>
      </c>
      <c r="K217" s="49" t="s">
        <v>31</v>
      </c>
      <c r="L217" s="49" t="s">
        <v>31</v>
      </c>
      <c r="M217" s="49" t="s">
        <v>31</v>
      </c>
    </row>
    <row r="218" spans="1:21" x14ac:dyDescent="0.2">
      <c r="A218" s="49" t="s">
        <v>30</v>
      </c>
      <c r="D218" s="49" t="s">
        <v>32464</v>
      </c>
      <c r="E218" s="49" t="s">
        <v>5805</v>
      </c>
      <c r="F218" s="49" t="s">
        <v>32465</v>
      </c>
      <c r="H218" s="49" t="s">
        <v>32466</v>
      </c>
      <c r="O218" s="49" t="s">
        <v>32467</v>
      </c>
      <c r="P218" s="49" t="s">
        <v>32468</v>
      </c>
      <c r="Q218" s="49" t="s">
        <v>32469</v>
      </c>
      <c r="R218" s="49" t="s">
        <v>32470</v>
      </c>
      <c r="S218" s="49" t="s">
        <v>32471</v>
      </c>
      <c r="T218" s="49" t="s">
        <v>32472</v>
      </c>
      <c r="U218" s="49" t="s">
        <v>32473</v>
      </c>
    </row>
    <row r="219" spans="1:21" x14ac:dyDescent="0.2">
      <c r="A219" s="49" t="s">
        <v>30</v>
      </c>
      <c r="D219" s="49" t="s">
        <v>994</v>
      </c>
      <c r="G219" s="49" t="s">
        <v>32474</v>
      </c>
      <c r="H219" s="49" t="s">
        <v>995</v>
      </c>
      <c r="I219" s="49" t="s">
        <v>996</v>
      </c>
      <c r="J219" s="49" t="s">
        <v>997</v>
      </c>
      <c r="K219" s="49" t="s">
        <v>998</v>
      </c>
      <c r="L219" s="49" t="s">
        <v>999</v>
      </c>
      <c r="M219" s="49" t="s">
        <v>1000</v>
      </c>
      <c r="N219" s="49" t="s">
        <v>1001</v>
      </c>
      <c r="O219" s="49" t="s">
        <v>32475</v>
      </c>
      <c r="P219" s="49" t="s">
        <v>32476</v>
      </c>
      <c r="Q219" s="49" t="s">
        <v>32477</v>
      </c>
      <c r="R219" s="49" t="s">
        <v>32478</v>
      </c>
      <c r="S219" s="49" t="s">
        <v>32479</v>
      </c>
      <c r="T219" s="49" t="s">
        <v>32480</v>
      </c>
    </row>
    <row r="220" spans="1:21" x14ac:dyDescent="0.2">
      <c r="A220" s="49" t="s">
        <v>30</v>
      </c>
      <c r="D220" s="49" t="s">
        <v>10114</v>
      </c>
      <c r="G220" s="49" t="s">
        <v>16003</v>
      </c>
      <c r="H220" s="49" t="s">
        <v>10116</v>
      </c>
      <c r="I220" s="49" t="s">
        <v>10117</v>
      </c>
      <c r="J220" s="49" t="s">
        <v>10118</v>
      </c>
      <c r="K220" s="49" t="s">
        <v>10119</v>
      </c>
      <c r="L220" s="49" t="s">
        <v>10120</v>
      </c>
      <c r="M220" s="49" t="s">
        <v>10121</v>
      </c>
      <c r="N220" s="49" t="s">
        <v>10122</v>
      </c>
      <c r="O220" s="49" t="s">
        <v>10123</v>
      </c>
      <c r="P220" s="49" t="s">
        <v>10124</v>
      </c>
      <c r="Q220" s="49" t="s">
        <v>10125</v>
      </c>
      <c r="R220" s="49" t="s">
        <v>10126</v>
      </c>
      <c r="S220" s="49" t="s">
        <v>10127</v>
      </c>
      <c r="T220" s="49" t="s">
        <v>10128</v>
      </c>
    </row>
    <row r="221" spans="1:21" x14ac:dyDescent="0.2">
      <c r="A221" s="49" t="s">
        <v>30</v>
      </c>
    </row>
    <row r="222" spans="1:21" x14ac:dyDescent="0.2">
      <c r="A222" s="49" t="s">
        <v>30</v>
      </c>
      <c r="E222" s="49" t="s">
        <v>31</v>
      </c>
      <c r="F222" s="49" t="s">
        <v>31</v>
      </c>
      <c r="G222" s="49" t="s">
        <v>31</v>
      </c>
      <c r="J222" s="49" t="s">
        <v>31</v>
      </c>
      <c r="K222" s="49" t="s">
        <v>31</v>
      </c>
      <c r="L222" s="49" t="s">
        <v>31</v>
      </c>
      <c r="M222" s="49" t="s">
        <v>31</v>
      </c>
    </row>
    <row r="223" spans="1:21" x14ac:dyDescent="0.2">
      <c r="A223" s="49" t="s">
        <v>30</v>
      </c>
      <c r="D223" s="49" t="s">
        <v>32481</v>
      </c>
      <c r="E223" s="49" t="s">
        <v>5890</v>
      </c>
      <c r="F223" s="49" t="s">
        <v>32482</v>
      </c>
      <c r="H223" s="49" t="s">
        <v>32483</v>
      </c>
      <c r="O223" s="49" t="s">
        <v>32484</v>
      </c>
      <c r="P223" s="49" t="s">
        <v>32485</v>
      </c>
      <c r="Q223" s="49" t="s">
        <v>32486</v>
      </c>
      <c r="R223" s="49" t="s">
        <v>32487</v>
      </c>
      <c r="S223" s="49" t="s">
        <v>32488</v>
      </c>
      <c r="T223" s="49" t="s">
        <v>32489</v>
      </c>
      <c r="U223" s="49" t="s">
        <v>32490</v>
      </c>
    </row>
    <row r="224" spans="1:21" x14ac:dyDescent="0.2">
      <c r="A224" s="49" t="s">
        <v>30</v>
      </c>
      <c r="D224" s="49" t="s">
        <v>14315</v>
      </c>
      <c r="G224" s="49" t="s">
        <v>32491</v>
      </c>
      <c r="H224" s="49" t="s">
        <v>31780</v>
      </c>
      <c r="I224" s="49" t="s">
        <v>31781</v>
      </c>
      <c r="J224" s="49" t="s">
        <v>31800</v>
      </c>
      <c r="K224" s="49" t="s">
        <v>31801</v>
      </c>
      <c r="L224" s="49" t="s">
        <v>14317</v>
      </c>
      <c r="M224" s="49" t="s">
        <v>14318</v>
      </c>
      <c r="N224" s="49" t="s">
        <v>14319</v>
      </c>
      <c r="O224" s="49" t="s">
        <v>32492</v>
      </c>
      <c r="P224" s="49" t="s">
        <v>32493</v>
      </c>
      <c r="Q224" s="49" t="s">
        <v>32494</v>
      </c>
      <c r="R224" s="49" t="s">
        <v>32495</v>
      </c>
      <c r="S224" s="49" t="s">
        <v>32496</v>
      </c>
      <c r="T224" s="49" t="s">
        <v>32497</v>
      </c>
    </row>
    <row r="225" spans="1:21" x14ac:dyDescent="0.2">
      <c r="A225" s="49" t="s">
        <v>30</v>
      </c>
    </row>
    <row r="226" spans="1:21" x14ac:dyDescent="0.2">
      <c r="A226" s="49" t="s">
        <v>30</v>
      </c>
      <c r="E226" s="49" t="s">
        <v>31</v>
      </c>
      <c r="F226" s="49" t="s">
        <v>31</v>
      </c>
      <c r="G226" s="49" t="s">
        <v>31</v>
      </c>
      <c r="J226" s="49" t="s">
        <v>31</v>
      </c>
      <c r="K226" s="49" t="s">
        <v>31</v>
      </c>
      <c r="L226" s="49" t="s">
        <v>31</v>
      </c>
      <c r="M226" s="49" t="s">
        <v>31</v>
      </c>
    </row>
    <row r="227" spans="1:21" x14ac:dyDescent="0.2">
      <c r="A227" s="49" t="s">
        <v>30</v>
      </c>
      <c r="D227" s="49" t="s">
        <v>32498</v>
      </c>
      <c r="E227" s="49" t="s">
        <v>5985</v>
      </c>
      <c r="F227" s="49" t="s">
        <v>32499</v>
      </c>
      <c r="H227" s="49" t="s">
        <v>32500</v>
      </c>
      <c r="O227" s="49" t="s">
        <v>32501</v>
      </c>
      <c r="P227" s="49" t="s">
        <v>32502</v>
      </c>
      <c r="Q227" s="49" t="s">
        <v>32503</v>
      </c>
      <c r="R227" s="49" t="s">
        <v>32504</v>
      </c>
      <c r="S227" s="49" t="s">
        <v>32505</v>
      </c>
      <c r="T227" s="49" t="s">
        <v>32506</v>
      </c>
      <c r="U227" s="49" t="s">
        <v>32507</v>
      </c>
    </row>
    <row r="228" spans="1:21" x14ac:dyDescent="0.2">
      <c r="A228" s="49" t="s">
        <v>30</v>
      </c>
      <c r="D228" s="49" t="s">
        <v>4715</v>
      </c>
      <c r="G228" s="49" t="s">
        <v>32508</v>
      </c>
      <c r="H228" s="49" t="s">
        <v>4716</v>
      </c>
      <c r="I228" s="49" t="s">
        <v>4717</v>
      </c>
      <c r="J228" s="49" t="s">
        <v>4718</v>
      </c>
      <c r="K228" s="49" t="s">
        <v>4719</v>
      </c>
      <c r="L228" s="49" t="s">
        <v>4720</v>
      </c>
      <c r="M228" s="49" t="s">
        <v>4721</v>
      </c>
      <c r="N228" s="49" t="s">
        <v>4722</v>
      </c>
      <c r="O228" s="49" t="s">
        <v>32509</v>
      </c>
      <c r="P228" s="49" t="s">
        <v>32510</v>
      </c>
      <c r="Q228" s="49" t="s">
        <v>32511</v>
      </c>
      <c r="R228" s="49" t="s">
        <v>32512</v>
      </c>
      <c r="S228" s="49" t="s">
        <v>32513</v>
      </c>
      <c r="T228" s="49" t="s">
        <v>32514</v>
      </c>
    </row>
    <row r="229" spans="1:21" x14ac:dyDescent="0.2">
      <c r="A229" s="49" t="s">
        <v>30</v>
      </c>
      <c r="D229" s="49" t="s">
        <v>1010</v>
      </c>
      <c r="G229" s="49" t="s">
        <v>16132</v>
      </c>
      <c r="H229" s="49" t="s">
        <v>1011</v>
      </c>
      <c r="I229" s="49" t="s">
        <v>1012</v>
      </c>
      <c r="J229" s="49" t="s">
        <v>1013</v>
      </c>
      <c r="K229" s="49" t="s">
        <v>1014</v>
      </c>
      <c r="L229" s="49" t="s">
        <v>1015</v>
      </c>
      <c r="M229" s="49" t="s">
        <v>1016</v>
      </c>
      <c r="N229" s="49" t="s">
        <v>1017</v>
      </c>
      <c r="O229" s="49" t="s">
        <v>32515</v>
      </c>
      <c r="P229" s="49" t="s">
        <v>32516</v>
      </c>
      <c r="Q229" s="49" t="s">
        <v>32517</v>
      </c>
      <c r="R229" s="49" t="s">
        <v>32518</v>
      </c>
      <c r="S229" s="49" t="s">
        <v>32519</v>
      </c>
      <c r="T229" s="49" t="s">
        <v>32520</v>
      </c>
    </row>
    <row r="230" spans="1:21" x14ac:dyDescent="0.2">
      <c r="A230" s="49" t="s">
        <v>30</v>
      </c>
    </row>
    <row r="231" spans="1:21" x14ac:dyDescent="0.2">
      <c r="A231" s="49" t="s">
        <v>30</v>
      </c>
      <c r="E231" s="49" t="s">
        <v>31</v>
      </c>
      <c r="F231" s="49" t="s">
        <v>31</v>
      </c>
      <c r="G231" s="49" t="s">
        <v>31</v>
      </c>
      <c r="J231" s="49" t="s">
        <v>31</v>
      </c>
      <c r="K231" s="49" t="s">
        <v>31</v>
      </c>
      <c r="L231" s="49" t="s">
        <v>31</v>
      </c>
      <c r="M231" s="49" t="s">
        <v>31</v>
      </c>
    </row>
    <row r="232" spans="1:21" x14ac:dyDescent="0.2">
      <c r="A232" s="49" t="s">
        <v>30</v>
      </c>
      <c r="D232" s="49" t="s">
        <v>32521</v>
      </c>
      <c r="E232" s="49" t="s">
        <v>6114</v>
      </c>
      <c r="F232" s="49" t="s">
        <v>32522</v>
      </c>
      <c r="H232" s="49" t="s">
        <v>32523</v>
      </c>
      <c r="O232" s="49" t="s">
        <v>32524</v>
      </c>
      <c r="P232" s="49" t="s">
        <v>32525</v>
      </c>
      <c r="Q232" s="49" t="s">
        <v>32526</v>
      </c>
      <c r="R232" s="49" t="s">
        <v>32527</v>
      </c>
      <c r="S232" s="49" t="s">
        <v>32528</v>
      </c>
      <c r="T232" s="49" t="s">
        <v>32529</v>
      </c>
      <c r="U232" s="49" t="s">
        <v>32530</v>
      </c>
    </row>
    <row r="233" spans="1:21" x14ac:dyDescent="0.2">
      <c r="A233" s="49" t="s">
        <v>30</v>
      </c>
      <c r="D233" s="49" t="s">
        <v>9041</v>
      </c>
      <c r="G233" s="49" t="s">
        <v>32531</v>
      </c>
      <c r="H233" s="49" t="s">
        <v>9042</v>
      </c>
      <c r="I233" s="49" t="s">
        <v>9043</v>
      </c>
      <c r="J233" s="49" t="s">
        <v>9044</v>
      </c>
      <c r="K233" s="49" t="s">
        <v>9045</v>
      </c>
      <c r="L233" s="49" t="s">
        <v>9046</v>
      </c>
      <c r="M233" s="49" t="s">
        <v>9047</v>
      </c>
      <c r="N233" s="49" t="s">
        <v>9048</v>
      </c>
      <c r="O233" s="49" t="s">
        <v>33020</v>
      </c>
      <c r="P233" s="49" t="s">
        <v>33021</v>
      </c>
      <c r="Q233" s="49" t="s">
        <v>33022</v>
      </c>
      <c r="R233" s="49" t="s">
        <v>33023</v>
      </c>
      <c r="S233" s="49" t="s">
        <v>33024</v>
      </c>
      <c r="T233" s="49" t="s">
        <v>33025</v>
      </c>
    </row>
    <row r="234" spans="1:21" x14ac:dyDescent="0.2">
      <c r="A234" s="49" t="s">
        <v>30</v>
      </c>
      <c r="D234" s="49" t="s">
        <v>1026</v>
      </c>
      <c r="G234" s="49" t="s">
        <v>16154</v>
      </c>
      <c r="H234" s="49" t="s">
        <v>1027</v>
      </c>
      <c r="I234" s="49" t="s">
        <v>1028</v>
      </c>
      <c r="J234" s="49" t="s">
        <v>1029</v>
      </c>
      <c r="K234" s="49" t="s">
        <v>1030</v>
      </c>
      <c r="L234" s="49" t="s">
        <v>1031</v>
      </c>
      <c r="M234" s="49" t="s">
        <v>1032</v>
      </c>
      <c r="N234" s="49" t="s">
        <v>1033</v>
      </c>
      <c r="O234" s="49" t="s">
        <v>10135</v>
      </c>
      <c r="P234" s="49" t="s">
        <v>10136</v>
      </c>
      <c r="Q234" s="49" t="s">
        <v>10137</v>
      </c>
      <c r="R234" s="49" t="s">
        <v>10138</v>
      </c>
      <c r="S234" s="49" t="s">
        <v>10139</v>
      </c>
      <c r="T234" s="49" t="s">
        <v>10140</v>
      </c>
    </row>
    <row r="235" spans="1:21" x14ac:dyDescent="0.2">
      <c r="A235" s="49" t="s">
        <v>30</v>
      </c>
      <c r="D235" s="49" t="s">
        <v>1034</v>
      </c>
      <c r="G235" s="49" t="s">
        <v>16187</v>
      </c>
      <c r="H235" s="49" t="s">
        <v>1035</v>
      </c>
      <c r="I235" s="49" t="s">
        <v>1036</v>
      </c>
      <c r="J235" s="49" t="s">
        <v>1037</v>
      </c>
      <c r="K235" s="49" t="s">
        <v>1038</v>
      </c>
      <c r="L235" s="49" t="s">
        <v>1039</v>
      </c>
      <c r="M235" s="49" t="s">
        <v>1040</v>
      </c>
      <c r="N235" s="49" t="s">
        <v>1041</v>
      </c>
      <c r="O235" s="49" t="s">
        <v>9578</v>
      </c>
      <c r="P235" s="49" t="s">
        <v>9579</v>
      </c>
      <c r="Q235" s="49" t="s">
        <v>9580</v>
      </c>
      <c r="R235" s="49" t="s">
        <v>9581</v>
      </c>
      <c r="S235" s="49" t="s">
        <v>9582</v>
      </c>
      <c r="T235" s="49" t="s">
        <v>9583</v>
      </c>
    </row>
    <row r="236" spans="1:21" x14ac:dyDescent="0.2">
      <c r="A236" s="49" t="s">
        <v>30</v>
      </c>
    </row>
    <row r="237" spans="1:21" x14ac:dyDescent="0.2">
      <c r="A237" s="49" t="s">
        <v>30</v>
      </c>
      <c r="E237" s="49" t="s">
        <v>31</v>
      </c>
      <c r="F237" s="49" t="s">
        <v>31</v>
      </c>
      <c r="G237" s="49" t="s">
        <v>31</v>
      </c>
      <c r="J237" s="49" t="s">
        <v>31</v>
      </c>
      <c r="K237" s="49" t="s">
        <v>31</v>
      </c>
      <c r="L237" s="49" t="s">
        <v>31</v>
      </c>
      <c r="M237" s="49" t="s">
        <v>31</v>
      </c>
    </row>
    <row r="238" spans="1:21" x14ac:dyDescent="0.2">
      <c r="A238" s="49" t="s">
        <v>30</v>
      </c>
      <c r="D238" s="49" t="s">
        <v>9584</v>
      </c>
      <c r="E238" s="49" t="s">
        <v>6242</v>
      </c>
      <c r="F238" s="49" t="s">
        <v>9585</v>
      </c>
      <c r="H238" s="49" t="s">
        <v>9586</v>
      </c>
      <c r="O238" s="49" t="s">
        <v>13732</v>
      </c>
      <c r="P238" s="49" t="s">
        <v>13733</v>
      </c>
      <c r="Q238" s="49" t="s">
        <v>13734</v>
      </c>
      <c r="R238" s="49" t="s">
        <v>13735</v>
      </c>
      <c r="S238" s="49" t="s">
        <v>13736</v>
      </c>
      <c r="T238" s="49" t="s">
        <v>13737</v>
      </c>
      <c r="U238" s="49" t="s">
        <v>13738</v>
      </c>
    </row>
    <row r="239" spans="1:21" x14ac:dyDescent="0.2">
      <c r="A239" s="49" t="s">
        <v>30</v>
      </c>
      <c r="D239" s="49" t="s">
        <v>1042</v>
      </c>
      <c r="G239" s="49" t="s">
        <v>9587</v>
      </c>
      <c r="H239" s="49" t="s">
        <v>1043</v>
      </c>
      <c r="I239" s="49" t="s">
        <v>1044</v>
      </c>
      <c r="J239" s="49" t="s">
        <v>1045</v>
      </c>
      <c r="K239" s="49" t="s">
        <v>1046</v>
      </c>
      <c r="L239" s="49" t="s">
        <v>1047</v>
      </c>
      <c r="M239" s="49" t="s">
        <v>1048</v>
      </c>
      <c r="N239" s="49" t="s">
        <v>1049</v>
      </c>
      <c r="O239" s="49" t="s">
        <v>9588</v>
      </c>
      <c r="P239" s="49" t="s">
        <v>9589</v>
      </c>
      <c r="Q239" s="49" t="s">
        <v>9590</v>
      </c>
      <c r="R239" s="49" t="s">
        <v>9591</v>
      </c>
      <c r="S239" s="49" t="s">
        <v>9592</v>
      </c>
      <c r="T239" s="49" t="s">
        <v>9593</v>
      </c>
    </row>
    <row r="240" spans="1:21" x14ac:dyDescent="0.2">
      <c r="A240" s="49" t="s">
        <v>30</v>
      </c>
      <c r="D240" s="49" t="s">
        <v>2065</v>
      </c>
      <c r="G240" s="49" t="s">
        <v>16238</v>
      </c>
      <c r="H240" s="49" t="s">
        <v>2066</v>
      </c>
      <c r="I240" s="49" t="s">
        <v>2067</v>
      </c>
      <c r="J240" s="49" t="s">
        <v>2068</v>
      </c>
      <c r="K240" s="49" t="s">
        <v>2069</v>
      </c>
      <c r="L240" s="49" t="s">
        <v>2070</v>
      </c>
      <c r="M240" s="49" t="s">
        <v>2071</v>
      </c>
      <c r="N240" s="49" t="s">
        <v>2072</v>
      </c>
      <c r="O240" s="49" t="s">
        <v>13428</v>
      </c>
      <c r="P240" s="49" t="s">
        <v>13429</v>
      </c>
      <c r="Q240" s="49" t="s">
        <v>13430</v>
      </c>
      <c r="R240" s="49" t="s">
        <v>13431</v>
      </c>
      <c r="S240" s="49" t="s">
        <v>13432</v>
      </c>
      <c r="T240" s="49" t="s">
        <v>13433</v>
      </c>
    </row>
    <row r="241" spans="1:21" x14ac:dyDescent="0.2">
      <c r="A241" s="49" t="s">
        <v>30</v>
      </c>
    </row>
    <row r="242" spans="1:21" x14ac:dyDescent="0.2">
      <c r="A242" s="49" t="s">
        <v>30</v>
      </c>
      <c r="E242" s="49" t="s">
        <v>31</v>
      </c>
      <c r="F242" s="49" t="s">
        <v>31</v>
      </c>
      <c r="G242" s="49" t="s">
        <v>31</v>
      </c>
      <c r="J242" s="49" t="s">
        <v>31</v>
      </c>
      <c r="K242" s="49" t="s">
        <v>31</v>
      </c>
      <c r="L242" s="49" t="s">
        <v>31</v>
      </c>
      <c r="M242" s="49" t="s">
        <v>31</v>
      </c>
    </row>
    <row r="243" spans="1:21" x14ac:dyDescent="0.2">
      <c r="A243" s="49" t="s">
        <v>30</v>
      </c>
      <c r="D243" s="49" t="s">
        <v>13434</v>
      </c>
      <c r="E243" s="49" t="s">
        <v>6351</v>
      </c>
      <c r="F243" s="49" t="s">
        <v>13435</v>
      </c>
      <c r="H243" s="49" t="s">
        <v>13436</v>
      </c>
      <c r="O243" s="49" t="s">
        <v>32532</v>
      </c>
      <c r="P243" s="49" t="s">
        <v>32533</v>
      </c>
      <c r="Q243" s="49" t="s">
        <v>32534</v>
      </c>
      <c r="R243" s="49" t="s">
        <v>32535</v>
      </c>
      <c r="S243" s="49" t="s">
        <v>32536</v>
      </c>
      <c r="T243" s="49" t="s">
        <v>32537</v>
      </c>
      <c r="U243" s="49" t="s">
        <v>32538</v>
      </c>
    </row>
    <row r="244" spans="1:21" x14ac:dyDescent="0.2">
      <c r="A244" s="49" t="s">
        <v>30</v>
      </c>
      <c r="D244" s="49" t="s">
        <v>2387</v>
      </c>
      <c r="G244" s="49" t="s">
        <v>13437</v>
      </c>
      <c r="H244" s="49" t="s">
        <v>2388</v>
      </c>
      <c r="I244" s="49" t="s">
        <v>2389</v>
      </c>
      <c r="J244" s="49" t="s">
        <v>2390</v>
      </c>
      <c r="K244" s="49" t="s">
        <v>2391</v>
      </c>
      <c r="L244" s="49" t="s">
        <v>2392</v>
      </c>
      <c r="M244" s="49" t="s">
        <v>2393</v>
      </c>
      <c r="N244" s="49" t="s">
        <v>2394</v>
      </c>
      <c r="O244" s="49" t="s">
        <v>9594</v>
      </c>
      <c r="P244" s="49" t="s">
        <v>9595</v>
      </c>
      <c r="Q244" s="49" t="s">
        <v>9596</v>
      </c>
      <c r="R244" s="49" t="s">
        <v>9597</v>
      </c>
      <c r="S244" s="49" t="s">
        <v>9598</v>
      </c>
      <c r="T244" s="49" t="s">
        <v>9599</v>
      </c>
    </row>
    <row r="245" spans="1:21" x14ac:dyDescent="0.2">
      <c r="A245" s="49" t="s">
        <v>30</v>
      </c>
      <c r="D245" s="49" t="s">
        <v>2081</v>
      </c>
      <c r="G245" s="49" t="s">
        <v>16305</v>
      </c>
      <c r="H245" s="49" t="s">
        <v>2082</v>
      </c>
      <c r="I245" s="49" t="s">
        <v>2083</v>
      </c>
      <c r="J245" s="49" t="s">
        <v>2084</v>
      </c>
      <c r="K245" s="49" t="s">
        <v>2085</v>
      </c>
      <c r="L245" s="49" t="s">
        <v>2086</v>
      </c>
      <c r="M245" s="49" t="s">
        <v>2087</v>
      </c>
      <c r="N245" s="49" t="s">
        <v>2088</v>
      </c>
      <c r="O245" s="49" t="s">
        <v>9600</v>
      </c>
      <c r="P245" s="49" t="s">
        <v>9601</v>
      </c>
      <c r="Q245" s="49" t="s">
        <v>9602</v>
      </c>
      <c r="R245" s="49" t="s">
        <v>9603</v>
      </c>
      <c r="S245" s="49" t="s">
        <v>9604</v>
      </c>
      <c r="T245" s="49" t="s">
        <v>9605</v>
      </c>
    </row>
    <row r="246" spans="1:21" x14ac:dyDescent="0.2">
      <c r="A246" s="49" t="s">
        <v>30</v>
      </c>
      <c r="D246" s="49" t="s">
        <v>2589</v>
      </c>
      <c r="G246" s="49" t="s">
        <v>16340</v>
      </c>
      <c r="H246" s="49" t="s">
        <v>2590</v>
      </c>
      <c r="I246" s="49" t="s">
        <v>2591</v>
      </c>
      <c r="J246" s="49" t="s">
        <v>2592</v>
      </c>
      <c r="K246" s="49" t="s">
        <v>2593</v>
      </c>
      <c r="L246" s="49" t="s">
        <v>2594</v>
      </c>
      <c r="M246" s="49" t="s">
        <v>2595</v>
      </c>
      <c r="N246" s="49" t="s">
        <v>2596</v>
      </c>
      <c r="O246" s="49" t="s">
        <v>10148</v>
      </c>
      <c r="P246" s="49" t="s">
        <v>10149</v>
      </c>
      <c r="Q246" s="49" t="s">
        <v>10150</v>
      </c>
      <c r="R246" s="49" t="s">
        <v>10151</v>
      </c>
      <c r="S246" s="49" t="s">
        <v>10152</v>
      </c>
      <c r="T246" s="49" t="s">
        <v>10153</v>
      </c>
    </row>
    <row r="247" spans="1:21" x14ac:dyDescent="0.2">
      <c r="A247" s="49" t="s">
        <v>30</v>
      </c>
      <c r="D247" s="49" t="s">
        <v>1058</v>
      </c>
      <c r="G247" s="49" t="s">
        <v>16345</v>
      </c>
      <c r="H247" s="49" t="s">
        <v>1059</v>
      </c>
      <c r="I247" s="49" t="s">
        <v>1060</v>
      </c>
      <c r="J247" s="49" t="s">
        <v>1061</v>
      </c>
      <c r="K247" s="49" t="s">
        <v>1062</v>
      </c>
      <c r="L247" s="49" t="s">
        <v>1063</v>
      </c>
      <c r="M247" s="49" t="s">
        <v>1064</v>
      </c>
      <c r="N247" s="49" t="s">
        <v>1065</v>
      </c>
      <c r="O247" s="49" t="s">
        <v>9067</v>
      </c>
      <c r="P247" s="49" t="s">
        <v>9068</v>
      </c>
      <c r="Q247" s="49" t="s">
        <v>9069</v>
      </c>
      <c r="R247" s="49" t="s">
        <v>9070</v>
      </c>
      <c r="S247" s="49" t="s">
        <v>9071</v>
      </c>
      <c r="T247" s="49" t="s">
        <v>9072</v>
      </c>
    </row>
    <row r="248" spans="1:21" x14ac:dyDescent="0.2">
      <c r="A248" s="49" t="s">
        <v>30</v>
      </c>
      <c r="D248" s="49" t="s">
        <v>2699</v>
      </c>
      <c r="G248" s="49" t="s">
        <v>16355</v>
      </c>
      <c r="H248" s="49" t="s">
        <v>2700</v>
      </c>
      <c r="I248" s="49" t="s">
        <v>2701</v>
      </c>
      <c r="J248" s="49" t="s">
        <v>2702</v>
      </c>
      <c r="K248" s="49" t="s">
        <v>2703</v>
      </c>
      <c r="L248" s="49" t="s">
        <v>2704</v>
      </c>
      <c r="M248" s="49" t="s">
        <v>2705</v>
      </c>
      <c r="N248" s="49" t="s">
        <v>2706</v>
      </c>
      <c r="O248" s="49" t="s">
        <v>9073</v>
      </c>
      <c r="P248" s="49" t="s">
        <v>9074</v>
      </c>
      <c r="Q248" s="49" t="s">
        <v>9075</v>
      </c>
      <c r="R248" s="49" t="s">
        <v>9076</v>
      </c>
      <c r="S248" s="49" t="s">
        <v>9077</v>
      </c>
      <c r="T248" s="49" t="s">
        <v>9078</v>
      </c>
    </row>
    <row r="249" spans="1:21" x14ac:dyDescent="0.2">
      <c r="A249" s="49" t="s">
        <v>30</v>
      </c>
    </row>
    <row r="250" spans="1:21" x14ac:dyDescent="0.2">
      <c r="A250" s="49" t="s">
        <v>30</v>
      </c>
      <c r="E250" s="49" t="s">
        <v>31</v>
      </c>
      <c r="F250" s="49" t="s">
        <v>31</v>
      </c>
      <c r="G250" s="49" t="s">
        <v>31</v>
      </c>
      <c r="J250" s="49" t="s">
        <v>31</v>
      </c>
      <c r="K250" s="49" t="s">
        <v>31</v>
      </c>
      <c r="L250" s="49" t="s">
        <v>31</v>
      </c>
      <c r="M250" s="49" t="s">
        <v>31</v>
      </c>
    </row>
    <row r="251" spans="1:21" x14ac:dyDescent="0.2">
      <c r="A251" s="49" t="s">
        <v>30</v>
      </c>
      <c r="D251" s="49" t="s">
        <v>9079</v>
      </c>
      <c r="E251" s="49" t="s">
        <v>6446</v>
      </c>
      <c r="F251" s="49" t="s">
        <v>9080</v>
      </c>
      <c r="H251" s="49" t="s">
        <v>9081</v>
      </c>
      <c r="O251" s="49" t="s">
        <v>32539</v>
      </c>
      <c r="P251" s="49" t="s">
        <v>32540</v>
      </c>
      <c r="Q251" s="49" t="s">
        <v>32541</v>
      </c>
      <c r="R251" s="49" t="s">
        <v>32542</v>
      </c>
      <c r="S251" s="49" t="s">
        <v>32543</v>
      </c>
      <c r="T251" s="49" t="s">
        <v>32544</v>
      </c>
      <c r="U251" s="49" t="s">
        <v>32545</v>
      </c>
    </row>
    <row r="252" spans="1:21" x14ac:dyDescent="0.2">
      <c r="A252" s="49" t="s">
        <v>30</v>
      </c>
      <c r="D252" s="49" t="s">
        <v>1074</v>
      </c>
      <c r="G252" s="49" t="s">
        <v>9089</v>
      </c>
      <c r="H252" s="49" t="s">
        <v>1075</v>
      </c>
      <c r="I252" s="49" t="s">
        <v>1076</v>
      </c>
      <c r="J252" s="49" t="s">
        <v>1077</v>
      </c>
      <c r="K252" s="49" t="s">
        <v>1078</v>
      </c>
      <c r="L252" s="49" t="s">
        <v>1079</v>
      </c>
      <c r="M252" s="49" t="s">
        <v>1080</v>
      </c>
      <c r="N252" s="49" t="s">
        <v>1081</v>
      </c>
      <c r="O252" s="49" t="s">
        <v>9090</v>
      </c>
      <c r="P252" s="49" t="s">
        <v>9091</v>
      </c>
      <c r="Q252" s="49" t="s">
        <v>9092</v>
      </c>
      <c r="R252" s="49" t="s">
        <v>9093</v>
      </c>
      <c r="S252" s="49" t="s">
        <v>9094</v>
      </c>
      <c r="T252" s="49" t="s">
        <v>9095</v>
      </c>
    </row>
    <row r="253" spans="1:21" x14ac:dyDescent="0.2">
      <c r="A253" s="49" t="s">
        <v>30</v>
      </c>
      <c r="D253" s="49" t="s">
        <v>1082</v>
      </c>
      <c r="G253" s="49" t="s">
        <v>16410</v>
      </c>
      <c r="H253" s="49" t="s">
        <v>1083</v>
      </c>
      <c r="I253" s="49" t="s">
        <v>1084</v>
      </c>
      <c r="J253" s="49" t="s">
        <v>1085</v>
      </c>
      <c r="K253" s="49" t="s">
        <v>1086</v>
      </c>
      <c r="L253" s="49" t="s">
        <v>1087</v>
      </c>
      <c r="M253" s="49" t="s">
        <v>1088</v>
      </c>
      <c r="N253" s="49" t="s">
        <v>1089</v>
      </c>
      <c r="O253" s="49" t="s">
        <v>33014</v>
      </c>
      <c r="P253" s="49" t="s">
        <v>33015</v>
      </c>
      <c r="Q253" s="49" t="s">
        <v>33016</v>
      </c>
      <c r="R253" s="49" t="s">
        <v>33017</v>
      </c>
      <c r="S253" s="49" t="s">
        <v>33018</v>
      </c>
      <c r="T253" s="49" t="s">
        <v>33019</v>
      </c>
    </row>
    <row r="254" spans="1:21" x14ac:dyDescent="0.2">
      <c r="A254" s="49" t="s">
        <v>30</v>
      </c>
      <c r="D254" s="49" t="s">
        <v>2597</v>
      </c>
      <c r="G254" s="49" t="s">
        <v>16420</v>
      </c>
      <c r="H254" s="49" t="s">
        <v>2598</v>
      </c>
      <c r="I254" s="49" t="s">
        <v>2599</v>
      </c>
      <c r="J254" s="49" t="s">
        <v>2600</v>
      </c>
      <c r="K254" s="49" t="s">
        <v>2601</v>
      </c>
      <c r="L254" s="49" t="s">
        <v>2602</v>
      </c>
      <c r="M254" s="49" t="s">
        <v>2603</v>
      </c>
      <c r="N254" s="49" t="s">
        <v>2604</v>
      </c>
      <c r="O254" s="49" t="s">
        <v>9637</v>
      </c>
      <c r="P254" s="49" t="s">
        <v>9638</v>
      </c>
      <c r="Q254" s="49" t="s">
        <v>9639</v>
      </c>
      <c r="R254" s="49" t="s">
        <v>9640</v>
      </c>
      <c r="S254" s="49" t="s">
        <v>9641</v>
      </c>
      <c r="T254" s="49" t="s">
        <v>9642</v>
      </c>
    </row>
    <row r="255" spans="1:21" x14ac:dyDescent="0.2">
      <c r="A255" s="49" t="s">
        <v>30</v>
      </c>
      <c r="D255" s="49" t="s">
        <v>2105</v>
      </c>
      <c r="G255" s="49" t="s">
        <v>16435</v>
      </c>
      <c r="H255" s="49" t="s">
        <v>2106</v>
      </c>
      <c r="I255" s="49" t="s">
        <v>2107</v>
      </c>
      <c r="J255" s="49" t="s">
        <v>2108</v>
      </c>
      <c r="K255" s="49" t="s">
        <v>2109</v>
      </c>
      <c r="L255" s="49" t="s">
        <v>2110</v>
      </c>
      <c r="M255" s="49" t="s">
        <v>2111</v>
      </c>
      <c r="N255" s="49" t="s">
        <v>2112</v>
      </c>
      <c r="O255" s="49" t="s">
        <v>10415</v>
      </c>
      <c r="P255" s="49" t="s">
        <v>10416</v>
      </c>
      <c r="Q255" s="49" t="s">
        <v>10417</v>
      </c>
      <c r="R255" s="49" t="s">
        <v>10418</v>
      </c>
      <c r="S255" s="49" t="s">
        <v>10419</v>
      </c>
      <c r="T255" s="49" t="s">
        <v>10420</v>
      </c>
    </row>
    <row r="256" spans="1:21" x14ac:dyDescent="0.2">
      <c r="A256" s="49" t="s">
        <v>30</v>
      </c>
      <c r="D256" s="49" t="s">
        <v>2707</v>
      </c>
      <c r="G256" s="49" t="s">
        <v>16460</v>
      </c>
      <c r="H256" s="49" t="s">
        <v>2708</v>
      </c>
      <c r="I256" s="49" t="s">
        <v>2709</v>
      </c>
      <c r="J256" s="49" t="s">
        <v>2710</v>
      </c>
      <c r="K256" s="49" t="s">
        <v>2711</v>
      </c>
      <c r="L256" s="49" t="s">
        <v>2712</v>
      </c>
      <c r="M256" s="49" t="s">
        <v>2713</v>
      </c>
      <c r="N256" s="49" t="s">
        <v>2714</v>
      </c>
      <c r="O256" s="49" t="s">
        <v>9100</v>
      </c>
      <c r="P256" s="49" t="s">
        <v>9101</v>
      </c>
      <c r="Q256" s="49" t="s">
        <v>9102</v>
      </c>
      <c r="R256" s="49" t="s">
        <v>9103</v>
      </c>
      <c r="S256" s="49" t="s">
        <v>9104</v>
      </c>
      <c r="T256" s="49" t="s">
        <v>9105</v>
      </c>
    </row>
    <row r="257" spans="1:21" x14ac:dyDescent="0.2">
      <c r="A257" s="49" t="s">
        <v>30</v>
      </c>
    </row>
    <row r="258" spans="1:21" x14ac:dyDescent="0.2">
      <c r="A258" s="49" t="s">
        <v>30</v>
      </c>
      <c r="E258" s="49" t="s">
        <v>31</v>
      </c>
      <c r="F258" s="49" t="s">
        <v>31</v>
      </c>
      <c r="G258" s="49" t="s">
        <v>31</v>
      </c>
      <c r="J258" s="49" t="s">
        <v>31</v>
      </c>
      <c r="K258" s="49" t="s">
        <v>31</v>
      </c>
      <c r="L258" s="49" t="s">
        <v>31</v>
      </c>
      <c r="M258" s="49" t="s">
        <v>31</v>
      </c>
    </row>
    <row r="259" spans="1:21" x14ac:dyDescent="0.2">
      <c r="A259" s="49" t="s">
        <v>30</v>
      </c>
      <c r="D259" s="49" t="s">
        <v>13739</v>
      </c>
      <c r="E259" s="49" t="s">
        <v>6601</v>
      </c>
      <c r="F259" s="49" t="s">
        <v>13740</v>
      </c>
      <c r="H259" s="49" t="s">
        <v>13741</v>
      </c>
      <c r="O259" s="49" t="s">
        <v>13742</v>
      </c>
      <c r="P259" s="49" t="s">
        <v>13743</v>
      </c>
      <c r="Q259" s="49" t="s">
        <v>13744</v>
      </c>
      <c r="R259" s="49" t="s">
        <v>13745</v>
      </c>
      <c r="S259" s="49" t="s">
        <v>13746</v>
      </c>
      <c r="T259" s="49" t="s">
        <v>13747</v>
      </c>
      <c r="U259" s="49" t="s">
        <v>13748</v>
      </c>
    </row>
    <row r="260" spans="1:21" x14ac:dyDescent="0.2">
      <c r="A260" s="49" t="s">
        <v>30</v>
      </c>
      <c r="D260" s="49" t="s">
        <v>2113</v>
      </c>
      <c r="G260" s="49" t="s">
        <v>13749</v>
      </c>
      <c r="H260" s="49" t="s">
        <v>2114</v>
      </c>
      <c r="I260" s="49" t="s">
        <v>2115</v>
      </c>
      <c r="J260" s="49" t="s">
        <v>2116</v>
      </c>
      <c r="K260" s="49" t="s">
        <v>2117</v>
      </c>
      <c r="L260" s="49" t="s">
        <v>2118</v>
      </c>
      <c r="M260" s="49" t="s">
        <v>2119</v>
      </c>
      <c r="N260" s="49" t="s">
        <v>2120</v>
      </c>
      <c r="O260" s="49" t="s">
        <v>13239</v>
      </c>
      <c r="P260" s="49" t="s">
        <v>13240</v>
      </c>
      <c r="Q260" s="49" t="s">
        <v>13241</v>
      </c>
      <c r="R260" s="49" t="s">
        <v>13242</v>
      </c>
      <c r="S260" s="49" t="s">
        <v>13243</v>
      </c>
      <c r="T260" s="49" t="s">
        <v>13244</v>
      </c>
    </row>
    <row r="261" spans="1:21" x14ac:dyDescent="0.2">
      <c r="A261" s="49" t="s">
        <v>30</v>
      </c>
      <c r="D261" s="49" t="s">
        <v>2121</v>
      </c>
      <c r="G261" s="49" t="s">
        <v>16560</v>
      </c>
      <c r="H261" s="49" t="s">
        <v>2122</v>
      </c>
      <c r="I261" s="49" t="s">
        <v>2123</v>
      </c>
      <c r="J261" s="49" t="s">
        <v>2124</v>
      </c>
      <c r="K261" s="49" t="s">
        <v>2125</v>
      </c>
      <c r="L261" s="49" t="s">
        <v>2126</v>
      </c>
      <c r="M261" s="49" t="s">
        <v>2127</v>
      </c>
      <c r="N261" s="49" t="s">
        <v>2128</v>
      </c>
      <c r="O261" s="49" t="s">
        <v>10167</v>
      </c>
      <c r="P261" s="49" t="s">
        <v>10168</v>
      </c>
      <c r="Q261" s="49" t="s">
        <v>10169</v>
      </c>
      <c r="R261" s="49" t="s">
        <v>10170</v>
      </c>
      <c r="S261" s="49" t="s">
        <v>10171</v>
      </c>
      <c r="T261" s="49" t="s">
        <v>10172</v>
      </c>
    </row>
    <row r="262" spans="1:21" x14ac:dyDescent="0.2">
      <c r="A262" s="49" t="s">
        <v>30</v>
      </c>
    </row>
    <row r="263" spans="1:21" x14ac:dyDescent="0.2">
      <c r="A263" s="49" t="s">
        <v>30</v>
      </c>
      <c r="E263" s="49" t="s">
        <v>31</v>
      </c>
      <c r="F263" s="49" t="s">
        <v>31</v>
      </c>
      <c r="G263" s="49" t="s">
        <v>31</v>
      </c>
      <c r="J263" s="49" t="s">
        <v>31</v>
      </c>
      <c r="K263" s="49" t="s">
        <v>31</v>
      </c>
      <c r="L263" s="49" t="s">
        <v>31</v>
      </c>
      <c r="M263" s="49" t="s">
        <v>31</v>
      </c>
    </row>
    <row r="264" spans="1:21" x14ac:dyDescent="0.2">
      <c r="A264" s="49" t="s">
        <v>30</v>
      </c>
      <c r="D264" s="49" t="s">
        <v>13438</v>
      </c>
      <c r="E264" s="49" t="s">
        <v>6666</v>
      </c>
      <c r="F264" s="49" t="s">
        <v>13439</v>
      </c>
      <c r="H264" s="49" t="s">
        <v>13440</v>
      </c>
      <c r="O264" s="49" t="s">
        <v>32546</v>
      </c>
      <c r="P264" s="49" t="s">
        <v>32547</v>
      </c>
      <c r="Q264" s="49" t="s">
        <v>32548</v>
      </c>
      <c r="R264" s="49" t="s">
        <v>32549</v>
      </c>
      <c r="S264" s="49" t="s">
        <v>32550</v>
      </c>
      <c r="T264" s="49" t="s">
        <v>32551</v>
      </c>
      <c r="U264" s="49" t="s">
        <v>32552</v>
      </c>
    </row>
    <row r="265" spans="1:21" x14ac:dyDescent="0.2">
      <c r="A265" s="49" t="s">
        <v>30</v>
      </c>
      <c r="D265" s="49" t="s">
        <v>1130</v>
      </c>
      <c r="G265" s="49" t="s">
        <v>13441</v>
      </c>
      <c r="H265" s="49" t="s">
        <v>1131</v>
      </c>
      <c r="I265" s="49" t="s">
        <v>1132</v>
      </c>
      <c r="J265" s="49" t="s">
        <v>1133</v>
      </c>
      <c r="K265" s="49" t="s">
        <v>1134</v>
      </c>
      <c r="L265" s="49" t="s">
        <v>1135</v>
      </c>
      <c r="M265" s="49" t="s">
        <v>1136</v>
      </c>
      <c r="N265" s="49" t="s">
        <v>1137</v>
      </c>
      <c r="O265" s="49" t="s">
        <v>13442</v>
      </c>
      <c r="P265" s="49" t="s">
        <v>13443</v>
      </c>
      <c r="Q265" s="49" t="s">
        <v>13444</v>
      </c>
      <c r="R265" s="49" t="s">
        <v>13445</v>
      </c>
      <c r="S265" s="49" t="s">
        <v>13446</v>
      </c>
      <c r="T265" s="49" t="s">
        <v>13447</v>
      </c>
    </row>
    <row r="266" spans="1:21" x14ac:dyDescent="0.2">
      <c r="A266" s="49" t="s">
        <v>30</v>
      </c>
      <c r="D266" s="49" t="s">
        <v>2395</v>
      </c>
      <c r="G266" s="49" t="s">
        <v>16635</v>
      </c>
      <c r="H266" s="49" t="s">
        <v>2396</v>
      </c>
      <c r="I266" s="49" t="s">
        <v>2397</v>
      </c>
      <c r="J266" s="49" t="s">
        <v>2398</v>
      </c>
      <c r="K266" s="49" t="s">
        <v>2399</v>
      </c>
      <c r="L266" s="49" t="s">
        <v>2400</v>
      </c>
      <c r="M266" s="49" t="s">
        <v>2401</v>
      </c>
      <c r="N266" s="49" t="s">
        <v>2402</v>
      </c>
      <c r="O266" s="49" t="s">
        <v>9122</v>
      </c>
      <c r="P266" s="49" t="s">
        <v>9123</v>
      </c>
      <c r="Q266" s="49" t="s">
        <v>9124</v>
      </c>
      <c r="R266" s="49" t="s">
        <v>9125</v>
      </c>
      <c r="S266" s="49" t="s">
        <v>9126</v>
      </c>
      <c r="T266" s="49" t="s">
        <v>9127</v>
      </c>
    </row>
    <row r="267" spans="1:21" x14ac:dyDescent="0.2">
      <c r="A267" s="49" t="s">
        <v>30</v>
      </c>
      <c r="D267" s="49" t="s">
        <v>14373</v>
      </c>
      <c r="G267" s="49" t="s">
        <v>16685</v>
      </c>
      <c r="H267" s="49" t="s">
        <v>31704</v>
      </c>
      <c r="I267" s="49" t="s">
        <v>31705</v>
      </c>
      <c r="J267" s="49" t="s">
        <v>31742</v>
      </c>
      <c r="K267" s="49" t="s">
        <v>31743</v>
      </c>
      <c r="L267" s="49" t="s">
        <v>14375</v>
      </c>
      <c r="M267" s="49" t="s">
        <v>14376</v>
      </c>
      <c r="N267" s="49" t="s">
        <v>14377</v>
      </c>
      <c r="O267" s="49" t="s">
        <v>33008</v>
      </c>
      <c r="P267" s="49" t="s">
        <v>33009</v>
      </c>
      <c r="Q267" s="49" t="s">
        <v>33010</v>
      </c>
      <c r="R267" s="49" t="s">
        <v>33011</v>
      </c>
      <c r="S267" s="49" t="s">
        <v>33012</v>
      </c>
      <c r="T267" s="49" t="s">
        <v>33013</v>
      </c>
    </row>
    <row r="268" spans="1:21" x14ac:dyDescent="0.2">
      <c r="A268" s="49" t="s">
        <v>30</v>
      </c>
    </row>
    <row r="269" spans="1:21" x14ac:dyDescent="0.2">
      <c r="A269" s="49" t="s">
        <v>30</v>
      </c>
      <c r="E269" s="49" t="s">
        <v>31</v>
      </c>
      <c r="F269" s="49" t="s">
        <v>31</v>
      </c>
      <c r="G269" s="49" t="s">
        <v>31</v>
      </c>
      <c r="J269" s="49" t="s">
        <v>31</v>
      </c>
      <c r="K269" s="49" t="s">
        <v>31</v>
      </c>
      <c r="L269" s="49" t="s">
        <v>31</v>
      </c>
      <c r="M269" s="49" t="s">
        <v>31</v>
      </c>
    </row>
    <row r="270" spans="1:21" x14ac:dyDescent="0.2">
      <c r="A270" s="49" t="s">
        <v>30</v>
      </c>
      <c r="D270" s="49" t="s">
        <v>32553</v>
      </c>
      <c r="E270" s="49" t="s">
        <v>6803</v>
      </c>
      <c r="F270" s="49" t="s">
        <v>32554</v>
      </c>
      <c r="H270" s="49" t="s">
        <v>32555</v>
      </c>
      <c r="O270" s="49" t="s">
        <v>32556</v>
      </c>
      <c r="P270" s="49" t="s">
        <v>32557</v>
      </c>
      <c r="Q270" s="49" t="s">
        <v>32558</v>
      </c>
      <c r="R270" s="49" t="s">
        <v>32559</v>
      </c>
      <c r="S270" s="49" t="s">
        <v>32560</v>
      </c>
      <c r="T270" s="49" t="s">
        <v>32561</v>
      </c>
      <c r="U270" s="49" t="s">
        <v>32562</v>
      </c>
    </row>
    <row r="271" spans="1:21" x14ac:dyDescent="0.2">
      <c r="A271" s="49" t="s">
        <v>30</v>
      </c>
      <c r="D271" s="49" t="s">
        <v>4791</v>
      </c>
      <c r="G271" s="49" t="s">
        <v>32563</v>
      </c>
      <c r="H271" s="49" t="s">
        <v>4792</v>
      </c>
      <c r="I271" s="49" t="s">
        <v>4793</v>
      </c>
      <c r="J271" s="49" t="s">
        <v>4794</v>
      </c>
      <c r="K271" s="49" t="s">
        <v>4795</v>
      </c>
      <c r="L271" s="49" t="s">
        <v>4796</v>
      </c>
      <c r="M271" s="49" t="s">
        <v>4797</v>
      </c>
      <c r="N271" s="49" t="s">
        <v>4798</v>
      </c>
      <c r="O271" s="49" t="s">
        <v>9134</v>
      </c>
      <c r="P271" s="49" t="s">
        <v>9135</v>
      </c>
      <c r="Q271" s="49" t="s">
        <v>9136</v>
      </c>
      <c r="R271" s="49" t="s">
        <v>9137</v>
      </c>
      <c r="S271" s="49" t="s">
        <v>9138</v>
      </c>
      <c r="T271" s="49" t="s">
        <v>9139</v>
      </c>
    </row>
    <row r="272" spans="1:21" x14ac:dyDescent="0.2">
      <c r="A272" s="49" t="s">
        <v>30</v>
      </c>
      <c r="D272" s="49" t="s">
        <v>1138</v>
      </c>
      <c r="G272" s="49" t="s">
        <v>16860</v>
      </c>
      <c r="H272" s="49" t="s">
        <v>1139</v>
      </c>
      <c r="I272" s="49" t="s">
        <v>1140</v>
      </c>
      <c r="J272" s="49" t="s">
        <v>1141</v>
      </c>
      <c r="K272" s="49" t="s">
        <v>1142</v>
      </c>
      <c r="L272" s="49" t="s">
        <v>1143</v>
      </c>
      <c r="M272" s="49" t="s">
        <v>1144</v>
      </c>
      <c r="N272" s="49" t="s">
        <v>1145</v>
      </c>
      <c r="O272" s="49" t="s">
        <v>9140</v>
      </c>
      <c r="P272" s="49" t="s">
        <v>9141</v>
      </c>
      <c r="Q272" s="49" t="s">
        <v>9142</v>
      </c>
      <c r="R272" s="49" t="s">
        <v>9143</v>
      </c>
      <c r="S272" s="49" t="s">
        <v>9144</v>
      </c>
      <c r="T272" s="49" t="s">
        <v>9145</v>
      </c>
    </row>
    <row r="273" spans="1:21" x14ac:dyDescent="0.2">
      <c r="A273" s="49" t="s">
        <v>30</v>
      </c>
      <c r="D273" s="49" t="s">
        <v>1146</v>
      </c>
      <c r="G273" s="49" t="s">
        <v>16870</v>
      </c>
      <c r="H273" s="49" t="s">
        <v>1147</v>
      </c>
      <c r="I273" s="49" t="s">
        <v>1148</v>
      </c>
      <c r="J273" s="49" t="s">
        <v>1149</v>
      </c>
      <c r="K273" s="49" t="s">
        <v>1150</v>
      </c>
      <c r="L273" s="49" t="s">
        <v>1151</v>
      </c>
      <c r="M273" s="49" t="s">
        <v>1152</v>
      </c>
      <c r="N273" s="49" t="s">
        <v>1153</v>
      </c>
      <c r="O273" s="49" t="s">
        <v>33002</v>
      </c>
      <c r="P273" s="49" t="s">
        <v>33003</v>
      </c>
      <c r="Q273" s="49" t="s">
        <v>33004</v>
      </c>
      <c r="R273" s="49" t="s">
        <v>33005</v>
      </c>
      <c r="S273" s="49" t="s">
        <v>33006</v>
      </c>
      <c r="T273" s="49" t="s">
        <v>33007</v>
      </c>
    </row>
    <row r="274" spans="1:21" x14ac:dyDescent="0.2">
      <c r="A274" s="49" t="s">
        <v>30</v>
      </c>
      <c r="D274" s="49" t="s">
        <v>10788</v>
      </c>
      <c r="G274" s="49" t="s">
        <v>16895</v>
      </c>
      <c r="H274" s="49" t="s">
        <v>12722</v>
      </c>
      <c r="I274" s="49" t="s">
        <v>12723</v>
      </c>
      <c r="J274" s="49" t="s">
        <v>12742</v>
      </c>
      <c r="K274" s="49" t="s">
        <v>12743</v>
      </c>
      <c r="L274" s="49" t="s">
        <v>10789</v>
      </c>
      <c r="M274" s="49" t="s">
        <v>10790</v>
      </c>
      <c r="N274" s="49" t="s">
        <v>10791</v>
      </c>
      <c r="O274" s="49" t="s">
        <v>13855</v>
      </c>
      <c r="P274" s="49" t="s">
        <v>13856</v>
      </c>
      <c r="Q274" s="49" t="s">
        <v>13857</v>
      </c>
      <c r="R274" s="49" t="s">
        <v>13858</v>
      </c>
      <c r="S274" s="49" t="s">
        <v>13859</v>
      </c>
      <c r="T274" s="49" t="s">
        <v>13860</v>
      </c>
    </row>
    <row r="275" spans="1:21" x14ac:dyDescent="0.2">
      <c r="A275" s="49" t="s">
        <v>30</v>
      </c>
    </row>
    <row r="276" spans="1:21" x14ac:dyDescent="0.2">
      <c r="A276" s="49" t="s">
        <v>30</v>
      </c>
      <c r="E276" s="49" t="s">
        <v>31</v>
      </c>
      <c r="F276" s="49" t="s">
        <v>31</v>
      </c>
      <c r="G276" s="49" t="s">
        <v>31</v>
      </c>
      <c r="J276" s="49" t="s">
        <v>31</v>
      </c>
      <c r="K276" s="49" t="s">
        <v>31</v>
      </c>
      <c r="L276" s="49" t="s">
        <v>31</v>
      </c>
      <c r="M276" s="49" t="s">
        <v>31</v>
      </c>
    </row>
    <row r="277" spans="1:21" x14ac:dyDescent="0.2">
      <c r="A277" s="49" t="s">
        <v>30</v>
      </c>
      <c r="D277" s="49" t="s">
        <v>13861</v>
      </c>
      <c r="E277" s="49" t="s">
        <v>6962</v>
      </c>
      <c r="F277" s="49" t="s">
        <v>13862</v>
      </c>
      <c r="H277" s="49" t="s">
        <v>13863</v>
      </c>
      <c r="O277" s="49" t="s">
        <v>32564</v>
      </c>
      <c r="P277" s="49" t="s">
        <v>32565</v>
      </c>
      <c r="Q277" s="49" t="s">
        <v>32566</v>
      </c>
      <c r="R277" s="49" t="s">
        <v>32567</v>
      </c>
      <c r="S277" s="49" t="s">
        <v>32568</v>
      </c>
      <c r="T277" s="49" t="s">
        <v>32569</v>
      </c>
      <c r="U277" s="49" t="s">
        <v>32570</v>
      </c>
    </row>
    <row r="278" spans="1:21" x14ac:dyDescent="0.2">
      <c r="A278" s="49" t="s">
        <v>30</v>
      </c>
      <c r="D278" s="49" t="s">
        <v>2414</v>
      </c>
      <c r="G278" s="49" t="s">
        <v>13864</v>
      </c>
      <c r="H278" s="49" t="s">
        <v>2415</v>
      </c>
      <c r="I278" s="49" t="s">
        <v>2416</v>
      </c>
      <c r="J278" s="49" t="s">
        <v>2417</v>
      </c>
      <c r="K278" s="49" t="s">
        <v>2418</v>
      </c>
      <c r="L278" s="49" t="s">
        <v>2419</v>
      </c>
      <c r="M278" s="49" t="s">
        <v>2420</v>
      </c>
      <c r="N278" s="49" t="s">
        <v>2421</v>
      </c>
      <c r="O278" s="49" t="s">
        <v>9666</v>
      </c>
      <c r="P278" s="49" t="s">
        <v>9667</v>
      </c>
      <c r="Q278" s="49" t="s">
        <v>9668</v>
      </c>
      <c r="R278" s="49" t="s">
        <v>9669</v>
      </c>
      <c r="S278" s="49" t="s">
        <v>9670</v>
      </c>
      <c r="T278" s="49" t="s">
        <v>9671</v>
      </c>
    </row>
    <row r="279" spans="1:21" x14ac:dyDescent="0.2">
      <c r="A279" s="49" t="s">
        <v>30</v>
      </c>
      <c r="D279" s="49" t="s">
        <v>2422</v>
      </c>
      <c r="G279" s="49" t="s">
        <v>16975</v>
      </c>
      <c r="H279" s="49" t="s">
        <v>2423</v>
      </c>
      <c r="I279" s="49" t="s">
        <v>2424</v>
      </c>
      <c r="J279" s="49" t="s">
        <v>2425</v>
      </c>
      <c r="K279" s="49" t="s">
        <v>2426</v>
      </c>
      <c r="L279" s="49" t="s">
        <v>2427</v>
      </c>
      <c r="M279" s="49" t="s">
        <v>2428</v>
      </c>
      <c r="N279" s="49" t="s">
        <v>2429</v>
      </c>
      <c r="O279" s="49" t="s">
        <v>9672</v>
      </c>
      <c r="P279" s="49" t="s">
        <v>9673</v>
      </c>
      <c r="Q279" s="49" t="s">
        <v>9674</v>
      </c>
      <c r="R279" s="49" t="s">
        <v>9675</v>
      </c>
      <c r="S279" s="49" t="s">
        <v>9676</v>
      </c>
      <c r="T279" s="49" t="s">
        <v>9677</v>
      </c>
    </row>
    <row r="280" spans="1:21" x14ac:dyDescent="0.2">
      <c r="A280" s="49" t="s">
        <v>30</v>
      </c>
    </row>
    <row r="281" spans="1:21" x14ac:dyDescent="0.2">
      <c r="A281" s="49" t="s">
        <v>30</v>
      </c>
      <c r="E281" s="49" t="s">
        <v>31</v>
      </c>
      <c r="F281" s="49" t="s">
        <v>31</v>
      </c>
      <c r="G281" s="49" t="s">
        <v>31</v>
      </c>
      <c r="J281" s="49" t="s">
        <v>31</v>
      </c>
      <c r="K281" s="49" t="s">
        <v>31</v>
      </c>
      <c r="L281" s="49" t="s">
        <v>31</v>
      </c>
      <c r="M281" s="49" t="s">
        <v>31</v>
      </c>
    </row>
    <row r="282" spans="1:21" x14ac:dyDescent="0.2">
      <c r="A282" s="49" t="s">
        <v>30</v>
      </c>
      <c r="D282" s="49" t="s">
        <v>9678</v>
      </c>
      <c r="E282" s="49" t="s">
        <v>7084</v>
      </c>
      <c r="F282" s="49" t="s">
        <v>9679</v>
      </c>
      <c r="H282" s="49" t="s">
        <v>9680</v>
      </c>
      <c r="O282" s="49" t="s">
        <v>32571</v>
      </c>
      <c r="P282" s="49" t="s">
        <v>32572</v>
      </c>
      <c r="Q282" s="49" t="s">
        <v>32573</v>
      </c>
      <c r="R282" s="49" t="s">
        <v>32574</v>
      </c>
      <c r="S282" s="49" t="s">
        <v>32575</v>
      </c>
      <c r="T282" s="49" t="s">
        <v>32576</v>
      </c>
      <c r="U282" s="49" t="s">
        <v>32577</v>
      </c>
    </row>
    <row r="283" spans="1:21" x14ac:dyDescent="0.2">
      <c r="A283" s="49" t="s">
        <v>30</v>
      </c>
      <c r="D283" s="49" t="s">
        <v>4822</v>
      </c>
      <c r="G283" s="49" t="s">
        <v>9681</v>
      </c>
      <c r="H283" s="49" t="s">
        <v>4823</v>
      </c>
      <c r="I283" s="49" t="s">
        <v>4824</v>
      </c>
      <c r="J283" s="49" t="s">
        <v>4825</v>
      </c>
      <c r="K283" s="49" t="s">
        <v>4826</v>
      </c>
      <c r="L283" s="49" t="s">
        <v>4827</v>
      </c>
      <c r="M283" s="49" t="s">
        <v>4828</v>
      </c>
      <c r="N283" s="49" t="s">
        <v>4829</v>
      </c>
      <c r="O283" s="49" t="s">
        <v>9682</v>
      </c>
      <c r="P283" s="49" t="s">
        <v>9683</v>
      </c>
      <c r="Q283" s="49" t="s">
        <v>9684</v>
      </c>
      <c r="R283" s="49" t="s">
        <v>9685</v>
      </c>
      <c r="S283" s="49" t="s">
        <v>9686</v>
      </c>
      <c r="T283" s="49" t="s">
        <v>9687</v>
      </c>
    </row>
    <row r="284" spans="1:21" x14ac:dyDescent="0.2">
      <c r="A284" s="49" t="s">
        <v>30</v>
      </c>
    </row>
    <row r="285" spans="1:21" x14ac:dyDescent="0.2">
      <c r="A285" s="49" t="s">
        <v>30</v>
      </c>
      <c r="E285" s="49" t="s">
        <v>31</v>
      </c>
      <c r="F285" s="49" t="s">
        <v>31</v>
      </c>
      <c r="G285" s="49" t="s">
        <v>31</v>
      </c>
      <c r="J285" s="49" t="s">
        <v>31</v>
      </c>
      <c r="K285" s="49" t="s">
        <v>31</v>
      </c>
      <c r="L285" s="49" t="s">
        <v>31</v>
      </c>
      <c r="M285" s="49" t="s">
        <v>31</v>
      </c>
    </row>
    <row r="286" spans="1:21" x14ac:dyDescent="0.2">
      <c r="A286" s="49" t="s">
        <v>30</v>
      </c>
      <c r="D286" s="49" t="s">
        <v>32578</v>
      </c>
      <c r="E286" s="49" t="s">
        <v>7180</v>
      </c>
      <c r="F286" s="49" t="s">
        <v>32579</v>
      </c>
      <c r="H286" s="49" t="s">
        <v>32580</v>
      </c>
      <c r="O286" s="49" t="s">
        <v>32581</v>
      </c>
      <c r="P286" s="49" t="s">
        <v>32582</v>
      </c>
      <c r="Q286" s="49" t="s">
        <v>32583</v>
      </c>
      <c r="R286" s="49" t="s">
        <v>32584</v>
      </c>
      <c r="S286" s="49" t="s">
        <v>32585</v>
      </c>
      <c r="T286" s="49" t="s">
        <v>32586</v>
      </c>
      <c r="U286" s="49" t="s">
        <v>32587</v>
      </c>
    </row>
    <row r="287" spans="1:21" x14ac:dyDescent="0.2">
      <c r="A287" s="49" t="s">
        <v>30</v>
      </c>
      <c r="D287" s="49" t="s">
        <v>1178</v>
      </c>
      <c r="G287" s="49" t="s">
        <v>32588</v>
      </c>
      <c r="H287" s="49" t="s">
        <v>1179</v>
      </c>
      <c r="I287" s="49" t="s">
        <v>1180</v>
      </c>
      <c r="J287" s="49" t="s">
        <v>1181</v>
      </c>
      <c r="K287" s="49" t="s">
        <v>1182</v>
      </c>
      <c r="L287" s="49" t="s">
        <v>1183</v>
      </c>
      <c r="M287" s="49" t="s">
        <v>1184</v>
      </c>
      <c r="N287" s="49" t="s">
        <v>1185</v>
      </c>
      <c r="O287" s="49" t="s">
        <v>9688</v>
      </c>
      <c r="P287" s="49" t="s">
        <v>9689</v>
      </c>
      <c r="Q287" s="49" t="s">
        <v>9690</v>
      </c>
      <c r="R287" s="49" t="s">
        <v>9691</v>
      </c>
      <c r="S287" s="49" t="s">
        <v>9692</v>
      </c>
      <c r="T287" s="49" t="s">
        <v>9693</v>
      </c>
    </row>
    <row r="288" spans="1:21" x14ac:dyDescent="0.2">
      <c r="A288" s="49" t="s">
        <v>30</v>
      </c>
      <c r="D288" s="49" t="s">
        <v>1186</v>
      </c>
      <c r="G288" s="49" t="s">
        <v>17325</v>
      </c>
      <c r="H288" s="49" t="s">
        <v>1187</v>
      </c>
      <c r="I288" s="49" t="s">
        <v>1188</v>
      </c>
      <c r="J288" s="49" t="s">
        <v>1189</v>
      </c>
      <c r="K288" s="49" t="s">
        <v>1190</v>
      </c>
      <c r="L288" s="49" t="s">
        <v>1191</v>
      </c>
      <c r="M288" s="49" t="s">
        <v>1192</v>
      </c>
      <c r="N288" s="49" t="s">
        <v>1193</v>
      </c>
      <c r="O288" s="49" t="s">
        <v>9198</v>
      </c>
      <c r="P288" s="49" t="s">
        <v>9199</v>
      </c>
      <c r="Q288" s="49" t="s">
        <v>9200</v>
      </c>
      <c r="R288" s="49" t="s">
        <v>9201</v>
      </c>
      <c r="S288" s="49" t="s">
        <v>9202</v>
      </c>
      <c r="T288" s="49" t="s">
        <v>9203</v>
      </c>
    </row>
    <row r="289" spans="1:21" x14ac:dyDescent="0.2">
      <c r="A289" s="49" t="s">
        <v>30</v>
      </c>
    </row>
    <row r="290" spans="1:21" x14ac:dyDescent="0.2">
      <c r="A290" s="49" t="s">
        <v>30</v>
      </c>
      <c r="E290" s="49" t="s">
        <v>31</v>
      </c>
      <c r="F290" s="49" t="s">
        <v>31</v>
      </c>
      <c r="G290" s="49" t="s">
        <v>31</v>
      </c>
      <c r="J290" s="49" t="s">
        <v>31</v>
      </c>
      <c r="K290" s="49" t="s">
        <v>31</v>
      </c>
      <c r="L290" s="49" t="s">
        <v>31</v>
      </c>
      <c r="M290" s="49" t="s">
        <v>31</v>
      </c>
    </row>
    <row r="291" spans="1:21" x14ac:dyDescent="0.2">
      <c r="A291" s="49" t="s">
        <v>30</v>
      </c>
      <c r="D291" s="49" t="s">
        <v>9204</v>
      </c>
      <c r="E291" s="49" t="s">
        <v>7328</v>
      </c>
      <c r="F291" s="49" t="s">
        <v>9205</v>
      </c>
      <c r="H291" s="49" t="s">
        <v>9206</v>
      </c>
      <c r="O291" s="49" t="s">
        <v>13462</v>
      </c>
      <c r="P291" s="49" t="s">
        <v>13463</v>
      </c>
      <c r="Q291" s="49" t="s">
        <v>13464</v>
      </c>
      <c r="R291" s="49" t="s">
        <v>13465</v>
      </c>
      <c r="S291" s="49" t="s">
        <v>13466</v>
      </c>
      <c r="T291" s="49" t="s">
        <v>13467</v>
      </c>
      <c r="U291" s="49" t="s">
        <v>13468</v>
      </c>
    </row>
    <row r="292" spans="1:21" x14ac:dyDescent="0.2">
      <c r="A292" s="49" t="s">
        <v>30</v>
      </c>
      <c r="D292" s="49" t="s">
        <v>3817</v>
      </c>
      <c r="G292" s="49" t="s">
        <v>9207</v>
      </c>
      <c r="H292" s="49" t="s">
        <v>3818</v>
      </c>
      <c r="I292" s="49" t="s">
        <v>3819</v>
      </c>
      <c r="J292" s="49" t="s">
        <v>3820</v>
      </c>
      <c r="K292" s="49" t="s">
        <v>3821</v>
      </c>
      <c r="L292" s="49" t="s">
        <v>3822</v>
      </c>
      <c r="M292" s="49" t="s">
        <v>3823</v>
      </c>
      <c r="N292" s="49" t="s">
        <v>3824</v>
      </c>
      <c r="O292" s="49" t="s">
        <v>9208</v>
      </c>
      <c r="P292" s="49" t="s">
        <v>9209</v>
      </c>
      <c r="Q292" s="49" t="s">
        <v>9210</v>
      </c>
      <c r="R292" s="49" t="s">
        <v>9211</v>
      </c>
      <c r="S292" s="49" t="s">
        <v>9212</v>
      </c>
      <c r="T292" s="49" t="s">
        <v>9213</v>
      </c>
    </row>
    <row r="293" spans="1:21" x14ac:dyDescent="0.2">
      <c r="A293" s="49" t="s">
        <v>30</v>
      </c>
      <c r="D293" s="49" t="s">
        <v>1202</v>
      </c>
      <c r="G293" s="49" t="s">
        <v>17465</v>
      </c>
      <c r="H293" s="49" t="s">
        <v>1203</v>
      </c>
      <c r="I293" s="49" t="s">
        <v>1204</v>
      </c>
      <c r="J293" s="49" t="s">
        <v>1205</v>
      </c>
      <c r="K293" s="49" t="s">
        <v>1206</v>
      </c>
      <c r="L293" s="49" t="s">
        <v>1207</v>
      </c>
      <c r="M293" s="49" t="s">
        <v>1208</v>
      </c>
      <c r="N293" s="49" t="s">
        <v>1209</v>
      </c>
      <c r="O293" s="49" t="s">
        <v>9711</v>
      </c>
      <c r="P293" s="49" t="s">
        <v>9712</v>
      </c>
      <c r="Q293" s="49" t="s">
        <v>9713</v>
      </c>
      <c r="R293" s="49" t="s">
        <v>9714</v>
      </c>
      <c r="S293" s="49" t="s">
        <v>9715</v>
      </c>
      <c r="T293" s="49" t="s">
        <v>9716</v>
      </c>
    </row>
    <row r="294" spans="1:21" x14ac:dyDescent="0.2">
      <c r="A294" s="49" t="s">
        <v>30</v>
      </c>
    </row>
    <row r="295" spans="1:21" x14ac:dyDescent="0.2">
      <c r="A295" s="49" t="s">
        <v>30</v>
      </c>
      <c r="E295" s="49" t="s">
        <v>31</v>
      </c>
      <c r="F295" s="49" t="s">
        <v>31</v>
      </c>
      <c r="G295" s="49" t="s">
        <v>31</v>
      </c>
      <c r="J295" s="49" t="s">
        <v>31</v>
      </c>
      <c r="K295" s="49" t="s">
        <v>31</v>
      </c>
      <c r="L295" s="49" t="s">
        <v>31</v>
      </c>
      <c r="M295" s="49" t="s">
        <v>31</v>
      </c>
    </row>
    <row r="296" spans="1:21" x14ac:dyDescent="0.2">
      <c r="A296" s="49" t="s">
        <v>30</v>
      </c>
      <c r="D296" s="49" t="s">
        <v>4840</v>
      </c>
      <c r="E296" s="49" t="s">
        <v>7357</v>
      </c>
      <c r="F296" s="49" t="s">
        <v>4842</v>
      </c>
      <c r="H296" s="49" t="s">
        <v>4843</v>
      </c>
      <c r="O296" s="49" t="s">
        <v>10427</v>
      </c>
      <c r="P296" s="49" t="s">
        <v>10428</v>
      </c>
      <c r="Q296" s="49" t="s">
        <v>10429</v>
      </c>
      <c r="R296" s="49" t="s">
        <v>10430</v>
      </c>
      <c r="S296" s="49" t="s">
        <v>10431</v>
      </c>
      <c r="T296" s="49" t="s">
        <v>10432</v>
      </c>
      <c r="U296" s="49" t="s">
        <v>10433</v>
      </c>
    </row>
    <row r="297" spans="1:21" x14ac:dyDescent="0.2">
      <c r="A297" s="49" t="s">
        <v>30</v>
      </c>
      <c r="D297" s="49" t="s">
        <v>2430</v>
      </c>
      <c r="G297" s="49" t="s">
        <v>9717</v>
      </c>
      <c r="H297" s="49" t="s">
        <v>2431</v>
      </c>
      <c r="I297" s="49" t="s">
        <v>2432</v>
      </c>
      <c r="J297" s="49" t="s">
        <v>2433</v>
      </c>
      <c r="K297" s="49" t="s">
        <v>2434</v>
      </c>
      <c r="L297" s="49" t="s">
        <v>2435</v>
      </c>
      <c r="M297" s="49" t="s">
        <v>2436</v>
      </c>
      <c r="N297" s="49" t="s">
        <v>2437</v>
      </c>
      <c r="O297" s="49" t="s">
        <v>9718</v>
      </c>
      <c r="P297" s="49" t="s">
        <v>9719</v>
      </c>
      <c r="Q297" s="49" t="s">
        <v>9720</v>
      </c>
      <c r="R297" s="49" t="s">
        <v>9721</v>
      </c>
      <c r="S297" s="49" t="s">
        <v>9722</v>
      </c>
      <c r="T297" s="49" t="s">
        <v>9723</v>
      </c>
    </row>
    <row r="298" spans="1:21" x14ac:dyDescent="0.2">
      <c r="A298" s="49" t="s">
        <v>30</v>
      </c>
    </row>
    <row r="299" spans="1:21" x14ac:dyDescent="0.2">
      <c r="A299" s="49" t="s">
        <v>30</v>
      </c>
      <c r="E299" s="49" t="s">
        <v>31</v>
      </c>
      <c r="F299" s="49" t="s">
        <v>31</v>
      </c>
      <c r="G299" s="49" t="s">
        <v>31</v>
      </c>
      <c r="J299" s="49" t="s">
        <v>31</v>
      </c>
      <c r="K299" s="49" t="s">
        <v>31</v>
      </c>
      <c r="L299" s="49" t="s">
        <v>31</v>
      </c>
      <c r="M299" s="49" t="s">
        <v>31</v>
      </c>
    </row>
    <row r="300" spans="1:21" x14ac:dyDescent="0.2">
      <c r="A300" s="49" t="s">
        <v>30</v>
      </c>
      <c r="D300" s="49" t="s">
        <v>10434</v>
      </c>
      <c r="E300" s="49" t="s">
        <v>7358</v>
      </c>
      <c r="F300" s="49" t="s">
        <v>10435</v>
      </c>
      <c r="H300" s="49" t="s">
        <v>10436</v>
      </c>
      <c r="O300" s="49" t="s">
        <v>32589</v>
      </c>
      <c r="P300" s="49" t="s">
        <v>32590</v>
      </c>
      <c r="Q300" s="49" t="s">
        <v>32591</v>
      </c>
      <c r="R300" s="49" t="s">
        <v>32592</v>
      </c>
      <c r="S300" s="49" t="s">
        <v>32593</v>
      </c>
      <c r="T300" s="49" t="s">
        <v>32594</v>
      </c>
      <c r="U300" s="49" t="s">
        <v>32595</v>
      </c>
    </row>
    <row r="301" spans="1:21" x14ac:dyDescent="0.2">
      <c r="A301" s="49" t="s">
        <v>30</v>
      </c>
      <c r="D301" s="49" t="s">
        <v>2438</v>
      </c>
      <c r="G301" s="49" t="s">
        <v>10437</v>
      </c>
      <c r="H301" s="49" t="s">
        <v>2439</v>
      </c>
      <c r="I301" s="49" t="s">
        <v>2440</v>
      </c>
      <c r="J301" s="49" t="s">
        <v>2441</v>
      </c>
      <c r="K301" s="49" t="s">
        <v>2442</v>
      </c>
      <c r="L301" s="49" t="s">
        <v>2443</v>
      </c>
      <c r="M301" s="49" t="s">
        <v>2444</v>
      </c>
      <c r="N301" s="49" t="s">
        <v>2445</v>
      </c>
      <c r="O301" s="49" t="s">
        <v>10438</v>
      </c>
      <c r="P301" s="49" t="s">
        <v>10439</v>
      </c>
      <c r="Q301" s="49" t="s">
        <v>10440</v>
      </c>
      <c r="R301" s="49" t="s">
        <v>10441</v>
      </c>
      <c r="S301" s="49" t="s">
        <v>10442</v>
      </c>
      <c r="T301" s="49" t="s">
        <v>10443</v>
      </c>
    </row>
    <row r="302" spans="1:21" x14ac:dyDescent="0.2">
      <c r="A302" s="49" t="s">
        <v>30</v>
      </c>
      <c r="D302" s="49" t="s">
        <v>2137</v>
      </c>
      <c r="G302" s="49" t="s">
        <v>17580</v>
      </c>
      <c r="H302" s="49" t="s">
        <v>2138</v>
      </c>
      <c r="I302" s="49" t="s">
        <v>2139</v>
      </c>
      <c r="J302" s="49" t="s">
        <v>2140</v>
      </c>
      <c r="K302" s="49" t="s">
        <v>2141</v>
      </c>
      <c r="L302" s="49" t="s">
        <v>2142</v>
      </c>
      <c r="M302" s="49" t="s">
        <v>2143</v>
      </c>
      <c r="N302" s="49" t="s">
        <v>2144</v>
      </c>
      <c r="O302" s="49" t="s">
        <v>10444</v>
      </c>
      <c r="P302" s="49" t="s">
        <v>10445</v>
      </c>
      <c r="Q302" s="49" t="s">
        <v>10446</v>
      </c>
      <c r="R302" s="49" t="s">
        <v>10447</v>
      </c>
      <c r="S302" s="49" t="s">
        <v>10448</v>
      </c>
      <c r="T302" s="49" t="s">
        <v>10449</v>
      </c>
    </row>
    <row r="303" spans="1:21" x14ac:dyDescent="0.2">
      <c r="A303" s="49" t="s">
        <v>30</v>
      </c>
      <c r="D303" s="49" t="s">
        <v>1226</v>
      </c>
      <c r="G303" s="49" t="s">
        <v>17590</v>
      </c>
      <c r="H303" s="49" t="s">
        <v>1227</v>
      </c>
      <c r="I303" s="49" t="s">
        <v>1228</v>
      </c>
      <c r="J303" s="49" t="s">
        <v>1229</v>
      </c>
      <c r="K303" s="49" t="s">
        <v>1230</v>
      </c>
      <c r="L303" s="49" t="s">
        <v>1231</v>
      </c>
      <c r="M303" s="49" t="s">
        <v>1232</v>
      </c>
      <c r="N303" s="49" t="s">
        <v>1233</v>
      </c>
      <c r="O303" s="49" t="s">
        <v>32996</v>
      </c>
      <c r="P303" s="49" t="s">
        <v>32997</v>
      </c>
      <c r="Q303" s="49" t="s">
        <v>32998</v>
      </c>
      <c r="R303" s="49" t="s">
        <v>32999</v>
      </c>
      <c r="S303" s="49" t="s">
        <v>33000</v>
      </c>
      <c r="T303" s="49" t="s">
        <v>33001</v>
      </c>
    </row>
    <row r="304" spans="1:21" x14ac:dyDescent="0.2">
      <c r="A304" s="49" t="s">
        <v>30</v>
      </c>
    </row>
    <row r="305" spans="1:21" x14ac:dyDescent="0.2">
      <c r="A305" s="49" t="s">
        <v>30</v>
      </c>
      <c r="E305" s="49" t="s">
        <v>31</v>
      </c>
      <c r="F305" s="49" t="s">
        <v>31</v>
      </c>
      <c r="G305" s="49" t="s">
        <v>31</v>
      </c>
      <c r="J305" s="49" t="s">
        <v>31</v>
      </c>
      <c r="K305" s="49" t="s">
        <v>31</v>
      </c>
      <c r="L305" s="49" t="s">
        <v>31</v>
      </c>
      <c r="M305" s="49" t="s">
        <v>31</v>
      </c>
    </row>
    <row r="306" spans="1:21" x14ac:dyDescent="0.2">
      <c r="A306" s="49" t="s">
        <v>30</v>
      </c>
      <c r="D306" s="49" t="s">
        <v>32596</v>
      </c>
      <c r="E306" s="49" t="s">
        <v>7373</v>
      </c>
      <c r="F306" s="49" t="s">
        <v>32597</v>
      </c>
      <c r="H306" s="49" t="s">
        <v>32598</v>
      </c>
      <c r="O306" s="49" t="s">
        <v>32599</v>
      </c>
      <c r="P306" s="49" t="s">
        <v>32600</v>
      </c>
      <c r="Q306" s="49" t="s">
        <v>32601</v>
      </c>
      <c r="R306" s="49" t="s">
        <v>32602</v>
      </c>
      <c r="S306" s="49" t="s">
        <v>32603</v>
      </c>
      <c r="T306" s="49" t="s">
        <v>32604</v>
      </c>
      <c r="U306" s="49" t="s">
        <v>32605</v>
      </c>
    </row>
    <row r="307" spans="1:21" x14ac:dyDescent="0.2">
      <c r="A307" s="49" t="s">
        <v>30</v>
      </c>
      <c r="D307" s="49" t="s">
        <v>2755</v>
      </c>
      <c r="G307" s="49" t="s">
        <v>32606</v>
      </c>
      <c r="H307" s="49" t="s">
        <v>2756</v>
      </c>
      <c r="I307" s="49" t="s">
        <v>2757</v>
      </c>
      <c r="J307" s="49" t="s">
        <v>2758</v>
      </c>
      <c r="K307" s="49" t="s">
        <v>2759</v>
      </c>
      <c r="L307" s="49" t="s">
        <v>2760</v>
      </c>
      <c r="M307" s="49" t="s">
        <v>2761</v>
      </c>
      <c r="N307" s="49" t="s">
        <v>2762</v>
      </c>
      <c r="O307" s="49" t="s">
        <v>32607</v>
      </c>
      <c r="P307" s="49" t="s">
        <v>32608</v>
      </c>
      <c r="Q307" s="49" t="s">
        <v>32609</v>
      </c>
      <c r="R307" s="49" t="s">
        <v>32610</v>
      </c>
      <c r="S307" s="49" t="s">
        <v>32611</v>
      </c>
      <c r="T307" s="49" t="s">
        <v>32612</v>
      </c>
    </row>
    <row r="308" spans="1:21" x14ac:dyDescent="0.2">
      <c r="A308" s="49" t="s">
        <v>30</v>
      </c>
      <c r="D308" s="49" t="s">
        <v>10816</v>
      </c>
      <c r="G308" s="49" t="s">
        <v>17655</v>
      </c>
      <c r="H308" s="49" t="s">
        <v>12706</v>
      </c>
      <c r="I308" s="49" t="s">
        <v>12707</v>
      </c>
      <c r="J308" s="49" t="s">
        <v>12720</v>
      </c>
      <c r="K308" s="49" t="s">
        <v>12721</v>
      </c>
      <c r="L308" s="49" t="s">
        <v>10817</v>
      </c>
      <c r="M308" s="49" t="s">
        <v>10818</v>
      </c>
      <c r="N308" s="49" t="s">
        <v>10819</v>
      </c>
      <c r="O308" s="49" t="s">
        <v>32613</v>
      </c>
      <c r="P308" s="49" t="s">
        <v>32614</v>
      </c>
      <c r="Q308" s="49" t="s">
        <v>32615</v>
      </c>
      <c r="R308" s="49" t="s">
        <v>32616</v>
      </c>
      <c r="S308" s="49" t="s">
        <v>32617</v>
      </c>
      <c r="T308" s="49" t="s">
        <v>32618</v>
      </c>
    </row>
    <row r="309" spans="1:21" x14ac:dyDescent="0.2">
      <c r="A309" s="49" t="s">
        <v>30</v>
      </c>
    </row>
    <row r="310" spans="1:21" x14ac:dyDescent="0.2">
      <c r="A310" s="49" t="s">
        <v>30</v>
      </c>
      <c r="E310" s="49" t="s">
        <v>31</v>
      </c>
      <c r="F310" s="49" t="s">
        <v>31</v>
      </c>
      <c r="G310" s="49" t="s">
        <v>31</v>
      </c>
      <c r="J310" s="49" t="s">
        <v>31</v>
      </c>
      <c r="K310" s="49" t="s">
        <v>31</v>
      </c>
      <c r="L310" s="49" t="s">
        <v>31</v>
      </c>
      <c r="M310" s="49" t="s">
        <v>31</v>
      </c>
    </row>
    <row r="311" spans="1:21" x14ac:dyDescent="0.2">
      <c r="A311" s="49" t="s">
        <v>30</v>
      </c>
      <c r="D311" s="49" t="s">
        <v>10820</v>
      </c>
      <c r="E311" s="49" t="s">
        <v>7447</v>
      </c>
      <c r="F311" s="49" t="s">
        <v>10821</v>
      </c>
      <c r="H311" s="49" t="s">
        <v>10822</v>
      </c>
      <c r="O311" s="49" t="s">
        <v>32619</v>
      </c>
      <c r="P311" s="49" t="s">
        <v>32620</v>
      </c>
      <c r="Q311" s="49" t="s">
        <v>32621</v>
      </c>
      <c r="R311" s="49" t="s">
        <v>32622</v>
      </c>
      <c r="S311" s="49" t="s">
        <v>32623</v>
      </c>
      <c r="T311" s="49" t="s">
        <v>32624</v>
      </c>
      <c r="U311" s="49" t="s">
        <v>32625</v>
      </c>
    </row>
    <row r="312" spans="1:21" x14ac:dyDescent="0.2">
      <c r="A312" s="49" t="s">
        <v>30</v>
      </c>
      <c r="D312" s="49" t="s">
        <v>4845</v>
      </c>
      <c r="G312" s="49" t="s">
        <v>32626</v>
      </c>
      <c r="H312" s="49" t="s">
        <v>4846</v>
      </c>
      <c r="I312" s="49" t="s">
        <v>4847</v>
      </c>
      <c r="J312" s="49" t="s">
        <v>4848</v>
      </c>
      <c r="K312" s="49" t="s">
        <v>4849</v>
      </c>
      <c r="L312" s="49" t="s">
        <v>4850</v>
      </c>
      <c r="M312" s="49" t="s">
        <v>4851</v>
      </c>
      <c r="N312" s="49" t="s">
        <v>4852</v>
      </c>
      <c r="O312" s="49" t="s">
        <v>32627</v>
      </c>
      <c r="P312" s="49" t="s">
        <v>32628</v>
      </c>
      <c r="Q312" s="49" t="s">
        <v>32629</v>
      </c>
      <c r="R312" s="49" t="s">
        <v>32630</v>
      </c>
      <c r="S312" s="49" t="s">
        <v>32631</v>
      </c>
      <c r="T312" s="49" t="s">
        <v>32632</v>
      </c>
    </row>
    <row r="313" spans="1:21" x14ac:dyDescent="0.2">
      <c r="A313" s="49" t="s">
        <v>30</v>
      </c>
    </row>
    <row r="314" spans="1:21" x14ac:dyDescent="0.2">
      <c r="A314" s="49" t="s">
        <v>30</v>
      </c>
      <c r="E314" s="49" t="s">
        <v>31</v>
      </c>
      <c r="F314" s="49" t="s">
        <v>31</v>
      </c>
      <c r="G314" s="49" t="s">
        <v>31</v>
      </c>
      <c r="J314" s="49" t="s">
        <v>31</v>
      </c>
      <c r="K314" s="49" t="s">
        <v>31</v>
      </c>
      <c r="L314" s="49" t="s">
        <v>31</v>
      </c>
      <c r="M314" s="49" t="s">
        <v>31</v>
      </c>
    </row>
    <row r="315" spans="1:21" x14ac:dyDescent="0.2">
      <c r="A315" s="49" t="s">
        <v>30</v>
      </c>
      <c r="D315" s="49" t="s">
        <v>14430</v>
      </c>
      <c r="E315" s="49" t="s">
        <v>7545</v>
      </c>
      <c r="F315" s="49" t="s">
        <v>14431</v>
      </c>
      <c r="H315" s="49" t="s">
        <v>14432</v>
      </c>
      <c r="O315" s="49" t="s">
        <v>32633</v>
      </c>
      <c r="P315" s="49" t="s">
        <v>32634</v>
      </c>
      <c r="Q315" s="49" t="s">
        <v>32635</v>
      </c>
      <c r="R315" s="49" t="s">
        <v>32636</v>
      </c>
      <c r="S315" s="49" t="s">
        <v>32637</v>
      </c>
      <c r="T315" s="49" t="s">
        <v>32638</v>
      </c>
      <c r="U315" s="49" t="s">
        <v>32639</v>
      </c>
    </row>
    <row r="316" spans="1:21" x14ac:dyDescent="0.2">
      <c r="A316" s="49" t="s">
        <v>30</v>
      </c>
      <c r="D316" s="49" t="s">
        <v>1266</v>
      </c>
      <c r="G316" s="49" t="s">
        <v>32640</v>
      </c>
      <c r="H316" s="49" t="s">
        <v>1267</v>
      </c>
      <c r="I316" s="49" t="s">
        <v>1268</v>
      </c>
      <c r="J316" s="49" t="s">
        <v>1269</v>
      </c>
      <c r="K316" s="49" t="s">
        <v>1270</v>
      </c>
      <c r="L316" s="49" t="s">
        <v>1271</v>
      </c>
      <c r="M316" s="49" t="s">
        <v>1272</v>
      </c>
      <c r="N316" s="49" t="s">
        <v>1273</v>
      </c>
      <c r="O316" s="49" t="s">
        <v>9742</v>
      </c>
      <c r="P316" s="49" t="s">
        <v>9743</v>
      </c>
      <c r="Q316" s="49" t="s">
        <v>9744</v>
      </c>
      <c r="R316" s="49" t="s">
        <v>9745</v>
      </c>
      <c r="S316" s="49" t="s">
        <v>9746</v>
      </c>
      <c r="T316" s="49" t="s">
        <v>9747</v>
      </c>
    </row>
    <row r="317" spans="1:21" x14ac:dyDescent="0.2">
      <c r="A317" s="49" t="s">
        <v>30</v>
      </c>
    </row>
    <row r="318" spans="1:21" x14ac:dyDescent="0.2">
      <c r="A318" s="49" t="s">
        <v>30</v>
      </c>
      <c r="E318" s="49" t="s">
        <v>31</v>
      </c>
      <c r="F318" s="49" t="s">
        <v>31</v>
      </c>
      <c r="G318" s="49" t="s">
        <v>31</v>
      </c>
      <c r="J318" s="49" t="s">
        <v>31</v>
      </c>
      <c r="K318" s="49" t="s">
        <v>31</v>
      </c>
      <c r="L318" s="49" t="s">
        <v>31</v>
      </c>
      <c r="M318" s="49" t="s">
        <v>31</v>
      </c>
    </row>
    <row r="319" spans="1:21" x14ac:dyDescent="0.2">
      <c r="A319" s="49" t="s">
        <v>30</v>
      </c>
      <c r="D319" s="49" t="s">
        <v>9748</v>
      </c>
      <c r="E319" s="49" t="s">
        <v>17950</v>
      </c>
      <c r="F319" s="49" t="s">
        <v>9749</v>
      </c>
      <c r="H319" s="49" t="s">
        <v>9750</v>
      </c>
      <c r="O319" s="49" t="s">
        <v>32641</v>
      </c>
      <c r="P319" s="49" t="s">
        <v>32642</v>
      </c>
      <c r="Q319" s="49" t="s">
        <v>32643</v>
      </c>
      <c r="R319" s="49" t="s">
        <v>32644</v>
      </c>
      <c r="S319" s="49" t="s">
        <v>32645</v>
      </c>
      <c r="T319" s="49" t="s">
        <v>32646</v>
      </c>
      <c r="U319" s="49" t="s">
        <v>32647</v>
      </c>
    </row>
    <row r="320" spans="1:21" x14ac:dyDescent="0.2">
      <c r="A320" s="49" t="s">
        <v>30</v>
      </c>
      <c r="D320" s="49" t="s">
        <v>2446</v>
      </c>
      <c r="G320" s="49" t="s">
        <v>9751</v>
      </c>
      <c r="H320" s="49" t="s">
        <v>2447</v>
      </c>
      <c r="I320" s="49" t="s">
        <v>2448</v>
      </c>
      <c r="J320" s="49" t="s">
        <v>2449</v>
      </c>
      <c r="K320" s="49" t="s">
        <v>2450</v>
      </c>
      <c r="L320" s="49" t="s">
        <v>2451</v>
      </c>
      <c r="M320" s="49" t="s">
        <v>2452</v>
      </c>
      <c r="N320" s="49" t="s">
        <v>2453</v>
      </c>
      <c r="O320" s="49" t="s">
        <v>9752</v>
      </c>
      <c r="P320" s="49" t="s">
        <v>9753</v>
      </c>
      <c r="Q320" s="49" t="s">
        <v>9754</v>
      </c>
      <c r="R320" s="49" t="s">
        <v>9755</v>
      </c>
      <c r="S320" s="49" t="s">
        <v>9756</v>
      </c>
      <c r="T320" s="49" t="s">
        <v>9757</v>
      </c>
    </row>
    <row r="321" spans="1:21" x14ac:dyDescent="0.2">
      <c r="A321" s="49" t="s">
        <v>30</v>
      </c>
    </row>
    <row r="322" spans="1:21" x14ac:dyDescent="0.2">
      <c r="A322" s="49" t="s">
        <v>30</v>
      </c>
      <c r="E322" s="49" t="s">
        <v>31</v>
      </c>
      <c r="F322" s="49" t="s">
        <v>31</v>
      </c>
      <c r="G322" s="49" t="s">
        <v>31</v>
      </c>
      <c r="J322" s="49" t="s">
        <v>31</v>
      </c>
      <c r="K322" s="49" t="s">
        <v>31</v>
      </c>
      <c r="L322" s="49" t="s">
        <v>31</v>
      </c>
      <c r="M322" s="49" t="s">
        <v>31</v>
      </c>
    </row>
    <row r="323" spans="1:21" x14ac:dyDescent="0.2">
      <c r="A323" s="49" t="s">
        <v>30</v>
      </c>
      <c r="D323" s="49" t="s">
        <v>13879</v>
      </c>
      <c r="E323" s="49" t="s">
        <v>7617</v>
      </c>
      <c r="F323" s="49" t="s">
        <v>13880</v>
      </c>
      <c r="H323" s="49" t="s">
        <v>13881</v>
      </c>
      <c r="O323" s="49" t="s">
        <v>13882</v>
      </c>
      <c r="P323" s="49" t="s">
        <v>13883</v>
      </c>
      <c r="Q323" s="49" t="s">
        <v>13884</v>
      </c>
      <c r="R323" s="49" t="s">
        <v>13885</v>
      </c>
      <c r="S323" s="49" t="s">
        <v>13886</v>
      </c>
      <c r="T323" s="49" t="s">
        <v>13887</v>
      </c>
      <c r="U323" s="49" t="s">
        <v>13888</v>
      </c>
    </row>
    <row r="324" spans="1:21" x14ac:dyDescent="0.2">
      <c r="A324" s="49" t="s">
        <v>30</v>
      </c>
      <c r="D324" s="49" t="s">
        <v>2454</v>
      </c>
      <c r="G324" s="49" t="s">
        <v>13889</v>
      </c>
      <c r="H324" s="49" t="s">
        <v>2455</v>
      </c>
      <c r="I324" s="49" t="s">
        <v>2456</v>
      </c>
      <c r="J324" s="49" t="s">
        <v>2457</v>
      </c>
      <c r="K324" s="49" t="s">
        <v>2458</v>
      </c>
      <c r="L324" s="49" t="s">
        <v>2459</v>
      </c>
      <c r="M324" s="49" t="s">
        <v>2460</v>
      </c>
      <c r="N324" s="49" t="s">
        <v>2461</v>
      </c>
      <c r="O324" s="49" t="s">
        <v>10202</v>
      </c>
      <c r="P324" s="49" t="s">
        <v>10203</v>
      </c>
      <c r="Q324" s="49" t="s">
        <v>10204</v>
      </c>
      <c r="R324" s="49" t="s">
        <v>10205</v>
      </c>
      <c r="S324" s="49" t="s">
        <v>10206</v>
      </c>
      <c r="T324" s="49" t="s">
        <v>10207</v>
      </c>
    </row>
    <row r="325" spans="1:21" x14ac:dyDescent="0.2">
      <c r="A325" s="49" t="s">
        <v>30</v>
      </c>
    </row>
    <row r="326" spans="1:21" x14ac:dyDescent="0.2">
      <c r="A326" s="49" t="s">
        <v>30</v>
      </c>
      <c r="E326" s="49" t="s">
        <v>31</v>
      </c>
      <c r="F326" s="49" t="s">
        <v>31</v>
      </c>
      <c r="G326" s="49" t="s">
        <v>31</v>
      </c>
      <c r="J326" s="49" t="s">
        <v>31</v>
      </c>
      <c r="K326" s="49" t="s">
        <v>31</v>
      </c>
      <c r="L326" s="49" t="s">
        <v>31</v>
      </c>
      <c r="M326" s="49" t="s">
        <v>31</v>
      </c>
    </row>
    <row r="327" spans="1:21" x14ac:dyDescent="0.2">
      <c r="A327" s="49" t="s">
        <v>30</v>
      </c>
      <c r="D327" s="49" t="s">
        <v>13890</v>
      </c>
      <c r="E327" s="49" t="s">
        <v>7803</v>
      </c>
      <c r="F327" s="49" t="s">
        <v>13891</v>
      </c>
      <c r="H327" s="49" t="s">
        <v>13892</v>
      </c>
      <c r="O327" s="49" t="s">
        <v>32648</v>
      </c>
      <c r="P327" s="49" t="s">
        <v>32649</v>
      </c>
      <c r="Q327" s="49" t="s">
        <v>32650</v>
      </c>
      <c r="R327" s="49" t="s">
        <v>32651</v>
      </c>
      <c r="S327" s="49" t="s">
        <v>32652</v>
      </c>
      <c r="T327" s="49" t="s">
        <v>32653</v>
      </c>
      <c r="U327" s="49" t="s">
        <v>32654</v>
      </c>
    </row>
    <row r="328" spans="1:21" x14ac:dyDescent="0.2">
      <c r="A328" s="49" t="s">
        <v>30</v>
      </c>
      <c r="D328" s="49" t="s">
        <v>2629</v>
      </c>
      <c r="G328" s="49" t="s">
        <v>13893</v>
      </c>
      <c r="H328" s="49" t="s">
        <v>2630</v>
      </c>
      <c r="I328" s="49" t="s">
        <v>2631</v>
      </c>
      <c r="J328" s="49" t="s">
        <v>2632</v>
      </c>
      <c r="K328" s="49" t="s">
        <v>2633</v>
      </c>
      <c r="L328" s="49" t="s">
        <v>2634</v>
      </c>
      <c r="M328" s="49" t="s">
        <v>2635</v>
      </c>
      <c r="N328" s="49" t="s">
        <v>2636</v>
      </c>
      <c r="O328" s="49" t="s">
        <v>9764</v>
      </c>
      <c r="P328" s="49" t="s">
        <v>9765</v>
      </c>
      <c r="Q328" s="49" t="s">
        <v>9766</v>
      </c>
      <c r="R328" s="49" t="s">
        <v>9767</v>
      </c>
      <c r="S328" s="49" t="s">
        <v>9768</v>
      </c>
      <c r="T328" s="49" t="s">
        <v>9769</v>
      </c>
    </row>
    <row r="329" spans="1:21" x14ac:dyDescent="0.2">
      <c r="A329" s="49" t="s">
        <v>30</v>
      </c>
    </row>
    <row r="330" spans="1:21" x14ac:dyDescent="0.2">
      <c r="A330" s="49" t="s">
        <v>30</v>
      </c>
      <c r="E330" s="49" t="s">
        <v>31</v>
      </c>
      <c r="F330" s="49" t="s">
        <v>31</v>
      </c>
      <c r="G330" s="49" t="s">
        <v>31</v>
      </c>
      <c r="J330" s="49" t="s">
        <v>31</v>
      </c>
      <c r="K330" s="49" t="s">
        <v>31</v>
      </c>
      <c r="L330" s="49" t="s">
        <v>31</v>
      </c>
      <c r="M330" s="49" t="s">
        <v>31</v>
      </c>
    </row>
    <row r="331" spans="1:21" x14ac:dyDescent="0.2">
      <c r="A331" s="49" t="s">
        <v>30</v>
      </c>
      <c r="D331" s="49" t="s">
        <v>32655</v>
      </c>
      <c r="E331" s="49" t="s">
        <v>18336</v>
      </c>
      <c r="F331" s="49" t="s">
        <v>32656</v>
      </c>
      <c r="H331" s="49" t="s">
        <v>32657</v>
      </c>
      <c r="O331" s="49" t="s">
        <v>32658</v>
      </c>
      <c r="P331" s="49" t="s">
        <v>32659</v>
      </c>
      <c r="Q331" s="49" t="s">
        <v>32660</v>
      </c>
      <c r="R331" s="49" t="s">
        <v>32661</v>
      </c>
      <c r="S331" s="49" t="s">
        <v>32662</v>
      </c>
      <c r="T331" s="49" t="s">
        <v>32663</v>
      </c>
      <c r="U331" s="49" t="s">
        <v>32664</v>
      </c>
    </row>
    <row r="332" spans="1:21" x14ac:dyDescent="0.2">
      <c r="A332" s="49" t="s">
        <v>30</v>
      </c>
      <c r="D332" s="49" t="s">
        <v>1322</v>
      </c>
      <c r="G332" s="49" t="s">
        <v>32665</v>
      </c>
      <c r="H332" s="49" t="s">
        <v>1323</v>
      </c>
      <c r="I332" s="49" t="s">
        <v>1324</v>
      </c>
      <c r="J332" s="49" t="s">
        <v>1325</v>
      </c>
      <c r="K332" s="49" t="s">
        <v>1326</v>
      </c>
      <c r="L332" s="49" t="s">
        <v>1327</v>
      </c>
      <c r="M332" s="49" t="s">
        <v>1328</v>
      </c>
      <c r="N332" s="49" t="s">
        <v>1329</v>
      </c>
      <c r="O332" s="49" t="s">
        <v>32666</v>
      </c>
      <c r="P332" s="49" t="s">
        <v>32667</v>
      </c>
      <c r="Q332" s="49" t="s">
        <v>32668</v>
      </c>
      <c r="R332" s="49" t="s">
        <v>32669</v>
      </c>
      <c r="S332" s="49" t="s">
        <v>32670</v>
      </c>
      <c r="T332" s="49" t="s">
        <v>32671</v>
      </c>
    </row>
    <row r="333" spans="1:21" x14ac:dyDescent="0.2">
      <c r="A333" s="49" t="s">
        <v>30</v>
      </c>
    </row>
    <row r="334" spans="1:21" x14ac:dyDescent="0.2">
      <c r="A334" s="49" t="s">
        <v>30</v>
      </c>
      <c r="E334" s="49" t="s">
        <v>31</v>
      </c>
      <c r="F334" s="49" t="s">
        <v>31</v>
      </c>
      <c r="G334" s="49" t="s">
        <v>31</v>
      </c>
      <c r="J334" s="49" t="s">
        <v>31</v>
      </c>
      <c r="K334" s="49" t="s">
        <v>31</v>
      </c>
      <c r="L334" s="49" t="s">
        <v>31</v>
      </c>
      <c r="M334" s="49" t="s">
        <v>31</v>
      </c>
    </row>
    <row r="335" spans="1:21" x14ac:dyDescent="0.2">
      <c r="A335" s="49" t="s">
        <v>30</v>
      </c>
      <c r="D335" s="49" t="s">
        <v>9294</v>
      </c>
      <c r="E335" s="49" t="s">
        <v>7818</v>
      </c>
      <c r="F335" s="49" t="s">
        <v>9295</v>
      </c>
      <c r="H335" s="49" t="s">
        <v>9296</v>
      </c>
      <c r="O335" s="49" t="s">
        <v>32672</v>
      </c>
      <c r="P335" s="49" t="s">
        <v>32673</v>
      </c>
      <c r="Q335" s="49" t="s">
        <v>32674</v>
      </c>
      <c r="R335" s="49" t="s">
        <v>32675</v>
      </c>
      <c r="S335" s="49" t="s">
        <v>32676</v>
      </c>
      <c r="T335" s="49" t="s">
        <v>32677</v>
      </c>
      <c r="U335" s="49" t="s">
        <v>32678</v>
      </c>
    </row>
    <row r="336" spans="1:21" x14ac:dyDescent="0.2">
      <c r="A336" s="49" t="s">
        <v>30</v>
      </c>
      <c r="D336" s="49" t="s">
        <v>4892</v>
      </c>
      <c r="G336" s="49" t="s">
        <v>32679</v>
      </c>
      <c r="H336" s="49" t="s">
        <v>4893</v>
      </c>
      <c r="I336" s="49" t="s">
        <v>4894</v>
      </c>
      <c r="J336" s="49" t="s">
        <v>4895</v>
      </c>
      <c r="K336" s="49" t="s">
        <v>4896</v>
      </c>
      <c r="L336" s="49" t="s">
        <v>4897</v>
      </c>
      <c r="M336" s="49" t="s">
        <v>4898</v>
      </c>
      <c r="N336" s="49" t="s">
        <v>4899</v>
      </c>
      <c r="O336" s="49" t="s">
        <v>9297</v>
      </c>
      <c r="P336" s="49" t="s">
        <v>9298</v>
      </c>
      <c r="Q336" s="49" t="s">
        <v>9299</v>
      </c>
      <c r="R336" s="49" t="s">
        <v>9300</v>
      </c>
      <c r="S336" s="49" t="s">
        <v>9301</v>
      </c>
      <c r="T336" s="49" t="s">
        <v>9302</v>
      </c>
    </row>
    <row r="337" spans="1:21" x14ac:dyDescent="0.2">
      <c r="A337" s="49" t="s">
        <v>30</v>
      </c>
    </row>
    <row r="338" spans="1:21" x14ac:dyDescent="0.2">
      <c r="A338" s="49" t="s">
        <v>30</v>
      </c>
      <c r="E338" s="49" t="s">
        <v>31</v>
      </c>
      <c r="F338" s="49" t="s">
        <v>31</v>
      </c>
      <c r="G338" s="49" t="s">
        <v>31</v>
      </c>
      <c r="J338" s="49" t="s">
        <v>31</v>
      </c>
      <c r="K338" s="49" t="s">
        <v>31</v>
      </c>
      <c r="L338" s="49" t="s">
        <v>31</v>
      </c>
      <c r="M338" s="49" t="s">
        <v>31</v>
      </c>
    </row>
    <row r="339" spans="1:21" x14ac:dyDescent="0.2">
      <c r="A339" s="49" t="s">
        <v>30</v>
      </c>
      <c r="D339" s="49" t="s">
        <v>10214</v>
      </c>
      <c r="E339" s="49" t="s">
        <v>7819</v>
      </c>
      <c r="F339" s="49" t="s">
        <v>10215</v>
      </c>
      <c r="H339" s="49" t="s">
        <v>10216</v>
      </c>
      <c r="O339" s="49" t="s">
        <v>32680</v>
      </c>
      <c r="P339" s="49" t="s">
        <v>32681</v>
      </c>
      <c r="Q339" s="49" t="s">
        <v>32682</v>
      </c>
      <c r="R339" s="49" t="s">
        <v>32683</v>
      </c>
      <c r="S339" s="49" t="s">
        <v>32684</v>
      </c>
      <c r="T339" s="49" t="s">
        <v>32685</v>
      </c>
      <c r="U339" s="49" t="s">
        <v>32686</v>
      </c>
    </row>
    <row r="340" spans="1:21" x14ac:dyDescent="0.2">
      <c r="A340" s="49" t="s">
        <v>30</v>
      </c>
      <c r="D340" s="49" t="s">
        <v>1346</v>
      </c>
      <c r="G340" s="49" t="s">
        <v>10217</v>
      </c>
      <c r="H340" s="49" t="s">
        <v>1347</v>
      </c>
      <c r="I340" s="49" t="s">
        <v>1348</v>
      </c>
      <c r="J340" s="49" t="s">
        <v>1349</v>
      </c>
      <c r="K340" s="49" t="s">
        <v>1350</v>
      </c>
      <c r="L340" s="49" t="s">
        <v>1351</v>
      </c>
      <c r="M340" s="49" t="s">
        <v>1352</v>
      </c>
      <c r="N340" s="49" t="s">
        <v>1353</v>
      </c>
      <c r="O340" s="49" t="s">
        <v>10218</v>
      </c>
      <c r="P340" s="49" t="s">
        <v>10219</v>
      </c>
      <c r="Q340" s="49" t="s">
        <v>10220</v>
      </c>
      <c r="R340" s="49" t="s">
        <v>10221</v>
      </c>
      <c r="S340" s="49" t="s">
        <v>10222</v>
      </c>
      <c r="T340" s="49" t="s">
        <v>10223</v>
      </c>
    </row>
    <row r="341" spans="1:21" x14ac:dyDescent="0.2">
      <c r="A341" s="49" t="s">
        <v>30</v>
      </c>
    </row>
    <row r="342" spans="1:21" x14ac:dyDescent="0.2">
      <c r="A342" s="49" t="s">
        <v>30</v>
      </c>
      <c r="E342" s="49" t="s">
        <v>31</v>
      </c>
      <c r="F342" s="49" t="s">
        <v>31</v>
      </c>
      <c r="G342" s="49" t="s">
        <v>31</v>
      </c>
      <c r="J342" s="49" t="s">
        <v>31</v>
      </c>
      <c r="K342" s="49" t="s">
        <v>31</v>
      </c>
      <c r="L342" s="49" t="s">
        <v>31</v>
      </c>
      <c r="M342" s="49" t="s">
        <v>31</v>
      </c>
    </row>
    <row r="343" spans="1:21" x14ac:dyDescent="0.2">
      <c r="A343" s="49" t="s">
        <v>30</v>
      </c>
      <c r="D343" s="49" t="s">
        <v>13901</v>
      </c>
      <c r="E343" s="49" t="s">
        <v>7820</v>
      </c>
      <c r="F343" s="49" t="s">
        <v>13902</v>
      </c>
      <c r="H343" s="49" t="s">
        <v>13903</v>
      </c>
      <c r="O343" s="49" t="s">
        <v>13904</v>
      </c>
      <c r="P343" s="49" t="s">
        <v>13905</v>
      </c>
      <c r="Q343" s="49" t="s">
        <v>13906</v>
      </c>
      <c r="R343" s="49" t="s">
        <v>13907</v>
      </c>
      <c r="S343" s="49" t="s">
        <v>13908</v>
      </c>
      <c r="T343" s="49" t="s">
        <v>13909</v>
      </c>
      <c r="U343" s="49" t="s">
        <v>13910</v>
      </c>
    </row>
    <row r="344" spans="1:21" x14ac:dyDescent="0.2">
      <c r="A344" s="49" t="s">
        <v>30</v>
      </c>
      <c r="D344" s="49" t="s">
        <v>1378</v>
      </c>
      <c r="G344" s="49" t="s">
        <v>13911</v>
      </c>
      <c r="H344" s="49" t="s">
        <v>1379</v>
      </c>
      <c r="I344" s="49" t="s">
        <v>1380</v>
      </c>
      <c r="J344" s="49" t="s">
        <v>1381</v>
      </c>
      <c r="K344" s="49" t="s">
        <v>1382</v>
      </c>
      <c r="L344" s="49" t="s">
        <v>1383</v>
      </c>
      <c r="M344" s="49" t="s">
        <v>1384</v>
      </c>
      <c r="N344" s="49" t="s">
        <v>1385</v>
      </c>
      <c r="O344" s="49" t="s">
        <v>13309</v>
      </c>
      <c r="P344" s="49" t="s">
        <v>13310</v>
      </c>
      <c r="Q344" s="49" t="s">
        <v>13311</v>
      </c>
      <c r="R344" s="49" t="s">
        <v>13312</v>
      </c>
      <c r="S344" s="49" t="s">
        <v>13313</v>
      </c>
      <c r="T344" s="49" t="s">
        <v>13314</v>
      </c>
    </row>
    <row r="345" spans="1:21" x14ac:dyDescent="0.2">
      <c r="A345" s="49" t="s">
        <v>30</v>
      </c>
    </row>
    <row r="346" spans="1:21" x14ac:dyDescent="0.2">
      <c r="A346" s="49" t="s">
        <v>30</v>
      </c>
      <c r="E346" s="49" t="s">
        <v>31</v>
      </c>
      <c r="F346" s="49" t="s">
        <v>31</v>
      </c>
      <c r="G346" s="49" t="s">
        <v>31</v>
      </c>
      <c r="J346" s="49" t="s">
        <v>31</v>
      </c>
      <c r="K346" s="49" t="s">
        <v>31</v>
      </c>
      <c r="L346" s="49" t="s">
        <v>31</v>
      </c>
      <c r="M346" s="49" t="s">
        <v>31</v>
      </c>
    </row>
    <row r="347" spans="1:21" x14ac:dyDescent="0.2">
      <c r="A347" s="49" t="s">
        <v>30</v>
      </c>
      <c r="D347" s="49" t="s">
        <v>13315</v>
      </c>
      <c r="E347" s="49" t="s">
        <v>7849</v>
      </c>
      <c r="F347" s="49" t="s">
        <v>13316</v>
      </c>
      <c r="H347" s="49" t="s">
        <v>13317</v>
      </c>
      <c r="O347" s="49" t="s">
        <v>13318</v>
      </c>
      <c r="P347" s="49" t="s">
        <v>13319</v>
      </c>
      <c r="Q347" s="49" t="s">
        <v>13320</v>
      </c>
      <c r="R347" s="49" t="s">
        <v>13321</v>
      </c>
      <c r="S347" s="49" t="s">
        <v>13322</v>
      </c>
      <c r="T347" s="49" t="s">
        <v>13323</v>
      </c>
      <c r="U347" s="49" t="s">
        <v>13324</v>
      </c>
    </row>
    <row r="348" spans="1:21" x14ac:dyDescent="0.2">
      <c r="A348" s="49" t="s">
        <v>30</v>
      </c>
      <c r="D348" s="49" t="s">
        <v>4935</v>
      </c>
      <c r="G348" s="49" t="s">
        <v>13325</v>
      </c>
      <c r="H348" s="49" t="s">
        <v>4936</v>
      </c>
      <c r="I348" s="49" t="s">
        <v>4937</v>
      </c>
      <c r="J348" s="49" t="s">
        <v>4938</v>
      </c>
      <c r="K348" s="49" t="s">
        <v>4939</v>
      </c>
      <c r="L348" s="49" t="s">
        <v>4940</v>
      </c>
      <c r="M348" s="49" t="s">
        <v>4941</v>
      </c>
      <c r="N348" s="49" t="s">
        <v>4942</v>
      </c>
      <c r="O348" s="49" t="s">
        <v>10464</v>
      </c>
      <c r="P348" s="49" t="s">
        <v>10465</v>
      </c>
      <c r="Q348" s="49" t="s">
        <v>10466</v>
      </c>
      <c r="R348" s="49" t="s">
        <v>10467</v>
      </c>
      <c r="S348" s="49" t="s">
        <v>10468</v>
      </c>
      <c r="T348" s="49" t="s">
        <v>10469</v>
      </c>
    </row>
    <row r="349" spans="1:21" x14ac:dyDescent="0.2">
      <c r="A349" s="49" t="s">
        <v>30</v>
      </c>
      <c r="D349" s="49" t="s">
        <v>10470</v>
      </c>
      <c r="G349" s="49" t="s">
        <v>18612</v>
      </c>
      <c r="H349" s="49" t="s">
        <v>10471</v>
      </c>
      <c r="I349" s="49" t="s">
        <v>10472</v>
      </c>
      <c r="J349" s="49" t="s">
        <v>10473</v>
      </c>
      <c r="K349" s="49" t="s">
        <v>10474</v>
      </c>
      <c r="L349" s="49" t="s">
        <v>10475</v>
      </c>
      <c r="M349" s="49" t="s">
        <v>10476</v>
      </c>
      <c r="N349" s="49" t="s">
        <v>10477</v>
      </c>
      <c r="O349" s="49" t="s">
        <v>10478</v>
      </c>
      <c r="P349" s="49" t="s">
        <v>10479</v>
      </c>
      <c r="Q349" s="49" t="s">
        <v>10480</v>
      </c>
      <c r="R349" s="49" t="s">
        <v>10481</v>
      </c>
      <c r="S349" s="49" t="s">
        <v>10482</v>
      </c>
      <c r="T349" s="49" t="s">
        <v>10483</v>
      </c>
    </row>
    <row r="350" spans="1:21" x14ac:dyDescent="0.2">
      <c r="A350" s="49" t="s">
        <v>30</v>
      </c>
    </row>
    <row r="351" spans="1:21" x14ac:dyDescent="0.2">
      <c r="A351" s="49" t="s">
        <v>30</v>
      </c>
      <c r="E351" s="49" t="s">
        <v>31</v>
      </c>
      <c r="F351" s="49" t="s">
        <v>31</v>
      </c>
      <c r="G351" s="49" t="s">
        <v>31</v>
      </c>
      <c r="J351" s="49" t="s">
        <v>31</v>
      </c>
      <c r="K351" s="49" t="s">
        <v>31</v>
      </c>
      <c r="L351" s="49" t="s">
        <v>31</v>
      </c>
      <c r="M351" s="49" t="s">
        <v>31</v>
      </c>
    </row>
    <row r="352" spans="1:21" x14ac:dyDescent="0.2">
      <c r="A352" s="49" t="s">
        <v>30</v>
      </c>
      <c r="D352" s="49" t="s">
        <v>10484</v>
      </c>
      <c r="E352" s="49" t="s">
        <v>7864</v>
      </c>
      <c r="F352" s="49" t="s">
        <v>10485</v>
      </c>
      <c r="H352" s="49" t="s">
        <v>10486</v>
      </c>
      <c r="O352" s="49" t="s">
        <v>32687</v>
      </c>
      <c r="P352" s="49" t="s">
        <v>32688</v>
      </c>
      <c r="Q352" s="49" t="s">
        <v>32689</v>
      </c>
      <c r="R352" s="49" t="s">
        <v>32690</v>
      </c>
      <c r="S352" s="49" t="s">
        <v>32691</v>
      </c>
      <c r="T352" s="49" t="s">
        <v>32692</v>
      </c>
      <c r="U352" s="49" t="s">
        <v>32693</v>
      </c>
    </row>
    <row r="353" spans="1:21" x14ac:dyDescent="0.2">
      <c r="A353" s="49" t="s">
        <v>30</v>
      </c>
      <c r="D353" s="49" t="s">
        <v>2470</v>
      </c>
      <c r="G353" s="49" t="s">
        <v>10494</v>
      </c>
      <c r="H353" s="49" t="s">
        <v>2471</v>
      </c>
      <c r="I353" s="49" t="s">
        <v>2472</v>
      </c>
      <c r="J353" s="49" t="s">
        <v>2473</v>
      </c>
      <c r="K353" s="49" t="s">
        <v>2474</v>
      </c>
      <c r="L353" s="49" t="s">
        <v>2475</v>
      </c>
      <c r="M353" s="49" t="s">
        <v>2476</v>
      </c>
      <c r="N353" s="49" t="s">
        <v>2477</v>
      </c>
      <c r="O353" s="49" t="s">
        <v>10495</v>
      </c>
      <c r="P353" s="49" t="s">
        <v>10496</v>
      </c>
      <c r="Q353" s="49" t="s">
        <v>10497</v>
      </c>
      <c r="R353" s="49" t="s">
        <v>10498</v>
      </c>
      <c r="S353" s="49" t="s">
        <v>10499</v>
      </c>
      <c r="T353" s="49" t="s">
        <v>10500</v>
      </c>
    </row>
    <row r="354" spans="1:21" x14ac:dyDescent="0.2">
      <c r="A354" s="49" t="s">
        <v>30</v>
      </c>
    </row>
    <row r="355" spans="1:21" x14ac:dyDescent="0.2">
      <c r="A355" s="49" t="s">
        <v>30</v>
      </c>
      <c r="E355" s="49" t="s">
        <v>31</v>
      </c>
      <c r="F355" s="49" t="s">
        <v>31</v>
      </c>
      <c r="G355" s="49" t="s">
        <v>31</v>
      </c>
      <c r="J355" s="49" t="s">
        <v>31</v>
      </c>
      <c r="K355" s="49" t="s">
        <v>31</v>
      </c>
      <c r="L355" s="49" t="s">
        <v>31</v>
      </c>
      <c r="M355" s="49" t="s">
        <v>31</v>
      </c>
    </row>
    <row r="356" spans="1:21" x14ac:dyDescent="0.2">
      <c r="A356" s="49" t="s">
        <v>30</v>
      </c>
      <c r="D356" s="49" t="s">
        <v>32694</v>
      </c>
      <c r="E356" s="49" t="s">
        <v>7949</v>
      </c>
      <c r="F356" s="49" t="s">
        <v>32695</v>
      </c>
      <c r="H356" s="49" t="s">
        <v>32696</v>
      </c>
      <c r="O356" s="49" t="s">
        <v>32697</v>
      </c>
      <c r="P356" s="49" t="s">
        <v>32698</v>
      </c>
      <c r="Q356" s="49" t="s">
        <v>32699</v>
      </c>
      <c r="R356" s="49" t="s">
        <v>32700</v>
      </c>
      <c r="S356" s="49" t="s">
        <v>32701</v>
      </c>
      <c r="T356" s="49" t="s">
        <v>32702</v>
      </c>
      <c r="U356" s="49" t="s">
        <v>32703</v>
      </c>
    </row>
    <row r="357" spans="1:21" x14ac:dyDescent="0.2">
      <c r="A357" s="49" t="s">
        <v>30</v>
      </c>
      <c r="D357" s="49" t="s">
        <v>1418</v>
      </c>
      <c r="G357" s="49" t="s">
        <v>32704</v>
      </c>
      <c r="H357" s="49" t="s">
        <v>1419</v>
      </c>
      <c r="I357" s="49" t="s">
        <v>1420</v>
      </c>
      <c r="J357" s="49" t="s">
        <v>1421</v>
      </c>
      <c r="K357" s="49" t="s">
        <v>1422</v>
      </c>
      <c r="L357" s="49" t="s">
        <v>1423</v>
      </c>
      <c r="M357" s="49" t="s">
        <v>1424</v>
      </c>
      <c r="N357" s="49" t="s">
        <v>1425</v>
      </c>
      <c r="O357" s="49" t="s">
        <v>32705</v>
      </c>
      <c r="P357" s="49" t="s">
        <v>32706</v>
      </c>
      <c r="Q357" s="49" t="s">
        <v>32707</v>
      </c>
      <c r="R357" s="49" t="s">
        <v>32708</v>
      </c>
      <c r="S357" s="49" t="s">
        <v>32709</v>
      </c>
      <c r="T357" s="49" t="s">
        <v>32710</v>
      </c>
    </row>
    <row r="358" spans="1:21" x14ac:dyDescent="0.2">
      <c r="A358" s="49" t="s">
        <v>30</v>
      </c>
    </row>
    <row r="359" spans="1:21" x14ac:dyDescent="0.2">
      <c r="A359" s="49" t="s">
        <v>30</v>
      </c>
      <c r="E359" s="49" t="s">
        <v>31</v>
      </c>
      <c r="F359" s="49" t="s">
        <v>31</v>
      </c>
      <c r="G359" s="49" t="s">
        <v>31</v>
      </c>
      <c r="J359" s="49" t="s">
        <v>31</v>
      </c>
      <c r="K359" s="49" t="s">
        <v>31</v>
      </c>
      <c r="L359" s="49" t="s">
        <v>31</v>
      </c>
      <c r="M359" s="49" t="s">
        <v>31</v>
      </c>
    </row>
    <row r="360" spans="1:21" x14ac:dyDescent="0.2">
      <c r="A360" s="49" t="s">
        <v>30</v>
      </c>
      <c r="D360" s="49" t="s">
        <v>4950</v>
      </c>
      <c r="E360" s="49" t="s">
        <v>8020</v>
      </c>
      <c r="F360" s="49" t="s">
        <v>4952</v>
      </c>
      <c r="H360" s="49" t="s">
        <v>4953</v>
      </c>
      <c r="O360" s="49" t="s">
        <v>32711</v>
      </c>
      <c r="P360" s="49" t="s">
        <v>32712</v>
      </c>
      <c r="Q360" s="49" t="s">
        <v>32713</v>
      </c>
      <c r="R360" s="49" t="s">
        <v>32714</v>
      </c>
      <c r="S360" s="49" t="s">
        <v>32715</v>
      </c>
      <c r="T360" s="49" t="s">
        <v>32716</v>
      </c>
      <c r="U360" s="49" t="s">
        <v>32717</v>
      </c>
    </row>
    <row r="361" spans="1:21" x14ac:dyDescent="0.2">
      <c r="A361" s="49" t="s">
        <v>30</v>
      </c>
      <c r="D361" s="49" t="s">
        <v>4954</v>
      </c>
      <c r="G361" s="49" t="s">
        <v>32718</v>
      </c>
      <c r="H361" s="49" t="s">
        <v>4955</v>
      </c>
      <c r="I361" s="49" t="s">
        <v>4956</v>
      </c>
      <c r="J361" s="49" t="s">
        <v>4957</v>
      </c>
      <c r="K361" s="49" t="s">
        <v>4958</v>
      </c>
      <c r="L361" s="49" t="s">
        <v>4959</v>
      </c>
      <c r="M361" s="49" t="s">
        <v>4960</v>
      </c>
      <c r="N361" s="49" t="s">
        <v>4961</v>
      </c>
      <c r="O361" s="49" t="s">
        <v>10224</v>
      </c>
      <c r="P361" s="49" t="s">
        <v>10225</v>
      </c>
      <c r="Q361" s="49" t="s">
        <v>10226</v>
      </c>
      <c r="R361" s="49" t="s">
        <v>10227</v>
      </c>
      <c r="S361" s="49" t="s">
        <v>10228</v>
      </c>
      <c r="T361" s="49" t="s">
        <v>10229</v>
      </c>
    </row>
    <row r="362" spans="1:21" x14ac:dyDescent="0.2">
      <c r="A362" s="49" t="s">
        <v>30</v>
      </c>
      <c r="D362" s="49" t="s">
        <v>2478</v>
      </c>
      <c r="G362" s="49" t="s">
        <v>18822</v>
      </c>
      <c r="H362" s="49" t="s">
        <v>2479</v>
      </c>
      <c r="I362" s="49" t="s">
        <v>2480</v>
      </c>
      <c r="J362" s="49" t="s">
        <v>2481</v>
      </c>
      <c r="K362" s="49" t="s">
        <v>2482</v>
      </c>
      <c r="L362" s="49" t="s">
        <v>2483</v>
      </c>
      <c r="M362" s="49" t="s">
        <v>2484</v>
      </c>
      <c r="N362" s="49" t="s">
        <v>2485</v>
      </c>
      <c r="O362" s="49" t="s">
        <v>10230</v>
      </c>
      <c r="P362" s="49" t="s">
        <v>10231</v>
      </c>
      <c r="Q362" s="49" t="s">
        <v>10232</v>
      </c>
      <c r="R362" s="49" t="s">
        <v>10233</v>
      </c>
      <c r="S362" s="49" t="s">
        <v>10234</v>
      </c>
      <c r="T362" s="49" t="s">
        <v>10235</v>
      </c>
    </row>
    <row r="363" spans="1:21" x14ac:dyDescent="0.2">
      <c r="A363" s="49" t="s">
        <v>30</v>
      </c>
      <c r="D363" s="49" t="s">
        <v>1434</v>
      </c>
      <c r="G363" s="49" t="s">
        <v>18872</v>
      </c>
      <c r="H363" s="49" t="s">
        <v>1435</v>
      </c>
      <c r="I363" s="49" t="s">
        <v>1436</v>
      </c>
      <c r="J363" s="49" t="s">
        <v>1437</v>
      </c>
      <c r="K363" s="49" t="s">
        <v>1438</v>
      </c>
      <c r="L363" s="49" t="s">
        <v>1439</v>
      </c>
      <c r="M363" s="49" t="s">
        <v>1440</v>
      </c>
      <c r="N363" s="49" t="s">
        <v>1441</v>
      </c>
      <c r="O363" s="49" t="s">
        <v>10517</v>
      </c>
      <c r="P363" s="49" t="s">
        <v>10518</v>
      </c>
      <c r="Q363" s="49" t="s">
        <v>10519</v>
      </c>
      <c r="R363" s="49" t="s">
        <v>10520</v>
      </c>
      <c r="S363" s="49" t="s">
        <v>10521</v>
      </c>
      <c r="T363" s="49" t="s">
        <v>10522</v>
      </c>
    </row>
    <row r="364" spans="1:21" x14ac:dyDescent="0.2">
      <c r="A364" s="49" t="s">
        <v>30</v>
      </c>
      <c r="D364" s="49" t="s">
        <v>1442</v>
      </c>
      <c r="G364" s="49" t="s">
        <v>18897</v>
      </c>
      <c r="H364" s="49" t="s">
        <v>1443</v>
      </c>
      <c r="I364" s="49" t="s">
        <v>1444</v>
      </c>
      <c r="J364" s="49" t="s">
        <v>1445</v>
      </c>
      <c r="K364" s="49" t="s">
        <v>1446</v>
      </c>
      <c r="L364" s="49" t="s">
        <v>1447</v>
      </c>
      <c r="M364" s="49" t="s">
        <v>1448</v>
      </c>
      <c r="N364" s="49" t="s">
        <v>1449</v>
      </c>
      <c r="O364" s="49" t="s">
        <v>32990</v>
      </c>
      <c r="P364" s="49" t="s">
        <v>32991</v>
      </c>
      <c r="Q364" s="49" t="s">
        <v>32992</v>
      </c>
      <c r="R364" s="49" t="s">
        <v>32993</v>
      </c>
      <c r="S364" s="49" t="s">
        <v>32994</v>
      </c>
      <c r="T364" s="49" t="s">
        <v>32995</v>
      </c>
    </row>
    <row r="365" spans="1:21" x14ac:dyDescent="0.2">
      <c r="A365" s="49" t="s">
        <v>30</v>
      </c>
    </row>
    <row r="366" spans="1:21" x14ac:dyDescent="0.2">
      <c r="A366" s="49" t="s">
        <v>30</v>
      </c>
      <c r="E366" s="49" t="s">
        <v>31</v>
      </c>
      <c r="F366" s="49" t="s">
        <v>31</v>
      </c>
      <c r="G366" s="49" t="s">
        <v>31</v>
      </c>
      <c r="J366" s="49" t="s">
        <v>31</v>
      </c>
      <c r="K366" s="49" t="s">
        <v>31</v>
      </c>
      <c r="L366" s="49" t="s">
        <v>31</v>
      </c>
      <c r="M366" s="49" t="s">
        <v>31</v>
      </c>
    </row>
    <row r="367" spans="1:21" x14ac:dyDescent="0.2">
      <c r="A367" s="49" t="s">
        <v>30</v>
      </c>
      <c r="D367" s="49" t="s">
        <v>32719</v>
      </c>
      <c r="E367" s="49" t="s">
        <v>8077</v>
      </c>
      <c r="F367" s="49" t="s">
        <v>32720</v>
      </c>
      <c r="H367" s="49" t="s">
        <v>32721</v>
      </c>
      <c r="O367" s="49" t="s">
        <v>32722</v>
      </c>
      <c r="P367" s="49" t="s">
        <v>32723</v>
      </c>
      <c r="Q367" s="49" t="s">
        <v>32724</v>
      </c>
      <c r="R367" s="49" t="s">
        <v>32725</v>
      </c>
      <c r="S367" s="49" t="s">
        <v>32726</v>
      </c>
      <c r="T367" s="49" t="s">
        <v>32727</v>
      </c>
      <c r="U367" s="49" t="s">
        <v>32728</v>
      </c>
    </row>
    <row r="368" spans="1:21" x14ac:dyDescent="0.2">
      <c r="A368" s="49" t="s">
        <v>30</v>
      </c>
      <c r="D368" s="49" t="s">
        <v>32729</v>
      </c>
      <c r="G368" s="49" t="s">
        <v>32730</v>
      </c>
      <c r="H368" s="49" t="s">
        <v>32731</v>
      </c>
      <c r="I368" s="49" t="s">
        <v>32732</v>
      </c>
      <c r="J368" s="49" t="s">
        <v>32733</v>
      </c>
      <c r="K368" s="49" t="s">
        <v>32734</v>
      </c>
      <c r="L368" s="49" t="s">
        <v>32735</v>
      </c>
      <c r="M368" s="49" t="s">
        <v>32736</v>
      </c>
      <c r="N368" s="49" t="s">
        <v>32737</v>
      </c>
      <c r="O368" s="49" t="s">
        <v>32738</v>
      </c>
      <c r="P368" s="49" t="s">
        <v>32739</v>
      </c>
      <c r="Q368" s="49" t="s">
        <v>32740</v>
      </c>
      <c r="R368" s="49" t="s">
        <v>32741</v>
      </c>
      <c r="S368" s="49" t="s">
        <v>32742</v>
      </c>
      <c r="T368" s="49" t="s">
        <v>32743</v>
      </c>
    </row>
    <row r="369" spans="1:21" x14ac:dyDescent="0.2">
      <c r="A369" s="49" t="s">
        <v>30</v>
      </c>
    </row>
    <row r="370" spans="1:21" x14ac:dyDescent="0.2">
      <c r="A370" s="49" t="s">
        <v>30</v>
      </c>
      <c r="E370" s="49" t="s">
        <v>31</v>
      </c>
      <c r="F370" s="49" t="s">
        <v>31</v>
      </c>
      <c r="G370" s="49" t="s">
        <v>31</v>
      </c>
      <c r="J370" s="49" t="s">
        <v>31</v>
      </c>
      <c r="K370" s="49" t="s">
        <v>31</v>
      </c>
      <c r="L370" s="49" t="s">
        <v>31</v>
      </c>
      <c r="M370" s="49" t="s">
        <v>31</v>
      </c>
    </row>
    <row r="371" spans="1:21" x14ac:dyDescent="0.2">
      <c r="A371" s="49" t="s">
        <v>30</v>
      </c>
      <c r="D371" s="49" t="s">
        <v>32744</v>
      </c>
      <c r="E371" s="49" t="s">
        <v>8205</v>
      </c>
      <c r="F371" s="49" t="s">
        <v>32745</v>
      </c>
      <c r="H371" s="49" t="s">
        <v>32746</v>
      </c>
      <c r="O371" s="49" t="s">
        <v>32747</v>
      </c>
      <c r="P371" s="49" t="s">
        <v>32748</v>
      </c>
      <c r="Q371" s="49" t="s">
        <v>32749</v>
      </c>
      <c r="R371" s="49" t="s">
        <v>32750</v>
      </c>
      <c r="S371" s="49" t="s">
        <v>32751</v>
      </c>
      <c r="T371" s="49" t="s">
        <v>32752</v>
      </c>
      <c r="U371" s="49" t="s">
        <v>32753</v>
      </c>
    </row>
    <row r="372" spans="1:21" x14ac:dyDescent="0.2">
      <c r="A372" s="49" t="s">
        <v>30</v>
      </c>
      <c r="D372" s="49" t="s">
        <v>14519</v>
      </c>
      <c r="G372" s="49" t="s">
        <v>32754</v>
      </c>
      <c r="H372" s="49" t="s">
        <v>31482</v>
      </c>
      <c r="I372" s="49" t="s">
        <v>31485</v>
      </c>
      <c r="J372" s="49" t="s">
        <v>31524</v>
      </c>
      <c r="K372" s="49" t="s">
        <v>31527</v>
      </c>
      <c r="L372" s="49" t="s">
        <v>14521</v>
      </c>
      <c r="M372" s="49" t="s">
        <v>14522</v>
      </c>
      <c r="N372" s="49" t="s">
        <v>14523</v>
      </c>
      <c r="O372" s="49" t="s">
        <v>32755</v>
      </c>
      <c r="P372" s="49" t="s">
        <v>32756</v>
      </c>
      <c r="Q372" s="49" t="s">
        <v>32757</v>
      </c>
      <c r="R372" s="49" t="s">
        <v>32758</v>
      </c>
      <c r="S372" s="49" t="s">
        <v>32759</v>
      </c>
      <c r="T372" s="49" t="s">
        <v>32760</v>
      </c>
    </row>
    <row r="373" spans="1:21" x14ac:dyDescent="0.2">
      <c r="A373" s="49" t="s">
        <v>30</v>
      </c>
    </row>
    <row r="374" spans="1:21" x14ac:dyDescent="0.2">
      <c r="A374" s="49" t="s">
        <v>30</v>
      </c>
      <c r="E374" s="49" t="s">
        <v>31</v>
      </c>
      <c r="F374" s="49" t="s">
        <v>31</v>
      </c>
      <c r="G374" s="49" t="s">
        <v>31</v>
      </c>
      <c r="J374" s="49" t="s">
        <v>31</v>
      </c>
      <c r="K374" s="49" t="s">
        <v>31</v>
      </c>
      <c r="L374" s="49" t="s">
        <v>31</v>
      </c>
      <c r="M374" s="49" t="s">
        <v>31</v>
      </c>
    </row>
    <row r="375" spans="1:21" x14ac:dyDescent="0.2">
      <c r="A375" s="49" t="s">
        <v>30</v>
      </c>
      <c r="D375" s="49" t="s">
        <v>32761</v>
      </c>
      <c r="E375" s="49" t="s">
        <v>8262</v>
      </c>
      <c r="F375" s="49" t="s">
        <v>32762</v>
      </c>
      <c r="H375" s="49" t="s">
        <v>32763</v>
      </c>
      <c r="O375" s="49" t="s">
        <v>32764</v>
      </c>
      <c r="P375" s="49" t="s">
        <v>32765</v>
      </c>
      <c r="Q375" s="49" t="s">
        <v>32766</v>
      </c>
      <c r="R375" s="49" t="s">
        <v>32767</v>
      </c>
      <c r="S375" s="49" t="s">
        <v>32768</v>
      </c>
      <c r="T375" s="49" t="s">
        <v>32769</v>
      </c>
      <c r="U375" s="49" t="s">
        <v>32770</v>
      </c>
    </row>
    <row r="376" spans="1:21" x14ac:dyDescent="0.2">
      <c r="A376" s="49" t="s">
        <v>30</v>
      </c>
      <c r="D376" s="49" t="s">
        <v>2494</v>
      </c>
      <c r="G376" s="49" t="s">
        <v>32771</v>
      </c>
      <c r="H376" s="49" t="s">
        <v>2495</v>
      </c>
      <c r="I376" s="49" t="s">
        <v>2496</v>
      </c>
      <c r="J376" s="49" t="s">
        <v>2497</v>
      </c>
      <c r="K376" s="49" t="s">
        <v>2498</v>
      </c>
      <c r="L376" s="49" t="s">
        <v>2499</v>
      </c>
      <c r="M376" s="49" t="s">
        <v>2500</v>
      </c>
      <c r="N376" s="49" t="s">
        <v>2501</v>
      </c>
      <c r="O376" s="49" t="s">
        <v>10523</v>
      </c>
      <c r="P376" s="49" t="s">
        <v>10524</v>
      </c>
      <c r="Q376" s="49" t="s">
        <v>10525</v>
      </c>
      <c r="R376" s="49" t="s">
        <v>10526</v>
      </c>
      <c r="S376" s="49" t="s">
        <v>10527</v>
      </c>
      <c r="T376" s="49" t="s">
        <v>10528</v>
      </c>
    </row>
    <row r="377" spans="1:21" x14ac:dyDescent="0.2">
      <c r="A377" s="49" t="s">
        <v>30</v>
      </c>
    </row>
    <row r="378" spans="1:21" x14ac:dyDescent="0.2">
      <c r="A378" s="49" t="s">
        <v>30</v>
      </c>
      <c r="E378" s="49" t="s">
        <v>31</v>
      </c>
      <c r="F378" s="49" t="s">
        <v>31</v>
      </c>
      <c r="G378" s="49" t="s">
        <v>31</v>
      </c>
      <c r="J378" s="49" t="s">
        <v>31</v>
      </c>
      <c r="K378" s="49" t="s">
        <v>31</v>
      </c>
      <c r="L378" s="49" t="s">
        <v>31</v>
      </c>
      <c r="M378" s="49" t="s">
        <v>31</v>
      </c>
    </row>
    <row r="379" spans="1:21" x14ac:dyDescent="0.2">
      <c r="A379" s="49" t="s">
        <v>30</v>
      </c>
      <c r="D379" s="49" t="s">
        <v>32772</v>
      </c>
      <c r="E379" s="49" t="s">
        <v>8333</v>
      </c>
      <c r="F379" s="49" t="s">
        <v>32773</v>
      </c>
      <c r="H379" s="49" t="s">
        <v>32774</v>
      </c>
      <c r="O379" s="49" t="s">
        <v>32775</v>
      </c>
      <c r="P379" s="49" t="s">
        <v>32776</v>
      </c>
      <c r="Q379" s="49" t="s">
        <v>32777</v>
      </c>
      <c r="R379" s="49" t="s">
        <v>32778</v>
      </c>
      <c r="S379" s="49" t="s">
        <v>32779</v>
      </c>
      <c r="T379" s="49" t="s">
        <v>32780</v>
      </c>
      <c r="U379" s="49" t="s">
        <v>32781</v>
      </c>
    </row>
    <row r="380" spans="1:21" x14ac:dyDescent="0.2">
      <c r="A380" s="49" t="s">
        <v>30</v>
      </c>
      <c r="D380" s="49" t="s">
        <v>1498</v>
      </c>
      <c r="G380" s="49" t="s">
        <v>32782</v>
      </c>
      <c r="H380" s="49" t="s">
        <v>1499</v>
      </c>
      <c r="I380" s="49" t="s">
        <v>1500</v>
      </c>
      <c r="J380" s="49" t="s">
        <v>1501</v>
      </c>
      <c r="K380" s="49" t="s">
        <v>1502</v>
      </c>
      <c r="L380" s="49" t="s">
        <v>1503</v>
      </c>
      <c r="M380" s="49" t="s">
        <v>1504</v>
      </c>
      <c r="N380" s="49" t="s">
        <v>1505</v>
      </c>
      <c r="O380" s="49" t="s">
        <v>10529</v>
      </c>
      <c r="P380" s="49" t="s">
        <v>10530</v>
      </c>
      <c r="Q380" s="49" t="s">
        <v>10531</v>
      </c>
      <c r="R380" s="49" t="s">
        <v>10532</v>
      </c>
      <c r="S380" s="49" t="s">
        <v>10533</v>
      </c>
      <c r="T380" s="49" t="s">
        <v>10534</v>
      </c>
    </row>
    <row r="381" spans="1:21" x14ac:dyDescent="0.2">
      <c r="A381" s="49" t="s">
        <v>30</v>
      </c>
    </row>
    <row r="382" spans="1:21" x14ac:dyDescent="0.2">
      <c r="A382" s="49" t="s">
        <v>30</v>
      </c>
      <c r="E382" s="49" t="s">
        <v>31</v>
      </c>
      <c r="F382" s="49" t="s">
        <v>31</v>
      </c>
      <c r="G382" s="49" t="s">
        <v>31</v>
      </c>
      <c r="J382" s="49" t="s">
        <v>31</v>
      </c>
      <c r="K382" s="49" t="s">
        <v>31</v>
      </c>
      <c r="L382" s="49" t="s">
        <v>31</v>
      </c>
      <c r="M382" s="49" t="s">
        <v>31</v>
      </c>
    </row>
    <row r="383" spans="1:21" x14ac:dyDescent="0.2">
      <c r="A383" s="49" t="s">
        <v>30</v>
      </c>
      <c r="D383" s="49" t="s">
        <v>13912</v>
      </c>
      <c r="E383" s="49" t="s">
        <v>8404</v>
      </c>
      <c r="F383" s="49" t="s">
        <v>13913</v>
      </c>
      <c r="H383" s="49" t="s">
        <v>13914</v>
      </c>
      <c r="O383" s="49" t="s">
        <v>32783</v>
      </c>
      <c r="P383" s="49" t="s">
        <v>32784</v>
      </c>
      <c r="Q383" s="49" t="s">
        <v>32785</v>
      </c>
      <c r="R383" s="49" t="s">
        <v>32786</v>
      </c>
      <c r="S383" s="49" t="s">
        <v>32787</v>
      </c>
      <c r="T383" s="49" t="s">
        <v>32788</v>
      </c>
      <c r="U383" s="49" t="s">
        <v>32789</v>
      </c>
    </row>
    <row r="384" spans="1:21" x14ac:dyDescent="0.2">
      <c r="A384" s="49" t="s">
        <v>30</v>
      </c>
      <c r="D384" s="49" t="s">
        <v>1530</v>
      </c>
      <c r="G384" s="49" t="s">
        <v>13915</v>
      </c>
      <c r="H384" s="49" t="s">
        <v>1531</v>
      </c>
      <c r="I384" s="49" t="s">
        <v>1532</v>
      </c>
      <c r="J384" s="49" t="s">
        <v>1533</v>
      </c>
      <c r="K384" s="49" t="s">
        <v>1534</v>
      </c>
      <c r="L384" s="49" t="s">
        <v>1535</v>
      </c>
      <c r="M384" s="49" t="s">
        <v>1536</v>
      </c>
      <c r="N384" s="49" t="s">
        <v>1537</v>
      </c>
      <c r="O384" s="49" t="s">
        <v>13916</v>
      </c>
      <c r="P384" s="49" t="s">
        <v>13917</v>
      </c>
      <c r="Q384" s="49" t="s">
        <v>13918</v>
      </c>
      <c r="R384" s="49" t="s">
        <v>13919</v>
      </c>
      <c r="S384" s="49" t="s">
        <v>13920</v>
      </c>
      <c r="T384" s="49" t="s">
        <v>13921</v>
      </c>
    </row>
    <row r="385" spans="1:21" x14ac:dyDescent="0.2">
      <c r="A385" s="49" t="s">
        <v>30</v>
      </c>
    </row>
    <row r="386" spans="1:21" x14ac:dyDescent="0.2">
      <c r="A386" s="49" t="s">
        <v>30</v>
      </c>
      <c r="E386" s="49" t="s">
        <v>31</v>
      </c>
      <c r="F386" s="49" t="s">
        <v>31</v>
      </c>
      <c r="G386" s="49" t="s">
        <v>31</v>
      </c>
      <c r="J386" s="49" t="s">
        <v>31</v>
      </c>
      <c r="K386" s="49" t="s">
        <v>31</v>
      </c>
      <c r="L386" s="49" t="s">
        <v>31</v>
      </c>
      <c r="M386" s="49" t="s">
        <v>31</v>
      </c>
    </row>
    <row r="387" spans="1:21" x14ac:dyDescent="0.2">
      <c r="A387" s="49" t="s">
        <v>30</v>
      </c>
      <c r="D387" s="49" t="s">
        <v>32790</v>
      </c>
      <c r="E387" s="49" t="s">
        <v>8475</v>
      </c>
      <c r="F387" s="49" t="s">
        <v>32791</v>
      </c>
      <c r="H387" s="49" t="s">
        <v>32792</v>
      </c>
      <c r="O387" s="49" t="s">
        <v>32793</v>
      </c>
      <c r="P387" s="49" t="s">
        <v>32794</v>
      </c>
      <c r="Q387" s="49" t="s">
        <v>32795</v>
      </c>
      <c r="R387" s="49" t="s">
        <v>32796</v>
      </c>
      <c r="S387" s="49" t="s">
        <v>32797</v>
      </c>
      <c r="T387" s="49" t="s">
        <v>32798</v>
      </c>
      <c r="U387" s="49" t="s">
        <v>32799</v>
      </c>
    </row>
    <row r="388" spans="1:21" x14ac:dyDescent="0.2">
      <c r="A388" s="49" t="s">
        <v>30</v>
      </c>
      <c r="D388" s="49" t="s">
        <v>14555</v>
      </c>
      <c r="G388" s="49" t="s">
        <v>32800</v>
      </c>
      <c r="H388" s="49" t="s">
        <v>31385</v>
      </c>
      <c r="I388" s="49" t="s">
        <v>31393</v>
      </c>
      <c r="J388" s="49" t="s">
        <v>31467</v>
      </c>
      <c r="K388" s="49" t="s">
        <v>31475</v>
      </c>
      <c r="L388" s="49" t="s">
        <v>14557</v>
      </c>
      <c r="M388" s="49" t="s">
        <v>14558</v>
      </c>
      <c r="N388" s="49" t="s">
        <v>14559</v>
      </c>
      <c r="O388" s="49" t="s">
        <v>32984</v>
      </c>
      <c r="P388" s="49" t="s">
        <v>32985</v>
      </c>
      <c r="Q388" s="49" t="s">
        <v>32986</v>
      </c>
      <c r="R388" s="49" t="s">
        <v>32987</v>
      </c>
      <c r="S388" s="49" t="s">
        <v>32988</v>
      </c>
      <c r="T388" s="49" t="s">
        <v>32989</v>
      </c>
    </row>
    <row r="389" spans="1:21" x14ac:dyDescent="0.2">
      <c r="A389" s="49" t="s">
        <v>30</v>
      </c>
      <c r="D389" s="49" t="s">
        <v>2201</v>
      </c>
      <c r="G389" s="49" t="s">
        <v>19462</v>
      </c>
      <c r="H389" s="49" t="s">
        <v>2202</v>
      </c>
      <c r="I389" s="49" t="s">
        <v>2203</v>
      </c>
      <c r="J389" s="49" t="s">
        <v>2204</v>
      </c>
      <c r="K389" s="49" t="s">
        <v>2205</v>
      </c>
      <c r="L389" s="49" t="s">
        <v>2206</v>
      </c>
      <c r="M389" s="49" t="s">
        <v>2207</v>
      </c>
      <c r="N389" s="49" t="s">
        <v>2208</v>
      </c>
      <c r="O389" s="49" t="s">
        <v>10547</v>
      </c>
      <c r="P389" s="49" t="s">
        <v>10548</v>
      </c>
      <c r="Q389" s="49" t="s">
        <v>10549</v>
      </c>
      <c r="R389" s="49" t="s">
        <v>10550</v>
      </c>
      <c r="S389" s="49" t="s">
        <v>10551</v>
      </c>
      <c r="T389" s="49" t="s">
        <v>10552</v>
      </c>
    </row>
    <row r="390" spans="1:21" x14ac:dyDescent="0.2">
      <c r="A390" s="49" t="s">
        <v>30</v>
      </c>
      <c r="D390" s="49" t="s">
        <v>2209</v>
      </c>
      <c r="G390" s="49" t="s">
        <v>19467</v>
      </c>
      <c r="H390" s="49" t="s">
        <v>2210</v>
      </c>
      <c r="I390" s="49" t="s">
        <v>2211</v>
      </c>
      <c r="J390" s="49" t="s">
        <v>2212</v>
      </c>
      <c r="K390" s="49" t="s">
        <v>2213</v>
      </c>
      <c r="L390" s="49" t="s">
        <v>2214</v>
      </c>
      <c r="M390" s="49" t="s">
        <v>2215</v>
      </c>
      <c r="N390" s="49" t="s">
        <v>2216</v>
      </c>
      <c r="O390" s="49" t="s">
        <v>10553</v>
      </c>
      <c r="P390" s="49" t="s">
        <v>10554</v>
      </c>
      <c r="Q390" s="49" t="s">
        <v>10555</v>
      </c>
      <c r="R390" s="49" t="s">
        <v>10556</v>
      </c>
      <c r="S390" s="49" t="s">
        <v>10557</v>
      </c>
      <c r="T390" s="49" t="s">
        <v>10558</v>
      </c>
    </row>
    <row r="391" spans="1:21" x14ac:dyDescent="0.2">
      <c r="A391" s="49" t="s">
        <v>30</v>
      </c>
    </row>
    <row r="392" spans="1:21" x14ac:dyDescent="0.2">
      <c r="A392" s="49" t="s">
        <v>30</v>
      </c>
      <c r="E392" s="49" t="s">
        <v>31</v>
      </c>
      <c r="F392" s="49" t="s">
        <v>31</v>
      </c>
      <c r="G392" s="49" t="s">
        <v>31</v>
      </c>
      <c r="J392" s="49" t="s">
        <v>31</v>
      </c>
      <c r="K392" s="49" t="s">
        <v>31</v>
      </c>
      <c r="L392" s="49" t="s">
        <v>31</v>
      </c>
      <c r="M392" s="49" t="s">
        <v>31</v>
      </c>
    </row>
    <row r="393" spans="1:21" x14ac:dyDescent="0.2">
      <c r="A393" s="49" t="s">
        <v>30</v>
      </c>
      <c r="D393" s="49" t="s">
        <v>10559</v>
      </c>
      <c r="E393" s="49" t="s">
        <v>8518</v>
      </c>
      <c r="F393" s="49" t="s">
        <v>10560</v>
      </c>
      <c r="H393" s="49" t="s">
        <v>10561</v>
      </c>
      <c r="O393" s="49" t="s">
        <v>13923</v>
      </c>
      <c r="P393" s="49" t="s">
        <v>13924</v>
      </c>
      <c r="Q393" s="49" t="s">
        <v>13925</v>
      </c>
      <c r="R393" s="49" t="s">
        <v>13926</v>
      </c>
      <c r="S393" s="49" t="s">
        <v>13927</v>
      </c>
      <c r="T393" s="49" t="s">
        <v>13928</v>
      </c>
      <c r="U393" s="49" t="s">
        <v>13929</v>
      </c>
    </row>
    <row r="394" spans="1:21" x14ac:dyDescent="0.2">
      <c r="A394" s="49" t="s">
        <v>30</v>
      </c>
      <c r="D394" s="49" t="s">
        <v>4979</v>
      </c>
      <c r="G394" s="49" t="s">
        <v>10562</v>
      </c>
      <c r="H394" s="49" t="s">
        <v>4980</v>
      </c>
      <c r="I394" s="49" t="s">
        <v>4981</v>
      </c>
      <c r="J394" s="49" t="s">
        <v>4982</v>
      </c>
      <c r="K394" s="49" t="s">
        <v>4983</v>
      </c>
      <c r="L394" s="49" t="s">
        <v>4984</v>
      </c>
      <c r="M394" s="49" t="s">
        <v>4985</v>
      </c>
      <c r="N394" s="49" t="s">
        <v>4986</v>
      </c>
      <c r="O394" s="49" t="s">
        <v>9389</v>
      </c>
      <c r="P394" s="49" t="s">
        <v>9390</v>
      </c>
      <c r="Q394" s="49" t="s">
        <v>9391</v>
      </c>
      <c r="R394" s="49" t="s">
        <v>9392</v>
      </c>
      <c r="S394" s="49" t="s">
        <v>9393</v>
      </c>
      <c r="T394" s="49" t="s">
        <v>9394</v>
      </c>
    </row>
    <row r="395" spans="1:21" x14ac:dyDescent="0.2">
      <c r="A395" s="49" t="s">
        <v>30</v>
      </c>
    </row>
    <row r="396" spans="1:21" x14ac:dyDescent="0.2">
      <c r="A396" s="49" t="s">
        <v>30</v>
      </c>
      <c r="E396" s="49" t="s">
        <v>31</v>
      </c>
      <c r="F396" s="49" t="s">
        <v>31</v>
      </c>
      <c r="G396" s="49" t="s">
        <v>31</v>
      </c>
      <c r="J396" s="49" t="s">
        <v>31</v>
      </c>
      <c r="K396" s="49" t="s">
        <v>31</v>
      </c>
      <c r="L396" s="49" t="s">
        <v>31</v>
      </c>
      <c r="M396" s="49" t="s">
        <v>31</v>
      </c>
    </row>
    <row r="397" spans="1:21" x14ac:dyDescent="0.2">
      <c r="A397" s="49" t="s">
        <v>30</v>
      </c>
      <c r="D397" s="49" t="s">
        <v>9395</v>
      </c>
      <c r="E397" s="49" t="s">
        <v>8760</v>
      </c>
      <c r="F397" s="49" t="s">
        <v>9396</v>
      </c>
      <c r="H397" s="49" t="s">
        <v>9397</v>
      </c>
      <c r="O397" s="49" t="s">
        <v>32801</v>
      </c>
      <c r="P397" s="49" t="s">
        <v>32802</v>
      </c>
      <c r="Q397" s="49" t="s">
        <v>32803</v>
      </c>
      <c r="R397" s="49" t="s">
        <v>32804</v>
      </c>
      <c r="S397" s="49" t="s">
        <v>32805</v>
      </c>
      <c r="T397" s="49" t="s">
        <v>32806</v>
      </c>
      <c r="U397" s="49" t="s">
        <v>32807</v>
      </c>
    </row>
    <row r="398" spans="1:21" x14ac:dyDescent="0.2">
      <c r="A398" s="49" t="s">
        <v>30</v>
      </c>
      <c r="D398" s="49" t="s">
        <v>3300</v>
      </c>
      <c r="G398" s="49" t="s">
        <v>9398</v>
      </c>
      <c r="H398" s="49" t="s">
        <v>3301</v>
      </c>
      <c r="I398" s="49" t="s">
        <v>3302</v>
      </c>
      <c r="J398" s="49" t="s">
        <v>3303</v>
      </c>
      <c r="K398" s="49" t="s">
        <v>3304</v>
      </c>
      <c r="L398" s="49" t="s">
        <v>3305</v>
      </c>
      <c r="M398" s="49" t="s">
        <v>3306</v>
      </c>
      <c r="N398" s="49" t="s">
        <v>3307</v>
      </c>
      <c r="O398" s="49" t="s">
        <v>9399</v>
      </c>
      <c r="P398" s="49" t="s">
        <v>9400</v>
      </c>
      <c r="Q398" s="49" t="s">
        <v>9401</v>
      </c>
      <c r="R398" s="49" t="s">
        <v>9402</v>
      </c>
      <c r="S398" s="49" t="s">
        <v>9403</v>
      </c>
      <c r="T398" s="49" t="s">
        <v>9404</v>
      </c>
    </row>
    <row r="399" spans="1:21" x14ac:dyDescent="0.2">
      <c r="A399" s="49" t="s">
        <v>30</v>
      </c>
      <c r="D399" s="49" t="s">
        <v>14574</v>
      </c>
      <c r="G399" s="49" t="s">
        <v>19912</v>
      </c>
      <c r="H399" s="49" t="s">
        <v>31387</v>
      </c>
      <c r="I399" s="49" t="s">
        <v>31395</v>
      </c>
      <c r="J399" s="49" t="s">
        <v>31469</v>
      </c>
      <c r="K399" s="49" t="s">
        <v>31477</v>
      </c>
      <c r="L399" s="49" t="s">
        <v>14576</v>
      </c>
      <c r="M399" s="49" t="s">
        <v>14577</v>
      </c>
      <c r="N399" s="49" t="s">
        <v>14578</v>
      </c>
      <c r="O399" s="49" t="s">
        <v>32808</v>
      </c>
      <c r="P399" s="49" t="s">
        <v>32809</v>
      </c>
      <c r="Q399" s="49" t="s">
        <v>32810</v>
      </c>
      <c r="R399" s="49" t="s">
        <v>32811</v>
      </c>
      <c r="S399" s="49" t="s">
        <v>32812</v>
      </c>
      <c r="T399" s="49" t="s">
        <v>32813</v>
      </c>
    </row>
    <row r="400" spans="1:21" x14ac:dyDescent="0.2">
      <c r="A400" s="49" t="s">
        <v>30</v>
      </c>
    </row>
    <row r="401" spans="1:21" x14ac:dyDescent="0.2">
      <c r="A401" s="49" t="s">
        <v>30</v>
      </c>
      <c r="E401" s="49" t="s">
        <v>31</v>
      </c>
      <c r="F401" s="49" t="s">
        <v>31</v>
      </c>
      <c r="G401" s="49" t="s">
        <v>31</v>
      </c>
      <c r="J401" s="49" t="s">
        <v>31</v>
      </c>
      <c r="K401" s="49" t="s">
        <v>31</v>
      </c>
      <c r="L401" s="49" t="s">
        <v>31</v>
      </c>
      <c r="M401" s="49" t="s">
        <v>31</v>
      </c>
    </row>
    <row r="402" spans="1:21" x14ac:dyDescent="0.2">
      <c r="A402" s="49" t="s">
        <v>30</v>
      </c>
      <c r="D402" s="49" t="s">
        <v>32814</v>
      </c>
      <c r="E402" s="49" t="s">
        <v>8775</v>
      </c>
      <c r="F402" s="49" t="s">
        <v>32815</v>
      </c>
      <c r="H402" s="49" t="s">
        <v>32816</v>
      </c>
      <c r="O402" s="49" t="s">
        <v>32817</v>
      </c>
      <c r="P402" s="49" t="s">
        <v>32818</v>
      </c>
      <c r="Q402" s="49" t="s">
        <v>32819</v>
      </c>
      <c r="R402" s="49" t="s">
        <v>32820</v>
      </c>
      <c r="S402" s="49" t="s">
        <v>32821</v>
      </c>
      <c r="T402" s="49" t="s">
        <v>32822</v>
      </c>
      <c r="U402" s="49" t="s">
        <v>32823</v>
      </c>
    </row>
    <row r="403" spans="1:21" x14ac:dyDescent="0.2">
      <c r="A403" s="49" t="s">
        <v>30</v>
      </c>
      <c r="D403" s="49" t="s">
        <v>1581</v>
      </c>
      <c r="G403" s="49" t="s">
        <v>32824</v>
      </c>
      <c r="H403" s="49" t="s">
        <v>1582</v>
      </c>
      <c r="I403" s="49" t="s">
        <v>1583</v>
      </c>
      <c r="J403" s="49" t="s">
        <v>1584</v>
      </c>
      <c r="K403" s="49" t="s">
        <v>1585</v>
      </c>
      <c r="L403" s="49" t="s">
        <v>1586</v>
      </c>
      <c r="M403" s="49" t="s">
        <v>1587</v>
      </c>
      <c r="N403" s="49" t="s">
        <v>1588</v>
      </c>
      <c r="O403" s="49" t="s">
        <v>32825</v>
      </c>
      <c r="P403" s="49" t="s">
        <v>32826</v>
      </c>
      <c r="Q403" s="49" t="s">
        <v>32827</v>
      </c>
      <c r="R403" s="49" t="s">
        <v>32828</v>
      </c>
      <c r="S403" s="49" t="s">
        <v>32829</v>
      </c>
      <c r="T403" s="49" t="s">
        <v>32830</v>
      </c>
    </row>
    <row r="404" spans="1:21" x14ac:dyDescent="0.2">
      <c r="A404" s="49" t="s">
        <v>30</v>
      </c>
      <c r="D404" s="49" t="s">
        <v>14591</v>
      </c>
      <c r="G404" s="49" t="s">
        <v>19997</v>
      </c>
      <c r="H404" s="49" t="s">
        <v>31390</v>
      </c>
      <c r="I404" s="49" t="s">
        <v>31398</v>
      </c>
      <c r="J404" s="49" t="s">
        <v>31472</v>
      </c>
      <c r="K404" s="49" t="s">
        <v>31480</v>
      </c>
      <c r="L404" s="49" t="s">
        <v>14593</v>
      </c>
      <c r="M404" s="49" t="s">
        <v>14594</v>
      </c>
      <c r="N404" s="49" t="s">
        <v>14595</v>
      </c>
      <c r="O404" s="49" t="s">
        <v>32831</v>
      </c>
      <c r="P404" s="49" t="s">
        <v>32832</v>
      </c>
      <c r="Q404" s="49" t="s">
        <v>32833</v>
      </c>
      <c r="R404" s="49" t="s">
        <v>32834</v>
      </c>
      <c r="S404" s="49" t="s">
        <v>32835</v>
      </c>
      <c r="T404" s="49" t="s">
        <v>32836</v>
      </c>
    </row>
    <row r="405" spans="1:21" x14ac:dyDescent="0.2">
      <c r="A405" s="49" t="s">
        <v>30</v>
      </c>
    </row>
    <row r="406" spans="1:21" x14ac:dyDescent="0.2">
      <c r="A406" s="49" t="s">
        <v>30</v>
      </c>
      <c r="E406" s="49" t="s">
        <v>31</v>
      </c>
      <c r="F406" s="49" t="s">
        <v>31</v>
      </c>
      <c r="G406" s="49" t="s">
        <v>31</v>
      </c>
      <c r="J406" s="49" t="s">
        <v>31</v>
      </c>
      <c r="K406" s="49" t="s">
        <v>31</v>
      </c>
      <c r="L406" s="49" t="s">
        <v>31</v>
      </c>
      <c r="M406" s="49" t="s">
        <v>31</v>
      </c>
    </row>
    <row r="407" spans="1:21" x14ac:dyDescent="0.2">
      <c r="A407" s="49" t="s">
        <v>30</v>
      </c>
      <c r="D407" s="49" t="s">
        <v>32837</v>
      </c>
      <c r="E407" s="49" t="s">
        <v>8832</v>
      </c>
      <c r="F407" s="49" t="s">
        <v>32838</v>
      </c>
      <c r="H407" s="49" t="s">
        <v>32839</v>
      </c>
      <c r="O407" s="49" t="s">
        <v>32840</v>
      </c>
      <c r="P407" s="49" t="s">
        <v>32841</v>
      </c>
      <c r="Q407" s="49" t="s">
        <v>32842</v>
      </c>
      <c r="R407" s="49" t="s">
        <v>32843</v>
      </c>
      <c r="S407" s="49" t="s">
        <v>32844</v>
      </c>
      <c r="T407" s="49" t="s">
        <v>32845</v>
      </c>
      <c r="U407" s="49" t="s">
        <v>32846</v>
      </c>
    </row>
    <row r="408" spans="1:21" x14ac:dyDescent="0.2">
      <c r="A408" s="49" t="s">
        <v>30</v>
      </c>
      <c r="D408" s="49" t="s">
        <v>5003</v>
      </c>
      <c r="G408" s="49" t="s">
        <v>32847</v>
      </c>
      <c r="H408" s="49" t="s">
        <v>5004</v>
      </c>
      <c r="I408" s="49" t="s">
        <v>5005</v>
      </c>
      <c r="J408" s="49" t="s">
        <v>5006</v>
      </c>
      <c r="K408" s="49" t="s">
        <v>5007</v>
      </c>
      <c r="L408" s="49" t="s">
        <v>5008</v>
      </c>
      <c r="M408" s="49" t="s">
        <v>5009</v>
      </c>
      <c r="N408" s="49" t="s">
        <v>5010</v>
      </c>
      <c r="O408" s="49" t="s">
        <v>32972</v>
      </c>
      <c r="P408" s="49" t="s">
        <v>32974</v>
      </c>
      <c r="Q408" s="49" t="s">
        <v>32976</v>
      </c>
      <c r="R408" s="49" t="s">
        <v>32978</v>
      </c>
      <c r="S408" s="49" t="s">
        <v>32980</v>
      </c>
      <c r="T408" s="49" t="s">
        <v>32982</v>
      </c>
    </row>
    <row r="409" spans="1:21" x14ac:dyDescent="0.2">
      <c r="A409" s="49" t="s">
        <v>30</v>
      </c>
      <c r="D409" s="49" t="s">
        <v>5011</v>
      </c>
      <c r="G409" s="49" t="s">
        <v>20072</v>
      </c>
      <c r="H409" s="49" t="s">
        <v>5012</v>
      </c>
      <c r="I409" s="49" t="s">
        <v>5013</v>
      </c>
      <c r="J409" s="49" t="s">
        <v>5014</v>
      </c>
      <c r="K409" s="49" t="s">
        <v>5015</v>
      </c>
      <c r="L409" s="49" t="s">
        <v>5016</v>
      </c>
      <c r="M409" s="49" t="s">
        <v>5017</v>
      </c>
      <c r="N409" s="49" t="s">
        <v>5018</v>
      </c>
      <c r="O409" s="49" t="s">
        <v>32973</v>
      </c>
      <c r="P409" s="49" t="s">
        <v>32975</v>
      </c>
      <c r="Q409" s="49" t="s">
        <v>32977</v>
      </c>
      <c r="R409" s="49" t="s">
        <v>32979</v>
      </c>
      <c r="S409" s="49" t="s">
        <v>32981</v>
      </c>
      <c r="T409" s="49" t="s">
        <v>32983</v>
      </c>
    </row>
    <row r="410" spans="1:21" x14ac:dyDescent="0.2">
      <c r="A410" s="49" t="s">
        <v>30</v>
      </c>
      <c r="D410" s="49" t="s">
        <v>5025</v>
      </c>
      <c r="G410" s="49" t="s">
        <v>20132</v>
      </c>
      <c r="H410" s="49" t="s">
        <v>5026</v>
      </c>
      <c r="I410" s="49" t="s">
        <v>5027</v>
      </c>
      <c r="J410" s="49" t="s">
        <v>5028</v>
      </c>
      <c r="K410" s="49" t="s">
        <v>5029</v>
      </c>
      <c r="L410" s="49" t="s">
        <v>5030</v>
      </c>
      <c r="M410" s="49" t="s">
        <v>5031</v>
      </c>
      <c r="N410" s="49" t="s">
        <v>5032</v>
      </c>
      <c r="O410" s="49" t="s">
        <v>9832</v>
      </c>
      <c r="P410" s="49" t="s">
        <v>9833</v>
      </c>
      <c r="Q410" s="49" t="s">
        <v>9834</v>
      </c>
      <c r="R410" s="49" t="s">
        <v>9835</v>
      </c>
      <c r="S410" s="49" t="s">
        <v>9836</v>
      </c>
      <c r="T410" s="49" t="s">
        <v>9837</v>
      </c>
    </row>
    <row r="411" spans="1:21" x14ac:dyDescent="0.2">
      <c r="A411" s="49" t="s">
        <v>30</v>
      </c>
    </row>
    <row r="412" spans="1:21" x14ac:dyDescent="0.2">
      <c r="A412" s="49" t="s">
        <v>30</v>
      </c>
      <c r="E412" s="49" t="s">
        <v>31</v>
      </c>
      <c r="F412" s="49" t="s">
        <v>31</v>
      </c>
      <c r="G412" s="49" t="s">
        <v>31</v>
      </c>
      <c r="J412" s="49" t="s">
        <v>31</v>
      </c>
      <c r="K412" s="49" t="s">
        <v>31</v>
      </c>
      <c r="L412" s="49" t="s">
        <v>31</v>
      </c>
      <c r="M412" s="49" t="s">
        <v>31</v>
      </c>
    </row>
    <row r="413" spans="1:21" x14ac:dyDescent="0.2">
      <c r="A413" s="49" t="s">
        <v>30</v>
      </c>
      <c r="D413" s="49" t="s">
        <v>5039</v>
      </c>
      <c r="E413" s="49" t="s">
        <v>8833</v>
      </c>
      <c r="F413" s="49" t="s">
        <v>5041</v>
      </c>
      <c r="H413" s="49" t="s">
        <v>5042</v>
      </c>
      <c r="O413" s="49" t="s">
        <v>32848</v>
      </c>
      <c r="P413" s="49" t="s">
        <v>32849</v>
      </c>
      <c r="Q413" s="49" t="s">
        <v>32850</v>
      </c>
      <c r="R413" s="49" t="s">
        <v>32851</v>
      </c>
      <c r="S413" s="49" t="s">
        <v>32852</v>
      </c>
      <c r="T413" s="49" t="s">
        <v>32853</v>
      </c>
      <c r="U413" s="49" t="s">
        <v>32854</v>
      </c>
    </row>
    <row r="414" spans="1:21" x14ac:dyDescent="0.2">
      <c r="A414" s="49" t="s">
        <v>30</v>
      </c>
      <c r="D414" s="49" t="s">
        <v>5043</v>
      </c>
      <c r="G414" s="49" t="s">
        <v>13542</v>
      </c>
      <c r="H414" s="49" t="s">
        <v>5044</v>
      </c>
      <c r="I414" s="49" t="s">
        <v>5045</v>
      </c>
      <c r="J414" s="49" t="s">
        <v>5046</v>
      </c>
      <c r="K414" s="49" t="s">
        <v>5047</v>
      </c>
      <c r="L414" s="49" t="s">
        <v>5048</v>
      </c>
      <c r="M414" s="49" t="s">
        <v>5049</v>
      </c>
      <c r="N414" s="49" t="s">
        <v>5050</v>
      </c>
      <c r="O414" s="49" t="s">
        <v>13543</v>
      </c>
      <c r="P414" s="49" t="s">
        <v>13544</v>
      </c>
      <c r="Q414" s="49" t="s">
        <v>13545</v>
      </c>
      <c r="R414" s="49" t="s">
        <v>13546</v>
      </c>
      <c r="S414" s="49" t="s">
        <v>13547</v>
      </c>
      <c r="T414" s="49" t="s">
        <v>13548</v>
      </c>
    </row>
    <row r="415" spans="1:21" x14ac:dyDescent="0.2">
      <c r="A415" s="49" t="s">
        <v>30</v>
      </c>
    </row>
    <row r="416" spans="1:21" x14ac:dyDescent="0.2">
      <c r="A416" s="49" t="s">
        <v>30</v>
      </c>
      <c r="E416" s="49" t="s">
        <v>31</v>
      </c>
      <c r="F416" s="49" t="s">
        <v>31</v>
      </c>
      <c r="G416" s="49" t="s">
        <v>31</v>
      </c>
      <c r="J416" s="49" t="s">
        <v>31</v>
      </c>
      <c r="K416" s="49" t="s">
        <v>31</v>
      </c>
      <c r="L416" s="49" t="s">
        <v>31</v>
      </c>
      <c r="M416" s="49" t="s">
        <v>31</v>
      </c>
    </row>
    <row r="417" spans="1:21" x14ac:dyDescent="0.2">
      <c r="A417" s="49" t="s">
        <v>30</v>
      </c>
      <c r="D417" s="49" t="s">
        <v>32855</v>
      </c>
      <c r="E417" s="49" t="s">
        <v>8834</v>
      </c>
      <c r="F417" s="49" t="s">
        <v>32856</v>
      </c>
      <c r="H417" s="49" t="s">
        <v>32857</v>
      </c>
      <c r="O417" s="49" t="s">
        <v>32858</v>
      </c>
      <c r="P417" s="49" t="s">
        <v>32859</v>
      </c>
      <c r="Q417" s="49" t="s">
        <v>32860</v>
      </c>
      <c r="R417" s="49" t="s">
        <v>32861</v>
      </c>
      <c r="S417" s="49" t="s">
        <v>32862</v>
      </c>
      <c r="T417" s="49" t="s">
        <v>32863</v>
      </c>
      <c r="U417" s="49" t="s">
        <v>32864</v>
      </c>
    </row>
    <row r="418" spans="1:21" x14ac:dyDescent="0.2">
      <c r="A418" s="49" t="s">
        <v>30</v>
      </c>
      <c r="D418" s="49" t="s">
        <v>14624</v>
      </c>
      <c r="G418" s="49" t="s">
        <v>32865</v>
      </c>
      <c r="H418" s="49" t="s">
        <v>31311</v>
      </c>
      <c r="I418" s="49" t="s">
        <v>31316</v>
      </c>
      <c r="J418" s="49" t="s">
        <v>31375</v>
      </c>
      <c r="K418" s="49" t="s">
        <v>31380</v>
      </c>
      <c r="L418" s="49" t="s">
        <v>14626</v>
      </c>
      <c r="M418" s="49" t="s">
        <v>14627</v>
      </c>
      <c r="N418" s="49" t="s">
        <v>14628</v>
      </c>
      <c r="O418" s="49" t="s">
        <v>32866</v>
      </c>
      <c r="P418" s="49" t="s">
        <v>32867</v>
      </c>
      <c r="Q418" s="49" t="s">
        <v>32868</v>
      </c>
      <c r="R418" s="49" t="s">
        <v>32869</v>
      </c>
      <c r="S418" s="49" t="s">
        <v>32870</v>
      </c>
      <c r="T418" s="49" t="s">
        <v>32871</v>
      </c>
    </row>
    <row r="419" spans="1:21" x14ac:dyDescent="0.2">
      <c r="A419" s="49" t="s">
        <v>30</v>
      </c>
      <c r="D419" s="49" t="s">
        <v>13555</v>
      </c>
      <c r="G419" s="49" t="s">
        <v>20252</v>
      </c>
      <c r="H419" s="49" t="s">
        <v>13556</v>
      </c>
      <c r="I419" s="49" t="s">
        <v>13557</v>
      </c>
      <c r="J419" s="49" t="s">
        <v>13558</v>
      </c>
      <c r="K419" s="49" t="s">
        <v>13559</v>
      </c>
      <c r="L419" s="49" t="s">
        <v>13560</v>
      </c>
      <c r="M419" s="49" t="s">
        <v>13561</v>
      </c>
      <c r="N419" s="49" t="s">
        <v>13562</v>
      </c>
      <c r="O419" s="49" t="s">
        <v>13563</v>
      </c>
      <c r="P419" s="49" t="s">
        <v>13564</v>
      </c>
      <c r="Q419" s="49" t="s">
        <v>13565</v>
      </c>
      <c r="R419" s="49" t="s">
        <v>13566</v>
      </c>
      <c r="S419" s="49" t="s">
        <v>13567</v>
      </c>
      <c r="T419" s="49" t="s">
        <v>13568</v>
      </c>
    </row>
    <row r="420" spans="1:21" x14ac:dyDescent="0.2">
      <c r="A420" s="49" t="s">
        <v>30</v>
      </c>
    </row>
    <row r="421" spans="1:21" x14ac:dyDescent="0.2">
      <c r="A421" s="49" t="s">
        <v>30</v>
      </c>
      <c r="E421" s="49" t="s">
        <v>31</v>
      </c>
      <c r="F421" s="49" t="s">
        <v>31</v>
      </c>
      <c r="G421" s="49" t="s">
        <v>31</v>
      </c>
      <c r="J421" s="49" t="s">
        <v>31</v>
      </c>
      <c r="K421" s="49" t="s">
        <v>31</v>
      </c>
      <c r="L421" s="49" t="s">
        <v>31</v>
      </c>
      <c r="M421" s="49" t="s">
        <v>31</v>
      </c>
    </row>
    <row r="422" spans="1:21" x14ac:dyDescent="0.2">
      <c r="A422" s="49" t="s">
        <v>30</v>
      </c>
      <c r="D422" s="49" t="s">
        <v>13569</v>
      </c>
      <c r="E422" s="49" t="s">
        <v>8835</v>
      </c>
      <c r="F422" s="49" t="s">
        <v>13570</v>
      </c>
      <c r="H422" s="49" t="s">
        <v>13571</v>
      </c>
      <c r="O422" s="49" t="s">
        <v>32872</v>
      </c>
      <c r="P422" s="49" t="s">
        <v>32873</v>
      </c>
      <c r="Q422" s="49" t="s">
        <v>32874</v>
      </c>
      <c r="R422" s="49" t="s">
        <v>32875</v>
      </c>
      <c r="S422" s="49" t="s">
        <v>32876</v>
      </c>
      <c r="T422" s="49" t="s">
        <v>32877</v>
      </c>
      <c r="U422" s="49" t="s">
        <v>32878</v>
      </c>
    </row>
    <row r="423" spans="1:21" x14ac:dyDescent="0.2">
      <c r="A423" s="49" t="s">
        <v>30</v>
      </c>
      <c r="D423" s="49" t="s">
        <v>5083</v>
      </c>
      <c r="G423" s="49" t="s">
        <v>13572</v>
      </c>
      <c r="H423" s="49" t="s">
        <v>5084</v>
      </c>
      <c r="I423" s="49" t="s">
        <v>5085</v>
      </c>
      <c r="J423" s="49" t="s">
        <v>5086</v>
      </c>
      <c r="K423" s="49" t="s">
        <v>5087</v>
      </c>
      <c r="L423" s="49" t="s">
        <v>5088</v>
      </c>
      <c r="M423" s="49" t="s">
        <v>5089</v>
      </c>
      <c r="N423" s="49" t="s">
        <v>5090</v>
      </c>
      <c r="O423" s="49" t="s">
        <v>13573</v>
      </c>
      <c r="P423" s="49" t="s">
        <v>13574</v>
      </c>
      <c r="Q423" s="49" t="s">
        <v>13575</v>
      </c>
      <c r="R423" s="49" t="s">
        <v>13576</v>
      </c>
      <c r="S423" s="49" t="s">
        <v>13577</v>
      </c>
      <c r="T423" s="49" t="s">
        <v>13578</v>
      </c>
    </row>
    <row r="424" spans="1:21" x14ac:dyDescent="0.2">
      <c r="A424" s="49" t="s">
        <v>30</v>
      </c>
      <c r="D424" s="49" t="s">
        <v>14642</v>
      </c>
      <c r="G424" s="49" t="s">
        <v>20372</v>
      </c>
      <c r="H424" s="49" t="s">
        <v>31314</v>
      </c>
      <c r="I424" s="49" t="s">
        <v>31319</v>
      </c>
      <c r="J424" s="49" t="s">
        <v>31378</v>
      </c>
      <c r="K424" s="49" t="s">
        <v>31383</v>
      </c>
      <c r="L424" s="49" t="s">
        <v>14644</v>
      </c>
      <c r="M424" s="49" t="s">
        <v>14645</v>
      </c>
      <c r="N424" s="49" t="s">
        <v>14646</v>
      </c>
      <c r="O424" s="49" t="s">
        <v>32960</v>
      </c>
      <c r="P424" s="49" t="s">
        <v>32962</v>
      </c>
      <c r="Q424" s="49" t="s">
        <v>32964</v>
      </c>
      <c r="R424" s="49" t="s">
        <v>32966</v>
      </c>
      <c r="S424" s="49" t="s">
        <v>32968</v>
      </c>
      <c r="T424" s="49" t="s">
        <v>32970</v>
      </c>
    </row>
    <row r="425" spans="1:21" x14ac:dyDescent="0.2">
      <c r="A425" s="49" t="s">
        <v>30</v>
      </c>
      <c r="D425" s="49" t="s">
        <v>1597</v>
      </c>
      <c r="G425" s="49" t="s">
        <v>20427</v>
      </c>
      <c r="H425" s="49" t="s">
        <v>1598</v>
      </c>
      <c r="I425" s="49" t="s">
        <v>1599</v>
      </c>
      <c r="J425" s="49" t="s">
        <v>1600</v>
      </c>
      <c r="K425" s="49" t="s">
        <v>1601</v>
      </c>
      <c r="L425" s="49" t="s">
        <v>1602</v>
      </c>
      <c r="M425" s="49" t="s">
        <v>1603</v>
      </c>
      <c r="N425" s="49" t="s">
        <v>1604</v>
      </c>
      <c r="O425" s="49" t="s">
        <v>32961</v>
      </c>
      <c r="P425" s="49" t="s">
        <v>32963</v>
      </c>
      <c r="Q425" s="49" t="s">
        <v>32965</v>
      </c>
      <c r="R425" s="49" t="s">
        <v>32967</v>
      </c>
      <c r="S425" s="49" t="s">
        <v>32969</v>
      </c>
      <c r="T425" s="49" t="s">
        <v>32971</v>
      </c>
    </row>
    <row r="426" spans="1:21" x14ac:dyDescent="0.2">
      <c r="A426" s="49" t="s">
        <v>30</v>
      </c>
    </row>
    <row r="427" spans="1:21" x14ac:dyDescent="0.2">
      <c r="A427" s="49" t="s">
        <v>30</v>
      </c>
      <c r="E427" s="49" t="s">
        <v>31</v>
      </c>
      <c r="F427" s="49" t="s">
        <v>31</v>
      </c>
      <c r="G427" s="49" t="s">
        <v>31</v>
      </c>
      <c r="J427" s="49" t="s">
        <v>31</v>
      </c>
      <c r="K427" s="49" t="s">
        <v>31</v>
      </c>
      <c r="L427" s="49" t="s">
        <v>31</v>
      </c>
      <c r="M427" s="49" t="s">
        <v>31</v>
      </c>
    </row>
    <row r="428" spans="1:21" x14ac:dyDescent="0.2">
      <c r="A428" s="49" t="s">
        <v>30</v>
      </c>
      <c r="D428" s="49" t="s">
        <v>32879</v>
      </c>
      <c r="E428" s="49" t="s">
        <v>8836</v>
      </c>
      <c r="F428" s="49" t="s">
        <v>32880</v>
      </c>
      <c r="H428" s="49" t="s">
        <v>32881</v>
      </c>
      <c r="O428" s="49" t="s">
        <v>32882</v>
      </c>
      <c r="P428" s="49" t="s">
        <v>32883</v>
      </c>
      <c r="Q428" s="49" t="s">
        <v>32884</v>
      </c>
      <c r="R428" s="49" t="s">
        <v>32885</v>
      </c>
      <c r="S428" s="49" t="s">
        <v>32886</v>
      </c>
      <c r="T428" s="49" t="s">
        <v>32887</v>
      </c>
      <c r="U428" s="49" t="s">
        <v>32888</v>
      </c>
    </row>
    <row r="429" spans="1:21" x14ac:dyDescent="0.2">
      <c r="A429" s="49" t="s">
        <v>30</v>
      </c>
      <c r="D429" s="49" t="s">
        <v>9866</v>
      </c>
      <c r="G429" s="49" t="s">
        <v>32889</v>
      </c>
      <c r="H429" s="49" t="s">
        <v>9867</v>
      </c>
      <c r="I429" s="49" t="s">
        <v>9868</v>
      </c>
      <c r="J429" s="49" t="s">
        <v>9869</v>
      </c>
      <c r="K429" s="49" t="s">
        <v>9870</v>
      </c>
      <c r="L429" s="49" t="s">
        <v>9871</v>
      </c>
      <c r="M429" s="49" t="s">
        <v>9872</v>
      </c>
      <c r="N429" s="49" t="s">
        <v>9873</v>
      </c>
      <c r="O429" s="49" t="s">
        <v>32890</v>
      </c>
      <c r="P429" s="49" t="s">
        <v>32891</v>
      </c>
      <c r="Q429" s="49" t="s">
        <v>32892</v>
      </c>
      <c r="R429" s="49" t="s">
        <v>32893</v>
      </c>
      <c r="S429" s="49" t="s">
        <v>32894</v>
      </c>
      <c r="T429" s="49" t="s">
        <v>32895</v>
      </c>
    </row>
    <row r="430" spans="1:21" x14ac:dyDescent="0.2">
      <c r="A430" s="49" t="s">
        <v>30</v>
      </c>
    </row>
    <row r="431" spans="1:21" x14ac:dyDescent="0.2">
      <c r="A431" s="49" t="s">
        <v>30</v>
      </c>
      <c r="E431" s="49" t="s">
        <v>31</v>
      </c>
      <c r="F431" s="49" t="s">
        <v>31</v>
      </c>
      <c r="G431" s="49" t="s">
        <v>31</v>
      </c>
      <c r="J431" s="49" t="s">
        <v>31</v>
      </c>
      <c r="K431" s="49" t="s">
        <v>31</v>
      </c>
      <c r="L431" s="49" t="s">
        <v>31</v>
      </c>
      <c r="M431" s="49" t="s">
        <v>31</v>
      </c>
    </row>
    <row r="432" spans="1:21" x14ac:dyDescent="0.2">
      <c r="A432" s="49" t="s">
        <v>30</v>
      </c>
      <c r="D432" s="49" t="s">
        <v>32896</v>
      </c>
      <c r="E432" s="49" t="s">
        <v>8837</v>
      </c>
      <c r="F432" s="49" t="s">
        <v>32897</v>
      </c>
      <c r="H432" s="49" t="s">
        <v>32898</v>
      </c>
      <c r="O432" s="49" t="s">
        <v>32899</v>
      </c>
      <c r="P432" s="49" t="s">
        <v>32900</v>
      </c>
      <c r="Q432" s="49" t="s">
        <v>32901</v>
      </c>
      <c r="R432" s="49" t="s">
        <v>32902</v>
      </c>
      <c r="S432" s="49" t="s">
        <v>32903</v>
      </c>
      <c r="T432" s="49" t="s">
        <v>32904</v>
      </c>
      <c r="U432" s="49" t="s">
        <v>32905</v>
      </c>
    </row>
    <row r="433" spans="1:21" x14ac:dyDescent="0.2">
      <c r="A433" s="49" t="s">
        <v>30</v>
      </c>
      <c r="D433" s="49" t="s">
        <v>14659</v>
      </c>
      <c r="G433" s="49" t="s">
        <v>32906</v>
      </c>
      <c r="H433" s="49" t="s">
        <v>31242</v>
      </c>
      <c r="I433" s="49" t="s">
        <v>31247</v>
      </c>
      <c r="J433" s="49" t="s">
        <v>31300</v>
      </c>
      <c r="K433" s="49" t="s">
        <v>31305</v>
      </c>
      <c r="L433" s="49" t="s">
        <v>14661</v>
      </c>
      <c r="M433" s="49" t="s">
        <v>14662</v>
      </c>
      <c r="N433" s="49" t="s">
        <v>14663</v>
      </c>
      <c r="O433" s="49" t="s">
        <v>32907</v>
      </c>
      <c r="P433" s="49" t="s">
        <v>32908</v>
      </c>
      <c r="Q433" s="49" t="s">
        <v>32909</v>
      </c>
      <c r="R433" s="49" t="s">
        <v>32910</v>
      </c>
      <c r="S433" s="49" t="s">
        <v>32911</v>
      </c>
      <c r="T433" s="49" t="s">
        <v>32912</v>
      </c>
    </row>
    <row r="434" spans="1:21" x14ac:dyDescent="0.2">
      <c r="A434" s="49" t="s">
        <v>30</v>
      </c>
      <c r="D434" s="49" t="s">
        <v>10918</v>
      </c>
      <c r="G434" s="49" t="s">
        <v>20632</v>
      </c>
      <c r="H434" s="49" t="s">
        <v>10919</v>
      </c>
      <c r="I434" s="49" t="s">
        <v>10920</v>
      </c>
      <c r="J434" s="49" t="s">
        <v>10921</v>
      </c>
      <c r="K434" s="49" t="s">
        <v>10922</v>
      </c>
      <c r="L434" s="49" t="s">
        <v>10923</v>
      </c>
      <c r="M434" s="49" t="s">
        <v>10924</v>
      </c>
      <c r="N434" s="49" t="s">
        <v>10925</v>
      </c>
      <c r="O434" s="49" t="s">
        <v>32913</v>
      </c>
      <c r="P434" s="49" t="s">
        <v>32914</v>
      </c>
      <c r="Q434" s="49" t="s">
        <v>32915</v>
      </c>
      <c r="R434" s="49" t="s">
        <v>32916</v>
      </c>
      <c r="S434" s="49" t="s">
        <v>32917</v>
      </c>
      <c r="T434" s="49" t="s">
        <v>32918</v>
      </c>
    </row>
    <row r="435" spans="1:21" x14ac:dyDescent="0.2">
      <c r="A435" s="49" t="s">
        <v>30</v>
      </c>
    </row>
    <row r="436" spans="1:21" x14ac:dyDescent="0.2">
      <c r="A436" s="49" t="s">
        <v>30</v>
      </c>
      <c r="E436" s="49" t="s">
        <v>31</v>
      </c>
      <c r="F436" s="49" t="s">
        <v>31</v>
      </c>
      <c r="G436" s="49" t="s">
        <v>31</v>
      </c>
      <c r="J436" s="49" t="s">
        <v>31</v>
      </c>
      <c r="K436" s="49" t="s">
        <v>31</v>
      </c>
      <c r="L436" s="49" t="s">
        <v>31</v>
      </c>
      <c r="M436" s="49" t="s">
        <v>31</v>
      </c>
    </row>
    <row r="437" spans="1:21" x14ac:dyDescent="0.2">
      <c r="A437" s="49" t="s">
        <v>30</v>
      </c>
      <c r="D437" s="49" t="s">
        <v>32919</v>
      </c>
      <c r="E437" s="49" t="s">
        <v>8838</v>
      </c>
      <c r="F437" s="49" t="s">
        <v>32920</v>
      </c>
      <c r="H437" s="49" t="s">
        <v>32921</v>
      </c>
      <c r="O437" s="49" t="s">
        <v>32922</v>
      </c>
      <c r="P437" s="49" t="s">
        <v>32923</v>
      </c>
      <c r="Q437" s="49" t="s">
        <v>32924</v>
      </c>
      <c r="R437" s="49" t="s">
        <v>32925</v>
      </c>
      <c r="S437" s="49" t="s">
        <v>32926</v>
      </c>
      <c r="T437" s="49" t="s">
        <v>32927</v>
      </c>
      <c r="U437" s="49" t="s">
        <v>32928</v>
      </c>
    </row>
    <row r="438" spans="1:21" x14ac:dyDescent="0.2">
      <c r="A438" s="49" t="s">
        <v>30</v>
      </c>
      <c r="D438" s="49" t="s">
        <v>14672</v>
      </c>
      <c r="G438" s="49" t="s">
        <v>32929</v>
      </c>
      <c r="H438" s="49" t="s">
        <v>31244</v>
      </c>
      <c r="I438" s="49" t="s">
        <v>31249</v>
      </c>
      <c r="J438" s="49" t="s">
        <v>31302</v>
      </c>
      <c r="K438" s="49" t="s">
        <v>31307</v>
      </c>
      <c r="L438" s="49" t="s">
        <v>14674</v>
      </c>
      <c r="M438" s="49" t="s">
        <v>14675</v>
      </c>
      <c r="N438" s="49" t="s">
        <v>14676</v>
      </c>
      <c r="O438" s="49" t="s">
        <v>32930</v>
      </c>
      <c r="P438" s="49" t="s">
        <v>32931</v>
      </c>
      <c r="Q438" s="49" t="s">
        <v>32932</v>
      </c>
      <c r="R438" s="49" t="s">
        <v>32933</v>
      </c>
      <c r="S438" s="49" t="s">
        <v>32934</v>
      </c>
      <c r="T438" s="49" t="s">
        <v>32935</v>
      </c>
    </row>
    <row r="439" spans="1:21" x14ac:dyDescent="0.2">
      <c r="A439" s="49" t="s">
        <v>30</v>
      </c>
    </row>
    <row r="440" spans="1:21" x14ac:dyDescent="0.2">
      <c r="A440" s="49" t="s">
        <v>30</v>
      </c>
      <c r="E440" s="49" t="s">
        <v>31</v>
      </c>
      <c r="F440" s="49" t="s">
        <v>31</v>
      </c>
      <c r="G440" s="49" t="s">
        <v>31</v>
      </c>
      <c r="J440" s="49" t="s">
        <v>31</v>
      </c>
      <c r="K440" s="49" t="s">
        <v>31</v>
      </c>
      <c r="L440" s="49" t="s">
        <v>31</v>
      </c>
      <c r="M440" s="49" t="s">
        <v>31</v>
      </c>
    </row>
    <row r="441" spans="1:21" x14ac:dyDescent="0.2">
      <c r="A441" s="49" t="s">
        <v>30</v>
      </c>
      <c r="D441" s="49" t="s">
        <v>32936</v>
      </c>
      <c r="E441" s="49" t="s">
        <v>8839</v>
      </c>
      <c r="F441" s="49" t="s">
        <v>32937</v>
      </c>
      <c r="H441" s="49" t="s">
        <v>32938</v>
      </c>
      <c r="O441" s="49" t="s">
        <v>32939</v>
      </c>
      <c r="P441" s="49" t="s">
        <v>32940</v>
      </c>
      <c r="Q441" s="49" t="s">
        <v>32941</v>
      </c>
      <c r="R441" s="49" t="s">
        <v>32942</v>
      </c>
      <c r="S441" s="49" t="s">
        <v>32943</v>
      </c>
      <c r="T441" s="49" t="s">
        <v>32944</v>
      </c>
      <c r="U441" s="49" t="s">
        <v>32945</v>
      </c>
    </row>
    <row r="442" spans="1:21" x14ac:dyDescent="0.2">
      <c r="A442" s="49" t="s">
        <v>30</v>
      </c>
      <c r="D442" s="49" t="s">
        <v>14680</v>
      </c>
      <c r="G442" s="49" t="s">
        <v>32946</v>
      </c>
      <c r="H442" s="49" t="s">
        <v>31245</v>
      </c>
      <c r="I442" s="49" t="s">
        <v>31250</v>
      </c>
      <c r="J442" s="49" t="s">
        <v>31303</v>
      </c>
      <c r="K442" s="49" t="s">
        <v>31308</v>
      </c>
      <c r="L442" s="49" t="s">
        <v>14682</v>
      </c>
      <c r="M442" s="49" t="s">
        <v>14683</v>
      </c>
      <c r="N442" s="49" t="s">
        <v>14684</v>
      </c>
      <c r="O442" s="49" t="s">
        <v>32947</v>
      </c>
      <c r="P442" s="49" t="s">
        <v>32948</v>
      </c>
      <c r="Q442" s="49" t="s">
        <v>32949</v>
      </c>
      <c r="R442" s="49" t="s">
        <v>32950</v>
      </c>
      <c r="S442" s="49" t="s">
        <v>32951</v>
      </c>
      <c r="T442" s="49" t="s">
        <v>32952</v>
      </c>
    </row>
    <row r="443" spans="1:21" x14ac:dyDescent="0.2">
      <c r="A443" s="49" t="s">
        <v>30</v>
      </c>
    </row>
    <row r="444" spans="1:21" x14ac:dyDescent="0.2">
      <c r="A444" s="49" t="s">
        <v>30</v>
      </c>
      <c r="E444" s="49" t="s">
        <v>31</v>
      </c>
      <c r="F444" s="49" t="s">
        <v>31</v>
      </c>
      <c r="G444" s="49" t="s">
        <v>31</v>
      </c>
      <c r="J444" s="49" t="s">
        <v>31</v>
      </c>
      <c r="K444" s="49" t="s">
        <v>31</v>
      </c>
      <c r="L444" s="49" t="s">
        <v>31</v>
      </c>
      <c r="M444" s="49" t="s">
        <v>31</v>
      </c>
    </row>
    <row r="446" spans="1:21" x14ac:dyDescent="0.2">
      <c r="N446" s="49" t="s">
        <v>32</v>
      </c>
      <c r="O446" s="49" t="s">
        <v>32953</v>
      </c>
      <c r="P446" s="49" t="s">
        <v>32954</v>
      </c>
      <c r="Q446" s="49" t="s">
        <v>32955</v>
      </c>
      <c r="R446" s="49" t="s">
        <v>32956</v>
      </c>
      <c r="S446" s="49" t="s">
        <v>32957</v>
      </c>
      <c r="T446" s="49" t="s">
        <v>32958</v>
      </c>
      <c r="U446" s="49" t="s">
        <v>32959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4"/>
  <sheetViews>
    <sheetView workbookViewId="0"/>
  </sheetViews>
  <sheetFormatPr defaultRowHeight="12.75" x14ac:dyDescent="0.2"/>
  <sheetData>
    <row r="1" spans="1:21" x14ac:dyDescent="0.2">
      <c r="A1" s="49" t="s">
        <v>34696</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9415</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3535</v>
      </c>
      <c r="P12" s="49" t="s">
        <v>3536</v>
      </c>
      <c r="Q12" s="49" t="s">
        <v>3537</v>
      </c>
      <c r="R12" s="49" t="s">
        <v>3538</v>
      </c>
      <c r="S12" s="49" t="s">
        <v>3539</v>
      </c>
      <c r="T12" s="49" t="s">
        <v>3540</v>
      </c>
      <c r="U12" s="49" t="s">
        <v>3541</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4" spans="1:21" x14ac:dyDescent="0.2">
      <c r="A14" s="49" t="s">
        <v>30</v>
      </c>
      <c r="D14" s="49" t="s">
        <v>47</v>
      </c>
      <c r="G14" s="49" t="s">
        <v>14031</v>
      </c>
      <c r="H14" s="49" t="s">
        <v>48</v>
      </c>
      <c r="I14" s="49" t="s">
        <v>49</v>
      </c>
      <c r="J14" s="49" t="s">
        <v>50</v>
      </c>
      <c r="K14" s="49" t="s">
        <v>51</v>
      </c>
      <c r="L14" s="49" t="s">
        <v>52</v>
      </c>
      <c r="M14" s="49" t="s">
        <v>53</v>
      </c>
      <c r="N14" s="49" t="s">
        <v>54</v>
      </c>
      <c r="O14" s="49" t="s">
        <v>3542</v>
      </c>
      <c r="P14" s="49" t="s">
        <v>3543</v>
      </c>
      <c r="Q14" s="49" t="s">
        <v>3544</v>
      </c>
      <c r="R14" s="49" t="s">
        <v>3545</v>
      </c>
      <c r="S14" s="49" t="s">
        <v>3546</v>
      </c>
      <c r="T14" s="49" t="s">
        <v>3547</v>
      </c>
    </row>
    <row r="16" spans="1:21" x14ac:dyDescent="0.2">
      <c r="E16" s="49" t="s">
        <v>31</v>
      </c>
      <c r="F16" s="49" t="s">
        <v>31</v>
      </c>
      <c r="G16" s="49" t="s">
        <v>31</v>
      </c>
      <c r="J16" s="49" t="s">
        <v>31</v>
      </c>
      <c r="K16" s="49" t="s">
        <v>31</v>
      </c>
      <c r="L16" s="49" t="s">
        <v>31</v>
      </c>
      <c r="M16" s="49" t="s">
        <v>31</v>
      </c>
    </row>
    <row r="17" spans="1:21" x14ac:dyDescent="0.2">
      <c r="A17" s="49" t="s">
        <v>30</v>
      </c>
      <c r="D17" s="49" t="s">
        <v>3548</v>
      </c>
      <c r="E17" s="49" t="s">
        <v>4549</v>
      </c>
      <c r="F17" s="49" t="s">
        <v>3549</v>
      </c>
      <c r="H17" s="49" t="s">
        <v>3550</v>
      </c>
      <c r="O17" s="49" t="s">
        <v>33034</v>
      </c>
      <c r="P17" s="49" t="s">
        <v>33035</v>
      </c>
      <c r="Q17" s="49" t="s">
        <v>33036</v>
      </c>
      <c r="R17" s="49" t="s">
        <v>33037</v>
      </c>
      <c r="S17" s="49" t="s">
        <v>33038</v>
      </c>
      <c r="T17" s="49" t="s">
        <v>33039</v>
      </c>
      <c r="U17" s="49" t="s">
        <v>33040</v>
      </c>
    </row>
    <row r="18" spans="1:21" x14ac:dyDescent="0.2">
      <c r="A18" s="49" t="s">
        <v>30</v>
      </c>
      <c r="D18" s="49" t="s">
        <v>3551</v>
      </c>
      <c r="G18" s="49" t="s">
        <v>3552</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c r="D19" s="49" t="s">
        <v>63</v>
      </c>
      <c r="G19" s="49" t="s">
        <v>14048</v>
      </c>
      <c r="H19" s="49" t="s">
        <v>64</v>
      </c>
      <c r="I19" s="49" t="s">
        <v>65</v>
      </c>
      <c r="J19" s="49" t="s">
        <v>66</v>
      </c>
      <c r="K19" s="49" t="s">
        <v>67</v>
      </c>
      <c r="L19" s="49" t="s">
        <v>68</v>
      </c>
      <c r="M19" s="49" t="s">
        <v>69</v>
      </c>
      <c r="N19" s="49" t="s">
        <v>70</v>
      </c>
      <c r="O19" s="49" t="s">
        <v>4322</v>
      </c>
      <c r="P19" s="49" t="s">
        <v>4323</v>
      </c>
      <c r="Q19" s="49" t="s">
        <v>4324</v>
      </c>
      <c r="R19" s="49" t="s">
        <v>4325</v>
      </c>
      <c r="S19" s="49" t="s">
        <v>4326</v>
      </c>
      <c r="T19" s="49" t="s">
        <v>4327</v>
      </c>
    </row>
    <row r="20" spans="1:21" x14ac:dyDescent="0.2">
      <c r="A20" s="49" t="s">
        <v>30</v>
      </c>
      <c r="D20" s="49" t="s">
        <v>71</v>
      </c>
      <c r="G20" s="49" t="s">
        <v>14049</v>
      </c>
      <c r="H20" s="49" t="s">
        <v>72</v>
      </c>
      <c r="I20" s="49" t="s">
        <v>73</v>
      </c>
      <c r="J20" s="49" t="s">
        <v>74</v>
      </c>
      <c r="K20" s="49" t="s">
        <v>75</v>
      </c>
      <c r="L20" s="49" t="s">
        <v>76</v>
      </c>
      <c r="M20" s="49" t="s">
        <v>77</v>
      </c>
      <c r="N20" s="49" t="s">
        <v>78</v>
      </c>
      <c r="O20" s="49" t="s">
        <v>34690</v>
      </c>
      <c r="P20" s="49" t="s">
        <v>34691</v>
      </c>
      <c r="Q20" s="49" t="s">
        <v>34692</v>
      </c>
      <c r="R20" s="49" t="s">
        <v>34693</v>
      </c>
      <c r="S20" s="49" t="s">
        <v>34694</v>
      </c>
      <c r="T20" s="49" t="s">
        <v>34695</v>
      </c>
    </row>
    <row r="21" spans="1:21" x14ac:dyDescent="0.2">
      <c r="A21" s="49" t="s">
        <v>30</v>
      </c>
      <c r="D21" s="49" t="s">
        <v>79</v>
      </c>
      <c r="G21" s="49" t="s">
        <v>14050</v>
      </c>
      <c r="H21" s="49" t="s">
        <v>80</v>
      </c>
      <c r="I21" s="49" t="s">
        <v>81</v>
      </c>
      <c r="J21" s="49" t="s">
        <v>82</v>
      </c>
      <c r="K21" s="49" t="s">
        <v>83</v>
      </c>
      <c r="L21" s="49" t="s">
        <v>84</v>
      </c>
      <c r="M21" s="49" t="s">
        <v>85</v>
      </c>
      <c r="N21" s="49" t="s">
        <v>86</v>
      </c>
      <c r="O21" s="49" t="s">
        <v>3350</v>
      </c>
      <c r="P21" s="49" t="s">
        <v>3351</v>
      </c>
      <c r="Q21" s="49" t="s">
        <v>3352</v>
      </c>
      <c r="R21" s="49" t="s">
        <v>3353</v>
      </c>
      <c r="S21" s="49" t="s">
        <v>3354</v>
      </c>
      <c r="T21" s="49" t="s">
        <v>3355</v>
      </c>
    </row>
    <row r="22" spans="1:21" x14ac:dyDescent="0.2">
      <c r="A22" s="49" t="s">
        <v>30</v>
      </c>
    </row>
    <row r="23" spans="1:21" x14ac:dyDescent="0.2">
      <c r="A23" s="49" t="s">
        <v>30</v>
      </c>
      <c r="E23" s="49" t="s">
        <v>31</v>
      </c>
      <c r="F23" s="49" t="s">
        <v>31</v>
      </c>
      <c r="G23" s="49" t="s">
        <v>31</v>
      </c>
      <c r="J23" s="49" t="s">
        <v>31</v>
      </c>
      <c r="K23" s="49" t="s">
        <v>31</v>
      </c>
      <c r="L23" s="49" t="s">
        <v>31</v>
      </c>
      <c r="M23" s="49" t="s">
        <v>31</v>
      </c>
    </row>
    <row r="24" spans="1:21" x14ac:dyDescent="0.2">
      <c r="A24" s="49" t="s">
        <v>30</v>
      </c>
      <c r="D24" s="49" t="s">
        <v>87</v>
      </c>
      <c r="E24" s="49" t="s">
        <v>4550</v>
      </c>
      <c r="F24" s="49" t="s">
        <v>88</v>
      </c>
      <c r="H24" s="49" t="s">
        <v>89</v>
      </c>
      <c r="O24" s="49" t="s">
        <v>33041</v>
      </c>
      <c r="P24" s="49" t="s">
        <v>33042</v>
      </c>
      <c r="Q24" s="49" t="s">
        <v>33043</v>
      </c>
      <c r="R24" s="49" t="s">
        <v>33044</v>
      </c>
      <c r="S24" s="49" t="s">
        <v>33045</v>
      </c>
      <c r="T24" s="49" t="s">
        <v>33046</v>
      </c>
      <c r="U24" s="49" t="s">
        <v>33047</v>
      </c>
    </row>
    <row r="25" spans="1:21" x14ac:dyDescent="0.2">
      <c r="A25" s="49" t="s">
        <v>30</v>
      </c>
      <c r="D25" s="49" t="s">
        <v>90</v>
      </c>
      <c r="G25" s="49" t="s">
        <v>3356</v>
      </c>
      <c r="H25" s="49" t="s">
        <v>91</v>
      </c>
      <c r="I25" s="49" t="s">
        <v>92</v>
      </c>
      <c r="J25" s="49" t="s">
        <v>93</v>
      </c>
      <c r="K25" s="49" t="s">
        <v>94</v>
      </c>
      <c r="L25" s="49" t="s">
        <v>95</v>
      </c>
      <c r="M25" s="49" t="s">
        <v>96</v>
      </c>
      <c r="N25" s="49" t="s">
        <v>97</v>
      </c>
      <c r="O25" s="49" t="s">
        <v>3357</v>
      </c>
      <c r="P25" s="49" t="s">
        <v>3358</v>
      </c>
      <c r="Q25" s="49" t="s">
        <v>3359</v>
      </c>
      <c r="R25" s="49" t="s">
        <v>3360</v>
      </c>
      <c r="S25" s="49" t="s">
        <v>3361</v>
      </c>
      <c r="T25" s="49" t="s">
        <v>3362</v>
      </c>
    </row>
    <row r="26" spans="1:21" x14ac:dyDescent="0.2">
      <c r="A26" s="49" t="s">
        <v>30</v>
      </c>
      <c r="D26" s="49" t="s">
        <v>98</v>
      </c>
      <c r="G26" s="49" t="s">
        <v>14071</v>
      </c>
      <c r="H26" s="49" t="s">
        <v>99</v>
      </c>
      <c r="I26" s="49" t="s">
        <v>100</v>
      </c>
      <c r="J26" s="49" t="s">
        <v>101</v>
      </c>
      <c r="K26" s="49" t="s">
        <v>102</v>
      </c>
      <c r="L26" s="49" t="s">
        <v>103</v>
      </c>
      <c r="M26" s="49" t="s">
        <v>104</v>
      </c>
      <c r="N26" s="49" t="s">
        <v>105</v>
      </c>
      <c r="O26" s="49" t="s">
        <v>3363</v>
      </c>
      <c r="P26" s="49" t="s">
        <v>3364</v>
      </c>
      <c r="Q26" s="49" t="s">
        <v>3365</v>
      </c>
      <c r="R26" s="49" t="s">
        <v>3366</v>
      </c>
      <c r="S26" s="49" t="s">
        <v>3367</v>
      </c>
      <c r="T26" s="49" t="s">
        <v>3368</v>
      </c>
    </row>
    <row r="27" spans="1:21" x14ac:dyDescent="0.2">
      <c r="A27" s="49" t="s">
        <v>30</v>
      </c>
      <c r="D27" s="49" t="s">
        <v>106</v>
      </c>
      <c r="G27" s="49" t="s">
        <v>14076</v>
      </c>
      <c r="H27" s="49" t="s">
        <v>107</v>
      </c>
      <c r="I27" s="49" t="s">
        <v>108</v>
      </c>
      <c r="J27" s="49" t="s">
        <v>109</v>
      </c>
      <c r="K27" s="49" t="s">
        <v>110</v>
      </c>
      <c r="L27" s="49" t="s">
        <v>111</v>
      </c>
      <c r="M27" s="49" t="s">
        <v>112</v>
      </c>
      <c r="N27" s="49" t="s">
        <v>113</v>
      </c>
      <c r="O27" s="49" t="s">
        <v>3890</v>
      </c>
      <c r="P27" s="49" t="s">
        <v>3891</v>
      </c>
      <c r="Q27" s="49" t="s">
        <v>3892</v>
      </c>
      <c r="R27" s="49" t="s">
        <v>3893</v>
      </c>
      <c r="S27" s="49" t="s">
        <v>3894</v>
      </c>
      <c r="T27" s="49" t="s">
        <v>3895</v>
      </c>
    </row>
    <row r="28" spans="1:21" x14ac:dyDescent="0.2">
      <c r="A28" s="49" t="s">
        <v>30</v>
      </c>
      <c r="D28" s="49" t="s">
        <v>114</v>
      </c>
      <c r="G28" s="49" t="s">
        <v>14078</v>
      </c>
      <c r="H28" s="49" t="s">
        <v>115</v>
      </c>
      <c r="I28" s="49" t="s">
        <v>116</v>
      </c>
      <c r="J28" s="49" t="s">
        <v>117</v>
      </c>
      <c r="K28" s="49" t="s">
        <v>118</v>
      </c>
      <c r="L28" s="49" t="s">
        <v>119</v>
      </c>
      <c r="M28" s="49" t="s">
        <v>120</v>
      </c>
      <c r="N28" s="49" t="s">
        <v>121</v>
      </c>
      <c r="O28" s="49" t="s">
        <v>3896</v>
      </c>
      <c r="P28" s="49" t="s">
        <v>3897</v>
      </c>
      <c r="Q28" s="49" t="s">
        <v>3898</v>
      </c>
      <c r="R28" s="49" t="s">
        <v>3899</v>
      </c>
      <c r="S28" s="49" t="s">
        <v>3900</v>
      </c>
      <c r="T28" s="49" t="s">
        <v>3901</v>
      </c>
    </row>
    <row r="29" spans="1:21" x14ac:dyDescent="0.2">
      <c r="A29" s="49" t="s">
        <v>30</v>
      </c>
    </row>
    <row r="30" spans="1:21" x14ac:dyDescent="0.2">
      <c r="A30" s="49" t="s">
        <v>30</v>
      </c>
      <c r="E30" s="49" t="s">
        <v>31</v>
      </c>
      <c r="F30" s="49" t="s">
        <v>31</v>
      </c>
      <c r="G30" s="49" t="s">
        <v>31</v>
      </c>
      <c r="J30" s="49" t="s">
        <v>31</v>
      </c>
      <c r="K30" s="49" t="s">
        <v>31</v>
      </c>
      <c r="L30" s="49" t="s">
        <v>31</v>
      </c>
      <c r="M30" s="49" t="s">
        <v>31</v>
      </c>
    </row>
    <row r="31" spans="1:21" x14ac:dyDescent="0.2">
      <c r="A31" s="49" t="s">
        <v>30</v>
      </c>
      <c r="D31" s="49" t="s">
        <v>33048</v>
      </c>
      <c r="E31" s="49" t="s">
        <v>4551</v>
      </c>
      <c r="F31" s="49" t="s">
        <v>33049</v>
      </c>
      <c r="H31" s="49" t="s">
        <v>33050</v>
      </c>
      <c r="O31" s="49" t="s">
        <v>33051</v>
      </c>
      <c r="P31" s="49" t="s">
        <v>33052</v>
      </c>
      <c r="Q31" s="49" t="s">
        <v>33053</v>
      </c>
      <c r="R31" s="49" t="s">
        <v>33054</v>
      </c>
      <c r="S31" s="49" t="s">
        <v>33055</v>
      </c>
      <c r="T31" s="49" t="s">
        <v>33056</v>
      </c>
      <c r="U31" s="49" t="s">
        <v>33057</v>
      </c>
    </row>
    <row r="32" spans="1:21" x14ac:dyDescent="0.2">
      <c r="A32" s="49" t="s">
        <v>30</v>
      </c>
      <c r="D32" s="49" t="s">
        <v>1797</v>
      </c>
      <c r="G32" s="49" t="s">
        <v>33058</v>
      </c>
      <c r="H32" s="49" t="s">
        <v>1798</v>
      </c>
      <c r="I32" s="49" t="s">
        <v>1799</v>
      </c>
      <c r="J32" s="49" t="s">
        <v>1800</v>
      </c>
      <c r="K32" s="49" t="s">
        <v>1801</v>
      </c>
      <c r="L32" s="49" t="s">
        <v>1802</v>
      </c>
      <c r="M32" s="49" t="s">
        <v>1803</v>
      </c>
      <c r="N32" s="49" t="s">
        <v>1804</v>
      </c>
      <c r="O32" s="49" t="s">
        <v>3902</v>
      </c>
      <c r="P32" s="49" t="s">
        <v>3903</v>
      </c>
      <c r="Q32" s="49" t="s">
        <v>3904</v>
      </c>
      <c r="R32" s="49" t="s">
        <v>3905</v>
      </c>
      <c r="S32" s="49" t="s">
        <v>3906</v>
      </c>
      <c r="T32" s="49" t="s">
        <v>3907</v>
      </c>
    </row>
    <row r="33" spans="1:21" x14ac:dyDescent="0.2">
      <c r="A33" s="49" t="s">
        <v>30</v>
      </c>
      <c r="D33" s="49" t="s">
        <v>2283</v>
      </c>
      <c r="G33" s="49" t="s">
        <v>14100</v>
      </c>
      <c r="H33" s="49" t="s">
        <v>2284</v>
      </c>
      <c r="I33" s="49" t="s">
        <v>2285</v>
      </c>
      <c r="J33" s="49" t="s">
        <v>2286</v>
      </c>
      <c r="K33" s="49" t="s">
        <v>2287</v>
      </c>
      <c r="L33" s="49" t="s">
        <v>2288</v>
      </c>
      <c r="M33" s="49" t="s">
        <v>2289</v>
      </c>
      <c r="N33" s="49" t="s">
        <v>2290</v>
      </c>
      <c r="O33" s="49" t="s">
        <v>4342</v>
      </c>
      <c r="P33" s="49" t="s">
        <v>4343</v>
      </c>
      <c r="Q33" s="49" t="s">
        <v>4344</v>
      </c>
      <c r="R33" s="49" t="s">
        <v>4345</v>
      </c>
      <c r="S33" s="49" t="s">
        <v>4346</v>
      </c>
      <c r="T33" s="49" t="s">
        <v>4347</v>
      </c>
    </row>
    <row r="34" spans="1:21" x14ac:dyDescent="0.2">
      <c r="A34" s="49" t="s">
        <v>30</v>
      </c>
      <c r="D34" s="49" t="s">
        <v>141</v>
      </c>
      <c r="G34" s="49" t="s">
        <v>14102</v>
      </c>
      <c r="H34" s="49" t="s">
        <v>142</v>
      </c>
      <c r="I34" s="49" t="s">
        <v>143</v>
      </c>
      <c r="J34" s="49" t="s">
        <v>144</v>
      </c>
      <c r="K34" s="49" t="s">
        <v>145</v>
      </c>
      <c r="L34" s="49" t="s">
        <v>146</v>
      </c>
      <c r="M34" s="49" t="s">
        <v>147</v>
      </c>
      <c r="N34" s="49" t="s">
        <v>148</v>
      </c>
      <c r="O34" s="49" t="s">
        <v>3834</v>
      </c>
      <c r="P34" s="49" t="s">
        <v>3835</v>
      </c>
      <c r="Q34" s="49" t="s">
        <v>3836</v>
      </c>
      <c r="R34" s="49" t="s">
        <v>3837</v>
      </c>
      <c r="S34" s="49" t="s">
        <v>3838</v>
      </c>
      <c r="T34" s="49" t="s">
        <v>3839</v>
      </c>
    </row>
    <row r="35" spans="1:21" x14ac:dyDescent="0.2">
      <c r="A35" s="49" t="s">
        <v>30</v>
      </c>
    </row>
    <row r="36" spans="1:21" x14ac:dyDescent="0.2">
      <c r="A36" s="49" t="s">
        <v>30</v>
      </c>
      <c r="E36" s="49" t="s">
        <v>31</v>
      </c>
      <c r="F36" s="49" t="s">
        <v>31</v>
      </c>
      <c r="G36" s="49" t="s">
        <v>31</v>
      </c>
      <c r="J36" s="49" t="s">
        <v>31</v>
      </c>
      <c r="K36" s="49" t="s">
        <v>31</v>
      </c>
      <c r="L36" s="49" t="s">
        <v>31</v>
      </c>
      <c r="M36" s="49" t="s">
        <v>31</v>
      </c>
    </row>
    <row r="37" spans="1:21" x14ac:dyDescent="0.2">
      <c r="A37" s="49" t="s">
        <v>30</v>
      </c>
      <c r="D37" s="49" t="s">
        <v>2291</v>
      </c>
      <c r="E37" s="49" t="s">
        <v>4552</v>
      </c>
      <c r="F37" s="49" t="s">
        <v>2292</v>
      </c>
      <c r="H37" s="49" t="s">
        <v>2293</v>
      </c>
      <c r="O37" s="49" t="s">
        <v>33059</v>
      </c>
      <c r="P37" s="49" t="s">
        <v>33060</v>
      </c>
      <c r="Q37" s="49" t="s">
        <v>33061</v>
      </c>
      <c r="R37" s="49" t="s">
        <v>33062</v>
      </c>
      <c r="S37" s="49" t="s">
        <v>33063</v>
      </c>
      <c r="T37" s="49" t="s">
        <v>33064</v>
      </c>
      <c r="U37" s="49" t="s">
        <v>33065</v>
      </c>
    </row>
    <row r="38" spans="1:21" x14ac:dyDescent="0.2">
      <c r="A38" s="49" t="s">
        <v>30</v>
      </c>
      <c r="D38" s="49" t="s">
        <v>173</v>
      </c>
      <c r="G38" s="49" t="s">
        <v>3840</v>
      </c>
      <c r="H38" s="49" t="s">
        <v>174</v>
      </c>
      <c r="I38" s="49" t="s">
        <v>175</v>
      </c>
      <c r="J38" s="49" t="s">
        <v>176</v>
      </c>
      <c r="K38" s="49" t="s">
        <v>177</v>
      </c>
      <c r="L38" s="49" t="s">
        <v>178</v>
      </c>
      <c r="M38" s="49" t="s">
        <v>179</v>
      </c>
      <c r="N38" s="49" t="s">
        <v>180</v>
      </c>
      <c r="O38" s="49" t="s">
        <v>3841</v>
      </c>
      <c r="P38" s="49" t="s">
        <v>3842</v>
      </c>
      <c r="Q38" s="49" t="s">
        <v>3843</v>
      </c>
      <c r="R38" s="49" t="s">
        <v>3844</v>
      </c>
      <c r="S38" s="49" t="s">
        <v>3845</v>
      </c>
      <c r="T38" s="49" t="s">
        <v>3846</v>
      </c>
    </row>
    <row r="39" spans="1:21" x14ac:dyDescent="0.2">
      <c r="A39" s="49" t="s">
        <v>30</v>
      </c>
      <c r="D39" s="49" t="s">
        <v>1667</v>
      </c>
      <c r="G39" s="49" t="s">
        <v>14137</v>
      </c>
      <c r="H39" s="49" t="s">
        <v>1668</v>
      </c>
      <c r="I39" s="49" t="s">
        <v>1669</v>
      </c>
      <c r="J39" s="49" t="s">
        <v>1670</v>
      </c>
      <c r="K39" s="49" t="s">
        <v>1671</v>
      </c>
      <c r="L39" s="49" t="s">
        <v>1672</v>
      </c>
      <c r="M39" s="49" t="s">
        <v>1673</v>
      </c>
      <c r="N39" s="49" t="s">
        <v>1674</v>
      </c>
      <c r="O39" s="49" t="s">
        <v>3972</v>
      </c>
      <c r="P39" s="49" t="s">
        <v>3973</v>
      </c>
      <c r="Q39" s="49" t="s">
        <v>3974</v>
      </c>
      <c r="R39" s="49" t="s">
        <v>3975</v>
      </c>
      <c r="S39" s="49" t="s">
        <v>3976</v>
      </c>
      <c r="T39" s="49" t="s">
        <v>3977</v>
      </c>
    </row>
    <row r="40" spans="1:21" x14ac:dyDescent="0.2">
      <c r="A40" s="49" t="s">
        <v>30</v>
      </c>
    </row>
    <row r="41" spans="1:21" x14ac:dyDescent="0.2">
      <c r="A41" s="49" t="s">
        <v>30</v>
      </c>
      <c r="E41" s="49" t="s">
        <v>31</v>
      </c>
      <c r="F41" s="49" t="s">
        <v>31</v>
      </c>
      <c r="G41" s="49" t="s">
        <v>31</v>
      </c>
      <c r="J41" s="49" t="s">
        <v>31</v>
      </c>
      <c r="K41" s="49" t="s">
        <v>31</v>
      </c>
      <c r="L41" s="49" t="s">
        <v>31</v>
      </c>
      <c r="M41" s="49" t="s">
        <v>31</v>
      </c>
    </row>
    <row r="42" spans="1:21" x14ac:dyDescent="0.2">
      <c r="A42" s="49" t="s">
        <v>30</v>
      </c>
      <c r="D42" s="49" t="s">
        <v>1675</v>
      </c>
      <c r="E42" s="49" t="s">
        <v>4559</v>
      </c>
      <c r="F42" s="49" t="s">
        <v>1676</v>
      </c>
      <c r="H42" s="49" t="s">
        <v>1677</v>
      </c>
      <c r="O42" s="49" t="s">
        <v>33066</v>
      </c>
      <c r="P42" s="49" t="s">
        <v>33067</v>
      </c>
      <c r="Q42" s="49" t="s">
        <v>33068</v>
      </c>
      <c r="R42" s="49" t="s">
        <v>33069</v>
      </c>
      <c r="S42" s="49" t="s">
        <v>33070</v>
      </c>
      <c r="T42" s="49" t="s">
        <v>33071</v>
      </c>
      <c r="U42" s="49" t="s">
        <v>33072</v>
      </c>
    </row>
    <row r="43" spans="1:21" x14ac:dyDescent="0.2">
      <c r="A43" s="49" t="s">
        <v>30</v>
      </c>
      <c r="D43" s="49" t="s">
        <v>192</v>
      </c>
      <c r="G43" s="49" t="s">
        <v>4051</v>
      </c>
      <c r="H43" s="49" t="s">
        <v>193</v>
      </c>
      <c r="I43" s="49" t="s">
        <v>194</v>
      </c>
      <c r="J43" s="49" t="s">
        <v>195</v>
      </c>
      <c r="K43" s="49" t="s">
        <v>196</v>
      </c>
      <c r="L43" s="49" t="s">
        <v>197</v>
      </c>
      <c r="M43" s="49" t="s">
        <v>198</v>
      </c>
      <c r="N43" s="49" t="s">
        <v>199</v>
      </c>
      <c r="O43" s="49" t="s">
        <v>3597</v>
      </c>
      <c r="P43" s="49" t="s">
        <v>3598</v>
      </c>
      <c r="Q43" s="49" t="s">
        <v>3599</v>
      </c>
      <c r="R43" s="49" t="s">
        <v>3600</v>
      </c>
      <c r="S43" s="49" t="s">
        <v>3601</v>
      </c>
      <c r="T43" s="49" t="s">
        <v>3602</v>
      </c>
    </row>
    <row r="44" spans="1:21" x14ac:dyDescent="0.2">
      <c r="A44" s="49" t="s">
        <v>30</v>
      </c>
      <c r="D44" s="49" t="s">
        <v>1816</v>
      </c>
      <c r="G44" s="49" t="s">
        <v>14153</v>
      </c>
      <c r="H44" s="49" t="s">
        <v>1817</v>
      </c>
      <c r="I44" s="49" t="s">
        <v>1818</v>
      </c>
      <c r="J44" s="49" t="s">
        <v>1819</v>
      </c>
      <c r="K44" s="49" t="s">
        <v>1820</v>
      </c>
      <c r="L44" s="49" t="s">
        <v>1821</v>
      </c>
      <c r="M44" s="49" t="s">
        <v>1822</v>
      </c>
      <c r="N44" s="49" t="s">
        <v>1823</v>
      </c>
      <c r="O44" s="49" t="s">
        <v>3603</v>
      </c>
      <c r="P44" s="49" t="s">
        <v>3604</v>
      </c>
      <c r="Q44" s="49" t="s">
        <v>3605</v>
      </c>
      <c r="R44" s="49" t="s">
        <v>3606</v>
      </c>
      <c r="S44" s="49" t="s">
        <v>3607</v>
      </c>
      <c r="T44" s="49" t="s">
        <v>3608</v>
      </c>
    </row>
    <row r="45" spans="1:21" x14ac:dyDescent="0.2">
      <c r="A45" s="49" t="s">
        <v>30</v>
      </c>
      <c r="D45" s="49" t="s">
        <v>1824</v>
      </c>
      <c r="G45" s="49" t="s">
        <v>14156</v>
      </c>
      <c r="H45" s="49" t="s">
        <v>1825</v>
      </c>
      <c r="I45" s="49" t="s">
        <v>1826</v>
      </c>
      <c r="J45" s="49" t="s">
        <v>1827</v>
      </c>
      <c r="K45" s="49" t="s">
        <v>1828</v>
      </c>
      <c r="L45" s="49" t="s">
        <v>1829</v>
      </c>
      <c r="M45" s="49" t="s">
        <v>1830</v>
      </c>
      <c r="N45" s="49" t="s">
        <v>1831</v>
      </c>
      <c r="O45" s="49" t="s">
        <v>3409</v>
      </c>
      <c r="P45" s="49" t="s">
        <v>3410</v>
      </c>
      <c r="Q45" s="49" t="s">
        <v>3411</v>
      </c>
      <c r="R45" s="49" t="s">
        <v>3412</v>
      </c>
      <c r="S45" s="49" t="s">
        <v>3413</v>
      </c>
      <c r="T45" s="49" t="s">
        <v>3414</v>
      </c>
    </row>
    <row r="46" spans="1:21" x14ac:dyDescent="0.2">
      <c r="A46" s="49" t="s">
        <v>30</v>
      </c>
      <c r="D46" s="49" t="s">
        <v>2531</v>
      </c>
      <c r="G46" s="49" t="s">
        <v>14157</v>
      </c>
      <c r="H46" s="49" t="s">
        <v>2532</v>
      </c>
      <c r="I46" s="49" t="s">
        <v>2533</v>
      </c>
      <c r="J46" s="49" t="s">
        <v>2534</v>
      </c>
      <c r="K46" s="49" t="s">
        <v>2535</v>
      </c>
      <c r="L46" s="49" t="s">
        <v>2536</v>
      </c>
      <c r="M46" s="49" t="s">
        <v>2537</v>
      </c>
      <c r="N46" s="49" t="s">
        <v>2538</v>
      </c>
      <c r="O46" s="49" t="s">
        <v>3849</v>
      </c>
      <c r="P46" s="49" t="s">
        <v>3850</v>
      </c>
      <c r="Q46" s="49" t="s">
        <v>3851</v>
      </c>
      <c r="R46" s="49" t="s">
        <v>3852</v>
      </c>
      <c r="S46" s="49" t="s">
        <v>3853</v>
      </c>
      <c r="T46" s="49" t="s">
        <v>3854</v>
      </c>
    </row>
    <row r="47" spans="1:21" x14ac:dyDescent="0.2">
      <c r="A47" s="49" t="s">
        <v>30</v>
      </c>
    </row>
    <row r="48" spans="1:21" x14ac:dyDescent="0.2">
      <c r="A48" s="49" t="s">
        <v>30</v>
      </c>
      <c r="E48" s="49" t="s">
        <v>31</v>
      </c>
      <c r="F48" s="49" t="s">
        <v>31</v>
      </c>
      <c r="G48" s="49" t="s">
        <v>31</v>
      </c>
      <c r="J48" s="49" t="s">
        <v>31</v>
      </c>
      <c r="K48" s="49" t="s">
        <v>31</v>
      </c>
      <c r="L48" s="49" t="s">
        <v>31</v>
      </c>
      <c r="M48" s="49" t="s">
        <v>31</v>
      </c>
    </row>
    <row r="49" spans="1:21" x14ac:dyDescent="0.2">
      <c r="A49" s="49" t="s">
        <v>30</v>
      </c>
      <c r="D49" s="49" t="s">
        <v>2539</v>
      </c>
      <c r="E49" s="49" t="s">
        <v>4561</v>
      </c>
      <c r="F49" s="49" t="s">
        <v>2540</v>
      </c>
      <c r="H49" s="49" t="s">
        <v>2541</v>
      </c>
      <c r="O49" s="49" t="s">
        <v>33073</v>
      </c>
      <c r="P49" s="49" t="s">
        <v>33074</v>
      </c>
      <c r="Q49" s="49" t="s">
        <v>33075</v>
      </c>
      <c r="R49" s="49" t="s">
        <v>33076</v>
      </c>
      <c r="S49" s="49" t="s">
        <v>33077</v>
      </c>
      <c r="T49" s="49" t="s">
        <v>33078</v>
      </c>
      <c r="U49" s="49" t="s">
        <v>33079</v>
      </c>
    </row>
    <row r="50" spans="1:21" x14ac:dyDescent="0.2">
      <c r="A50" s="49" t="s">
        <v>30</v>
      </c>
      <c r="D50" s="49" t="s">
        <v>224</v>
      </c>
      <c r="G50" s="49" t="s">
        <v>3855</v>
      </c>
      <c r="H50" s="49" t="s">
        <v>225</v>
      </c>
      <c r="I50" s="49" t="s">
        <v>226</v>
      </c>
      <c r="J50" s="49" t="s">
        <v>227</v>
      </c>
      <c r="K50" s="49" t="s">
        <v>228</v>
      </c>
      <c r="L50" s="49" t="s">
        <v>229</v>
      </c>
      <c r="M50" s="49" t="s">
        <v>230</v>
      </c>
      <c r="N50" s="49" t="s">
        <v>231</v>
      </c>
      <c r="O50" s="49" t="s">
        <v>3856</v>
      </c>
      <c r="P50" s="49" t="s">
        <v>3857</v>
      </c>
      <c r="Q50" s="49" t="s">
        <v>3858</v>
      </c>
      <c r="R50" s="49" t="s">
        <v>3859</v>
      </c>
      <c r="S50" s="49" t="s">
        <v>3860</v>
      </c>
      <c r="T50" s="49" t="s">
        <v>3861</v>
      </c>
    </row>
    <row r="51" spans="1:21" x14ac:dyDescent="0.2">
      <c r="A51" s="49" t="s">
        <v>30</v>
      </c>
      <c r="D51" s="49" t="s">
        <v>232</v>
      </c>
      <c r="G51" s="49" t="s">
        <v>14175</v>
      </c>
      <c r="H51" s="49" t="s">
        <v>233</v>
      </c>
      <c r="I51" s="49" t="s">
        <v>234</v>
      </c>
      <c r="J51" s="49" t="s">
        <v>235</v>
      </c>
      <c r="K51" s="49" t="s">
        <v>236</v>
      </c>
      <c r="L51" s="49" t="s">
        <v>237</v>
      </c>
      <c r="M51" s="49" t="s">
        <v>238</v>
      </c>
      <c r="N51" s="49" t="s">
        <v>239</v>
      </c>
      <c r="O51" s="49" t="s">
        <v>4058</v>
      </c>
      <c r="P51" s="49" t="s">
        <v>4059</v>
      </c>
      <c r="Q51" s="49" t="s">
        <v>4060</v>
      </c>
      <c r="R51" s="49" t="s">
        <v>4061</v>
      </c>
      <c r="S51" s="49" t="s">
        <v>4062</v>
      </c>
      <c r="T51" s="49" t="s">
        <v>4063</v>
      </c>
    </row>
    <row r="52" spans="1:21" x14ac:dyDescent="0.2">
      <c r="A52" s="49" t="s">
        <v>30</v>
      </c>
    </row>
    <row r="53" spans="1:21" x14ac:dyDescent="0.2">
      <c r="A53" s="49" t="s">
        <v>30</v>
      </c>
      <c r="E53" s="49" t="s">
        <v>31</v>
      </c>
      <c r="F53" s="49" t="s">
        <v>31</v>
      </c>
      <c r="G53" s="49" t="s">
        <v>31</v>
      </c>
      <c r="J53" s="49" t="s">
        <v>31</v>
      </c>
      <c r="K53" s="49" t="s">
        <v>31</v>
      </c>
      <c r="L53" s="49" t="s">
        <v>31</v>
      </c>
      <c r="M53" s="49" t="s">
        <v>31</v>
      </c>
    </row>
    <row r="54" spans="1:21" x14ac:dyDescent="0.2">
      <c r="A54" s="49" t="s">
        <v>30</v>
      </c>
      <c r="D54" s="49" t="s">
        <v>240</v>
      </c>
      <c r="E54" s="49" t="s">
        <v>4564</v>
      </c>
      <c r="F54" s="49" t="s">
        <v>241</v>
      </c>
      <c r="H54" s="49" t="s">
        <v>242</v>
      </c>
      <c r="O54" s="49" t="s">
        <v>33080</v>
      </c>
      <c r="P54" s="49" t="s">
        <v>33081</v>
      </c>
      <c r="Q54" s="49" t="s">
        <v>33082</v>
      </c>
      <c r="R54" s="49" t="s">
        <v>33083</v>
      </c>
      <c r="S54" s="49" t="s">
        <v>33084</v>
      </c>
      <c r="T54" s="49" t="s">
        <v>33085</v>
      </c>
      <c r="U54" s="49" t="s">
        <v>33086</v>
      </c>
    </row>
    <row r="55" spans="1:21" x14ac:dyDescent="0.2">
      <c r="A55" s="49" t="s">
        <v>30</v>
      </c>
      <c r="D55" s="49" t="s">
        <v>243</v>
      </c>
      <c r="G55" s="49" t="s">
        <v>4064</v>
      </c>
      <c r="H55" s="49" t="s">
        <v>244</v>
      </c>
      <c r="I55" s="49" t="s">
        <v>245</v>
      </c>
      <c r="J55" s="49" t="s">
        <v>246</v>
      </c>
      <c r="K55" s="49" t="s">
        <v>247</v>
      </c>
      <c r="L55" s="49" t="s">
        <v>248</v>
      </c>
      <c r="M55" s="49" t="s">
        <v>249</v>
      </c>
      <c r="N55" s="49" t="s">
        <v>250</v>
      </c>
      <c r="O55" s="49" t="s">
        <v>4065</v>
      </c>
      <c r="P55" s="49" t="s">
        <v>4066</v>
      </c>
      <c r="Q55" s="49" t="s">
        <v>4067</v>
      </c>
      <c r="R55" s="49" t="s">
        <v>4068</v>
      </c>
      <c r="S55" s="49" t="s">
        <v>4069</v>
      </c>
      <c r="T55" s="49" t="s">
        <v>4070</v>
      </c>
    </row>
    <row r="56" spans="1:21" x14ac:dyDescent="0.2">
      <c r="A56" s="49" t="s">
        <v>30</v>
      </c>
      <c r="D56" s="49" t="s">
        <v>251</v>
      </c>
      <c r="G56" s="49" t="s">
        <v>14191</v>
      </c>
      <c r="H56" s="49" t="s">
        <v>252</v>
      </c>
      <c r="I56" s="49" t="s">
        <v>253</v>
      </c>
      <c r="J56" s="49" t="s">
        <v>254</v>
      </c>
      <c r="K56" s="49" t="s">
        <v>255</v>
      </c>
      <c r="L56" s="49" t="s">
        <v>256</v>
      </c>
      <c r="M56" s="49" t="s">
        <v>257</v>
      </c>
      <c r="N56" s="49" t="s">
        <v>258</v>
      </c>
      <c r="O56" s="49" t="s">
        <v>4348</v>
      </c>
      <c r="P56" s="49" t="s">
        <v>4349</v>
      </c>
      <c r="Q56" s="49" t="s">
        <v>4350</v>
      </c>
      <c r="R56" s="49" t="s">
        <v>4351</v>
      </c>
      <c r="S56" s="49" t="s">
        <v>4352</v>
      </c>
      <c r="T56" s="49" t="s">
        <v>4353</v>
      </c>
    </row>
    <row r="57" spans="1:21" x14ac:dyDescent="0.2">
      <c r="A57" s="49" t="s">
        <v>30</v>
      </c>
      <c r="D57" s="49" t="s">
        <v>259</v>
      </c>
      <c r="G57" s="49" t="s">
        <v>14193</v>
      </c>
      <c r="H57" s="49" t="s">
        <v>260</v>
      </c>
      <c r="I57" s="49" t="s">
        <v>261</v>
      </c>
      <c r="J57" s="49" t="s">
        <v>262</v>
      </c>
      <c r="K57" s="49" t="s">
        <v>263</v>
      </c>
      <c r="L57" s="49" t="s">
        <v>264</v>
      </c>
      <c r="M57" s="49" t="s">
        <v>265</v>
      </c>
      <c r="N57" s="49" t="s">
        <v>266</v>
      </c>
      <c r="O57" s="49" t="s">
        <v>3429</v>
      </c>
      <c r="P57" s="49" t="s">
        <v>3430</v>
      </c>
      <c r="Q57" s="49" t="s">
        <v>3431</v>
      </c>
      <c r="R57" s="49" t="s">
        <v>3432</v>
      </c>
      <c r="S57" s="49" t="s">
        <v>3433</v>
      </c>
      <c r="T57" s="49" t="s">
        <v>3434</v>
      </c>
    </row>
    <row r="58" spans="1:21" x14ac:dyDescent="0.2">
      <c r="A58" s="49" t="s">
        <v>30</v>
      </c>
    </row>
    <row r="59" spans="1:21" x14ac:dyDescent="0.2">
      <c r="A59" s="49" t="s">
        <v>30</v>
      </c>
      <c r="E59" s="49" t="s">
        <v>31</v>
      </c>
      <c r="F59" s="49" t="s">
        <v>31</v>
      </c>
      <c r="G59" s="49" t="s">
        <v>31</v>
      </c>
      <c r="J59" s="49" t="s">
        <v>31</v>
      </c>
      <c r="K59" s="49" t="s">
        <v>31</v>
      </c>
      <c r="L59" s="49" t="s">
        <v>31</v>
      </c>
      <c r="M59" s="49" t="s">
        <v>31</v>
      </c>
    </row>
    <row r="60" spans="1:21" x14ac:dyDescent="0.2">
      <c r="A60" s="49" t="s">
        <v>30</v>
      </c>
      <c r="D60" s="49" t="s">
        <v>2247</v>
      </c>
      <c r="E60" s="49" t="s">
        <v>4565</v>
      </c>
      <c r="F60" s="49" t="s">
        <v>2248</v>
      </c>
      <c r="H60" s="49" t="s">
        <v>2249</v>
      </c>
      <c r="O60" s="49" t="s">
        <v>8866</v>
      </c>
      <c r="P60" s="49" t="s">
        <v>8867</v>
      </c>
      <c r="Q60" s="49" t="s">
        <v>8868</v>
      </c>
      <c r="R60" s="49" t="s">
        <v>8869</v>
      </c>
      <c r="S60" s="49" t="s">
        <v>8870</v>
      </c>
      <c r="T60" s="49" t="s">
        <v>8871</v>
      </c>
      <c r="U60" s="49" t="s">
        <v>8872</v>
      </c>
    </row>
    <row r="61" spans="1:21" x14ac:dyDescent="0.2">
      <c r="A61" s="49" t="s">
        <v>30</v>
      </c>
      <c r="D61" s="49" t="s">
        <v>2250</v>
      </c>
      <c r="G61" s="49" t="s">
        <v>3435</v>
      </c>
      <c r="H61" s="49" t="s">
        <v>2251</v>
      </c>
      <c r="I61" s="49" t="s">
        <v>2252</v>
      </c>
      <c r="J61" s="49" t="s">
        <v>2253</v>
      </c>
      <c r="K61" s="49" t="s">
        <v>2254</v>
      </c>
      <c r="L61" s="49" t="s">
        <v>2255</v>
      </c>
      <c r="M61" s="49" t="s">
        <v>2256</v>
      </c>
      <c r="N61" s="49" t="s">
        <v>2257</v>
      </c>
      <c r="O61" s="49" t="s">
        <v>3436</v>
      </c>
      <c r="P61" s="49" t="s">
        <v>3437</v>
      </c>
      <c r="Q61" s="49" t="s">
        <v>3438</v>
      </c>
      <c r="R61" s="49" t="s">
        <v>3439</v>
      </c>
      <c r="S61" s="49" t="s">
        <v>3440</v>
      </c>
      <c r="T61" s="49" t="s">
        <v>3441</v>
      </c>
    </row>
    <row r="62" spans="1:21" x14ac:dyDescent="0.2">
      <c r="A62" s="49" t="s">
        <v>30</v>
      </c>
      <c r="D62" s="49" t="s">
        <v>278</v>
      </c>
      <c r="G62" s="49" t="s">
        <v>14217</v>
      </c>
      <c r="H62" s="49" t="s">
        <v>279</v>
      </c>
      <c r="I62" s="49" t="s">
        <v>280</v>
      </c>
      <c r="J62" s="49" t="s">
        <v>281</v>
      </c>
      <c r="K62" s="49" t="s">
        <v>282</v>
      </c>
      <c r="L62" s="49" t="s">
        <v>283</v>
      </c>
      <c r="M62" s="49" t="s">
        <v>284</v>
      </c>
      <c r="N62" s="49" t="s">
        <v>285</v>
      </c>
      <c r="O62" s="49" t="s">
        <v>3863</v>
      </c>
      <c r="P62" s="49" t="s">
        <v>3864</v>
      </c>
      <c r="Q62" s="49" t="s">
        <v>3865</v>
      </c>
      <c r="R62" s="49" t="s">
        <v>3866</v>
      </c>
      <c r="S62" s="49" t="s">
        <v>3867</v>
      </c>
      <c r="T62" s="49" t="s">
        <v>3868</v>
      </c>
    </row>
    <row r="63" spans="1:21" x14ac:dyDescent="0.2">
      <c r="A63" s="49" t="s">
        <v>30</v>
      </c>
    </row>
    <row r="64" spans="1:21" x14ac:dyDescent="0.2">
      <c r="A64" s="49" t="s">
        <v>30</v>
      </c>
      <c r="E64" s="49" t="s">
        <v>31</v>
      </c>
      <c r="F64" s="49" t="s">
        <v>31</v>
      </c>
      <c r="G64" s="49" t="s">
        <v>31</v>
      </c>
      <c r="J64" s="49" t="s">
        <v>31</v>
      </c>
      <c r="K64" s="49" t="s">
        <v>31</v>
      </c>
      <c r="L64" s="49" t="s">
        <v>31</v>
      </c>
      <c r="M64" s="49" t="s">
        <v>31</v>
      </c>
    </row>
    <row r="65" spans="1:21" x14ac:dyDescent="0.2">
      <c r="A65" s="49" t="s">
        <v>30</v>
      </c>
      <c r="D65" s="49" t="s">
        <v>8873</v>
      </c>
      <c r="E65" s="49" t="s">
        <v>4566</v>
      </c>
      <c r="F65" s="49" t="s">
        <v>8874</v>
      </c>
      <c r="H65" s="49" t="s">
        <v>8875</v>
      </c>
      <c r="O65" s="49" t="s">
        <v>33087</v>
      </c>
      <c r="P65" s="49" t="s">
        <v>33088</v>
      </c>
      <c r="Q65" s="49" t="s">
        <v>33089</v>
      </c>
      <c r="R65" s="49" t="s">
        <v>33090</v>
      </c>
      <c r="S65" s="49" t="s">
        <v>33091</v>
      </c>
      <c r="T65" s="49" t="s">
        <v>33092</v>
      </c>
      <c r="U65" s="49" t="s">
        <v>33093</v>
      </c>
    </row>
    <row r="66" spans="1:21" x14ac:dyDescent="0.2">
      <c r="A66" s="49" t="s">
        <v>30</v>
      </c>
      <c r="D66" s="49" t="s">
        <v>2542</v>
      </c>
      <c r="G66" s="49" t="s">
        <v>8876</v>
      </c>
      <c r="H66" s="49" t="s">
        <v>2543</v>
      </c>
      <c r="I66" s="49" t="s">
        <v>2544</v>
      </c>
      <c r="J66" s="49" t="s">
        <v>2545</v>
      </c>
      <c r="K66" s="49" t="s">
        <v>2546</v>
      </c>
      <c r="L66" s="49" t="s">
        <v>2547</v>
      </c>
      <c r="M66" s="49" t="s">
        <v>2548</v>
      </c>
      <c r="N66" s="49" t="s">
        <v>2549</v>
      </c>
      <c r="O66" s="49" t="s">
        <v>3869</v>
      </c>
      <c r="P66" s="49" t="s">
        <v>3870</v>
      </c>
      <c r="Q66" s="49" t="s">
        <v>3871</v>
      </c>
      <c r="R66" s="49" t="s">
        <v>3872</v>
      </c>
      <c r="S66" s="49" t="s">
        <v>3873</v>
      </c>
      <c r="T66" s="49" t="s">
        <v>3874</v>
      </c>
    </row>
    <row r="67" spans="1:21" x14ac:dyDescent="0.2">
      <c r="A67" s="49" t="s">
        <v>30</v>
      </c>
      <c r="D67" s="49" t="s">
        <v>1689</v>
      </c>
      <c r="G67" s="49" t="s">
        <v>14230</v>
      </c>
      <c r="H67" s="49" t="s">
        <v>1690</v>
      </c>
      <c r="I67" s="49" t="s">
        <v>1691</v>
      </c>
      <c r="J67" s="49" t="s">
        <v>1692</v>
      </c>
      <c r="K67" s="49" t="s">
        <v>1693</v>
      </c>
      <c r="L67" s="49" t="s">
        <v>1694</v>
      </c>
      <c r="M67" s="49" t="s">
        <v>1695</v>
      </c>
      <c r="N67" s="49" t="s">
        <v>1696</v>
      </c>
      <c r="O67" s="49" t="s">
        <v>3909</v>
      </c>
      <c r="P67" s="49" t="s">
        <v>3910</v>
      </c>
      <c r="Q67" s="49" t="s">
        <v>3911</v>
      </c>
      <c r="R67" s="49" t="s">
        <v>3912</v>
      </c>
      <c r="S67" s="49" t="s">
        <v>3913</v>
      </c>
      <c r="T67" s="49" t="s">
        <v>3914</v>
      </c>
    </row>
    <row r="68" spans="1:21" x14ac:dyDescent="0.2">
      <c r="A68" s="49" t="s">
        <v>30</v>
      </c>
      <c r="D68" s="49" t="s">
        <v>302</v>
      </c>
      <c r="G68" s="49" t="s">
        <v>14234</v>
      </c>
      <c r="H68" s="49" t="s">
        <v>303</v>
      </c>
      <c r="I68" s="49" t="s">
        <v>304</v>
      </c>
      <c r="J68" s="49" t="s">
        <v>305</v>
      </c>
      <c r="K68" s="49" t="s">
        <v>306</v>
      </c>
      <c r="L68" s="49" t="s">
        <v>307</v>
      </c>
      <c r="M68" s="49" t="s">
        <v>308</v>
      </c>
      <c r="N68" s="49" t="s">
        <v>309</v>
      </c>
      <c r="O68" s="49" t="s">
        <v>3633</v>
      </c>
      <c r="P68" s="49" t="s">
        <v>3634</v>
      </c>
      <c r="Q68" s="49" t="s">
        <v>3635</v>
      </c>
      <c r="R68" s="49" t="s">
        <v>3636</v>
      </c>
      <c r="S68" s="49" t="s">
        <v>3637</v>
      </c>
      <c r="T68" s="49" t="s">
        <v>3638</v>
      </c>
    </row>
    <row r="69" spans="1:21" x14ac:dyDescent="0.2">
      <c r="A69" s="49" t="s">
        <v>30</v>
      </c>
    </row>
    <row r="70" spans="1:21" x14ac:dyDescent="0.2">
      <c r="A70" s="49" t="s">
        <v>30</v>
      </c>
      <c r="E70" s="49" t="s">
        <v>31</v>
      </c>
      <c r="F70" s="49" t="s">
        <v>31</v>
      </c>
      <c r="G70" s="49" t="s">
        <v>31</v>
      </c>
      <c r="J70" s="49" t="s">
        <v>31</v>
      </c>
      <c r="K70" s="49" t="s">
        <v>31</v>
      </c>
      <c r="L70" s="49" t="s">
        <v>31</v>
      </c>
      <c r="M70" s="49" t="s">
        <v>31</v>
      </c>
    </row>
    <row r="71" spans="1:21" x14ac:dyDescent="0.2">
      <c r="A71" s="49" t="s">
        <v>30</v>
      </c>
      <c r="D71" s="49" t="s">
        <v>10287</v>
      </c>
      <c r="E71" s="49" t="s">
        <v>4567</v>
      </c>
      <c r="F71" s="49" t="s">
        <v>10288</v>
      </c>
      <c r="H71" s="49" t="s">
        <v>10289</v>
      </c>
      <c r="O71" s="49" t="s">
        <v>10571</v>
      </c>
      <c r="P71" s="49" t="s">
        <v>10572</v>
      </c>
      <c r="Q71" s="49" t="s">
        <v>10573</v>
      </c>
      <c r="R71" s="49" t="s">
        <v>10574</v>
      </c>
      <c r="S71" s="49" t="s">
        <v>10575</v>
      </c>
      <c r="T71" s="49" t="s">
        <v>10576</v>
      </c>
      <c r="U71" s="49" t="s">
        <v>10577</v>
      </c>
    </row>
    <row r="72" spans="1:21" x14ac:dyDescent="0.2">
      <c r="A72" s="49" t="s">
        <v>30</v>
      </c>
      <c r="D72" s="49" t="s">
        <v>310</v>
      </c>
      <c r="G72" s="49" t="s">
        <v>10290</v>
      </c>
      <c r="H72" s="49" t="s">
        <v>311</v>
      </c>
      <c r="I72" s="49" t="s">
        <v>312</v>
      </c>
      <c r="J72" s="49" t="s">
        <v>313</v>
      </c>
      <c r="K72" s="49" t="s">
        <v>314</v>
      </c>
      <c r="L72" s="49" t="s">
        <v>315</v>
      </c>
      <c r="M72" s="49" t="s">
        <v>316</v>
      </c>
      <c r="N72" s="49" t="s">
        <v>317</v>
      </c>
      <c r="O72" s="49" t="s">
        <v>10291</v>
      </c>
      <c r="P72" s="49" t="s">
        <v>10292</v>
      </c>
      <c r="Q72" s="49" t="s">
        <v>10293</v>
      </c>
      <c r="R72" s="49" t="s">
        <v>10294</v>
      </c>
      <c r="S72" s="49" t="s">
        <v>10295</v>
      </c>
      <c r="T72" s="49" t="s">
        <v>10296</v>
      </c>
    </row>
    <row r="73" spans="1:21" x14ac:dyDescent="0.2">
      <c r="A73" s="49" t="s">
        <v>30</v>
      </c>
    </row>
    <row r="74" spans="1:21" x14ac:dyDescent="0.2">
      <c r="A74" s="49" t="s">
        <v>30</v>
      </c>
      <c r="E74" s="49" t="s">
        <v>31</v>
      </c>
      <c r="F74" s="49" t="s">
        <v>31</v>
      </c>
      <c r="G74" s="49" t="s">
        <v>31</v>
      </c>
      <c r="J74" s="49" t="s">
        <v>31</v>
      </c>
      <c r="K74" s="49" t="s">
        <v>31</v>
      </c>
      <c r="L74" s="49" t="s">
        <v>31</v>
      </c>
      <c r="M74" s="49" t="s">
        <v>31</v>
      </c>
    </row>
    <row r="75" spans="1:21" x14ac:dyDescent="0.2">
      <c r="A75" s="49" t="s">
        <v>30</v>
      </c>
      <c r="D75" s="49" t="s">
        <v>10578</v>
      </c>
      <c r="E75" s="49" t="s">
        <v>14258</v>
      </c>
      <c r="F75" s="49" t="s">
        <v>10579</v>
      </c>
      <c r="H75" s="49" t="s">
        <v>10580</v>
      </c>
      <c r="O75" s="49" t="s">
        <v>33094</v>
      </c>
      <c r="P75" s="49" t="s">
        <v>33095</v>
      </c>
      <c r="Q75" s="49" t="s">
        <v>33096</v>
      </c>
      <c r="R75" s="49" t="s">
        <v>33097</v>
      </c>
      <c r="S75" s="49" t="s">
        <v>33098</v>
      </c>
      <c r="T75" s="49" t="s">
        <v>33099</v>
      </c>
      <c r="U75" s="49" t="s">
        <v>33100</v>
      </c>
    </row>
    <row r="76" spans="1:21" x14ac:dyDescent="0.2">
      <c r="A76" s="49" t="s">
        <v>30</v>
      </c>
      <c r="D76" s="49" t="s">
        <v>318</v>
      </c>
      <c r="G76" s="49" t="s">
        <v>10581</v>
      </c>
      <c r="H76" s="49" t="s">
        <v>319</v>
      </c>
      <c r="I76" s="49" t="s">
        <v>320</v>
      </c>
      <c r="J76" s="49" t="s">
        <v>321</v>
      </c>
      <c r="K76" s="49" t="s">
        <v>322</v>
      </c>
      <c r="L76" s="49" t="s">
        <v>323</v>
      </c>
      <c r="M76" s="49" t="s">
        <v>324</v>
      </c>
      <c r="N76" s="49" t="s">
        <v>325</v>
      </c>
      <c r="O76" s="49" t="s">
        <v>4084</v>
      </c>
      <c r="P76" s="49" t="s">
        <v>4085</v>
      </c>
      <c r="Q76" s="49" t="s">
        <v>4086</v>
      </c>
      <c r="R76" s="49" t="s">
        <v>4087</v>
      </c>
      <c r="S76" s="49" t="s">
        <v>4088</v>
      </c>
      <c r="T76" s="49" t="s">
        <v>4089</v>
      </c>
    </row>
    <row r="77" spans="1:21" x14ac:dyDescent="0.2">
      <c r="A77" s="49" t="s">
        <v>30</v>
      </c>
      <c r="D77" s="49" t="s">
        <v>13032</v>
      </c>
      <c r="G77" s="49" t="s">
        <v>14278</v>
      </c>
      <c r="H77" s="49" t="s">
        <v>13034</v>
      </c>
      <c r="I77" s="49" t="s">
        <v>13035</v>
      </c>
      <c r="J77" s="49" t="s">
        <v>13036</v>
      </c>
      <c r="K77" s="49" t="s">
        <v>13037</v>
      </c>
      <c r="L77" s="49" t="s">
        <v>13038</v>
      </c>
      <c r="M77" s="49" t="s">
        <v>13039</v>
      </c>
      <c r="N77" s="49" t="s">
        <v>13040</v>
      </c>
      <c r="O77" s="49" t="s">
        <v>13041</v>
      </c>
      <c r="P77" s="49" t="s">
        <v>13042</v>
      </c>
      <c r="Q77" s="49" t="s">
        <v>13043</v>
      </c>
      <c r="R77" s="49" t="s">
        <v>13044</v>
      </c>
      <c r="S77" s="49" t="s">
        <v>13045</v>
      </c>
      <c r="T77" s="49" t="s">
        <v>13046</v>
      </c>
    </row>
    <row r="78" spans="1:21" x14ac:dyDescent="0.2">
      <c r="A78" s="49" t="s">
        <v>30</v>
      </c>
    </row>
    <row r="79" spans="1:21" x14ac:dyDescent="0.2">
      <c r="A79" s="49" t="s">
        <v>30</v>
      </c>
      <c r="E79" s="49" t="s">
        <v>31</v>
      </c>
      <c r="F79" s="49" t="s">
        <v>31</v>
      </c>
      <c r="G79" s="49" t="s">
        <v>31</v>
      </c>
      <c r="J79" s="49" t="s">
        <v>31</v>
      </c>
      <c r="K79" s="49" t="s">
        <v>31</v>
      </c>
      <c r="L79" s="49" t="s">
        <v>31</v>
      </c>
      <c r="M79" s="49" t="s">
        <v>31</v>
      </c>
    </row>
    <row r="80" spans="1:21" x14ac:dyDescent="0.2">
      <c r="A80" s="49" t="s">
        <v>30</v>
      </c>
      <c r="D80" s="49" t="s">
        <v>13047</v>
      </c>
      <c r="E80" s="49" t="s">
        <v>4568</v>
      </c>
      <c r="F80" s="49" t="s">
        <v>13048</v>
      </c>
      <c r="H80" s="49" t="s">
        <v>13049</v>
      </c>
      <c r="O80" s="49" t="s">
        <v>13050</v>
      </c>
      <c r="P80" s="49" t="s">
        <v>13051</v>
      </c>
      <c r="Q80" s="49" t="s">
        <v>13052</v>
      </c>
      <c r="R80" s="49" t="s">
        <v>13053</v>
      </c>
      <c r="S80" s="49" t="s">
        <v>13054</v>
      </c>
      <c r="T80" s="49" t="s">
        <v>13055</v>
      </c>
      <c r="U80" s="49" t="s">
        <v>13056</v>
      </c>
    </row>
    <row r="81" spans="1:21" x14ac:dyDescent="0.2">
      <c r="A81" s="49" t="s">
        <v>30</v>
      </c>
      <c r="D81" s="49" t="s">
        <v>1883</v>
      </c>
      <c r="G81" s="49" t="s">
        <v>13057</v>
      </c>
      <c r="H81" s="49" t="s">
        <v>1884</v>
      </c>
      <c r="I81" s="49" t="s">
        <v>1885</v>
      </c>
      <c r="J81" s="49" t="s">
        <v>1886</v>
      </c>
      <c r="K81" s="49" t="s">
        <v>1887</v>
      </c>
      <c r="L81" s="49" t="s">
        <v>1888</v>
      </c>
      <c r="M81" s="49" t="s">
        <v>1889</v>
      </c>
      <c r="N81" s="49" t="s">
        <v>1890</v>
      </c>
      <c r="O81" s="49" t="s">
        <v>3454</v>
      </c>
      <c r="P81" s="49" t="s">
        <v>3455</v>
      </c>
      <c r="Q81" s="49" t="s">
        <v>3456</v>
      </c>
      <c r="R81" s="49" t="s">
        <v>3457</v>
      </c>
      <c r="S81" s="49" t="s">
        <v>3458</v>
      </c>
      <c r="T81" s="49" t="s">
        <v>3459</v>
      </c>
    </row>
    <row r="82" spans="1:21" x14ac:dyDescent="0.2">
      <c r="A82" s="49" t="s">
        <v>30</v>
      </c>
    </row>
    <row r="83" spans="1:21" x14ac:dyDescent="0.2">
      <c r="A83" s="49" t="s">
        <v>30</v>
      </c>
      <c r="E83" s="49" t="s">
        <v>31</v>
      </c>
      <c r="F83" s="49" t="s">
        <v>31</v>
      </c>
      <c r="G83" s="49" t="s">
        <v>31</v>
      </c>
      <c r="J83" s="49" t="s">
        <v>31</v>
      </c>
      <c r="K83" s="49" t="s">
        <v>31</v>
      </c>
      <c r="L83" s="49" t="s">
        <v>31</v>
      </c>
      <c r="M83" s="49" t="s">
        <v>31</v>
      </c>
    </row>
    <row r="84" spans="1:21" x14ac:dyDescent="0.2">
      <c r="A84" s="49" t="s">
        <v>30</v>
      </c>
      <c r="D84" s="49" t="s">
        <v>9993</v>
      </c>
      <c r="E84" s="49" t="s">
        <v>4569</v>
      </c>
      <c r="F84" s="49" t="s">
        <v>9994</v>
      </c>
      <c r="H84" s="49" t="s">
        <v>9995</v>
      </c>
      <c r="O84" s="49" t="s">
        <v>33101</v>
      </c>
      <c r="P84" s="49" t="s">
        <v>33102</v>
      </c>
      <c r="Q84" s="49" t="s">
        <v>33103</v>
      </c>
      <c r="R84" s="49" t="s">
        <v>33104</v>
      </c>
      <c r="S84" s="49" t="s">
        <v>33105</v>
      </c>
      <c r="T84" s="49" t="s">
        <v>33106</v>
      </c>
      <c r="U84" s="49" t="s">
        <v>33107</v>
      </c>
    </row>
    <row r="85" spans="1:21" x14ac:dyDescent="0.2">
      <c r="A85" s="49" t="s">
        <v>30</v>
      </c>
      <c r="D85" s="49" t="s">
        <v>1891</v>
      </c>
      <c r="G85" s="49" t="s">
        <v>9996</v>
      </c>
      <c r="H85" s="49" t="s">
        <v>1892</v>
      </c>
      <c r="I85" s="49" t="s">
        <v>1893</v>
      </c>
      <c r="J85" s="49" t="s">
        <v>1894</v>
      </c>
      <c r="K85" s="49" t="s">
        <v>1895</v>
      </c>
      <c r="L85" s="49" t="s">
        <v>1896</v>
      </c>
      <c r="M85" s="49" t="s">
        <v>1897</v>
      </c>
      <c r="N85" s="49" t="s">
        <v>1898</v>
      </c>
      <c r="O85" s="49" t="s">
        <v>3460</v>
      </c>
      <c r="P85" s="49" t="s">
        <v>3461</v>
      </c>
      <c r="Q85" s="49" t="s">
        <v>3462</v>
      </c>
      <c r="R85" s="49" t="s">
        <v>3463</v>
      </c>
      <c r="S85" s="49" t="s">
        <v>3464</v>
      </c>
      <c r="T85" s="49" t="s">
        <v>3465</v>
      </c>
    </row>
    <row r="86" spans="1:21" x14ac:dyDescent="0.2">
      <c r="A86" s="49" t="s">
        <v>30</v>
      </c>
    </row>
    <row r="87" spans="1:21" x14ac:dyDescent="0.2">
      <c r="A87" s="49" t="s">
        <v>30</v>
      </c>
      <c r="E87" s="49" t="s">
        <v>31</v>
      </c>
      <c r="F87" s="49" t="s">
        <v>31</v>
      </c>
      <c r="G87" s="49" t="s">
        <v>31</v>
      </c>
      <c r="J87" s="49" t="s">
        <v>31</v>
      </c>
      <c r="K87" s="49" t="s">
        <v>31</v>
      </c>
      <c r="L87" s="49" t="s">
        <v>31</v>
      </c>
      <c r="M87" s="49" t="s">
        <v>31</v>
      </c>
    </row>
    <row r="88" spans="1:21" x14ac:dyDescent="0.2">
      <c r="A88" s="49" t="s">
        <v>30</v>
      </c>
      <c r="D88" s="49" t="s">
        <v>33108</v>
      </c>
      <c r="E88" s="49" t="s">
        <v>4582</v>
      </c>
      <c r="F88" s="49" t="s">
        <v>33109</v>
      </c>
      <c r="H88" s="49" t="s">
        <v>33110</v>
      </c>
      <c r="O88" s="49" t="s">
        <v>33111</v>
      </c>
      <c r="P88" s="49" t="s">
        <v>33112</v>
      </c>
      <c r="Q88" s="49" t="s">
        <v>33113</v>
      </c>
      <c r="R88" s="49" t="s">
        <v>33114</v>
      </c>
      <c r="S88" s="49" t="s">
        <v>33115</v>
      </c>
      <c r="T88" s="49" t="s">
        <v>33116</v>
      </c>
      <c r="U88" s="49" t="s">
        <v>33117</v>
      </c>
    </row>
    <row r="89" spans="1:21" x14ac:dyDescent="0.2">
      <c r="A89" s="49" t="s">
        <v>30</v>
      </c>
      <c r="D89" s="49" t="s">
        <v>14118</v>
      </c>
      <c r="G89" s="49" t="s">
        <v>33118</v>
      </c>
      <c r="H89" s="49" t="s">
        <v>31976</v>
      </c>
      <c r="I89" s="49" t="s">
        <v>31977</v>
      </c>
      <c r="J89" s="49" t="s">
        <v>32026</v>
      </c>
      <c r="K89" s="49" t="s">
        <v>32027</v>
      </c>
      <c r="L89" s="49" t="s">
        <v>14120</v>
      </c>
      <c r="M89" s="49" t="s">
        <v>14121</v>
      </c>
      <c r="N89" s="49" t="s">
        <v>14122</v>
      </c>
      <c r="O89" s="49" t="s">
        <v>33026</v>
      </c>
      <c r="P89" s="49" t="s">
        <v>33027</v>
      </c>
      <c r="Q89" s="49" t="s">
        <v>33028</v>
      </c>
      <c r="R89" s="49" t="s">
        <v>33029</v>
      </c>
      <c r="S89" s="49" t="s">
        <v>33030</v>
      </c>
      <c r="T89" s="49" t="s">
        <v>33031</v>
      </c>
    </row>
    <row r="90" spans="1:21" x14ac:dyDescent="0.2">
      <c r="A90" s="49" t="s">
        <v>30</v>
      </c>
      <c r="D90" s="49" t="s">
        <v>372</v>
      </c>
      <c r="G90" s="49" t="s">
        <v>14335</v>
      </c>
      <c r="H90" s="49" t="s">
        <v>373</v>
      </c>
      <c r="I90" s="49" t="s">
        <v>374</v>
      </c>
      <c r="J90" s="49" t="s">
        <v>375</v>
      </c>
      <c r="K90" s="49" t="s">
        <v>376</v>
      </c>
      <c r="L90" s="49" t="s">
        <v>377</v>
      </c>
      <c r="M90" s="49" t="s">
        <v>378</v>
      </c>
      <c r="N90" s="49" t="s">
        <v>379</v>
      </c>
      <c r="O90" s="49" t="s">
        <v>4097</v>
      </c>
      <c r="P90" s="49" t="s">
        <v>4098</v>
      </c>
      <c r="Q90" s="49" t="s">
        <v>4099</v>
      </c>
      <c r="R90" s="49" t="s">
        <v>4100</v>
      </c>
      <c r="S90" s="49" t="s">
        <v>4101</v>
      </c>
      <c r="T90" s="49" t="s">
        <v>4102</v>
      </c>
    </row>
    <row r="91" spans="1:21" x14ac:dyDescent="0.2">
      <c r="A91" s="49" t="s">
        <v>30</v>
      </c>
      <c r="D91" s="49" t="s">
        <v>380</v>
      </c>
      <c r="G91" s="49" t="s">
        <v>14341</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row>
    <row r="93" spans="1:21" x14ac:dyDescent="0.2">
      <c r="A93" s="49" t="s">
        <v>30</v>
      </c>
      <c r="E93" s="49" t="s">
        <v>31</v>
      </c>
      <c r="F93" s="49" t="s">
        <v>31</v>
      </c>
      <c r="G93" s="49" t="s">
        <v>31</v>
      </c>
      <c r="J93" s="49" t="s">
        <v>31</v>
      </c>
      <c r="K93" s="49" t="s">
        <v>31</v>
      </c>
      <c r="L93" s="49" t="s">
        <v>31</v>
      </c>
      <c r="M93" s="49" t="s">
        <v>31</v>
      </c>
    </row>
    <row r="94" spans="1:21" x14ac:dyDescent="0.2">
      <c r="A94" s="49" t="s">
        <v>30</v>
      </c>
      <c r="D94" s="49" t="s">
        <v>9423</v>
      </c>
      <c r="E94" s="49" t="s">
        <v>4601</v>
      </c>
      <c r="F94" s="49" t="s">
        <v>9424</v>
      </c>
      <c r="H94" s="49" t="s">
        <v>9425</v>
      </c>
      <c r="O94" s="49" t="s">
        <v>33119</v>
      </c>
      <c r="P94" s="49" t="s">
        <v>33120</v>
      </c>
      <c r="Q94" s="49" t="s">
        <v>33121</v>
      </c>
      <c r="R94" s="49" t="s">
        <v>33122</v>
      </c>
      <c r="S94" s="49" t="s">
        <v>33123</v>
      </c>
      <c r="T94" s="49" t="s">
        <v>33124</v>
      </c>
      <c r="U94" s="49" t="s">
        <v>33125</v>
      </c>
    </row>
    <row r="95" spans="1:21" x14ac:dyDescent="0.2">
      <c r="A95" s="49" t="s">
        <v>30</v>
      </c>
      <c r="D95" s="49" t="s">
        <v>9426</v>
      </c>
      <c r="G95" s="49" t="s">
        <v>9427</v>
      </c>
      <c r="H95" s="49" t="s">
        <v>9428</v>
      </c>
      <c r="I95" s="49" t="s">
        <v>9429</v>
      </c>
      <c r="J95" s="49" t="s">
        <v>9430</v>
      </c>
      <c r="K95" s="49" t="s">
        <v>9431</v>
      </c>
      <c r="L95" s="49" t="s">
        <v>9432</v>
      </c>
      <c r="M95" s="49" t="s">
        <v>9433</v>
      </c>
      <c r="N95" s="49" t="s">
        <v>9434</v>
      </c>
      <c r="O95" s="49" t="s">
        <v>9435</v>
      </c>
      <c r="P95" s="49" t="s">
        <v>9436</v>
      </c>
      <c r="Q95" s="49" t="s">
        <v>9437</v>
      </c>
      <c r="R95" s="49" t="s">
        <v>9438</v>
      </c>
      <c r="S95" s="49" t="s">
        <v>9439</v>
      </c>
      <c r="T95" s="49" t="s">
        <v>9440</v>
      </c>
    </row>
    <row r="96" spans="1:21" x14ac:dyDescent="0.2">
      <c r="A96" s="49" t="s">
        <v>30</v>
      </c>
      <c r="D96" s="49" t="s">
        <v>388</v>
      </c>
      <c r="G96" s="49" t="s">
        <v>14360</v>
      </c>
      <c r="H96" s="49" t="s">
        <v>389</v>
      </c>
      <c r="I96" s="49" t="s">
        <v>390</v>
      </c>
      <c r="J96" s="49" t="s">
        <v>391</v>
      </c>
      <c r="K96" s="49" t="s">
        <v>392</v>
      </c>
      <c r="L96" s="49" t="s">
        <v>393</v>
      </c>
      <c r="M96" s="49" t="s">
        <v>394</v>
      </c>
      <c r="N96" s="49" t="s">
        <v>395</v>
      </c>
      <c r="O96" s="49" t="s">
        <v>3685</v>
      </c>
      <c r="P96" s="49" t="s">
        <v>3686</v>
      </c>
      <c r="Q96" s="49" t="s">
        <v>3687</v>
      </c>
      <c r="R96" s="49" t="s">
        <v>3688</v>
      </c>
      <c r="S96" s="49" t="s">
        <v>3689</v>
      </c>
      <c r="T96" s="49" t="s">
        <v>3690</v>
      </c>
    </row>
    <row r="97" spans="1:21" x14ac:dyDescent="0.2">
      <c r="A97" s="49" t="s">
        <v>30</v>
      </c>
    </row>
    <row r="98" spans="1:21" x14ac:dyDescent="0.2">
      <c r="A98" s="49" t="s">
        <v>30</v>
      </c>
      <c r="E98" s="49" t="s">
        <v>31</v>
      </c>
      <c r="F98" s="49" t="s">
        <v>31</v>
      </c>
      <c r="G98" s="49" t="s">
        <v>31</v>
      </c>
      <c r="J98" s="49" t="s">
        <v>31</v>
      </c>
      <c r="K98" s="49" t="s">
        <v>31</v>
      </c>
      <c r="L98" s="49" t="s">
        <v>31</v>
      </c>
      <c r="M98" s="49" t="s">
        <v>31</v>
      </c>
    </row>
    <row r="99" spans="1:21" x14ac:dyDescent="0.2">
      <c r="A99" s="49" t="s">
        <v>30</v>
      </c>
      <c r="D99" s="49" t="s">
        <v>9997</v>
      </c>
      <c r="E99" s="49" t="s">
        <v>4615</v>
      </c>
      <c r="F99" s="49" t="s">
        <v>9998</v>
      </c>
      <c r="H99" s="49" t="s">
        <v>9999</v>
      </c>
      <c r="O99" s="49" t="s">
        <v>33126</v>
      </c>
      <c r="P99" s="49" t="s">
        <v>33127</v>
      </c>
      <c r="Q99" s="49" t="s">
        <v>33128</v>
      </c>
      <c r="R99" s="49" t="s">
        <v>33129</v>
      </c>
      <c r="S99" s="49" t="s">
        <v>33130</v>
      </c>
      <c r="T99" s="49" t="s">
        <v>33131</v>
      </c>
      <c r="U99" s="49" t="s">
        <v>33132</v>
      </c>
    </row>
    <row r="100" spans="1:21" x14ac:dyDescent="0.2">
      <c r="A100" s="49" t="s">
        <v>30</v>
      </c>
      <c r="D100" s="49" t="s">
        <v>2802</v>
      </c>
      <c r="G100" s="49" t="s">
        <v>10000</v>
      </c>
      <c r="H100" s="49" t="s">
        <v>2803</v>
      </c>
      <c r="I100" s="49" t="s">
        <v>2804</v>
      </c>
      <c r="J100" s="49" t="s">
        <v>2805</v>
      </c>
      <c r="K100" s="49" t="s">
        <v>2806</v>
      </c>
      <c r="L100" s="49" t="s">
        <v>2807</v>
      </c>
      <c r="M100" s="49" t="s">
        <v>2808</v>
      </c>
      <c r="N100" s="49" t="s">
        <v>2809</v>
      </c>
      <c r="O100" s="49" t="s">
        <v>4354</v>
      </c>
      <c r="P100" s="49" t="s">
        <v>4355</v>
      </c>
      <c r="Q100" s="49" t="s">
        <v>4356</v>
      </c>
      <c r="R100" s="49" t="s">
        <v>4357</v>
      </c>
      <c r="S100" s="49" t="s">
        <v>4358</v>
      </c>
      <c r="T100" s="49" t="s">
        <v>4359</v>
      </c>
    </row>
    <row r="101" spans="1:21" x14ac:dyDescent="0.2">
      <c r="A101" s="49" t="s">
        <v>30</v>
      </c>
      <c r="D101" s="49" t="s">
        <v>1729</v>
      </c>
      <c r="G101" s="49" t="s">
        <v>14384</v>
      </c>
      <c r="H101" s="49" t="s">
        <v>1730</v>
      </c>
      <c r="I101" s="49" t="s">
        <v>1731</v>
      </c>
      <c r="J101" s="49" t="s">
        <v>1732</v>
      </c>
      <c r="K101" s="49" t="s">
        <v>1733</v>
      </c>
      <c r="L101" s="49" t="s">
        <v>1734</v>
      </c>
      <c r="M101" s="49" t="s">
        <v>1735</v>
      </c>
      <c r="N101" s="49" t="s">
        <v>1736</v>
      </c>
      <c r="O101" s="49" t="s">
        <v>3473</v>
      </c>
      <c r="P101" s="49" t="s">
        <v>3474</v>
      </c>
      <c r="Q101" s="49" t="s">
        <v>3475</v>
      </c>
      <c r="R101" s="49" t="s">
        <v>3476</v>
      </c>
      <c r="S101" s="49" t="s">
        <v>3477</v>
      </c>
      <c r="T101" s="49" t="s">
        <v>3478</v>
      </c>
    </row>
    <row r="102" spans="1:21" x14ac:dyDescent="0.2">
      <c r="A102" s="49" t="s">
        <v>30</v>
      </c>
      <c r="D102" s="49" t="s">
        <v>412</v>
      </c>
      <c r="G102" s="49" t="s">
        <v>14387</v>
      </c>
      <c r="H102" s="49" t="s">
        <v>413</v>
      </c>
      <c r="I102" s="49" t="s">
        <v>414</v>
      </c>
      <c r="J102" s="49" t="s">
        <v>415</v>
      </c>
      <c r="K102" s="49" t="s">
        <v>416</v>
      </c>
      <c r="L102" s="49" t="s">
        <v>417</v>
      </c>
      <c r="M102" s="49" t="s">
        <v>418</v>
      </c>
      <c r="N102" s="49" t="s">
        <v>419</v>
      </c>
      <c r="O102" s="49" t="s">
        <v>3697</v>
      </c>
      <c r="P102" s="49" t="s">
        <v>3698</v>
      </c>
      <c r="Q102" s="49" t="s">
        <v>3699</v>
      </c>
      <c r="R102" s="49" t="s">
        <v>3700</v>
      </c>
      <c r="S102" s="49" t="s">
        <v>3701</v>
      </c>
      <c r="T102" s="49" t="s">
        <v>3702</v>
      </c>
    </row>
    <row r="103" spans="1:21" x14ac:dyDescent="0.2">
      <c r="A103" s="49" t="s">
        <v>30</v>
      </c>
    </row>
    <row r="104" spans="1:21" x14ac:dyDescent="0.2">
      <c r="A104" s="49" t="s">
        <v>30</v>
      </c>
      <c r="E104" s="49" t="s">
        <v>31</v>
      </c>
      <c r="F104" s="49" t="s">
        <v>31</v>
      </c>
      <c r="G104" s="49" t="s">
        <v>31</v>
      </c>
      <c r="J104" s="49" t="s">
        <v>31</v>
      </c>
      <c r="K104" s="49" t="s">
        <v>31</v>
      </c>
      <c r="L104" s="49" t="s">
        <v>31</v>
      </c>
      <c r="M104" s="49" t="s">
        <v>31</v>
      </c>
    </row>
    <row r="105" spans="1:21" x14ac:dyDescent="0.2">
      <c r="A105" s="49" t="s">
        <v>30</v>
      </c>
      <c r="D105" s="49" t="s">
        <v>2977</v>
      </c>
      <c r="E105" s="49" t="s">
        <v>4618</v>
      </c>
      <c r="F105" s="49" t="s">
        <v>2978</v>
      </c>
      <c r="H105" s="49" t="s">
        <v>2979</v>
      </c>
      <c r="O105" s="49" t="s">
        <v>33133</v>
      </c>
      <c r="P105" s="49" t="s">
        <v>33134</v>
      </c>
      <c r="Q105" s="49" t="s">
        <v>33135</v>
      </c>
      <c r="R105" s="49" t="s">
        <v>33136</v>
      </c>
      <c r="S105" s="49" t="s">
        <v>33137</v>
      </c>
      <c r="T105" s="49" t="s">
        <v>33138</v>
      </c>
      <c r="U105" s="49" t="s">
        <v>33139</v>
      </c>
    </row>
    <row r="106" spans="1:21" x14ac:dyDescent="0.2">
      <c r="A106" s="49" t="s">
        <v>30</v>
      </c>
      <c r="D106" s="49" t="s">
        <v>1918</v>
      </c>
      <c r="G106" s="49" t="s">
        <v>8902</v>
      </c>
      <c r="H106" s="49" t="s">
        <v>1919</v>
      </c>
      <c r="I106" s="49" t="s">
        <v>1920</v>
      </c>
      <c r="J106" s="49" t="s">
        <v>1921</v>
      </c>
      <c r="K106" s="49" t="s">
        <v>1922</v>
      </c>
      <c r="L106" s="49" t="s">
        <v>1923</v>
      </c>
      <c r="M106" s="49" t="s">
        <v>1924</v>
      </c>
      <c r="N106" s="49" t="s">
        <v>1925</v>
      </c>
      <c r="O106" s="49" t="s">
        <v>3915</v>
      </c>
      <c r="P106" s="49" t="s">
        <v>3916</v>
      </c>
      <c r="Q106" s="49" t="s">
        <v>3917</v>
      </c>
      <c r="R106" s="49" t="s">
        <v>3918</v>
      </c>
      <c r="S106" s="49" t="s">
        <v>3919</v>
      </c>
      <c r="T106" s="49" t="s">
        <v>3920</v>
      </c>
    </row>
    <row r="107" spans="1:21" x14ac:dyDescent="0.2">
      <c r="A107" s="49" t="s">
        <v>30</v>
      </c>
      <c r="D107" s="49" t="s">
        <v>431</v>
      </c>
      <c r="G107" s="49" t="s">
        <v>14410</v>
      </c>
      <c r="H107" s="49" t="s">
        <v>432</v>
      </c>
      <c r="I107" s="49" t="s">
        <v>433</v>
      </c>
      <c r="J107" s="49" t="s">
        <v>434</v>
      </c>
      <c r="K107" s="49" t="s">
        <v>435</v>
      </c>
      <c r="L107" s="49" t="s">
        <v>436</v>
      </c>
      <c r="M107" s="49" t="s">
        <v>437</v>
      </c>
      <c r="N107" s="49" t="s">
        <v>438</v>
      </c>
      <c r="O107" s="49" t="s">
        <v>3710</v>
      </c>
      <c r="P107" s="49" t="s">
        <v>3711</v>
      </c>
      <c r="Q107" s="49" t="s">
        <v>3712</v>
      </c>
      <c r="R107" s="49" t="s">
        <v>3713</v>
      </c>
      <c r="S107" s="49" t="s">
        <v>3714</v>
      </c>
      <c r="T107" s="49" t="s">
        <v>3715</v>
      </c>
    </row>
    <row r="108" spans="1:21" x14ac:dyDescent="0.2">
      <c r="A108" s="49" t="s">
        <v>30</v>
      </c>
    </row>
    <row r="109" spans="1:21" x14ac:dyDescent="0.2">
      <c r="A109" s="49" t="s">
        <v>30</v>
      </c>
      <c r="E109" s="49" t="s">
        <v>31</v>
      </c>
      <c r="F109" s="49" t="s">
        <v>31</v>
      </c>
      <c r="G109" s="49" t="s">
        <v>31</v>
      </c>
      <c r="J109" s="49" t="s">
        <v>31</v>
      </c>
      <c r="K109" s="49" t="s">
        <v>31</v>
      </c>
      <c r="L109" s="49" t="s">
        <v>31</v>
      </c>
      <c r="M109" s="49" t="s">
        <v>31</v>
      </c>
    </row>
    <row r="110" spans="1:21" x14ac:dyDescent="0.2">
      <c r="A110" s="49" t="s">
        <v>30</v>
      </c>
      <c r="D110" s="49" t="s">
        <v>2567</v>
      </c>
      <c r="E110" s="49" t="s">
        <v>4619</v>
      </c>
      <c r="F110" s="49" t="s">
        <v>2568</v>
      </c>
      <c r="H110" s="49" t="s">
        <v>2569</v>
      </c>
      <c r="O110" s="49" t="s">
        <v>33140</v>
      </c>
      <c r="P110" s="49" t="s">
        <v>33141</v>
      </c>
      <c r="Q110" s="49" t="s">
        <v>33142</v>
      </c>
      <c r="R110" s="49" t="s">
        <v>33143</v>
      </c>
      <c r="S110" s="49" t="s">
        <v>33144</v>
      </c>
      <c r="T110" s="49" t="s">
        <v>33145</v>
      </c>
      <c r="U110" s="49" t="s">
        <v>33146</v>
      </c>
    </row>
    <row r="111" spans="1:21" x14ac:dyDescent="0.2">
      <c r="A111" s="49" t="s">
        <v>30</v>
      </c>
      <c r="D111" s="49" t="s">
        <v>2570</v>
      </c>
      <c r="G111" s="49" t="s">
        <v>4109</v>
      </c>
      <c r="H111" s="49" t="s">
        <v>2571</v>
      </c>
      <c r="I111" s="49" t="s">
        <v>2572</v>
      </c>
      <c r="J111" s="49" t="s">
        <v>2573</v>
      </c>
      <c r="K111" s="49" t="s">
        <v>2574</v>
      </c>
      <c r="L111" s="49" t="s">
        <v>2575</v>
      </c>
      <c r="M111" s="49" t="s">
        <v>2576</v>
      </c>
      <c r="N111" s="49" t="s">
        <v>2577</v>
      </c>
      <c r="O111" s="49" t="s">
        <v>3921</v>
      </c>
      <c r="P111" s="49" t="s">
        <v>3922</v>
      </c>
      <c r="Q111" s="49" t="s">
        <v>3923</v>
      </c>
      <c r="R111" s="49" t="s">
        <v>3924</v>
      </c>
      <c r="S111" s="49" t="s">
        <v>3925</v>
      </c>
      <c r="T111" s="49" t="s">
        <v>3926</v>
      </c>
    </row>
    <row r="112" spans="1:21" x14ac:dyDescent="0.2">
      <c r="A112" s="49" t="s">
        <v>30</v>
      </c>
      <c r="D112" s="49" t="s">
        <v>447</v>
      </c>
      <c r="G112" s="49" t="s">
        <v>14424</v>
      </c>
      <c r="H112" s="49" t="s">
        <v>448</v>
      </c>
      <c r="I112" s="49" t="s">
        <v>449</v>
      </c>
      <c r="J112" s="49" t="s">
        <v>450</v>
      </c>
      <c r="K112" s="49" t="s">
        <v>451</v>
      </c>
      <c r="L112" s="49" t="s">
        <v>452</v>
      </c>
      <c r="M112" s="49" t="s">
        <v>453</v>
      </c>
      <c r="N112" s="49" t="s">
        <v>454</v>
      </c>
      <c r="O112" s="49" t="s">
        <v>3927</v>
      </c>
      <c r="P112" s="49" t="s">
        <v>3928</v>
      </c>
      <c r="Q112" s="49" t="s">
        <v>3929</v>
      </c>
      <c r="R112" s="49" t="s">
        <v>3930</v>
      </c>
      <c r="S112" s="49" t="s">
        <v>3931</v>
      </c>
      <c r="T112" s="49" t="s">
        <v>3932</v>
      </c>
    </row>
    <row r="113" spans="1:21" x14ac:dyDescent="0.2">
      <c r="A113" s="49" t="s">
        <v>30</v>
      </c>
    </row>
    <row r="114" spans="1:21" x14ac:dyDescent="0.2">
      <c r="A114" s="49" t="s">
        <v>30</v>
      </c>
      <c r="E114" s="49" t="s">
        <v>31</v>
      </c>
      <c r="F114" s="49" t="s">
        <v>31</v>
      </c>
      <c r="G114" s="49" t="s">
        <v>31</v>
      </c>
      <c r="J114" s="49" t="s">
        <v>31</v>
      </c>
      <c r="K114" s="49" t="s">
        <v>31</v>
      </c>
      <c r="L114" s="49" t="s">
        <v>31</v>
      </c>
      <c r="M114" s="49" t="s">
        <v>31</v>
      </c>
    </row>
    <row r="115" spans="1:21" x14ac:dyDescent="0.2">
      <c r="A115" s="49" t="s">
        <v>30</v>
      </c>
      <c r="D115" s="49" t="s">
        <v>2810</v>
      </c>
      <c r="E115" s="49" t="s">
        <v>4655</v>
      </c>
      <c r="F115" s="49" t="s">
        <v>2811</v>
      </c>
      <c r="H115" s="49" t="s">
        <v>2812</v>
      </c>
      <c r="O115" s="49" t="s">
        <v>33147</v>
      </c>
      <c r="P115" s="49" t="s">
        <v>33148</v>
      </c>
      <c r="Q115" s="49" t="s">
        <v>33149</v>
      </c>
      <c r="R115" s="49" t="s">
        <v>33150</v>
      </c>
      <c r="S115" s="49" t="s">
        <v>33151</v>
      </c>
      <c r="T115" s="49" t="s">
        <v>33152</v>
      </c>
      <c r="U115" s="49" t="s">
        <v>33153</v>
      </c>
    </row>
    <row r="116" spans="1:21" x14ac:dyDescent="0.2">
      <c r="A116" s="49" t="s">
        <v>30</v>
      </c>
      <c r="D116" s="49" t="s">
        <v>2777</v>
      </c>
      <c r="G116" s="49" t="s">
        <v>3933</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c r="D117" s="49" t="s">
        <v>1737</v>
      </c>
      <c r="G117" s="49" t="s">
        <v>14454</v>
      </c>
      <c r="H117" s="49" t="s">
        <v>1738</v>
      </c>
      <c r="I117" s="49" t="s">
        <v>1739</v>
      </c>
      <c r="J117" s="49" t="s">
        <v>1740</v>
      </c>
      <c r="K117" s="49" t="s">
        <v>1741</v>
      </c>
      <c r="L117" s="49" t="s">
        <v>1742</v>
      </c>
      <c r="M117" s="49" t="s">
        <v>1743</v>
      </c>
      <c r="N117" s="49" t="s">
        <v>1744</v>
      </c>
      <c r="O117" s="49" t="s">
        <v>3934</v>
      </c>
      <c r="P117" s="49" t="s">
        <v>3935</v>
      </c>
      <c r="Q117" s="49" t="s">
        <v>3936</v>
      </c>
      <c r="R117" s="49" t="s">
        <v>3937</v>
      </c>
      <c r="S117" s="49" t="s">
        <v>3938</v>
      </c>
      <c r="T117" s="49" t="s">
        <v>3939</v>
      </c>
    </row>
    <row r="118" spans="1:21" x14ac:dyDescent="0.2">
      <c r="A118" s="49" t="s">
        <v>30</v>
      </c>
      <c r="D118" s="49" t="s">
        <v>1934</v>
      </c>
      <c r="G118" s="49" t="s">
        <v>14465</v>
      </c>
      <c r="H118" s="49" t="s">
        <v>1935</v>
      </c>
      <c r="I118" s="49" t="s">
        <v>1936</v>
      </c>
      <c r="J118" s="49" t="s">
        <v>1937</v>
      </c>
      <c r="K118" s="49" t="s">
        <v>1938</v>
      </c>
      <c r="L118" s="49" t="s">
        <v>1939</v>
      </c>
      <c r="M118" s="49" t="s">
        <v>1940</v>
      </c>
      <c r="N118" s="49" t="s">
        <v>1941</v>
      </c>
      <c r="O118" s="49" t="s">
        <v>13695</v>
      </c>
      <c r="P118" s="49" t="s">
        <v>13696</v>
      </c>
      <c r="Q118" s="49" t="s">
        <v>13697</v>
      </c>
      <c r="R118" s="49" t="s">
        <v>13698</v>
      </c>
      <c r="S118" s="49" t="s">
        <v>13699</v>
      </c>
      <c r="T118" s="49" t="s">
        <v>13700</v>
      </c>
    </row>
    <row r="119" spans="1:21" x14ac:dyDescent="0.2">
      <c r="A119" s="49" t="s">
        <v>30</v>
      </c>
      <c r="D119" s="49" t="s">
        <v>471</v>
      </c>
      <c r="G119" s="49" t="s">
        <v>14467</v>
      </c>
      <c r="H119" s="49" t="s">
        <v>472</v>
      </c>
      <c r="I119" s="49" t="s">
        <v>473</v>
      </c>
      <c r="J119" s="49" t="s">
        <v>474</v>
      </c>
      <c r="K119" s="49" t="s">
        <v>475</v>
      </c>
      <c r="L119" s="49" t="s">
        <v>476</v>
      </c>
      <c r="M119" s="49" t="s">
        <v>477</v>
      </c>
      <c r="N119" s="49" t="s">
        <v>478</v>
      </c>
      <c r="O119" s="49" t="s">
        <v>4335</v>
      </c>
      <c r="P119" s="49" t="s">
        <v>4336</v>
      </c>
      <c r="Q119" s="49" t="s">
        <v>4337</v>
      </c>
      <c r="R119" s="49" t="s">
        <v>4338</v>
      </c>
      <c r="S119" s="49" t="s">
        <v>4339</v>
      </c>
      <c r="T119" s="49" t="s">
        <v>4340</v>
      </c>
    </row>
    <row r="120" spans="1:21" x14ac:dyDescent="0.2">
      <c r="A120" s="49" t="s">
        <v>30</v>
      </c>
      <c r="D120" s="49" t="s">
        <v>479</v>
      </c>
      <c r="G120" s="49" t="s">
        <v>14469</v>
      </c>
      <c r="H120" s="49" t="s">
        <v>480</v>
      </c>
      <c r="I120" s="49" t="s">
        <v>481</v>
      </c>
      <c r="J120" s="49" t="s">
        <v>482</v>
      </c>
      <c r="K120" s="49" t="s">
        <v>483</v>
      </c>
      <c r="L120" s="49" t="s">
        <v>484</v>
      </c>
      <c r="M120" s="49" t="s">
        <v>485</v>
      </c>
      <c r="N120" s="49" t="s">
        <v>486</v>
      </c>
      <c r="O120" s="49" t="s">
        <v>3741</v>
      </c>
      <c r="P120" s="49" t="s">
        <v>3742</v>
      </c>
      <c r="Q120" s="49" t="s">
        <v>3743</v>
      </c>
      <c r="R120" s="49" t="s">
        <v>3744</v>
      </c>
      <c r="S120" s="49" t="s">
        <v>3745</v>
      </c>
      <c r="T120" s="49" t="s">
        <v>3746</v>
      </c>
    </row>
    <row r="121" spans="1:21" x14ac:dyDescent="0.2">
      <c r="A121" s="49" t="s">
        <v>30</v>
      </c>
    </row>
    <row r="122" spans="1:21" x14ac:dyDescent="0.2">
      <c r="A122" s="49" t="s">
        <v>30</v>
      </c>
      <c r="E122" s="49" t="s">
        <v>31</v>
      </c>
      <c r="F122" s="49" t="s">
        <v>31</v>
      </c>
      <c r="G122" s="49" t="s">
        <v>31</v>
      </c>
      <c r="J122" s="49" t="s">
        <v>31</v>
      </c>
      <c r="K122" s="49" t="s">
        <v>31</v>
      </c>
      <c r="L122" s="49" t="s">
        <v>31</v>
      </c>
      <c r="M122" s="49" t="s">
        <v>31</v>
      </c>
    </row>
    <row r="123" spans="1:21" x14ac:dyDescent="0.2">
      <c r="A123" s="49" t="s">
        <v>30</v>
      </c>
      <c r="D123" s="49" t="s">
        <v>2349</v>
      </c>
      <c r="E123" s="49" t="s">
        <v>4675</v>
      </c>
      <c r="F123" s="49" t="s">
        <v>2350</v>
      </c>
      <c r="H123" s="49" t="s">
        <v>2351</v>
      </c>
      <c r="O123" s="49" t="s">
        <v>33154</v>
      </c>
      <c r="P123" s="49" t="s">
        <v>33155</v>
      </c>
      <c r="Q123" s="49" t="s">
        <v>33156</v>
      </c>
      <c r="R123" s="49" t="s">
        <v>33157</v>
      </c>
      <c r="S123" s="49" t="s">
        <v>33158</v>
      </c>
      <c r="T123" s="49" t="s">
        <v>33159</v>
      </c>
      <c r="U123" s="49" t="s">
        <v>33160</v>
      </c>
    </row>
    <row r="124" spans="1:21" x14ac:dyDescent="0.2">
      <c r="A124" s="49" t="s">
        <v>30</v>
      </c>
      <c r="D124" s="49" t="s">
        <v>511</v>
      </c>
      <c r="G124" s="49" t="s">
        <v>4017</v>
      </c>
      <c r="H124" s="49" t="s">
        <v>512</v>
      </c>
      <c r="I124" s="49" t="s">
        <v>513</v>
      </c>
      <c r="J124" s="49" t="s">
        <v>514</v>
      </c>
      <c r="K124" s="49" t="s">
        <v>515</v>
      </c>
      <c r="L124" s="49" t="s">
        <v>516</v>
      </c>
      <c r="M124" s="49" t="s">
        <v>517</v>
      </c>
      <c r="N124" s="49" t="s">
        <v>518</v>
      </c>
      <c r="O124" s="49" t="s">
        <v>4018</v>
      </c>
      <c r="P124" s="49" t="s">
        <v>4019</v>
      </c>
      <c r="Q124" s="49" t="s">
        <v>4020</v>
      </c>
      <c r="R124" s="49" t="s">
        <v>4021</v>
      </c>
      <c r="S124" s="49" t="s">
        <v>4022</v>
      </c>
      <c r="T124" s="49" t="s">
        <v>4023</v>
      </c>
    </row>
    <row r="125" spans="1:21" x14ac:dyDescent="0.2">
      <c r="A125" s="49" t="s">
        <v>30</v>
      </c>
      <c r="D125" s="49" t="s">
        <v>519</v>
      </c>
      <c r="G125" s="49" t="s">
        <v>14496</v>
      </c>
      <c r="H125" s="49" t="s">
        <v>520</v>
      </c>
      <c r="I125" s="49" t="s">
        <v>521</v>
      </c>
      <c r="J125" s="49" t="s">
        <v>522</v>
      </c>
      <c r="K125" s="49" t="s">
        <v>523</v>
      </c>
      <c r="L125" s="49" t="s">
        <v>524</v>
      </c>
      <c r="M125" s="49" t="s">
        <v>525</v>
      </c>
      <c r="N125" s="49" t="s">
        <v>526</v>
      </c>
      <c r="O125" s="49" t="s">
        <v>3753</v>
      </c>
      <c r="P125" s="49" t="s">
        <v>3754</v>
      </c>
      <c r="Q125" s="49" t="s">
        <v>3755</v>
      </c>
      <c r="R125" s="49" t="s">
        <v>3756</v>
      </c>
      <c r="S125" s="49" t="s">
        <v>3757</v>
      </c>
      <c r="T125" s="49" t="s">
        <v>3758</v>
      </c>
    </row>
    <row r="126" spans="1:21" x14ac:dyDescent="0.2">
      <c r="A126" s="49" t="s">
        <v>30</v>
      </c>
      <c r="D126" s="49" t="s">
        <v>1945</v>
      </c>
      <c r="G126" s="49" t="s">
        <v>14509</v>
      </c>
      <c r="H126" s="49" t="s">
        <v>1946</v>
      </c>
      <c r="I126" s="49" t="s">
        <v>1947</v>
      </c>
      <c r="J126" s="49" t="s">
        <v>1948</v>
      </c>
      <c r="K126" s="49" t="s">
        <v>1949</v>
      </c>
      <c r="L126" s="49" t="s">
        <v>1950</v>
      </c>
      <c r="M126" s="49" t="s">
        <v>1951</v>
      </c>
      <c r="N126" s="49" t="s">
        <v>1952</v>
      </c>
      <c r="O126" s="49" t="s">
        <v>13390</v>
      </c>
      <c r="P126" s="49" t="s">
        <v>13391</v>
      </c>
      <c r="Q126" s="49" t="s">
        <v>13392</v>
      </c>
      <c r="R126" s="49" t="s">
        <v>13393</v>
      </c>
      <c r="S126" s="49" t="s">
        <v>13394</v>
      </c>
      <c r="T126" s="49" t="s">
        <v>13395</v>
      </c>
    </row>
    <row r="127" spans="1:21" x14ac:dyDescent="0.2">
      <c r="A127" s="49" t="s">
        <v>30</v>
      </c>
    </row>
    <row r="128" spans="1:21" x14ac:dyDescent="0.2">
      <c r="A128" s="49" t="s">
        <v>30</v>
      </c>
      <c r="E128" s="49" t="s">
        <v>31</v>
      </c>
      <c r="F128" s="49" t="s">
        <v>31</v>
      </c>
      <c r="G128" s="49" t="s">
        <v>31</v>
      </c>
      <c r="J128" s="49" t="s">
        <v>31</v>
      </c>
      <c r="K128" s="49" t="s">
        <v>31</v>
      </c>
      <c r="L128" s="49" t="s">
        <v>31</v>
      </c>
      <c r="M128" s="49" t="s">
        <v>31</v>
      </c>
    </row>
    <row r="129" spans="1:21" x14ac:dyDescent="0.2">
      <c r="A129" s="49" t="s">
        <v>30</v>
      </c>
      <c r="D129" s="49" t="s">
        <v>2653</v>
      </c>
      <c r="E129" s="49" t="s">
        <v>4679</v>
      </c>
      <c r="F129" s="49" t="s">
        <v>2654</v>
      </c>
      <c r="H129" s="49" t="s">
        <v>2655</v>
      </c>
      <c r="O129" s="49" t="s">
        <v>13786</v>
      </c>
      <c r="P129" s="49" t="s">
        <v>13787</v>
      </c>
      <c r="Q129" s="49" t="s">
        <v>13788</v>
      </c>
      <c r="R129" s="49" t="s">
        <v>13789</v>
      </c>
      <c r="S129" s="49" t="s">
        <v>13790</v>
      </c>
      <c r="T129" s="49" t="s">
        <v>13791</v>
      </c>
      <c r="U129" s="49" t="s">
        <v>13792</v>
      </c>
    </row>
    <row r="130" spans="1:21" x14ac:dyDescent="0.2">
      <c r="A130" s="49" t="s">
        <v>30</v>
      </c>
      <c r="D130" s="49" t="s">
        <v>535</v>
      </c>
      <c r="G130" s="49" t="s">
        <v>13793</v>
      </c>
      <c r="H130" s="49" t="s">
        <v>536</v>
      </c>
      <c r="I130" s="49" t="s">
        <v>537</v>
      </c>
      <c r="J130" s="49" t="s">
        <v>538</v>
      </c>
      <c r="K130" s="49" t="s">
        <v>539</v>
      </c>
      <c r="L130" s="49" t="s">
        <v>540</v>
      </c>
      <c r="M130" s="49" t="s">
        <v>541</v>
      </c>
      <c r="N130" s="49" t="s">
        <v>542</v>
      </c>
      <c r="O130" s="49" t="s">
        <v>3940</v>
      </c>
      <c r="P130" s="49" t="s">
        <v>3941</v>
      </c>
      <c r="Q130" s="49" t="s">
        <v>3942</v>
      </c>
      <c r="R130" s="49" t="s">
        <v>3943</v>
      </c>
      <c r="S130" s="49" t="s">
        <v>3944</v>
      </c>
      <c r="T130" s="49" t="s">
        <v>3945</v>
      </c>
    </row>
    <row r="131" spans="1:21" x14ac:dyDescent="0.2">
      <c r="A131" s="49" t="s">
        <v>30</v>
      </c>
    </row>
    <row r="132" spans="1:21" x14ac:dyDescent="0.2">
      <c r="A132" s="49" t="s">
        <v>30</v>
      </c>
      <c r="E132" s="49" t="s">
        <v>31</v>
      </c>
      <c r="F132" s="49" t="s">
        <v>31</v>
      </c>
      <c r="G132" s="49" t="s">
        <v>31</v>
      </c>
      <c r="J132" s="49" t="s">
        <v>31</v>
      </c>
      <c r="K132" s="49" t="s">
        <v>31</v>
      </c>
      <c r="L132" s="49" t="s">
        <v>31</v>
      </c>
      <c r="M132" s="49" t="s">
        <v>31</v>
      </c>
    </row>
    <row r="133" spans="1:21" x14ac:dyDescent="0.2">
      <c r="A133" s="49" t="s">
        <v>30</v>
      </c>
      <c r="D133" s="49" t="s">
        <v>10009</v>
      </c>
      <c r="E133" s="49" t="s">
        <v>4683</v>
      </c>
      <c r="F133" s="49" t="s">
        <v>10010</v>
      </c>
      <c r="H133" s="49" t="s">
        <v>10011</v>
      </c>
      <c r="O133" s="49" t="s">
        <v>33161</v>
      </c>
      <c r="P133" s="49" t="s">
        <v>33162</v>
      </c>
      <c r="Q133" s="49" t="s">
        <v>33163</v>
      </c>
      <c r="R133" s="49" t="s">
        <v>33164</v>
      </c>
      <c r="S133" s="49" t="s">
        <v>33165</v>
      </c>
      <c r="T133" s="49" t="s">
        <v>33166</v>
      </c>
      <c r="U133" s="49" t="s">
        <v>33167</v>
      </c>
    </row>
    <row r="134" spans="1:21" x14ac:dyDescent="0.2">
      <c r="A134" s="49" t="s">
        <v>30</v>
      </c>
      <c r="D134" s="49" t="s">
        <v>2656</v>
      </c>
      <c r="G134" s="49" t="s">
        <v>10012</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c r="D135" s="49" t="s">
        <v>2664</v>
      </c>
      <c r="G135" s="49" t="s">
        <v>14590</v>
      </c>
      <c r="H135" s="49" t="s">
        <v>2665</v>
      </c>
      <c r="I135" s="49" t="s">
        <v>2666</v>
      </c>
      <c r="J135" s="49" t="s">
        <v>2667</v>
      </c>
      <c r="K135" s="49" t="s">
        <v>2668</v>
      </c>
      <c r="L135" s="49" t="s">
        <v>2669</v>
      </c>
      <c r="M135" s="49" t="s">
        <v>2670</v>
      </c>
      <c r="N135" s="49" t="s">
        <v>2671</v>
      </c>
      <c r="O135" s="49" t="s">
        <v>3777</v>
      </c>
      <c r="P135" s="49" t="s">
        <v>3778</v>
      </c>
      <c r="Q135" s="49" t="s">
        <v>3779</v>
      </c>
      <c r="R135" s="49" t="s">
        <v>3780</v>
      </c>
      <c r="S135" s="49" t="s">
        <v>3781</v>
      </c>
      <c r="T135" s="49" t="s">
        <v>3782</v>
      </c>
    </row>
    <row r="136" spans="1:21" x14ac:dyDescent="0.2">
      <c r="A136" s="49" t="s">
        <v>30</v>
      </c>
    </row>
    <row r="137" spans="1:21" x14ac:dyDescent="0.2">
      <c r="A137" s="49" t="s">
        <v>30</v>
      </c>
      <c r="E137" s="49" t="s">
        <v>31</v>
      </c>
      <c r="F137" s="49" t="s">
        <v>31</v>
      </c>
      <c r="G137" s="49" t="s">
        <v>31</v>
      </c>
      <c r="J137" s="49" t="s">
        <v>31</v>
      </c>
      <c r="K137" s="49" t="s">
        <v>31</v>
      </c>
      <c r="L137" s="49" t="s">
        <v>31</v>
      </c>
      <c r="M137" s="49" t="s">
        <v>31</v>
      </c>
    </row>
    <row r="138" spans="1:21" x14ac:dyDescent="0.2">
      <c r="A138" s="49" t="s">
        <v>30</v>
      </c>
      <c r="D138" s="49" t="s">
        <v>3783</v>
      </c>
      <c r="E138" s="49" t="s">
        <v>4686</v>
      </c>
      <c r="F138" s="49" t="s">
        <v>3784</v>
      </c>
      <c r="H138" s="49" t="s">
        <v>3785</v>
      </c>
      <c r="O138" s="49" t="s">
        <v>33168</v>
      </c>
      <c r="P138" s="49" t="s">
        <v>33169</v>
      </c>
      <c r="Q138" s="49" t="s">
        <v>33170</v>
      </c>
      <c r="R138" s="49" t="s">
        <v>33171</v>
      </c>
      <c r="S138" s="49" t="s">
        <v>33172</v>
      </c>
      <c r="T138" s="49" t="s">
        <v>33173</v>
      </c>
      <c r="U138" s="49" t="s">
        <v>33174</v>
      </c>
    </row>
    <row r="139" spans="1:21" x14ac:dyDescent="0.2">
      <c r="A139" s="49" t="s">
        <v>30</v>
      </c>
      <c r="D139" s="49" t="s">
        <v>583</v>
      </c>
      <c r="G139" s="49" t="s">
        <v>3786</v>
      </c>
      <c r="H139" s="49" t="s">
        <v>584</v>
      </c>
      <c r="I139" s="49" t="s">
        <v>585</v>
      </c>
      <c r="J139" s="49" t="s">
        <v>586</v>
      </c>
      <c r="K139" s="49" t="s">
        <v>587</v>
      </c>
      <c r="L139" s="49" t="s">
        <v>588</v>
      </c>
      <c r="M139" s="49" t="s">
        <v>589</v>
      </c>
      <c r="N139" s="49" t="s">
        <v>590</v>
      </c>
      <c r="O139" s="49" t="s">
        <v>3787</v>
      </c>
      <c r="P139" s="49" t="s">
        <v>3788</v>
      </c>
      <c r="Q139" s="49" t="s">
        <v>3789</v>
      </c>
      <c r="R139" s="49" t="s">
        <v>3790</v>
      </c>
      <c r="S139" s="49" t="s">
        <v>3791</v>
      </c>
      <c r="T139" s="49" t="s">
        <v>3792</v>
      </c>
    </row>
    <row r="140" spans="1:21" x14ac:dyDescent="0.2">
      <c r="A140" s="49" t="s">
        <v>30</v>
      </c>
      <c r="D140" s="49" t="s">
        <v>591</v>
      </c>
      <c r="G140" s="49" t="s">
        <v>14647</v>
      </c>
      <c r="H140" s="49" t="s">
        <v>592</v>
      </c>
      <c r="I140" s="49" t="s">
        <v>593</v>
      </c>
      <c r="J140" s="49" t="s">
        <v>594</v>
      </c>
      <c r="K140" s="49" t="s">
        <v>595</v>
      </c>
      <c r="L140" s="49" t="s">
        <v>596</v>
      </c>
      <c r="M140" s="49" t="s">
        <v>597</v>
      </c>
      <c r="N140" s="49" t="s">
        <v>598</v>
      </c>
      <c r="O140" s="49" t="s">
        <v>3523</v>
      </c>
      <c r="P140" s="49" t="s">
        <v>3524</v>
      </c>
      <c r="Q140" s="49" t="s">
        <v>3525</v>
      </c>
      <c r="R140" s="49" t="s">
        <v>3526</v>
      </c>
      <c r="S140" s="49" t="s">
        <v>3527</v>
      </c>
      <c r="T140" s="49" t="s">
        <v>3528</v>
      </c>
    </row>
    <row r="141" spans="1:21" x14ac:dyDescent="0.2">
      <c r="A141" s="49" t="s">
        <v>30</v>
      </c>
    </row>
    <row r="142" spans="1:21" x14ac:dyDescent="0.2">
      <c r="A142" s="49" t="s">
        <v>30</v>
      </c>
      <c r="E142" s="49" t="s">
        <v>31</v>
      </c>
      <c r="F142" s="49" t="s">
        <v>31</v>
      </c>
      <c r="G142" s="49" t="s">
        <v>31</v>
      </c>
      <c r="J142" s="49" t="s">
        <v>31</v>
      </c>
      <c r="K142" s="49" t="s">
        <v>31</v>
      </c>
      <c r="L142" s="49" t="s">
        <v>31</v>
      </c>
      <c r="M142" s="49" t="s">
        <v>31</v>
      </c>
    </row>
    <row r="143" spans="1:21" x14ac:dyDescent="0.2">
      <c r="A143" s="49" t="s">
        <v>30</v>
      </c>
      <c r="D143" s="49" t="s">
        <v>13701</v>
      </c>
      <c r="E143" s="49" t="s">
        <v>4752</v>
      </c>
      <c r="F143" s="49" t="s">
        <v>13702</v>
      </c>
      <c r="H143" s="49" t="s">
        <v>13703</v>
      </c>
      <c r="O143" s="49" t="s">
        <v>33175</v>
      </c>
      <c r="P143" s="49" t="s">
        <v>33176</v>
      </c>
      <c r="Q143" s="49" t="s">
        <v>33177</v>
      </c>
      <c r="R143" s="49" t="s">
        <v>33178</v>
      </c>
      <c r="S143" s="49" t="s">
        <v>33179</v>
      </c>
      <c r="T143" s="49" t="s">
        <v>33180</v>
      </c>
      <c r="U143" s="49" t="s">
        <v>33181</v>
      </c>
    </row>
    <row r="144" spans="1:21" x14ac:dyDescent="0.2">
      <c r="A144" s="49" t="s">
        <v>30</v>
      </c>
      <c r="D144" s="49" t="s">
        <v>599</v>
      </c>
      <c r="G144" s="49" t="s">
        <v>13704</v>
      </c>
      <c r="H144" s="49" t="s">
        <v>600</v>
      </c>
      <c r="I144" s="49" t="s">
        <v>601</v>
      </c>
      <c r="J144" s="49" t="s">
        <v>602</v>
      </c>
      <c r="K144" s="49" t="s">
        <v>603</v>
      </c>
      <c r="L144" s="49" t="s">
        <v>604</v>
      </c>
      <c r="M144" s="49" t="s">
        <v>605</v>
      </c>
      <c r="N144" s="49" t="s">
        <v>606</v>
      </c>
      <c r="O144" s="49" t="s">
        <v>3529</v>
      </c>
      <c r="P144" s="49" t="s">
        <v>3530</v>
      </c>
      <c r="Q144" s="49" t="s">
        <v>3531</v>
      </c>
      <c r="R144" s="49" t="s">
        <v>3532</v>
      </c>
      <c r="S144" s="49" t="s">
        <v>3533</v>
      </c>
      <c r="T144" s="49" t="s">
        <v>3534</v>
      </c>
    </row>
    <row r="145" spans="1:21" x14ac:dyDescent="0.2">
      <c r="A145" s="49" t="s">
        <v>30</v>
      </c>
      <c r="D145" s="49" t="s">
        <v>607</v>
      </c>
      <c r="G145" s="49" t="s">
        <v>14673</v>
      </c>
      <c r="H145" s="49" t="s">
        <v>608</v>
      </c>
      <c r="I145" s="49" t="s">
        <v>609</v>
      </c>
      <c r="J145" s="49" t="s">
        <v>610</v>
      </c>
      <c r="K145" s="49" t="s">
        <v>611</v>
      </c>
      <c r="L145" s="49" t="s">
        <v>612</v>
      </c>
      <c r="M145" s="49" t="s">
        <v>613</v>
      </c>
      <c r="N145" s="49" t="s">
        <v>614</v>
      </c>
      <c r="O145" s="49" t="s">
        <v>9456</v>
      </c>
      <c r="P145" s="49" t="s">
        <v>9457</v>
      </c>
      <c r="Q145" s="49" t="s">
        <v>9458</v>
      </c>
      <c r="R145" s="49" t="s">
        <v>9459</v>
      </c>
      <c r="S145" s="49" t="s">
        <v>9460</v>
      </c>
      <c r="T145" s="49" t="s">
        <v>9461</v>
      </c>
    </row>
    <row r="146" spans="1:21" x14ac:dyDescent="0.2">
      <c r="A146" s="49" t="s">
        <v>30</v>
      </c>
      <c r="D146" s="49" t="s">
        <v>615</v>
      </c>
      <c r="G146" s="49" t="s">
        <v>14678</v>
      </c>
      <c r="H146" s="49" t="s">
        <v>616</v>
      </c>
      <c r="I146" s="49" t="s">
        <v>617</v>
      </c>
      <c r="J146" s="49" t="s">
        <v>618</v>
      </c>
      <c r="K146" s="49" t="s">
        <v>619</v>
      </c>
      <c r="L146" s="49" t="s">
        <v>620</v>
      </c>
      <c r="M146" s="49" t="s">
        <v>621</v>
      </c>
      <c r="N146" s="49" t="s">
        <v>622</v>
      </c>
      <c r="O146" s="49" t="s">
        <v>8921</v>
      </c>
      <c r="P146" s="49" t="s">
        <v>8922</v>
      </c>
      <c r="Q146" s="49" t="s">
        <v>8923</v>
      </c>
      <c r="R146" s="49" t="s">
        <v>8924</v>
      </c>
      <c r="S146" s="49" t="s">
        <v>8925</v>
      </c>
      <c r="T146" s="49" t="s">
        <v>8926</v>
      </c>
    </row>
    <row r="147" spans="1:21" x14ac:dyDescent="0.2">
      <c r="A147" s="49" t="s">
        <v>30</v>
      </c>
      <c r="D147" s="49" t="s">
        <v>14192</v>
      </c>
      <c r="G147" s="49" t="s">
        <v>14679</v>
      </c>
      <c r="H147" s="49" t="s">
        <v>31900</v>
      </c>
      <c r="I147" s="49" t="s">
        <v>31901</v>
      </c>
      <c r="J147" s="49" t="s">
        <v>31920</v>
      </c>
      <c r="K147" s="49" t="s">
        <v>31921</v>
      </c>
      <c r="L147" s="49" t="s">
        <v>14194</v>
      </c>
      <c r="M147" s="49" t="s">
        <v>14195</v>
      </c>
      <c r="N147" s="49" t="s">
        <v>14196</v>
      </c>
      <c r="O147" s="49" t="s">
        <v>32317</v>
      </c>
      <c r="P147" s="49" t="s">
        <v>32318</v>
      </c>
      <c r="Q147" s="49" t="s">
        <v>32319</v>
      </c>
      <c r="R147" s="49" t="s">
        <v>32320</v>
      </c>
      <c r="S147" s="49" t="s">
        <v>32321</v>
      </c>
      <c r="T147" s="49" t="s">
        <v>32322</v>
      </c>
    </row>
    <row r="148" spans="1:21" x14ac:dyDescent="0.2">
      <c r="A148" s="49" t="s">
        <v>30</v>
      </c>
    </row>
    <row r="149" spans="1:21" x14ac:dyDescent="0.2">
      <c r="A149" s="49" t="s">
        <v>30</v>
      </c>
      <c r="E149" s="49" t="s">
        <v>31</v>
      </c>
      <c r="F149" s="49" t="s">
        <v>31</v>
      </c>
      <c r="G149" s="49" t="s">
        <v>31</v>
      </c>
      <c r="J149" s="49" t="s">
        <v>31</v>
      </c>
      <c r="K149" s="49" t="s">
        <v>31</v>
      </c>
      <c r="L149" s="49" t="s">
        <v>31</v>
      </c>
      <c r="M149" s="49" t="s">
        <v>31</v>
      </c>
    </row>
    <row r="150" spans="1:21" x14ac:dyDescent="0.2">
      <c r="A150" s="49" t="s">
        <v>30</v>
      </c>
      <c r="D150" s="49" t="s">
        <v>33182</v>
      </c>
      <c r="E150" s="49" t="s">
        <v>4756</v>
      </c>
      <c r="F150" s="49" t="s">
        <v>33183</v>
      </c>
      <c r="H150" s="49" t="s">
        <v>33184</v>
      </c>
      <c r="O150" s="49" t="s">
        <v>33185</v>
      </c>
      <c r="P150" s="49" t="s">
        <v>33186</v>
      </c>
      <c r="Q150" s="49" t="s">
        <v>33187</v>
      </c>
      <c r="R150" s="49" t="s">
        <v>33188</v>
      </c>
      <c r="S150" s="49" t="s">
        <v>33189</v>
      </c>
      <c r="T150" s="49" t="s">
        <v>33190</v>
      </c>
      <c r="U150" s="49" t="s">
        <v>33191</v>
      </c>
    </row>
    <row r="151" spans="1:21" x14ac:dyDescent="0.2">
      <c r="A151" s="49" t="s">
        <v>30</v>
      </c>
      <c r="D151" s="49" t="s">
        <v>647</v>
      </c>
      <c r="G151" s="49" t="s">
        <v>33192</v>
      </c>
      <c r="H151" s="49" t="s">
        <v>648</v>
      </c>
      <c r="I151" s="49" t="s">
        <v>649</v>
      </c>
      <c r="J151" s="49" t="s">
        <v>650</v>
      </c>
      <c r="K151" s="49" t="s">
        <v>651</v>
      </c>
      <c r="L151" s="49" t="s">
        <v>652</v>
      </c>
      <c r="M151" s="49" t="s">
        <v>653</v>
      </c>
      <c r="N151" s="49" t="s">
        <v>654</v>
      </c>
      <c r="O151" s="49" t="s">
        <v>34684</v>
      </c>
      <c r="P151" s="49" t="s">
        <v>34685</v>
      </c>
      <c r="Q151" s="49" t="s">
        <v>34686</v>
      </c>
      <c r="R151" s="49" t="s">
        <v>34687</v>
      </c>
      <c r="S151" s="49" t="s">
        <v>34688</v>
      </c>
      <c r="T151" s="49" t="s">
        <v>34689</v>
      </c>
    </row>
    <row r="152" spans="1:21" x14ac:dyDescent="0.2">
      <c r="A152" s="49" t="s">
        <v>30</v>
      </c>
      <c r="D152" s="49" t="s">
        <v>655</v>
      </c>
      <c r="G152" s="49" t="s">
        <v>14724</v>
      </c>
      <c r="H152" s="49" t="s">
        <v>656</v>
      </c>
      <c r="I152" s="49" t="s">
        <v>657</v>
      </c>
      <c r="J152" s="49" t="s">
        <v>658</v>
      </c>
      <c r="K152" s="49" t="s">
        <v>659</v>
      </c>
      <c r="L152" s="49" t="s">
        <v>660</v>
      </c>
      <c r="M152" s="49" t="s">
        <v>661</v>
      </c>
      <c r="N152" s="49" t="s">
        <v>662</v>
      </c>
      <c r="O152" s="49" t="s">
        <v>32334</v>
      </c>
      <c r="P152" s="49" t="s">
        <v>32335</v>
      </c>
      <c r="Q152" s="49" t="s">
        <v>32336</v>
      </c>
      <c r="R152" s="49" t="s">
        <v>32337</v>
      </c>
      <c r="S152" s="49" t="s">
        <v>32338</v>
      </c>
      <c r="T152" s="49" t="s">
        <v>32339</v>
      </c>
    </row>
    <row r="153" spans="1:21" x14ac:dyDescent="0.2">
      <c r="A153" s="49" t="s">
        <v>30</v>
      </c>
      <c r="D153" s="49" t="s">
        <v>663</v>
      </c>
      <c r="G153" s="49" t="s">
        <v>14725</v>
      </c>
      <c r="H153" s="49" t="s">
        <v>664</v>
      </c>
      <c r="I153" s="49" t="s">
        <v>665</v>
      </c>
      <c r="J153" s="49" t="s">
        <v>666</v>
      </c>
      <c r="K153" s="49" t="s">
        <v>667</v>
      </c>
      <c r="L153" s="49" t="s">
        <v>668</v>
      </c>
      <c r="M153" s="49" t="s">
        <v>669</v>
      </c>
      <c r="N153" s="49" t="s">
        <v>670</v>
      </c>
      <c r="O153" s="49" t="s">
        <v>4482</v>
      </c>
      <c r="P153" s="49" t="s">
        <v>4483</v>
      </c>
      <c r="Q153" s="49" t="s">
        <v>4484</v>
      </c>
      <c r="R153" s="49" t="s">
        <v>4485</v>
      </c>
      <c r="S153" s="49" t="s">
        <v>4486</v>
      </c>
      <c r="T153" s="49" t="s">
        <v>4487</v>
      </c>
    </row>
    <row r="154" spans="1:21" x14ac:dyDescent="0.2">
      <c r="A154" s="49" t="s">
        <v>30</v>
      </c>
      <c r="D154" s="49" t="s">
        <v>671</v>
      </c>
      <c r="G154" s="49" t="s">
        <v>14726</v>
      </c>
      <c r="H154" s="49" t="s">
        <v>672</v>
      </c>
      <c r="I154" s="49" t="s">
        <v>673</v>
      </c>
      <c r="J154" s="49" t="s">
        <v>674</v>
      </c>
      <c r="K154" s="49" t="s">
        <v>675</v>
      </c>
      <c r="L154" s="49" t="s">
        <v>676</v>
      </c>
      <c r="M154" s="49" t="s">
        <v>677</v>
      </c>
      <c r="N154" s="49" t="s">
        <v>678</v>
      </c>
      <c r="O154" s="49" t="s">
        <v>3799</v>
      </c>
      <c r="P154" s="49" t="s">
        <v>3800</v>
      </c>
      <c r="Q154" s="49" t="s">
        <v>3801</v>
      </c>
      <c r="R154" s="49" t="s">
        <v>3802</v>
      </c>
      <c r="S154" s="49" t="s">
        <v>3803</v>
      </c>
      <c r="T154" s="49" t="s">
        <v>3804</v>
      </c>
    </row>
    <row r="155" spans="1:21" x14ac:dyDescent="0.2">
      <c r="A155" s="49" t="s">
        <v>30</v>
      </c>
    </row>
    <row r="156" spans="1:21" x14ac:dyDescent="0.2">
      <c r="A156" s="49" t="s">
        <v>30</v>
      </c>
      <c r="E156" s="49" t="s">
        <v>31</v>
      </c>
      <c r="F156" s="49" t="s">
        <v>31</v>
      </c>
      <c r="G156" s="49" t="s">
        <v>31</v>
      </c>
      <c r="J156" s="49" t="s">
        <v>31</v>
      </c>
      <c r="K156" s="49" t="s">
        <v>31</v>
      </c>
      <c r="L156" s="49" t="s">
        <v>31</v>
      </c>
      <c r="M156" s="49" t="s">
        <v>31</v>
      </c>
    </row>
    <row r="157" spans="1:21" x14ac:dyDescent="0.2">
      <c r="A157" s="49" t="s">
        <v>30</v>
      </c>
      <c r="D157" s="49" t="s">
        <v>10666</v>
      </c>
      <c r="E157" s="49" t="s">
        <v>4760</v>
      </c>
      <c r="F157" s="49" t="s">
        <v>10667</v>
      </c>
      <c r="H157" s="49" t="s">
        <v>10668</v>
      </c>
      <c r="O157" s="49" t="s">
        <v>33193</v>
      </c>
      <c r="P157" s="49" t="s">
        <v>33194</v>
      </c>
      <c r="Q157" s="49" t="s">
        <v>33195</v>
      </c>
      <c r="R157" s="49" t="s">
        <v>33196</v>
      </c>
      <c r="S157" s="49" t="s">
        <v>33197</v>
      </c>
      <c r="T157" s="49" t="s">
        <v>33198</v>
      </c>
      <c r="U157" s="49" t="s">
        <v>33199</v>
      </c>
    </row>
    <row r="158" spans="1:21" x14ac:dyDescent="0.2">
      <c r="A158" s="49" t="s">
        <v>30</v>
      </c>
      <c r="D158" s="49" t="s">
        <v>1985</v>
      </c>
      <c r="G158" s="49" t="s">
        <v>10669</v>
      </c>
      <c r="H158" s="49" t="s">
        <v>1986</v>
      </c>
      <c r="I158" s="49" t="s">
        <v>1987</v>
      </c>
      <c r="J158" s="49" t="s">
        <v>1988</v>
      </c>
      <c r="K158" s="49" t="s">
        <v>1989</v>
      </c>
      <c r="L158" s="49" t="s">
        <v>1990</v>
      </c>
      <c r="M158" s="49" t="s">
        <v>1991</v>
      </c>
      <c r="N158" s="49" t="s">
        <v>1992</v>
      </c>
      <c r="O158" s="49" t="s">
        <v>10670</v>
      </c>
      <c r="P158" s="49" t="s">
        <v>10671</v>
      </c>
      <c r="Q158" s="49" t="s">
        <v>10672</v>
      </c>
      <c r="R158" s="49" t="s">
        <v>10673</v>
      </c>
      <c r="S158" s="49" t="s">
        <v>10674</v>
      </c>
      <c r="T158" s="49" t="s">
        <v>10675</v>
      </c>
    </row>
    <row r="159" spans="1:21" x14ac:dyDescent="0.2">
      <c r="A159" s="49" t="s">
        <v>30</v>
      </c>
      <c r="D159" s="49" t="s">
        <v>690</v>
      </c>
      <c r="G159" s="49" t="s">
        <v>14758</v>
      </c>
      <c r="H159" s="49" t="s">
        <v>691</v>
      </c>
      <c r="I159" s="49" t="s">
        <v>692</v>
      </c>
      <c r="J159" s="49" t="s">
        <v>693</v>
      </c>
      <c r="K159" s="49" t="s">
        <v>694</v>
      </c>
      <c r="L159" s="49" t="s">
        <v>695</v>
      </c>
      <c r="M159" s="49" t="s">
        <v>696</v>
      </c>
      <c r="N159" s="49" t="s">
        <v>697</v>
      </c>
      <c r="O159" s="49" t="s">
        <v>3805</v>
      </c>
      <c r="P159" s="49" t="s">
        <v>3806</v>
      </c>
      <c r="Q159" s="49" t="s">
        <v>3807</v>
      </c>
      <c r="R159" s="49" t="s">
        <v>3808</v>
      </c>
      <c r="S159" s="49" t="s">
        <v>3809</v>
      </c>
      <c r="T159" s="49" t="s">
        <v>3810</v>
      </c>
    </row>
    <row r="160" spans="1:21" x14ac:dyDescent="0.2">
      <c r="A160" s="49" t="s">
        <v>30</v>
      </c>
      <c r="D160" s="49" t="s">
        <v>698</v>
      </c>
      <c r="G160" s="49" t="s">
        <v>14761</v>
      </c>
      <c r="H160" s="49" t="s">
        <v>699</v>
      </c>
      <c r="I160" s="49" t="s">
        <v>700</v>
      </c>
      <c r="J160" s="49" t="s">
        <v>701</v>
      </c>
      <c r="K160" s="49" t="s">
        <v>702</v>
      </c>
      <c r="L160" s="49" t="s">
        <v>703</v>
      </c>
      <c r="M160" s="49" t="s">
        <v>704</v>
      </c>
      <c r="N160" s="49" t="s">
        <v>705</v>
      </c>
      <c r="O160" s="49" t="s">
        <v>8927</v>
      </c>
      <c r="P160" s="49" t="s">
        <v>8928</v>
      </c>
      <c r="Q160" s="49" t="s">
        <v>8929</v>
      </c>
      <c r="R160" s="49" t="s">
        <v>8930</v>
      </c>
      <c r="S160" s="49" t="s">
        <v>8931</v>
      </c>
      <c r="T160" s="49" t="s">
        <v>8932</v>
      </c>
    </row>
    <row r="161" spans="1:21" x14ac:dyDescent="0.2">
      <c r="A161" s="49" t="s">
        <v>30</v>
      </c>
      <c r="D161" s="49" t="s">
        <v>706</v>
      </c>
      <c r="G161" s="49" t="s">
        <v>14782</v>
      </c>
      <c r="H161" s="49" t="s">
        <v>707</v>
      </c>
      <c r="I161" s="49" t="s">
        <v>708</v>
      </c>
      <c r="J161" s="49" t="s">
        <v>709</v>
      </c>
      <c r="K161" s="49" t="s">
        <v>710</v>
      </c>
      <c r="L161" s="49" t="s">
        <v>711</v>
      </c>
      <c r="M161" s="49" t="s">
        <v>712</v>
      </c>
      <c r="N161" s="49" t="s">
        <v>713</v>
      </c>
      <c r="O161" s="49" t="s">
        <v>3811</v>
      </c>
      <c r="P161" s="49" t="s">
        <v>3812</v>
      </c>
      <c r="Q161" s="49" t="s">
        <v>3813</v>
      </c>
      <c r="R161" s="49" t="s">
        <v>3814</v>
      </c>
      <c r="S161" s="49" t="s">
        <v>3815</v>
      </c>
      <c r="T161" s="49" t="s">
        <v>3816</v>
      </c>
    </row>
    <row r="162" spans="1:21" x14ac:dyDescent="0.2">
      <c r="A162" s="49" t="s">
        <v>30</v>
      </c>
    </row>
    <row r="163" spans="1:21" x14ac:dyDescent="0.2">
      <c r="A163" s="49" t="s">
        <v>30</v>
      </c>
      <c r="E163" s="49" t="s">
        <v>31</v>
      </c>
      <c r="F163" s="49" t="s">
        <v>31</v>
      </c>
      <c r="G163" s="49" t="s">
        <v>31</v>
      </c>
      <c r="J163" s="49" t="s">
        <v>31</v>
      </c>
      <c r="K163" s="49" t="s">
        <v>31</v>
      </c>
      <c r="L163" s="49" t="s">
        <v>31</v>
      </c>
      <c r="M163" s="49" t="s">
        <v>31</v>
      </c>
    </row>
    <row r="164" spans="1:21" x14ac:dyDescent="0.2">
      <c r="A164" s="49" t="s">
        <v>30</v>
      </c>
      <c r="D164" s="49" t="s">
        <v>4488</v>
      </c>
      <c r="E164" s="49" t="s">
        <v>4805</v>
      </c>
      <c r="F164" s="49" t="s">
        <v>4489</v>
      </c>
      <c r="H164" s="49" t="s">
        <v>4490</v>
      </c>
      <c r="O164" s="49" t="s">
        <v>33200</v>
      </c>
      <c r="P164" s="49" t="s">
        <v>33201</v>
      </c>
      <c r="Q164" s="49" t="s">
        <v>33202</v>
      </c>
      <c r="R164" s="49" t="s">
        <v>33203</v>
      </c>
      <c r="S164" s="49" t="s">
        <v>33204</v>
      </c>
      <c r="T164" s="49" t="s">
        <v>33205</v>
      </c>
      <c r="U164" s="49" t="s">
        <v>33206</v>
      </c>
    </row>
    <row r="165" spans="1:21" x14ac:dyDescent="0.2">
      <c r="A165" s="49" t="s">
        <v>30</v>
      </c>
      <c r="D165" s="49" t="s">
        <v>2832</v>
      </c>
      <c r="G165" s="49" t="s">
        <v>4498</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c r="D166" s="49" t="s">
        <v>2581</v>
      </c>
      <c r="G166" s="49" t="s">
        <v>14830</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c r="D167" s="49" t="s">
        <v>730</v>
      </c>
      <c r="G167" s="49" t="s">
        <v>14835</v>
      </c>
      <c r="H167" s="49" t="s">
        <v>731</v>
      </c>
      <c r="I167" s="49" t="s">
        <v>732</v>
      </c>
      <c r="J167" s="49" t="s">
        <v>733</v>
      </c>
      <c r="K167" s="49" t="s">
        <v>734</v>
      </c>
      <c r="L167" s="49" t="s">
        <v>735</v>
      </c>
      <c r="M167" s="49" t="s">
        <v>736</v>
      </c>
      <c r="N167" s="49" t="s">
        <v>737</v>
      </c>
      <c r="O167" s="49" t="s">
        <v>4036</v>
      </c>
      <c r="P167" s="49" t="s">
        <v>4037</v>
      </c>
      <c r="Q167" s="49" t="s">
        <v>4038</v>
      </c>
      <c r="R167" s="49" t="s">
        <v>4039</v>
      </c>
      <c r="S167" s="49" t="s">
        <v>4040</v>
      </c>
      <c r="T167" s="49" t="s">
        <v>4041</v>
      </c>
    </row>
    <row r="168" spans="1:21" x14ac:dyDescent="0.2">
      <c r="A168" s="49" t="s">
        <v>30</v>
      </c>
      <c r="D168" s="49" t="s">
        <v>14229</v>
      </c>
      <c r="G168" s="49" t="s">
        <v>14840</v>
      </c>
      <c r="H168" s="49" t="s">
        <v>31856</v>
      </c>
      <c r="I168" s="49" t="s">
        <v>31857</v>
      </c>
      <c r="J168" s="49" t="s">
        <v>31876</v>
      </c>
      <c r="K168" s="49" t="s">
        <v>31877</v>
      </c>
      <c r="L168" s="49" t="s">
        <v>14231</v>
      </c>
      <c r="M168" s="49" t="s">
        <v>14232</v>
      </c>
      <c r="N168" s="49" t="s">
        <v>14233</v>
      </c>
      <c r="O168" s="49" t="s">
        <v>34678</v>
      </c>
      <c r="P168" s="49" t="s">
        <v>34679</v>
      </c>
      <c r="Q168" s="49" t="s">
        <v>34680</v>
      </c>
      <c r="R168" s="49" t="s">
        <v>34681</v>
      </c>
      <c r="S168" s="49" t="s">
        <v>34682</v>
      </c>
      <c r="T168" s="49" t="s">
        <v>34683</v>
      </c>
    </row>
    <row r="169" spans="1:21" x14ac:dyDescent="0.2">
      <c r="A169" s="49" t="s">
        <v>30</v>
      </c>
      <c r="D169" s="49" t="s">
        <v>738</v>
      </c>
      <c r="G169" s="49" t="s">
        <v>14857</v>
      </c>
      <c r="H169" s="49" t="s">
        <v>739</v>
      </c>
      <c r="I169" s="49" t="s">
        <v>740</v>
      </c>
      <c r="J169" s="49" t="s">
        <v>741</v>
      </c>
      <c r="K169" s="49" t="s">
        <v>742</v>
      </c>
      <c r="L169" s="49" t="s">
        <v>743</v>
      </c>
      <c r="M169" s="49" t="s">
        <v>744</v>
      </c>
      <c r="N169" s="49" t="s">
        <v>745</v>
      </c>
      <c r="O169" s="49" t="s">
        <v>4500</v>
      </c>
      <c r="P169" s="49" t="s">
        <v>4501</v>
      </c>
      <c r="Q169" s="49" t="s">
        <v>4502</v>
      </c>
      <c r="R169" s="49" t="s">
        <v>4503</v>
      </c>
      <c r="S169" s="49" t="s">
        <v>4504</v>
      </c>
      <c r="T169" s="49" t="s">
        <v>4505</v>
      </c>
    </row>
    <row r="170" spans="1:21" x14ac:dyDescent="0.2">
      <c r="A170" s="49" t="s">
        <v>30</v>
      </c>
    </row>
    <row r="171" spans="1:21" x14ac:dyDescent="0.2">
      <c r="A171" s="49" t="s">
        <v>30</v>
      </c>
      <c r="E171" s="49" t="s">
        <v>31</v>
      </c>
      <c r="F171" s="49" t="s">
        <v>31</v>
      </c>
      <c r="G171" s="49" t="s">
        <v>31</v>
      </c>
      <c r="J171" s="49" t="s">
        <v>31</v>
      </c>
      <c r="K171" s="49" t="s">
        <v>31</v>
      </c>
      <c r="L171" s="49" t="s">
        <v>31</v>
      </c>
      <c r="M171" s="49" t="s">
        <v>31</v>
      </c>
    </row>
    <row r="172" spans="1:21" x14ac:dyDescent="0.2">
      <c r="A172" s="49" t="s">
        <v>30</v>
      </c>
      <c r="D172" s="49" t="s">
        <v>2850</v>
      </c>
      <c r="E172" s="49" t="s">
        <v>4837</v>
      </c>
      <c r="F172" s="49" t="s">
        <v>2851</v>
      </c>
      <c r="H172" s="49" t="s">
        <v>2852</v>
      </c>
      <c r="O172" s="49" t="s">
        <v>10676</v>
      </c>
      <c r="P172" s="49" t="s">
        <v>10677</v>
      </c>
      <c r="Q172" s="49" t="s">
        <v>10678</v>
      </c>
      <c r="R172" s="49" t="s">
        <v>10679</v>
      </c>
      <c r="S172" s="49" t="s">
        <v>10680</v>
      </c>
      <c r="T172" s="49" t="s">
        <v>10681</v>
      </c>
      <c r="U172" s="49" t="s">
        <v>10682</v>
      </c>
    </row>
    <row r="173" spans="1:21" x14ac:dyDescent="0.2">
      <c r="A173" s="49" t="s">
        <v>30</v>
      </c>
      <c r="D173" s="49" t="s">
        <v>2672</v>
      </c>
      <c r="G173" s="49" t="s">
        <v>4506</v>
      </c>
      <c r="H173" s="49" t="s">
        <v>2673</v>
      </c>
      <c r="I173" s="49" t="s">
        <v>2674</v>
      </c>
      <c r="J173" s="49" t="s">
        <v>2675</v>
      </c>
      <c r="K173" s="49" t="s">
        <v>2676</v>
      </c>
      <c r="L173" s="49" t="s">
        <v>2677</v>
      </c>
      <c r="M173" s="49" t="s">
        <v>2678</v>
      </c>
      <c r="N173" s="49" t="s">
        <v>2679</v>
      </c>
      <c r="O173" s="49" t="s">
        <v>4507</v>
      </c>
      <c r="P173" s="49" t="s">
        <v>4508</v>
      </c>
      <c r="Q173" s="49" t="s">
        <v>4509</v>
      </c>
      <c r="R173" s="49" t="s">
        <v>4510</v>
      </c>
      <c r="S173" s="49" t="s">
        <v>4511</v>
      </c>
      <c r="T173" s="49" t="s">
        <v>4512</v>
      </c>
    </row>
    <row r="174" spans="1:21" x14ac:dyDescent="0.2">
      <c r="A174" s="49" t="s">
        <v>30</v>
      </c>
      <c r="D174" s="49" t="s">
        <v>2794</v>
      </c>
      <c r="G174" s="49" t="s">
        <v>14880</v>
      </c>
      <c r="H174" s="49" t="s">
        <v>2795</v>
      </c>
      <c r="I174" s="49" t="s">
        <v>2796</v>
      </c>
      <c r="J174" s="49" t="s">
        <v>2797</v>
      </c>
      <c r="K174" s="49" t="s">
        <v>2798</v>
      </c>
      <c r="L174" s="49" t="s">
        <v>2799</v>
      </c>
      <c r="M174" s="49" t="s">
        <v>2800</v>
      </c>
      <c r="N174" s="49" t="s">
        <v>2801</v>
      </c>
      <c r="O174" s="49" t="s">
        <v>4513</v>
      </c>
      <c r="P174" s="49" t="s">
        <v>4514</v>
      </c>
      <c r="Q174" s="49" t="s">
        <v>4515</v>
      </c>
      <c r="R174" s="49" t="s">
        <v>4516</v>
      </c>
      <c r="S174" s="49" t="s">
        <v>4517</v>
      </c>
      <c r="T174" s="49" t="s">
        <v>4518</v>
      </c>
    </row>
    <row r="175" spans="1:21" x14ac:dyDescent="0.2">
      <c r="A175" s="49" t="s">
        <v>30</v>
      </c>
    </row>
    <row r="176" spans="1:21" x14ac:dyDescent="0.2">
      <c r="A176" s="49" t="s">
        <v>30</v>
      </c>
      <c r="E176" s="49" t="s">
        <v>31</v>
      </c>
      <c r="F176" s="49" t="s">
        <v>31</v>
      </c>
      <c r="G176" s="49" t="s">
        <v>31</v>
      </c>
      <c r="J176" s="49" t="s">
        <v>31</v>
      </c>
      <c r="K176" s="49" t="s">
        <v>31</v>
      </c>
      <c r="L176" s="49" t="s">
        <v>31</v>
      </c>
      <c r="M176" s="49" t="s">
        <v>31</v>
      </c>
    </row>
    <row r="177" spans="1:21" x14ac:dyDescent="0.2">
      <c r="A177" s="49" t="s">
        <v>30</v>
      </c>
      <c r="D177" s="49" t="s">
        <v>4654</v>
      </c>
      <c r="E177" s="49" t="s">
        <v>4841</v>
      </c>
      <c r="F177" s="49" t="s">
        <v>4656</v>
      </c>
      <c r="H177" s="49" t="s">
        <v>4657</v>
      </c>
      <c r="O177" s="49" t="s">
        <v>13128</v>
      </c>
      <c r="P177" s="49" t="s">
        <v>13129</v>
      </c>
      <c r="Q177" s="49" t="s">
        <v>13130</v>
      </c>
      <c r="R177" s="49" t="s">
        <v>13131</v>
      </c>
      <c r="S177" s="49" t="s">
        <v>13132</v>
      </c>
      <c r="T177" s="49" t="s">
        <v>13133</v>
      </c>
      <c r="U177" s="49" t="s">
        <v>13134</v>
      </c>
    </row>
    <row r="178" spans="1:21" x14ac:dyDescent="0.2">
      <c r="A178" s="49" t="s">
        <v>30</v>
      </c>
      <c r="D178" s="49" t="s">
        <v>770</v>
      </c>
      <c r="G178" s="49" t="s">
        <v>10690</v>
      </c>
      <c r="H178" s="49" t="s">
        <v>771</v>
      </c>
      <c r="I178" s="49" t="s">
        <v>772</v>
      </c>
      <c r="J178" s="49" t="s">
        <v>773</v>
      </c>
      <c r="K178" s="49" t="s">
        <v>774</v>
      </c>
      <c r="L178" s="49" t="s">
        <v>775</v>
      </c>
      <c r="M178" s="49" t="s">
        <v>776</v>
      </c>
      <c r="N178" s="49" t="s">
        <v>777</v>
      </c>
      <c r="O178" s="49" t="s">
        <v>10327</v>
      </c>
      <c r="P178" s="49" t="s">
        <v>10328</v>
      </c>
      <c r="Q178" s="49" t="s">
        <v>10329</v>
      </c>
      <c r="R178" s="49" t="s">
        <v>10330</v>
      </c>
      <c r="S178" s="49" t="s">
        <v>10331</v>
      </c>
      <c r="T178" s="49" t="s">
        <v>10332</v>
      </c>
    </row>
    <row r="179" spans="1:21" x14ac:dyDescent="0.2">
      <c r="A179" s="49" t="s">
        <v>30</v>
      </c>
      <c r="D179" s="49" t="s">
        <v>778</v>
      </c>
      <c r="G179" s="49" t="s">
        <v>14918</v>
      </c>
      <c r="H179" s="49" t="s">
        <v>779</v>
      </c>
      <c r="I179" s="49" t="s">
        <v>780</v>
      </c>
      <c r="J179" s="49" t="s">
        <v>781</v>
      </c>
      <c r="K179" s="49" t="s">
        <v>782</v>
      </c>
      <c r="L179" s="49" t="s">
        <v>783</v>
      </c>
      <c r="M179" s="49" t="s">
        <v>784</v>
      </c>
      <c r="N179" s="49" t="s">
        <v>785</v>
      </c>
      <c r="O179" s="49" t="s">
        <v>4520</v>
      </c>
      <c r="P179" s="49" t="s">
        <v>4521</v>
      </c>
      <c r="Q179" s="49" t="s">
        <v>4522</v>
      </c>
      <c r="R179" s="49" t="s">
        <v>4523</v>
      </c>
      <c r="S179" s="49" t="s">
        <v>4524</v>
      </c>
      <c r="T179" s="49" t="s">
        <v>4525</v>
      </c>
    </row>
    <row r="180" spans="1:21" x14ac:dyDescent="0.2">
      <c r="A180" s="49" t="s">
        <v>30</v>
      </c>
    </row>
    <row r="181" spans="1:21" x14ac:dyDescent="0.2">
      <c r="A181" s="49" t="s">
        <v>30</v>
      </c>
      <c r="E181" s="49" t="s">
        <v>31</v>
      </c>
      <c r="F181" s="49" t="s">
        <v>31</v>
      </c>
      <c r="G181" s="49" t="s">
        <v>31</v>
      </c>
      <c r="J181" s="49" t="s">
        <v>31</v>
      </c>
      <c r="K181" s="49" t="s">
        <v>31</v>
      </c>
      <c r="L181" s="49" t="s">
        <v>31</v>
      </c>
      <c r="M181" s="49" t="s">
        <v>31</v>
      </c>
    </row>
    <row r="182" spans="1:21" x14ac:dyDescent="0.2">
      <c r="A182" s="49" t="s">
        <v>30</v>
      </c>
      <c r="D182" s="49" t="s">
        <v>1775</v>
      </c>
      <c r="E182" s="49" t="s">
        <v>4844</v>
      </c>
      <c r="F182" s="49" t="s">
        <v>1776</v>
      </c>
      <c r="H182" s="49" t="s">
        <v>1777</v>
      </c>
      <c r="O182" s="49" t="s">
        <v>13135</v>
      </c>
      <c r="P182" s="49" t="s">
        <v>13136</v>
      </c>
      <c r="Q182" s="49" t="s">
        <v>13137</v>
      </c>
      <c r="R182" s="49" t="s">
        <v>13138</v>
      </c>
      <c r="S182" s="49" t="s">
        <v>13139</v>
      </c>
      <c r="T182" s="49" t="s">
        <v>13140</v>
      </c>
      <c r="U182" s="49" t="s">
        <v>13141</v>
      </c>
    </row>
    <row r="183" spans="1:21" x14ac:dyDescent="0.2">
      <c r="A183" s="49" t="s">
        <v>30</v>
      </c>
      <c r="D183" s="49" t="s">
        <v>810</v>
      </c>
      <c r="G183" s="49" t="s">
        <v>4526</v>
      </c>
      <c r="H183" s="49" t="s">
        <v>811</v>
      </c>
      <c r="I183" s="49" t="s">
        <v>812</v>
      </c>
      <c r="J183" s="49" t="s">
        <v>813</v>
      </c>
      <c r="K183" s="49" t="s">
        <v>814</v>
      </c>
      <c r="L183" s="49" t="s">
        <v>815</v>
      </c>
      <c r="M183" s="49" t="s">
        <v>816</v>
      </c>
      <c r="N183" s="49" t="s">
        <v>817</v>
      </c>
      <c r="O183" s="49" t="s">
        <v>4527</v>
      </c>
      <c r="P183" s="49" t="s">
        <v>4528</v>
      </c>
      <c r="Q183" s="49" t="s">
        <v>4529</v>
      </c>
      <c r="R183" s="49" t="s">
        <v>4530</v>
      </c>
      <c r="S183" s="49" t="s">
        <v>4531</v>
      </c>
      <c r="T183" s="49" t="s">
        <v>4532</v>
      </c>
    </row>
    <row r="184" spans="1:21" x14ac:dyDescent="0.2">
      <c r="A184" s="49" t="s">
        <v>30</v>
      </c>
    </row>
    <row r="185" spans="1:21" x14ac:dyDescent="0.2">
      <c r="A185" s="49" t="s">
        <v>30</v>
      </c>
      <c r="E185" s="49" t="s">
        <v>31</v>
      </c>
      <c r="F185" s="49" t="s">
        <v>31</v>
      </c>
      <c r="G185" s="49" t="s">
        <v>31</v>
      </c>
      <c r="J185" s="49" t="s">
        <v>31</v>
      </c>
      <c r="K185" s="49" t="s">
        <v>31</v>
      </c>
      <c r="L185" s="49" t="s">
        <v>31</v>
      </c>
      <c r="M185" s="49" t="s">
        <v>31</v>
      </c>
    </row>
    <row r="186" spans="1:21" x14ac:dyDescent="0.2">
      <c r="A186" s="49" t="s">
        <v>30</v>
      </c>
      <c r="D186" s="49" t="s">
        <v>13142</v>
      </c>
      <c r="E186" s="49" t="s">
        <v>4875</v>
      </c>
      <c r="F186" s="49" t="s">
        <v>13143</v>
      </c>
      <c r="H186" s="49" t="s">
        <v>13144</v>
      </c>
      <c r="O186" s="49" t="s">
        <v>13145</v>
      </c>
      <c r="P186" s="49" t="s">
        <v>13146</v>
      </c>
      <c r="Q186" s="49" t="s">
        <v>13147</v>
      </c>
      <c r="R186" s="49" t="s">
        <v>13148</v>
      </c>
      <c r="S186" s="49" t="s">
        <v>13149</v>
      </c>
      <c r="T186" s="49" t="s">
        <v>13150</v>
      </c>
      <c r="U186" s="49" t="s">
        <v>13151</v>
      </c>
    </row>
    <row r="187" spans="1:21" x14ac:dyDescent="0.2">
      <c r="A187" s="49" t="s">
        <v>30</v>
      </c>
      <c r="D187" s="49" t="s">
        <v>1778</v>
      </c>
      <c r="G187" s="49" t="s">
        <v>13152</v>
      </c>
      <c r="H187" s="49" t="s">
        <v>1779</v>
      </c>
      <c r="I187" s="49" t="s">
        <v>1780</v>
      </c>
      <c r="J187" s="49" t="s">
        <v>1781</v>
      </c>
      <c r="K187" s="49" t="s">
        <v>1782</v>
      </c>
      <c r="L187" s="49" t="s">
        <v>1783</v>
      </c>
      <c r="M187" s="49" t="s">
        <v>1784</v>
      </c>
      <c r="N187" s="49" t="s">
        <v>1785</v>
      </c>
      <c r="O187" s="49" t="s">
        <v>4533</v>
      </c>
      <c r="P187" s="49" t="s">
        <v>4534</v>
      </c>
      <c r="Q187" s="49" t="s">
        <v>4535</v>
      </c>
      <c r="R187" s="49" t="s">
        <v>4536</v>
      </c>
      <c r="S187" s="49" t="s">
        <v>4537</v>
      </c>
      <c r="T187" s="49" t="s">
        <v>4538</v>
      </c>
    </row>
    <row r="188" spans="1:21" x14ac:dyDescent="0.2">
      <c r="A188" s="49" t="s">
        <v>30</v>
      </c>
    </row>
    <row r="189" spans="1:21" x14ac:dyDescent="0.2">
      <c r="A189" s="49" t="s">
        <v>30</v>
      </c>
      <c r="E189" s="49" t="s">
        <v>31</v>
      </c>
      <c r="F189" s="49" t="s">
        <v>31</v>
      </c>
      <c r="G189" s="49" t="s">
        <v>31</v>
      </c>
      <c r="J189" s="49" t="s">
        <v>31</v>
      </c>
      <c r="K189" s="49" t="s">
        <v>31</v>
      </c>
      <c r="L189" s="49" t="s">
        <v>31</v>
      </c>
      <c r="M189" s="49" t="s">
        <v>31</v>
      </c>
    </row>
    <row r="190" spans="1:21" x14ac:dyDescent="0.2">
      <c r="A190" s="49" t="s">
        <v>30</v>
      </c>
      <c r="D190" s="49" t="s">
        <v>1786</v>
      </c>
      <c r="E190" s="49" t="s">
        <v>4877</v>
      </c>
      <c r="F190" s="49" t="s">
        <v>1787</v>
      </c>
      <c r="H190" s="49" t="s">
        <v>1788</v>
      </c>
      <c r="O190" s="49" t="s">
        <v>10351</v>
      </c>
      <c r="P190" s="49" t="s">
        <v>10352</v>
      </c>
      <c r="Q190" s="49" t="s">
        <v>10353</v>
      </c>
      <c r="R190" s="49" t="s">
        <v>10354</v>
      </c>
      <c r="S190" s="49" t="s">
        <v>10355</v>
      </c>
      <c r="T190" s="49" t="s">
        <v>10356</v>
      </c>
      <c r="U190" s="49" t="s">
        <v>10357</v>
      </c>
    </row>
    <row r="191" spans="1:21" x14ac:dyDescent="0.2">
      <c r="A191" s="49" t="s">
        <v>30</v>
      </c>
      <c r="D191" s="49" t="s">
        <v>842</v>
      </c>
      <c r="G191" s="49" t="s">
        <v>4539</v>
      </c>
      <c r="H191" s="49" t="s">
        <v>843</v>
      </c>
      <c r="I191" s="49" t="s">
        <v>844</v>
      </c>
      <c r="J191" s="49" t="s">
        <v>845</v>
      </c>
      <c r="K191" s="49" t="s">
        <v>846</v>
      </c>
      <c r="L191" s="49" t="s">
        <v>847</v>
      </c>
      <c r="M191" s="49" t="s">
        <v>848</v>
      </c>
      <c r="N191" s="49" t="s">
        <v>849</v>
      </c>
      <c r="O191" s="49" t="s">
        <v>4540</v>
      </c>
      <c r="P191" s="49" t="s">
        <v>4541</v>
      </c>
      <c r="Q191" s="49" t="s">
        <v>4542</v>
      </c>
      <c r="R191" s="49" t="s">
        <v>4543</v>
      </c>
      <c r="S191" s="49" t="s">
        <v>4544</v>
      </c>
      <c r="T191" s="49" t="s">
        <v>4545</v>
      </c>
    </row>
    <row r="192" spans="1:21" x14ac:dyDescent="0.2">
      <c r="A192" s="49" t="s">
        <v>30</v>
      </c>
      <c r="D192" s="49" t="s">
        <v>850</v>
      </c>
      <c r="G192" s="49" t="s">
        <v>15001</v>
      </c>
      <c r="H192" s="49" t="s">
        <v>851</v>
      </c>
      <c r="I192" s="49" t="s">
        <v>852</v>
      </c>
      <c r="J192" s="49" t="s">
        <v>853</v>
      </c>
      <c r="K192" s="49" t="s">
        <v>854</v>
      </c>
      <c r="L192" s="49" t="s">
        <v>855</v>
      </c>
      <c r="M192" s="49" t="s">
        <v>856</v>
      </c>
      <c r="N192" s="49" t="s">
        <v>857</v>
      </c>
      <c r="O192" s="49" t="s">
        <v>9488</v>
      </c>
      <c r="P192" s="49" t="s">
        <v>9489</v>
      </c>
      <c r="Q192" s="49" t="s">
        <v>9490</v>
      </c>
      <c r="R192" s="49" t="s">
        <v>9491</v>
      </c>
      <c r="S192" s="49" t="s">
        <v>9492</v>
      </c>
      <c r="T192" s="49" t="s">
        <v>9493</v>
      </c>
    </row>
    <row r="193" spans="1:21" x14ac:dyDescent="0.2">
      <c r="A193" s="49" t="s">
        <v>30</v>
      </c>
    </row>
    <row r="194" spans="1:21" x14ac:dyDescent="0.2">
      <c r="A194" s="49" t="s">
        <v>30</v>
      </c>
      <c r="E194" s="49" t="s">
        <v>31</v>
      </c>
      <c r="F194" s="49" t="s">
        <v>31</v>
      </c>
      <c r="G194" s="49" t="s">
        <v>31</v>
      </c>
      <c r="J194" s="49" t="s">
        <v>31</v>
      </c>
      <c r="K194" s="49" t="s">
        <v>31</v>
      </c>
      <c r="L194" s="49" t="s">
        <v>31</v>
      </c>
      <c r="M194" s="49" t="s">
        <v>31</v>
      </c>
    </row>
    <row r="195" spans="1:21" x14ac:dyDescent="0.2">
      <c r="A195" s="49" t="s">
        <v>30</v>
      </c>
      <c r="D195" s="49" t="s">
        <v>10358</v>
      </c>
      <c r="E195" s="49" t="s">
        <v>4881</v>
      </c>
      <c r="F195" s="49" t="s">
        <v>10359</v>
      </c>
      <c r="H195" s="49" t="s">
        <v>10360</v>
      </c>
      <c r="O195" s="49" t="s">
        <v>33207</v>
      </c>
      <c r="P195" s="49" t="s">
        <v>33208</v>
      </c>
      <c r="Q195" s="49" t="s">
        <v>33209</v>
      </c>
      <c r="R195" s="49" t="s">
        <v>33210</v>
      </c>
      <c r="S195" s="49" t="s">
        <v>33211</v>
      </c>
      <c r="T195" s="49" t="s">
        <v>33212</v>
      </c>
      <c r="U195" s="49" t="s">
        <v>33213</v>
      </c>
    </row>
    <row r="196" spans="1:21" x14ac:dyDescent="0.2">
      <c r="A196" s="49" t="s">
        <v>30</v>
      </c>
      <c r="D196" s="49" t="s">
        <v>858</v>
      </c>
      <c r="G196" s="49" t="s">
        <v>10361</v>
      </c>
      <c r="H196" s="49" t="s">
        <v>859</v>
      </c>
      <c r="I196" s="49" t="s">
        <v>860</v>
      </c>
      <c r="J196" s="49" t="s">
        <v>861</v>
      </c>
      <c r="K196" s="49" t="s">
        <v>862</v>
      </c>
      <c r="L196" s="49" t="s">
        <v>863</v>
      </c>
      <c r="M196" s="49" t="s">
        <v>864</v>
      </c>
      <c r="N196" s="49" t="s">
        <v>865</v>
      </c>
      <c r="O196" s="49" t="s">
        <v>10362</v>
      </c>
      <c r="P196" s="49" t="s">
        <v>10363</v>
      </c>
      <c r="Q196" s="49" t="s">
        <v>10364</v>
      </c>
      <c r="R196" s="49" t="s">
        <v>10365</v>
      </c>
      <c r="S196" s="49" t="s">
        <v>10366</v>
      </c>
      <c r="T196" s="49" t="s">
        <v>10367</v>
      </c>
    </row>
    <row r="197" spans="1:21" x14ac:dyDescent="0.2">
      <c r="A197" s="49" t="s">
        <v>30</v>
      </c>
      <c r="D197" s="49" t="s">
        <v>866</v>
      </c>
      <c r="G197" s="49" t="s">
        <v>15036</v>
      </c>
      <c r="H197" s="49" t="s">
        <v>867</v>
      </c>
      <c r="I197" s="49" t="s">
        <v>868</v>
      </c>
      <c r="J197" s="49" t="s">
        <v>869</v>
      </c>
      <c r="K197" s="49" t="s">
        <v>870</v>
      </c>
      <c r="L197" s="49" t="s">
        <v>871</v>
      </c>
      <c r="M197" s="49" t="s">
        <v>872</v>
      </c>
      <c r="N197" s="49" t="s">
        <v>873</v>
      </c>
      <c r="O197" s="49" t="s">
        <v>9500</v>
      </c>
      <c r="P197" s="49" t="s">
        <v>9501</v>
      </c>
      <c r="Q197" s="49" t="s">
        <v>9502</v>
      </c>
      <c r="R197" s="49" t="s">
        <v>9503</v>
      </c>
      <c r="S197" s="49" t="s">
        <v>9504</v>
      </c>
      <c r="T197" s="49" t="s">
        <v>9505</v>
      </c>
    </row>
    <row r="198" spans="1:21" x14ac:dyDescent="0.2">
      <c r="A198" s="49" t="s">
        <v>30</v>
      </c>
    </row>
    <row r="199" spans="1:21" x14ac:dyDescent="0.2">
      <c r="A199" s="49" t="s">
        <v>30</v>
      </c>
      <c r="E199" s="49" t="s">
        <v>31</v>
      </c>
      <c r="F199" s="49" t="s">
        <v>31</v>
      </c>
      <c r="G199" s="49" t="s">
        <v>31</v>
      </c>
      <c r="J199" s="49" t="s">
        <v>31</v>
      </c>
      <c r="K199" s="49" t="s">
        <v>31</v>
      </c>
      <c r="L199" s="49" t="s">
        <v>31</v>
      </c>
      <c r="M199" s="49" t="s">
        <v>31</v>
      </c>
    </row>
    <row r="200" spans="1:21" x14ac:dyDescent="0.2">
      <c r="A200" s="49" t="s">
        <v>30</v>
      </c>
      <c r="D200" s="49" t="s">
        <v>9506</v>
      </c>
      <c r="E200" s="49" t="s">
        <v>4920</v>
      </c>
      <c r="F200" s="49" t="s">
        <v>9507</v>
      </c>
      <c r="H200" s="49" t="s">
        <v>9508</v>
      </c>
      <c r="O200" s="49" t="s">
        <v>33214</v>
      </c>
      <c r="P200" s="49" t="s">
        <v>33215</v>
      </c>
      <c r="Q200" s="49" t="s">
        <v>33216</v>
      </c>
      <c r="R200" s="49" t="s">
        <v>33217</v>
      </c>
      <c r="S200" s="49" t="s">
        <v>33218</v>
      </c>
      <c r="T200" s="49" t="s">
        <v>33219</v>
      </c>
      <c r="U200" s="49" t="s">
        <v>33220</v>
      </c>
    </row>
    <row r="201" spans="1:21" x14ac:dyDescent="0.2">
      <c r="A201" s="49" t="s">
        <v>30</v>
      </c>
      <c r="D201" s="49" t="s">
        <v>2025</v>
      </c>
      <c r="G201" s="49" t="s">
        <v>33221</v>
      </c>
      <c r="H201" s="49" t="s">
        <v>2026</v>
      </c>
      <c r="I201" s="49" t="s">
        <v>2027</v>
      </c>
      <c r="J201" s="49" t="s">
        <v>2028</v>
      </c>
      <c r="K201" s="49" t="s">
        <v>2029</v>
      </c>
      <c r="L201" s="49" t="s">
        <v>2030</v>
      </c>
      <c r="M201" s="49" t="s">
        <v>2031</v>
      </c>
      <c r="N201" s="49" t="s">
        <v>2032</v>
      </c>
      <c r="O201" s="49" t="s">
        <v>9509</v>
      </c>
      <c r="P201" s="49" t="s">
        <v>9510</v>
      </c>
      <c r="Q201" s="49" t="s">
        <v>9511</v>
      </c>
      <c r="R201" s="49" t="s">
        <v>9512</v>
      </c>
      <c r="S201" s="49" t="s">
        <v>9513</v>
      </c>
      <c r="T201" s="49" t="s">
        <v>9514</v>
      </c>
    </row>
    <row r="202" spans="1:21" x14ac:dyDescent="0.2">
      <c r="A202" s="49" t="s">
        <v>30</v>
      </c>
      <c r="D202" s="49" t="s">
        <v>882</v>
      </c>
      <c r="G202" s="49" t="s">
        <v>15060</v>
      </c>
      <c r="H202" s="49" t="s">
        <v>883</v>
      </c>
      <c r="I202" s="49" t="s">
        <v>884</v>
      </c>
      <c r="J202" s="49" t="s">
        <v>885</v>
      </c>
      <c r="K202" s="49" t="s">
        <v>886</v>
      </c>
      <c r="L202" s="49" t="s">
        <v>887</v>
      </c>
      <c r="M202" s="49" t="s">
        <v>888</v>
      </c>
      <c r="N202" s="49" t="s">
        <v>889</v>
      </c>
      <c r="O202" s="49" t="s">
        <v>8981</v>
      </c>
      <c r="P202" s="49" t="s">
        <v>8982</v>
      </c>
      <c r="Q202" s="49" t="s">
        <v>8983</v>
      </c>
      <c r="R202" s="49" t="s">
        <v>8984</v>
      </c>
      <c r="S202" s="49" t="s">
        <v>8985</v>
      </c>
      <c r="T202" s="49" t="s">
        <v>8986</v>
      </c>
    </row>
    <row r="203" spans="1:21" x14ac:dyDescent="0.2">
      <c r="A203" s="49" t="s">
        <v>30</v>
      </c>
    </row>
    <row r="204" spans="1:21" x14ac:dyDescent="0.2">
      <c r="A204" s="49" t="s">
        <v>30</v>
      </c>
      <c r="E204" s="49" t="s">
        <v>31</v>
      </c>
      <c r="F204" s="49" t="s">
        <v>31</v>
      </c>
      <c r="G204" s="49" t="s">
        <v>31</v>
      </c>
      <c r="J204" s="49" t="s">
        <v>31</v>
      </c>
      <c r="K204" s="49" t="s">
        <v>31</v>
      </c>
      <c r="L204" s="49" t="s">
        <v>31</v>
      </c>
      <c r="M204" s="49" t="s">
        <v>31</v>
      </c>
    </row>
    <row r="205" spans="1:21" x14ac:dyDescent="0.2">
      <c r="A205" s="49" t="s">
        <v>30</v>
      </c>
      <c r="D205" s="49" t="s">
        <v>10091</v>
      </c>
      <c r="E205" s="49" t="s">
        <v>4949</v>
      </c>
      <c r="F205" s="49" t="s">
        <v>10092</v>
      </c>
      <c r="H205" s="49" t="s">
        <v>10093</v>
      </c>
      <c r="O205" s="49" t="s">
        <v>33222</v>
      </c>
      <c r="P205" s="49" t="s">
        <v>33223</v>
      </c>
      <c r="Q205" s="49" t="s">
        <v>33224</v>
      </c>
      <c r="R205" s="49" t="s">
        <v>33225</v>
      </c>
      <c r="S205" s="49" t="s">
        <v>33226</v>
      </c>
      <c r="T205" s="49" t="s">
        <v>33227</v>
      </c>
      <c r="U205" s="49" t="s">
        <v>33228</v>
      </c>
    </row>
    <row r="206" spans="1:21" x14ac:dyDescent="0.2">
      <c r="A206" s="49" t="s">
        <v>30</v>
      </c>
      <c r="D206" s="49" t="s">
        <v>914</v>
      </c>
      <c r="G206" s="49" t="s">
        <v>10094</v>
      </c>
      <c r="H206" s="49" t="s">
        <v>915</v>
      </c>
      <c r="I206" s="49" t="s">
        <v>916</v>
      </c>
      <c r="J206" s="49" t="s">
        <v>917</v>
      </c>
      <c r="K206" s="49" t="s">
        <v>918</v>
      </c>
      <c r="L206" s="49" t="s">
        <v>919</v>
      </c>
      <c r="M206" s="49" t="s">
        <v>920</v>
      </c>
      <c r="N206" s="49" t="s">
        <v>921</v>
      </c>
      <c r="O206" s="49" t="s">
        <v>10095</v>
      </c>
      <c r="P206" s="49" t="s">
        <v>10096</v>
      </c>
      <c r="Q206" s="49" t="s">
        <v>10097</v>
      </c>
      <c r="R206" s="49" t="s">
        <v>10098</v>
      </c>
      <c r="S206" s="49" t="s">
        <v>10099</v>
      </c>
      <c r="T206" s="49" t="s">
        <v>10100</v>
      </c>
    </row>
    <row r="207" spans="1:21" x14ac:dyDescent="0.2">
      <c r="A207" s="49" t="s">
        <v>30</v>
      </c>
      <c r="D207" s="49" t="s">
        <v>922</v>
      </c>
      <c r="G207" s="49" t="s">
        <v>15084</v>
      </c>
      <c r="H207" s="49" t="s">
        <v>923</v>
      </c>
      <c r="I207" s="49" t="s">
        <v>924</v>
      </c>
      <c r="J207" s="49" t="s">
        <v>925</v>
      </c>
      <c r="K207" s="49" t="s">
        <v>926</v>
      </c>
      <c r="L207" s="49" t="s">
        <v>927</v>
      </c>
      <c r="M207" s="49" t="s">
        <v>928</v>
      </c>
      <c r="N207" s="49" t="s">
        <v>929</v>
      </c>
      <c r="O207" s="49" t="s">
        <v>32440</v>
      </c>
      <c r="P207" s="49" t="s">
        <v>32441</v>
      </c>
      <c r="Q207" s="49" t="s">
        <v>32442</v>
      </c>
      <c r="R207" s="49" t="s">
        <v>32443</v>
      </c>
      <c r="S207" s="49" t="s">
        <v>32444</v>
      </c>
      <c r="T207" s="49" t="s">
        <v>32445</v>
      </c>
    </row>
    <row r="208" spans="1:21" x14ac:dyDescent="0.2">
      <c r="A208" s="49" t="s">
        <v>30</v>
      </c>
      <c r="D208" s="49" t="s">
        <v>930</v>
      </c>
      <c r="G208" s="49" t="s">
        <v>15085</v>
      </c>
      <c r="H208" s="49" t="s">
        <v>931</v>
      </c>
      <c r="I208" s="49" t="s">
        <v>932</v>
      </c>
      <c r="J208" s="49" t="s">
        <v>933</v>
      </c>
      <c r="K208" s="49" t="s">
        <v>934</v>
      </c>
      <c r="L208" s="49" t="s">
        <v>935</v>
      </c>
      <c r="M208" s="49" t="s">
        <v>936</v>
      </c>
      <c r="N208" s="49" t="s">
        <v>937</v>
      </c>
      <c r="O208" s="49" t="s">
        <v>10101</v>
      </c>
      <c r="P208" s="49" t="s">
        <v>10102</v>
      </c>
      <c r="Q208" s="49" t="s">
        <v>10103</v>
      </c>
      <c r="R208" s="49" t="s">
        <v>10104</v>
      </c>
      <c r="S208" s="49" t="s">
        <v>10105</v>
      </c>
      <c r="T208" s="49" t="s">
        <v>10106</v>
      </c>
    </row>
    <row r="209" spans="1:21" x14ac:dyDescent="0.2">
      <c r="A209" s="49" t="s">
        <v>30</v>
      </c>
    </row>
    <row r="210" spans="1:21" x14ac:dyDescent="0.2">
      <c r="A210" s="49" t="s">
        <v>30</v>
      </c>
      <c r="E210" s="49" t="s">
        <v>31</v>
      </c>
      <c r="F210" s="49" t="s">
        <v>31</v>
      </c>
      <c r="G210" s="49" t="s">
        <v>31</v>
      </c>
      <c r="J210" s="49" t="s">
        <v>31</v>
      </c>
      <c r="K210" s="49" t="s">
        <v>31</v>
      </c>
      <c r="L210" s="49" t="s">
        <v>31</v>
      </c>
      <c r="M210" s="49" t="s">
        <v>31</v>
      </c>
    </row>
    <row r="211" spans="1:21" x14ac:dyDescent="0.2">
      <c r="A211" s="49" t="s">
        <v>30</v>
      </c>
      <c r="D211" s="49" t="s">
        <v>10107</v>
      </c>
      <c r="E211" s="49" t="s">
        <v>4951</v>
      </c>
      <c r="F211" s="49" t="s">
        <v>10108</v>
      </c>
      <c r="H211" s="49" t="s">
        <v>10109</v>
      </c>
      <c r="O211" s="49" t="s">
        <v>33229</v>
      </c>
      <c r="P211" s="49" t="s">
        <v>33230</v>
      </c>
      <c r="Q211" s="49" t="s">
        <v>33231</v>
      </c>
      <c r="R211" s="49" t="s">
        <v>33232</v>
      </c>
      <c r="S211" s="49" t="s">
        <v>33233</v>
      </c>
      <c r="T211" s="49" t="s">
        <v>33234</v>
      </c>
      <c r="U211" s="49" t="s">
        <v>33235</v>
      </c>
    </row>
    <row r="212" spans="1:21" x14ac:dyDescent="0.2">
      <c r="A212" s="49" t="s">
        <v>30</v>
      </c>
      <c r="D212" s="49" t="s">
        <v>2049</v>
      </c>
      <c r="G212" s="49" t="s">
        <v>10110</v>
      </c>
      <c r="H212" s="49" t="s">
        <v>2050</v>
      </c>
      <c r="I212" s="49" t="s">
        <v>2051</v>
      </c>
      <c r="J212" s="49" t="s">
        <v>2052</v>
      </c>
      <c r="K212" s="49" t="s">
        <v>2053</v>
      </c>
      <c r="L212" s="49" t="s">
        <v>2054</v>
      </c>
      <c r="M212" s="49" t="s">
        <v>2055</v>
      </c>
      <c r="N212" s="49" t="s">
        <v>2056</v>
      </c>
      <c r="O212" s="49" t="s">
        <v>8999</v>
      </c>
      <c r="P212" s="49" t="s">
        <v>9000</v>
      </c>
      <c r="Q212" s="49" t="s">
        <v>9001</v>
      </c>
      <c r="R212" s="49" t="s">
        <v>9002</v>
      </c>
      <c r="S212" s="49" t="s">
        <v>9003</v>
      </c>
      <c r="T212" s="49" t="s">
        <v>9004</v>
      </c>
    </row>
    <row r="213" spans="1:21" x14ac:dyDescent="0.2">
      <c r="A213" s="49" t="s">
        <v>30</v>
      </c>
      <c r="D213" s="49" t="s">
        <v>946</v>
      </c>
      <c r="G213" s="49" t="s">
        <v>15111</v>
      </c>
      <c r="H213" s="49" t="s">
        <v>947</v>
      </c>
      <c r="I213" s="49" t="s">
        <v>948</v>
      </c>
      <c r="J213" s="49" t="s">
        <v>949</v>
      </c>
      <c r="K213" s="49" t="s">
        <v>950</v>
      </c>
      <c r="L213" s="49" t="s">
        <v>951</v>
      </c>
      <c r="M213" s="49" t="s">
        <v>952</v>
      </c>
      <c r="N213" s="49" t="s">
        <v>953</v>
      </c>
      <c r="O213" s="49" t="s">
        <v>33236</v>
      </c>
      <c r="P213" s="49" t="s">
        <v>33237</v>
      </c>
      <c r="Q213" s="49" t="s">
        <v>33238</v>
      </c>
      <c r="R213" s="49" t="s">
        <v>33239</v>
      </c>
      <c r="S213" s="49" t="s">
        <v>33240</v>
      </c>
      <c r="T213" s="49" t="s">
        <v>33241</v>
      </c>
    </row>
    <row r="214" spans="1:21" x14ac:dyDescent="0.2">
      <c r="A214" s="49" t="s">
        <v>30</v>
      </c>
    </row>
    <row r="215" spans="1:21" x14ac:dyDescent="0.2">
      <c r="A215" s="49" t="s">
        <v>30</v>
      </c>
      <c r="E215" s="49" t="s">
        <v>31</v>
      </c>
      <c r="F215" s="49" t="s">
        <v>31</v>
      </c>
      <c r="G215" s="49" t="s">
        <v>31</v>
      </c>
      <c r="J215" s="49" t="s">
        <v>31</v>
      </c>
      <c r="K215" s="49" t="s">
        <v>31</v>
      </c>
      <c r="L215" s="49" t="s">
        <v>31</v>
      </c>
      <c r="M215" s="49" t="s">
        <v>31</v>
      </c>
    </row>
    <row r="216" spans="1:21" x14ac:dyDescent="0.2">
      <c r="A216" s="49" t="s">
        <v>30</v>
      </c>
      <c r="D216" s="49" t="s">
        <v>33242</v>
      </c>
      <c r="E216" s="49" t="s">
        <v>4968</v>
      </c>
      <c r="F216" s="49" t="s">
        <v>33243</v>
      </c>
      <c r="H216" s="49" t="s">
        <v>33244</v>
      </c>
      <c r="O216" s="49" t="s">
        <v>33245</v>
      </c>
      <c r="P216" s="49" t="s">
        <v>33246</v>
      </c>
      <c r="Q216" s="49" t="s">
        <v>33247</v>
      </c>
      <c r="R216" s="49" t="s">
        <v>33248</v>
      </c>
      <c r="S216" s="49" t="s">
        <v>33249</v>
      </c>
      <c r="T216" s="49" t="s">
        <v>33250</v>
      </c>
      <c r="U216" s="49" t="s">
        <v>33251</v>
      </c>
    </row>
    <row r="217" spans="1:21" x14ac:dyDescent="0.2">
      <c r="A217" s="49" t="s">
        <v>30</v>
      </c>
      <c r="D217" s="49" t="s">
        <v>978</v>
      </c>
      <c r="G217" s="49" t="s">
        <v>33252</v>
      </c>
      <c r="H217" s="49" t="s">
        <v>979</v>
      </c>
      <c r="I217" s="49" t="s">
        <v>980</v>
      </c>
      <c r="J217" s="49" t="s">
        <v>981</v>
      </c>
      <c r="K217" s="49" t="s">
        <v>982</v>
      </c>
      <c r="L217" s="49" t="s">
        <v>983</v>
      </c>
      <c r="M217" s="49" t="s">
        <v>984</v>
      </c>
      <c r="N217" s="49" t="s">
        <v>985</v>
      </c>
      <c r="O217" s="49" t="s">
        <v>9011</v>
      </c>
      <c r="P217" s="49" t="s">
        <v>9012</v>
      </c>
      <c r="Q217" s="49" t="s">
        <v>9013</v>
      </c>
      <c r="R217" s="49" t="s">
        <v>9014</v>
      </c>
      <c r="S217" s="49" t="s">
        <v>9015</v>
      </c>
      <c r="T217" s="49" t="s">
        <v>9016</v>
      </c>
    </row>
    <row r="218" spans="1:21" x14ac:dyDescent="0.2">
      <c r="A218" s="49" t="s">
        <v>30</v>
      </c>
    </row>
    <row r="219" spans="1:21" x14ac:dyDescent="0.2">
      <c r="A219" s="49" t="s">
        <v>30</v>
      </c>
      <c r="E219" s="49" t="s">
        <v>31</v>
      </c>
      <c r="F219" s="49" t="s">
        <v>31</v>
      </c>
      <c r="G219" s="49" t="s">
        <v>31</v>
      </c>
      <c r="J219" s="49" t="s">
        <v>31</v>
      </c>
      <c r="K219" s="49" t="s">
        <v>31</v>
      </c>
      <c r="L219" s="49" t="s">
        <v>31</v>
      </c>
      <c r="M219" s="49" t="s">
        <v>31</v>
      </c>
    </row>
    <row r="220" spans="1:21" x14ac:dyDescent="0.2">
      <c r="A220" s="49" t="s">
        <v>30</v>
      </c>
      <c r="D220" s="49" t="s">
        <v>33253</v>
      </c>
      <c r="E220" s="49" t="s">
        <v>4969</v>
      </c>
      <c r="F220" s="49" t="s">
        <v>33254</v>
      </c>
      <c r="H220" s="49" t="s">
        <v>33255</v>
      </c>
      <c r="O220" s="49" t="s">
        <v>33256</v>
      </c>
      <c r="P220" s="49" t="s">
        <v>33257</v>
      </c>
      <c r="Q220" s="49" t="s">
        <v>33258</v>
      </c>
      <c r="R220" s="49" t="s">
        <v>33259</v>
      </c>
      <c r="S220" s="49" t="s">
        <v>33260</v>
      </c>
      <c r="T220" s="49" t="s">
        <v>33261</v>
      </c>
      <c r="U220" s="49" t="s">
        <v>33262</v>
      </c>
    </row>
    <row r="221" spans="1:21" x14ac:dyDescent="0.2">
      <c r="A221" s="49" t="s">
        <v>30</v>
      </c>
      <c r="D221" s="49" t="s">
        <v>9017</v>
      </c>
      <c r="G221" s="49" t="s">
        <v>33263</v>
      </c>
      <c r="H221" s="49" t="s">
        <v>9018</v>
      </c>
      <c r="I221" s="49" t="s">
        <v>9019</v>
      </c>
      <c r="J221" s="49" t="s">
        <v>9020</v>
      </c>
      <c r="K221" s="49" t="s">
        <v>9021</v>
      </c>
      <c r="L221" s="49" t="s">
        <v>9022</v>
      </c>
      <c r="M221" s="49" t="s">
        <v>9023</v>
      </c>
      <c r="N221" s="49" t="s">
        <v>9024</v>
      </c>
      <c r="O221" s="49" t="s">
        <v>9025</v>
      </c>
      <c r="P221" s="49" t="s">
        <v>9026</v>
      </c>
      <c r="Q221" s="49" t="s">
        <v>9027</v>
      </c>
      <c r="R221" s="49" t="s">
        <v>9028</v>
      </c>
      <c r="S221" s="49" t="s">
        <v>9029</v>
      </c>
      <c r="T221" s="49" t="s">
        <v>9030</v>
      </c>
    </row>
    <row r="222" spans="1:21" x14ac:dyDescent="0.2">
      <c r="A222" s="49" t="s">
        <v>30</v>
      </c>
      <c r="D222" s="49" t="s">
        <v>9534</v>
      </c>
      <c r="G222" s="49" t="s">
        <v>15160</v>
      </c>
      <c r="H222" s="49" t="s">
        <v>9536</v>
      </c>
      <c r="I222" s="49" t="s">
        <v>9537</v>
      </c>
      <c r="J222" s="49" t="s">
        <v>9538</v>
      </c>
      <c r="K222" s="49" t="s">
        <v>9539</v>
      </c>
      <c r="L222" s="49" t="s">
        <v>9540</v>
      </c>
      <c r="M222" s="49" t="s">
        <v>9541</v>
      </c>
      <c r="N222" s="49" t="s">
        <v>9542</v>
      </c>
      <c r="O222" s="49" t="s">
        <v>9543</v>
      </c>
      <c r="P222" s="49" t="s">
        <v>9544</v>
      </c>
      <c r="Q222" s="49" t="s">
        <v>9545</v>
      </c>
      <c r="R222" s="49" t="s">
        <v>9546</v>
      </c>
      <c r="S222" s="49" t="s">
        <v>9547</v>
      </c>
      <c r="T222" s="49" t="s">
        <v>9548</v>
      </c>
    </row>
    <row r="223" spans="1:21" x14ac:dyDescent="0.2">
      <c r="A223" s="49" t="s">
        <v>30</v>
      </c>
      <c r="D223" s="49" t="s">
        <v>1002</v>
      </c>
      <c r="G223" s="49" t="s">
        <v>15172</v>
      </c>
      <c r="H223" s="49" t="s">
        <v>1003</v>
      </c>
      <c r="I223" s="49" t="s">
        <v>1004</v>
      </c>
      <c r="J223" s="49" t="s">
        <v>1005</v>
      </c>
      <c r="K223" s="49" t="s">
        <v>1006</v>
      </c>
      <c r="L223" s="49" t="s">
        <v>1007</v>
      </c>
      <c r="M223" s="49" t="s">
        <v>1008</v>
      </c>
      <c r="N223" s="49" t="s">
        <v>1009</v>
      </c>
      <c r="O223" s="49" t="s">
        <v>9549</v>
      </c>
      <c r="P223" s="49" t="s">
        <v>9550</v>
      </c>
      <c r="Q223" s="49" t="s">
        <v>9551</v>
      </c>
      <c r="R223" s="49" t="s">
        <v>9552</v>
      </c>
      <c r="S223" s="49" t="s">
        <v>9553</v>
      </c>
      <c r="T223" s="49" t="s">
        <v>9554</v>
      </c>
    </row>
    <row r="224" spans="1:21" x14ac:dyDescent="0.2">
      <c r="A224" s="49" t="s">
        <v>30</v>
      </c>
      <c r="D224" s="49" t="s">
        <v>14315</v>
      </c>
      <c r="G224" s="49" t="s">
        <v>15176</v>
      </c>
      <c r="H224" s="49" t="s">
        <v>31780</v>
      </c>
      <c r="I224" s="49" t="s">
        <v>31781</v>
      </c>
      <c r="J224" s="49" t="s">
        <v>31800</v>
      </c>
      <c r="K224" s="49" t="s">
        <v>31801</v>
      </c>
      <c r="L224" s="49" t="s">
        <v>14317</v>
      </c>
      <c r="M224" s="49" t="s">
        <v>14318</v>
      </c>
      <c r="N224" s="49" t="s">
        <v>14319</v>
      </c>
      <c r="O224" s="49" t="s">
        <v>32492</v>
      </c>
      <c r="P224" s="49" t="s">
        <v>32493</v>
      </c>
      <c r="Q224" s="49" t="s">
        <v>32494</v>
      </c>
      <c r="R224" s="49" t="s">
        <v>32495</v>
      </c>
      <c r="S224" s="49" t="s">
        <v>32496</v>
      </c>
      <c r="T224" s="49" t="s">
        <v>32497</v>
      </c>
    </row>
    <row r="225" spans="1:21" x14ac:dyDescent="0.2">
      <c r="A225" s="49" t="s">
        <v>30</v>
      </c>
    </row>
    <row r="226" spans="1:21" x14ac:dyDescent="0.2">
      <c r="A226" s="49" t="s">
        <v>30</v>
      </c>
      <c r="E226" s="49" t="s">
        <v>31</v>
      </c>
      <c r="F226" s="49" t="s">
        <v>31</v>
      </c>
      <c r="G226" s="49" t="s">
        <v>31</v>
      </c>
      <c r="J226" s="49" t="s">
        <v>31</v>
      </c>
      <c r="K226" s="49" t="s">
        <v>31</v>
      </c>
      <c r="L226" s="49" t="s">
        <v>31</v>
      </c>
      <c r="M226" s="49" t="s">
        <v>31</v>
      </c>
    </row>
    <row r="227" spans="1:21" x14ac:dyDescent="0.2">
      <c r="A227" s="49" t="s">
        <v>30</v>
      </c>
      <c r="D227" s="49" t="s">
        <v>32498</v>
      </c>
      <c r="E227" s="49" t="s">
        <v>4970</v>
      </c>
      <c r="F227" s="49" t="s">
        <v>32499</v>
      </c>
      <c r="H227" s="49" t="s">
        <v>32500</v>
      </c>
      <c r="O227" s="49" t="s">
        <v>33264</v>
      </c>
      <c r="P227" s="49" t="s">
        <v>33265</v>
      </c>
      <c r="Q227" s="49" t="s">
        <v>33266</v>
      </c>
      <c r="R227" s="49" t="s">
        <v>33267</v>
      </c>
      <c r="S227" s="49" t="s">
        <v>33268</v>
      </c>
      <c r="T227" s="49" t="s">
        <v>33269</v>
      </c>
      <c r="U227" s="49" t="s">
        <v>33270</v>
      </c>
    </row>
    <row r="228" spans="1:21" x14ac:dyDescent="0.2">
      <c r="A228" s="49" t="s">
        <v>30</v>
      </c>
      <c r="D228" s="49" t="s">
        <v>4715</v>
      </c>
      <c r="G228" s="49" t="s">
        <v>32508</v>
      </c>
      <c r="H228" s="49" t="s">
        <v>4716</v>
      </c>
      <c r="I228" s="49" t="s">
        <v>4717</v>
      </c>
      <c r="J228" s="49" t="s">
        <v>4718</v>
      </c>
      <c r="K228" s="49" t="s">
        <v>4719</v>
      </c>
      <c r="L228" s="49" t="s">
        <v>4720</v>
      </c>
      <c r="M228" s="49" t="s">
        <v>4721</v>
      </c>
      <c r="N228" s="49" t="s">
        <v>4722</v>
      </c>
      <c r="O228" s="49" t="s">
        <v>32509</v>
      </c>
      <c r="P228" s="49" t="s">
        <v>32510</v>
      </c>
      <c r="Q228" s="49" t="s">
        <v>32511</v>
      </c>
      <c r="R228" s="49" t="s">
        <v>32512</v>
      </c>
      <c r="S228" s="49" t="s">
        <v>32513</v>
      </c>
      <c r="T228" s="49" t="s">
        <v>32514</v>
      </c>
    </row>
    <row r="229" spans="1:21" x14ac:dyDescent="0.2">
      <c r="A229" s="49" t="s">
        <v>30</v>
      </c>
    </row>
    <row r="230" spans="1:21" x14ac:dyDescent="0.2">
      <c r="A230" s="49" t="s">
        <v>30</v>
      </c>
      <c r="E230" s="49" t="s">
        <v>31</v>
      </c>
      <c r="F230" s="49" t="s">
        <v>31</v>
      </c>
      <c r="G230" s="49" t="s">
        <v>31</v>
      </c>
      <c r="J230" s="49" t="s">
        <v>31</v>
      </c>
      <c r="K230" s="49" t="s">
        <v>31</v>
      </c>
      <c r="L230" s="49" t="s">
        <v>31</v>
      </c>
      <c r="M230" s="49" t="s">
        <v>31</v>
      </c>
    </row>
    <row r="231" spans="1:21" x14ac:dyDescent="0.2">
      <c r="A231" s="49" t="s">
        <v>30</v>
      </c>
      <c r="D231" s="49" t="s">
        <v>33271</v>
      </c>
      <c r="E231" s="49" t="s">
        <v>4987</v>
      </c>
      <c r="F231" s="49" t="s">
        <v>33272</v>
      </c>
      <c r="H231" s="49" t="s">
        <v>33273</v>
      </c>
      <c r="O231" s="49" t="s">
        <v>33274</v>
      </c>
      <c r="P231" s="49" t="s">
        <v>33275</v>
      </c>
      <c r="Q231" s="49" t="s">
        <v>33276</v>
      </c>
      <c r="R231" s="49" t="s">
        <v>33277</v>
      </c>
      <c r="S231" s="49" t="s">
        <v>33278</v>
      </c>
      <c r="T231" s="49" t="s">
        <v>33279</v>
      </c>
      <c r="U231" s="49" t="s">
        <v>33280</v>
      </c>
    </row>
    <row r="232" spans="1:21" x14ac:dyDescent="0.2">
      <c r="A232" s="49" t="s">
        <v>30</v>
      </c>
      <c r="D232" s="49" t="s">
        <v>4737</v>
      </c>
      <c r="G232" s="49" t="s">
        <v>33281</v>
      </c>
      <c r="H232" s="49" t="s">
        <v>4738</v>
      </c>
      <c r="I232" s="49" t="s">
        <v>4739</v>
      </c>
      <c r="J232" s="49" t="s">
        <v>4740</v>
      </c>
      <c r="K232" s="49" t="s">
        <v>4741</v>
      </c>
      <c r="L232" s="49" t="s">
        <v>4742</v>
      </c>
      <c r="M232" s="49" t="s">
        <v>4743</v>
      </c>
      <c r="N232" s="49" t="s">
        <v>4744</v>
      </c>
      <c r="O232" s="49" t="s">
        <v>10129</v>
      </c>
      <c r="P232" s="49" t="s">
        <v>10130</v>
      </c>
      <c r="Q232" s="49" t="s">
        <v>10131</v>
      </c>
      <c r="R232" s="49" t="s">
        <v>10132</v>
      </c>
      <c r="S232" s="49" t="s">
        <v>10133</v>
      </c>
      <c r="T232" s="49" t="s">
        <v>10134</v>
      </c>
    </row>
    <row r="233" spans="1:21" x14ac:dyDescent="0.2">
      <c r="A233" s="49" t="s">
        <v>30</v>
      </c>
      <c r="D233" s="49" t="s">
        <v>9041</v>
      </c>
      <c r="G233" s="49" t="s">
        <v>15229</v>
      </c>
      <c r="H233" s="49" t="s">
        <v>9042</v>
      </c>
      <c r="I233" s="49" t="s">
        <v>9043</v>
      </c>
      <c r="J233" s="49" t="s">
        <v>9044</v>
      </c>
      <c r="K233" s="49" t="s">
        <v>9045</v>
      </c>
      <c r="L233" s="49" t="s">
        <v>9046</v>
      </c>
      <c r="M233" s="49" t="s">
        <v>9047</v>
      </c>
      <c r="N233" s="49" t="s">
        <v>9048</v>
      </c>
      <c r="O233" s="49" t="s">
        <v>33020</v>
      </c>
      <c r="P233" s="49" t="s">
        <v>33021</v>
      </c>
      <c r="Q233" s="49" t="s">
        <v>33022</v>
      </c>
      <c r="R233" s="49" t="s">
        <v>33023</v>
      </c>
      <c r="S233" s="49" t="s">
        <v>33024</v>
      </c>
      <c r="T233" s="49" t="s">
        <v>33025</v>
      </c>
    </row>
    <row r="234" spans="1:21" x14ac:dyDescent="0.2">
      <c r="A234" s="49" t="s">
        <v>30</v>
      </c>
      <c r="D234" s="49" t="s">
        <v>1026</v>
      </c>
      <c r="G234" s="49" t="s">
        <v>15230</v>
      </c>
      <c r="H234" s="49" t="s">
        <v>1027</v>
      </c>
      <c r="I234" s="49" t="s">
        <v>1028</v>
      </c>
      <c r="J234" s="49" t="s">
        <v>1029</v>
      </c>
      <c r="K234" s="49" t="s">
        <v>1030</v>
      </c>
      <c r="L234" s="49" t="s">
        <v>1031</v>
      </c>
      <c r="M234" s="49" t="s">
        <v>1032</v>
      </c>
      <c r="N234" s="49" t="s">
        <v>1033</v>
      </c>
      <c r="O234" s="49" t="s">
        <v>10135</v>
      </c>
      <c r="P234" s="49" t="s">
        <v>10136</v>
      </c>
      <c r="Q234" s="49" t="s">
        <v>10137</v>
      </c>
      <c r="R234" s="49" t="s">
        <v>10138</v>
      </c>
      <c r="S234" s="49" t="s">
        <v>10139</v>
      </c>
      <c r="T234" s="49" t="s">
        <v>10140</v>
      </c>
    </row>
    <row r="235" spans="1:21" x14ac:dyDescent="0.2">
      <c r="A235" s="49" t="s">
        <v>30</v>
      </c>
    </row>
    <row r="236" spans="1:21" x14ac:dyDescent="0.2">
      <c r="A236" s="49" t="s">
        <v>30</v>
      </c>
      <c r="E236" s="49" t="s">
        <v>31</v>
      </c>
      <c r="F236" s="49" t="s">
        <v>31</v>
      </c>
      <c r="G236" s="49" t="s">
        <v>31</v>
      </c>
      <c r="J236" s="49" t="s">
        <v>31</v>
      </c>
      <c r="K236" s="49" t="s">
        <v>31</v>
      </c>
      <c r="L236" s="49" t="s">
        <v>31</v>
      </c>
      <c r="M236" s="49" t="s">
        <v>31</v>
      </c>
    </row>
    <row r="237" spans="1:21" x14ac:dyDescent="0.2">
      <c r="A237" s="49" t="s">
        <v>30</v>
      </c>
      <c r="D237" s="49" t="s">
        <v>10141</v>
      </c>
      <c r="E237" s="49" t="s">
        <v>5002</v>
      </c>
      <c r="F237" s="49" t="s">
        <v>10142</v>
      </c>
      <c r="H237" s="49" t="s">
        <v>10143</v>
      </c>
      <c r="O237" s="49" t="s">
        <v>33282</v>
      </c>
      <c r="P237" s="49" t="s">
        <v>33283</v>
      </c>
      <c r="Q237" s="49" t="s">
        <v>33284</v>
      </c>
      <c r="R237" s="49" t="s">
        <v>33285</v>
      </c>
      <c r="S237" s="49" t="s">
        <v>33286</v>
      </c>
      <c r="T237" s="49" t="s">
        <v>33287</v>
      </c>
      <c r="U237" s="49" t="s">
        <v>33288</v>
      </c>
    </row>
    <row r="238" spans="1:21" x14ac:dyDescent="0.2">
      <c r="A238" s="49" t="s">
        <v>30</v>
      </c>
      <c r="D238" s="49" t="s">
        <v>2379</v>
      </c>
      <c r="G238" s="49" t="s">
        <v>10144</v>
      </c>
      <c r="H238" s="49" t="s">
        <v>2380</v>
      </c>
      <c r="I238" s="49" t="s">
        <v>2381</v>
      </c>
      <c r="J238" s="49" t="s">
        <v>2382</v>
      </c>
      <c r="K238" s="49" t="s">
        <v>2383</v>
      </c>
      <c r="L238" s="49" t="s">
        <v>2384</v>
      </c>
      <c r="M238" s="49" t="s">
        <v>2385</v>
      </c>
      <c r="N238" s="49" t="s">
        <v>2386</v>
      </c>
      <c r="O238" s="49" t="s">
        <v>9055</v>
      </c>
      <c r="P238" s="49" t="s">
        <v>9056</v>
      </c>
      <c r="Q238" s="49" t="s">
        <v>9057</v>
      </c>
      <c r="R238" s="49" t="s">
        <v>9058</v>
      </c>
      <c r="S238" s="49" t="s">
        <v>9059</v>
      </c>
      <c r="T238" s="49" t="s">
        <v>9060</v>
      </c>
    </row>
    <row r="239" spans="1:21" x14ac:dyDescent="0.2">
      <c r="A239" s="49" t="s">
        <v>30</v>
      </c>
      <c r="D239" s="49" t="s">
        <v>1042</v>
      </c>
      <c r="G239" s="49" t="s">
        <v>15260</v>
      </c>
      <c r="H239" s="49" t="s">
        <v>1043</v>
      </c>
      <c r="I239" s="49" t="s">
        <v>1044</v>
      </c>
      <c r="J239" s="49" t="s">
        <v>1045</v>
      </c>
      <c r="K239" s="49" t="s">
        <v>1046</v>
      </c>
      <c r="L239" s="49" t="s">
        <v>1047</v>
      </c>
      <c r="M239" s="49" t="s">
        <v>1048</v>
      </c>
      <c r="N239" s="49" t="s">
        <v>1049</v>
      </c>
      <c r="O239" s="49" t="s">
        <v>9588</v>
      </c>
      <c r="P239" s="49" t="s">
        <v>9589</v>
      </c>
      <c r="Q239" s="49" t="s">
        <v>9590</v>
      </c>
      <c r="R239" s="49" t="s">
        <v>9591</v>
      </c>
      <c r="S239" s="49" t="s">
        <v>9592</v>
      </c>
      <c r="T239" s="49" t="s">
        <v>9593</v>
      </c>
    </row>
    <row r="240" spans="1:21" x14ac:dyDescent="0.2">
      <c r="A240" s="49" t="s">
        <v>30</v>
      </c>
    </row>
    <row r="241" spans="1:21" x14ac:dyDescent="0.2">
      <c r="A241" s="49" t="s">
        <v>30</v>
      </c>
      <c r="E241" s="49" t="s">
        <v>31</v>
      </c>
      <c r="F241" s="49" t="s">
        <v>31</v>
      </c>
      <c r="G241" s="49" t="s">
        <v>31</v>
      </c>
      <c r="J241" s="49" t="s">
        <v>31</v>
      </c>
      <c r="K241" s="49" t="s">
        <v>31</v>
      </c>
      <c r="L241" s="49" t="s">
        <v>31</v>
      </c>
      <c r="M241" s="49" t="s">
        <v>31</v>
      </c>
    </row>
    <row r="242" spans="1:21" x14ac:dyDescent="0.2">
      <c r="A242" s="49" t="s">
        <v>30</v>
      </c>
      <c r="D242" s="49" t="s">
        <v>33289</v>
      </c>
      <c r="E242" s="49" t="s">
        <v>5040</v>
      </c>
      <c r="F242" s="49" t="s">
        <v>33290</v>
      </c>
      <c r="H242" s="49" t="s">
        <v>33291</v>
      </c>
      <c r="O242" s="49" t="s">
        <v>33292</v>
      </c>
      <c r="P242" s="49" t="s">
        <v>33293</v>
      </c>
      <c r="Q242" s="49" t="s">
        <v>33294</v>
      </c>
      <c r="R242" s="49" t="s">
        <v>33295</v>
      </c>
      <c r="S242" s="49" t="s">
        <v>33296</v>
      </c>
      <c r="T242" s="49" t="s">
        <v>33297</v>
      </c>
      <c r="U242" s="49" t="s">
        <v>33298</v>
      </c>
    </row>
    <row r="243" spans="1:21" x14ac:dyDescent="0.2">
      <c r="A243" s="49" t="s">
        <v>30</v>
      </c>
      <c r="D243" s="49" t="s">
        <v>1050</v>
      </c>
      <c r="G243" s="49" t="s">
        <v>33299</v>
      </c>
      <c r="H243" s="49" t="s">
        <v>1051</v>
      </c>
      <c r="I243" s="49" t="s">
        <v>1052</v>
      </c>
      <c r="J243" s="49" t="s">
        <v>1053</v>
      </c>
      <c r="K243" s="49" t="s">
        <v>1054</v>
      </c>
      <c r="L243" s="49" t="s">
        <v>1055</v>
      </c>
      <c r="M243" s="49" t="s">
        <v>1056</v>
      </c>
      <c r="N243" s="49" t="s">
        <v>1057</v>
      </c>
      <c r="O243" s="49" t="s">
        <v>9061</v>
      </c>
      <c r="P243" s="49" t="s">
        <v>9062</v>
      </c>
      <c r="Q243" s="49" t="s">
        <v>9063</v>
      </c>
      <c r="R243" s="49" t="s">
        <v>9064</v>
      </c>
      <c r="S243" s="49" t="s">
        <v>9065</v>
      </c>
      <c r="T243" s="49" t="s">
        <v>9066</v>
      </c>
    </row>
    <row r="244" spans="1:21" x14ac:dyDescent="0.2">
      <c r="A244" s="49" t="s">
        <v>30</v>
      </c>
      <c r="D244" s="49" t="s">
        <v>2387</v>
      </c>
      <c r="G244" s="49" t="s">
        <v>15292</v>
      </c>
      <c r="H244" s="49" t="s">
        <v>2388</v>
      </c>
      <c r="I244" s="49" t="s">
        <v>2389</v>
      </c>
      <c r="J244" s="49" t="s">
        <v>2390</v>
      </c>
      <c r="K244" s="49" t="s">
        <v>2391</v>
      </c>
      <c r="L244" s="49" t="s">
        <v>2392</v>
      </c>
      <c r="M244" s="49" t="s">
        <v>2393</v>
      </c>
      <c r="N244" s="49" t="s">
        <v>2394</v>
      </c>
      <c r="O244" s="49" t="s">
        <v>9594</v>
      </c>
      <c r="P244" s="49" t="s">
        <v>9595</v>
      </c>
      <c r="Q244" s="49" t="s">
        <v>9596</v>
      </c>
      <c r="R244" s="49" t="s">
        <v>9597</v>
      </c>
      <c r="S244" s="49" t="s">
        <v>9598</v>
      </c>
      <c r="T244" s="49" t="s">
        <v>9599</v>
      </c>
    </row>
    <row r="245" spans="1:21" x14ac:dyDescent="0.2">
      <c r="A245" s="49" t="s">
        <v>30</v>
      </c>
    </row>
    <row r="246" spans="1:21" x14ac:dyDescent="0.2">
      <c r="A246" s="49" t="s">
        <v>30</v>
      </c>
      <c r="E246" s="49" t="s">
        <v>31</v>
      </c>
      <c r="F246" s="49" t="s">
        <v>31</v>
      </c>
      <c r="G246" s="49" t="s">
        <v>31</v>
      </c>
      <c r="J246" s="49" t="s">
        <v>31</v>
      </c>
      <c r="K246" s="49" t="s">
        <v>31</v>
      </c>
      <c r="L246" s="49" t="s">
        <v>31</v>
      </c>
      <c r="M246" s="49" t="s">
        <v>31</v>
      </c>
    </row>
    <row r="247" spans="1:21" x14ac:dyDescent="0.2">
      <c r="A247" s="49" t="s">
        <v>30</v>
      </c>
      <c r="D247" s="49" t="s">
        <v>33300</v>
      </c>
      <c r="E247" s="49" t="s">
        <v>5091</v>
      </c>
      <c r="F247" s="49" t="s">
        <v>33301</v>
      </c>
      <c r="H247" s="49" t="s">
        <v>33302</v>
      </c>
      <c r="O247" s="49" t="s">
        <v>33303</v>
      </c>
      <c r="P247" s="49" t="s">
        <v>33304</v>
      </c>
      <c r="Q247" s="49" t="s">
        <v>33305</v>
      </c>
      <c r="R247" s="49" t="s">
        <v>33306</v>
      </c>
      <c r="S247" s="49" t="s">
        <v>33307</v>
      </c>
      <c r="T247" s="49" t="s">
        <v>33308</v>
      </c>
      <c r="U247" s="49" t="s">
        <v>33309</v>
      </c>
    </row>
    <row r="248" spans="1:21" x14ac:dyDescent="0.2">
      <c r="A248" s="49" t="s">
        <v>30</v>
      </c>
      <c r="D248" s="49" t="s">
        <v>2699</v>
      </c>
      <c r="G248" s="49" t="s">
        <v>33310</v>
      </c>
      <c r="H248" s="49" t="s">
        <v>2700</v>
      </c>
      <c r="I248" s="49" t="s">
        <v>2701</v>
      </c>
      <c r="J248" s="49" t="s">
        <v>2702</v>
      </c>
      <c r="K248" s="49" t="s">
        <v>2703</v>
      </c>
      <c r="L248" s="49" t="s">
        <v>2704</v>
      </c>
      <c r="M248" s="49" t="s">
        <v>2705</v>
      </c>
      <c r="N248" s="49" t="s">
        <v>2706</v>
      </c>
      <c r="O248" s="49" t="s">
        <v>9073</v>
      </c>
      <c r="P248" s="49" t="s">
        <v>9074</v>
      </c>
      <c r="Q248" s="49" t="s">
        <v>9075</v>
      </c>
      <c r="R248" s="49" t="s">
        <v>9076</v>
      </c>
      <c r="S248" s="49" t="s">
        <v>9077</v>
      </c>
      <c r="T248" s="49" t="s">
        <v>9078</v>
      </c>
    </row>
    <row r="249" spans="1:21" x14ac:dyDescent="0.2">
      <c r="A249" s="49" t="s">
        <v>30</v>
      </c>
    </row>
    <row r="250" spans="1:21" x14ac:dyDescent="0.2">
      <c r="A250" s="49" t="s">
        <v>30</v>
      </c>
      <c r="E250" s="49" t="s">
        <v>31</v>
      </c>
      <c r="F250" s="49" t="s">
        <v>31</v>
      </c>
      <c r="G250" s="49" t="s">
        <v>31</v>
      </c>
      <c r="J250" s="49" t="s">
        <v>31</v>
      </c>
      <c r="K250" s="49" t="s">
        <v>31</v>
      </c>
      <c r="L250" s="49" t="s">
        <v>31</v>
      </c>
      <c r="M250" s="49" t="s">
        <v>31</v>
      </c>
    </row>
    <row r="251" spans="1:21" x14ac:dyDescent="0.2">
      <c r="A251" s="49" t="s">
        <v>30</v>
      </c>
      <c r="D251" s="49" t="s">
        <v>9079</v>
      </c>
      <c r="E251" s="49" t="s">
        <v>5100</v>
      </c>
      <c r="F251" s="49" t="s">
        <v>9080</v>
      </c>
      <c r="H251" s="49" t="s">
        <v>9081</v>
      </c>
      <c r="O251" s="49" t="s">
        <v>9082</v>
      </c>
      <c r="P251" s="49" t="s">
        <v>9083</v>
      </c>
      <c r="Q251" s="49" t="s">
        <v>9084</v>
      </c>
      <c r="R251" s="49" t="s">
        <v>9085</v>
      </c>
      <c r="S251" s="49" t="s">
        <v>9086</v>
      </c>
      <c r="T251" s="49" t="s">
        <v>9087</v>
      </c>
      <c r="U251" s="49" t="s">
        <v>9088</v>
      </c>
    </row>
    <row r="252" spans="1:21" x14ac:dyDescent="0.2">
      <c r="A252" s="49" t="s">
        <v>30</v>
      </c>
      <c r="D252" s="49" t="s">
        <v>1074</v>
      </c>
      <c r="G252" s="49" t="s">
        <v>9089</v>
      </c>
      <c r="H252" s="49" t="s">
        <v>1075</v>
      </c>
      <c r="I252" s="49" t="s">
        <v>1076</v>
      </c>
      <c r="J252" s="49" t="s">
        <v>1077</v>
      </c>
      <c r="K252" s="49" t="s">
        <v>1078</v>
      </c>
      <c r="L252" s="49" t="s">
        <v>1079</v>
      </c>
      <c r="M252" s="49" t="s">
        <v>1080</v>
      </c>
      <c r="N252" s="49" t="s">
        <v>1081</v>
      </c>
      <c r="O252" s="49" t="s">
        <v>9090</v>
      </c>
      <c r="P252" s="49" t="s">
        <v>9091</v>
      </c>
      <c r="Q252" s="49" t="s">
        <v>9092</v>
      </c>
      <c r="R252" s="49" t="s">
        <v>9093</v>
      </c>
      <c r="S252" s="49" t="s">
        <v>9094</v>
      </c>
      <c r="T252" s="49" t="s">
        <v>9095</v>
      </c>
    </row>
    <row r="253" spans="1:21" x14ac:dyDescent="0.2">
      <c r="A253" s="49" t="s">
        <v>30</v>
      </c>
    </row>
    <row r="254" spans="1:21" x14ac:dyDescent="0.2">
      <c r="A254" s="49" t="s">
        <v>30</v>
      </c>
      <c r="E254" s="49" t="s">
        <v>31</v>
      </c>
      <c r="F254" s="49" t="s">
        <v>31</v>
      </c>
      <c r="G254" s="49" t="s">
        <v>31</v>
      </c>
      <c r="J254" s="49" t="s">
        <v>31</v>
      </c>
      <c r="K254" s="49" t="s">
        <v>31</v>
      </c>
      <c r="L254" s="49" t="s">
        <v>31</v>
      </c>
      <c r="M254" s="49" t="s">
        <v>31</v>
      </c>
    </row>
    <row r="255" spans="1:21" x14ac:dyDescent="0.2">
      <c r="A255" s="49" t="s">
        <v>30</v>
      </c>
      <c r="D255" s="49" t="s">
        <v>9096</v>
      </c>
      <c r="E255" s="49" t="s">
        <v>5115</v>
      </c>
      <c r="F255" s="49" t="s">
        <v>9097</v>
      </c>
      <c r="H255" s="49" t="s">
        <v>9098</v>
      </c>
      <c r="O255" s="49" t="s">
        <v>33311</v>
      </c>
      <c r="P255" s="49" t="s">
        <v>33312</v>
      </c>
      <c r="Q255" s="49" t="s">
        <v>33313</v>
      </c>
      <c r="R255" s="49" t="s">
        <v>33314</v>
      </c>
      <c r="S255" s="49" t="s">
        <v>33315</v>
      </c>
      <c r="T255" s="49" t="s">
        <v>33316</v>
      </c>
      <c r="U255" s="49" t="s">
        <v>33317</v>
      </c>
    </row>
    <row r="256" spans="1:21" x14ac:dyDescent="0.2">
      <c r="A256" s="49" t="s">
        <v>30</v>
      </c>
      <c r="D256" s="49" t="s">
        <v>2707</v>
      </c>
      <c r="G256" s="49" t="s">
        <v>9099</v>
      </c>
      <c r="H256" s="49" t="s">
        <v>2708</v>
      </c>
      <c r="I256" s="49" t="s">
        <v>2709</v>
      </c>
      <c r="J256" s="49" t="s">
        <v>2710</v>
      </c>
      <c r="K256" s="49" t="s">
        <v>2711</v>
      </c>
      <c r="L256" s="49" t="s">
        <v>2712</v>
      </c>
      <c r="M256" s="49" t="s">
        <v>2713</v>
      </c>
      <c r="N256" s="49" t="s">
        <v>2714</v>
      </c>
      <c r="O256" s="49" t="s">
        <v>9100</v>
      </c>
      <c r="P256" s="49" t="s">
        <v>9101</v>
      </c>
      <c r="Q256" s="49" t="s">
        <v>9102</v>
      </c>
      <c r="R256" s="49" t="s">
        <v>9103</v>
      </c>
      <c r="S256" s="49" t="s">
        <v>9104</v>
      </c>
      <c r="T256" s="49" t="s">
        <v>9105</v>
      </c>
    </row>
    <row r="257" spans="1:21" x14ac:dyDescent="0.2">
      <c r="A257" s="49" t="s">
        <v>30</v>
      </c>
      <c r="D257" s="49" t="s">
        <v>1090</v>
      </c>
      <c r="G257" s="49" t="s">
        <v>15372</v>
      </c>
      <c r="H257" s="49" t="s">
        <v>1091</v>
      </c>
      <c r="I257" s="49" t="s">
        <v>1092</v>
      </c>
      <c r="J257" s="49" t="s">
        <v>1093</v>
      </c>
      <c r="K257" s="49" t="s">
        <v>1094</v>
      </c>
      <c r="L257" s="49" t="s">
        <v>1095</v>
      </c>
      <c r="M257" s="49" t="s">
        <v>1096</v>
      </c>
      <c r="N257" s="49" t="s">
        <v>1097</v>
      </c>
      <c r="O257" s="49" t="s">
        <v>33318</v>
      </c>
      <c r="P257" s="49" t="s">
        <v>33319</v>
      </c>
      <c r="Q257" s="49" t="s">
        <v>33320</v>
      </c>
      <c r="R257" s="49" t="s">
        <v>33321</v>
      </c>
      <c r="S257" s="49" t="s">
        <v>33322</v>
      </c>
      <c r="T257" s="49" t="s">
        <v>33323</v>
      </c>
    </row>
    <row r="258" spans="1:21" x14ac:dyDescent="0.2">
      <c r="A258" s="49" t="s">
        <v>30</v>
      </c>
    </row>
    <row r="259" spans="1:21" x14ac:dyDescent="0.2">
      <c r="A259" s="49" t="s">
        <v>30</v>
      </c>
      <c r="E259" s="49" t="s">
        <v>31</v>
      </c>
      <c r="F259" s="49" t="s">
        <v>31</v>
      </c>
      <c r="G259" s="49" t="s">
        <v>31</v>
      </c>
      <c r="J259" s="49" t="s">
        <v>31</v>
      </c>
      <c r="K259" s="49" t="s">
        <v>31</v>
      </c>
      <c r="L259" s="49" t="s">
        <v>31</v>
      </c>
      <c r="M259" s="49" t="s">
        <v>31</v>
      </c>
    </row>
    <row r="260" spans="1:21" x14ac:dyDescent="0.2">
      <c r="A260" s="49" t="s">
        <v>30</v>
      </c>
      <c r="D260" s="49" t="s">
        <v>10164</v>
      </c>
      <c r="E260" s="49" t="s">
        <v>5130</v>
      </c>
      <c r="F260" s="49" t="s">
        <v>10165</v>
      </c>
      <c r="H260" s="49" t="s">
        <v>10166</v>
      </c>
      <c r="O260" s="49" t="s">
        <v>33324</v>
      </c>
      <c r="P260" s="49" t="s">
        <v>33325</v>
      </c>
      <c r="Q260" s="49" t="s">
        <v>33326</v>
      </c>
      <c r="R260" s="49" t="s">
        <v>33327</v>
      </c>
      <c r="S260" s="49" t="s">
        <v>33328</v>
      </c>
      <c r="T260" s="49" t="s">
        <v>33329</v>
      </c>
      <c r="U260" s="49" t="s">
        <v>33330</v>
      </c>
    </row>
    <row r="261" spans="1:21" x14ac:dyDescent="0.2">
      <c r="A261" s="49" t="s">
        <v>30</v>
      </c>
      <c r="D261" s="49" t="s">
        <v>2121</v>
      </c>
      <c r="G261" s="49" t="s">
        <v>33331</v>
      </c>
      <c r="H261" s="49" t="s">
        <v>2122</v>
      </c>
      <c r="I261" s="49" t="s">
        <v>2123</v>
      </c>
      <c r="J261" s="49" t="s">
        <v>2124</v>
      </c>
      <c r="K261" s="49" t="s">
        <v>2125</v>
      </c>
      <c r="L261" s="49" t="s">
        <v>2126</v>
      </c>
      <c r="M261" s="49" t="s">
        <v>2127</v>
      </c>
      <c r="N261" s="49" t="s">
        <v>2128</v>
      </c>
      <c r="O261" s="49" t="s">
        <v>10167</v>
      </c>
      <c r="P261" s="49" t="s">
        <v>10168</v>
      </c>
      <c r="Q261" s="49" t="s">
        <v>10169</v>
      </c>
      <c r="R261" s="49" t="s">
        <v>10170</v>
      </c>
      <c r="S261" s="49" t="s">
        <v>10171</v>
      </c>
      <c r="T261" s="49" t="s">
        <v>10172</v>
      </c>
    </row>
    <row r="262" spans="1:21" x14ac:dyDescent="0.2">
      <c r="A262" s="49" t="s">
        <v>30</v>
      </c>
    </row>
    <row r="263" spans="1:21" x14ac:dyDescent="0.2">
      <c r="A263" s="49" t="s">
        <v>30</v>
      </c>
      <c r="E263" s="49" t="s">
        <v>31</v>
      </c>
      <c r="F263" s="49" t="s">
        <v>31</v>
      </c>
      <c r="G263" s="49" t="s">
        <v>31</v>
      </c>
      <c r="J263" s="49" t="s">
        <v>31</v>
      </c>
      <c r="K263" s="49" t="s">
        <v>31</v>
      </c>
      <c r="L263" s="49" t="s">
        <v>31</v>
      </c>
      <c r="M263" s="49" t="s">
        <v>31</v>
      </c>
    </row>
    <row r="264" spans="1:21" x14ac:dyDescent="0.2">
      <c r="A264" s="49" t="s">
        <v>30</v>
      </c>
      <c r="D264" s="49" t="s">
        <v>13438</v>
      </c>
      <c r="E264" s="49" t="s">
        <v>5159</v>
      </c>
      <c r="F264" s="49" t="s">
        <v>13439</v>
      </c>
      <c r="H264" s="49" t="s">
        <v>13440</v>
      </c>
      <c r="O264" s="49" t="s">
        <v>32546</v>
      </c>
      <c r="P264" s="49" t="s">
        <v>32547</v>
      </c>
      <c r="Q264" s="49" t="s">
        <v>32548</v>
      </c>
      <c r="R264" s="49" t="s">
        <v>32549</v>
      </c>
      <c r="S264" s="49" t="s">
        <v>32550</v>
      </c>
      <c r="T264" s="49" t="s">
        <v>32551</v>
      </c>
      <c r="U264" s="49" t="s">
        <v>32552</v>
      </c>
    </row>
    <row r="265" spans="1:21" x14ac:dyDescent="0.2">
      <c r="A265" s="49" t="s">
        <v>30</v>
      </c>
      <c r="D265" s="49" t="s">
        <v>1130</v>
      </c>
      <c r="G265" s="49" t="s">
        <v>13441</v>
      </c>
      <c r="H265" s="49" t="s">
        <v>1131</v>
      </c>
      <c r="I265" s="49" t="s">
        <v>1132</v>
      </c>
      <c r="J265" s="49" t="s">
        <v>1133</v>
      </c>
      <c r="K265" s="49" t="s">
        <v>1134</v>
      </c>
      <c r="L265" s="49" t="s">
        <v>1135</v>
      </c>
      <c r="M265" s="49" t="s">
        <v>1136</v>
      </c>
      <c r="N265" s="49" t="s">
        <v>1137</v>
      </c>
      <c r="O265" s="49" t="s">
        <v>13442</v>
      </c>
      <c r="P265" s="49" t="s">
        <v>13443</v>
      </c>
      <c r="Q265" s="49" t="s">
        <v>13444</v>
      </c>
      <c r="R265" s="49" t="s">
        <v>13445</v>
      </c>
      <c r="S265" s="49" t="s">
        <v>13446</v>
      </c>
      <c r="T265" s="49" t="s">
        <v>13447</v>
      </c>
    </row>
    <row r="266" spans="1:21" x14ac:dyDescent="0.2">
      <c r="A266" s="49" t="s">
        <v>30</v>
      </c>
      <c r="D266" s="49" t="s">
        <v>2395</v>
      </c>
      <c r="G266" s="49" t="s">
        <v>15445</v>
      </c>
      <c r="H266" s="49" t="s">
        <v>2396</v>
      </c>
      <c r="I266" s="49" t="s">
        <v>2397</v>
      </c>
      <c r="J266" s="49" t="s">
        <v>2398</v>
      </c>
      <c r="K266" s="49" t="s">
        <v>2399</v>
      </c>
      <c r="L266" s="49" t="s">
        <v>2400</v>
      </c>
      <c r="M266" s="49" t="s">
        <v>2401</v>
      </c>
      <c r="N266" s="49" t="s">
        <v>2402</v>
      </c>
      <c r="O266" s="49" t="s">
        <v>9122</v>
      </c>
      <c r="P266" s="49" t="s">
        <v>9123</v>
      </c>
      <c r="Q266" s="49" t="s">
        <v>9124</v>
      </c>
      <c r="R266" s="49" t="s">
        <v>9125</v>
      </c>
      <c r="S266" s="49" t="s">
        <v>9126</v>
      </c>
      <c r="T266" s="49" t="s">
        <v>9127</v>
      </c>
    </row>
    <row r="267" spans="1:21" x14ac:dyDescent="0.2">
      <c r="A267" s="49" t="s">
        <v>30</v>
      </c>
      <c r="D267" s="49" t="s">
        <v>14373</v>
      </c>
      <c r="G267" s="49" t="s">
        <v>15446</v>
      </c>
      <c r="H267" s="49" t="s">
        <v>31704</v>
      </c>
      <c r="I267" s="49" t="s">
        <v>31705</v>
      </c>
      <c r="J267" s="49" t="s">
        <v>31742</v>
      </c>
      <c r="K267" s="49" t="s">
        <v>31743</v>
      </c>
      <c r="L267" s="49" t="s">
        <v>14375</v>
      </c>
      <c r="M267" s="49" t="s">
        <v>14376</v>
      </c>
      <c r="N267" s="49" t="s">
        <v>14377</v>
      </c>
      <c r="O267" s="49" t="s">
        <v>33008</v>
      </c>
      <c r="P267" s="49" t="s">
        <v>33009</v>
      </c>
      <c r="Q267" s="49" t="s">
        <v>33010</v>
      </c>
      <c r="R267" s="49" t="s">
        <v>33011</v>
      </c>
      <c r="S267" s="49" t="s">
        <v>33012</v>
      </c>
      <c r="T267" s="49" t="s">
        <v>33013</v>
      </c>
    </row>
    <row r="268" spans="1:21" x14ac:dyDescent="0.2">
      <c r="A268" s="49" t="s">
        <v>30</v>
      </c>
    </row>
    <row r="269" spans="1:21" x14ac:dyDescent="0.2">
      <c r="A269" s="49" t="s">
        <v>30</v>
      </c>
      <c r="E269" s="49" t="s">
        <v>31</v>
      </c>
      <c r="F269" s="49" t="s">
        <v>31</v>
      </c>
      <c r="G269" s="49" t="s">
        <v>31</v>
      </c>
      <c r="J269" s="49" t="s">
        <v>31</v>
      </c>
      <c r="K269" s="49" t="s">
        <v>31</v>
      </c>
      <c r="L269" s="49" t="s">
        <v>31</v>
      </c>
      <c r="M269" s="49" t="s">
        <v>31</v>
      </c>
    </row>
    <row r="270" spans="1:21" x14ac:dyDescent="0.2">
      <c r="A270" s="49" t="s">
        <v>30</v>
      </c>
      <c r="D270" s="49" t="s">
        <v>32553</v>
      </c>
      <c r="E270" s="49" t="s">
        <v>5174</v>
      </c>
      <c r="F270" s="49" t="s">
        <v>32554</v>
      </c>
      <c r="H270" s="49" t="s">
        <v>32555</v>
      </c>
      <c r="O270" s="49" t="s">
        <v>33332</v>
      </c>
      <c r="P270" s="49" t="s">
        <v>33333</v>
      </c>
      <c r="Q270" s="49" t="s">
        <v>33334</v>
      </c>
      <c r="R270" s="49" t="s">
        <v>33335</v>
      </c>
      <c r="S270" s="49" t="s">
        <v>33336</v>
      </c>
      <c r="T270" s="49" t="s">
        <v>33337</v>
      </c>
      <c r="U270" s="49" t="s">
        <v>33338</v>
      </c>
    </row>
    <row r="271" spans="1:21" x14ac:dyDescent="0.2">
      <c r="A271" s="49" t="s">
        <v>30</v>
      </c>
      <c r="D271" s="49" t="s">
        <v>4791</v>
      </c>
      <c r="G271" s="49" t="s">
        <v>32563</v>
      </c>
      <c r="H271" s="49" t="s">
        <v>4792</v>
      </c>
      <c r="I271" s="49" t="s">
        <v>4793</v>
      </c>
      <c r="J271" s="49" t="s">
        <v>4794</v>
      </c>
      <c r="K271" s="49" t="s">
        <v>4795</v>
      </c>
      <c r="L271" s="49" t="s">
        <v>4796</v>
      </c>
      <c r="M271" s="49" t="s">
        <v>4797</v>
      </c>
      <c r="N271" s="49" t="s">
        <v>4798</v>
      </c>
      <c r="O271" s="49" t="s">
        <v>9134</v>
      </c>
      <c r="P271" s="49" t="s">
        <v>9135</v>
      </c>
      <c r="Q271" s="49" t="s">
        <v>9136</v>
      </c>
      <c r="R271" s="49" t="s">
        <v>9137</v>
      </c>
      <c r="S271" s="49" t="s">
        <v>9138</v>
      </c>
      <c r="T271" s="49" t="s">
        <v>9139</v>
      </c>
    </row>
    <row r="272" spans="1:21" x14ac:dyDescent="0.2">
      <c r="A272" s="49" t="s">
        <v>30</v>
      </c>
      <c r="D272" s="49" t="s">
        <v>1138</v>
      </c>
      <c r="G272" s="49" t="s">
        <v>15492</v>
      </c>
      <c r="H272" s="49" t="s">
        <v>1139</v>
      </c>
      <c r="I272" s="49" t="s">
        <v>1140</v>
      </c>
      <c r="J272" s="49" t="s">
        <v>1141</v>
      </c>
      <c r="K272" s="49" t="s">
        <v>1142</v>
      </c>
      <c r="L272" s="49" t="s">
        <v>1143</v>
      </c>
      <c r="M272" s="49" t="s">
        <v>1144</v>
      </c>
      <c r="N272" s="49" t="s">
        <v>1145</v>
      </c>
      <c r="O272" s="49" t="s">
        <v>9140</v>
      </c>
      <c r="P272" s="49" t="s">
        <v>9141</v>
      </c>
      <c r="Q272" s="49" t="s">
        <v>9142</v>
      </c>
      <c r="R272" s="49" t="s">
        <v>9143</v>
      </c>
      <c r="S272" s="49" t="s">
        <v>9144</v>
      </c>
      <c r="T272" s="49" t="s">
        <v>9145</v>
      </c>
    </row>
    <row r="273" spans="1:21" x14ac:dyDescent="0.2">
      <c r="A273" s="49" t="s">
        <v>30</v>
      </c>
      <c r="D273" s="49" t="s">
        <v>1146</v>
      </c>
      <c r="G273" s="49" t="s">
        <v>15493</v>
      </c>
      <c r="H273" s="49" t="s">
        <v>1147</v>
      </c>
      <c r="I273" s="49" t="s">
        <v>1148</v>
      </c>
      <c r="J273" s="49" t="s">
        <v>1149</v>
      </c>
      <c r="K273" s="49" t="s">
        <v>1150</v>
      </c>
      <c r="L273" s="49" t="s">
        <v>1151</v>
      </c>
      <c r="M273" s="49" t="s">
        <v>1152</v>
      </c>
      <c r="N273" s="49" t="s">
        <v>1153</v>
      </c>
      <c r="O273" s="49" t="s">
        <v>33002</v>
      </c>
      <c r="P273" s="49" t="s">
        <v>33003</v>
      </c>
      <c r="Q273" s="49" t="s">
        <v>33004</v>
      </c>
      <c r="R273" s="49" t="s">
        <v>33005</v>
      </c>
      <c r="S273" s="49" t="s">
        <v>33006</v>
      </c>
      <c r="T273" s="49" t="s">
        <v>33007</v>
      </c>
    </row>
    <row r="274" spans="1:21" x14ac:dyDescent="0.2">
      <c r="A274" s="49" t="s">
        <v>30</v>
      </c>
    </row>
    <row r="275" spans="1:21" x14ac:dyDescent="0.2">
      <c r="A275" s="49" t="s">
        <v>30</v>
      </c>
      <c r="E275" s="49" t="s">
        <v>31</v>
      </c>
      <c r="F275" s="49" t="s">
        <v>31</v>
      </c>
      <c r="G275" s="49" t="s">
        <v>31</v>
      </c>
      <c r="J275" s="49" t="s">
        <v>31</v>
      </c>
      <c r="K275" s="49" t="s">
        <v>31</v>
      </c>
      <c r="L275" s="49" t="s">
        <v>31</v>
      </c>
      <c r="M275" s="49" t="s">
        <v>31</v>
      </c>
    </row>
    <row r="276" spans="1:21" x14ac:dyDescent="0.2">
      <c r="A276" s="49" t="s">
        <v>30</v>
      </c>
      <c r="D276" s="49" t="s">
        <v>33339</v>
      </c>
      <c r="E276" s="49" t="s">
        <v>5189</v>
      </c>
      <c r="F276" s="49" t="s">
        <v>33340</v>
      </c>
      <c r="H276" s="49" t="s">
        <v>33341</v>
      </c>
      <c r="O276" s="49" t="s">
        <v>33342</v>
      </c>
      <c r="P276" s="49" t="s">
        <v>33343</v>
      </c>
      <c r="Q276" s="49" t="s">
        <v>33344</v>
      </c>
      <c r="R276" s="49" t="s">
        <v>33345</v>
      </c>
      <c r="S276" s="49" t="s">
        <v>33346</v>
      </c>
      <c r="T276" s="49" t="s">
        <v>33347</v>
      </c>
      <c r="U276" s="49" t="s">
        <v>33348</v>
      </c>
    </row>
    <row r="277" spans="1:21" x14ac:dyDescent="0.2">
      <c r="A277" s="49" t="s">
        <v>30</v>
      </c>
      <c r="D277" s="49" t="s">
        <v>1170</v>
      </c>
      <c r="G277" s="49" t="s">
        <v>33349</v>
      </c>
      <c r="H277" s="49" t="s">
        <v>1171</v>
      </c>
      <c r="I277" s="49" t="s">
        <v>1172</v>
      </c>
      <c r="J277" s="49" t="s">
        <v>1173</v>
      </c>
      <c r="K277" s="49" t="s">
        <v>1174</v>
      </c>
      <c r="L277" s="49" t="s">
        <v>1175</v>
      </c>
      <c r="M277" s="49" t="s">
        <v>1176</v>
      </c>
      <c r="N277" s="49" t="s">
        <v>1177</v>
      </c>
      <c r="O277" s="49" t="s">
        <v>9660</v>
      </c>
      <c r="P277" s="49" t="s">
        <v>9661</v>
      </c>
      <c r="Q277" s="49" t="s">
        <v>9662</v>
      </c>
      <c r="R277" s="49" t="s">
        <v>9663</v>
      </c>
      <c r="S277" s="49" t="s">
        <v>9664</v>
      </c>
      <c r="T277" s="49" t="s">
        <v>9665</v>
      </c>
    </row>
    <row r="278" spans="1:21" x14ac:dyDescent="0.2">
      <c r="A278" s="49" t="s">
        <v>30</v>
      </c>
      <c r="D278" s="49" t="s">
        <v>2414</v>
      </c>
      <c r="G278" s="49" t="s">
        <v>15539</v>
      </c>
      <c r="H278" s="49" t="s">
        <v>2415</v>
      </c>
      <c r="I278" s="49" t="s">
        <v>2416</v>
      </c>
      <c r="J278" s="49" t="s">
        <v>2417</v>
      </c>
      <c r="K278" s="49" t="s">
        <v>2418</v>
      </c>
      <c r="L278" s="49" t="s">
        <v>2419</v>
      </c>
      <c r="M278" s="49" t="s">
        <v>2420</v>
      </c>
      <c r="N278" s="49" t="s">
        <v>2421</v>
      </c>
      <c r="O278" s="49" t="s">
        <v>9666</v>
      </c>
      <c r="P278" s="49" t="s">
        <v>9667</v>
      </c>
      <c r="Q278" s="49" t="s">
        <v>9668</v>
      </c>
      <c r="R278" s="49" t="s">
        <v>9669</v>
      </c>
      <c r="S278" s="49" t="s">
        <v>9670</v>
      </c>
      <c r="T278" s="49" t="s">
        <v>9671</v>
      </c>
    </row>
    <row r="279" spans="1:21" x14ac:dyDescent="0.2">
      <c r="A279" s="49" t="s">
        <v>30</v>
      </c>
    </row>
    <row r="280" spans="1:21" x14ac:dyDescent="0.2">
      <c r="A280" s="49" t="s">
        <v>30</v>
      </c>
      <c r="E280" s="49" t="s">
        <v>31</v>
      </c>
      <c r="F280" s="49" t="s">
        <v>31</v>
      </c>
      <c r="G280" s="49" t="s">
        <v>31</v>
      </c>
      <c r="J280" s="49" t="s">
        <v>31</v>
      </c>
      <c r="K280" s="49" t="s">
        <v>31</v>
      </c>
      <c r="L280" s="49" t="s">
        <v>31</v>
      </c>
      <c r="M280" s="49" t="s">
        <v>31</v>
      </c>
    </row>
    <row r="281" spans="1:21" x14ac:dyDescent="0.2">
      <c r="A281" s="49" t="s">
        <v>30</v>
      </c>
      <c r="D281" s="49" t="s">
        <v>10173</v>
      </c>
      <c r="E281" s="49" t="s">
        <v>5226</v>
      </c>
      <c r="F281" s="49" t="s">
        <v>10174</v>
      </c>
      <c r="H281" s="49" t="s">
        <v>10175</v>
      </c>
      <c r="O281" s="49" t="s">
        <v>33350</v>
      </c>
      <c r="P281" s="49" t="s">
        <v>33351</v>
      </c>
      <c r="Q281" s="49" t="s">
        <v>33352</v>
      </c>
      <c r="R281" s="49" t="s">
        <v>33353</v>
      </c>
      <c r="S281" s="49" t="s">
        <v>33354</v>
      </c>
      <c r="T281" s="49" t="s">
        <v>33355</v>
      </c>
      <c r="U281" s="49" t="s">
        <v>33356</v>
      </c>
    </row>
    <row r="282" spans="1:21" x14ac:dyDescent="0.2">
      <c r="A282" s="49" t="s">
        <v>30</v>
      </c>
      <c r="D282" s="49" t="s">
        <v>4814</v>
      </c>
      <c r="G282" s="49" t="s">
        <v>10176</v>
      </c>
      <c r="H282" s="49" t="s">
        <v>4815</v>
      </c>
      <c r="I282" s="49" t="s">
        <v>4816</v>
      </c>
      <c r="J282" s="49" t="s">
        <v>4817</v>
      </c>
      <c r="K282" s="49" t="s">
        <v>4818</v>
      </c>
      <c r="L282" s="49" t="s">
        <v>4819</v>
      </c>
      <c r="M282" s="49" t="s">
        <v>4820</v>
      </c>
      <c r="N282" s="49" t="s">
        <v>4821</v>
      </c>
      <c r="O282" s="49" t="s">
        <v>10177</v>
      </c>
      <c r="P282" s="49" t="s">
        <v>10178</v>
      </c>
      <c r="Q282" s="49" t="s">
        <v>10179</v>
      </c>
      <c r="R282" s="49" t="s">
        <v>10180</v>
      </c>
      <c r="S282" s="49" t="s">
        <v>10181</v>
      </c>
      <c r="T282" s="49" t="s">
        <v>10182</v>
      </c>
    </row>
    <row r="283" spans="1:21" x14ac:dyDescent="0.2">
      <c r="A283" s="49" t="s">
        <v>30</v>
      </c>
      <c r="D283" s="49" t="s">
        <v>4822</v>
      </c>
      <c r="G283" s="49" t="s">
        <v>15578</v>
      </c>
      <c r="H283" s="49" t="s">
        <v>4823</v>
      </c>
      <c r="I283" s="49" t="s">
        <v>4824</v>
      </c>
      <c r="J283" s="49" t="s">
        <v>4825</v>
      </c>
      <c r="K283" s="49" t="s">
        <v>4826</v>
      </c>
      <c r="L283" s="49" t="s">
        <v>4827</v>
      </c>
      <c r="M283" s="49" t="s">
        <v>4828</v>
      </c>
      <c r="N283" s="49" t="s">
        <v>4829</v>
      </c>
      <c r="O283" s="49" t="s">
        <v>9682</v>
      </c>
      <c r="P283" s="49" t="s">
        <v>9683</v>
      </c>
      <c r="Q283" s="49" t="s">
        <v>9684</v>
      </c>
      <c r="R283" s="49" t="s">
        <v>9685</v>
      </c>
      <c r="S283" s="49" t="s">
        <v>9686</v>
      </c>
      <c r="T283" s="49" t="s">
        <v>9687</v>
      </c>
    </row>
    <row r="284" spans="1:21" x14ac:dyDescent="0.2">
      <c r="A284" s="49" t="s">
        <v>30</v>
      </c>
    </row>
    <row r="285" spans="1:21" x14ac:dyDescent="0.2">
      <c r="A285" s="49" t="s">
        <v>30</v>
      </c>
      <c r="E285" s="49" t="s">
        <v>31</v>
      </c>
      <c r="F285" s="49" t="s">
        <v>31</v>
      </c>
      <c r="G285" s="49" t="s">
        <v>31</v>
      </c>
      <c r="J285" s="49" t="s">
        <v>31</v>
      </c>
      <c r="K285" s="49" t="s">
        <v>31</v>
      </c>
      <c r="L285" s="49" t="s">
        <v>31</v>
      </c>
      <c r="M285" s="49" t="s">
        <v>31</v>
      </c>
    </row>
    <row r="286" spans="1:21" x14ac:dyDescent="0.2">
      <c r="A286" s="49" t="s">
        <v>30</v>
      </c>
      <c r="D286" s="49" t="s">
        <v>32578</v>
      </c>
      <c r="E286" s="49" t="s">
        <v>5256</v>
      </c>
      <c r="F286" s="49" t="s">
        <v>32579</v>
      </c>
      <c r="H286" s="49" t="s">
        <v>32580</v>
      </c>
      <c r="O286" s="49" t="s">
        <v>33357</v>
      </c>
      <c r="P286" s="49" t="s">
        <v>33358</v>
      </c>
      <c r="Q286" s="49" t="s">
        <v>33359</v>
      </c>
      <c r="R286" s="49" t="s">
        <v>33360</v>
      </c>
      <c r="S286" s="49" t="s">
        <v>33361</v>
      </c>
      <c r="T286" s="49" t="s">
        <v>33362</v>
      </c>
      <c r="U286" s="49" t="s">
        <v>33363</v>
      </c>
    </row>
    <row r="287" spans="1:21" x14ac:dyDescent="0.2">
      <c r="A287" s="49" t="s">
        <v>30</v>
      </c>
      <c r="D287" s="49" t="s">
        <v>1178</v>
      </c>
      <c r="G287" s="49" t="s">
        <v>32588</v>
      </c>
      <c r="H287" s="49" t="s">
        <v>1179</v>
      </c>
      <c r="I287" s="49" t="s">
        <v>1180</v>
      </c>
      <c r="J287" s="49" t="s">
        <v>1181</v>
      </c>
      <c r="K287" s="49" t="s">
        <v>1182</v>
      </c>
      <c r="L287" s="49" t="s">
        <v>1183</v>
      </c>
      <c r="M287" s="49" t="s">
        <v>1184</v>
      </c>
      <c r="N287" s="49" t="s">
        <v>1185</v>
      </c>
      <c r="O287" s="49" t="s">
        <v>9688</v>
      </c>
      <c r="P287" s="49" t="s">
        <v>9689</v>
      </c>
      <c r="Q287" s="49" t="s">
        <v>9690</v>
      </c>
      <c r="R287" s="49" t="s">
        <v>9691</v>
      </c>
      <c r="S287" s="49" t="s">
        <v>9692</v>
      </c>
      <c r="T287" s="49" t="s">
        <v>9693</v>
      </c>
    </row>
    <row r="288" spans="1:21" x14ac:dyDescent="0.2">
      <c r="A288" s="49" t="s">
        <v>30</v>
      </c>
      <c r="D288" s="49" t="s">
        <v>1186</v>
      </c>
      <c r="G288" s="49" t="s">
        <v>15599</v>
      </c>
      <c r="H288" s="49" t="s">
        <v>1187</v>
      </c>
      <c r="I288" s="49" t="s">
        <v>1188</v>
      </c>
      <c r="J288" s="49" t="s">
        <v>1189</v>
      </c>
      <c r="K288" s="49" t="s">
        <v>1190</v>
      </c>
      <c r="L288" s="49" t="s">
        <v>1191</v>
      </c>
      <c r="M288" s="49" t="s">
        <v>1192</v>
      </c>
      <c r="N288" s="49" t="s">
        <v>1193</v>
      </c>
      <c r="O288" s="49" t="s">
        <v>9198</v>
      </c>
      <c r="P288" s="49" t="s">
        <v>9199</v>
      </c>
      <c r="Q288" s="49" t="s">
        <v>9200</v>
      </c>
      <c r="R288" s="49" t="s">
        <v>9201</v>
      </c>
      <c r="S288" s="49" t="s">
        <v>9202</v>
      </c>
      <c r="T288" s="49" t="s">
        <v>9203</v>
      </c>
    </row>
    <row r="289" spans="1:21" x14ac:dyDescent="0.2">
      <c r="A289" s="49" t="s">
        <v>30</v>
      </c>
      <c r="D289" s="49" t="s">
        <v>1194</v>
      </c>
      <c r="G289" s="49" t="s">
        <v>15604</v>
      </c>
      <c r="H289" s="49" t="s">
        <v>1195</v>
      </c>
      <c r="I289" s="49" t="s">
        <v>1196</v>
      </c>
      <c r="J289" s="49" t="s">
        <v>1197</v>
      </c>
      <c r="K289" s="49" t="s">
        <v>1198</v>
      </c>
      <c r="L289" s="49" t="s">
        <v>1199</v>
      </c>
      <c r="M289" s="49" t="s">
        <v>1200</v>
      </c>
      <c r="N289" s="49" t="s">
        <v>1201</v>
      </c>
      <c r="O289" s="49" t="s">
        <v>9694</v>
      </c>
      <c r="P289" s="49" t="s">
        <v>9695</v>
      </c>
      <c r="Q289" s="49" t="s">
        <v>9696</v>
      </c>
      <c r="R289" s="49" t="s">
        <v>9697</v>
      </c>
      <c r="S289" s="49" t="s">
        <v>9698</v>
      </c>
      <c r="T289" s="49" t="s">
        <v>9699</v>
      </c>
    </row>
    <row r="290" spans="1:21" x14ac:dyDescent="0.2">
      <c r="A290" s="49" t="s">
        <v>30</v>
      </c>
    </row>
    <row r="291" spans="1:21" x14ac:dyDescent="0.2">
      <c r="A291" s="49" t="s">
        <v>30</v>
      </c>
      <c r="E291" s="49" t="s">
        <v>31</v>
      </c>
      <c r="F291" s="49" t="s">
        <v>31</v>
      </c>
      <c r="G291" s="49" t="s">
        <v>31</v>
      </c>
      <c r="J291" s="49" t="s">
        <v>31</v>
      </c>
      <c r="K291" s="49" t="s">
        <v>31</v>
      </c>
      <c r="L291" s="49" t="s">
        <v>31</v>
      </c>
      <c r="M291" s="49" t="s">
        <v>31</v>
      </c>
    </row>
    <row r="292" spans="1:21" x14ac:dyDescent="0.2">
      <c r="A292" s="49" t="s">
        <v>30</v>
      </c>
      <c r="D292" s="49" t="s">
        <v>9700</v>
      </c>
      <c r="E292" s="49" t="s">
        <v>5316</v>
      </c>
      <c r="F292" s="49" t="s">
        <v>9701</v>
      </c>
      <c r="H292" s="49" t="s">
        <v>9702</v>
      </c>
      <c r="O292" s="49" t="s">
        <v>33364</v>
      </c>
      <c r="P292" s="49" t="s">
        <v>33365</v>
      </c>
      <c r="Q292" s="49" t="s">
        <v>33366</v>
      </c>
      <c r="R292" s="49" t="s">
        <v>33367</v>
      </c>
      <c r="S292" s="49" t="s">
        <v>33368</v>
      </c>
      <c r="T292" s="49" t="s">
        <v>33369</v>
      </c>
      <c r="U292" s="49" t="s">
        <v>33370</v>
      </c>
    </row>
    <row r="293" spans="1:21" x14ac:dyDescent="0.2">
      <c r="A293" s="49" t="s">
        <v>30</v>
      </c>
      <c r="D293" s="49" t="s">
        <v>1202</v>
      </c>
      <c r="G293" s="49" t="s">
        <v>9710</v>
      </c>
      <c r="H293" s="49" t="s">
        <v>1203</v>
      </c>
      <c r="I293" s="49" t="s">
        <v>1204</v>
      </c>
      <c r="J293" s="49" t="s">
        <v>1205</v>
      </c>
      <c r="K293" s="49" t="s">
        <v>1206</v>
      </c>
      <c r="L293" s="49" t="s">
        <v>1207</v>
      </c>
      <c r="M293" s="49" t="s">
        <v>1208</v>
      </c>
      <c r="N293" s="49" t="s">
        <v>1209</v>
      </c>
      <c r="O293" s="49" t="s">
        <v>9711</v>
      </c>
      <c r="P293" s="49" t="s">
        <v>9712</v>
      </c>
      <c r="Q293" s="49" t="s">
        <v>9713</v>
      </c>
      <c r="R293" s="49" t="s">
        <v>9714</v>
      </c>
      <c r="S293" s="49" t="s">
        <v>9715</v>
      </c>
      <c r="T293" s="49" t="s">
        <v>9716</v>
      </c>
    </row>
    <row r="294" spans="1:21" x14ac:dyDescent="0.2">
      <c r="A294" s="49" t="s">
        <v>30</v>
      </c>
      <c r="D294" s="49" t="s">
        <v>1210</v>
      </c>
      <c r="G294" s="49" t="s">
        <v>15664</v>
      </c>
      <c r="H294" s="49" t="s">
        <v>1211</v>
      </c>
      <c r="I294" s="49" t="s">
        <v>1212</v>
      </c>
      <c r="J294" s="49" t="s">
        <v>1213</v>
      </c>
      <c r="K294" s="49" t="s">
        <v>1214</v>
      </c>
      <c r="L294" s="49" t="s">
        <v>1215</v>
      </c>
      <c r="M294" s="49" t="s">
        <v>1216</v>
      </c>
      <c r="N294" s="49" t="s">
        <v>1217</v>
      </c>
      <c r="O294" s="49" t="s">
        <v>10190</v>
      </c>
      <c r="P294" s="49" t="s">
        <v>10191</v>
      </c>
      <c r="Q294" s="49" t="s">
        <v>10192</v>
      </c>
      <c r="R294" s="49" t="s">
        <v>10193</v>
      </c>
      <c r="S294" s="49" t="s">
        <v>10194</v>
      </c>
      <c r="T294" s="49" t="s">
        <v>10195</v>
      </c>
    </row>
    <row r="295" spans="1:21" x14ac:dyDescent="0.2">
      <c r="A295" s="49" t="s">
        <v>30</v>
      </c>
    </row>
    <row r="296" spans="1:21" x14ac:dyDescent="0.2">
      <c r="A296" s="49" t="s">
        <v>30</v>
      </c>
      <c r="E296" s="49" t="s">
        <v>31</v>
      </c>
      <c r="F296" s="49" t="s">
        <v>31</v>
      </c>
      <c r="G296" s="49" t="s">
        <v>31</v>
      </c>
      <c r="J296" s="49" t="s">
        <v>31</v>
      </c>
      <c r="K296" s="49" t="s">
        <v>31</v>
      </c>
      <c r="L296" s="49" t="s">
        <v>31</v>
      </c>
      <c r="M296" s="49" t="s">
        <v>31</v>
      </c>
    </row>
    <row r="297" spans="1:21" x14ac:dyDescent="0.2">
      <c r="A297" s="49" t="s">
        <v>30</v>
      </c>
      <c r="D297" s="49" t="s">
        <v>33371</v>
      </c>
      <c r="E297" s="49" t="s">
        <v>15665</v>
      </c>
      <c r="F297" s="49" t="s">
        <v>33372</v>
      </c>
      <c r="H297" s="49" t="s">
        <v>33373</v>
      </c>
      <c r="O297" s="49" t="s">
        <v>33374</v>
      </c>
      <c r="P297" s="49" t="s">
        <v>33375</v>
      </c>
      <c r="Q297" s="49" t="s">
        <v>33376</v>
      </c>
      <c r="R297" s="49" t="s">
        <v>33377</v>
      </c>
      <c r="S297" s="49" t="s">
        <v>33378</v>
      </c>
      <c r="T297" s="49" t="s">
        <v>33379</v>
      </c>
      <c r="U297" s="49" t="s">
        <v>33380</v>
      </c>
    </row>
    <row r="298" spans="1:21" x14ac:dyDescent="0.2">
      <c r="A298" s="49" t="s">
        <v>30</v>
      </c>
      <c r="D298" s="49" t="s">
        <v>1218</v>
      </c>
      <c r="G298" s="49" t="s">
        <v>33381</v>
      </c>
      <c r="H298" s="49" t="s">
        <v>1219</v>
      </c>
      <c r="I298" s="49" t="s">
        <v>1220</v>
      </c>
      <c r="J298" s="49" t="s">
        <v>1221</v>
      </c>
      <c r="K298" s="49" t="s">
        <v>1222</v>
      </c>
      <c r="L298" s="49" t="s">
        <v>1223</v>
      </c>
      <c r="M298" s="49" t="s">
        <v>1224</v>
      </c>
      <c r="N298" s="49" t="s">
        <v>1225</v>
      </c>
      <c r="O298" s="49" t="s">
        <v>9724</v>
      </c>
      <c r="P298" s="49" t="s">
        <v>9725</v>
      </c>
      <c r="Q298" s="49" t="s">
        <v>9726</v>
      </c>
      <c r="R298" s="49" t="s">
        <v>9727</v>
      </c>
      <c r="S298" s="49" t="s">
        <v>9728</v>
      </c>
      <c r="T298" s="49" t="s">
        <v>9729</v>
      </c>
    </row>
    <row r="299" spans="1:21" x14ac:dyDescent="0.2">
      <c r="A299" s="49" t="s">
        <v>30</v>
      </c>
    </row>
    <row r="300" spans="1:21" x14ac:dyDescent="0.2">
      <c r="A300" s="49" t="s">
        <v>30</v>
      </c>
      <c r="E300" s="49" t="s">
        <v>31</v>
      </c>
      <c r="F300" s="49" t="s">
        <v>31</v>
      </c>
      <c r="G300" s="49" t="s">
        <v>31</v>
      </c>
      <c r="J300" s="49" t="s">
        <v>31</v>
      </c>
      <c r="K300" s="49" t="s">
        <v>31</v>
      </c>
      <c r="L300" s="49" t="s">
        <v>31</v>
      </c>
      <c r="M300" s="49" t="s">
        <v>31</v>
      </c>
    </row>
    <row r="301" spans="1:21" x14ac:dyDescent="0.2">
      <c r="A301" s="49" t="s">
        <v>30</v>
      </c>
      <c r="D301" s="49" t="s">
        <v>10812</v>
      </c>
      <c r="E301" s="49" t="s">
        <v>5331</v>
      </c>
      <c r="F301" s="49" t="s">
        <v>10813</v>
      </c>
      <c r="H301" s="49" t="s">
        <v>10814</v>
      </c>
      <c r="O301" s="49" t="s">
        <v>33382</v>
      </c>
      <c r="P301" s="49" t="s">
        <v>33383</v>
      </c>
      <c r="Q301" s="49" t="s">
        <v>33384</v>
      </c>
      <c r="R301" s="49" t="s">
        <v>33385</v>
      </c>
      <c r="S301" s="49" t="s">
        <v>33386</v>
      </c>
      <c r="T301" s="49" t="s">
        <v>33387</v>
      </c>
      <c r="U301" s="49" t="s">
        <v>33388</v>
      </c>
    </row>
    <row r="302" spans="1:21" x14ac:dyDescent="0.2">
      <c r="A302" s="49" t="s">
        <v>30</v>
      </c>
      <c r="D302" s="49" t="s">
        <v>2137</v>
      </c>
      <c r="G302" s="49" t="s">
        <v>13284</v>
      </c>
      <c r="H302" s="49" t="s">
        <v>2138</v>
      </c>
      <c r="I302" s="49" t="s">
        <v>2139</v>
      </c>
      <c r="J302" s="49" t="s">
        <v>2140</v>
      </c>
      <c r="K302" s="49" t="s">
        <v>2141</v>
      </c>
      <c r="L302" s="49" t="s">
        <v>2142</v>
      </c>
      <c r="M302" s="49" t="s">
        <v>2143</v>
      </c>
      <c r="N302" s="49" t="s">
        <v>2144</v>
      </c>
      <c r="O302" s="49" t="s">
        <v>10444</v>
      </c>
      <c r="P302" s="49" t="s">
        <v>10445</v>
      </c>
      <c r="Q302" s="49" t="s">
        <v>10446</v>
      </c>
      <c r="R302" s="49" t="s">
        <v>10447</v>
      </c>
      <c r="S302" s="49" t="s">
        <v>10448</v>
      </c>
      <c r="T302" s="49" t="s">
        <v>10449</v>
      </c>
    </row>
    <row r="303" spans="1:21" x14ac:dyDescent="0.2">
      <c r="A303" s="49" t="s">
        <v>30</v>
      </c>
      <c r="D303" s="49" t="s">
        <v>1226</v>
      </c>
      <c r="G303" s="49" t="s">
        <v>15714</v>
      </c>
      <c r="H303" s="49" t="s">
        <v>1227</v>
      </c>
      <c r="I303" s="49" t="s">
        <v>1228</v>
      </c>
      <c r="J303" s="49" t="s">
        <v>1229</v>
      </c>
      <c r="K303" s="49" t="s">
        <v>1230</v>
      </c>
      <c r="L303" s="49" t="s">
        <v>1231</v>
      </c>
      <c r="M303" s="49" t="s">
        <v>1232</v>
      </c>
      <c r="N303" s="49" t="s">
        <v>1233</v>
      </c>
      <c r="O303" s="49" t="s">
        <v>32996</v>
      </c>
      <c r="P303" s="49" t="s">
        <v>32997</v>
      </c>
      <c r="Q303" s="49" t="s">
        <v>32998</v>
      </c>
      <c r="R303" s="49" t="s">
        <v>32999</v>
      </c>
      <c r="S303" s="49" t="s">
        <v>33000</v>
      </c>
      <c r="T303" s="49" t="s">
        <v>33001</v>
      </c>
    </row>
    <row r="304" spans="1:21" x14ac:dyDescent="0.2">
      <c r="A304" s="49" t="s">
        <v>30</v>
      </c>
      <c r="D304" s="49" t="s">
        <v>1234</v>
      </c>
      <c r="G304" s="49" t="s">
        <v>15731</v>
      </c>
      <c r="H304" s="49" t="s">
        <v>1235</v>
      </c>
      <c r="I304" s="49" t="s">
        <v>1236</v>
      </c>
      <c r="J304" s="49" t="s">
        <v>1237</v>
      </c>
      <c r="K304" s="49" t="s">
        <v>1238</v>
      </c>
      <c r="L304" s="49" t="s">
        <v>1239</v>
      </c>
      <c r="M304" s="49" t="s">
        <v>1240</v>
      </c>
      <c r="N304" s="49" t="s">
        <v>1241</v>
      </c>
      <c r="O304" s="49" t="s">
        <v>9230</v>
      </c>
      <c r="P304" s="49" t="s">
        <v>9231</v>
      </c>
      <c r="Q304" s="49" t="s">
        <v>9232</v>
      </c>
      <c r="R304" s="49" t="s">
        <v>9233</v>
      </c>
      <c r="S304" s="49" t="s">
        <v>9234</v>
      </c>
      <c r="T304" s="49" t="s">
        <v>9235</v>
      </c>
    </row>
    <row r="305" spans="1:21" x14ac:dyDescent="0.2">
      <c r="A305" s="49" t="s">
        <v>30</v>
      </c>
    </row>
    <row r="306" spans="1:21" x14ac:dyDescent="0.2">
      <c r="A306" s="49" t="s">
        <v>30</v>
      </c>
      <c r="E306" s="49" t="s">
        <v>31</v>
      </c>
      <c r="F306" s="49" t="s">
        <v>31</v>
      </c>
      <c r="G306" s="49" t="s">
        <v>31</v>
      </c>
      <c r="J306" s="49" t="s">
        <v>31</v>
      </c>
      <c r="K306" s="49" t="s">
        <v>31</v>
      </c>
      <c r="L306" s="49" t="s">
        <v>31</v>
      </c>
      <c r="M306" s="49" t="s">
        <v>31</v>
      </c>
    </row>
    <row r="307" spans="1:21" x14ac:dyDescent="0.2">
      <c r="A307" s="49" t="s">
        <v>30</v>
      </c>
      <c r="D307" s="49" t="s">
        <v>33389</v>
      </c>
      <c r="E307" s="49" t="s">
        <v>5416</v>
      </c>
      <c r="F307" s="49" t="s">
        <v>33390</v>
      </c>
      <c r="H307" s="49" t="s">
        <v>33391</v>
      </c>
      <c r="O307" s="49" t="s">
        <v>33392</v>
      </c>
      <c r="P307" s="49" t="s">
        <v>33393</v>
      </c>
      <c r="Q307" s="49" t="s">
        <v>33394</v>
      </c>
      <c r="R307" s="49" t="s">
        <v>33395</v>
      </c>
      <c r="S307" s="49" t="s">
        <v>33396</v>
      </c>
      <c r="T307" s="49" t="s">
        <v>33397</v>
      </c>
      <c r="U307" s="49" t="s">
        <v>33398</v>
      </c>
    </row>
    <row r="308" spans="1:21" x14ac:dyDescent="0.2">
      <c r="A308" s="49" t="s">
        <v>30</v>
      </c>
      <c r="D308" s="49" t="s">
        <v>10816</v>
      </c>
      <c r="G308" s="49" t="s">
        <v>33399</v>
      </c>
      <c r="H308" s="49" t="s">
        <v>12706</v>
      </c>
      <c r="I308" s="49" t="s">
        <v>12707</v>
      </c>
      <c r="J308" s="49" t="s">
        <v>12720</v>
      </c>
      <c r="K308" s="49" t="s">
        <v>12721</v>
      </c>
      <c r="L308" s="49" t="s">
        <v>10817</v>
      </c>
      <c r="M308" s="49" t="s">
        <v>10818</v>
      </c>
      <c r="N308" s="49" t="s">
        <v>10819</v>
      </c>
      <c r="O308" s="49" t="s">
        <v>32613</v>
      </c>
      <c r="P308" s="49" t="s">
        <v>32614</v>
      </c>
      <c r="Q308" s="49" t="s">
        <v>32615</v>
      </c>
      <c r="R308" s="49" t="s">
        <v>32616</v>
      </c>
      <c r="S308" s="49" t="s">
        <v>32617</v>
      </c>
      <c r="T308" s="49" t="s">
        <v>32618</v>
      </c>
    </row>
    <row r="309" spans="1:21" x14ac:dyDescent="0.2">
      <c r="A309" s="49" t="s">
        <v>30</v>
      </c>
      <c r="D309" s="49" t="s">
        <v>1250</v>
      </c>
      <c r="G309" s="49" t="s">
        <v>15750</v>
      </c>
      <c r="H309" s="49" t="s">
        <v>1251</v>
      </c>
      <c r="I309" s="49" t="s">
        <v>1252</v>
      </c>
      <c r="J309" s="49" t="s">
        <v>1253</v>
      </c>
      <c r="K309" s="49" t="s">
        <v>1254</v>
      </c>
      <c r="L309" s="49" t="s">
        <v>1255</v>
      </c>
      <c r="M309" s="49" t="s">
        <v>1256</v>
      </c>
      <c r="N309" s="49" t="s">
        <v>1257</v>
      </c>
      <c r="O309" s="49" t="s">
        <v>9253</v>
      </c>
      <c r="P309" s="49" t="s">
        <v>9254</v>
      </c>
      <c r="Q309" s="49" t="s">
        <v>9255</v>
      </c>
      <c r="R309" s="49" t="s">
        <v>9256</v>
      </c>
      <c r="S309" s="49" t="s">
        <v>9257</v>
      </c>
      <c r="T309" s="49" t="s">
        <v>9258</v>
      </c>
    </row>
    <row r="310" spans="1:21" x14ac:dyDescent="0.2">
      <c r="A310" s="49" t="s">
        <v>30</v>
      </c>
      <c r="D310" s="49" t="s">
        <v>1258</v>
      </c>
      <c r="G310" s="49" t="s">
        <v>15755</v>
      </c>
      <c r="H310" s="49" t="s">
        <v>1259</v>
      </c>
      <c r="I310" s="49" t="s">
        <v>1260</v>
      </c>
      <c r="J310" s="49" t="s">
        <v>1261</v>
      </c>
      <c r="K310" s="49" t="s">
        <v>1262</v>
      </c>
      <c r="L310" s="49" t="s">
        <v>1263</v>
      </c>
      <c r="M310" s="49" t="s">
        <v>1264</v>
      </c>
      <c r="N310" s="49" t="s">
        <v>1265</v>
      </c>
      <c r="O310" s="49" t="s">
        <v>9730</v>
      </c>
      <c r="P310" s="49" t="s">
        <v>9731</v>
      </c>
      <c r="Q310" s="49" t="s">
        <v>9732</v>
      </c>
      <c r="R310" s="49" t="s">
        <v>9733</v>
      </c>
      <c r="S310" s="49" t="s">
        <v>9734</v>
      </c>
      <c r="T310" s="49" t="s">
        <v>9735</v>
      </c>
    </row>
    <row r="311" spans="1:21" x14ac:dyDescent="0.2">
      <c r="A311" s="49" t="s">
        <v>30</v>
      </c>
    </row>
    <row r="312" spans="1:21" x14ac:dyDescent="0.2">
      <c r="A312" s="49" t="s">
        <v>30</v>
      </c>
      <c r="E312" s="49" t="s">
        <v>31</v>
      </c>
      <c r="F312" s="49" t="s">
        <v>31</v>
      </c>
      <c r="G312" s="49" t="s">
        <v>31</v>
      </c>
      <c r="J312" s="49" t="s">
        <v>31</v>
      </c>
      <c r="K312" s="49" t="s">
        <v>31</v>
      </c>
      <c r="L312" s="49" t="s">
        <v>31</v>
      </c>
      <c r="M312" s="49" t="s">
        <v>31</v>
      </c>
    </row>
    <row r="313" spans="1:21" x14ac:dyDescent="0.2">
      <c r="A313" s="49" t="s">
        <v>30</v>
      </c>
      <c r="D313" s="49" t="s">
        <v>10711</v>
      </c>
      <c r="E313" s="49" t="s">
        <v>5459</v>
      </c>
      <c r="F313" s="49" t="s">
        <v>10712</v>
      </c>
      <c r="H313" s="49" t="s">
        <v>10713</v>
      </c>
      <c r="O313" s="49" t="s">
        <v>13984</v>
      </c>
      <c r="P313" s="49" t="s">
        <v>13985</v>
      </c>
      <c r="Q313" s="49" t="s">
        <v>13986</v>
      </c>
      <c r="R313" s="49" t="s">
        <v>13987</v>
      </c>
      <c r="S313" s="49" t="s">
        <v>13988</v>
      </c>
      <c r="T313" s="49" t="s">
        <v>13989</v>
      </c>
      <c r="U313" s="49" t="s">
        <v>13990</v>
      </c>
    </row>
    <row r="314" spans="1:21" x14ac:dyDescent="0.2">
      <c r="A314" s="49" t="s">
        <v>30</v>
      </c>
      <c r="D314" s="49" t="s">
        <v>4867</v>
      </c>
      <c r="G314" s="49" t="s">
        <v>10714</v>
      </c>
      <c r="H314" s="49" t="s">
        <v>4868</v>
      </c>
      <c r="I314" s="49" t="s">
        <v>4869</v>
      </c>
      <c r="J314" s="49" t="s">
        <v>4870</v>
      </c>
      <c r="K314" s="49" t="s">
        <v>4871</v>
      </c>
      <c r="L314" s="49" t="s">
        <v>4872</v>
      </c>
      <c r="M314" s="49" t="s">
        <v>4873</v>
      </c>
      <c r="N314" s="49" t="s">
        <v>4874</v>
      </c>
      <c r="O314" s="49" t="s">
        <v>9269</v>
      </c>
      <c r="P314" s="49" t="s">
        <v>9270</v>
      </c>
      <c r="Q314" s="49" t="s">
        <v>9271</v>
      </c>
      <c r="R314" s="49" t="s">
        <v>9272</v>
      </c>
      <c r="S314" s="49" t="s">
        <v>9273</v>
      </c>
      <c r="T314" s="49" t="s">
        <v>9274</v>
      </c>
    </row>
    <row r="315" spans="1:21" x14ac:dyDescent="0.2">
      <c r="A315" s="49" t="s">
        <v>30</v>
      </c>
    </row>
    <row r="316" spans="1:21" x14ac:dyDescent="0.2">
      <c r="A316" s="49" t="s">
        <v>30</v>
      </c>
      <c r="E316" s="49" t="s">
        <v>31</v>
      </c>
      <c r="F316" s="49" t="s">
        <v>31</v>
      </c>
      <c r="G316" s="49" t="s">
        <v>31</v>
      </c>
      <c r="J316" s="49" t="s">
        <v>31</v>
      </c>
      <c r="K316" s="49" t="s">
        <v>31</v>
      </c>
      <c r="L316" s="49" t="s">
        <v>31</v>
      </c>
      <c r="M316" s="49" t="s">
        <v>31</v>
      </c>
    </row>
    <row r="317" spans="1:21" x14ac:dyDescent="0.2">
      <c r="A317" s="49" t="s">
        <v>30</v>
      </c>
      <c r="D317" s="49" t="s">
        <v>33400</v>
      </c>
      <c r="E317" s="49" t="s">
        <v>5498</v>
      </c>
      <c r="F317" s="49" t="s">
        <v>33401</v>
      </c>
      <c r="H317" s="49" t="s">
        <v>33402</v>
      </c>
      <c r="O317" s="49" t="s">
        <v>33403</v>
      </c>
      <c r="P317" s="49" t="s">
        <v>33404</v>
      </c>
      <c r="Q317" s="49" t="s">
        <v>33405</v>
      </c>
      <c r="R317" s="49" t="s">
        <v>33406</v>
      </c>
      <c r="S317" s="49" t="s">
        <v>33407</v>
      </c>
      <c r="T317" s="49" t="s">
        <v>33408</v>
      </c>
      <c r="U317" s="49" t="s">
        <v>33409</v>
      </c>
    </row>
    <row r="318" spans="1:21" x14ac:dyDescent="0.2">
      <c r="A318" s="49" t="s">
        <v>30</v>
      </c>
      <c r="D318" s="49" t="s">
        <v>14442</v>
      </c>
      <c r="G318" s="49" t="s">
        <v>33410</v>
      </c>
      <c r="H318" s="49" t="s">
        <v>31588</v>
      </c>
      <c r="I318" s="49" t="s">
        <v>31590</v>
      </c>
      <c r="J318" s="49" t="s">
        <v>31646</v>
      </c>
      <c r="K318" s="49" t="s">
        <v>31648</v>
      </c>
      <c r="L318" s="49" t="s">
        <v>14444</v>
      </c>
      <c r="M318" s="49" t="s">
        <v>14445</v>
      </c>
      <c r="N318" s="49" t="s">
        <v>14446</v>
      </c>
      <c r="O318" s="49" t="s">
        <v>34672</v>
      </c>
      <c r="P318" s="49" t="s">
        <v>34673</v>
      </c>
      <c r="Q318" s="49" t="s">
        <v>34674</v>
      </c>
      <c r="R318" s="49" t="s">
        <v>34675</v>
      </c>
      <c r="S318" s="49" t="s">
        <v>34676</v>
      </c>
      <c r="T318" s="49" t="s">
        <v>34677</v>
      </c>
    </row>
    <row r="319" spans="1:21" x14ac:dyDescent="0.2">
      <c r="A319" s="49" t="s">
        <v>30</v>
      </c>
      <c r="D319" s="49" t="s">
        <v>2613</v>
      </c>
      <c r="G319" s="49" t="s">
        <v>15810</v>
      </c>
      <c r="H319" s="49" t="s">
        <v>2614</v>
      </c>
      <c r="I319" s="49" t="s">
        <v>2615</v>
      </c>
      <c r="J319" s="49" t="s">
        <v>2616</v>
      </c>
      <c r="K319" s="49" t="s">
        <v>2617</v>
      </c>
      <c r="L319" s="49" t="s">
        <v>2618</v>
      </c>
      <c r="M319" s="49" t="s">
        <v>2619</v>
      </c>
      <c r="N319" s="49" t="s">
        <v>2620</v>
      </c>
      <c r="O319" s="49" t="s">
        <v>10196</v>
      </c>
      <c r="P319" s="49" t="s">
        <v>10197</v>
      </c>
      <c r="Q319" s="49" t="s">
        <v>10198</v>
      </c>
      <c r="R319" s="49" t="s">
        <v>10199</v>
      </c>
      <c r="S319" s="49" t="s">
        <v>10200</v>
      </c>
      <c r="T319" s="49" t="s">
        <v>10201</v>
      </c>
    </row>
    <row r="320" spans="1:21" x14ac:dyDescent="0.2">
      <c r="A320" s="49" t="s">
        <v>30</v>
      </c>
      <c r="D320" s="49" t="s">
        <v>2446</v>
      </c>
      <c r="G320" s="49" t="s">
        <v>15825</v>
      </c>
      <c r="H320" s="49" t="s">
        <v>2447</v>
      </c>
      <c r="I320" s="49" t="s">
        <v>2448</v>
      </c>
      <c r="J320" s="49" t="s">
        <v>2449</v>
      </c>
      <c r="K320" s="49" t="s">
        <v>2450</v>
      </c>
      <c r="L320" s="49" t="s">
        <v>2451</v>
      </c>
      <c r="M320" s="49" t="s">
        <v>2452</v>
      </c>
      <c r="N320" s="49" t="s">
        <v>2453</v>
      </c>
      <c r="O320" s="49" t="s">
        <v>9752</v>
      </c>
      <c r="P320" s="49" t="s">
        <v>9753</v>
      </c>
      <c r="Q320" s="49" t="s">
        <v>9754</v>
      </c>
      <c r="R320" s="49" t="s">
        <v>9755</v>
      </c>
      <c r="S320" s="49" t="s">
        <v>9756</v>
      </c>
      <c r="T320" s="49" t="s">
        <v>9757</v>
      </c>
    </row>
    <row r="321" spans="1:21" x14ac:dyDescent="0.2">
      <c r="A321" s="49" t="s">
        <v>30</v>
      </c>
    </row>
    <row r="322" spans="1:21" x14ac:dyDescent="0.2">
      <c r="A322" s="49" t="s">
        <v>30</v>
      </c>
      <c r="E322" s="49" t="s">
        <v>31</v>
      </c>
      <c r="F322" s="49" t="s">
        <v>31</v>
      </c>
      <c r="G322" s="49" t="s">
        <v>31</v>
      </c>
      <c r="J322" s="49" t="s">
        <v>31</v>
      </c>
      <c r="K322" s="49" t="s">
        <v>31</v>
      </c>
      <c r="L322" s="49" t="s">
        <v>31</v>
      </c>
      <c r="M322" s="49" t="s">
        <v>31</v>
      </c>
    </row>
    <row r="323" spans="1:21" x14ac:dyDescent="0.2">
      <c r="A323" s="49" t="s">
        <v>30</v>
      </c>
      <c r="D323" s="49" t="s">
        <v>13879</v>
      </c>
      <c r="E323" s="49" t="s">
        <v>5555</v>
      </c>
      <c r="F323" s="49" t="s">
        <v>13880</v>
      </c>
      <c r="H323" s="49" t="s">
        <v>13881</v>
      </c>
      <c r="O323" s="49" t="s">
        <v>13882</v>
      </c>
      <c r="P323" s="49" t="s">
        <v>13883</v>
      </c>
      <c r="Q323" s="49" t="s">
        <v>13884</v>
      </c>
      <c r="R323" s="49" t="s">
        <v>13885</v>
      </c>
      <c r="S323" s="49" t="s">
        <v>13886</v>
      </c>
      <c r="T323" s="49" t="s">
        <v>13887</v>
      </c>
      <c r="U323" s="49" t="s">
        <v>13888</v>
      </c>
    </row>
    <row r="324" spans="1:21" x14ac:dyDescent="0.2">
      <c r="A324" s="49" t="s">
        <v>30</v>
      </c>
      <c r="D324" s="49" t="s">
        <v>2454</v>
      </c>
      <c r="G324" s="49" t="s">
        <v>13889</v>
      </c>
      <c r="H324" s="49" t="s">
        <v>2455</v>
      </c>
      <c r="I324" s="49" t="s">
        <v>2456</v>
      </c>
      <c r="J324" s="49" t="s">
        <v>2457</v>
      </c>
      <c r="K324" s="49" t="s">
        <v>2458</v>
      </c>
      <c r="L324" s="49" t="s">
        <v>2459</v>
      </c>
      <c r="M324" s="49" t="s">
        <v>2460</v>
      </c>
      <c r="N324" s="49" t="s">
        <v>2461</v>
      </c>
      <c r="O324" s="49" t="s">
        <v>10202</v>
      </c>
      <c r="P324" s="49" t="s">
        <v>10203</v>
      </c>
      <c r="Q324" s="49" t="s">
        <v>10204</v>
      </c>
      <c r="R324" s="49" t="s">
        <v>10205</v>
      </c>
      <c r="S324" s="49" t="s">
        <v>10206</v>
      </c>
      <c r="T324" s="49" t="s">
        <v>10207</v>
      </c>
    </row>
    <row r="325" spans="1:21" x14ac:dyDescent="0.2">
      <c r="A325" s="49" t="s">
        <v>30</v>
      </c>
    </row>
    <row r="326" spans="1:21" x14ac:dyDescent="0.2">
      <c r="A326" s="49" t="s">
        <v>30</v>
      </c>
      <c r="E326" s="49" t="s">
        <v>31</v>
      </c>
      <c r="F326" s="49" t="s">
        <v>31</v>
      </c>
      <c r="G326" s="49" t="s">
        <v>31</v>
      </c>
      <c r="J326" s="49" t="s">
        <v>31</v>
      </c>
      <c r="K326" s="49" t="s">
        <v>31</v>
      </c>
      <c r="L326" s="49" t="s">
        <v>31</v>
      </c>
      <c r="M326" s="49" t="s">
        <v>31</v>
      </c>
    </row>
    <row r="327" spans="1:21" x14ac:dyDescent="0.2">
      <c r="A327" s="49" t="s">
        <v>30</v>
      </c>
      <c r="D327" s="49" t="s">
        <v>13890</v>
      </c>
      <c r="E327" s="49" t="s">
        <v>5584</v>
      </c>
      <c r="F327" s="49" t="s">
        <v>13891</v>
      </c>
      <c r="H327" s="49" t="s">
        <v>13892</v>
      </c>
      <c r="O327" s="49" t="s">
        <v>33411</v>
      </c>
      <c r="P327" s="49" t="s">
        <v>33412</v>
      </c>
      <c r="Q327" s="49" t="s">
        <v>33413</v>
      </c>
      <c r="R327" s="49" t="s">
        <v>33414</v>
      </c>
      <c r="S327" s="49" t="s">
        <v>33415</v>
      </c>
      <c r="T327" s="49" t="s">
        <v>33416</v>
      </c>
      <c r="U327" s="49" t="s">
        <v>33417</v>
      </c>
    </row>
    <row r="328" spans="1:21" x14ac:dyDescent="0.2">
      <c r="A328" s="49" t="s">
        <v>30</v>
      </c>
      <c r="D328" s="49" t="s">
        <v>2629</v>
      </c>
      <c r="G328" s="49" t="s">
        <v>13893</v>
      </c>
      <c r="H328" s="49" t="s">
        <v>2630</v>
      </c>
      <c r="I328" s="49" t="s">
        <v>2631</v>
      </c>
      <c r="J328" s="49" t="s">
        <v>2632</v>
      </c>
      <c r="K328" s="49" t="s">
        <v>2633</v>
      </c>
      <c r="L328" s="49" t="s">
        <v>2634</v>
      </c>
      <c r="M328" s="49" t="s">
        <v>2635</v>
      </c>
      <c r="N328" s="49" t="s">
        <v>2636</v>
      </c>
      <c r="O328" s="49" t="s">
        <v>9764</v>
      </c>
      <c r="P328" s="49" t="s">
        <v>9765</v>
      </c>
      <c r="Q328" s="49" t="s">
        <v>9766</v>
      </c>
      <c r="R328" s="49" t="s">
        <v>9767</v>
      </c>
      <c r="S328" s="49" t="s">
        <v>9768</v>
      </c>
      <c r="T328" s="49" t="s">
        <v>9769</v>
      </c>
    </row>
    <row r="329" spans="1:21" x14ac:dyDescent="0.2">
      <c r="A329" s="49" t="s">
        <v>30</v>
      </c>
      <c r="D329" s="49" t="s">
        <v>2169</v>
      </c>
      <c r="G329" s="49" t="s">
        <v>15868</v>
      </c>
      <c r="H329" s="49" t="s">
        <v>2170</v>
      </c>
      <c r="I329" s="49" t="s">
        <v>2171</v>
      </c>
      <c r="J329" s="49" t="s">
        <v>2172</v>
      </c>
      <c r="K329" s="49" t="s">
        <v>2173</v>
      </c>
      <c r="L329" s="49" t="s">
        <v>2174</v>
      </c>
      <c r="M329" s="49" t="s">
        <v>2175</v>
      </c>
      <c r="N329" s="49" t="s">
        <v>2176</v>
      </c>
      <c r="O329" s="49" t="s">
        <v>9770</v>
      </c>
      <c r="P329" s="49" t="s">
        <v>9771</v>
      </c>
      <c r="Q329" s="49" t="s">
        <v>9772</v>
      </c>
      <c r="R329" s="49" t="s">
        <v>9773</v>
      </c>
      <c r="S329" s="49" t="s">
        <v>9774</v>
      </c>
      <c r="T329" s="49" t="s">
        <v>9775</v>
      </c>
    </row>
    <row r="330" spans="1:21" x14ac:dyDescent="0.2">
      <c r="A330" s="49" t="s">
        <v>30</v>
      </c>
      <c r="D330" s="49" t="s">
        <v>1306</v>
      </c>
      <c r="G330" s="49" t="s">
        <v>15886</v>
      </c>
      <c r="H330" s="49" t="s">
        <v>1307</v>
      </c>
      <c r="I330" s="49" t="s">
        <v>1308</v>
      </c>
      <c r="J330" s="49" t="s">
        <v>1309</v>
      </c>
      <c r="K330" s="49" t="s">
        <v>1310</v>
      </c>
      <c r="L330" s="49" t="s">
        <v>1311</v>
      </c>
      <c r="M330" s="49" t="s">
        <v>1312</v>
      </c>
      <c r="N330" s="49" t="s">
        <v>1313</v>
      </c>
      <c r="O330" s="49" t="s">
        <v>9776</v>
      </c>
      <c r="P330" s="49" t="s">
        <v>9777</v>
      </c>
      <c r="Q330" s="49" t="s">
        <v>9778</v>
      </c>
      <c r="R330" s="49" t="s">
        <v>9779</v>
      </c>
      <c r="S330" s="49" t="s">
        <v>9780</v>
      </c>
      <c r="T330" s="49" t="s">
        <v>9781</v>
      </c>
    </row>
    <row r="331" spans="1:21" x14ac:dyDescent="0.2">
      <c r="A331" s="49" t="s">
        <v>30</v>
      </c>
    </row>
    <row r="332" spans="1:21" x14ac:dyDescent="0.2">
      <c r="A332" s="49" t="s">
        <v>30</v>
      </c>
      <c r="E332" s="49" t="s">
        <v>31</v>
      </c>
      <c r="F332" s="49" t="s">
        <v>31</v>
      </c>
      <c r="G332" s="49" t="s">
        <v>31</v>
      </c>
      <c r="J332" s="49" t="s">
        <v>31</v>
      </c>
      <c r="K332" s="49" t="s">
        <v>31</v>
      </c>
      <c r="L332" s="49" t="s">
        <v>31</v>
      </c>
      <c r="M332" s="49" t="s">
        <v>31</v>
      </c>
    </row>
    <row r="333" spans="1:21" x14ac:dyDescent="0.2">
      <c r="A333" s="49" t="s">
        <v>30</v>
      </c>
      <c r="D333" s="49" t="s">
        <v>13289</v>
      </c>
      <c r="E333" s="49" t="s">
        <v>5627</v>
      </c>
      <c r="F333" s="49" t="s">
        <v>13290</v>
      </c>
      <c r="H333" s="49" t="s">
        <v>13291</v>
      </c>
      <c r="O333" s="49" t="s">
        <v>33418</v>
      </c>
      <c r="P333" s="49" t="s">
        <v>33419</v>
      </c>
      <c r="Q333" s="49" t="s">
        <v>33420</v>
      </c>
      <c r="R333" s="49" t="s">
        <v>33421</v>
      </c>
      <c r="S333" s="49" t="s">
        <v>33422</v>
      </c>
      <c r="T333" s="49" t="s">
        <v>33423</v>
      </c>
      <c r="U333" s="49" t="s">
        <v>33424</v>
      </c>
    </row>
    <row r="334" spans="1:21" x14ac:dyDescent="0.2">
      <c r="A334" s="49" t="s">
        <v>30</v>
      </c>
      <c r="D334" s="49" t="s">
        <v>1338</v>
      </c>
      <c r="G334" s="49" t="s">
        <v>13292</v>
      </c>
      <c r="H334" s="49" t="s">
        <v>1339</v>
      </c>
      <c r="I334" s="49" t="s">
        <v>1340</v>
      </c>
      <c r="J334" s="49" t="s">
        <v>1341</v>
      </c>
      <c r="K334" s="49" t="s">
        <v>1342</v>
      </c>
      <c r="L334" s="49" t="s">
        <v>1343</v>
      </c>
      <c r="M334" s="49" t="s">
        <v>1344</v>
      </c>
      <c r="N334" s="49" t="s">
        <v>1345</v>
      </c>
      <c r="O334" s="49" t="s">
        <v>13293</v>
      </c>
      <c r="P334" s="49" t="s">
        <v>13294</v>
      </c>
      <c r="Q334" s="49" t="s">
        <v>13295</v>
      </c>
      <c r="R334" s="49" t="s">
        <v>13296</v>
      </c>
      <c r="S334" s="49" t="s">
        <v>13297</v>
      </c>
      <c r="T334" s="49" t="s">
        <v>13298</v>
      </c>
    </row>
    <row r="335" spans="1:21" x14ac:dyDescent="0.2">
      <c r="A335" s="49" t="s">
        <v>30</v>
      </c>
      <c r="D335" s="49" t="s">
        <v>4884</v>
      </c>
      <c r="G335" s="49" t="s">
        <v>15907</v>
      </c>
      <c r="H335" s="49" t="s">
        <v>4885</v>
      </c>
      <c r="I335" s="49" t="s">
        <v>4886</v>
      </c>
      <c r="J335" s="49" t="s">
        <v>4887</v>
      </c>
      <c r="K335" s="49" t="s">
        <v>4888</v>
      </c>
      <c r="L335" s="49" t="s">
        <v>4889</v>
      </c>
      <c r="M335" s="49" t="s">
        <v>4890</v>
      </c>
      <c r="N335" s="49" t="s">
        <v>4891</v>
      </c>
      <c r="O335" s="49" t="s">
        <v>9786</v>
      </c>
      <c r="P335" s="49" t="s">
        <v>9787</v>
      </c>
      <c r="Q335" s="49" t="s">
        <v>9788</v>
      </c>
      <c r="R335" s="49" t="s">
        <v>9789</v>
      </c>
      <c r="S335" s="49" t="s">
        <v>9790</v>
      </c>
      <c r="T335" s="49" t="s">
        <v>9791</v>
      </c>
    </row>
    <row r="336" spans="1:21" x14ac:dyDescent="0.2">
      <c r="A336" s="49" t="s">
        <v>30</v>
      </c>
      <c r="D336" s="49" t="s">
        <v>4892</v>
      </c>
      <c r="G336" s="49" t="s">
        <v>15908</v>
      </c>
      <c r="H336" s="49" t="s">
        <v>4893</v>
      </c>
      <c r="I336" s="49" t="s">
        <v>4894</v>
      </c>
      <c r="J336" s="49" t="s">
        <v>4895</v>
      </c>
      <c r="K336" s="49" t="s">
        <v>4896</v>
      </c>
      <c r="L336" s="49" t="s">
        <v>4897</v>
      </c>
      <c r="M336" s="49" t="s">
        <v>4898</v>
      </c>
      <c r="N336" s="49" t="s">
        <v>4899</v>
      </c>
      <c r="O336" s="49" t="s">
        <v>9297</v>
      </c>
      <c r="P336" s="49" t="s">
        <v>9298</v>
      </c>
      <c r="Q336" s="49" t="s">
        <v>9299</v>
      </c>
      <c r="R336" s="49" t="s">
        <v>9300</v>
      </c>
      <c r="S336" s="49" t="s">
        <v>9301</v>
      </c>
      <c r="T336" s="49" t="s">
        <v>9302</v>
      </c>
    </row>
    <row r="337" spans="1:21" x14ac:dyDescent="0.2">
      <c r="A337" s="49" t="s">
        <v>30</v>
      </c>
      <c r="D337" s="49" t="s">
        <v>4906</v>
      </c>
      <c r="G337" s="49" t="s">
        <v>15926</v>
      </c>
      <c r="H337" s="49" t="s">
        <v>4907</v>
      </c>
      <c r="I337" s="49" t="s">
        <v>4908</v>
      </c>
      <c r="J337" s="49" t="s">
        <v>4909</v>
      </c>
      <c r="K337" s="49" t="s">
        <v>4910</v>
      </c>
      <c r="L337" s="49" t="s">
        <v>4911</v>
      </c>
      <c r="M337" s="49" t="s">
        <v>4912</v>
      </c>
      <c r="N337" s="49" t="s">
        <v>4913</v>
      </c>
      <c r="O337" s="49" t="s">
        <v>34666</v>
      </c>
      <c r="P337" s="49" t="s">
        <v>34667</v>
      </c>
      <c r="Q337" s="49" t="s">
        <v>34668</v>
      </c>
      <c r="R337" s="49" t="s">
        <v>34669</v>
      </c>
      <c r="S337" s="49" t="s">
        <v>34670</v>
      </c>
      <c r="T337" s="49" t="s">
        <v>34671</v>
      </c>
    </row>
    <row r="338" spans="1:21" x14ac:dyDescent="0.2">
      <c r="A338" s="49" t="s">
        <v>30</v>
      </c>
    </row>
    <row r="339" spans="1:21" x14ac:dyDescent="0.2">
      <c r="A339" s="49" t="s">
        <v>30</v>
      </c>
      <c r="E339" s="49" t="s">
        <v>31</v>
      </c>
      <c r="F339" s="49" t="s">
        <v>31</v>
      </c>
      <c r="G339" s="49" t="s">
        <v>31</v>
      </c>
      <c r="J339" s="49" t="s">
        <v>31</v>
      </c>
      <c r="K339" s="49" t="s">
        <v>31</v>
      </c>
      <c r="L339" s="49" t="s">
        <v>31</v>
      </c>
      <c r="M339" s="49" t="s">
        <v>31</v>
      </c>
    </row>
    <row r="340" spans="1:21" x14ac:dyDescent="0.2">
      <c r="A340" s="49" t="s">
        <v>30</v>
      </c>
      <c r="D340" s="49" t="s">
        <v>14470</v>
      </c>
      <c r="E340" s="49" t="s">
        <v>5698</v>
      </c>
      <c r="F340" s="49" t="s">
        <v>14471</v>
      </c>
      <c r="H340" s="49" t="s">
        <v>14472</v>
      </c>
      <c r="O340" s="49" t="s">
        <v>33425</v>
      </c>
      <c r="P340" s="49" t="s">
        <v>33426</v>
      </c>
      <c r="Q340" s="49" t="s">
        <v>33427</v>
      </c>
      <c r="R340" s="49" t="s">
        <v>33428</v>
      </c>
      <c r="S340" s="49" t="s">
        <v>33429</v>
      </c>
      <c r="T340" s="49" t="s">
        <v>33430</v>
      </c>
      <c r="U340" s="49" t="s">
        <v>33431</v>
      </c>
    </row>
    <row r="341" spans="1:21" x14ac:dyDescent="0.2">
      <c r="A341" s="49" t="s">
        <v>30</v>
      </c>
      <c r="D341" s="49" t="s">
        <v>1354</v>
      </c>
      <c r="G341" s="49" t="s">
        <v>33432</v>
      </c>
      <c r="H341" s="49" t="s">
        <v>1355</v>
      </c>
      <c r="I341" s="49" t="s">
        <v>1356</v>
      </c>
      <c r="J341" s="49" t="s">
        <v>1357</v>
      </c>
      <c r="K341" s="49" t="s">
        <v>1358</v>
      </c>
      <c r="L341" s="49" t="s">
        <v>1359</v>
      </c>
      <c r="M341" s="49" t="s">
        <v>1360</v>
      </c>
      <c r="N341" s="49" t="s">
        <v>1361</v>
      </c>
      <c r="O341" s="49" t="s">
        <v>9303</v>
      </c>
      <c r="P341" s="49" t="s">
        <v>9304</v>
      </c>
      <c r="Q341" s="49" t="s">
        <v>9305</v>
      </c>
      <c r="R341" s="49" t="s">
        <v>9306</v>
      </c>
      <c r="S341" s="49" t="s">
        <v>9307</v>
      </c>
      <c r="T341" s="49" t="s">
        <v>9308</v>
      </c>
    </row>
    <row r="342" spans="1:21" x14ac:dyDescent="0.2">
      <c r="A342" s="49" t="s">
        <v>30</v>
      </c>
      <c r="D342" s="49" t="s">
        <v>1362</v>
      </c>
      <c r="G342" s="49" t="s">
        <v>15956</v>
      </c>
      <c r="H342" s="49" t="s">
        <v>1363</v>
      </c>
      <c r="I342" s="49" t="s">
        <v>1364</v>
      </c>
      <c r="J342" s="49" t="s">
        <v>1365</v>
      </c>
      <c r="K342" s="49" t="s">
        <v>1366</v>
      </c>
      <c r="L342" s="49" t="s">
        <v>1367</v>
      </c>
      <c r="M342" s="49" t="s">
        <v>1368</v>
      </c>
      <c r="N342" s="49" t="s">
        <v>1369</v>
      </c>
      <c r="O342" s="49" t="s">
        <v>9802</v>
      </c>
      <c r="P342" s="49" t="s">
        <v>9803</v>
      </c>
      <c r="Q342" s="49" t="s">
        <v>9804</v>
      </c>
      <c r="R342" s="49" t="s">
        <v>9805</v>
      </c>
      <c r="S342" s="49" t="s">
        <v>9806</v>
      </c>
      <c r="T342" s="49" t="s">
        <v>9807</v>
      </c>
    </row>
    <row r="343" spans="1:21" x14ac:dyDescent="0.2">
      <c r="A343" s="49" t="s">
        <v>30</v>
      </c>
      <c r="D343" s="49" t="s">
        <v>1370</v>
      </c>
      <c r="G343" s="49" t="s">
        <v>15965</v>
      </c>
      <c r="H343" s="49" t="s">
        <v>1371</v>
      </c>
      <c r="I343" s="49" t="s">
        <v>1372</v>
      </c>
      <c r="J343" s="49" t="s">
        <v>1373</v>
      </c>
      <c r="K343" s="49" t="s">
        <v>1374</v>
      </c>
      <c r="L343" s="49" t="s">
        <v>1375</v>
      </c>
      <c r="M343" s="49" t="s">
        <v>1376</v>
      </c>
      <c r="N343" s="49" t="s">
        <v>1377</v>
      </c>
      <c r="O343" s="49" t="s">
        <v>9808</v>
      </c>
      <c r="P343" s="49" t="s">
        <v>9809</v>
      </c>
      <c r="Q343" s="49" t="s">
        <v>9810</v>
      </c>
      <c r="R343" s="49" t="s">
        <v>9811</v>
      </c>
      <c r="S343" s="49" t="s">
        <v>9812</v>
      </c>
      <c r="T343" s="49" t="s">
        <v>9813</v>
      </c>
    </row>
    <row r="344" spans="1:21" x14ac:dyDescent="0.2">
      <c r="A344" s="49" t="s">
        <v>30</v>
      </c>
    </row>
    <row r="345" spans="1:21" x14ac:dyDescent="0.2">
      <c r="A345" s="49" t="s">
        <v>30</v>
      </c>
      <c r="E345" s="49" t="s">
        <v>31</v>
      </c>
      <c r="F345" s="49" t="s">
        <v>31</v>
      </c>
      <c r="G345" s="49" t="s">
        <v>31</v>
      </c>
      <c r="J345" s="49" t="s">
        <v>31</v>
      </c>
      <c r="K345" s="49" t="s">
        <v>31</v>
      </c>
      <c r="L345" s="49" t="s">
        <v>31</v>
      </c>
      <c r="M345" s="49" t="s">
        <v>31</v>
      </c>
    </row>
    <row r="346" spans="1:21" x14ac:dyDescent="0.2">
      <c r="A346" s="49" t="s">
        <v>30</v>
      </c>
      <c r="D346" s="49" t="s">
        <v>33433</v>
      </c>
      <c r="E346" s="49" t="s">
        <v>5805</v>
      </c>
      <c r="F346" s="49" t="s">
        <v>33434</v>
      </c>
      <c r="H346" s="49" t="s">
        <v>33435</v>
      </c>
      <c r="O346" s="49" t="s">
        <v>33436</v>
      </c>
      <c r="P346" s="49" t="s">
        <v>33437</v>
      </c>
      <c r="Q346" s="49" t="s">
        <v>33438</v>
      </c>
      <c r="R346" s="49" t="s">
        <v>33439</v>
      </c>
      <c r="S346" s="49" t="s">
        <v>33440</v>
      </c>
      <c r="T346" s="49" t="s">
        <v>33441</v>
      </c>
      <c r="U346" s="49" t="s">
        <v>33442</v>
      </c>
    </row>
    <row r="347" spans="1:21" x14ac:dyDescent="0.2">
      <c r="A347" s="49" t="s">
        <v>30</v>
      </c>
      <c r="D347" s="49" t="s">
        <v>4921</v>
      </c>
      <c r="G347" s="49" t="s">
        <v>33443</v>
      </c>
      <c r="H347" s="49" t="s">
        <v>4922</v>
      </c>
      <c r="I347" s="49" t="s">
        <v>4923</v>
      </c>
      <c r="J347" s="49" t="s">
        <v>4924</v>
      </c>
      <c r="K347" s="49" t="s">
        <v>4925</v>
      </c>
      <c r="L347" s="49" t="s">
        <v>4926</v>
      </c>
      <c r="M347" s="49" t="s">
        <v>4927</v>
      </c>
      <c r="N347" s="49" t="s">
        <v>4928</v>
      </c>
      <c r="O347" s="49" t="s">
        <v>9814</v>
      </c>
      <c r="P347" s="49" t="s">
        <v>9815</v>
      </c>
      <c r="Q347" s="49" t="s">
        <v>9816</v>
      </c>
      <c r="R347" s="49" t="s">
        <v>9817</v>
      </c>
      <c r="S347" s="49" t="s">
        <v>9818</v>
      </c>
      <c r="T347" s="49" t="s">
        <v>9819</v>
      </c>
    </row>
    <row r="348" spans="1:21" x14ac:dyDescent="0.2">
      <c r="A348" s="49" t="s">
        <v>30</v>
      </c>
      <c r="D348" s="49" t="s">
        <v>4935</v>
      </c>
      <c r="G348" s="49" t="s">
        <v>16008</v>
      </c>
      <c r="H348" s="49" t="s">
        <v>4936</v>
      </c>
      <c r="I348" s="49" t="s">
        <v>4937</v>
      </c>
      <c r="J348" s="49" t="s">
        <v>4938</v>
      </c>
      <c r="K348" s="49" t="s">
        <v>4939</v>
      </c>
      <c r="L348" s="49" t="s">
        <v>4940</v>
      </c>
      <c r="M348" s="49" t="s">
        <v>4941</v>
      </c>
      <c r="N348" s="49" t="s">
        <v>4942</v>
      </c>
      <c r="O348" s="49" t="s">
        <v>10464</v>
      </c>
      <c r="P348" s="49" t="s">
        <v>10465</v>
      </c>
      <c r="Q348" s="49" t="s">
        <v>10466</v>
      </c>
      <c r="R348" s="49" t="s">
        <v>10467</v>
      </c>
      <c r="S348" s="49" t="s">
        <v>10468</v>
      </c>
      <c r="T348" s="49" t="s">
        <v>10469</v>
      </c>
    </row>
    <row r="349" spans="1:21" x14ac:dyDescent="0.2">
      <c r="A349" s="49" t="s">
        <v>30</v>
      </c>
      <c r="D349" s="49" t="s">
        <v>10470</v>
      </c>
      <c r="G349" s="49" t="s">
        <v>16017</v>
      </c>
      <c r="H349" s="49" t="s">
        <v>10471</v>
      </c>
      <c r="I349" s="49" t="s">
        <v>10472</v>
      </c>
      <c r="J349" s="49" t="s">
        <v>10473</v>
      </c>
      <c r="K349" s="49" t="s">
        <v>10474</v>
      </c>
      <c r="L349" s="49" t="s">
        <v>10475</v>
      </c>
      <c r="M349" s="49" t="s">
        <v>10476</v>
      </c>
      <c r="N349" s="49" t="s">
        <v>10477</v>
      </c>
      <c r="O349" s="49" t="s">
        <v>10478</v>
      </c>
      <c r="P349" s="49" t="s">
        <v>10479</v>
      </c>
      <c r="Q349" s="49" t="s">
        <v>10480</v>
      </c>
      <c r="R349" s="49" t="s">
        <v>10481</v>
      </c>
      <c r="S349" s="49" t="s">
        <v>10482</v>
      </c>
      <c r="T349" s="49" t="s">
        <v>10483</v>
      </c>
    </row>
    <row r="350" spans="1:21" x14ac:dyDescent="0.2">
      <c r="A350" s="49" t="s">
        <v>30</v>
      </c>
    </row>
    <row r="351" spans="1:21" x14ac:dyDescent="0.2">
      <c r="A351" s="49" t="s">
        <v>30</v>
      </c>
      <c r="E351" s="49" t="s">
        <v>31</v>
      </c>
      <c r="F351" s="49" t="s">
        <v>31</v>
      </c>
      <c r="G351" s="49" t="s">
        <v>31</v>
      </c>
      <c r="J351" s="49" t="s">
        <v>31</v>
      </c>
      <c r="K351" s="49" t="s">
        <v>31</v>
      </c>
      <c r="L351" s="49" t="s">
        <v>31</v>
      </c>
      <c r="M351" s="49" t="s">
        <v>31</v>
      </c>
    </row>
    <row r="352" spans="1:21" x14ac:dyDescent="0.2">
      <c r="A352" s="49" t="s">
        <v>30</v>
      </c>
      <c r="D352" s="49" t="s">
        <v>10484</v>
      </c>
      <c r="E352" s="49" t="s">
        <v>5890</v>
      </c>
      <c r="F352" s="49" t="s">
        <v>10485</v>
      </c>
      <c r="H352" s="49" t="s">
        <v>10486</v>
      </c>
      <c r="O352" s="49" t="s">
        <v>33444</v>
      </c>
      <c r="P352" s="49" t="s">
        <v>33445</v>
      </c>
      <c r="Q352" s="49" t="s">
        <v>33446</v>
      </c>
      <c r="R352" s="49" t="s">
        <v>33447</v>
      </c>
      <c r="S352" s="49" t="s">
        <v>33448</v>
      </c>
      <c r="T352" s="49" t="s">
        <v>33449</v>
      </c>
      <c r="U352" s="49" t="s">
        <v>33450</v>
      </c>
    </row>
    <row r="353" spans="1:21" x14ac:dyDescent="0.2">
      <c r="A353" s="49" t="s">
        <v>30</v>
      </c>
      <c r="D353" s="49" t="s">
        <v>2470</v>
      </c>
      <c r="G353" s="49" t="s">
        <v>10494</v>
      </c>
      <c r="H353" s="49" t="s">
        <v>2471</v>
      </c>
      <c r="I353" s="49" t="s">
        <v>2472</v>
      </c>
      <c r="J353" s="49" t="s">
        <v>2473</v>
      </c>
      <c r="K353" s="49" t="s">
        <v>2474</v>
      </c>
      <c r="L353" s="49" t="s">
        <v>2475</v>
      </c>
      <c r="M353" s="49" t="s">
        <v>2476</v>
      </c>
      <c r="N353" s="49" t="s">
        <v>2477</v>
      </c>
      <c r="O353" s="49" t="s">
        <v>10495</v>
      </c>
      <c r="P353" s="49" t="s">
        <v>10496</v>
      </c>
      <c r="Q353" s="49" t="s">
        <v>10497</v>
      </c>
      <c r="R353" s="49" t="s">
        <v>10498</v>
      </c>
      <c r="S353" s="49" t="s">
        <v>10499</v>
      </c>
      <c r="T353" s="49" t="s">
        <v>10500</v>
      </c>
    </row>
    <row r="354" spans="1:21" x14ac:dyDescent="0.2">
      <c r="A354" s="49" t="s">
        <v>30</v>
      </c>
      <c r="D354" s="49" t="s">
        <v>2763</v>
      </c>
      <c r="G354" s="49" t="s">
        <v>16048</v>
      </c>
      <c r="H354" s="49" t="s">
        <v>2764</v>
      </c>
      <c r="I354" s="49" t="s">
        <v>2765</v>
      </c>
      <c r="J354" s="49" t="s">
        <v>2766</v>
      </c>
      <c r="K354" s="49" t="s">
        <v>2767</v>
      </c>
      <c r="L354" s="49" t="s">
        <v>2768</v>
      </c>
      <c r="M354" s="49" t="s">
        <v>2769</v>
      </c>
      <c r="N354" s="49" t="s">
        <v>2770</v>
      </c>
      <c r="O354" s="49" t="s">
        <v>10501</v>
      </c>
      <c r="P354" s="49" t="s">
        <v>10502</v>
      </c>
      <c r="Q354" s="49" t="s">
        <v>10503</v>
      </c>
      <c r="R354" s="49" t="s">
        <v>10504</v>
      </c>
      <c r="S354" s="49" t="s">
        <v>10505</v>
      </c>
      <c r="T354" s="49" t="s">
        <v>10506</v>
      </c>
    </row>
    <row r="355" spans="1:21" x14ac:dyDescent="0.2">
      <c r="A355" s="49" t="s">
        <v>30</v>
      </c>
      <c r="D355" s="49" t="s">
        <v>1402</v>
      </c>
      <c r="G355" s="49" t="s">
        <v>16049</v>
      </c>
      <c r="H355" s="49" t="s">
        <v>1403</v>
      </c>
      <c r="I355" s="49" t="s">
        <v>1404</v>
      </c>
      <c r="J355" s="49" t="s">
        <v>1405</v>
      </c>
      <c r="K355" s="49" t="s">
        <v>1406</v>
      </c>
      <c r="L355" s="49" t="s">
        <v>1407</v>
      </c>
      <c r="M355" s="49" t="s">
        <v>1408</v>
      </c>
      <c r="N355" s="49" t="s">
        <v>1409</v>
      </c>
      <c r="O355" s="49" t="s">
        <v>9331</v>
      </c>
      <c r="P355" s="49" t="s">
        <v>9332</v>
      </c>
      <c r="Q355" s="49" t="s">
        <v>9333</v>
      </c>
      <c r="R355" s="49" t="s">
        <v>9334</v>
      </c>
      <c r="S355" s="49" t="s">
        <v>9335</v>
      </c>
      <c r="T355" s="49" t="s">
        <v>9336</v>
      </c>
    </row>
    <row r="356" spans="1:21" x14ac:dyDescent="0.2">
      <c r="A356" s="49" t="s">
        <v>30</v>
      </c>
      <c r="D356" s="49" t="s">
        <v>1410</v>
      </c>
      <c r="G356" s="49" t="s">
        <v>16067</v>
      </c>
      <c r="H356" s="49" t="s">
        <v>1411</v>
      </c>
      <c r="I356" s="49" t="s">
        <v>1412</v>
      </c>
      <c r="J356" s="49" t="s">
        <v>1413</v>
      </c>
      <c r="K356" s="49" t="s">
        <v>1414</v>
      </c>
      <c r="L356" s="49" t="s">
        <v>1415</v>
      </c>
      <c r="M356" s="49" t="s">
        <v>1416</v>
      </c>
      <c r="N356" s="49" t="s">
        <v>1417</v>
      </c>
      <c r="O356" s="49" t="s">
        <v>34660</v>
      </c>
      <c r="P356" s="49" t="s">
        <v>34661</v>
      </c>
      <c r="Q356" s="49" t="s">
        <v>34662</v>
      </c>
      <c r="R356" s="49" t="s">
        <v>34663</v>
      </c>
      <c r="S356" s="49" t="s">
        <v>34664</v>
      </c>
      <c r="T356" s="49" t="s">
        <v>34665</v>
      </c>
    </row>
    <row r="357" spans="1:21" x14ac:dyDescent="0.2">
      <c r="A357" s="49" t="s">
        <v>30</v>
      </c>
    </row>
    <row r="358" spans="1:21" x14ac:dyDescent="0.2">
      <c r="A358" s="49" t="s">
        <v>30</v>
      </c>
      <c r="E358" s="49" t="s">
        <v>31</v>
      </c>
      <c r="F358" s="49" t="s">
        <v>31</v>
      </c>
      <c r="G358" s="49" t="s">
        <v>31</v>
      </c>
      <c r="J358" s="49" t="s">
        <v>31</v>
      </c>
      <c r="K358" s="49" t="s">
        <v>31</v>
      </c>
      <c r="L358" s="49" t="s">
        <v>31</v>
      </c>
      <c r="M358" s="49" t="s">
        <v>31</v>
      </c>
    </row>
    <row r="359" spans="1:21" x14ac:dyDescent="0.2">
      <c r="A359" s="49" t="s">
        <v>30</v>
      </c>
      <c r="D359" s="49" t="s">
        <v>33451</v>
      </c>
      <c r="E359" s="49" t="s">
        <v>5985</v>
      </c>
      <c r="F359" s="49" t="s">
        <v>33452</v>
      </c>
      <c r="H359" s="49" t="s">
        <v>33453</v>
      </c>
      <c r="O359" s="49" t="s">
        <v>33454</v>
      </c>
      <c r="P359" s="49" t="s">
        <v>33455</v>
      </c>
      <c r="Q359" s="49" t="s">
        <v>33456</v>
      </c>
      <c r="R359" s="49" t="s">
        <v>33457</v>
      </c>
      <c r="S359" s="49" t="s">
        <v>33458</v>
      </c>
      <c r="T359" s="49" t="s">
        <v>33459</v>
      </c>
      <c r="U359" s="49" t="s">
        <v>33460</v>
      </c>
    </row>
    <row r="360" spans="1:21" x14ac:dyDescent="0.2">
      <c r="A360" s="49" t="s">
        <v>30</v>
      </c>
      <c r="D360" s="49" t="s">
        <v>9351</v>
      </c>
      <c r="G360" s="49" t="s">
        <v>33461</v>
      </c>
      <c r="H360" s="49" t="s">
        <v>9352</v>
      </c>
      <c r="I360" s="49" t="s">
        <v>9353</v>
      </c>
      <c r="J360" s="49" t="s">
        <v>9354</v>
      </c>
      <c r="K360" s="49" t="s">
        <v>9355</v>
      </c>
      <c r="L360" s="49" t="s">
        <v>9356</v>
      </c>
      <c r="M360" s="49" t="s">
        <v>9357</v>
      </c>
      <c r="N360" s="49" t="s">
        <v>9358</v>
      </c>
      <c r="O360" s="49" t="s">
        <v>9359</v>
      </c>
      <c r="P360" s="49" t="s">
        <v>9360</v>
      </c>
      <c r="Q360" s="49" t="s">
        <v>9361</v>
      </c>
      <c r="R360" s="49" t="s">
        <v>9362</v>
      </c>
      <c r="S360" s="49" t="s">
        <v>9363</v>
      </c>
      <c r="T360" s="49" t="s">
        <v>9364</v>
      </c>
    </row>
    <row r="361" spans="1:21" x14ac:dyDescent="0.2">
      <c r="A361" s="49" t="s">
        <v>30</v>
      </c>
      <c r="D361" s="49" t="s">
        <v>4954</v>
      </c>
      <c r="G361" s="49" t="s">
        <v>16127</v>
      </c>
      <c r="H361" s="49" t="s">
        <v>4955</v>
      </c>
      <c r="I361" s="49" t="s">
        <v>4956</v>
      </c>
      <c r="J361" s="49" t="s">
        <v>4957</v>
      </c>
      <c r="K361" s="49" t="s">
        <v>4958</v>
      </c>
      <c r="L361" s="49" t="s">
        <v>4959</v>
      </c>
      <c r="M361" s="49" t="s">
        <v>4960</v>
      </c>
      <c r="N361" s="49" t="s">
        <v>4961</v>
      </c>
      <c r="O361" s="49" t="s">
        <v>10224</v>
      </c>
      <c r="P361" s="49" t="s">
        <v>10225</v>
      </c>
      <c r="Q361" s="49" t="s">
        <v>10226</v>
      </c>
      <c r="R361" s="49" t="s">
        <v>10227</v>
      </c>
      <c r="S361" s="49" t="s">
        <v>10228</v>
      </c>
      <c r="T361" s="49" t="s">
        <v>10229</v>
      </c>
    </row>
    <row r="362" spans="1:21" x14ac:dyDescent="0.2">
      <c r="A362" s="49" t="s">
        <v>30</v>
      </c>
    </row>
    <row r="363" spans="1:21" x14ac:dyDescent="0.2">
      <c r="A363" s="49" t="s">
        <v>30</v>
      </c>
      <c r="E363" s="49" t="s">
        <v>31</v>
      </c>
      <c r="F363" s="49" t="s">
        <v>31</v>
      </c>
      <c r="G363" s="49" t="s">
        <v>31</v>
      </c>
      <c r="J363" s="49" t="s">
        <v>31</v>
      </c>
      <c r="K363" s="49" t="s">
        <v>31</v>
      </c>
      <c r="L363" s="49" t="s">
        <v>31</v>
      </c>
      <c r="M363" s="49" t="s">
        <v>31</v>
      </c>
    </row>
    <row r="364" spans="1:21" x14ac:dyDescent="0.2">
      <c r="A364" s="49" t="s">
        <v>30</v>
      </c>
      <c r="D364" s="49" t="s">
        <v>13513</v>
      </c>
      <c r="E364" s="49" t="s">
        <v>6114</v>
      </c>
      <c r="F364" s="49" t="s">
        <v>13514</v>
      </c>
      <c r="H364" s="49" t="s">
        <v>13515</v>
      </c>
      <c r="O364" s="49" t="s">
        <v>13516</v>
      </c>
      <c r="P364" s="49" t="s">
        <v>13517</v>
      </c>
      <c r="Q364" s="49" t="s">
        <v>13518</v>
      </c>
      <c r="R364" s="49" t="s">
        <v>13519</v>
      </c>
      <c r="S364" s="49" t="s">
        <v>13520</v>
      </c>
      <c r="T364" s="49" t="s">
        <v>13521</v>
      </c>
      <c r="U364" s="49" t="s">
        <v>13522</v>
      </c>
    </row>
    <row r="365" spans="1:21" x14ac:dyDescent="0.2">
      <c r="A365" s="49" t="s">
        <v>30</v>
      </c>
      <c r="D365" s="49" t="s">
        <v>1450</v>
      </c>
      <c r="G365" s="49" t="s">
        <v>13523</v>
      </c>
      <c r="H365" s="49" t="s">
        <v>1451</v>
      </c>
      <c r="I365" s="49" t="s">
        <v>1452</v>
      </c>
      <c r="J365" s="49" t="s">
        <v>1453</v>
      </c>
      <c r="K365" s="49" t="s">
        <v>1454</v>
      </c>
      <c r="L365" s="49" t="s">
        <v>1455</v>
      </c>
      <c r="M365" s="49" t="s">
        <v>1456</v>
      </c>
      <c r="N365" s="49" t="s">
        <v>1457</v>
      </c>
      <c r="O365" s="49" t="s">
        <v>9365</v>
      </c>
      <c r="P365" s="49" t="s">
        <v>9366</v>
      </c>
      <c r="Q365" s="49" t="s">
        <v>9367</v>
      </c>
      <c r="R365" s="49" t="s">
        <v>9368</v>
      </c>
      <c r="S365" s="49" t="s">
        <v>9369</v>
      </c>
      <c r="T365" s="49" t="s">
        <v>9370</v>
      </c>
    </row>
    <row r="366" spans="1:21" x14ac:dyDescent="0.2">
      <c r="A366" s="49" t="s">
        <v>30</v>
      </c>
      <c r="D366" s="49" t="s">
        <v>1458</v>
      </c>
      <c r="G366" s="49" t="s">
        <v>16173</v>
      </c>
      <c r="H366" s="49" t="s">
        <v>1459</v>
      </c>
      <c r="I366" s="49" t="s">
        <v>1460</v>
      </c>
      <c r="J366" s="49" t="s">
        <v>1461</v>
      </c>
      <c r="K366" s="49" t="s">
        <v>1462</v>
      </c>
      <c r="L366" s="49" t="s">
        <v>1463</v>
      </c>
      <c r="M366" s="49" t="s">
        <v>1464</v>
      </c>
      <c r="N366" s="49" t="s">
        <v>1465</v>
      </c>
      <c r="O366" s="49" t="s">
        <v>10236</v>
      </c>
      <c r="P366" s="49" t="s">
        <v>10237</v>
      </c>
      <c r="Q366" s="49" t="s">
        <v>10238</v>
      </c>
      <c r="R366" s="49" t="s">
        <v>10239</v>
      </c>
      <c r="S366" s="49" t="s">
        <v>10240</v>
      </c>
      <c r="T366" s="49" t="s">
        <v>10241</v>
      </c>
    </row>
    <row r="367" spans="1:21" x14ac:dyDescent="0.2">
      <c r="A367" s="49" t="s">
        <v>30</v>
      </c>
    </row>
    <row r="368" spans="1:21" x14ac:dyDescent="0.2">
      <c r="A368" s="49" t="s">
        <v>30</v>
      </c>
      <c r="E368" s="49" t="s">
        <v>31</v>
      </c>
      <c r="F368" s="49" t="s">
        <v>31</v>
      </c>
      <c r="G368" s="49" t="s">
        <v>31</v>
      </c>
      <c r="J368" s="49" t="s">
        <v>31</v>
      </c>
      <c r="K368" s="49" t="s">
        <v>31</v>
      </c>
      <c r="L368" s="49" t="s">
        <v>31</v>
      </c>
      <c r="M368" s="49" t="s">
        <v>31</v>
      </c>
    </row>
    <row r="369" spans="1:21" x14ac:dyDescent="0.2">
      <c r="A369" s="49" t="s">
        <v>30</v>
      </c>
      <c r="D369" s="49" t="s">
        <v>13524</v>
      </c>
      <c r="E369" s="49" t="s">
        <v>6242</v>
      </c>
      <c r="F369" s="49" t="s">
        <v>13525</v>
      </c>
      <c r="H369" s="49" t="s">
        <v>13526</v>
      </c>
      <c r="O369" s="49" t="s">
        <v>33462</v>
      </c>
      <c r="P369" s="49" t="s">
        <v>33463</v>
      </c>
      <c r="Q369" s="49" t="s">
        <v>33464</v>
      </c>
      <c r="R369" s="49" t="s">
        <v>33465</v>
      </c>
      <c r="S369" s="49" t="s">
        <v>33466</v>
      </c>
      <c r="T369" s="49" t="s">
        <v>33467</v>
      </c>
      <c r="U369" s="49" t="s">
        <v>33468</v>
      </c>
    </row>
    <row r="370" spans="1:21" x14ac:dyDescent="0.2">
      <c r="A370" s="49" t="s">
        <v>30</v>
      </c>
      <c r="D370" s="49" t="s">
        <v>2193</v>
      </c>
      <c r="G370" s="49" t="s">
        <v>13527</v>
      </c>
      <c r="H370" s="49" t="s">
        <v>2194</v>
      </c>
      <c r="I370" s="49" t="s">
        <v>2195</v>
      </c>
      <c r="J370" s="49" t="s">
        <v>2196</v>
      </c>
      <c r="K370" s="49" t="s">
        <v>2197</v>
      </c>
      <c r="L370" s="49" t="s">
        <v>2198</v>
      </c>
      <c r="M370" s="49" t="s">
        <v>2199</v>
      </c>
      <c r="N370" s="49" t="s">
        <v>2200</v>
      </c>
      <c r="O370" s="49" t="s">
        <v>9371</v>
      </c>
      <c r="P370" s="49" t="s">
        <v>9372</v>
      </c>
      <c r="Q370" s="49" t="s">
        <v>9373</v>
      </c>
      <c r="R370" s="49" t="s">
        <v>9374</v>
      </c>
      <c r="S370" s="49" t="s">
        <v>9375</v>
      </c>
      <c r="T370" s="49" t="s">
        <v>9376</v>
      </c>
    </row>
    <row r="371" spans="1:21" x14ac:dyDescent="0.2">
      <c r="A371" s="49" t="s">
        <v>30</v>
      </c>
      <c r="D371" s="49" t="s">
        <v>1474</v>
      </c>
      <c r="G371" s="49" t="s">
        <v>16219</v>
      </c>
      <c r="H371" s="49" t="s">
        <v>1475</v>
      </c>
      <c r="I371" s="49" t="s">
        <v>1476</v>
      </c>
      <c r="J371" s="49" t="s">
        <v>1477</v>
      </c>
      <c r="K371" s="49" t="s">
        <v>1478</v>
      </c>
      <c r="L371" s="49" t="s">
        <v>1479</v>
      </c>
      <c r="M371" s="49" t="s">
        <v>1480</v>
      </c>
      <c r="N371" s="49" t="s">
        <v>1481</v>
      </c>
      <c r="O371" s="49" t="s">
        <v>10248</v>
      </c>
      <c r="P371" s="49" t="s">
        <v>10249</v>
      </c>
      <c r="Q371" s="49" t="s">
        <v>10250</v>
      </c>
      <c r="R371" s="49" t="s">
        <v>10251</v>
      </c>
      <c r="S371" s="49" t="s">
        <v>10252</v>
      </c>
      <c r="T371" s="49" t="s">
        <v>10253</v>
      </c>
    </row>
    <row r="372" spans="1:21" x14ac:dyDescent="0.2">
      <c r="A372" s="49" t="s">
        <v>30</v>
      </c>
      <c r="D372" s="49" t="s">
        <v>14519</v>
      </c>
      <c r="G372" s="49" t="s">
        <v>16236</v>
      </c>
      <c r="H372" s="49" t="s">
        <v>31482</v>
      </c>
      <c r="I372" s="49" t="s">
        <v>31485</v>
      </c>
      <c r="J372" s="49" t="s">
        <v>31524</v>
      </c>
      <c r="K372" s="49" t="s">
        <v>31527</v>
      </c>
      <c r="L372" s="49" t="s">
        <v>14521</v>
      </c>
      <c r="M372" s="49" t="s">
        <v>14522</v>
      </c>
      <c r="N372" s="49" t="s">
        <v>14523</v>
      </c>
      <c r="O372" s="49" t="s">
        <v>32755</v>
      </c>
      <c r="P372" s="49" t="s">
        <v>32756</v>
      </c>
      <c r="Q372" s="49" t="s">
        <v>32757</v>
      </c>
      <c r="R372" s="49" t="s">
        <v>32758</v>
      </c>
      <c r="S372" s="49" t="s">
        <v>32759</v>
      </c>
      <c r="T372" s="49" t="s">
        <v>32760</v>
      </c>
    </row>
    <row r="373" spans="1:21" x14ac:dyDescent="0.2">
      <c r="A373" s="49" t="s">
        <v>30</v>
      </c>
    </row>
    <row r="374" spans="1:21" x14ac:dyDescent="0.2">
      <c r="A374" s="49" t="s">
        <v>30</v>
      </c>
      <c r="E374" s="49" t="s">
        <v>31</v>
      </c>
      <c r="F374" s="49" t="s">
        <v>31</v>
      </c>
      <c r="G374" s="49" t="s">
        <v>31</v>
      </c>
      <c r="J374" s="49" t="s">
        <v>31</v>
      </c>
      <c r="K374" s="49" t="s">
        <v>31</v>
      </c>
      <c r="L374" s="49" t="s">
        <v>31</v>
      </c>
      <c r="M374" s="49" t="s">
        <v>31</v>
      </c>
    </row>
    <row r="375" spans="1:21" x14ac:dyDescent="0.2">
      <c r="A375" s="49" t="s">
        <v>30</v>
      </c>
      <c r="D375" s="49" t="s">
        <v>32761</v>
      </c>
      <c r="E375" s="49" t="s">
        <v>6351</v>
      </c>
      <c r="F375" s="49" t="s">
        <v>32762</v>
      </c>
      <c r="H375" s="49" t="s">
        <v>32763</v>
      </c>
      <c r="O375" s="49" t="s">
        <v>33469</v>
      </c>
      <c r="P375" s="49" t="s">
        <v>33470</v>
      </c>
      <c r="Q375" s="49" t="s">
        <v>33471</v>
      </c>
      <c r="R375" s="49" t="s">
        <v>33472</v>
      </c>
      <c r="S375" s="49" t="s">
        <v>33473</v>
      </c>
      <c r="T375" s="49" t="s">
        <v>33474</v>
      </c>
      <c r="U375" s="49" t="s">
        <v>33475</v>
      </c>
    </row>
    <row r="376" spans="1:21" x14ac:dyDescent="0.2">
      <c r="A376" s="49" t="s">
        <v>30</v>
      </c>
      <c r="D376" s="49" t="s">
        <v>2494</v>
      </c>
      <c r="G376" s="49" t="s">
        <v>32771</v>
      </c>
      <c r="H376" s="49" t="s">
        <v>2495</v>
      </c>
      <c r="I376" s="49" t="s">
        <v>2496</v>
      </c>
      <c r="J376" s="49" t="s">
        <v>2497</v>
      </c>
      <c r="K376" s="49" t="s">
        <v>2498</v>
      </c>
      <c r="L376" s="49" t="s">
        <v>2499</v>
      </c>
      <c r="M376" s="49" t="s">
        <v>2500</v>
      </c>
      <c r="N376" s="49" t="s">
        <v>2501</v>
      </c>
      <c r="O376" s="49" t="s">
        <v>10523</v>
      </c>
      <c r="P376" s="49" t="s">
        <v>10524</v>
      </c>
      <c r="Q376" s="49" t="s">
        <v>10525</v>
      </c>
      <c r="R376" s="49" t="s">
        <v>10526</v>
      </c>
      <c r="S376" s="49" t="s">
        <v>10527</v>
      </c>
      <c r="T376" s="49" t="s">
        <v>10528</v>
      </c>
    </row>
    <row r="377" spans="1:21" x14ac:dyDescent="0.2">
      <c r="A377" s="49" t="s">
        <v>30</v>
      </c>
      <c r="D377" s="49" t="s">
        <v>10863</v>
      </c>
      <c r="G377" s="49" t="s">
        <v>16290</v>
      </c>
      <c r="H377" s="49" t="s">
        <v>10864</v>
      </c>
      <c r="I377" s="49" t="s">
        <v>10865</v>
      </c>
      <c r="J377" s="49" t="s">
        <v>10866</v>
      </c>
      <c r="K377" s="49" t="s">
        <v>10867</v>
      </c>
      <c r="L377" s="49" t="s">
        <v>10868</v>
      </c>
      <c r="M377" s="49" t="s">
        <v>10869</v>
      </c>
      <c r="N377" s="49" t="s">
        <v>10870</v>
      </c>
      <c r="O377" s="49" t="s">
        <v>13330</v>
      </c>
      <c r="P377" s="49" t="s">
        <v>13331</v>
      </c>
      <c r="Q377" s="49" t="s">
        <v>13332</v>
      </c>
      <c r="R377" s="49" t="s">
        <v>13333</v>
      </c>
      <c r="S377" s="49" t="s">
        <v>13334</v>
      </c>
      <c r="T377" s="49" t="s">
        <v>13335</v>
      </c>
    </row>
    <row r="378" spans="1:21" x14ac:dyDescent="0.2">
      <c r="A378" s="49" t="s">
        <v>30</v>
      </c>
      <c r="D378" s="49" t="s">
        <v>1482</v>
      </c>
      <c r="G378" s="49" t="s">
        <v>16300</v>
      </c>
      <c r="H378" s="49" t="s">
        <v>1483</v>
      </c>
      <c r="I378" s="49" t="s">
        <v>1484</v>
      </c>
      <c r="J378" s="49" t="s">
        <v>1485</v>
      </c>
      <c r="K378" s="49" t="s">
        <v>1486</v>
      </c>
      <c r="L378" s="49" t="s">
        <v>1487</v>
      </c>
      <c r="M378" s="49" t="s">
        <v>1488</v>
      </c>
      <c r="N378" s="49" t="s">
        <v>1489</v>
      </c>
      <c r="O378" s="49" t="s">
        <v>9820</v>
      </c>
      <c r="P378" s="49" t="s">
        <v>9821</v>
      </c>
      <c r="Q378" s="49" t="s">
        <v>9822</v>
      </c>
      <c r="R378" s="49" t="s">
        <v>9823</v>
      </c>
      <c r="S378" s="49" t="s">
        <v>9824</v>
      </c>
      <c r="T378" s="49" t="s">
        <v>9825</v>
      </c>
    </row>
    <row r="379" spans="1:21" x14ac:dyDescent="0.2">
      <c r="A379" s="49" t="s">
        <v>30</v>
      </c>
      <c r="D379" s="49" t="s">
        <v>1490</v>
      </c>
      <c r="G379" s="49" t="s">
        <v>16315</v>
      </c>
      <c r="H379" s="49" t="s">
        <v>1491</v>
      </c>
      <c r="I379" s="49" t="s">
        <v>1492</v>
      </c>
      <c r="J379" s="49" t="s">
        <v>1493</v>
      </c>
      <c r="K379" s="49" t="s">
        <v>1494</v>
      </c>
      <c r="L379" s="49" t="s">
        <v>1495</v>
      </c>
      <c r="M379" s="49" t="s">
        <v>1496</v>
      </c>
      <c r="N379" s="49" t="s">
        <v>1497</v>
      </c>
      <c r="O379" s="49" t="s">
        <v>9377</v>
      </c>
      <c r="P379" s="49" t="s">
        <v>9378</v>
      </c>
      <c r="Q379" s="49" t="s">
        <v>9379</v>
      </c>
      <c r="R379" s="49" t="s">
        <v>9380</v>
      </c>
      <c r="S379" s="49" t="s">
        <v>9381</v>
      </c>
      <c r="T379" s="49" t="s">
        <v>9382</v>
      </c>
    </row>
    <row r="380" spans="1:21" x14ac:dyDescent="0.2">
      <c r="A380" s="49" t="s">
        <v>30</v>
      </c>
    </row>
    <row r="381" spans="1:21" x14ac:dyDescent="0.2">
      <c r="A381" s="49" t="s">
        <v>30</v>
      </c>
      <c r="E381" s="49" t="s">
        <v>31</v>
      </c>
      <c r="F381" s="49" t="s">
        <v>31</v>
      </c>
      <c r="G381" s="49" t="s">
        <v>31</v>
      </c>
      <c r="J381" s="49" t="s">
        <v>31</v>
      </c>
      <c r="K381" s="49" t="s">
        <v>31</v>
      </c>
      <c r="L381" s="49" t="s">
        <v>31</v>
      </c>
      <c r="M381" s="49" t="s">
        <v>31</v>
      </c>
    </row>
    <row r="382" spans="1:21" x14ac:dyDescent="0.2">
      <c r="A382" s="49" t="s">
        <v>30</v>
      </c>
      <c r="D382" s="49" t="s">
        <v>33476</v>
      </c>
      <c r="E382" s="49" t="s">
        <v>6446</v>
      </c>
      <c r="F382" s="49" t="s">
        <v>33477</v>
      </c>
      <c r="H382" s="49" t="s">
        <v>33478</v>
      </c>
      <c r="O382" s="49" t="s">
        <v>33479</v>
      </c>
      <c r="P382" s="49" t="s">
        <v>33480</v>
      </c>
      <c r="Q382" s="49" t="s">
        <v>33481</v>
      </c>
      <c r="R382" s="49" t="s">
        <v>33482</v>
      </c>
      <c r="S382" s="49" t="s">
        <v>33483</v>
      </c>
      <c r="T382" s="49" t="s">
        <v>33484</v>
      </c>
      <c r="U382" s="49" t="s">
        <v>33485</v>
      </c>
    </row>
    <row r="383" spans="1:21" x14ac:dyDescent="0.2">
      <c r="A383" s="49" t="s">
        <v>30</v>
      </c>
      <c r="D383" s="49" t="s">
        <v>1522</v>
      </c>
      <c r="G383" s="49" t="s">
        <v>33486</v>
      </c>
      <c r="H383" s="49" t="s">
        <v>1523</v>
      </c>
      <c r="I383" s="49" t="s">
        <v>1524</v>
      </c>
      <c r="J383" s="49" t="s">
        <v>1525</v>
      </c>
      <c r="K383" s="49" t="s">
        <v>1526</v>
      </c>
      <c r="L383" s="49" t="s">
        <v>1527</v>
      </c>
      <c r="M383" s="49" t="s">
        <v>1528</v>
      </c>
      <c r="N383" s="49" t="s">
        <v>1529</v>
      </c>
      <c r="O383" s="49" t="s">
        <v>34654</v>
      </c>
      <c r="P383" s="49" t="s">
        <v>34655</v>
      </c>
      <c r="Q383" s="49" t="s">
        <v>34656</v>
      </c>
      <c r="R383" s="49" t="s">
        <v>34657</v>
      </c>
      <c r="S383" s="49" t="s">
        <v>34658</v>
      </c>
      <c r="T383" s="49" t="s">
        <v>34659</v>
      </c>
    </row>
    <row r="384" spans="1:21" x14ac:dyDescent="0.2">
      <c r="A384" s="49" t="s">
        <v>30</v>
      </c>
      <c r="D384" s="49" t="s">
        <v>1530</v>
      </c>
      <c r="G384" s="49" t="s">
        <v>16415</v>
      </c>
      <c r="H384" s="49" t="s">
        <v>1531</v>
      </c>
      <c r="I384" s="49" t="s">
        <v>1532</v>
      </c>
      <c r="J384" s="49" t="s">
        <v>1533</v>
      </c>
      <c r="K384" s="49" t="s">
        <v>1534</v>
      </c>
      <c r="L384" s="49" t="s">
        <v>1535</v>
      </c>
      <c r="M384" s="49" t="s">
        <v>1536</v>
      </c>
      <c r="N384" s="49" t="s">
        <v>1537</v>
      </c>
      <c r="O384" s="49" t="s">
        <v>13916</v>
      </c>
      <c r="P384" s="49" t="s">
        <v>13917</v>
      </c>
      <c r="Q384" s="49" t="s">
        <v>13918</v>
      </c>
      <c r="R384" s="49" t="s">
        <v>13919</v>
      </c>
      <c r="S384" s="49" t="s">
        <v>13920</v>
      </c>
      <c r="T384" s="49" t="s">
        <v>13921</v>
      </c>
    </row>
    <row r="385" spans="1:21" x14ac:dyDescent="0.2">
      <c r="A385" s="49" t="s">
        <v>30</v>
      </c>
      <c r="D385" s="49" t="s">
        <v>1538</v>
      </c>
      <c r="G385" s="49" t="s">
        <v>16445</v>
      </c>
      <c r="H385" s="49" t="s">
        <v>1539</v>
      </c>
      <c r="I385" s="49" t="s">
        <v>1540</v>
      </c>
      <c r="J385" s="49" t="s">
        <v>1541</v>
      </c>
      <c r="K385" s="49" t="s">
        <v>1542</v>
      </c>
      <c r="L385" s="49" t="s">
        <v>1543</v>
      </c>
      <c r="M385" s="49" t="s">
        <v>1544</v>
      </c>
      <c r="N385" s="49" t="s">
        <v>1545</v>
      </c>
      <c r="O385" s="49" t="s">
        <v>10541</v>
      </c>
      <c r="P385" s="49" t="s">
        <v>10542</v>
      </c>
      <c r="Q385" s="49" t="s">
        <v>10543</v>
      </c>
      <c r="R385" s="49" t="s">
        <v>10544</v>
      </c>
      <c r="S385" s="49" t="s">
        <v>10545</v>
      </c>
      <c r="T385" s="49" t="s">
        <v>10546</v>
      </c>
    </row>
    <row r="386" spans="1:21" x14ac:dyDescent="0.2">
      <c r="A386" s="49" t="s">
        <v>30</v>
      </c>
      <c r="D386" s="49" t="s">
        <v>1546</v>
      </c>
      <c r="G386" s="49" t="s">
        <v>16455</v>
      </c>
      <c r="H386" s="49" t="s">
        <v>1547</v>
      </c>
      <c r="I386" s="49" t="s">
        <v>1548</v>
      </c>
      <c r="J386" s="49" t="s">
        <v>1549</v>
      </c>
      <c r="K386" s="49" t="s">
        <v>1550</v>
      </c>
      <c r="L386" s="49" t="s">
        <v>1551</v>
      </c>
      <c r="M386" s="49" t="s">
        <v>1552</v>
      </c>
      <c r="N386" s="49" t="s">
        <v>1553</v>
      </c>
      <c r="O386" s="49" t="s">
        <v>13342</v>
      </c>
      <c r="P386" s="49" t="s">
        <v>13343</v>
      </c>
      <c r="Q386" s="49" t="s">
        <v>13344</v>
      </c>
      <c r="R386" s="49" t="s">
        <v>13345</v>
      </c>
      <c r="S386" s="49" t="s">
        <v>13346</v>
      </c>
      <c r="T386" s="49" t="s">
        <v>13347</v>
      </c>
    </row>
    <row r="387" spans="1:21" x14ac:dyDescent="0.2">
      <c r="A387" s="49" t="s">
        <v>30</v>
      </c>
    </row>
    <row r="388" spans="1:21" x14ac:dyDescent="0.2">
      <c r="A388" s="49" t="s">
        <v>30</v>
      </c>
      <c r="E388" s="49" t="s">
        <v>31</v>
      </c>
      <c r="F388" s="49" t="s">
        <v>31</v>
      </c>
      <c r="G388" s="49" t="s">
        <v>31</v>
      </c>
      <c r="J388" s="49" t="s">
        <v>31</v>
      </c>
      <c r="K388" s="49" t="s">
        <v>31</v>
      </c>
      <c r="L388" s="49" t="s">
        <v>31</v>
      </c>
      <c r="M388" s="49" t="s">
        <v>31</v>
      </c>
    </row>
    <row r="389" spans="1:21" x14ac:dyDescent="0.2">
      <c r="A389" s="49" t="s">
        <v>30</v>
      </c>
      <c r="D389" s="49" t="s">
        <v>10877</v>
      </c>
      <c r="E389" s="49" t="s">
        <v>6601</v>
      </c>
      <c r="F389" s="49" t="s">
        <v>10878</v>
      </c>
      <c r="H389" s="49" t="s">
        <v>10879</v>
      </c>
      <c r="O389" s="49" t="s">
        <v>33487</v>
      </c>
      <c r="P389" s="49" t="s">
        <v>33488</v>
      </c>
      <c r="Q389" s="49" t="s">
        <v>33489</v>
      </c>
      <c r="R389" s="49" t="s">
        <v>33490</v>
      </c>
      <c r="S389" s="49" t="s">
        <v>33491</v>
      </c>
      <c r="T389" s="49" t="s">
        <v>33492</v>
      </c>
      <c r="U389" s="49" t="s">
        <v>33493</v>
      </c>
    </row>
    <row r="390" spans="1:21" x14ac:dyDescent="0.2">
      <c r="A390" s="49" t="s">
        <v>30</v>
      </c>
      <c r="D390" s="49" t="s">
        <v>2209</v>
      </c>
      <c r="G390" s="49" t="s">
        <v>13922</v>
      </c>
      <c r="H390" s="49" t="s">
        <v>2210</v>
      </c>
      <c r="I390" s="49" t="s">
        <v>2211</v>
      </c>
      <c r="J390" s="49" t="s">
        <v>2212</v>
      </c>
      <c r="K390" s="49" t="s">
        <v>2213</v>
      </c>
      <c r="L390" s="49" t="s">
        <v>2214</v>
      </c>
      <c r="M390" s="49" t="s">
        <v>2215</v>
      </c>
      <c r="N390" s="49" t="s">
        <v>2216</v>
      </c>
      <c r="O390" s="49" t="s">
        <v>10553</v>
      </c>
      <c r="P390" s="49" t="s">
        <v>10554</v>
      </c>
      <c r="Q390" s="49" t="s">
        <v>10555</v>
      </c>
      <c r="R390" s="49" t="s">
        <v>10556</v>
      </c>
      <c r="S390" s="49" t="s">
        <v>10557</v>
      </c>
      <c r="T390" s="49" t="s">
        <v>10558</v>
      </c>
    </row>
    <row r="391" spans="1:21" x14ac:dyDescent="0.2">
      <c r="A391" s="49" t="s">
        <v>30</v>
      </c>
      <c r="D391" s="49" t="s">
        <v>1554</v>
      </c>
      <c r="G391" s="49" t="s">
        <v>16515</v>
      </c>
      <c r="H391" s="49" t="s">
        <v>1555</v>
      </c>
      <c r="I391" s="49" t="s">
        <v>1556</v>
      </c>
      <c r="J391" s="49" t="s">
        <v>1557</v>
      </c>
      <c r="K391" s="49" t="s">
        <v>1558</v>
      </c>
      <c r="L391" s="49" t="s">
        <v>1559</v>
      </c>
      <c r="M391" s="49" t="s">
        <v>1560</v>
      </c>
      <c r="N391" s="49" t="s">
        <v>1561</v>
      </c>
      <c r="O391" s="49" t="s">
        <v>34642</v>
      </c>
      <c r="P391" s="49" t="s">
        <v>34644</v>
      </c>
      <c r="Q391" s="49" t="s">
        <v>34646</v>
      </c>
      <c r="R391" s="49" t="s">
        <v>34648</v>
      </c>
      <c r="S391" s="49" t="s">
        <v>34650</v>
      </c>
      <c r="T391" s="49" t="s">
        <v>34652</v>
      </c>
    </row>
    <row r="392" spans="1:21" x14ac:dyDescent="0.2">
      <c r="A392" s="49" t="s">
        <v>30</v>
      </c>
      <c r="D392" s="49" t="s">
        <v>14563</v>
      </c>
      <c r="G392" s="49" t="s">
        <v>16575</v>
      </c>
      <c r="H392" s="49" t="s">
        <v>31386</v>
      </c>
      <c r="I392" s="49" t="s">
        <v>31394</v>
      </c>
      <c r="J392" s="49" t="s">
        <v>31468</v>
      </c>
      <c r="K392" s="49" t="s">
        <v>31476</v>
      </c>
      <c r="L392" s="49" t="s">
        <v>14565</v>
      </c>
      <c r="M392" s="49" t="s">
        <v>14566</v>
      </c>
      <c r="N392" s="49" t="s">
        <v>14567</v>
      </c>
      <c r="O392" s="49" t="s">
        <v>34643</v>
      </c>
      <c r="P392" s="49" t="s">
        <v>34645</v>
      </c>
      <c r="Q392" s="49" t="s">
        <v>34647</v>
      </c>
      <c r="R392" s="49" t="s">
        <v>34649</v>
      </c>
      <c r="S392" s="49" t="s">
        <v>34651</v>
      </c>
      <c r="T392" s="49" t="s">
        <v>34653</v>
      </c>
    </row>
    <row r="393" spans="1:21" x14ac:dyDescent="0.2">
      <c r="A393" s="49" t="s">
        <v>30</v>
      </c>
    </row>
    <row r="394" spans="1:21" x14ac:dyDescent="0.2">
      <c r="A394" s="49" t="s">
        <v>30</v>
      </c>
      <c r="E394" s="49" t="s">
        <v>31</v>
      </c>
      <c r="F394" s="49" t="s">
        <v>31</v>
      </c>
      <c r="G394" s="49" t="s">
        <v>31</v>
      </c>
      <c r="J394" s="49" t="s">
        <v>31</v>
      </c>
      <c r="K394" s="49" t="s">
        <v>31</v>
      </c>
      <c r="L394" s="49" t="s">
        <v>31</v>
      </c>
      <c r="M394" s="49" t="s">
        <v>31</v>
      </c>
    </row>
    <row r="395" spans="1:21" x14ac:dyDescent="0.2">
      <c r="A395" s="49" t="s">
        <v>30</v>
      </c>
      <c r="D395" s="49" t="s">
        <v>33494</v>
      </c>
      <c r="E395" s="49" t="s">
        <v>6666</v>
      </c>
      <c r="F395" s="49" t="s">
        <v>33495</v>
      </c>
      <c r="H395" s="49" t="s">
        <v>33496</v>
      </c>
      <c r="O395" s="49" t="s">
        <v>33497</v>
      </c>
      <c r="P395" s="49" t="s">
        <v>33498</v>
      </c>
      <c r="Q395" s="49" t="s">
        <v>33499</v>
      </c>
      <c r="R395" s="49" t="s">
        <v>33500</v>
      </c>
      <c r="S395" s="49" t="s">
        <v>33501</v>
      </c>
      <c r="T395" s="49" t="s">
        <v>33502</v>
      </c>
      <c r="U395" s="49" t="s">
        <v>33503</v>
      </c>
    </row>
    <row r="396" spans="1:21" x14ac:dyDescent="0.2">
      <c r="A396" s="49" t="s">
        <v>30</v>
      </c>
      <c r="D396" s="49" t="s">
        <v>1573</v>
      </c>
      <c r="G396" s="49" t="s">
        <v>33504</v>
      </c>
      <c r="H396" s="49" t="s">
        <v>1574</v>
      </c>
      <c r="I396" s="49" t="s">
        <v>1575</v>
      </c>
      <c r="J396" s="49" t="s">
        <v>1576</v>
      </c>
      <c r="K396" s="49" t="s">
        <v>1577</v>
      </c>
      <c r="L396" s="49" t="s">
        <v>1578</v>
      </c>
      <c r="M396" s="49" t="s">
        <v>1579</v>
      </c>
      <c r="N396" s="49" t="s">
        <v>1580</v>
      </c>
      <c r="O396" s="49" t="s">
        <v>34636</v>
      </c>
      <c r="P396" s="49" t="s">
        <v>34637</v>
      </c>
      <c r="Q396" s="49" t="s">
        <v>34638</v>
      </c>
      <c r="R396" s="49" t="s">
        <v>34639</v>
      </c>
      <c r="S396" s="49" t="s">
        <v>34640</v>
      </c>
      <c r="T396" s="49" t="s">
        <v>34641</v>
      </c>
    </row>
    <row r="397" spans="1:21" x14ac:dyDescent="0.2">
      <c r="A397" s="49" t="s">
        <v>30</v>
      </c>
      <c r="D397" s="49" t="s">
        <v>3825</v>
      </c>
      <c r="G397" s="49" t="s">
        <v>16650</v>
      </c>
      <c r="H397" s="49" t="s">
        <v>3826</v>
      </c>
      <c r="I397" s="49" t="s">
        <v>3827</v>
      </c>
      <c r="J397" s="49" t="s">
        <v>3828</v>
      </c>
      <c r="K397" s="49" t="s">
        <v>3829</v>
      </c>
      <c r="L397" s="49" t="s">
        <v>3830</v>
      </c>
      <c r="M397" s="49" t="s">
        <v>3831</v>
      </c>
      <c r="N397" s="49" t="s">
        <v>3832</v>
      </c>
      <c r="O397" s="49" t="s">
        <v>9826</v>
      </c>
      <c r="P397" s="49" t="s">
        <v>9827</v>
      </c>
      <c r="Q397" s="49" t="s">
        <v>9828</v>
      </c>
      <c r="R397" s="49" t="s">
        <v>9829</v>
      </c>
      <c r="S397" s="49" t="s">
        <v>9830</v>
      </c>
      <c r="T397" s="49" t="s">
        <v>9831</v>
      </c>
    </row>
    <row r="398" spans="1:21" x14ac:dyDescent="0.2">
      <c r="A398" s="49" t="s">
        <v>30</v>
      </c>
      <c r="D398" s="49" t="s">
        <v>3300</v>
      </c>
      <c r="G398" s="49" t="s">
        <v>16660</v>
      </c>
      <c r="H398" s="49" t="s">
        <v>3301</v>
      </c>
      <c r="I398" s="49" t="s">
        <v>3302</v>
      </c>
      <c r="J398" s="49" t="s">
        <v>3303</v>
      </c>
      <c r="K398" s="49" t="s">
        <v>3304</v>
      </c>
      <c r="L398" s="49" t="s">
        <v>3305</v>
      </c>
      <c r="M398" s="49" t="s">
        <v>3306</v>
      </c>
      <c r="N398" s="49" t="s">
        <v>3307</v>
      </c>
      <c r="O398" s="49" t="s">
        <v>9399</v>
      </c>
      <c r="P398" s="49" t="s">
        <v>9400</v>
      </c>
      <c r="Q398" s="49" t="s">
        <v>9401</v>
      </c>
      <c r="R398" s="49" t="s">
        <v>9402</v>
      </c>
      <c r="S398" s="49" t="s">
        <v>9403</v>
      </c>
      <c r="T398" s="49" t="s">
        <v>9404</v>
      </c>
    </row>
    <row r="399" spans="1:21" x14ac:dyDescent="0.2">
      <c r="A399" s="49" t="s">
        <v>30</v>
      </c>
    </row>
    <row r="400" spans="1:21" x14ac:dyDescent="0.2">
      <c r="A400" s="49" t="s">
        <v>30</v>
      </c>
      <c r="E400" s="49" t="s">
        <v>31</v>
      </c>
      <c r="F400" s="49" t="s">
        <v>31</v>
      </c>
      <c r="G400" s="49" t="s">
        <v>31</v>
      </c>
      <c r="J400" s="49" t="s">
        <v>31</v>
      </c>
      <c r="K400" s="49" t="s">
        <v>31</v>
      </c>
      <c r="L400" s="49" t="s">
        <v>31</v>
      </c>
      <c r="M400" s="49" t="s">
        <v>31</v>
      </c>
    </row>
    <row r="401" spans="1:21" x14ac:dyDescent="0.2">
      <c r="A401" s="49" t="s">
        <v>30</v>
      </c>
      <c r="D401" s="49" t="s">
        <v>9405</v>
      </c>
      <c r="E401" s="49" t="s">
        <v>6803</v>
      </c>
      <c r="F401" s="49" t="s">
        <v>9406</v>
      </c>
      <c r="H401" s="49" t="s">
        <v>9407</v>
      </c>
      <c r="O401" s="49" t="s">
        <v>33505</v>
      </c>
      <c r="P401" s="49" t="s">
        <v>33506</v>
      </c>
      <c r="Q401" s="49" t="s">
        <v>33507</v>
      </c>
      <c r="R401" s="49" t="s">
        <v>33508</v>
      </c>
      <c r="S401" s="49" t="s">
        <v>33509</v>
      </c>
      <c r="T401" s="49" t="s">
        <v>33510</v>
      </c>
      <c r="U401" s="49" t="s">
        <v>33511</v>
      </c>
    </row>
    <row r="402" spans="1:21" x14ac:dyDescent="0.2">
      <c r="A402" s="49" t="s">
        <v>30</v>
      </c>
      <c r="D402" s="49" t="s">
        <v>4988</v>
      </c>
      <c r="G402" s="49" t="s">
        <v>9408</v>
      </c>
      <c r="H402" s="49" t="s">
        <v>4989</v>
      </c>
      <c r="I402" s="49" t="s">
        <v>4990</v>
      </c>
      <c r="J402" s="49" t="s">
        <v>4991</v>
      </c>
      <c r="K402" s="49" t="s">
        <v>4992</v>
      </c>
      <c r="L402" s="49" t="s">
        <v>4993</v>
      </c>
      <c r="M402" s="49" t="s">
        <v>4994</v>
      </c>
      <c r="N402" s="49" t="s">
        <v>4995</v>
      </c>
      <c r="O402" s="49" t="s">
        <v>9409</v>
      </c>
      <c r="P402" s="49" t="s">
        <v>9410</v>
      </c>
      <c r="Q402" s="49" t="s">
        <v>9411</v>
      </c>
      <c r="R402" s="49" t="s">
        <v>9412</v>
      </c>
      <c r="S402" s="49" t="s">
        <v>9413</v>
      </c>
      <c r="T402" s="49" t="s">
        <v>9414</v>
      </c>
    </row>
    <row r="403" spans="1:21" x14ac:dyDescent="0.2">
      <c r="A403" s="49" t="s">
        <v>30</v>
      </c>
      <c r="D403" s="49" t="s">
        <v>1581</v>
      </c>
      <c r="G403" s="49" t="s">
        <v>16760</v>
      </c>
      <c r="H403" s="49" t="s">
        <v>1582</v>
      </c>
      <c r="I403" s="49" t="s">
        <v>1583</v>
      </c>
      <c r="J403" s="49" t="s">
        <v>1584</v>
      </c>
      <c r="K403" s="49" t="s">
        <v>1585</v>
      </c>
      <c r="L403" s="49" t="s">
        <v>1586</v>
      </c>
      <c r="M403" s="49" t="s">
        <v>1587</v>
      </c>
      <c r="N403" s="49" t="s">
        <v>1588</v>
      </c>
      <c r="O403" s="49" t="s">
        <v>32825</v>
      </c>
      <c r="P403" s="49" t="s">
        <v>32826</v>
      </c>
      <c r="Q403" s="49" t="s">
        <v>32827</v>
      </c>
      <c r="R403" s="49" t="s">
        <v>32828</v>
      </c>
      <c r="S403" s="49" t="s">
        <v>32829</v>
      </c>
      <c r="T403" s="49" t="s">
        <v>32830</v>
      </c>
    </row>
    <row r="404" spans="1:21" x14ac:dyDescent="0.2">
      <c r="A404" s="49" t="s">
        <v>30</v>
      </c>
      <c r="D404" s="49" t="s">
        <v>14591</v>
      </c>
      <c r="G404" s="49" t="s">
        <v>16765</v>
      </c>
      <c r="H404" s="49" t="s">
        <v>31390</v>
      </c>
      <c r="I404" s="49" t="s">
        <v>31398</v>
      </c>
      <c r="J404" s="49" t="s">
        <v>31472</v>
      </c>
      <c r="K404" s="49" t="s">
        <v>31480</v>
      </c>
      <c r="L404" s="49" t="s">
        <v>14593</v>
      </c>
      <c r="M404" s="49" t="s">
        <v>14594</v>
      </c>
      <c r="N404" s="49" t="s">
        <v>14595</v>
      </c>
      <c r="O404" s="49" t="s">
        <v>32831</v>
      </c>
      <c r="P404" s="49" t="s">
        <v>32832</v>
      </c>
      <c r="Q404" s="49" t="s">
        <v>32833</v>
      </c>
      <c r="R404" s="49" t="s">
        <v>32834</v>
      </c>
      <c r="S404" s="49" t="s">
        <v>32835</v>
      </c>
      <c r="T404" s="49" t="s">
        <v>32836</v>
      </c>
    </row>
    <row r="405" spans="1:21" x14ac:dyDescent="0.2">
      <c r="A405" s="49" t="s">
        <v>30</v>
      </c>
      <c r="D405" s="49" t="s">
        <v>14596</v>
      </c>
      <c r="G405" s="49" t="s">
        <v>16780</v>
      </c>
      <c r="H405" s="49" t="s">
        <v>31391</v>
      </c>
      <c r="I405" s="49" t="s">
        <v>31399</v>
      </c>
      <c r="J405" s="49" t="s">
        <v>31473</v>
      </c>
      <c r="K405" s="49" t="s">
        <v>31481</v>
      </c>
      <c r="L405" s="49" t="s">
        <v>14598</v>
      </c>
      <c r="M405" s="49" t="s">
        <v>14599</v>
      </c>
      <c r="N405" s="49" t="s">
        <v>14600</v>
      </c>
      <c r="O405" s="49" t="s">
        <v>34624</v>
      </c>
      <c r="P405" s="49" t="s">
        <v>34626</v>
      </c>
      <c r="Q405" s="49" t="s">
        <v>34628</v>
      </c>
      <c r="R405" s="49" t="s">
        <v>34630</v>
      </c>
      <c r="S405" s="49" t="s">
        <v>34632</v>
      </c>
      <c r="T405" s="49" t="s">
        <v>34634</v>
      </c>
    </row>
    <row r="406" spans="1:21" x14ac:dyDescent="0.2">
      <c r="A406" s="49" t="s">
        <v>30</v>
      </c>
      <c r="D406" s="49" t="s">
        <v>13528</v>
      </c>
      <c r="G406" s="49" t="s">
        <v>16785</v>
      </c>
      <c r="H406" s="49" t="s">
        <v>13529</v>
      </c>
      <c r="I406" s="49" t="s">
        <v>13530</v>
      </c>
      <c r="J406" s="49" t="s">
        <v>13531</v>
      </c>
      <c r="K406" s="49" t="s">
        <v>13532</v>
      </c>
      <c r="L406" s="49" t="s">
        <v>13533</v>
      </c>
      <c r="M406" s="49" t="s">
        <v>13534</v>
      </c>
      <c r="N406" s="49" t="s">
        <v>13535</v>
      </c>
      <c r="O406" s="49" t="s">
        <v>13536</v>
      </c>
      <c r="P406" s="49" t="s">
        <v>13537</v>
      </c>
      <c r="Q406" s="49" t="s">
        <v>13538</v>
      </c>
      <c r="R406" s="49" t="s">
        <v>13539</v>
      </c>
      <c r="S406" s="49" t="s">
        <v>13540</v>
      </c>
      <c r="T406" s="49" t="s">
        <v>13541</v>
      </c>
    </row>
    <row r="407" spans="1:21" x14ac:dyDescent="0.2">
      <c r="A407" s="49" t="s">
        <v>30</v>
      </c>
      <c r="D407" s="49" t="s">
        <v>10910</v>
      </c>
      <c r="G407" s="49" t="s">
        <v>16920</v>
      </c>
      <c r="H407" s="49" t="s">
        <v>12638</v>
      </c>
      <c r="I407" s="49" t="s">
        <v>12640</v>
      </c>
      <c r="J407" s="49" t="s">
        <v>12660</v>
      </c>
      <c r="K407" s="49" t="s">
        <v>12662</v>
      </c>
      <c r="L407" s="49" t="s">
        <v>10911</v>
      </c>
      <c r="M407" s="49" t="s">
        <v>10912</v>
      </c>
      <c r="N407" s="49" t="s">
        <v>10913</v>
      </c>
      <c r="O407" s="49" t="s">
        <v>34625</v>
      </c>
      <c r="P407" s="49" t="s">
        <v>34627</v>
      </c>
      <c r="Q407" s="49" t="s">
        <v>34629</v>
      </c>
      <c r="R407" s="49" t="s">
        <v>34631</v>
      </c>
      <c r="S407" s="49" t="s">
        <v>34633</v>
      </c>
      <c r="T407" s="49" t="s">
        <v>34635</v>
      </c>
    </row>
    <row r="408" spans="1:21" x14ac:dyDescent="0.2">
      <c r="A408" s="49" t="s">
        <v>30</v>
      </c>
    </row>
    <row r="409" spans="1:21" x14ac:dyDescent="0.2">
      <c r="A409" s="49" t="s">
        <v>30</v>
      </c>
      <c r="E409" s="49" t="s">
        <v>31</v>
      </c>
      <c r="F409" s="49" t="s">
        <v>31</v>
      </c>
      <c r="G409" s="49" t="s">
        <v>31</v>
      </c>
      <c r="J409" s="49" t="s">
        <v>31</v>
      </c>
      <c r="K409" s="49" t="s">
        <v>31</v>
      </c>
      <c r="L409" s="49" t="s">
        <v>31</v>
      </c>
      <c r="M409" s="49" t="s">
        <v>31</v>
      </c>
    </row>
    <row r="410" spans="1:21" x14ac:dyDescent="0.2">
      <c r="A410" s="49" t="s">
        <v>30</v>
      </c>
      <c r="D410" s="49" t="s">
        <v>33512</v>
      </c>
      <c r="E410" s="49" t="s">
        <v>6962</v>
      </c>
      <c r="F410" s="49" t="s">
        <v>33513</v>
      </c>
      <c r="H410" s="49" t="s">
        <v>33514</v>
      </c>
      <c r="O410" s="49" t="s">
        <v>33515</v>
      </c>
      <c r="P410" s="49" t="s">
        <v>33516</v>
      </c>
      <c r="Q410" s="49" t="s">
        <v>33517</v>
      </c>
      <c r="R410" s="49" t="s">
        <v>33518</v>
      </c>
      <c r="S410" s="49" t="s">
        <v>33519</v>
      </c>
      <c r="T410" s="49" t="s">
        <v>33520</v>
      </c>
      <c r="U410" s="49" t="s">
        <v>33521</v>
      </c>
    </row>
    <row r="411" spans="1:21" x14ac:dyDescent="0.2">
      <c r="A411" s="49" t="s">
        <v>30</v>
      </c>
      <c r="D411" s="49" t="s">
        <v>2502</v>
      </c>
      <c r="G411" s="49" t="s">
        <v>33522</v>
      </c>
      <c r="H411" s="49" t="s">
        <v>2503</v>
      </c>
      <c r="I411" s="49" t="s">
        <v>2504</v>
      </c>
      <c r="J411" s="49" t="s">
        <v>2505</v>
      </c>
      <c r="K411" s="49" t="s">
        <v>2506</v>
      </c>
      <c r="L411" s="49" t="s">
        <v>2507</v>
      </c>
      <c r="M411" s="49" t="s">
        <v>2508</v>
      </c>
      <c r="N411" s="49" t="s">
        <v>2509</v>
      </c>
      <c r="O411" s="49" t="s">
        <v>34606</v>
      </c>
      <c r="P411" s="49" t="s">
        <v>34609</v>
      </c>
      <c r="Q411" s="49" t="s">
        <v>34612</v>
      </c>
      <c r="R411" s="49" t="s">
        <v>34615</v>
      </c>
      <c r="S411" s="49" t="s">
        <v>34618</v>
      </c>
      <c r="T411" s="49" t="s">
        <v>34621</v>
      </c>
    </row>
    <row r="412" spans="1:21" x14ac:dyDescent="0.2">
      <c r="A412" s="49" t="s">
        <v>30</v>
      </c>
      <c r="D412" s="49" t="s">
        <v>9838</v>
      </c>
      <c r="G412" s="49" t="s">
        <v>16960</v>
      </c>
      <c r="H412" s="49" t="s">
        <v>9839</v>
      </c>
      <c r="I412" s="49" t="s">
        <v>9840</v>
      </c>
      <c r="J412" s="49" t="s">
        <v>9841</v>
      </c>
      <c r="K412" s="49" t="s">
        <v>9842</v>
      </c>
      <c r="L412" s="49" t="s">
        <v>9843</v>
      </c>
      <c r="M412" s="49" t="s">
        <v>9844</v>
      </c>
      <c r="N412" s="49" t="s">
        <v>9845</v>
      </c>
      <c r="O412" s="49" t="s">
        <v>34607</v>
      </c>
      <c r="P412" s="49" t="s">
        <v>34610</v>
      </c>
      <c r="Q412" s="49" t="s">
        <v>34613</v>
      </c>
      <c r="R412" s="49" t="s">
        <v>34616</v>
      </c>
      <c r="S412" s="49" t="s">
        <v>34619</v>
      </c>
      <c r="T412" s="49" t="s">
        <v>34622</v>
      </c>
    </row>
    <row r="413" spans="1:21" x14ac:dyDescent="0.2">
      <c r="A413" s="49" t="s">
        <v>30</v>
      </c>
      <c r="D413" s="49" t="s">
        <v>10914</v>
      </c>
      <c r="G413" s="49" t="s">
        <v>16980</v>
      </c>
      <c r="H413" s="49" t="s">
        <v>12639</v>
      </c>
      <c r="I413" s="49" t="s">
        <v>12641</v>
      </c>
      <c r="J413" s="49" t="s">
        <v>12661</v>
      </c>
      <c r="K413" s="49" t="s">
        <v>12663</v>
      </c>
      <c r="L413" s="49" t="s">
        <v>10915</v>
      </c>
      <c r="M413" s="49" t="s">
        <v>10916</v>
      </c>
      <c r="N413" s="49" t="s">
        <v>10917</v>
      </c>
      <c r="O413" s="49" t="s">
        <v>34608</v>
      </c>
      <c r="P413" s="49" t="s">
        <v>34611</v>
      </c>
      <c r="Q413" s="49" t="s">
        <v>34614</v>
      </c>
      <c r="R413" s="49" t="s">
        <v>34617</v>
      </c>
      <c r="S413" s="49" t="s">
        <v>34620</v>
      </c>
      <c r="T413" s="49" t="s">
        <v>34623</v>
      </c>
    </row>
    <row r="414" spans="1:21" x14ac:dyDescent="0.2">
      <c r="A414" s="49" t="s">
        <v>30</v>
      </c>
      <c r="D414" s="49" t="s">
        <v>5043</v>
      </c>
      <c r="G414" s="49" t="s">
        <v>17020</v>
      </c>
      <c r="H414" s="49" t="s">
        <v>5044</v>
      </c>
      <c r="I414" s="49" t="s">
        <v>5045</v>
      </c>
      <c r="J414" s="49" t="s">
        <v>5046</v>
      </c>
      <c r="K414" s="49" t="s">
        <v>5047</v>
      </c>
      <c r="L414" s="49" t="s">
        <v>5048</v>
      </c>
      <c r="M414" s="49" t="s">
        <v>5049</v>
      </c>
      <c r="N414" s="49" t="s">
        <v>5050</v>
      </c>
      <c r="O414" s="49" t="s">
        <v>13543</v>
      </c>
      <c r="P414" s="49" t="s">
        <v>13544</v>
      </c>
      <c r="Q414" s="49" t="s">
        <v>13545</v>
      </c>
      <c r="R414" s="49" t="s">
        <v>13546</v>
      </c>
      <c r="S414" s="49" t="s">
        <v>13547</v>
      </c>
      <c r="T414" s="49" t="s">
        <v>13548</v>
      </c>
    </row>
    <row r="415" spans="1:21" x14ac:dyDescent="0.2">
      <c r="A415" s="49" t="s">
        <v>30</v>
      </c>
    </row>
    <row r="416" spans="1:21" x14ac:dyDescent="0.2">
      <c r="A416" s="49" t="s">
        <v>30</v>
      </c>
      <c r="E416" s="49" t="s">
        <v>31</v>
      </c>
      <c r="F416" s="49" t="s">
        <v>31</v>
      </c>
      <c r="G416" s="49" t="s">
        <v>31</v>
      </c>
      <c r="J416" s="49" t="s">
        <v>31</v>
      </c>
      <c r="K416" s="49" t="s">
        <v>31</v>
      </c>
      <c r="L416" s="49" t="s">
        <v>31</v>
      </c>
      <c r="M416" s="49" t="s">
        <v>31</v>
      </c>
    </row>
    <row r="417" spans="1:21" x14ac:dyDescent="0.2">
      <c r="A417" s="49" t="s">
        <v>30</v>
      </c>
      <c r="D417" s="49" t="s">
        <v>32855</v>
      </c>
      <c r="E417" s="49" t="s">
        <v>7041</v>
      </c>
      <c r="F417" s="49" t="s">
        <v>32856</v>
      </c>
      <c r="H417" s="49" t="s">
        <v>32857</v>
      </c>
      <c r="O417" s="49" t="s">
        <v>33523</v>
      </c>
      <c r="P417" s="49" t="s">
        <v>33524</v>
      </c>
      <c r="Q417" s="49" t="s">
        <v>33525</v>
      </c>
      <c r="R417" s="49" t="s">
        <v>33526</v>
      </c>
      <c r="S417" s="49" t="s">
        <v>33527</v>
      </c>
      <c r="T417" s="49" t="s">
        <v>33528</v>
      </c>
      <c r="U417" s="49" t="s">
        <v>33529</v>
      </c>
    </row>
    <row r="418" spans="1:21" x14ac:dyDescent="0.2">
      <c r="A418" s="49" t="s">
        <v>30</v>
      </c>
      <c r="D418" s="49" t="s">
        <v>14624</v>
      </c>
      <c r="G418" s="49" t="s">
        <v>32865</v>
      </c>
      <c r="H418" s="49" t="s">
        <v>31311</v>
      </c>
      <c r="I418" s="49" t="s">
        <v>31316</v>
      </c>
      <c r="J418" s="49" t="s">
        <v>31375</v>
      </c>
      <c r="K418" s="49" t="s">
        <v>31380</v>
      </c>
      <c r="L418" s="49" t="s">
        <v>14626</v>
      </c>
      <c r="M418" s="49" t="s">
        <v>14627</v>
      </c>
      <c r="N418" s="49" t="s">
        <v>14628</v>
      </c>
      <c r="O418" s="49" t="s">
        <v>32866</v>
      </c>
      <c r="P418" s="49" t="s">
        <v>32867</v>
      </c>
      <c r="Q418" s="49" t="s">
        <v>32868</v>
      </c>
      <c r="R418" s="49" t="s">
        <v>32869</v>
      </c>
      <c r="S418" s="49" t="s">
        <v>32870</v>
      </c>
      <c r="T418" s="49" t="s">
        <v>32871</v>
      </c>
    </row>
    <row r="419" spans="1:21" x14ac:dyDescent="0.2">
      <c r="A419" s="49" t="s">
        <v>30</v>
      </c>
      <c r="D419" s="49" t="s">
        <v>13555</v>
      </c>
      <c r="G419" s="49" t="s">
        <v>17050</v>
      </c>
      <c r="H419" s="49" t="s">
        <v>13556</v>
      </c>
      <c r="I419" s="49" t="s">
        <v>13557</v>
      </c>
      <c r="J419" s="49" t="s">
        <v>13558</v>
      </c>
      <c r="K419" s="49" t="s">
        <v>13559</v>
      </c>
      <c r="L419" s="49" t="s">
        <v>13560</v>
      </c>
      <c r="M419" s="49" t="s">
        <v>13561</v>
      </c>
      <c r="N419" s="49" t="s">
        <v>13562</v>
      </c>
      <c r="O419" s="49" t="s">
        <v>13563</v>
      </c>
      <c r="P419" s="49" t="s">
        <v>13564</v>
      </c>
      <c r="Q419" s="49" t="s">
        <v>13565</v>
      </c>
      <c r="R419" s="49" t="s">
        <v>13566</v>
      </c>
      <c r="S419" s="49" t="s">
        <v>13567</v>
      </c>
      <c r="T419" s="49" t="s">
        <v>13568</v>
      </c>
    </row>
    <row r="420" spans="1:21" x14ac:dyDescent="0.2">
      <c r="A420" s="49" t="s">
        <v>30</v>
      </c>
      <c r="D420" s="49" t="s">
        <v>14630</v>
      </c>
      <c r="G420" s="49" t="s">
        <v>17055</v>
      </c>
      <c r="H420" s="49" t="s">
        <v>31312</v>
      </c>
      <c r="I420" s="49" t="s">
        <v>31317</v>
      </c>
      <c r="J420" s="49" t="s">
        <v>31376</v>
      </c>
      <c r="K420" s="49" t="s">
        <v>31381</v>
      </c>
      <c r="L420" s="49" t="s">
        <v>14632</v>
      </c>
      <c r="M420" s="49" t="s">
        <v>14633</v>
      </c>
      <c r="N420" s="49" t="s">
        <v>14634</v>
      </c>
      <c r="O420" s="49" t="s">
        <v>34600</v>
      </c>
      <c r="P420" s="49" t="s">
        <v>34601</v>
      </c>
      <c r="Q420" s="49" t="s">
        <v>34602</v>
      </c>
      <c r="R420" s="49" t="s">
        <v>34603</v>
      </c>
      <c r="S420" s="49" t="s">
        <v>34604</v>
      </c>
      <c r="T420" s="49" t="s">
        <v>34605</v>
      </c>
    </row>
    <row r="421" spans="1:21" x14ac:dyDescent="0.2">
      <c r="A421" s="49" t="s">
        <v>30</v>
      </c>
    </row>
    <row r="422" spans="1:21" x14ac:dyDescent="0.2">
      <c r="A422" s="49" t="s">
        <v>30</v>
      </c>
      <c r="E422" s="49" t="s">
        <v>31</v>
      </c>
      <c r="F422" s="49" t="s">
        <v>31</v>
      </c>
      <c r="G422" s="49" t="s">
        <v>31</v>
      </c>
      <c r="J422" s="49" t="s">
        <v>31</v>
      </c>
      <c r="K422" s="49" t="s">
        <v>31</v>
      </c>
      <c r="L422" s="49" t="s">
        <v>31</v>
      </c>
      <c r="M422" s="49" t="s">
        <v>31</v>
      </c>
    </row>
    <row r="423" spans="1:21" x14ac:dyDescent="0.2">
      <c r="A423" s="49" t="s">
        <v>30</v>
      </c>
      <c r="D423" s="49" t="s">
        <v>33530</v>
      </c>
      <c r="E423" s="49" t="s">
        <v>7084</v>
      </c>
      <c r="F423" s="49" t="s">
        <v>33531</v>
      </c>
      <c r="H423" s="49" t="s">
        <v>33532</v>
      </c>
      <c r="O423" s="49" t="s">
        <v>33533</v>
      </c>
      <c r="P423" s="49" t="s">
        <v>33534</v>
      </c>
      <c r="Q423" s="49" t="s">
        <v>33535</v>
      </c>
      <c r="R423" s="49" t="s">
        <v>33536</v>
      </c>
      <c r="S423" s="49" t="s">
        <v>33537</v>
      </c>
      <c r="T423" s="49" t="s">
        <v>33538</v>
      </c>
      <c r="U423" s="49" t="s">
        <v>33539</v>
      </c>
    </row>
    <row r="424" spans="1:21" x14ac:dyDescent="0.2">
      <c r="A424" s="49" t="s">
        <v>30</v>
      </c>
      <c r="D424" s="49" t="s">
        <v>14642</v>
      </c>
      <c r="G424" s="49" t="s">
        <v>33540</v>
      </c>
      <c r="H424" s="49" t="s">
        <v>31314</v>
      </c>
      <c r="I424" s="49" t="s">
        <v>31319</v>
      </c>
      <c r="J424" s="49" t="s">
        <v>31378</v>
      </c>
      <c r="K424" s="49" t="s">
        <v>31383</v>
      </c>
      <c r="L424" s="49" t="s">
        <v>14644</v>
      </c>
      <c r="M424" s="49" t="s">
        <v>14645</v>
      </c>
      <c r="N424" s="49" t="s">
        <v>14646</v>
      </c>
      <c r="O424" s="49" t="s">
        <v>32960</v>
      </c>
      <c r="P424" s="49" t="s">
        <v>32962</v>
      </c>
      <c r="Q424" s="49" t="s">
        <v>32964</v>
      </c>
      <c r="R424" s="49" t="s">
        <v>32966</v>
      </c>
      <c r="S424" s="49" t="s">
        <v>32968</v>
      </c>
      <c r="T424" s="49" t="s">
        <v>32970</v>
      </c>
    </row>
    <row r="425" spans="1:21" x14ac:dyDescent="0.2">
      <c r="A425" s="49" t="s">
        <v>30</v>
      </c>
      <c r="D425" s="49" t="s">
        <v>1597</v>
      </c>
      <c r="G425" s="49" t="s">
        <v>17150</v>
      </c>
      <c r="H425" s="49" t="s">
        <v>1598</v>
      </c>
      <c r="I425" s="49" t="s">
        <v>1599</v>
      </c>
      <c r="J425" s="49" t="s">
        <v>1600</v>
      </c>
      <c r="K425" s="49" t="s">
        <v>1601</v>
      </c>
      <c r="L425" s="49" t="s">
        <v>1602</v>
      </c>
      <c r="M425" s="49" t="s">
        <v>1603</v>
      </c>
      <c r="N425" s="49" t="s">
        <v>1604</v>
      </c>
      <c r="O425" s="49" t="s">
        <v>32961</v>
      </c>
      <c r="P425" s="49" t="s">
        <v>32963</v>
      </c>
      <c r="Q425" s="49" t="s">
        <v>32965</v>
      </c>
      <c r="R425" s="49" t="s">
        <v>32967</v>
      </c>
      <c r="S425" s="49" t="s">
        <v>32969</v>
      </c>
      <c r="T425" s="49" t="s">
        <v>32971</v>
      </c>
    </row>
    <row r="426" spans="1:21" x14ac:dyDescent="0.2">
      <c r="A426" s="49" t="s">
        <v>30</v>
      </c>
      <c r="D426" s="49" t="s">
        <v>1605</v>
      </c>
      <c r="G426" s="49" t="s">
        <v>17195</v>
      </c>
      <c r="H426" s="49" t="s">
        <v>1606</v>
      </c>
      <c r="I426" s="49" t="s">
        <v>1607</v>
      </c>
      <c r="J426" s="49" t="s">
        <v>1608</v>
      </c>
      <c r="K426" s="49" t="s">
        <v>1609</v>
      </c>
      <c r="L426" s="49" t="s">
        <v>1610</v>
      </c>
      <c r="M426" s="49" t="s">
        <v>1611</v>
      </c>
      <c r="N426" s="49" t="s">
        <v>1612</v>
      </c>
      <c r="O426" s="49" t="s">
        <v>34594</v>
      </c>
      <c r="P426" s="49" t="s">
        <v>34595</v>
      </c>
      <c r="Q426" s="49" t="s">
        <v>34596</v>
      </c>
      <c r="R426" s="49" t="s">
        <v>34597</v>
      </c>
      <c r="S426" s="49" t="s">
        <v>34598</v>
      </c>
      <c r="T426" s="49" t="s">
        <v>34599</v>
      </c>
    </row>
    <row r="427" spans="1:21" x14ac:dyDescent="0.2">
      <c r="A427" s="49" t="s">
        <v>30</v>
      </c>
    </row>
    <row r="428" spans="1:21" x14ac:dyDescent="0.2">
      <c r="A428" s="49" t="s">
        <v>30</v>
      </c>
      <c r="E428" s="49" t="s">
        <v>31</v>
      </c>
      <c r="F428" s="49" t="s">
        <v>31</v>
      </c>
      <c r="G428" s="49" t="s">
        <v>31</v>
      </c>
      <c r="J428" s="49" t="s">
        <v>31</v>
      </c>
      <c r="K428" s="49" t="s">
        <v>31</v>
      </c>
      <c r="L428" s="49" t="s">
        <v>31</v>
      </c>
      <c r="M428" s="49" t="s">
        <v>31</v>
      </c>
    </row>
    <row r="429" spans="1:21" x14ac:dyDescent="0.2">
      <c r="A429" s="49" t="s">
        <v>30</v>
      </c>
      <c r="D429" s="49" t="s">
        <v>33541</v>
      </c>
      <c r="E429" s="49" t="s">
        <v>7180</v>
      </c>
      <c r="F429" s="49" t="s">
        <v>33542</v>
      </c>
      <c r="H429" s="49" t="s">
        <v>33543</v>
      </c>
      <c r="O429" s="49" t="s">
        <v>33544</v>
      </c>
      <c r="P429" s="49" t="s">
        <v>33545</v>
      </c>
      <c r="Q429" s="49" t="s">
        <v>33546</v>
      </c>
      <c r="R429" s="49" t="s">
        <v>33547</v>
      </c>
      <c r="S429" s="49" t="s">
        <v>33548</v>
      </c>
      <c r="T429" s="49" t="s">
        <v>33549</v>
      </c>
      <c r="U429" s="49" t="s">
        <v>33550</v>
      </c>
    </row>
    <row r="430" spans="1:21" x14ac:dyDescent="0.2">
      <c r="A430" s="49" t="s">
        <v>30</v>
      </c>
      <c r="D430" s="49" t="s">
        <v>5092</v>
      </c>
      <c r="G430" s="49" t="s">
        <v>33551</v>
      </c>
      <c r="H430" s="49" t="s">
        <v>5093</v>
      </c>
      <c r="I430" s="49" t="s">
        <v>5094</v>
      </c>
      <c r="J430" s="49" t="s">
        <v>5095</v>
      </c>
      <c r="K430" s="49" t="s">
        <v>5096</v>
      </c>
      <c r="L430" s="49" t="s">
        <v>5097</v>
      </c>
      <c r="M430" s="49" t="s">
        <v>5098</v>
      </c>
      <c r="N430" s="49" t="s">
        <v>5099</v>
      </c>
      <c r="O430" s="49" t="s">
        <v>34580</v>
      </c>
      <c r="P430" s="49" t="s">
        <v>34582</v>
      </c>
      <c r="Q430" s="49" t="s">
        <v>34584</v>
      </c>
      <c r="R430" s="49" t="s">
        <v>34586</v>
      </c>
      <c r="S430" s="49" t="s">
        <v>34588</v>
      </c>
      <c r="T430" s="49" t="s">
        <v>34590</v>
      </c>
    </row>
    <row r="431" spans="1:21" x14ac:dyDescent="0.2">
      <c r="A431" s="49" t="s">
        <v>30</v>
      </c>
      <c r="D431" s="49" t="s">
        <v>33552</v>
      </c>
      <c r="G431" s="49" t="s">
        <v>17265</v>
      </c>
      <c r="H431" s="49" t="s">
        <v>34578</v>
      </c>
      <c r="I431" s="49" t="s">
        <v>34579</v>
      </c>
      <c r="J431" s="49" t="s">
        <v>34592</v>
      </c>
      <c r="K431" s="49" t="s">
        <v>34593</v>
      </c>
      <c r="L431" s="49" t="s">
        <v>33553</v>
      </c>
      <c r="M431" s="49" t="s">
        <v>33554</v>
      </c>
      <c r="N431" s="49" t="s">
        <v>33555</v>
      </c>
      <c r="O431" s="49" t="s">
        <v>34581</v>
      </c>
      <c r="P431" s="49" t="s">
        <v>34583</v>
      </c>
      <c r="Q431" s="49" t="s">
        <v>34585</v>
      </c>
      <c r="R431" s="49" t="s">
        <v>34587</v>
      </c>
      <c r="S431" s="49" t="s">
        <v>34589</v>
      </c>
      <c r="T431" s="49" t="s">
        <v>34591</v>
      </c>
    </row>
    <row r="432" spans="1:21" x14ac:dyDescent="0.2">
      <c r="A432" s="49" t="s">
        <v>30</v>
      </c>
      <c r="D432" s="49" t="s">
        <v>13589</v>
      </c>
      <c r="G432" s="49" t="s">
        <v>17275</v>
      </c>
      <c r="H432" s="49" t="s">
        <v>13591</v>
      </c>
      <c r="I432" s="49" t="s">
        <v>13592</v>
      </c>
      <c r="J432" s="49" t="s">
        <v>13593</v>
      </c>
      <c r="K432" s="49" t="s">
        <v>13594</v>
      </c>
      <c r="L432" s="49" t="s">
        <v>13595</v>
      </c>
      <c r="M432" s="49" t="s">
        <v>13596</v>
      </c>
      <c r="N432" s="49" t="s">
        <v>13597</v>
      </c>
      <c r="O432" s="49" t="s">
        <v>13598</v>
      </c>
      <c r="P432" s="49" t="s">
        <v>13599</v>
      </c>
      <c r="Q432" s="49" t="s">
        <v>13600</v>
      </c>
      <c r="R432" s="49" t="s">
        <v>13601</v>
      </c>
      <c r="S432" s="49" t="s">
        <v>13602</v>
      </c>
      <c r="T432" s="49" t="s">
        <v>13603</v>
      </c>
    </row>
    <row r="433" spans="1:21" x14ac:dyDescent="0.2">
      <c r="A433" s="49" t="s">
        <v>30</v>
      </c>
      <c r="D433" s="49" t="s">
        <v>14659</v>
      </c>
      <c r="G433" s="49" t="s">
        <v>17290</v>
      </c>
      <c r="H433" s="49" t="s">
        <v>31242</v>
      </c>
      <c r="I433" s="49" t="s">
        <v>31247</v>
      </c>
      <c r="J433" s="49" t="s">
        <v>31300</v>
      </c>
      <c r="K433" s="49" t="s">
        <v>31305</v>
      </c>
      <c r="L433" s="49" t="s">
        <v>14661</v>
      </c>
      <c r="M433" s="49" t="s">
        <v>14662</v>
      </c>
      <c r="N433" s="49" t="s">
        <v>14663</v>
      </c>
      <c r="O433" s="49" t="s">
        <v>32907</v>
      </c>
      <c r="P433" s="49" t="s">
        <v>32908</v>
      </c>
      <c r="Q433" s="49" t="s">
        <v>32909</v>
      </c>
      <c r="R433" s="49" t="s">
        <v>32910</v>
      </c>
      <c r="S433" s="49" t="s">
        <v>32911</v>
      </c>
      <c r="T433" s="49" t="s">
        <v>32912</v>
      </c>
    </row>
    <row r="434" spans="1:21" x14ac:dyDescent="0.2">
      <c r="A434" s="49" t="s">
        <v>30</v>
      </c>
    </row>
    <row r="435" spans="1:21" x14ac:dyDescent="0.2">
      <c r="A435" s="49" t="s">
        <v>30</v>
      </c>
      <c r="E435" s="49" t="s">
        <v>31</v>
      </c>
      <c r="F435" s="49" t="s">
        <v>31</v>
      </c>
      <c r="G435" s="49" t="s">
        <v>31</v>
      </c>
      <c r="J435" s="49" t="s">
        <v>31</v>
      </c>
      <c r="K435" s="49" t="s">
        <v>31</v>
      </c>
      <c r="L435" s="49" t="s">
        <v>31</v>
      </c>
      <c r="M435" s="49" t="s">
        <v>31</v>
      </c>
    </row>
    <row r="436" spans="1:21" x14ac:dyDescent="0.2">
      <c r="A436" s="49" t="s">
        <v>30</v>
      </c>
      <c r="D436" s="49" t="s">
        <v>33556</v>
      </c>
      <c r="E436" s="49" t="s">
        <v>7291</v>
      </c>
      <c r="F436" s="49" t="s">
        <v>33557</v>
      </c>
      <c r="H436" s="49" t="s">
        <v>33558</v>
      </c>
      <c r="O436" s="49" t="s">
        <v>33559</v>
      </c>
      <c r="P436" s="49" t="s">
        <v>33560</v>
      </c>
      <c r="Q436" s="49" t="s">
        <v>33561</v>
      </c>
      <c r="R436" s="49" t="s">
        <v>33562</v>
      </c>
      <c r="S436" s="49" t="s">
        <v>33563</v>
      </c>
      <c r="T436" s="49" t="s">
        <v>33564</v>
      </c>
      <c r="U436" s="49" t="s">
        <v>33565</v>
      </c>
    </row>
    <row r="437" spans="1:21" x14ac:dyDescent="0.2">
      <c r="A437" s="49" t="s">
        <v>30</v>
      </c>
      <c r="D437" s="49" t="s">
        <v>14667</v>
      </c>
      <c r="G437" s="49" t="s">
        <v>33566</v>
      </c>
      <c r="H437" s="49" t="s">
        <v>31243</v>
      </c>
      <c r="I437" s="49" t="s">
        <v>31248</v>
      </c>
      <c r="J437" s="49" t="s">
        <v>31301</v>
      </c>
      <c r="K437" s="49" t="s">
        <v>31306</v>
      </c>
      <c r="L437" s="49" t="s">
        <v>14669</v>
      </c>
      <c r="M437" s="49" t="s">
        <v>14670</v>
      </c>
      <c r="N437" s="49" t="s">
        <v>14671</v>
      </c>
      <c r="O437" s="49" t="s">
        <v>33567</v>
      </c>
      <c r="P437" s="49" t="s">
        <v>33568</v>
      </c>
      <c r="Q437" s="49" t="s">
        <v>33569</v>
      </c>
      <c r="R437" s="49" t="s">
        <v>33570</v>
      </c>
      <c r="S437" s="49" t="s">
        <v>33571</v>
      </c>
      <c r="T437" s="49" t="s">
        <v>33572</v>
      </c>
    </row>
    <row r="438" spans="1:21" x14ac:dyDescent="0.2">
      <c r="A438" s="49" t="s">
        <v>30</v>
      </c>
    </row>
    <row r="439" spans="1:21" x14ac:dyDescent="0.2">
      <c r="A439" s="49" t="s">
        <v>30</v>
      </c>
      <c r="E439" s="49" t="s">
        <v>31</v>
      </c>
      <c r="F439" s="49" t="s">
        <v>31</v>
      </c>
      <c r="G439" s="49" t="s">
        <v>31</v>
      </c>
      <c r="J439" s="49" t="s">
        <v>31</v>
      </c>
      <c r="K439" s="49" t="s">
        <v>31</v>
      </c>
      <c r="L439" s="49" t="s">
        <v>31</v>
      </c>
      <c r="M439" s="49" t="s">
        <v>31</v>
      </c>
    </row>
    <row r="440" spans="1:21" x14ac:dyDescent="0.2">
      <c r="A440" s="49" t="s">
        <v>30</v>
      </c>
      <c r="D440" s="49" t="s">
        <v>33573</v>
      </c>
      <c r="E440" s="49" t="s">
        <v>7328</v>
      </c>
      <c r="F440" s="49" t="s">
        <v>33574</v>
      </c>
      <c r="H440" s="49" t="s">
        <v>33575</v>
      </c>
      <c r="O440" s="49" t="s">
        <v>33576</v>
      </c>
      <c r="P440" s="49" t="s">
        <v>33577</v>
      </c>
      <c r="Q440" s="49" t="s">
        <v>33578</v>
      </c>
      <c r="R440" s="49" t="s">
        <v>33579</v>
      </c>
      <c r="S440" s="49" t="s">
        <v>33580</v>
      </c>
      <c r="T440" s="49" t="s">
        <v>33581</v>
      </c>
      <c r="U440" s="49" t="s">
        <v>33582</v>
      </c>
    </row>
    <row r="441" spans="1:21" x14ac:dyDescent="0.2">
      <c r="A441" s="49" t="s">
        <v>30</v>
      </c>
      <c r="D441" s="49" t="s">
        <v>9874</v>
      </c>
      <c r="G441" s="49" t="s">
        <v>33583</v>
      </c>
      <c r="H441" s="49" t="s">
        <v>9875</v>
      </c>
      <c r="I441" s="49" t="s">
        <v>9876</v>
      </c>
      <c r="J441" s="49" t="s">
        <v>9877</v>
      </c>
      <c r="K441" s="49" t="s">
        <v>9878</v>
      </c>
      <c r="L441" s="49" t="s">
        <v>9879</v>
      </c>
      <c r="M441" s="49" t="s">
        <v>9880</v>
      </c>
      <c r="N441" s="49" t="s">
        <v>9881</v>
      </c>
      <c r="O441" s="49" t="s">
        <v>34566</v>
      </c>
      <c r="P441" s="49" t="s">
        <v>34568</v>
      </c>
      <c r="Q441" s="49" t="s">
        <v>34570</v>
      </c>
      <c r="R441" s="49" t="s">
        <v>34572</v>
      </c>
      <c r="S441" s="49" t="s">
        <v>34574</v>
      </c>
      <c r="T441" s="49" t="s">
        <v>34576</v>
      </c>
    </row>
    <row r="442" spans="1:21" x14ac:dyDescent="0.2">
      <c r="A442" s="49" t="s">
        <v>30</v>
      </c>
      <c r="D442" s="49" t="s">
        <v>14680</v>
      </c>
      <c r="G442" s="49" t="s">
        <v>17470</v>
      </c>
      <c r="H442" s="49" t="s">
        <v>31245</v>
      </c>
      <c r="I442" s="49" t="s">
        <v>31250</v>
      </c>
      <c r="J442" s="49" t="s">
        <v>31303</v>
      </c>
      <c r="K442" s="49" t="s">
        <v>31308</v>
      </c>
      <c r="L442" s="49" t="s">
        <v>14682</v>
      </c>
      <c r="M442" s="49" t="s">
        <v>14683</v>
      </c>
      <c r="N442" s="49" t="s">
        <v>14684</v>
      </c>
      <c r="O442" s="49" t="s">
        <v>32947</v>
      </c>
      <c r="P442" s="49" t="s">
        <v>32948</v>
      </c>
      <c r="Q442" s="49" t="s">
        <v>32949</v>
      </c>
      <c r="R442" s="49" t="s">
        <v>32950</v>
      </c>
      <c r="S442" s="49" t="s">
        <v>32951</v>
      </c>
      <c r="T442" s="49" t="s">
        <v>32952</v>
      </c>
    </row>
    <row r="443" spans="1:21" x14ac:dyDescent="0.2">
      <c r="A443" s="49" t="s">
        <v>30</v>
      </c>
      <c r="D443" s="49" t="s">
        <v>14685</v>
      </c>
      <c r="G443" s="49" t="s">
        <v>17480</v>
      </c>
      <c r="H443" s="49" t="s">
        <v>31246</v>
      </c>
      <c r="I443" s="49" t="s">
        <v>31251</v>
      </c>
      <c r="J443" s="49" t="s">
        <v>31304</v>
      </c>
      <c r="K443" s="49" t="s">
        <v>31309</v>
      </c>
      <c r="L443" s="49" t="s">
        <v>14687</v>
      </c>
      <c r="M443" s="49" t="s">
        <v>14688</v>
      </c>
      <c r="N443" s="49" t="s">
        <v>14689</v>
      </c>
      <c r="O443" s="49" t="s">
        <v>34567</v>
      </c>
      <c r="P443" s="49" t="s">
        <v>34569</v>
      </c>
      <c r="Q443" s="49" t="s">
        <v>34571</v>
      </c>
      <c r="R443" s="49" t="s">
        <v>34573</v>
      </c>
      <c r="S443" s="49" t="s">
        <v>34575</v>
      </c>
      <c r="T443" s="49" t="s">
        <v>34577</v>
      </c>
    </row>
    <row r="444" spans="1:21" x14ac:dyDescent="0.2">
      <c r="A444" s="49" t="s">
        <v>30</v>
      </c>
    </row>
    <row r="445" spans="1:21" x14ac:dyDescent="0.2">
      <c r="A445" s="49" t="s">
        <v>30</v>
      </c>
      <c r="E445" s="49" t="s">
        <v>31</v>
      </c>
      <c r="F445" s="49" t="s">
        <v>31</v>
      </c>
      <c r="G445" s="49" t="s">
        <v>31</v>
      </c>
      <c r="J445" s="49" t="s">
        <v>31</v>
      </c>
      <c r="K445" s="49" t="s">
        <v>31</v>
      </c>
      <c r="L445" s="49" t="s">
        <v>31</v>
      </c>
      <c r="M445" s="49" t="s">
        <v>31</v>
      </c>
    </row>
    <row r="446" spans="1:21" x14ac:dyDescent="0.2">
      <c r="A446" s="49" t="s">
        <v>30</v>
      </c>
      <c r="D446" s="49" t="s">
        <v>33584</v>
      </c>
      <c r="E446" s="49" t="s">
        <v>7357</v>
      </c>
      <c r="F446" s="49" t="s">
        <v>33585</v>
      </c>
      <c r="H446" s="49" t="s">
        <v>33586</v>
      </c>
      <c r="O446" s="49" t="s">
        <v>33587</v>
      </c>
      <c r="P446" s="49" t="s">
        <v>33588</v>
      </c>
      <c r="Q446" s="49" t="s">
        <v>33589</v>
      </c>
      <c r="R446" s="49" t="s">
        <v>33590</v>
      </c>
      <c r="S446" s="49" t="s">
        <v>33591</v>
      </c>
      <c r="T446" s="49" t="s">
        <v>33592</v>
      </c>
      <c r="U446" s="49" t="s">
        <v>33593</v>
      </c>
    </row>
    <row r="447" spans="1:21" x14ac:dyDescent="0.2">
      <c r="A447" s="49" t="s">
        <v>30</v>
      </c>
      <c r="D447" s="49" t="s">
        <v>10961</v>
      </c>
      <c r="G447" s="49" t="s">
        <v>33594</v>
      </c>
      <c r="H447" s="49" t="s">
        <v>10962</v>
      </c>
      <c r="I447" s="49" t="s">
        <v>10963</v>
      </c>
      <c r="J447" s="49" t="s">
        <v>10964</v>
      </c>
      <c r="K447" s="49" t="s">
        <v>10965</v>
      </c>
      <c r="L447" s="49" t="s">
        <v>10966</v>
      </c>
      <c r="M447" s="49" t="s">
        <v>10967</v>
      </c>
      <c r="N447" s="49" t="s">
        <v>10968</v>
      </c>
      <c r="O447" s="49" t="s">
        <v>33595</v>
      </c>
      <c r="P447" s="49" t="s">
        <v>33596</v>
      </c>
      <c r="Q447" s="49" t="s">
        <v>33597</v>
      </c>
      <c r="R447" s="49" t="s">
        <v>33598</v>
      </c>
      <c r="S447" s="49" t="s">
        <v>33599</v>
      </c>
      <c r="T447" s="49" t="s">
        <v>33600</v>
      </c>
    </row>
    <row r="448" spans="1:21" x14ac:dyDescent="0.2">
      <c r="A448" s="49" t="s">
        <v>30</v>
      </c>
    </row>
    <row r="449" spans="1:21" x14ac:dyDescent="0.2">
      <c r="A449" s="49" t="s">
        <v>30</v>
      </c>
      <c r="E449" s="49" t="s">
        <v>31</v>
      </c>
      <c r="F449" s="49" t="s">
        <v>31</v>
      </c>
      <c r="G449" s="49" t="s">
        <v>31</v>
      </c>
      <c r="J449" s="49" t="s">
        <v>31</v>
      </c>
      <c r="K449" s="49" t="s">
        <v>31</v>
      </c>
      <c r="L449" s="49" t="s">
        <v>31</v>
      </c>
      <c r="M449" s="49" t="s">
        <v>31</v>
      </c>
    </row>
    <row r="450" spans="1:21" x14ac:dyDescent="0.2">
      <c r="A450" s="49" t="s">
        <v>30</v>
      </c>
      <c r="D450" s="49" t="s">
        <v>14694</v>
      </c>
      <c r="E450" s="49" t="s">
        <v>7358</v>
      </c>
      <c r="F450" s="49" t="s">
        <v>14695</v>
      </c>
      <c r="H450" s="49" t="s">
        <v>14696</v>
      </c>
      <c r="O450" s="49" t="s">
        <v>33601</v>
      </c>
      <c r="P450" s="49" t="s">
        <v>33602</v>
      </c>
      <c r="Q450" s="49" t="s">
        <v>33603</v>
      </c>
      <c r="R450" s="49" t="s">
        <v>33604</v>
      </c>
      <c r="S450" s="49" t="s">
        <v>33605</v>
      </c>
      <c r="T450" s="49" t="s">
        <v>33606</v>
      </c>
      <c r="U450" s="49" t="s">
        <v>33607</v>
      </c>
    </row>
    <row r="451" spans="1:21" x14ac:dyDescent="0.2">
      <c r="A451" s="49" t="s">
        <v>30</v>
      </c>
      <c r="D451" s="49" t="s">
        <v>14704</v>
      </c>
      <c r="G451" s="49" t="s">
        <v>33608</v>
      </c>
      <c r="H451" s="49" t="s">
        <v>31206</v>
      </c>
      <c r="I451" s="49" t="s">
        <v>31209</v>
      </c>
      <c r="J451" s="49" t="s">
        <v>31236</v>
      </c>
      <c r="K451" s="49" t="s">
        <v>31239</v>
      </c>
      <c r="L451" s="49" t="s">
        <v>14706</v>
      </c>
      <c r="M451" s="49" t="s">
        <v>14707</v>
      </c>
      <c r="N451" s="49" t="s">
        <v>14708</v>
      </c>
      <c r="O451" s="49" t="s">
        <v>33609</v>
      </c>
      <c r="P451" s="49" t="s">
        <v>33610</v>
      </c>
      <c r="Q451" s="49" t="s">
        <v>33611</v>
      </c>
      <c r="R451" s="49" t="s">
        <v>33612</v>
      </c>
      <c r="S451" s="49" t="s">
        <v>33613</v>
      </c>
      <c r="T451" s="49" t="s">
        <v>33614</v>
      </c>
    </row>
    <row r="452" spans="1:21" x14ac:dyDescent="0.2">
      <c r="A452" s="49" t="s">
        <v>30</v>
      </c>
      <c r="D452" s="49" t="s">
        <v>1637</v>
      </c>
      <c r="G452" s="49" t="s">
        <v>17575</v>
      </c>
      <c r="H452" s="49" t="s">
        <v>1638</v>
      </c>
      <c r="I452" s="49" t="s">
        <v>1639</v>
      </c>
      <c r="J452" s="49" t="s">
        <v>1640</v>
      </c>
      <c r="K452" s="49" t="s">
        <v>1641</v>
      </c>
      <c r="L452" s="49" t="s">
        <v>1642</v>
      </c>
      <c r="M452" s="49" t="s">
        <v>1643</v>
      </c>
      <c r="N452" s="49" t="s">
        <v>1644</v>
      </c>
      <c r="O452" s="49" t="s">
        <v>33615</v>
      </c>
      <c r="P452" s="49" t="s">
        <v>33616</v>
      </c>
      <c r="Q452" s="49" t="s">
        <v>33617</v>
      </c>
      <c r="R452" s="49" t="s">
        <v>33618</v>
      </c>
      <c r="S452" s="49" t="s">
        <v>33619</v>
      </c>
      <c r="T452" s="49" t="s">
        <v>33620</v>
      </c>
    </row>
    <row r="453" spans="1:21" x14ac:dyDescent="0.2">
      <c r="A453" s="49" t="s">
        <v>30</v>
      </c>
    </row>
    <row r="454" spans="1:21" x14ac:dyDescent="0.2">
      <c r="A454" s="49" t="s">
        <v>30</v>
      </c>
      <c r="E454" s="49" t="s">
        <v>31</v>
      </c>
      <c r="F454" s="49" t="s">
        <v>31</v>
      </c>
      <c r="G454" s="49" t="s">
        <v>31</v>
      </c>
      <c r="J454" s="49" t="s">
        <v>31</v>
      </c>
      <c r="K454" s="49" t="s">
        <v>31</v>
      </c>
      <c r="L454" s="49" t="s">
        <v>31</v>
      </c>
      <c r="M454" s="49" t="s">
        <v>31</v>
      </c>
    </row>
    <row r="455" spans="1:21" x14ac:dyDescent="0.2">
      <c r="A455" s="49" t="s">
        <v>30</v>
      </c>
      <c r="D455" s="49" t="s">
        <v>33621</v>
      </c>
      <c r="E455" s="49" t="s">
        <v>7373</v>
      </c>
      <c r="F455" s="49" t="s">
        <v>33622</v>
      </c>
      <c r="H455" s="49" t="s">
        <v>33623</v>
      </c>
      <c r="O455" s="49" t="s">
        <v>33624</v>
      </c>
      <c r="P455" s="49" t="s">
        <v>33625</v>
      </c>
      <c r="Q455" s="49" t="s">
        <v>33626</v>
      </c>
      <c r="R455" s="49" t="s">
        <v>33627</v>
      </c>
      <c r="S455" s="49" t="s">
        <v>33628</v>
      </c>
      <c r="T455" s="49" t="s">
        <v>33629</v>
      </c>
      <c r="U455" s="49" t="s">
        <v>33630</v>
      </c>
    </row>
    <row r="456" spans="1:21" x14ac:dyDescent="0.2">
      <c r="A456" s="49" t="s">
        <v>30</v>
      </c>
      <c r="D456" s="49" t="s">
        <v>14717</v>
      </c>
      <c r="G456" s="49" t="s">
        <v>33631</v>
      </c>
      <c r="H456" s="49" t="s">
        <v>31208</v>
      </c>
      <c r="I456" s="49" t="s">
        <v>31211</v>
      </c>
      <c r="J456" s="49" t="s">
        <v>31238</v>
      </c>
      <c r="K456" s="49" t="s">
        <v>31241</v>
      </c>
      <c r="L456" s="49" t="s">
        <v>14719</v>
      </c>
      <c r="M456" s="49" t="s">
        <v>14720</v>
      </c>
      <c r="N456" s="49" t="s">
        <v>14721</v>
      </c>
      <c r="O456" s="49" t="s">
        <v>33632</v>
      </c>
      <c r="P456" s="49" t="s">
        <v>33633</v>
      </c>
      <c r="Q456" s="49" t="s">
        <v>33634</v>
      </c>
      <c r="R456" s="49" t="s">
        <v>33635</v>
      </c>
      <c r="S456" s="49" t="s">
        <v>33636</v>
      </c>
      <c r="T456" s="49" t="s">
        <v>33637</v>
      </c>
    </row>
    <row r="457" spans="1:21" x14ac:dyDescent="0.2">
      <c r="A457" s="49" t="s">
        <v>30</v>
      </c>
      <c r="D457" s="49" t="s">
        <v>13660</v>
      </c>
      <c r="G457" s="49" t="s">
        <v>17635</v>
      </c>
      <c r="H457" s="49" t="s">
        <v>13661</v>
      </c>
      <c r="I457" s="49" t="s">
        <v>13662</v>
      </c>
      <c r="J457" s="49" t="s">
        <v>13663</v>
      </c>
      <c r="K457" s="49" t="s">
        <v>13664</v>
      </c>
      <c r="L457" s="49" t="s">
        <v>13665</v>
      </c>
      <c r="M457" s="49" t="s">
        <v>13666</v>
      </c>
      <c r="N457" s="49" t="s">
        <v>13667</v>
      </c>
      <c r="O457" s="49" t="s">
        <v>13668</v>
      </c>
      <c r="P457" s="49" t="s">
        <v>13669</v>
      </c>
      <c r="Q457" s="49" t="s">
        <v>13670</v>
      </c>
      <c r="R457" s="49" t="s">
        <v>13671</v>
      </c>
      <c r="S457" s="49" t="s">
        <v>13672</v>
      </c>
      <c r="T457" s="49" t="s">
        <v>13673</v>
      </c>
    </row>
    <row r="458" spans="1:21" x14ac:dyDescent="0.2">
      <c r="A458" s="49" t="s">
        <v>30</v>
      </c>
    </row>
    <row r="459" spans="1:21" x14ac:dyDescent="0.2">
      <c r="A459" s="49" t="s">
        <v>30</v>
      </c>
      <c r="E459" s="49" t="s">
        <v>31</v>
      </c>
      <c r="F459" s="49" t="s">
        <v>31</v>
      </c>
      <c r="G459" s="49" t="s">
        <v>31</v>
      </c>
      <c r="J459" s="49" t="s">
        <v>31</v>
      </c>
      <c r="K459" s="49" t="s">
        <v>31</v>
      </c>
      <c r="L459" s="49" t="s">
        <v>31</v>
      </c>
      <c r="M459" s="49" t="s">
        <v>31</v>
      </c>
    </row>
    <row r="460" spans="1:21" x14ac:dyDescent="0.2">
      <c r="A460" s="49" t="s">
        <v>30</v>
      </c>
      <c r="D460" s="49" t="s">
        <v>33638</v>
      </c>
      <c r="E460" s="49" t="s">
        <v>7374</v>
      </c>
      <c r="F460" s="49" t="s">
        <v>33639</v>
      </c>
      <c r="H460" s="49" t="s">
        <v>33640</v>
      </c>
      <c r="O460" s="49" t="s">
        <v>33641</v>
      </c>
      <c r="P460" s="49" t="s">
        <v>33642</v>
      </c>
      <c r="Q460" s="49" t="s">
        <v>33643</v>
      </c>
      <c r="R460" s="49" t="s">
        <v>33644</v>
      </c>
      <c r="S460" s="49" t="s">
        <v>33645</v>
      </c>
      <c r="T460" s="49" t="s">
        <v>33646</v>
      </c>
      <c r="U460" s="49" t="s">
        <v>33647</v>
      </c>
    </row>
    <row r="461" spans="1:21" x14ac:dyDescent="0.2">
      <c r="A461" s="49" t="s">
        <v>30</v>
      </c>
      <c r="D461" s="49" t="s">
        <v>9898</v>
      </c>
      <c r="G461" s="49" t="s">
        <v>33648</v>
      </c>
      <c r="H461" s="49" t="s">
        <v>9899</v>
      </c>
      <c r="I461" s="49" t="s">
        <v>9900</v>
      </c>
      <c r="J461" s="49" t="s">
        <v>9901</v>
      </c>
      <c r="K461" s="49" t="s">
        <v>9902</v>
      </c>
      <c r="L461" s="49" t="s">
        <v>9903</v>
      </c>
      <c r="M461" s="49" t="s">
        <v>9904</v>
      </c>
      <c r="N461" s="49" t="s">
        <v>9905</v>
      </c>
      <c r="O461" s="49" t="s">
        <v>33649</v>
      </c>
      <c r="P461" s="49" t="s">
        <v>33650</v>
      </c>
      <c r="Q461" s="49" t="s">
        <v>33651</v>
      </c>
      <c r="R461" s="49" t="s">
        <v>33652</v>
      </c>
      <c r="S461" s="49" t="s">
        <v>33653</v>
      </c>
      <c r="T461" s="49" t="s">
        <v>33654</v>
      </c>
    </row>
    <row r="462" spans="1:21" x14ac:dyDescent="0.2">
      <c r="A462" s="49" t="s">
        <v>30</v>
      </c>
    </row>
    <row r="463" spans="1:21" x14ac:dyDescent="0.2">
      <c r="A463" s="49" t="s">
        <v>30</v>
      </c>
      <c r="E463" s="49" t="s">
        <v>31</v>
      </c>
      <c r="F463" s="49" t="s">
        <v>31</v>
      </c>
      <c r="G463" s="49" t="s">
        <v>31</v>
      </c>
      <c r="J463" s="49" t="s">
        <v>31</v>
      </c>
      <c r="K463" s="49" t="s">
        <v>31</v>
      </c>
      <c r="L463" s="49" t="s">
        <v>31</v>
      </c>
      <c r="M463" s="49" t="s">
        <v>31</v>
      </c>
    </row>
    <row r="464" spans="1:21" x14ac:dyDescent="0.2">
      <c r="A464" s="49" t="s">
        <v>30</v>
      </c>
      <c r="D464" s="49" t="s">
        <v>33655</v>
      </c>
      <c r="E464" s="49" t="s">
        <v>7417</v>
      </c>
      <c r="F464" s="49" t="s">
        <v>33656</v>
      </c>
      <c r="H464" s="49" t="s">
        <v>33657</v>
      </c>
      <c r="O464" s="49" t="s">
        <v>33658</v>
      </c>
      <c r="P464" s="49" t="s">
        <v>33659</v>
      </c>
      <c r="Q464" s="49" t="s">
        <v>33660</v>
      </c>
      <c r="R464" s="49" t="s">
        <v>33661</v>
      </c>
      <c r="S464" s="49" t="s">
        <v>33662</v>
      </c>
      <c r="T464" s="49" t="s">
        <v>33663</v>
      </c>
      <c r="U464" s="49" t="s">
        <v>33664</v>
      </c>
    </row>
    <row r="465" spans="1:21" x14ac:dyDescent="0.2">
      <c r="A465" s="49" t="s">
        <v>30</v>
      </c>
      <c r="D465" s="49" t="s">
        <v>9906</v>
      </c>
      <c r="G465" s="49" t="s">
        <v>33665</v>
      </c>
      <c r="H465" s="49" t="s">
        <v>9907</v>
      </c>
      <c r="I465" s="49" t="s">
        <v>9908</v>
      </c>
      <c r="J465" s="49" t="s">
        <v>9909</v>
      </c>
      <c r="K465" s="49" t="s">
        <v>9910</v>
      </c>
      <c r="L465" s="49" t="s">
        <v>9911</v>
      </c>
      <c r="M465" s="49" t="s">
        <v>9912</v>
      </c>
      <c r="N465" s="49" t="s">
        <v>9913</v>
      </c>
      <c r="O465" s="49" t="s">
        <v>34548</v>
      </c>
      <c r="P465" s="49" t="s">
        <v>34551</v>
      </c>
      <c r="Q465" s="49" t="s">
        <v>34554</v>
      </c>
      <c r="R465" s="49" t="s">
        <v>34557</v>
      </c>
      <c r="S465" s="49" t="s">
        <v>34560</v>
      </c>
      <c r="T465" s="49" t="s">
        <v>34563</v>
      </c>
    </row>
    <row r="466" spans="1:21" x14ac:dyDescent="0.2">
      <c r="A466" s="49" t="s">
        <v>30</v>
      </c>
      <c r="D466" s="49" t="s">
        <v>11001</v>
      </c>
      <c r="G466" s="49" t="s">
        <v>17725</v>
      </c>
      <c r="H466" s="49" t="s">
        <v>12583</v>
      </c>
      <c r="I466" s="49" t="s">
        <v>12587</v>
      </c>
      <c r="J466" s="49" t="s">
        <v>12621</v>
      </c>
      <c r="K466" s="49" t="s">
        <v>12625</v>
      </c>
      <c r="L466" s="49" t="s">
        <v>11002</v>
      </c>
      <c r="M466" s="49" t="s">
        <v>11003</v>
      </c>
      <c r="N466" s="49" t="s">
        <v>11004</v>
      </c>
      <c r="O466" s="49" t="s">
        <v>34549</v>
      </c>
      <c r="P466" s="49" t="s">
        <v>34552</v>
      </c>
      <c r="Q466" s="49" t="s">
        <v>34555</v>
      </c>
      <c r="R466" s="49" t="s">
        <v>34558</v>
      </c>
      <c r="S466" s="49" t="s">
        <v>34561</v>
      </c>
      <c r="T466" s="49" t="s">
        <v>34564</v>
      </c>
    </row>
    <row r="467" spans="1:21" x14ac:dyDescent="0.2">
      <c r="A467" s="49" t="s">
        <v>30</v>
      </c>
      <c r="D467" s="49" t="s">
        <v>5190</v>
      </c>
      <c r="G467" s="49" t="s">
        <v>17730</v>
      </c>
      <c r="H467" s="49" t="s">
        <v>5191</v>
      </c>
      <c r="I467" s="49" t="s">
        <v>5192</v>
      </c>
      <c r="J467" s="49" t="s">
        <v>5193</v>
      </c>
      <c r="K467" s="49" t="s">
        <v>5194</v>
      </c>
      <c r="L467" s="49" t="s">
        <v>5195</v>
      </c>
      <c r="M467" s="49" t="s">
        <v>5196</v>
      </c>
      <c r="N467" s="49" t="s">
        <v>5197</v>
      </c>
      <c r="O467" s="49" t="s">
        <v>34550</v>
      </c>
      <c r="P467" s="49" t="s">
        <v>34553</v>
      </c>
      <c r="Q467" s="49" t="s">
        <v>34556</v>
      </c>
      <c r="R467" s="49" t="s">
        <v>34559</v>
      </c>
      <c r="S467" s="49" t="s">
        <v>34562</v>
      </c>
      <c r="T467" s="49" t="s">
        <v>34565</v>
      </c>
    </row>
    <row r="468" spans="1:21" x14ac:dyDescent="0.2">
      <c r="A468" s="49" t="s">
        <v>30</v>
      </c>
    </row>
    <row r="469" spans="1:21" x14ac:dyDescent="0.2">
      <c r="A469" s="49" t="s">
        <v>30</v>
      </c>
      <c r="E469" s="49" t="s">
        <v>31</v>
      </c>
      <c r="F469" s="49" t="s">
        <v>31</v>
      </c>
      <c r="G469" s="49" t="s">
        <v>31</v>
      </c>
      <c r="J469" s="49" t="s">
        <v>31</v>
      </c>
      <c r="K469" s="49" t="s">
        <v>31</v>
      </c>
      <c r="L469" s="49" t="s">
        <v>31</v>
      </c>
      <c r="M469" s="49" t="s">
        <v>31</v>
      </c>
    </row>
    <row r="470" spans="1:21" x14ac:dyDescent="0.2">
      <c r="A470" s="49" t="s">
        <v>30</v>
      </c>
      <c r="D470" s="49" t="s">
        <v>33666</v>
      </c>
      <c r="E470" s="49" t="s">
        <v>7447</v>
      </c>
      <c r="F470" s="49" t="s">
        <v>33667</v>
      </c>
      <c r="H470" s="49" t="s">
        <v>33668</v>
      </c>
      <c r="O470" s="49" t="s">
        <v>33669</v>
      </c>
      <c r="P470" s="49" t="s">
        <v>33670</v>
      </c>
      <c r="Q470" s="49" t="s">
        <v>33671</v>
      </c>
      <c r="R470" s="49" t="s">
        <v>33672</v>
      </c>
      <c r="S470" s="49" t="s">
        <v>33673</v>
      </c>
      <c r="T470" s="49" t="s">
        <v>33674</v>
      </c>
      <c r="U470" s="49" t="s">
        <v>33675</v>
      </c>
    </row>
    <row r="471" spans="1:21" x14ac:dyDescent="0.2">
      <c r="A471" s="49" t="s">
        <v>30</v>
      </c>
      <c r="D471" s="49" t="s">
        <v>14747</v>
      </c>
      <c r="G471" s="49" t="s">
        <v>33676</v>
      </c>
      <c r="H471" s="49" t="s">
        <v>31117</v>
      </c>
      <c r="I471" s="49" t="s">
        <v>31126</v>
      </c>
      <c r="J471" s="49" t="s">
        <v>31189</v>
      </c>
      <c r="K471" s="49" t="s">
        <v>31198</v>
      </c>
      <c r="L471" s="49" t="s">
        <v>14749</v>
      </c>
      <c r="M471" s="49" t="s">
        <v>14750</v>
      </c>
      <c r="N471" s="49" t="s">
        <v>14751</v>
      </c>
      <c r="O471" s="49" t="s">
        <v>33677</v>
      </c>
      <c r="P471" s="49" t="s">
        <v>33678</v>
      </c>
      <c r="Q471" s="49" t="s">
        <v>33679</v>
      </c>
      <c r="R471" s="49" t="s">
        <v>33680</v>
      </c>
      <c r="S471" s="49" t="s">
        <v>33681</v>
      </c>
      <c r="T471" s="49" t="s">
        <v>33682</v>
      </c>
    </row>
    <row r="472" spans="1:21" x14ac:dyDescent="0.2">
      <c r="A472" s="49" t="s">
        <v>30</v>
      </c>
    </row>
    <row r="473" spans="1:21" x14ac:dyDescent="0.2">
      <c r="A473" s="49" t="s">
        <v>30</v>
      </c>
      <c r="E473" s="49" t="s">
        <v>31</v>
      </c>
      <c r="F473" s="49" t="s">
        <v>31</v>
      </c>
      <c r="G473" s="49" t="s">
        <v>31</v>
      </c>
      <c r="J473" s="49" t="s">
        <v>31</v>
      </c>
      <c r="K473" s="49" t="s">
        <v>31</v>
      </c>
      <c r="L473" s="49" t="s">
        <v>31</v>
      </c>
      <c r="M473" s="49" t="s">
        <v>31</v>
      </c>
    </row>
    <row r="474" spans="1:21" x14ac:dyDescent="0.2">
      <c r="A474" s="49" t="s">
        <v>30</v>
      </c>
      <c r="D474" s="49" t="s">
        <v>33683</v>
      </c>
      <c r="E474" s="49" t="s">
        <v>7530</v>
      </c>
      <c r="F474" s="49" t="s">
        <v>33684</v>
      </c>
      <c r="H474" s="49" t="s">
        <v>33685</v>
      </c>
      <c r="O474" s="49" t="s">
        <v>33686</v>
      </c>
      <c r="P474" s="49" t="s">
        <v>33687</v>
      </c>
      <c r="Q474" s="49" t="s">
        <v>33688</v>
      </c>
      <c r="R474" s="49" t="s">
        <v>33689</v>
      </c>
      <c r="S474" s="49" t="s">
        <v>33690</v>
      </c>
      <c r="T474" s="49" t="s">
        <v>33691</v>
      </c>
      <c r="U474" s="49" t="s">
        <v>33692</v>
      </c>
    </row>
    <row r="475" spans="1:21" x14ac:dyDescent="0.2">
      <c r="A475" s="49" t="s">
        <v>30</v>
      </c>
      <c r="D475" s="49" t="s">
        <v>9922</v>
      </c>
      <c r="G475" s="49" t="s">
        <v>33693</v>
      </c>
      <c r="H475" s="49" t="s">
        <v>9923</v>
      </c>
      <c r="I475" s="49" t="s">
        <v>9924</v>
      </c>
      <c r="J475" s="49" t="s">
        <v>9925</v>
      </c>
      <c r="K475" s="49" t="s">
        <v>9926</v>
      </c>
      <c r="L475" s="49" t="s">
        <v>9927</v>
      </c>
      <c r="M475" s="49" t="s">
        <v>9928</v>
      </c>
      <c r="N475" s="49" t="s">
        <v>9929</v>
      </c>
      <c r="O475" s="49" t="s">
        <v>34530</v>
      </c>
      <c r="P475" s="49" t="s">
        <v>34533</v>
      </c>
      <c r="Q475" s="49" t="s">
        <v>34536</v>
      </c>
      <c r="R475" s="49" t="s">
        <v>34539</v>
      </c>
      <c r="S475" s="49" t="s">
        <v>34542</v>
      </c>
      <c r="T475" s="49" t="s">
        <v>34545</v>
      </c>
    </row>
    <row r="476" spans="1:21" x14ac:dyDescent="0.2">
      <c r="A476" s="49" t="s">
        <v>30</v>
      </c>
      <c r="D476" s="49" t="s">
        <v>5227</v>
      </c>
      <c r="G476" s="49" t="s">
        <v>17840</v>
      </c>
      <c r="H476" s="49" t="s">
        <v>5228</v>
      </c>
      <c r="I476" s="49" t="s">
        <v>5229</v>
      </c>
      <c r="J476" s="49" t="s">
        <v>5230</v>
      </c>
      <c r="K476" s="49" t="s">
        <v>5231</v>
      </c>
      <c r="L476" s="49" t="s">
        <v>5232</v>
      </c>
      <c r="M476" s="49" t="s">
        <v>5233</v>
      </c>
      <c r="N476" s="49" t="s">
        <v>5234</v>
      </c>
      <c r="O476" s="49" t="s">
        <v>34531</v>
      </c>
      <c r="P476" s="49" t="s">
        <v>34534</v>
      </c>
      <c r="Q476" s="49" t="s">
        <v>34537</v>
      </c>
      <c r="R476" s="49" t="s">
        <v>34540</v>
      </c>
      <c r="S476" s="49" t="s">
        <v>34543</v>
      </c>
      <c r="T476" s="49" t="s">
        <v>34546</v>
      </c>
    </row>
    <row r="477" spans="1:21" x14ac:dyDescent="0.2">
      <c r="A477" s="49" t="s">
        <v>30</v>
      </c>
      <c r="D477" s="49" t="s">
        <v>5241</v>
      </c>
      <c r="G477" s="49" t="s">
        <v>17875</v>
      </c>
      <c r="H477" s="49" t="s">
        <v>5242</v>
      </c>
      <c r="I477" s="49" t="s">
        <v>5243</v>
      </c>
      <c r="J477" s="49" t="s">
        <v>5244</v>
      </c>
      <c r="K477" s="49" t="s">
        <v>5245</v>
      </c>
      <c r="L477" s="49" t="s">
        <v>5246</v>
      </c>
      <c r="M477" s="49" t="s">
        <v>5247</v>
      </c>
      <c r="N477" s="49" t="s">
        <v>5248</v>
      </c>
      <c r="O477" s="49" t="s">
        <v>34532</v>
      </c>
      <c r="P477" s="49" t="s">
        <v>34535</v>
      </c>
      <c r="Q477" s="49" t="s">
        <v>34538</v>
      </c>
      <c r="R477" s="49" t="s">
        <v>34541</v>
      </c>
      <c r="S477" s="49" t="s">
        <v>34544</v>
      </c>
      <c r="T477" s="49" t="s">
        <v>34547</v>
      </c>
    </row>
    <row r="478" spans="1:21" x14ac:dyDescent="0.2">
      <c r="A478" s="49" t="s">
        <v>30</v>
      </c>
    </row>
    <row r="479" spans="1:21" x14ac:dyDescent="0.2">
      <c r="A479" s="49" t="s">
        <v>30</v>
      </c>
      <c r="E479" s="49" t="s">
        <v>31</v>
      </c>
      <c r="F479" s="49" t="s">
        <v>31</v>
      </c>
      <c r="G479" s="49" t="s">
        <v>31</v>
      </c>
      <c r="J479" s="49" t="s">
        <v>31</v>
      </c>
      <c r="K479" s="49" t="s">
        <v>31</v>
      </c>
      <c r="L479" s="49" t="s">
        <v>31</v>
      </c>
      <c r="M479" s="49" t="s">
        <v>31</v>
      </c>
    </row>
    <row r="480" spans="1:21" x14ac:dyDescent="0.2">
      <c r="A480" s="49" t="s">
        <v>30</v>
      </c>
      <c r="D480" s="49" t="s">
        <v>5255</v>
      </c>
      <c r="E480" s="49" t="s">
        <v>7545</v>
      </c>
      <c r="F480" s="49" t="s">
        <v>5257</v>
      </c>
      <c r="H480" s="49" t="s">
        <v>5258</v>
      </c>
      <c r="O480" s="49" t="s">
        <v>33694</v>
      </c>
      <c r="P480" s="49" t="s">
        <v>33695</v>
      </c>
      <c r="Q480" s="49" t="s">
        <v>33696</v>
      </c>
      <c r="R480" s="49" t="s">
        <v>33697</v>
      </c>
      <c r="S480" s="49" t="s">
        <v>33698</v>
      </c>
      <c r="T480" s="49" t="s">
        <v>33699</v>
      </c>
      <c r="U480" s="49" t="s">
        <v>33700</v>
      </c>
    </row>
    <row r="481" spans="1:21" x14ac:dyDescent="0.2">
      <c r="A481" s="49" t="s">
        <v>30</v>
      </c>
      <c r="D481" s="49" t="s">
        <v>5259</v>
      </c>
      <c r="G481" s="49" t="s">
        <v>33701</v>
      </c>
      <c r="H481" s="49" t="s">
        <v>5260</v>
      </c>
      <c r="I481" s="49" t="s">
        <v>5261</v>
      </c>
      <c r="J481" s="49" t="s">
        <v>5262</v>
      </c>
      <c r="K481" s="49" t="s">
        <v>5263</v>
      </c>
      <c r="L481" s="49" t="s">
        <v>5264</v>
      </c>
      <c r="M481" s="49" t="s">
        <v>5265</v>
      </c>
      <c r="N481" s="49" t="s">
        <v>5266</v>
      </c>
      <c r="O481" s="49" t="s">
        <v>34512</v>
      </c>
      <c r="P481" s="49" t="s">
        <v>34515</v>
      </c>
      <c r="Q481" s="49" t="s">
        <v>34518</v>
      </c>
      <c r="R481" s="49" t="s">
        <v>34521</v>
      </c>
      <c r="S481" s="49" t="s">
        <v>34524</v>
      </c>
      <c r="T481" s="49" t="s">
        <v>34527</v>
      </c>
    </row>
    <row r="482" spans="1:21" x14ac:dyDescent="0.2">
      <c r="A482" s="49" t="s">
        <v>30</v>
      </c>
      <c r="D482" s="49" t="s">
        <v>5273</v>
      </c>
      <c r="G482" s="49" t="s">
        <v>17925</v>
      </c>
      <c r="H482" s="49" t="s">
        <v>5274</v>
      </c>
      <c r="I482" s="49" t="s">
        <v>5275</v>
      </c>
      <c r="J482" s="49" t="s">
        <v>5276</v>
      </c>
      <c r="K482" s="49" t="s">
        <v>5277</v>
      </c>
      <c r="L482" s="49" t="s">
        <v>5278</v>
      </c>
      <c r="M482" s="49" t="s">
        <v>5279</v>
      </c>
      <c r="N482" s="49" t="s">
        <v>5280</v>
      </c>
      <c r="O482" s="49" t="s">
        <v>34513</v>
      </c>
      <c r="P482" s="49" t="s">
        <v>34516</v>
      </c>
      <c r="Q482" s="49" t="s">
        <v>34519</v>
      </c>
      <c r="R482" s="49" t="s">
        <v>34522</v>
      </c>
      <c r="S482" s="49" t="s">
        <v>34525</v>
      </c>
      <c r="T482" s="49" t="s">
        <v>34528</v>
      </c>
    </row>
    <row r="483" spans="1:21" x14ac:dyDescent="0.2">
      <c r="A483" s="49" t="s">
        <v>30</v>
      </c>
      <c r="D483" s="49" t="s">
        <v>5287</v>
      </c>
      <c r="G483" s="49" t="s">
        <v>17945</v>
      </c>
      <c r="H483" s="49" t="s">
        <v>5288</v>
      </c>
      <c r="I483" s="49" t="s">
        <v>5289</v>
      </c>
      <c r="J483" s="49" t="s">
        <v>5290</v>
      </c>
      <c r="K483" s="49" t="s">
        <v>5291</v>
      </c>
      <c r="L483" s="49" t="s">
        <v>5292</v>
      </c>
      <c r="M483" s="49" t="s">
        <v>5293</v>
      </c>
      <c r="N483" s="49" t="s">
        <v>5294</v>
      </c>
      <c r="O483" s="49" t="s">
        <v>34514</v>
      </c>
      <c r="P483" s="49" t="s">
        <v>34517</v>
      </c>
      <c r="Q483" s="49" t="s">
        <v>34520</v>
      </c>
      <c r="R483" s="49" t="s">
        <v>34523</v>
      </c>
      <c r="S483" s="49" t="s">
        <v>34526</v>
      </c>
      <c r="T483" s="49" t="s">
        <v>34529</v>
      </c>
    </row>
    <row r="484" spans="1:21" x14ac:dyDescent="0.2">
      <c r="A484" s="49" t="s">
        <v>30</v>
      </c>
    </row>
    <row r="485" spans="1:21" x14ac:dyDescent="0.2">
      <c r="A485" s="49" t="s">
        <v>30</v>
      </c>
      <c r="E485" s="49" t="s">
        <v>31</v>
      </c>
      <c r="F485" s="49" t="s">
        <v>31</v>
      </c>
      <c r="G485" s="49" t="s">
        <v>31</v>
      </c>
      <c r="J485" s="49" t="s">
        <v>31</v>
      </c>
      <c r="K485" s="49" t="s">
        <v>31</v>
      </c>
      <c r="L485" s="49" t="s">
        <v>31</v>
      </c>
      <c r="M485" s="49" t="s">
        <v>31</v>
      </c>
    </row>
    <row r="486" spans="1:21" x14ac:dyDescent="0.2">
      <c r="A486" s="49" t="s">
        <v>30</v>
      </c>
      <c r="D486" s="49" t="s">
        <v>33702</v>
      </c>
      <c r="E486" s="49" t="s">
        <v>17950</v>
      </c>
      <c r="F486" s="49" t="s">
        <v>33703</v>
      </c>
      <c r="H486" s="49" t="s">
        <v>33704</v>
      </c>
      <c r="O486" s="49" t="s">
        <v>33705</v>
      </c>
      <c r="P486" s="49" t="s">
        <v>33706</v>
      </c>
      <c r="Q486" s="49" t="s">
        <v>33707</v>
      </c>
      <c r="R486" s="49" t="s">
        <v>33708</v>
      </c>
      <c r="S486" s="49" t="s">
        <v>33709</v>
      </c>
      <c r="T486" s="49" t="s">
        <v>33710</v>
      </c>
      <c r="U486" s="49" t="s">
        <v>33711</v>
      </c>
    </row>
    <row r="487" spans="1:21" x14ac:dyDescent="0.2">
      <c r="A487" s="49" t="s">
        <v>30</v>
      </c>
      <c r="D487" s="49" t="s">
        <v>14783</v>
      </c>
      <c r="G487" s="49" t="s">
        <v>33712</v>
      </c>
      <c r="H487" s="49" t="s">
        <v>31122</v>
      </c>
      <c r="I487" s="49" t="s">
        <v>31131</v>
      </c>
      <c r="J487" s="49" t="s">
        <v>31194</v>
      </c>
      <c r="K487" s="49" t="s">
        <v>31203</v>
      </c>
      <c r="L487" s="49" t="s">
        <v>14785</v>
      </c>
      <c r="M487" s="49" t="s">
        <v>14786</v>
      </c>
      <c r="N487" s="49" t="s">
        <v>14787</v>
      </c>
      <c r="O487" s="49" t="s">
        <v>33713</v>
      </c>
      <c r="P487" s="49" t="s">
        <v>33714</v>
      </c>
      <c r="Q487" s="49" t="s">
        <v>33715</v>
      </c>
      <c r="R487" s="49" t="s">
        <v>33716</v>
      </c>
      <c r="S487" s="49" t="s">
        <v>33717</v>
      </c>
      <c r="T487" s="49" t="s">
        <v>33718</v>
      </c>
    </row>
    <row r="488" spans="1:21" x14ac:dyDescent="0.2">
      <c r="A488" s="49" t="s">
        <v>30</v>
      </c>
    </row>
    <row r="489" spans="1:21" x14ac:dyDescent="0.2">
      <c r="A489" s="49" t="s">
        <v>30</v>
      </c>
      <c r="E489" s="49" t="s">
        <v>31</v>
      </c>
      <c r="F489" s="49" t="s">
        <v>31</v>
      </c>
      <c r="G489" s="49" t="s">
        <v>31</v>
      </c>
      <c r="J489" s="49" t="s">
        <v>31</v>
      </c>
      <c r="K489" s="49" t="s">
        <v>31</v>
      </c>
      <c r="L489" s="49" t="s">
        <v>31</v>
      </c>
      <c r="M489" s="49" t="s">
        <v>31</v>
      </c>
    </row>
    <row r="490" spans="1:21" x14ac:dyDescent="0.2">
      <c r="A490" s="49" t="s">
        <v>30</v>
      </c>
      <c r="D490" s="49" t="s">
        <v>33719</v>
      </c>
      <c r="E490" s="49" t="s">
        <v>7574</v>
      </c>
      <c r="F490" s="49" t="s">
        <v>33720</v>
      </c>
      <c r="H490" s="49" t="s">
        <v>33721</v>
      </c>
      <c r="O490" s="49" t="s">
        <v>33722</v>
      </c>
      <c r="P490" s="49" t="s">
        <v>33723</v>
      </c>
      <c r="Q490" s="49" t="s">
        <v>33724</v>
      </c>
      <c r="R490" s="49" t="s">
        <v>33725</v>
      </c>
      <c r="S490" s="49" t="s">
        <v>33726</v>
      </c>
      <c r="T490" s="49" t="s">
        <v>33727</v>
      </c>
      <c r="U490" s="49" t="s">
        <v>33728</v>
      </c>
    </row>
    <row r="491" spans="1:21" x14ac:dyDescent="0.2">
      <c r="A491" s="49" t="s">
        <v>30</v>
      </c>
      <c r="D491" s="49" t="s">
        <v>11016</v>
      </c>
      <c r="G491" s="49" t="s">
        <v>33729</v>
      </c>
      <c r="H491" s="49" t="s">
        <v>11017</v>
      </c>
      <c r="I491" s="49" t="s">
        <v>11018</v>
      </c>
      <c r="J491" s="49" t="s">
        <v>11019</v>
      </c>
      <c r="K491" s="49" t="s">
        <v>11020</v>
      </c>
      <c r="L491" s="49" t="s">
        <v>11021</v>
      </c>
      <c r="M491" s="49" t="s">
        <v>11022</v>
      </c>
      <c r="N491" s="49" t="s">
        <v>11023</v>
      </c>
      <c r="O491" s="49" t="s">
        <v>33730</v>
      </c>
      <c r="P491" s="49" t="s">
        <v>33731</v>
      </c>
      <c r="Q491" s="49" t="s">
        <v>33732</v>
      </c>
      <c r="R491" s="49" t="s">
        <v>33733</v>
      </c>
      <c r="S491" s="49" t="s">
        <v>33734</v>
      </c>
      <c r="T491" s="49" t="s">
        <v>33735</v>
      </c>
    </row>
    <row r="492" spans="1:21" x14ac:dyDescent="0.2">
      <c r="A492" s="49" t="s">
        <v>30</v>
      </c>
      <c r="D492" s="49" t="s">
        <v>11030</v>
      </c>
      <c r="G492" s="49" t="s">
        <v>18056</v>
      </c>
      <c r="H492" s="49" t="s">
        <v>11031</v>
      </c>
      <c r="I492" s="49" t="s">
        <v>11032</v>
      </c>
      <c r="J492" s="49" t="s">
        <v>11033</v>
      </c>
      <c r="K492" s="49" t="s">
        <v>11034</v>
      </c>
      <c r="L492" s="49" t="s">
        <v>11035</v>
      </c>
      <c r="M492" s="49" t="s">
        <v>11036</v>
      </c>
      <c r="N492" s="49" t="s">
        <v>11037</v>
      </c>
      <c r="O492" s="49" t="s">
        <v>33736</v>
      </c>
      <c r="P492" s="49" t="s">
        <v>33737</v>
      </c>
      <c r="Q492" s="49" t="s">
        <v>33738</v>
      </c>
      <c r="R492" s="49" t="s">
        <v>33739</v>
      </c>
      <c r="S492" s="49" t="s">
        <v>33740</v>
      </c>
      <c r="T492" s="49" t="s">
        <v>33741</v>
      </c>
    </row>
    <row r="493" spans="1:21" x14ac:dyDescent="0.2">
      <c r="A493" s="49" t="s">
        <v>30</v>
      </c>
    </row>
    <row r="494" spans="1:21" x14ac:dyDescent="0.2">
      <c r="A494" s="49" t="s">
        <v>30</v>
      </c>
      <c r="E494" s="49" t="s">
        <v>31</v>
      </c>
      <c r="F494" s="49" t="s">
        <v>31</v>
      </c>
      <c r="G494" s="49" t="s">
        <v>31</v>
      </c>
      <c r="J494" s="49" t="s">
        <v>31</v>
      </c>
      <c r="K494" s="49" t="s">
        <v>31</v>
      </c>
      <c r="L494" s="49" t="s">
        <v>31</v>
      </c>
      <c r="M494" s="49" t="s">
        <v>31</v>
      </c>
    </row>
    <row r="495" spans="1:21" x14ac:dyDescent="0.2">
      <c r="A495" s="49" t="s">
        <v>30</v>
      </c>
      <c r="D495" s="49" t="s">
        <v>33742</v>
      </c>
      <c r="E495" s="49" t="s">
        <v>7617</v>
      </c>
      <c r="F495" s="49" t="s">
        <v>33743</v>
      </c>
      <c r="H495" s="49" t="s">
        <v>33744</v>
      </c>
      <c r="O495" s="49" t="s">
        <v>33745</v>
      </c>
      <c r="P495" s="49" t="s">
        <v>33746</v>
      </c>
      <c r="Q495" s="49" t="s">
        <v>33747</v>
      </c>
      <c r="R495" s="49" t="s">
        <v>33748</v>
      </c>
      <c r="S495" s="49" t="s">
        <v>33749</v>
      </c>
      <c r="T495" s="49" t="s">
        <v>33750</v>
      </c>
      <c r="U495" s="49" t="s">
        <v>33751</v>
      </c>
    </row>
    <row r="496" spans="1:21" x14ac:dyDescent="0.2">
      <c r="A496" s="49" t="s">
        <v>30</v>
      </c>
      <c r="D496" s="49" t="s">
        <v>14815</v>
      </c>
      <c r="G496" s="49" t="s">
        <v>33752</v>
      </c>
      <c r="H496" s="49" t="s">
        <v>31037</v>
      </c>
      <c r="I496" s="49" t="s">
        <v>31045</v>
      </c>
      <c r="J496" s="49" t="s">
        <v>31101</v>
      </c>
      <c r="K496" s="49" t="s">
        <v>31109</v>
      </c>
      <c r="L496" s="49" t="s">
        <v>14817</v>
      </c>
      <c r="M496" s="49" t="s">
        <v>14818</v>
      </c>
      <c r="N496" s="49" t="s">
        <v>14819</v>
      </c>
      <c r="O496" s="49" t="s">
        <v>33753</v>
      </c>
      <c r="P496" s="49" t="s">
        <v>33754</v>
      </c>
      <c r="Q496" s="49" t="s">
        <v>33755</v>
      </c>
      <c r="R496" s="49" t="s">
        <v>33756</v>
      </c>
      <c r="S496" s="49" t="s">
        <v>33757</v>
      </c>
      <c r="T496" s="49" t="s">
        <v>33758</v>
      </c>
    </row>
    <row r="497" spans="1:21" x14ac:dyDescent="0.2">
      <c r="A497" s="49" t="s">
        <v>30</v>
      </c>
    </row>
    <row r="498" spans="1:21" x14ac:dyDescent="0.2">
      <c r="A498" s="49" t="s">
        <v>30</v>
      </c>
      <c r="E498" s="49" t="s">
        <v>31</v>
      </c>
      <c r="F498" s="49" t="s">
        <v>31</v>
      </c>
      <c r="G498" s="49" t="s">
        <v>31</v>
      </c>
      <c r="J498" s="49" t="s">
        <v>31</v>
      </c>
      <c r="K498" s="49" t="s">
        <v>31</v>
      </c>
      <c r="L498" s="49" t="s">
        <v>31</v>
      </c>
      <c r="M498" s="49" t="s">
        <v>31</v>
      </c>
    </row>
    <row r="499" spans="1:21" x14ac:dyDescent="0.2">
      <c r="A499" s="49" t="s">
        <v>30</v>
      </c>
      <c r="D499" s="49" t="s">
        <v>33759</v>
      </c>
      <c r="E499" s="49" t="s">
        <v>7632</v>
      </c>
      <c r="F499" s="49" t="s">
        <v>33760</v>
      </c>
      <c r="H499" s="49" t="s">
        <v>33761</v>
      </c>
      <c r="O499" s="49" t="s">
        <v>33762</v>
      </c>
      <c r="P499" s="49" t="s">
        <v>33763</v>
      </c>
      <c r="Q499" s="49" t="s">
        <v>33764</v>
      </c>
      <c r="R499" s="49" t="s">
        <v>33765</v>
      </c>
      <c r="S499" s="49" t="s">
        <v>33766</v>
      </c>
      <c r="T499" s="49" t="s">
        <v>33767</v>
      </c>
      <c r="U499" s="49" t="s">
        <v>33768</v>
      </c>
    </row>
    <row r="500" spans="1:21" x14ac:dyDescent="0.2">
      <c r="A500" s="49" t="s">
        <v>30</v>
      </c>
      <c r="D500" s="49" t="s">
        <v>11066</v>
      </c>
      <c r="G500" s="49" t="s">
        <v>33769</v>
      </c>
      <c r="H500" s="49" t="s">
        <v>11067</v>
      </c>
      <c r="I500" s="49" t="s">
        <v>11068</v>
      </c>
      <c r="J500" s="49" t="s">
        <v>11069</v>
      </c>
      <c r="K500" s="49" t="s">
        <v>11070</v>
      </c>
      <c r="L500" s="49" t="s">
        <v>11071</v>
      </c>
      <c r="M500" s="49" t="s">
        <v>11072</v>
      </c>
      <c r="N500" s="49" t="s">
        <v>11073</v>
      </c>
      <c r="O500" s="49" t="s">
        <v>33770</v>
      </c>
      <c r="P500" s="49" t="s">
        <v>33771</v>
      </c>
      <c r="Q500" s="49" t="s">
        <v>33772</v>
      </c>
      <c r="R500" s="49" t="s">
        <v>33773</v>
      </c>
      <c r="S500" s="49" t="s">
        <v>33774</v>
      </c>
      <c r="T500" s="49" t="s">
        <v>33775</v>
      </c>
    </row>
    <row r="501" spans="1:21" x14ac:dyDescent="0.2">
      <c r="A501" s="49" t="s">
        <v>30</v>
      </c>
    </row>
    <row r="502" spans="1:21" x14ac:dyDescent="0.2">
      <c r="A502" s="49" t="s">
        <v>30</v>
      </c>
      <c r="E502" s="49" t="s">
        <v>31</v>
      </c>
      <c r="F502" s="49" t="s">
        <v>31</v>
      </c>
      <c r="G502" s="49" t="s">
        <v>31</v>
      </c>
      <c r="J502" s="49" t="s">
        <v>31</v>
      </c>
      <c r="K502" s="49" t="s">
        <v>31</v>
      </c>
      <c r="L502" s="49" t="s">
        <v>31</v>
      </c>
      <c r="M502" s="49" t="s">
        <v>31</v>
      </c>
    </row>
    <row r="503" spans="1:21" x14ac:dyDescent="0.2">
      <c r="A503" s="49" t="s">
        <v>30</v>
      </c>
      <c r="D503" s="49" t="s">
        <v>11080</v>
      </c>
      <c r="E503" s="49" t="s">
        <v>7745</v>
      </c>
      <c r="F503" s="49" t="s">
        <v>11081</v>
      </c>
      <c r="H503" s="49" t="s">
        <v>11082</v>
      </c>
      <c r="O503" s="49" t="s">
        <v>11083</v>
      </c>
      <c r="P503" s="49" t="s">
        <v>11084</v>
      </c>
      <c r="Q503" s="49" t="s">
        <v>11085</v>
      </c>
      <c r="R503" s="49" t="s">
        <v>11086</v>
      </c>
      <c r="S503" s="49" t="s">
        <v>11087</v>
      </c>
      <c r="T503" s="49" t="s">
        <v>11088</v>
      </c>
      <c r="U503" s="49" t="s">
        <v>11089</v>
      </c>
    </row>
    <row r="504" spans="1:21" x14ac:dyDescent="0.2">
      <c r="A504" s="49" t="s">
        <v>30</v>
      </c>
      <c r="D504" s="49" t="s">
        <v>5332</v>
      </c>
      <c r="G504" s="49" t="s">
        <v>33776</v>
      </c>
      <c r="H504" s="49" t="s">
        <v>5333</v>
      </c>
      <c r="I504" s="49" t="s">
        <v>5334</v>
      </c>
      <c r="J504" s="49" t="s">
        <v>5335</v>
      </c>
      <c r="K504" s="49" t="s">
        <v>5336</v>
      </c>
      <c r="L504" s="49" t="s">
        <v>5337</v>
      </c>
      <c r="M504" s="49" t="s">
        <v>5338</v>
      </c>
      <c r="N504" s="49" t="s">
        <v>5339</v>
      </c>
      <c r="O504" s="49" t="s">
        <v>34494</v>
      </c>
      <c r="P504" s="49" t="s">
        <v>34497</v>
      </c>
      <c r="Q504" s="49" t="s">
        <v>34500</v>
      </c>
      <c r="R504" s="49" t="s">
        <v>34503</v>
      </c>
      <c r="S504" s="49" t="s">
        <v>34506</v>
      </c>
      <c r="T504" s="49" t="s">
        <v>34509</v>
      </c>
    </row>
    <row r="505" spans="1:21" x14ac:dyDescent="0.2">
      <c r="A505" s="49" t="s">
        <v>30</v>
      </c>
      <c r="D505" s="49" t="s">
        <v>5346</v>
      </c>
      <c r="G505" s="49" t="s">
        <v>18196</v>
      </c>
      <c r="H505" s="49" t="s">
        <v>5347</v>
      </c>
      <c r="I505" s="49" t="s">
        <v>5348</v>
      </c>
      <c r="J505" s="49" t="s">
        <v>5349</v>
      </c>
      <c r="K505" s="49" t="s">
        <v>5350</v>
      </c>
      <c r="L505" s="49" t="s">
        <v>5351</v>
      </c>
      <c r="M505" s="49" t="s">
        <v>5352</v>
      </c>
      <c r="N505" s="49" t="s">
        <v>5353</v>
      </c>
      <c r="O505" s="49" t="s">
        <v>34495</v>
      </c>
      <c r="P505" s="49" t="s">
        <v>34498</v>
      </c>
      <c r="Q505" s="49" t="s">
        <v>34501</v>
      </c>
      <c r="R505" s="49" t="s">
        <v>34504</v>
      </c>
      <c r="S505" s="49" t="s">
        <v>34507</v>
      </c>
      <c r="T505" s="49" t="s">
        <v>34510</v>
      </c>
    </row>
    <row r="506" spans="1:21" x14ac:dyDescent="0.2">
      <c r="A506" s="49" t="s">
        <v>30</v>
      </c>
      <c r="D506" s="49" t="s">
        <v>5360</v>
      </c>
      <c r="G506" s="49" t="s">
        <v>18211</v>
      </c>
      <c r="H506" s="49" t="s">
        <v>5361</v>
      </c>
      <c r="I506" s="49" t="s">
        <v>5362</v>
      </c>
      <c r="J506" s="49" t="s">
        <v>5363</v>
      </c>
      <c r="K506" s="49" t="s">
        <v>5364</v>
      </c>
      <c r="L506" s="49" t="s">
        <v>5365</v>
      </c>
      <c r="M506" s="49" t="s">
        <v>5366</v>
      </c>
      <c r="N506" s="49" t="s">
        <v>5367</v>
      </c>
      <c r="O506" s="49" t="s">
        <v>34496</v>
      </c>
      <c r="P506" s="49" t="s">
        <v>34499</v>
      </c>
      <c r="Q506" s="49" t="s">
        <v>34502</v>
      </c>
      <c r="R506" s="49" t="s">
        <v>34505</v>
      </c>
      <c r="S506" s="49" t="s">
        <v>34508</v>
      </c>
      <c r="T506" s="49" t="s">
        <v>34511</v>
      </c>
    </row>
    <row r="507" spans="1:21" x14ac:dyDescent="0.2">
      <c r="A507" s="49" t="s">
        <v>30</v>
      </c>
    </row>
    <row r="508" spans="1:21" x14ac:dyDescent="0.2">
      <c r="A508" s="49" t="s">
        <v>30</v>
      </c>
      <c r="E508" s="49" t="s">
        <v>31</v>
      </c>
      <c r="F508" s="49" t="s">
        <v>31</v>
      </c>
      <c r="G508" s="49" t="s">
        <v>31</v>
      </c>
      <c r="J508" s="49" t="s">
        <v>31</v>
      </c>
      <c r="K508" s="49" t="s">
        <v>31</v>
      </c>
      <c r="L508" s="49" t="s">
        <v>31</v>
      </c>
      <c r="M508" s="49" t="s">
        <v>31</v>
      </c>
    </row>
    <row r="509" spans="1:21" x14ac:dyDescent="0.2">
      <c r="A509" s="49" t="s">
        <v>30</v>
      </c>
      <c r="D509" s="49" t="s">
        <v>11090</v>
      </c>
      <c r="E509" s="49" t="s">
        <v>7760</v>
      </c>
      <c r="F509" s="49" t="s">
        <v>11091</v>
      </c>
      <c r="H509" s="49" t="s">
        <v>11092</v>
      </c>
      <c r="O509" s="49" t="s">
        <v>33777</v>
      </c>
      <c r="P509" s="49" t="s">
        <v>33778</v>
      </c>
      <c r="Q509" s="49" t="s">
        <v>33779</v>
      </c>
      <c r="R509" s="49" t="s">
        <v>33780</v>
      </c>
      <c r="S509" s="49" t="s">
        <v>33781</v>
      </c>
      <c r="T509" s="49" t="s">
        <v>33782</v>
      </c>
      <c r="U509" s="49" t="s">
        <v>33783</v>
      </c>
    </row>
    <row r="510" spans="1:21" x14ac:dyDescent="0.2">
      <c r="A510" s="49" t="s">
        <v>30</v>
      </c>
      <c r="D510" s="49" t="s">
        <v>5374</v>
      </c>
      <c r="G510" s="49" t="s">
        <v>33784</v>
      </c>
      <c r="H510" s="49" t="s">
        <v>5375</v>
      </c>
      <c r="I510" s="49" t="s">
        <v>5376</v>
      </c>
      <c r="J510" s="49" t="s">
        <v>5377</v>
      </c>
      <c r="K510" s="49" t="s">
        <v>5378</v>
      </c>
      <c r="L510" s="49" t="s">
        <v>5379</v>
      </c>
      <c r="M510" s="49" t="s">
        <v>5380</v>
      </c>
      <c r="N510" s="49" t="s">
        <v>5381</v>
      </c>
      <c r="O510" s="49" t="s">
        <v>34476</v>
      </c>
      <c r="P510" s="49" t="s">
        <v>34479</v>
      </c>
      <c r="Q510" s="49" t="s">
        <v>34482</v>
      </c>
      <c r="R510" s="49" t="s">
        <v>34485</v>
      </c>
      <c r="S510" s="49" t="s">
        <v>34488</v>
      </c>
      <c r="T510" s="49" t="s">
        <v>34491</v>
      </c>
    </row>
    <row r="511" spans="1:21" x14ac:dyDescent="0.2">
      <c r="A511" s="49" t="s">
        <v>30</v>
      </c>
      <c r="D511" s="49" t="s">
        <v>5388</v>
      </c>
      <c r="G511" s="49" t="s">
        <v>18251</v>
      </c>
      <c r="H511" s="49" t="s">
        <v>5389</v>
      </c>
      <c r="I511" s="49" t="s">
        <v>5390</v>
      </c>
      <c r="J511" s="49" t="s">
        <v>5391</v>
      </c>
      <c r="K511" s="49" t="s">
        <v>5392</v>
      </c>
      <c r="L511" s="49" t="s">
        <v>5393</v>
      </c>
      <c r="M511" s="49" t="s">
        <v>5394</v>
      </c>
      <c r="N511" s="49" t="s">
        <v>5395</v>
      </c>
      <c r="O511" s="49" t="s">
        <v>34477</v>
      </c>
      <c r="P511" s="49" t="s">
        <v>34480</v>
      </c>
      <c r="Q511" s="49" t="s">
        <v>34483</v>
      </c>
      <c r="R511" s="49" t="s">
        <v>34486</v>
      </c>
      <c r="S511" s="49" t="s">
        <v>34489</v>
      </c>
      <c r="T511" s="49" t="s">
        <v>34492</v>
      </c>
    </row>
    <row r="512" spans="1:21" x14ac:dyDescent="0.2">
      <c r="A512" s="49" t="s">
        <v>30</v>
      </c>
      <c r="D512" s="49" t="s">
        <v>5402</v>
      </c>
      <c r="G512" s="49" t="s">
        <v>18276</v>
      </c>
      <c r="H512" s="49" t="s">
        <v>5403</v>
      </c>
      <c r="I512" s="49" t="s">
        <v>5404</v>
      </c>
      <c r="J512" s="49" t="s">
        <v>5405</v>
      </c>
      <c r="K512" s="49" t="s">
        <v>5406</v>
      </c>
      <c r="L512" s="49" t="s">
        <v>5407</v>
      </c>
      <c r="M512" s="49" t="s">
        <v>5408</v>
      </c>
      <c r="N512" s="49" t="s">
        <v>5409</v>
      </c>
      <c r="O512" s="49" t="s">
        <v>34478</v>
      </c>
      <c r="P512" s="49" t="s">
        <v>34481</v>
      </c>
      <c r="Q512" s="49" t="s">
        <v>34484</v>
      </c>
      <c r="R512" s="49" t="s">
        <v>34487</v>
      </c>
      <c r="S512" s="49" t="s">
        <v>34490</v>
      </c>
      <c r="T512" s="49" t="s">
        <v>34493</v>
      </c>
    </row>
    <row r="513" spans="1:21" x14ac:dyDescent="0.2">
      <c r="A513" s="49" t="s">
        <v>30</v>
      </c>
    </row>
    <row r="514" spans="1:21" x14ac:dyDescent="0.2">
      <c r="A514" s="49" t="s">
        <v>30</v>
      </c>
      <c r="E514" s="49" t="s">
        <v>31</v>
      </c>
      <c r="F514" s="49" t="s">
        <v>31</v>
      </c>
      <c r="G514" s="49" t="s">
        <v>31</v>
      </c>
      <c r="J514" s="49" t="s">
        <v>31</v>
      </c>
      <c r="K514" s="49" t="s">
        <v>31</v>
      </c>
      <c r="L514" s="49" t="s">
        <v>31</v>
      </c>
      <c r="M514" s="49" t="s">
        <v>31</v>
      </c>
    </row>
    <row r="515" spans="1:21" x14ac:dyDescent="0.2">
      <c r="A515" s="49" t="s">
        <v>30</v>
      </c>
      <c r="D515" s="49" t="s">
        <v>33785</v>
      </c>
      <c r="E515" s="49" t="s">
        <v>7803</v>
      </c>
      <c r="F515" s="49" t="s">
        <v>33786</v>
      </c>
      <c r="H515" s="49" t="s">
        <v>33787</v>
      </c>
      <c r="O515" s="49" t="s">
        <v>33788</v>
      </c>
      <c r="P515" s="49" t="s">
        <v>33789</v>
      </c>
      <c r="Q515" s="49" t="s">
        <v>33790</v>
      </c>
      <c r="R515" s="49" t="s">
        <v>33791</v>
      </c>
      <c r="S515" s="49" t="s">
        <v>33792</v>
      </c>
      <c r="T515" s="49" t="s">
        <v>33793</v>
      </c>
      <c r="U515" s="49" t="s">
        <v>33794</v>
      </c>
    </row>
    <row r="516" spans="1:21" x14ac:dyDescent="0.2">
      <c r="A516" s="49" t="s">
        <v>30</v>
      </c>
      <c r="D516" s="49" t="s">
        <v>33795</v>
      </c>
      <c r="G516" s="49" t="s">
        <v>33796</v>
      </c>
      <c r="H516" s="49" t="s">
        <v>33797</v>
      </c>
      <c r="I516" s="49" t="s">
        <v>33798</v>
      </c>
      <c r="J516" s="49" t="s">
        <v>33799</v>
      </c>
      <c r="K516" s="49" t="s">
        <v>33800</v>
      </c>
      <c r="L516" s="49" t="s">
        <v>33801</v>
      </c>
      <c r="M516" s="49" t="s">
        <v>33802</v>
      </c>
      <c r="N516" s="49" t="s">
        <v>33803</v>
      </c>
      <c r="O516" s="49" t="s">
        <v>33804</v>
      </c>
      <c r="P516" s="49" t="s">
        <v>33805</v>
      </c>
      <c r="Q516" s="49" t="s">
        <v>33806</v>
      </c>
      <c r="R516" s="49" t="s">
        <v>33807</v>
      </c>
      <c r="S516" s="49" t="s">
        <v>33808</v>
      </c>
      <c r="T516" s="49" t="s">
        <v>33809</v>
      </c>
    </row>
    <row r="517" spans="1:21" x14ac:dyDescent="0.2">
      <c r="A517" s="49" t="s">
        <v>30</v>
      </c>
      <c r="D517" s="49" t="s">
        <v>14871</v>
      </c>
      <c r="G517" s="49" t="s">
        <v>18331</v>
      </c>
      <c r="H517" s="49" t="s">
        <v>31026</v>
      </c>
      <c r="I517" s="49" t="s">
        <v>31027</v>
      </c>
      <c r="J517" s="49" t="s">
        <v>31034</v>
      </c>
      <c r="K517" s="49" t="s">
        <v>31035</v>
      </c>
      <c r="L517" s="49" t="s">
        <v>14873</v>
      </c>
      <c r="M517" s="49" t="s">
        <v>14874</v>
      </c>
      <c r="N517" s="49" t="s">
        <v>14875</v>
      </c>
      <c r="O517" s="49" t="s">
        <v>33810</v>
      </c>
      <c r="P517" s="49" t="s">
        <v>33811</v>
      </c>
      <c r="Q517" s="49" t="s">
        <v>33812</v>
      </c>
      <c r="R517" s="49" t="s">
        <v>33813</v>
      </c>
      <c r="S517" s="49" t="s">
        <v>33814</v>
      </c>
      <c r="T517" s="49" t="s">
        <v>33815</v>
      </c>
    </row>
    <row r="518" spans="1:21" x14ac:dyDescent="0.2">
      <c r="A518" s="49" t="s">
        <v>30</v>
      </c>
    </row>
    <row r="519" spans="1:21" x14ac:dyDescent="0.2">
      <c r="A519" s="49" t="s">
        <v>30</v>
      </c>
      <c r="E519" s="49" t="s">
        <v>31</v>
      </c>
      <c r="F519" s="49" t="s">
        <v>31</v>
      </c>
      <c r="G519" s="49" t="s">
        <v>31</v>
      </c>
      <c r="J519" s="49" t="s">
        <v>31</v>
      </c>
      <c r="K519" s="49" t="s">
        <v>31</v>
      </c>
      <c r="L519" s="49" t="s">
        <v>31</v>
      </c>
      <c r="M519" s="49" t="s">
        <v>31</v>
      </c>
    </row>
    <row r="520" spans="1:21" x14ac:dyDescent="0.2">
      <c r="A520" s="49" t="s">
        <v>30</v>
      </c>
      <c r="D520" s="49" t="s">
        <v>33816</v>
      </c>
      <c r="E520" s="49" t="s">
        <v>18336</v>
      </c>
      <c r="F520" s="49" t="s">
        <v>33817</v>
      </c>
      <c r="H520" s="49" t="s">
        <v>33818</v>
      </c>
      <c r="O520" s="49" t="s">
        <v>33819</v>
      </c>
      <c r="P520" s="49" t="s">
        <v>33820</v>
      </c>
      <c r="Q520" s="49" t="s">
        <v>33821</v>
      </c>
      <c r="R520" s="49" t="s">
        <v>33822</v>
      </c>
      <c r="S520" s="49" t="s">
        <v>33823</v>
      </c>
      <c r="T520" s="49" t="s">
        <v>33824</v>
      </c>
      <c r="U520" s="49" t="s">
        <v>33825</v>
      </c>
    </row>
    <row r="521" spans="1:21" x14ac:dyDescent="0.2">
      <c r="A521" s="49" t="s">
        <v>30</v>
      </c>
      <c r="D521" s="49" t="s">
        <v>11100</v>
      </c>
      <c r="G521" s="49" t="s">
        <v>33826</v>
      </c>
      <c r="H521" s="49" t="s">
        <v>12496</v>
      </c>
      <c r="I521" s="49" t="s">
        <v>12499</v>
      </c>
      <c r="J521" s="49" t="s">
        <v>12520</v>
      </c>
      <c r="K521" s="49" t="s">
        <v>12523</v>
      </c>
      <c r="L521" s="49" t="s">
        <v>11101</v>
      </c>
      <c r="M521" s="49" t="s">
        <v>11102</v>
      </c>
      <c r="N521" s="49" t="s">
        <v>11103</v>
      </c>
      <c r="O521" s="49" t="s">
        <v>34458</v>
      </c>
      <c r="P521" s="49" t="s">
        <v>34461</v>
      </c>
      <c r="Q521" s="49" t="s">
        <v>34464</v>
      </c>
      <c r="R521" s="49" t="s">
        <v>34467</v>
      </c>
      <c r="S521" s="49" t="s">
        <v>34470</v>
      </c>
      <c r="T521" s="49" t="s">
        <v>34473</v>
      </c>
    </row>
    <row r="522" spans="1:21" x14ac:dyDescent="0.2">
      <c r="A522" s="49" t="s">
        <v>30</v>
      </c>
      <c r="D522" s="49" t="s">
        <v>11104</v>
      </c>
      <c r="G522" s="49" t="s">
        <v>18382</v>
      </c>
      <c r="H522" s="49" t="s">
        <v>12497</v>
      </c>
      <c r="I522" s="49" t="s">
        <v>12500</v>
      </c>
      <c r="J522" s="49" t="s">
        <v>12521</v>
      </c>
      <c r="K522" s="49" t="s">
        <v>12524</v>
      </c>
      <c r="L522" s="49" t="s">
        <v>11105</v>
      </c>
      <c r="M522" s="49" t="s">
        <v>11106</v>
      </c>
      <c r="N522" s="49" t="s">
        <v>11107</v>
      </c>
      <c r="O522" s="49" t="s">
        <v>34459</v>
      </c>
      <c r="P522" s="49" t="s">
        <v>34462</v>
      </c>
      <c r="Q522" s="49" t="s">
        <v>34465</v>
      </c>
      <c r="R522" s="49" t="s">
        <v>34468</v>
      </c>
      <c r="S522" s="49" t="s">
        <v>34471</v>
      </c>
      <c r="T522" s="49" t="s">
        <v>34474</v>
      </c>
    </row>
    <row r="523" spans="1:21" x14ac:dyDescent="0.2">
      <c r="A523" s="49" t="s">
        <v>30</v>
      </c>
      <c r="D523" s="49" t="s">
        <v>11108</v>
      </c>
      <c r="G523" s="49" t="s">
        <v>18387</v>
      </c>
      <c r="H523" s="49" t="s">
        <v>12498</v>
      </c>
      <c r="I523" s="49" t="s">
        <v>12501</v>
      </c>
      <c r="J523" s="49" t="s">
        <v>12522</v>
      </c>
      <c r="K523" s="49" t="s">
        <v>12525</v>
      </c>
      <c r="L523" s="49" t="s">
        <v>11109</v>
      </c>
      <c r="M523" s="49" t="s">
        <v>11110</v>
      </c>
      <c r="N523" s="49" t="s">
        <v>11111</v>
      </c>
      <c r="O523" s="49" t="s">
        <v>34460</v>
      </c>
      <c r="P523" s="49" t="s">
        <v>34463</v>
      </c>
      <c r="Q523" s="49" t="s">
        <v>34466</v>
      </c>
      <c r="R523" s="49" t="s">
        <v>34469</v>
      </c>
      <c r="S523" s="49" t="s">
        <v>34472</v>
      </c>
      <c r="T523" s="49" t="s">
        <v>34475</v>
      </c>
    </row>
    <row r="524" spans="1:21" x14ac:dyDescent="0.2">
      <c r="A524" s="49" t="s">
        <v>30</v>
      </c>
    </row>
    <row r="525" spans="1:21" x14ac:dyDescent="0.2">
      <c r="A525" s="49" t="s">
        <v>30</v>
      </c>
      <c r="E525" s="49" t="s">
        <v>31</v>
      </c>
      <c r="F525" s="49" t="s">
        <v>31</v>
      </c>
      <c r="G525" s="49" t="s">
        <v>31</v>
      </c>
      <c r="J525" s="49" t="s">
        <v>31</v>
      </c>
      <c r="K525" s="49" t="s">
        <v>31</v>
      </c>
      <c r="L525" s="49" t="s">
        <v>31</v>
      </c>
      <c r="M525" s="49" t="s">
        <v>31</v>
      </c>
    </row>
    <row r="526" spans="1:21" x14ac:dyDescent="0.2">
      <c r="A526" s="49" t="s">
        <v>30</v>
      </c>
      <c r="D526" s="49" t="s">
        <v>33827</v>
      </c>
      <c r="E526" s="49" t="s">
        <v>7818</v>
      </c>
      <c r="F526" s="49" t="s">
        <v>33828</v>
      </c>
      <c r="H526" s="49" t="s">
        <v>33829</v>
      </c>
      <c r="O526" s="49" t="s">
        <v>33830</v>
      </c>
      <c r="P526" s="49" t="s">
        <v>33831</v>
      </c>
      <c r="Q526" s="49" t="s">
        <v>33832</v>
      </c>
      <c r="R526" s="49" t="s">
        <v>33833</v>
      </c>
      <c r="S526" s="49" t="s">
        <v>33834</v>
      </c>
      <c r="T526" s="49" t="s">
        <v>33835</v>
      </c>
      <c r="U526" s="49" t="s">
        <v>33836</v>
      </c>
    </row>
    <row r="527" spans="1:21" x14ac:dyDescent="0.2">
      <c r="A527" s="49" t="s">
        <v>30</v>
      </c>
      <c r="D527" s="49" t="s">
        <v>5490</v>
      </c>
      <c r="G527" s="49" t="s">
        <v>33837</v>
      </c>
      <c r="H527" s="49" t="s">
        <v>5491</v>
      </c>
      <c r="I527" s="49" t="s">
        <v>5492</v>
      </c>
      <c r="J527" s="49" t="s">
        <v>5493</v>
      </c>
      <c r="K527" s="49" t="s">
        <v>5494</v>
      </c>
      <c r="L527" s="49" t="s">
        <v>5495</v>
      </c>
      <c r="M527" s="49" t="s">
        <v>5496</v>
      </c>
      <c r="N527" s="49" t="s">
        <v>5497</v>
      </c>
      <c r="O527" s="49" t="s">
        <v>34434</v>
      </c>
      <c r="P527" s="49" t="s">
        <v>34438</v>
      </c>
      <c r="Q527" s="49" t="s">
        <v>34442</v>
      </c>
      <c r="R527" s="49" t="s">
        <v>34446</v>
      </c>
      <c r="S527" s="49" t="s">
        <v>34450</v>
      </c>
      <c r="T527" s="49" t="s">
        <v>34454</v>
      </c>
    </row>
    <row r="528" spans="1:21" x14ac:dyDescent="0.2">
      <c r="A528" s="49" t="s">
        <v>30</v>
      </c>
      <c r="D528" s="49" t="s">
        <v>14893</v>
      </c>
      <c r="G528" s="49" t="s">
        <v>18432</v>
      </c>
      <c r="H528" s="49" t="s">
        <v>30966</v>
      </c>
      <c r="I528" s="49" t="s">
        <v>30972</v>
      </c>
      <c r="J528" s="49" t="s">
        <v>31014</v>
      </c>
      <c r="K528" s="49" t="s">
        <v>31020</v>
      </c>
      <c r="L528" s="49" t="s">
        <v>14895</v>
      </c>
      <c r="M528" s="49" t="s">
        <v>14896</v>
      </c>
      <c r="N528" s="49" t="s">
        <v>14897</v>
      </c>
      <c r="O528" s="49" t="s">
        <v>34435</v>
      </c>
      <c r="P528" s="49" t="s">
        <v>34439</v>
      </c>
      <c r="Q528" s="49" t="s">
        <v>34443</v>
      </c>
      <c r="R528" s="49" t="s">
        <v>34447</v>
      </c>
      <c r="S528" s="49" t="s">
        <v>34451</v>
      </c>
      <c r="T528" s="49" t="s">
        <v>34455</v>
      </c>
    </row>
    <row r="529" spans="1:21" x14ac:dyDescent="0.2">
      <c r="A529" s="49" t="s">
        <v>30</v>
      </c>
      <c r="D529" s="49" t="s">
        <v>14898</v>
      </c>
      <c r="G529" s="49" t="s">
        <v>18437</v>
      </c>
      <c r="H529" s="49" t="s">
        <v>30967</v>
      </c>
      <c r="I529" s="49" t="s">
        <v>30973</v>
      </c>
      <c r="J529" s="49" t="s">
        <v>31015</v>
      </c>
      <c r="K529" s="49" t="s">
        <v>31021</v>
      </c>
      <c r="L529" s="49" t="s">
        <v>14900</v>
      </c>
      <c r="M529" s="49" t="s">
        <v>14901</v>
      </c>
      <c r="N529" s="49" t="s">
        <v>14902</v>
      </c>
      <c r="O529" s="49" t="s">
        <v>34436</v>
      </c>
      <c r="P529" s="49" t="s">
        <v>34440</v>
      </c>
      <c r="Q529" s="49" t="s">
        <v>34444</v>
      </c>
      <c r="R529" s="49" t="s">
        <v>34448</v>
      </c>
      <c r="S529" s="49" t="s">
        <v>34452</v>
      </c>
      <c r="T529" s="49" t="s">
        <v>34456</v>
      </c>
    </row>
    <row r="530" spans="1:21" x14ac:dyDescent="0.2">
      <c r="A530" s="49" t="s">
        <v>30</v>
      </c>
      <c r="D530" s="49" t="s">
        <v>14903</v>
      </c>
      <c r="G530" s="49" t="s">
        <v>18442</v>
      </c>
      <c r="H530" s="49" t="s">
        <v>30968</v>
      </c>
      <c r="I530" s="49" t="s">
        <v>30974</v>
      </c>
      <c r="J530" s="49" t="s">
        <v>31016</v>
      </c>
      <c r="K530" s="49" t="s">
        <v>31022</v>
      </c>
      <c r="L530" s="49" t="s">
        <v>14905</v>
      </c>
      <c r="M530" s="49" t="s">
        <v>14906</v>
      </c>
      <c r="N530" s="49" t="s">
        <v>14907</v>
      </c>
      <c r="O530" s="49" t="s">
        <v>34437</v>
      </c>
      <c r="P530" s="49" t="s">
        <v>34441</v>
      </c>
      <c r="Q530" s="49" t="s">
        <v>34445</v>
      </c>
      <c r="R530" s="49" t="s">
        <v>34449</v>
      </c>
      <c r="S530" s="49" t="s">
        <v>34453</v>
      </c>
      <c r="T530" s="49" t="s">
        <v>34457</v>
      </c>
    </row>
    <row r="531" spans="1:21" x14ac:dyDescent="0.2">
      <c r="A531" s="49" t="s">
        <v>30</v>
      </c>
    </row>
    <row r="532" spans="1:21" x14ac:dyDescent="0.2">
      <c r="A532" s="49" t="s">
        <v>30</v>
      </c>
      <c r="E532" s="49" t="s">
        <v>31</v>
      </c>
      <c r="F532" s="49" t="s">
        <v>31</v>
      </c>
      <c r="G532" s="49" t="s">
        <v>31</v>
      </c>
      <c r="J532" s="49" t="s">
        <v>31</v>
      </c>
      <c r="K532" s="49" t="s">
        <v>31</v>
      </c>
      <c r="L532" s="49" t="s">
        <v>31</v>
      </c>
      <c r="M532" s="49" t="s">
        <v>31</v>
      </c>
    </row>
    <row r="533" spans="1:21" x14ac:dyDescent="0.2">
      <c r="A533" s="49" t="s">
        <v>30</v>
      </c>
      <c r="D533" s="49" t="s">
        <v>33838</v>
      </c>
      <c r="E533" s="49" t="s">
        <v>7820</v>
      </c>
      <c r="F533" s="49" t="s">
        <v>33839</v>
      </c>
      <c r="H533" s="49" t="s">
        <v>33840</v>
      </c>
      <c r="O533" s="49" t="s">
        <v>33841</v>
      </c>
      <c r="P533" s="49" t="s">
        <v>33842</v>
      </c>
      <c r="Q533" s="49" t="s">
        <v>33843</v>
      </c>
      <c r="R533" s="49" t="s">
        <v>33844</v>
      </c>
      <c r="S533" s="49" t="s">
        <v>33845</v>
      </c>
      <c r="T533" s="49" t="s">
        <v>33846</v>
      </c>
      <c r="U533" s="49" t="s">
        <v>33847</v>
      </c>
    </row>
    <row r="534" spans="1:21" x14ac:dyDescent="0.2">
      <c r="A534" s="49" t="s">
        <v>30</v>
      </c>
      <c r="D534" s="49" t="s">
        <v>5513</v>
      </c>
      <c r="G534" s="49" t="s">
        <v>33848</v>
      </c>
      <c r="H534" s="49" t="s">
        <v>5514</v>
      </c>
      <c r="I534" s="49" t="s">
        <v>5515</v>
      </c>
      <c r="J534" s="49" t="s">
        <v>5516</v>
      </c>
      <c r="K534" s="49" t="s">
        <v>5517</v>
      </c>
      <c r="L534" s="49" t="s">
        <v>5518</v>
      </c>
      <c r="M534" s="49" t="s">
        <v>5519</v>
      </c>
      <c r="N534" s="49" t="s">
        <v>5520</v>
      </c>
      <c r="O534" s="49" t="s">
        <v>34416</v>
      </c>
      <c r="P534" s="49" t="s">
        <v>34419</v>
      </c>
      <c r="Q534" s="49" t="s">
        <v>34422</v>
      </c>
      <c r="R534" s="49" t="s">
        <v>34425</v>
      </c>
      <c r="S534" s="49" t="s">
        <v>34428</v>
      </c>
      <c r="T534" s="49" t="s">
        <v>34431</v>
      </c>
    </row>
    <row r="535" spans="1:21" x14ac:dyDescent="0.2">
      <c r="A535" s="49" t="s">
        <v>30</v>
      </c>
      <c r="D535" s="49" t="s">
        <v>5527</v>
      </c>
      <c r="G535" s="49" t="s">
        <v>18557</v>
      </c>
      <c r="H535" s="49" t="s">
        <v>5528</v>
      </c>
      <c r="I535" s="49" t="s">
        <v>5529</v>
      </c>
      <c r="J535" s="49" t="s">
        <v>5530</v>
      </c>
      <c r="K535" s="49" t="s">
        <v>5531</v>
      </c>
      <c r="L535" s="49" t="s">
        <v>5532</v>
      </c>
      <c r="M535" s="49" t="s">
        <v>5533</v>
      </c>
      <c r="N535" s="49" t="s">
        <v>5534</v>
      </c>
      <c r="O535" s="49" t="s">
        <v>34417</v>
      </c>
      <c r="P535" s="49" t="s">
        <v>34420</v>
      </c>
      <c r="Q535" s="49" t="s">
        <v>34423</v>
      </c>
      <c r="R535" s="49" t="s">
        <v>34426</v>
      </c>
      <c r="S535" s="49" t="s">
        <v>34429</v>
      </c>
      <c r="T535" s="49" t="s">
        <v>34432</v>
      </c>
    </row>
    <row r="536" spans="1:21" x14ac:dyDescent="0.2">
      <c r="A536" s="49" t="s">
        <v>30</v>
      </c>
      <c r="D536" s="49" t="s">
        <v>5541</v>
      </c>
      <c r="G536" s="49" t="s">
        <v>18567</v>
      </c>
      <c r="H536" s="49" t="s">
        <v>5542</v>
      </c>
      <c r="I536" s="49" t="s">
        <v>5543</v>
      </c>
      <c r="J536" s="49" t="s">
        <v>5544</v>
      </c>
      <c r="K536" s="49" t="s">
        <v>5545</v>
      </c>
      <c r="L536" s="49" t="s">
        <v>5546</v>
      </c>
      <c r="M536" s="49" t="s">
        <v>5547</v>
      </c>
      <c r="N536" s="49" t="s">
        <v>5548</v>
      </c>
      <c r="O536" s="49" t="s">
        <v>34418</v>
      </c>
      <c r="P536" s="49" t="s">
        <v>34421</v>
      </c>
      <c r="Q536" s="49" t="s">
        <v>34424</v>
      </c>
      <c r="R536" s="49" t="s">
        <v>34427</v>
      </c>
      <c r="S536" s="49" t="s">
        <v>34430</v>
      </c>
      <c r="T536" s="49" t="s">
        <v>34433</v>
      </c>
    </row>
    <row r="537" spans="1:21" x14ac:dyDescent="0.2">
      <c r="A537" s="49" t="s">
        <v>30</v>
      </c>
    </row>
    <row r="538" spans="1:21" x14ac:dyDescent="0.2">
      <c r="A538" s="49" t="s">
        <v>30</v>
      </c>
      <c r="E538" s="49" t="s">
        <v>31</v>
      </c>
      <c r="F538" s="49" t="s">
        <v>31</v>
      </c>
      <c r="G538" s="49" t="s">
        <v>31</v>
      </c>
      <c r="J538" s="49" t="s">
        <v>31</v>
      </c>
      <c r="K538" s="49" t="s">
        <v>31</v>
      </c>
      <c r="L538" s="49" t="s">
        <v>31</v>
      </c>
      <c r="M538" s="49" t="s">
        <v>31</v>
      </c>
    </row>
    <row r="539" spans="1:21" x14ac:dyDescent="0.2">
      <c r="A539" s="49" t="s">
        <v>30</v>
      </c>
      <c r="D539" s="49" t="s">
        <v>33849</v>
      </c>
      <c r="E539" s="49" t="s">
        <v>7849</v>
      </c>
      <c r="F539" s="49" t="s">
        <v>33850</v>
      </c>
      <c r="H539" s="49" t="s">
        <v>33851</v>
      </c>
      <c r="O539" s="49" t="s">
        <v>33852</v>
      </c>
      <c r="P539" s="49" t="s">
        <v>33853</v>
      </c>
      <c r="Q539" s="49" t="s">
        <v>33854</v>
      </c>
      <c r="R539" s="49" t="s">
        <v>33855</v>
      </c>
      <c r="S539" s="49" t="s">
        <v>33856</v>
      </c>
      <c r="T539" s="49" t="s">
        <v>33857</v>
      </c>
      <c r="U539" s="49" t="s">
        <v>33858</v>
      </c>
    </row>
    <row r="540" spans="1:21" x14ac:dyDescent="0.2">
      <c r="A540" s="49" t="s">
        <v>30</v>
      </c>
      <c r="D540" s="49" t="s">
        <v>14917</v>
      </c>
      <c r="G540" s="49" t="s">
        <v>33859</v>
      </c>
      <c r="H540" s="49" t="s">
        <v>30969</v>
      </c>
      <c r="I540" s="49" t="s">
        <v>30975</v>
      </c>
      <c r="J540" s="49" t="s">
        <v>31017</v>
      </c>
      <c r="K540" s="49" t="s">
        <v>31023</v>
      </c>
      <c r="L540" s="49" t="s">
        <v>14919</v>
      </c>
      <c r="M540" s="49" t="s">
        <v>14920</v>
      </c>
      <c r="N540" s="49" t="s">
        <v>14921</v>
      </c>
      <c r="O540" s="49" t="s">
        <v>34392</v>
      </c>
      <c r="P540" s="49" t="s">
        <v>34396</v>
      </c>
      <c r="Q540" s="49" t="s">
        <v>34400</v>
      </c>
      <c r="R540" s="49" t="s">
        <v>34404</v>
      </c>
      <c r="S540" s="49" t="s">
        <v>34408</v>
      </c>
      <c r="T540" s="49" t="s">
        <v>34412</v>
      </c>
    </row>
    <row r="541" spans="1:21" x14ac:dyDescent="0.2">
      <c r="A541" s="49" t="s">
        <v>30</v>
      </c>
      <c r="D541" s="49" t="s">
        <v>14922</v>
      </c>
      <c r="G541" s="49" t="s">
        <v>18607</v>
      </c>
      <c r="H541" s="49" t="s">
        <v>30970</v>
      </c>
      <c r="I541" s="49" t="s">
        <v>30976</v>
      </c>
      <c r="J541" s="49" t="s">
        <v>31018</v>
      </c>
      <c r="K541" s="49" t="s">
        <v>31024</v>
      </c>
      <c r="L541" s="49" t="s">
        <v>14924</v>
      </c>
      <c r="M541" s="49" t="s">
        <v>14925</v>
      </c>
      <c r="N541" s="49" t="s">
        <v>14926</v>
      </c>
      <c r="O541" s="49" t="s">
        <v>34393</v>
      </c>
      <c r="P541" s="49" t="s">
        <v>34397</v>
      </c>
      <c r="Q541" s="49" t="s">
        <v>34401</v>
      </c>
      <c r="R541" s="49" t="s">
        <v>34405</v>
      </c>
      <c r="S541" s="49" t="s">
        <v>34409</v>
      </c>
      <c r="T541" s="49" t="s">
        <v>34413</v>
      </c>
    </row>
    <row r="542" spans="1:21" x14ac:dyDescent="0.2">
      <c r="A542" s="49" t="s">
        <v>30</v>
      </c>
      <c r="D542" s="49" t="s">
        <v>14927</v>
      </c>
      <c r="G542" s="49" t="s">
        <v>18637</v>
      </c>
      <c r="H542" s="49" t="s">
        <v>30971</v>
      </c>
      <c r="I542" s="49" t="s">
        <v>30977</v>
      </c>
      <c r="J542" s="49" t="s">
        <v>31019</v>
      </c>
      <c r="K542" s="49" t="s">
        <v>31025</v>
      </c>
      <c r="L542" s="49" t="s">
        <v>14929</v>
      </c>
      <c r="M542" s="49" t="s">
        <v>14930</v>
      </c>
      <c r="N542" s="49" t="s">
        <v>14931</v>
      </c>
      <c r="O542" s="49" t="s">
        <v>34394</v>
      </c>
      <c r="P542" s="49" t="s">
        <v>34398</v>
      </c>
      <c r="Q542" s="49" t="s">
        <v>34402</v>
      </c>
      <c r="R542" s="49" t="s">
        <v>34406</v>
      </c>
      <c r="S542" s="49" t="s">
        <v>34410</v>
      </c>
      <c r="T542" s="49" t="s">
        <v>34414</v>
      </c>
    </row>
    <row r="543" spans="1:21" x14ac:dyDescent="0.2">
      <c r="A543" s="49" t="s">
        <v>30</v>
      </c>
      <c r="D543" s="49" t="s">
        <v>5556</v>
      </c>
      <c r="G543" s="49" t="s">
        <v>18642</v>
      </c>
      <c r="H543" s="49" t="s">
        <v>5557</v>
      </c>
      <c r="I543" s="49" t="s">
        <v>5558</v>
      </c>
      <c r="J543" s="49" t="s">
        <v>5559</v>
      </c>
      <c r="K543" s="49" t="s">
        <v>5560</v>
      </c>
      <c r="L543" s="49" t="s">
        <v>5561</v>
      </c>
      <c r="M543" s="49" t="s">
        <v>5562</v>
      </c>
      <c r="N543" s="49" t="s">
        <v>5563</v>
      </c>
      <c r="O543" s="49" t="s">
        <v>34395</v>
      </c>
      <c r="P543" s="49" t="s">
        <v>34399</v>
      </c>
      <c r="Q543" s="49" t="s">
        <v>34403</v>
      </c>
      <c r="R543" s="49" t="s">
        <v>34407</v>
      </c>
      <c r="S543" s="49" t="s">
        <v>34411</v>
      </c>
      <c r="T543" s="49" t="s">
        <v>34415</v>
      </c>
    </row>
    <row r="544" spans="1:21" x14ac:dyDescent="0.2">
      <c r="A544" s="49" t="s">
        <v>30</v>
      </c>
    </row>
    <row r="545" spans="1:21" x14ac:dyDescent="0.2">
      <c r="A545" s="49" t="s">
        <v>30</v>
      </c>
      <c r="E545" s="49" t="s">
        <v>31</v>
      </c>
      <c r="F545" s="49" t="s">
        <v>31</v>
      </c>
      <c r="G545" s="49" t="s">
        <v>31</v>
      </c>
      <c r="J545" s="49" t="s">
        <v>31</v>
      </c>
      <c r="K545" s="49" t="s">
        <v>31</v>
      </c>
      <c r="L545" s="49" t="s">
        <v>31</v>
      </c>
      <c r="M545" s="49" t="s">
        <v>31</v>
      </c>
    </row>
    <row r="546" spans="1:21" x14ac:dyDescent="0.2">
      <c r="A546" s="49" t="s">
        <v>30</v>
      </c>
      <c r="D546" s="49" t="s">
        <v>33860</v>
      </c>
      <c r="E546" s="49" t="s">
        <v>7864</v>
      </c>
      <c r="F546" s="49" t="s">
        <v>33861</v>
      </c>
      <c r="H546" s="49" t="s">
        <v>33862</v>
      </c>
      <c r="O546" s="49" t="s">
        <v>33863</v>
      </c>
      <c r="P546" s="49" t="s">
        <v>33864</v>
      </c>
      <c r="Q546" s="49" t="s">
        <v>33865</v>
      </c>
      <c r="R546" s="49" t="s">
        <v>33866</v>
      </c>
      <c r="S546" s="49" t="s">
        <v>33867</v>
      </c>
      <c r="T546" s="49" t="s">
        <v>33868</v>
      </c>
      <c r="U546" s="49" t="s">
        <v>33869</v>
      </c>
    </row>
    <row r="547" spans="1:21" x14ac:dyDescent="0.2">
      <c r="A547" s="49" t="s">
        <v>30</v>
      </c>
      <c r="D547" s="49" t="s">
        <v>11146</v>
      </c>
      <c r="G547" s="49" t="s">
        <v>33870</v>
      </c>
      <c r="H547" s="49" t="s">
        <v>12418</v>
      </c>
      <c r="I547" s="49" t="s">
        <v>12421</v>
      </c>
      <c r="J547" s="49" t="s">
        <v>12442</v>
      </c>
      <c r="K547" s="49" t="s">
        <v>12445</v>
      </c>
      <c r="L547" s="49" t="s">
        <v>11147</v>
      </c>
      <c r="M547" s="49" t="s">
        <v>11148</v>
      </c>
      <c r="N547" s="49" t="s">
        <v>11149</v>
      </c>
      <c r="O547" s="49" t="s">
        <v>33871</v>
      </c>
      <c r="P547" s="49" t="s">
        <v>33872</v>
      </c>
      <c r="Q547" s="49" t="s">
        <v>33873</v>
      </c>
      <c r="R547" s="49" t="s">
        <v>33874</v>
      </c>
      <c r="S547" s="49" t="s">
        <v>33875</v>
      </c>
      <c r="T547" s="49" t="s">
        <v>33876</v>
      </c>
    </row>
    <row r="548" spans="1:21" x14ac:dyDescent="0.2">
      <c r="A548" s="49" t="s">
        <v>30</v>
      </c>
      <c r="D548" s="49" t="s">
        <v>5585</v>
      </c>
      <c r="G548" s="49" t="s">
        <v>18707</v>
      </c>
      <c r="H548" s="49" t="s">
        <v>5586</v>
      </c>
      <c r="I548" s="49" t="s">
        <v>5587</v>
      </c>
      <c r="J548" s="49" t="s">
        <v>5588</v>
      </c>
      <c r="K548" s="49" t="s">
        <v>5589</v>
      </c>
      <c r="L548" s="49" t="s">
        <v>5590</v>
      </c>
      <c r="M548" s="49" t="s">
        <v>5591</v>
      </c>
      <c r="N548" s="49" t="s">
        <v>5592</v>
      </c>
      <c r="O548" s="49" t="s">
        <v>33877</v>
      </c>
      <c r="P548" s="49" t="s">
        <v>33878</v>
      </c>
      <c r="Q548" s="49" t="s">
        <v>33879</v>
      </c>
      <c r="R548" s="49" t="s">
        <v>33880</v>
      </c>
      <c r="S548" s="49" t="s">
        <v>33881</v>
      </c>
      <c r="T548" s="49" t="s">
        <v>33882</v>
      </c>
    </row>
    <row r="549" spans="1:21" x14ac:dyDescent="0.2">
      <c r="A549" s="49" t="s">
        <v>30</v>
      </c>
    </row>
    <row r="550" spans="1:21" x14ac:dyDescent="0.2">
      <c r="A550" s="49" t="s">
        <v>30</v>
      </c>
      <c r="E550" s="49" t="s">
        <v>31</v>
      </c>
      <c r="F550" s="49" t="s">
        <v>31</v>
      </c>
      <c r="G550" s="49" t="s">
        <v>31</v>
      </c>
      <c r="J550" s="49" t="s">
        <v>31</v>
      </c>
      <c r="K550" s="49" t="s">
        <v>31</v>
      </c>
      <c r="L550" s="49" t="s">
        <v>31</v>
      </c>
      <c r="M550" s="49" t="s">
        <v>31</v>
      </c>
    </row>
    <row r="551" spans="1:21" x14ac:dyDescent="0.2">
      <c r="A551" s="49" t="s">
        <v>30</v>
      </c>
      <c r="D551" s="49" t="s">
        <v>33883</v>
      </c>
      <c r="E551" s="49" t="s">
        <v>7949</v>
      </c>
      <c r="F551" s="49" t="s">
        <v>33884</v>
      </c>
      <c r="H551" s="49" t="s">
        <v>33885</v>
      </c>
      <c r="O551" s="49" t="s">
        <v>33886</v>
      </c>
      <c r="P551" s="49" t="s">
        <v>33887</v>
      </c>
      <c r="Q551" s="49" t="s">
        <v>33888</v>
      </c>
      <c r="R551" s="49" t="s">
        <v>33889</v>
      </c>
      <c r="S551" s="49" t="s">
        <v>33890</v>
      </c>
      <c r="T551" s="49" t="s">
        <v>33891</v>
      </c>
      <c r="U551" s="49" t="s">
        <v>33892</v>
      </c>
    </row>
    <row r="552" spans="1:21" x14ac:dyDescent="0.2">
      <c r="A552" s="49" t="s">
        <v>30</v>
      </c>
      <c r="D552" s="49" t="s">
        <v>33893</v>
      </c>
      <c r="G552" s="49" t="s">
        <v>33894</v>
      </c>
      <c r="H552" s="49" t="s">
        <v>33895</v>
      </c>
      <c r="I552" s="49" t="s">
        <v>33896</v>
      </c>
      <c r="J552" s="49" t="s">
        <v>33897</v>
      </c>
      <c r="K552" s="49" t="s">
        <v>33898</v>
      </c>
      <c r="L552" s="49" t="s">
        <v>33899</v>
      </c>
      <c r="M552" s="49" t="s">
        <v>33900</v>
      </c>
      <c r="N552" s="49" t="s">
        <v>33901</v>
      </c>
      <c r="O552" s="49" t="s">
        <v>33902</v>
      </c>
      <c r="P552" s="49" t="s">
        <v>33903</v>
      </c>
      <c r="Q552" s="49" t="s">
        <v>33904</v>
      </c>
      <c r="R552" s="49" t="s">
        <v>33905</v>
      </c>
      <c r="S552" s="49" t="s">
        <v>33906</v>
      </c>
      <c r="T552" s="49" t="s">
        <v>33907</v>
      </c>
    </row>
    <row r="553" spans="1:21" x14ac:dyDescent="0.2">
      <c r="A553" s="49" t="s">
        <v>30</v>
      </c>
    </row>
    <row r="554" spans="1:21" x14ac:dyDescent="0.2">
      <c r="A554" s="49" t="s">
        <v>30</v>
      </c>
      <c r="E554" s="49" t="s">
        <v>31</v>
      </c>
      <c r="F554" s="49" t="s">
        <v>31</v>
      </c>
      <c r="G554" s="49" t="s">
        <v>31</v>
      </c>
      <c r="J554" s="49" t="s">
        <v>31</v>
      </c>
      <c r="K554" s="49" t="s">
        <v>31</v>
      </c>
      <c r="L554" s="49" t="s">
        <v>31</v>
      </c>
      <c r="M554" s="49" t="s">
        <v>31</v>
      </c>
    </row>
    <row r="555" spans="1:21" x14ac:dyDescent="0.2">
      <c r="A555" s="49" t="s">
        <v>30</v>
      </c>
      <c r="D555" s="49" t="s">
        <v>33908</v>
      </c>
      <c r="E555" s="49" t="s">
        <v>8020</v>
      </c>
      <c r="F555" s="49" t="s">
        <v>33909</v>
      </c>
      <c r="H555" s="49" t="s">
        <v>33910</v>
      </c>
      <c r="O555" s="49" t="s">
        <v>33911</v>
      </c>
      <c r="P555" s="49" t="s">
        <v>33912</v>
      </c>
      <c r="Q555" s="49" t="s">
        <v>33913</v>
      </c>
      <c r="R555" s="49" t="s">
        <v>33914</v>
      </c>
      <c r="S555" s="49" t="s">
        <v>33915</v>
      </c>
      <c r="T555" s="49" t="s">
        <v>33916</v>
      </c>
      <c r="U555" s="49" t="s">
        <v>33917</v>
      </c>
    </row>
    <row r="556" spans="1:21" x14ac:dyDescent="0.2">
      <c r="A556" s="49" t="s">
        <v>30</v>
      </c>
      <c r="D556" s="49" t="s">
        <v>5642</v>
      </c>
      <c r="G556" s="49" t="s">
        <v>33918</v>
      </c>
      <c r="H556" s="49" t="s">
        <v>5643</v>
      </c>
      <c r="I556" s="49" t="s">
        <v>5644</v>
      </c>
      <c r="J556" s="49" t="s">
        <v>5645</v>
      </c>
      <c r="K556" s="49" t="s">
        <v>5646</v>
      </c>
      <c r="L556" s="49" t="s">
        <v>5647</v>
      </c>
      <c r="M556" s="49" t="s">
        <v>5648</v>
      </c>
      <c r="N556" s="49" t="s">
        <v>5649</v>
      </c>
      <c r="O556" s="49" t="s">
        <v>34368</v>
      </c>
      <c r="P556" s="49" t="s">
        <v>34372</v>
      </c>
      <c r="Q556" s="49" t="s">
        <v>34376</v>
      </c>
      <c r="R556" s="49" t="s">
        <v>34380</v>
      </c>
      <c r="S556" s="49" t="s">
        <v>34384</v>
      </c>
      <c r="T556" s="49" t="s">
        <v>34388</v>
      </c>
    </row>
    <row r="557" spans="1:21" x14ac:dyDescent="0.2">
      <c r="A557" s="49" t="s">
        <v>30</v>
      </c>
      <c r="D557" s="49" t="s">
        <v>5656</v>
      </c>
      <c r="G557" s="49" t="s">
        <v>18857</v>
      </c>
      <c r="H557" s="49" t="s">
        <v>5657</v>
      </c>
      <c r="I557" s="49" t="s">
        <v>5658</v>
      </c>
      <c r="J557" s="49" t="s">
        <v>5659</v>
      </c>
      <c r="K557" s="49" t="s">
        <v>5660</v>
      </c>
      <c r="L557" s="49" t="s">
        <v>5661</v>
      </c>
      <c r="M557" s="49" t="s">
        <v>5662</v>
      </c>
      <c r="N557" s="49" t="s">
        <v>5663</v>
      </c>
      <c r="O557" s="49" t="s">
        <v>34369</v>
      </c>
      <c r="P557" s="49" t="s">
        <v>34373</v>
      </c>
      <c r="Q557" s="49" t="s">
        <v>34377</v>
      </c>
      <c r="R557" s="49" t="s">
        <v>34381</v>
      </c>
      <c r="S557" s="49" t="s">
        <v>34385</v>
      </c>
      <c r="T557" s="49" t="s">
        <v>34389</v>
      </c>
    </row>
    <row r="558" spans="1:21" x14ac:dyDescent="0.2">
      <c r="A558" s="49" t="s">
        <v>30</v>
      </c>
      <c r="D558" s="49" t="s">
        <v>5670</v>
      </c>
      <c r="G558" s="49" t="s">
        <v>18887</v>
      </c>
      <c r="H558" s="49" t="s">
        <v>5671</v>
      </c>
      <c r="I558" s="49" t="s">
        <v>5672</v>
      </c>
      <c r="J558" s="49" t="s">
        <v>5673</v>
      </c>
      <c r="K558" s="49" t="s">
        <v>5674</v>
      </c>
      <c r="L558" s="49" t="s">
        <v>5675</v>
      </c>
      <c r="M558" s="49" t="s">
        <v>5676</v>
      </c>
      <c r="N558" s="49" t="s">
        <v>5677</v>
      </c>
      <c r="O558" s="49" t="s">
        <v>34370</v>
      </c>
      <c r="P558" s="49" t="s">
        <v>34374</v>
      </c>
      <c r="Q558" s="49" t="s">
        <v>34378</v>
      </c>
      <c r="R558" s="49" t="s">
        <v>34382</v>
      </c>
      <c r="S558" s="49" t="s">
        <v>34386</v>
      </c>
      <c r="T558" s="49" t="s">
        <v>34390</v>
      </c>
    </row>
    <row r="559" spans="1:21" x14ac:dyDescent="0.2">
      <c r="A559" s="49" t="s">
        <v>30</v>
      </c>
      <c r="D559" s="49" t="s">
        <v>5684</v>
      </c>
      <c r="G559" s="49" t="s">
        <v>18892</v>
      </c>
      <c r="H559" s="49" t="s">
        <v>5685</v>
      </c>
      <c r="I559" s="49" t="s">
        <v>5686</v>
      </c>
      <c r="J559" s="49" t="s">
        <v>5687</v>
      </c>
      <c r="K559" s="49" t="s">
        <v>5688</v>
      </c>
      <c r="L559" s="49" t="s">
        <v>5689</v>
      </c>
      <c r="M559" s="49" t="s">
        <v>5690</v>
      </c>
      <c r="N559" s="49" t="s">
        <v>5691</v>
      </c>
      <c r="O559" s="49" t="s">
        <v>34371</v>
      </c>
      <c r="P559" s="49" t="s">
        <v>34375</v>
      </c>
      <c r="Q559" s="49" t="s">
        <v>34379</v>
      </c>
      <c r="R559" s="49" t="s">
        <v>34383</v>
      </c>
      <c r="S559" s="49" t="s">
        <v>34387</v>
      </c>
      <c r="T559" s="49" t="s">
        <v>34391</v>
      </c>
    </row>
    <row r="560" spans="1:21" x14ac:dyDescent="0.2">
      <c r="A560" s="49" t="s">
        <v>30</v>
      </c>
    </row>
    <row r="561" spans="1:21" x14ac:dyDescent="0.2">
      <c r="A561" s="49" t="s">
        <v>30</v>
      </c>
      <c r="E561" s="49" t="s">
        <v>31</v>
      </c>
      <c r="F561" s="49" t="s">
        <v>31</v>
      </c>
      <c r="G561" s="49" t="s">
        <v>31</v>
      </c>
      <c r="J561" s="49" t="s">
        <v>31</v>
      </c>
      <c r="K561" s="49" t="s">
        <v>31</v>
      </c>
      <c r="L561" s="49" t="s">
        <v>31</v>
      </c>
      <c r="M561" s="49" t="s">
        <v>31</v>
      </c>
    </row>
    <row r="562" spans="1:21" x14ac:dyDescent="0.2">
      <c r="A562" s="49" t="s">
        <v>30</v>
      </c>
      <c r="D562" s="49" t="s">
        <v>33919</v>
      </c>
      <c r="E562" s="49" t="s">
        <v>8077</v>
      </c>
      <c r="F562" s="49" t="s">
        <v>33920</v>
      </c>
      <c r="H562" s="49" t="s">
        <v>33921</v>
      </c>
      <c r="O562" s="49" t="s">
        <v>33922</v>
      </c>
      <c r="P562" s="49" t="s">
        <v>33923</v>
      </c>
      <c r="Q562" s="49" t="s">
        <v>33924</v>
      </c>
      <c r="R562" s="49" t="s">
        <v>33925</v>
      </c>
      <c r="S562" s="49" t="s">
        <v>33926</v>
      </c>
      <c r="T562" s="49" t="s">
        <v>33927</v>
      </c>
      <c r="U562" s="49" t="s">
        <v>33928</v>
      </c>
    </row>
    <row r="563" spans="1:21" x14ac:dyDescent="0.2">
      <c r="A563" s="49" t="s">
        <v>30</v>
      </c>
      <c r="D563" s="49" t="s">
        <v>5699</v>
      </c>
      <c r="G563" s="49" t="s">
        <v>33929</v>
      </c>
      <c r="H563" s="49" t="s">
        <v>5700</v>
      </c>
      <c r="I563" s="49" t="s">
        <v>5701</v>
      </c>
      <c r="J563" s="49" t="s">
        <v>5702</v>
      </c>
      <c r="K563" s="49" t="s">
        <v>5703</v>
      </c>
      <c r="L563" s="49" t="s">
        <v>5704</v>
      </c>
      <c r="M563" s="49" t="s">
        <v>5705</v>
      </c>
      <c r="N563" s="49" t="s">
        <v>5706</v>
      </c>
      <c r="O563" s="49" t="s">
        <v>33930</v>
      </c>
      <c r="P563" s="49" t="s">
        <v>33931</v>
      </c>
      <c r="Q563" s="49" t="s">
        <v>33932</v>
      </c>
      <c r="R563" s="49" t="s">
        <v>33933</v>
      </c>
      <c r="S563" s="49" t="s">
        <v>33934</v>
      </c>
      <c r="T563" s="49" t="s">
        <v>33935</v>
      </c>
    </row>
    <row r="564" spans="1:21" x14ac:dyDescent="0.2">
      <c r="A564" s="49" t="s">
        <v>30</v>
      </c>
    </row>
    <row r="565" spans="1:21" x14ac:dyDescent="0.2">
      <c r="A565" s="49" t="s">
        <v>30</v>
      </c>
      <c r="E565" s="49" t="s">
        <v>31</v>
      </c>
      <c r="F565" s="49" t="s">
        <v>31</v>
      </c>
      <c r="G565" s="49" t="s">
        <v>31</v>
      </c>
      <c r="J565" s="49" t="s">
        <v>31</v>
      </c>
      <c r="K565" s="49" t="s">
        <v>31</v>
      </c>
      <c r="L565" s="49" t="s">
        <v>31</v>
      </c>
      <c r="M565" s="49" t="s">
        <v>31</v>
      </c>
    </row>
    <row r="566" spans="1:21" x14ac:dyDescent="0.2">
      <c r="A566" s="49" t="s">
        <v>30</v>
      </c>
      <c r="D566" s="49" t="s">
        <v>11170</v>
      </c>
      <c r="E566" s="49" t="s">
        <v>8162</v>
      </c>
      <c r="F566" s="49" t="s">
        <v>11171</v>
      </c>
      <c r="H566" s="49" t="s">
        <v>11172</v>
      </c>
      <c r="O566" s="49" t="s">
        <v>33936</v>
      </c>
      <c r="P566" s="49" t="s">
        <v>33937</v>
      </c>
      <c r="Q566" s="49" t="s">
        <v>33938</v>
      </c>
      <c r="R566" s="49" t="s">
        <v>33939</v>
      </c>
      <c r="S566" s="49" t="s">
        <v>33940</v>
      </c>
      <c r="T566" s="49" t="s">
        <v>33941</v>
      </c>
      <c r="U566" s="49" t="s">
        <v>33942</v>
      </c>
    </row>
    <row r="567" spans="1:21" x14ac:dyDescent="0.2">
      <c r="A567" s="49" t="s">
        <v>30</v>
      </c>
      <c r="D567" s="49" t="s">
        <v>5707</v>
      </c>
      <c r="G567" s="49" t="s">
        <v>33943</v>
      </c>
      <c r="H567" s="49" t="s">
        <v>5708</v>
      </c>
      <c r="I567" s="49" t="s">
        <v>5709</v>
      </c>
      <c r="J567" s="49" t="s">
        <v>5710</v>
      </c>
      <c r="K567" s="49" t="s">
        <v>5711</v>
      </c>
      <c r="L567" s="49" t="s">
        <v>5712</v>
      </c>
      <c r="M567" s="49" t="s">
        <v>5713</v>
      </c>
      <c r="N567" s="49" t="s">
        <v>5714</v>
      </c>
      <c r="O567" s="49" t="s">
        <v>33944</v>
      </c>
      <c r="P567" s="49" t="s">
        <v>33945</v>
      </c>
      <c r="Q567" s="49" t="s">
        <v>33946</v>
      </c>
      <c r="R567" s="49" t="s">
        <v>33947</v>
      </c>
      <c r="S567" s="49" t="s">
        <v>33948</v>
      </c>
      <c r="T567" s="49" t="s">
        <v>33949</v>
      </c>
    </row>
    <row r="568" spans="1:21" x14ac:dyDescent="0.2">
      <c r="A568" s="49" t="s">
        <v>30</v>
      </c>
      <c r="D568" s="49" t="s">
        <v>5721</v>
      </c>
      <c r="G568" s="49" t="s">
        <v>19032</v>
      </c>
      <c r="H568" s="49" t="s">
        <v>5722</v>
      </c>
      <c r="I568" s="49" t="s">
        <v>5723</v>
      </c>
      <c r="J568" s="49" t="s">
        <v>5724</v>
      </c>
      <c r="K568" s="49" t="s">
        <v>5725</v>
      </c>
      <c r="L568" s="49" t="s">
        <v>5726</v>
      </c>
      <c r="M568" s="49" t="s">
        <v>5727</v>
      </c>
      <c r="N568" s="49" t="s">
        <v>5728</v>
      </c>
      <c r="O568" s="49" t="s">
        <v>33950</v>
      </c>
      <c r="P568" s="49" t="s">
        <v>33951</v>
      </c>
      <c r="Q568" s="49" t="s">
        <v>33952</v>
      </c>
      <c r="R568" s="49" t="s">
        <v>33953</v>
      </c>
      <c r="S568" s="49" t="s">
        <v>33954</v>
      </c>
      <c r="T568" s="49" t="s">
        <v>33955</v>
      </c>
    </row>
    <row r="569" spans="1:21" x14ac:dyDescent="0.2">
      <c r="A569" s="49" t="s">
        <v>30</v>
      </c>
    </row>
    <row r="570" spans="1:21" x14ac:dyDescent="0.2">
      <c r="A570" s="49" t="s">
        <v>30</v>
      </c>
      <c r="E570" s="49" t="s">
        <v>31</v>
      </c>
      <c r="F570" s="49" t="s">
        <v>31</v>
      </c>
      <c r="G570" s="49" t="s">
        <v>31</v>
      </c>
      <c r="J570" s="49" t="s">
        <v>31</v>
      </c>
      <c r="K570" s="49" t="s">
        <v>31</v>
      </c>
      <c r="L570" s="49" t="s">
        <v>31</v>
      </c>
      <c r="M570" s="49" t="s">
        <v>31</v>
      </c>
    </row>
    <row r="571" spans="1:21" x14ac:dyDescent="0.2">
      <c r="A571" s="49" t="s">
        <v>30</v>
      </c>
      <c r="D571" s="49" t="s">
        <v>33956</v>
      </c>
      <c r="E571" s="49" t="s">
        <v>8205</v>
      </c>
      <c r="F571" s="49" t="s">
        <v>33957</v>
      </c>
      <c r="H571" s="49" t="s">
        <v>33958</v>
      </c>
      <c r="O571" s="49" t="s">
        <v>33959</v>
      </c>
      <c r="P571" s="49" t="s">
        <v>33960</v>
      </c>
      <c r="Q571" s="49" t="s">
        <v>33961</v>
      </c>
      <c r="R571" s="49" t="s">
        <v>33962</v>
      </c>
      <c r="S571" s="49" t="s">
        <v>33963</v>
      </c>
      <c r="T571" s="49" t="s">
        <v>33964</v>
      </c>
      <c r="U571" s="49" t="s">
        <v>33965</v>
      </c>
    </row>
    <row r="572" spans="1:21" x14ac:dyDescent="0.2">
      <c r="A572" s="49" t="s">
        <v>30</v>
      </c>
      <c r="D572" s="49" t="s">
        <v>5777</v>
      </c>
      <c r="G572" s="49" t="s">
        <v>33966</v>
      </c>
      <c r="H572" s="49" t="s">
        <v>5778</v>
      </c>
      <c r="I572" s="49" t="s">
        <v>5779</v>
      </c>
      <c r="J572" s="49" t="s">
        <v>5780</v>
      </c>
      <c r="K572" s="49" t="s">
        <v>5781</v>
      </c>
      <c r="L572" s="49" t="s">
        <v>5782</v>
      </c>
      <c r="M572" s="49" t="s">
        <v>5783</v>
      </c>
      <c r="N572" s="49" t="s">
        <v>5784</v>
      </c>
      <c r="O572" s="49" t="s">
        <v>33967</v>
      </c>
      <c r="P572" s="49" t="s">
        <v>33968</v>
      </c>
      <c r="Q572" s="49" t="s">
        <v>33969</v>
      </c>
      <c r="R572" s="49" t="s">
        <v>33970</v>
      </c>
      <c r="S572" s="49" t="s">
        <v>33971</v>
      </c>
      <c r="T572" s="49" t="s">
        <v>33972</v>
      </c>
    </row>
    <row r="573" spans="1:21" x14ac:dyDescent="0.2">
      <c r="A573" s="49" t="s">
        <v>30</v>
      </c>
    </row>
    <row r="574" spans="1:21" x14ac:dyDescent="0.2">
      <c r="A574" s="49" t="s">
        <v>30</v>
      </c>
      <c r="E574" s="49" t="s">
        <v>31</v>
      </c>
      <c r="F574" s="49" t="s">
        <v>31</v>
      </c>
      <c r="G574" s="49" t="s">
        <v>31</v>
      </c>
      <c r="J574" s="49" t="s">
        <v>31</v>
      </c>
      <c r="K574" s="49" t="s">
        <v>31</v>
      </c>
      <c r="L574" s="49" t="s">
        <v>31</v>
      </c>
      <c r="M574" s="49" t="s">
        <v>31</v>
      </c>
    </row>
    <row r="575" spans="1:21" x14ac:dyDescent="0.2">
      <c r="A575" s="49" t="s">
        <v>30</v>
      </c>
      <c r="D575" s="49" t="s">
        <v>33973</v>
      </c>
      <c r="E575" s="49" t="s">
        <v>8262</v>
      </c>
      <c r="F575" s="49" t="s">
        <v>33974</v>
      </c>
      <c r="H575" s="49" t="s">
        <v>33975</v>
      </c>
      <c r="O575" s="49" t="s">
        <v>33976</v>
      </c>
      <c r="P575" s="49" t="s">
        <v>33977</v>
      </c>
      <c r="Q575" s="49" t="s">
        <v>33978</v>
      </c>
      <c r="R575" s="49" t="s">
        <v>33979</v>
      </c>
      <c r="S575" s="49" t="s">
        <v>33980</v>
      </c>
      <c r="T575" s="49" t="s">
        <v>33981</v>
      </c>
      <c r="U575" s="49" t="s">
        <v>33982</v>
      </c>
    </row>
    <row r="576" spans="1:21" x14ac:dyDescent="0.2">
      <c r="A576" s="49" t="s">
        <v>30</v>
      </c>
      <c r="D576" s="49" t="s">
        <v>11181</v>
      </c>
      <c r="G576" s="49" t="s">
        <v>33983</v>
      </c>
      <c r="H576" s="49" t="s">
        <v>12360</v>
      </c>
      <c r="I576" s="49" t="s">
        <v>12363</v>
      </c>
      <c r="J576" s="49" t="s">
        <v>12378</v>
      </c>
      <c r="K576" s="49" t="s">
        <v>12381</v>
      </c>
      <c r="L576" s="49" t="s">
        <v>11182</v>
      </c>
      <c r="M576" s="49" t="s">
        <v>11183</v>
      </c>
      <c r="N576" s="49" t="s">
        <v>11184</v>
      </c>
      <c r="O576" s="49" t="s">
        <v>33984</v>
      </c>
      <c r="P576" s="49" t="s">
        <v>33985</v>
      </c>
      <c r="Q576" s="49" t="s">
        <v>33986</v>
      </c>
      <c r="R576" s="49" t="s">
        <v>33987</v>
      </c>
      <c r="S576" s="49" t="s">
        <v>33988</v>
      </c>
      <c r="T576" s="49" t="s">
        <v>33989</v>
      </c>
    </row>
    <row r="577" spans="1:21" x14ac:dyDescent="0.2">
      <c r="A577" s="49" t="s">
        <v>30</v>
      </c>
      <c r="D577" s="49" t="s">
        <v>33990</v>
      </c>
      <c r="G577" s="49" t="s">
        <v>19202</v>
      </c>
      <c r="H577" s="49" t="s">
        <v>33991</v>
      </c>
      <c r="I577" s="49" t="s">
        <v>33992</v>
      </c>
      <c r="J577" s="49" t="s">
        <v>33993</v>
      </c>
      <c r="K577" s="49" t="s">
        <v>33994</v>
      </c>
      <c r="L577" s="49" t="s">
        <v>33995</v>
      </c>
      <c r="M577" s="49" t="s">
        <v>33996</v>
      </c>
      <c r="N577" s="49" t="s">
        <v>33997</v>
      </c>
      <c r="O577" s="49" t="s">
        <v>33998</v>
      </c>
      <c r="P577" s="49" t="s">
        <v>33999</v>
      </c>
      <c r="Q577" s="49" t="s">
        <v>34000</v>
      </c>
      <c r="R577" s="49" t="s">
        <v>34001</v>
      </c>
      <c r="S577" s="49" t="s">
        <v>34002</v>
      </c>
      <c r="T577" s="49" t="s">
        <v>34003</v>
      </c>
    </row>
    <row r="578" spans="1:21" x14ac:dyDescent="0.2">
      <c r="A578" s="49" t="s">
        <v>30</v>
      </c>
    </row>
    <row r="579" spans="1:21" x14ac:dyDescent="0.2">
      <c r="A579" s="49" t="s">
        <v>30</v>
      </c>
      <c r="E579" s="49" t="s">
        <v>31</v>
      </c>
      <c r="F579" s="49" t="s">
        <v>31</v>
      </c>
      <c r="G579" s="49" t="s">
        <v>31</v>
      </c>
      <c r="J579" s="49" t="s">
        <v>31</v>
      </c>
      <c r="K579" s="49" t="s">
        <v>31</v>
      </c>
      <c r="L579" s="49" t="s">
        <v>31</v>
      </c>
      <c r="M579" s="49" t="s">
        <v>31</v>
      </c>
    </row>
    <row r="580" spans="1:21" x14ac:dyDescent="0.2">
      <c r="A580" s="49" t="s">
        <v>30</v>
      </c>
      <c r="D580" s="49" t="s">
        <v>34004</v>
      </c>
      <c r="E580" s="49" t="s">
        <v>8333</v>
      </c>
      <c r="F580" s="49" t="s">
        <v>34005</v>
      </c>
      <c r="H580" s="49" t="s">
        <v>34006</v>
      </c>
      <c r="O580" s="49" t="s">
        <v>34007</v>
      </c>
      <c r="P580" s="49" t="s">
        <v>34008</v>
      </c>
      <c r="Q580" s="49" t="s">
        <v>34009</v>
      </c>
      <c r="R580" s="49" t="s">
        <v>34010</v>
      </c>
      <c r="S580" s="49" t="s">
        <v>34011</v>
      </c>
      <c r="T580" s="49" t="s">
        <v>34012</v>
      </c>
      <c r="U580" s="49" t="s">
        <v>34013</v>
      </c>
    </row>
    <row r="581" spans="1:21" x14ac:dyDescent="0.2">
      <c r="A581" s="49" t="s">
        <v>30</v>
      </c>
      <c r="D581" s="49" t="s">
        <v>5820</v>
      </c>
      <c r="G581" s="49" t="s">
        <v>34014</v>
      </c>
      <c r="H581" s="49" t="s">
        <v>5821</v>
      </c>
      <c r="I581" s="49" t="s">
        <v>5822</v>
      </c>
      <c r="J581" s="49" t="s">
        <v>5823</v>
      </c>
      <c r="K581" s="49" t="s">
        <v>5824</v>
      </c>
      <c r="L581" s="49" t="s">
        <v>5825</v>
      </c>
      <c r="M581" s="49" t="s">
        <v>5826</v>
      </c>
      <c r="N581" s="49" t="s">
        <v>5827</v>
      </c>
      <c r="O581" s="49" t="s">
        <v>34015</v>
      </c>
      <c r="P581" s="49" t="s">
        <v>34016</v>
      </c>
      <c r="Q581" s="49" t="s">
        <v>34017</v>
      </c>
      <c r="R581" s="49" t="s">
        <v>34018</v>
      </c>
      <c r="S581" s="49" t="s">
        <v>34019</v>
      </c>
      <c r="T581" s="49" t="s">
        <v>34020</v>
      </c>
    </row>
    <row r="582" spans="1:21" x14ac:dyDescent="0.2">
      <c r="A582" s="49" t="s">
        <v>30</v>
      </c>
      <c r="D582" s="49" t="s">
        <v>5834</v>
      </c>
      <c r="G582" s="49" t="s">
        <v>19282</v>
      </c>
      <c r="H582" s="49" t="s">
        <v>5835</v>
      </c>
      <c r="I582" s="49" t="s">
        <v>5836</v>
      </c>
      <c r="J582" s="49" t="s">
        <v>5837</v>
      </c>
      <c r="K582" s="49" t="s">
        <v>5838</v>
      </c>
      <c r="L582" s="49" t="s">
        <v>5839</v>
      </c>
      <c r="M582" s="49" t="s">
        <v>5840</v>
      </c>
      <c r="N582" s="49" t="s">
        <v>5841</v>
      </c>
      <c r="O582" s="49" t="s">
        <v>34021</v>
      </c>
      <c r="P582" s="49" t="s">
        <v>34022</v>
      </c>
      <c r="Q582" s="49" t="s">
        <v>34023</v>
      </c>
      <c r="R582" s="49" t="s">
        <v>34024</v>
      </c>
      <c r="S582" s="49" t="s">
        <v>34025</v>
      </c>
      <c r="T582" s="49" t="s">
        <v>34026</v>
      </c>
    </row>
    <row r="583" spans="1:21" x14ac:dyDescent="0.2">
      <c r="A583" s="49" t="s">
        <v>30</v>
      </c>
    </row>
    <row r="584" spans="1:21" x14ac:dyDescent="0.2">
      <c r="A584" s="49" t="s">
        <v>30</v>
      </c>
      <c r="E584" s="49" t="s">
        <v>31</v>
      </c>
      <c r="F584" s="49" t="s">
        <v>31</v>
      </c>
      <c r="G584" s="49" t="s">
        <v>31</v>
      </c>
      <c r="J584" s="49" t="s">
        <v>31</v>
      </c>
      <c r="K584" s="49" t="s">
        <v>31</v>
      </c>
      <c r="L584" s="49" t="s">
        <v>31</v>
      </c>
      <c r="M584" s="49" t="s">
        <v>31</v>
      </c>
    </row>
    <row r="585" spans="1:21" x14ac:dyDescent="0.2">
      <c r="A585" s="49" t="s">
        <v>30</v>
      </c>
      <c r="D585" s="49" t="s">
        <v>34027</v>
      </c>
      <c r="E585" s="49" t="s">
        <v>8475</v>
      </c>
      <c r="F585" s="49" t="s">
        <v>34028</v>
      </c>
      <c r="H585" s="49" t="s">
        <v>34029</v>
      </c>
      <c r="O585" s="49" t="s">
        <v>34030</v>
      </c>
      <c r="P585" s="49" t="s">
        <v>34031</v>
      </c>
      <c r="Q585" s="49" t="s">
        <v>34032</v>
      </c>
      <c r="R585" s="49" t="s">
        <v>34033</v>
      </c>
      <c r="S585" s="49" t="s">
        <v>34034</v>
      </c>
      <c r="T585" s="49" t="s">
        <v>34035</v>
      </c>
      <c r="U585" s="49" t="s">
        <v>34036</v>
      </c>
    </row>
    <row r="586" spans="1:21" x14ac:dyDescent="0.2">
      <c r="A586" s="49" t="s">
        <v>30</v>
      </c>
      <c r="D586" s="49" t="s">
        <v>11185</v>
      </c>
      <c r="G586" s="49" t="s">
        <v>34037</v>
      </c>
      <c r="H586" s="49" t="s">
        <v>12348</v>
      </c>
      <c r="I586" s="49" t="s">
        <v>12349</v>
      </c>
      <c r="J586" s="49" t="s">
        <v>12356</v>
      </c>
      <c r="K586" s="49" t="s">
        <v>12357</v>
      </c>
      <c r="L586" s="49" t="s">
        <v>11186</v>
      </c>
      <c r="M586" s="49" t="s">
        <v>11187</v>
      </c>
      <c r="N586" s="49" t="s">
        <v>11188</v>
      </c>
      <c r="O586" s="49" t="s">
        <v>34038</v>
      </c>
      <c r="P586" s="49" t="s">
        <v>34039</v>
      </c>
      <c r="Q586" s="49" t="s">
        <v>34040</v>
      </c>
      <c r="R586" s="49" t="s">
        <v>34041</v>
      </c>
      <c r="S586" s="49" t="s">
        <v>34042</v>
      </c>
      <c r="T586" s="49" t="s">
        <v>34043</v>
      </c>
    </row>
    <row r="587" spans="1:21" x14ac:dyDescent="0.2">
      <c r="A587" s="49" t="s">
        <v>30</v>
      </c>
      <c r="D587" s="49" t="s">
        <v>15005</v>
      </c>
      <c r="G587" s="49" t="s">
        <v>19507</v>
      </c>
      <c r="H587" s="49" t="s">
        <v>30907</v>
      </c>
      <c r="I587" s="49" t="s">
        <v>30911</v>
      </c>
      <c r="J587" s="49" t="s">
        <v>30939</v>
      </c>
      <c r="K587" s="49" t="s">
        <v>30943</v>
      </c>
      <c r="L587" s="49" t="s">
        <v>15007</v>
      </c>
      <c r="M587" s="49" t="s">
        <v>15008</v>
      </c>
      <c r="N587" s="49" t="s">
        <v>15009</v>
      </c>
      <c r="O587" s="49" t="s">
        <v>34044</v>
      </c>
      <c r="P587" s="49" t="s">
        <v>34045</v>
      </c>
      <c r="Q587" s="49" t="s">
        <v>34046</v>
      </c>
      <c r="R587" s="49" t="s">
        <v>34047</v>
      </c>
      <c r="S587" s="49" t="s">
        <v>34048</v>
      </c>
      <c r="T587" s="49" t="s">
        <v>34049</v>
      </c>
    </row>
    <row r="588" spans="1:21" x14ac:dyDescent="0.2">
      <c r="A588" s="49" t="s">
        <v>30</v>
      </c>
    </row>
    <row r="589" spans="1:21" x14ac:dyDescent="0.2">
      <c r="A589" s="49" t="s">
        <v>30</v>
      </c>
      <c r="E589" s="49" t="s">
        <v>31</v>
      </c>
      <c r="F589" s="49" t="s">
        <v>31</v>
      </c>
      <c r="G589" s="49" t="s">
        <v>31</v>
      </c>
      <c r="J589" s="49" t="s">
        <v>31</v>
      </c>
      <c r="K589" s="49" t="s">
        <v>31</v>
      </c>
      <c r="L589" s="49" t="s">
        <v>31</v>
      </c>
      <c r="M589" s="49" t="s">
        <v>31</v>
      </c>
    </row>
    <row r="590" spans="1:21" x14ac:dyDescent="0.2">
      <c r="A590" s="49" t="s">
        <v>30</v>
      </c>
      <c r="D590" s="49" t="s">
        <v>34050</v>
      </c>
      <c r="E590" s="49" t="s">
        <v>8518</v>
      </c>
      <c r="F590" s="49" t="s">
        <v>34051</v>
      </c>
      <c r="H590" s="49" t="s">
        <v>34052</v>
      </c>
      <c r="O590" s="49" t="s">
        <v>34053</v>
      </c>
      <c r="P590" s="49" t="s">
        <v>34054</v>
      </c>
      <c r="Q590" s="49" t="s">
        <v>34055</v>
      </c>
      <c r="R590" s="49" t="s">
        <v>34056</v>
      </c>
      <c r="S590" s="49" t="s">
        <v>34057</v>
      </c>
      <c r="T590" s="49" t="s">
        <v>34058</v>
      </c>
      <c r="U590" s="49" t="s">
        <v>34059</v>
      </c>
    </row>
    <row r="591" spans="1:21" x14ac:dyDescent="0.2">
      <c r="A591" s="49" t="s">
        <v>30</v>
      </c>
      <c r="D591" s="49" t="s">
        <v>5899</v>
      </c>
      <c r="G591" s="49" t="s">
        <v>34060</v>
      </c>
      <c r="H591" s="49" t="s">
        <v>5900</v>
      </c>
      <c r="I591" s="49" t="s">
        <v>5901</v>
      </c>
      <c r="J591" s="49" t="s">
        <v>5902</v>
      </c>
      <c r="K591" s="49" t="s">
        <v>5903</v>
      </c>
      <c r="L591" s="49" t="s">
        <v>5904</v>
      </c>
      <c r="M591" s="49" t="s">
        <v>5905</v>
      </c>
      <c r="N591" s="49" t="s">
        <v>5906</v>
      </c>
      <c r="O591" s="49" t="s">
        <v>34338</v>
      </c>
      <c r="P591" s="49" t="s">
        <v>34343</v>
      </c>
      <c r="Q591" s="49" t="s">
        <v>34348</v>
      </c>
      <c r="R591" s="49" t="s">
        <v>34353</v>
      </c>
      <c r="S591" s="49" t="s">
        <v>34358</v>
      </c>
      <c r="T591" s="49" t="s">
        <v>34363</v>
      </c>
    </row>
    <row r="592" spans="1:21" x14ac:dyDescent="0.2">
      <c r="A592" s="49" t="s">
        <v>30</v>
      </c>
      <c r="D592" s="49" t="s">
        <v>5907</v>
      </c>
      <c r="G592" s="49" t="s">
        <v>19577</v>
      </c>
      <c r="H592" s="49" t="s">
        <v>5908</v>
      </c>
      <c r="I592" s="49" t="s">
        <v>5909</v>
      </c>
      <c r="J592" s="49" t="s">
        <v>5910</v>
      </c>
      <c r="K592" s="49" t="s">
        <v>5911</v>
      </c>
      <c r="L592" s="49" t="s">
        <v>5912</v>
      </c>
      <c r="M592" s="49" t="s">
        <v>5913</v>
      </c>
      <c r="N592" s="49" t="s">
        <v>5914</v>
      </c>
      <c r="O592" s="49" t="s">
        <v>34339</v>
      </c>
      <c r="P592" s="49" t="s">
        <v>34344</v>
      </c>
      <c r="Q592" s="49" t="s">
        <v>34349</v>
      </c>
      <c r="R592" s="49" t="s">
        <v>34354</v>
      </c>
      <c r="S592" s="49" t="s">
        <v>34359</v>
      </c>
      <c r="T592" s="49" t="s">
        <v>34364</v>
      </c>
    </row>
    <row r="593" spans="1:21" x14ac:dyDescent="0.2">
      <c r="A593" s="49" t="s">
        <v>30</v>
      </c>
      <c r="D593" s="49" t="s">
        <v>5915</v>
      </c>
      <c r="G593" s="49" t="s">
        <v>19607</v>
      </c>
      <c r="H593" s="49" t="s">
        <v>5916</v>
      </c>
      <c r="I593" s="49" t="s">
        <v>5917</v>
      </c>
      <c r="J593" s="49" t="s">
        <v>5918</v>
      </c>
      <c r="K593" s="49" t="s">
        <v>5919</v>
      </c>
      <c r="L593" s="49" t="s">
        <v>5920</v>
      </c>
      <c r="M593" s="49" t="s">
        <v>5921</v>
      </c>
      <c r="N593" s="49" t="s">
        <v>5922</v>
      </c>
      <c r="O593" s="49" t="s">
        <v>34340</v>
      </c>
      <c r="P593" s="49" t="s">
        <v>34345</v>
      </c>
      <c r="Q593" s="49" t="s">
        <v>34350</v>
      </c>
      <c r="R593" s="49" t="s">
        <v>34355</v>
      </c>
      <c r="S593" s="49" t="s">
        <v>34360</v>
      </c>
      <c r="T593" s="49" t="s">
        <v>34365</v>
      </c>
    </row>
    <row r="594" spans="1:21" x14ac:dyDescent="0.2">
      <c r="A594" s="49" t="s">
        <v>30</v>
      </c>
      <c r="D594" s="49" t="s">
        <v>5929</v>
      </c>
      <c r="G594" s="49" t="s">
        <v>19632</v>
      </c>
      <c r="H594" s="49" t="s">
        <v>5930</v>
      </c>
      <c r="I594" s="49" t="s">
        <v>5931</v>
      </c>
      <c r="J594" s="49" t="s">
        <v>5932</v>
      </c>
      <c r="K594" s="49" t="s">
        <v>5933</v>
      </c>
      <c r="L594" s="49" t="s">
        <v>5934</v>
      </c>
      <c r="M594" s="49" t="s">
        <v>5935</v>
      </c>
      <c r="N594" s="49" t="s">
        <v>5936</v>
      </c>
      <c r="O594" s="49" t="s">
        <v>34341</v>
      </c>
      <c r="P594" s="49" t="s">
        <v>34346</v>
      </c>
      <c r="Q594" s="49" t="s">
        <v>34351</v>
      </c>
      <c r="R594" s="49" t="s">
        <v>34356</v>
      </c>
      <c r="S594" s="49" t="s">
        <v>34361</v>
      </c>
      <c r="T594" s="49" t="s">
        <v>34366</v>
      </c>
    </row>
    <row r="595" spans="1:21" x14ac:dyDescent="0.2">
      <c r="A595" s="49" t="s">
        <v>30</v>
      </c>
      <c r="D595" s="49" t="s">
        <v>5943</v>
      </c>
      <c r="G595" s="49" t="s">
        <v>19652</v>
      </c>
      <c r="H595" s="49" t="s">
        <v>5944</v>
      </c>
      <c r="I595" s="49" t="s">
        <v>5945</v>
      </c>
      <c r="J595" s="49" t="s">
        <v>5946</v>
      </c>
      <c r="K595" s="49" t="s">
        <v>5947</v>
      </c>
      <c r="L595" s="49" t="s">
        <v>5948</v>
      </c>
      <c r="M595" s="49" t="s">
        <v>5949</v>
      </c>
      <c r="N595" s="49" t="s">
        <v>5950</v>
      </c>
      <c r="O595" s="49" t="s">
        <v>34342</v>
      </c>
      <c r="P595" s="49" t="s">
        <v>34347</v>
      </c>
      <c r="Q595" s="49" t="s">
        <v>34352</v>
      </c>
      <c r="R595" s="49" t="s">
        <v>34357</v>
      </c>
      <c r="S595" s="49" t="s">
        <v>34362</v>
      </c>
      <c r="T595" s="49" t="s">
        <v>34367</v>
      </c>
    </row>
    <row r="596" spans="1:21" x14ac:dyDescent="0.2">
      <c r="A596" s="49" t="s">
        <v>30</v>
      </c>
    </row>
    <row r="597" spans="1:21" x14ac:dyDescent="0.2">
      <c r="A597" s="49" t="s">
        <v>30</v>
      </c>
      <c r="E597" s="49" t="s">
        <v>31</v>
      </c>
      <c r="F597" s="49" t="s">
        <v>31</v>
      </c>
      <c r="G597" s="49" t="s">
        <v>31</v>
      </c>
      <c r="J597" s="49" t="s">
        <v>31</v>
      </c>
      <c r="K597" s="49" t="s">
        <v>31</v>
      </c>
      <c r="L597" s="49" t="s">
        <v>31</v>
      </c>
      <c r="M597" s="49" t="s">
        <v>31</v>
      </c>
    </row>
    <row r="598" spans="1:21" x14ac:dyDescent="0.2">
      <c r="A598" s="49" t="s">
        <v>30</v>
      </c>
      <c r="D598" s="49" t="s">
        <v>34061</v>
      </c>
      <c r="E598" s="49" t="s">
        <v>8617</v>
      </c>
      <c r="F598" s="49" t="s">
        <v>34062</v>
      </c>
      <c r="H598" s="49" t="s">
        <v>34063</v>
      </c>
      <c r="O598" s="49" t="s">
        <v>34064</v>
      </c>
      <c r="P598" s="49" t="s">
        <v>34065</v>
      </c>
      <c r="Q598" s="49" t="s">
        <v>34066</v>
      </c>
      <c r="R598" s="49" t="s">
        <v>34067</v>
      </c>
      <c r="S598" s="49" t="s">
        <v>34068</v>
      </c>
      <c r="T598" s="49" t="s">
        <v>34069</v>
      </c>
      <c r="U598" s="49" t="s">
        <v>34070</v>
      </c>
    </row>
    <row r="599" spans="1:21" x14ac:dyDescent="0.2">
      <c r="A599" s="49" t="s">
        <v>30</v>
      </c>
      <c r="D599" s="49" t="s">
        <v>11193</v>
      </c>
      <c r="G599" s="49" t="s">
        <v>34071</v>
      </c>
      <c r="H599" s="49" t="s">
        <v>12329</v>
      </c>
      <c r="I599" s="49" t="s">
        <v>12331</v>
      </c>
      <c r="J599" s="49" t="s">
        <v>12345</v>
      </c>
      <c r="K599" s="49" t="s">
        <v>12347</v>
      </c>
      <c r="L599" s="49" t="s">
        <v>11194</v>
      </c>
      <c r="M599" s="49" t="s">
        <v>11195</v>
      </c>
      <c r="N599" s="49" t="s">
        <v>11196</v>
      </c>
      <c r="O599" s="49" t="s">
        <v>34072</v>
      </c>
      <c r="P599" s="49" t="s">
        <v>34073</v>
      </c>
      <c r="Q599" s="49" t="s">
        <v>34074</v>
      </c>
      <c r="R599" s="49" t="s">
        <v>34075</v>
      </c>
      <c r="S599" s="49" t="s">
        <v>34076</v>
      </c>
      <c r="T599" s="49" t="s">
        <v>34077</v>
      </c>
    </row>
    <row r="600" spans="1:21" x14ac:dyDescent="0.2">
      <c r="A600" s="49" t="s">
        <v>30</v>
      </c>
    </row>
    <row r="601" spans="1:21" x14ac:dyDescent="0.2">
      <c r="A601" s="49" t="s">
        <v>30</v>
      </c>
      <c r="E601" s="49" t="s">
        <v>31</v>
      </c>
      <c r="F601" s="49" t="s">
        <v>31</v>
      </c>
      <c r="G601" s="49" t="s">
        <v>31</v>
      </c>
      <c r="J601" s="49" t="s">
        <v>31</v>
      </c>
      <c r="K601" s="49" t="s">
        <v>31</v>
      </c>
      <c r="L601" s="49" t="s">
        <v>31</v>
      </c>
      <c r="M601" s="49" t="s">
        <v>31</v>
      </c>
    </row>
    <row r="602" spans="1:21" x14ac:dyDescent="0.2">
      <c r="A602" s="49" t="s">
        <v>30</v>
      </c>
      <c r="D602" s="49" t="s">
        <v>11197</v>
      </c>
      <c r="E602" s="49" t="s">
        <v>8632</v>
      </c>
      <c r="F602" s="49" t="s">
        <v>11198</v>
      </c>
      <c r="H602" s="49" t="s">
        <v>11199</v>
      </c>
      <c r="O602" s="49" t="s">
        <v>34078</v>
      </c>
      <c r="P602" s="49" t="s">
        <v>34079</v>
      </c>
      <c r="Q602" s="49" t="s">
        <v>34080</v>
      </c>
      <c r="R602" s="49" t="s">
        <v>34081</v>
      </c>
      <c r="S602" s="49" t="s">
        <v>34082</v>
      </c>
      <c r="T602" s="49" t="s">
        <v>34083</v>
      </c>
      <c r="U602" s="49" t="s">
        <v>34084</v>
      </c>
    </row>
    <row r="603" spans="1:21" x14ac:dyDescent="0.2">
      <c r="A603" s="49" t="s">
        <v>30</v>
      </c>
      <c r="D603" s="49" t="s">
        <v>5986</v>
      </c>
      <c r="G603" s="49" t="s">
        <v>34085</v>
      </c>
      <c r="H603" s="49" t="s">
        <v>5987</v>
      </c>
      <c r="I603" s="49" t="s">
        <v>5988</v>
      </c>
      <c r="J603" s="49" t="s">
        <v>5989</v>
      </c>
      <c r="K603" s="49" t="s">
        <v>5990</v>
      </c>
      <c r="L603" s="49" t="s">
        <v>5991</v>
      </c>
      <c r="M603" s="49" t="s">
        <v>5992</v>
      </c>
      <c r="N603" s="49" t="s">
        <v>5993</v>
      </c>
      <c r="O603" s="49" t="s">
        <v>34086</v>
      </c>
      <c r="P603" s="49" t="s">
        <v>34087</v>
      </c>
      <c r="Q603" s="49" t="s">
        <v>34088</v>
      </c>
      <c r="R603" s="49" t="s">
        <v>34089</v>
      </c>
      <c r="S603" s="49" t="s">
        <v>34090</v>
      </c>
      <c r="T603" s="49" t="s">
        <v>34091</v>
      </c>
    </row>
    <row r="604" spans="1:21" x14ac:dyDescent="0.2">
      <c r="A604" s="49" t="s">
        <v>30</v>
      </c>
      <c r="D604" s="49" t="s">
        <v>5994</v>
      </c>
      <c r="G604" s="49" t="s">
        <v>19742</v>
      </c>
      <c r="H604" s="49" t="s">
        <v>5995</v>
      </c>
      <c r="I604" s="49" t="s">
        <v>5996</v>
      </c>
      <c r="J604" s="49" t="s">
        <v>5997</v>
      </c>
      <c r="K604" s="49" t="s">
        <v>5998</v>
      </c>
      <c r="L604" s="49" t="s">
        <v>5999</v>
      </c>
      <c r="M604" s="49" t="s">
        <v>6000</v>
      </c>
      <c r="N604" s="49" t="s">
        <v>6001</v>
      </c>
      <c r="O604" s="49" t="s">
        <v>34092</v>
      </c>
      <c r="P604" s="49" t="s">
        <v>34093</v>
      </c>
      <c r="Q604" s="49" t="s">
        <v>34094</v>
      </c>
      <c r="R604" s="49" t="s">
        <v>34095</v>
      </c>
      <c r="S604" s="49" t="s">
        <v>34096</v>
      </c>
      <c r="T604" s="49" t="s">
        <v>34097</v>
      </c>
    </row>
    <row r="605" spans="1:21" x14ac:dyDescent="0.2">
      <c r="A605" s="49" t="s">
        <v>30</v>
      </c>
    </row>
    <row r="606" spans="1:21" x14ac:dyDescent="0.2">
      <c r="A606" s="49" t="s">
        <v>30</v>
      </c>
      <c r="E606" s="49" t="s">
        <v>31</v>
      </c>
      <c r="F606" s="49" t="s">
        <v>31</v>
      </c>
      <c r="G606" s="49" t="s">
        <v>31</v>
      </c>
      <c r="J606" s="49" t="s">
        <v>31</v>
      </c>
      <c r="K606" s="49" t="s">
        <v>31</v>
      </c>
      <c r="L606" s="49" t="s">
        <v>31</v>
      </c>
      <c r="M606" s="49" t="s">
        <v>31</v>
      </c>
    </row>
    <row r="607" spans="1:21" x14ac:dyDescent="0.2">
      <c r="A607" s="49" t="s">
        <v>30</v>
      </c>
      <c r="D607" s="49" t="s">
        <v>34098</v>
      </c>
      <c r="E607" s="49" t="s">
        <v>8760</v>
      </c>
      <c r="F607" s="49" t="s">
        <v>34099</v>
      </c>
      <c r="H607" s="49" t="s">
        <v>34100</v>
      </c>
      <c r="O607" s="49" t="s">
        <v>34101</v>
      </c>
      <c r="P607" s="49" t="s">
        <v>34102</v>
      </c>
      <c r="Q607" s="49" t="s">
        <v>34103</v>
      </c>
      <c r="R607" s="49" t="s">
        <v>34104</v>
      </c>
      <c r="S607" s="49" t="s">
        <v>34105</v>
      </c>
      <c r="T607" s="49" t="s">
        <v>34106</v>
      </c>
      <c r="U607" s="49" t="s">
        <v>34107</v>
      </c>
    </row>
    <row r="608" spans="1:21" x14ac:dyDescent="0.2">
      <c r="A608" s="49" t="s">
        <v>30</v>
      </c>
      <c r="D608" s="49" t="s">
        <v>6044</v>
      </c>
      <c r="G608" s="49" t="s">
        <v>34108</v>
      </c>
      <c r="H608" s="49" t="s">
        <v>6045</v>
      </c>
      <c r="I608" s="49" t="s">
        <v>6046</v>
      </c>
      <c r="J608" s="49" t="s">
        <v>6047</v>
      </c>
      <c r="K608" s="49" t="s">
        <v>6048</v>
      </c>
      <c r="L608" s="49" t="s">
        <v>6049</v>
      </c>
      <c r="M608" s="49" t="s">
        <v>6050</v>
      </c>
      <c r="N608" s="49" t="s">
        <v>6051</v>
      </c>
      <c r="O608" s="49" t="s">
        <v>34109</v>
      </c>
      <c r="P608" s="49" t="s">
        <v>34110</v>
      </c>
      <c r="Q608" s="49" t="s">
        <v>34111</v>
      </c>
      <c r="R608" s="49" t="s">
        <v>34112</v>
      </c>
      <c r="S608" s="49" t="s">
        <v>34113</v>
      </c>
      <c r="T608" s="49" t="s">
        <v>34114</v>
      </c>
    </row>
    <row r="609" spans="1:21" x14ac:dyDescent="0.2">
      <c r="A609" s="49" t="s">
        <v>30</v>
      </c>
      <c r="D609" s="49" t="s">
        <v>6058</v>
      </c>
      <c r="G609" s="49" t="s">
        <v>19887</v>
      </c>
      <c r="H609" s="49" t="s">
        <v>6059</v>
      </c>
      <c r="I609" s="49" t="s">
        <v>6060</v>
      </c>
      <c r="J609" s="49" t="s">
        <v>6061</v>
      </c>
      <c r="K609" s="49" t="s">
        <v>6062</v>
      </c>
      <c r="L609" s="49" t="s">
        <v>6063</v>
      </c>
      <c r="M609" s="49" t="s">
        <v>6064</v>
      </c>
      <c r="N609" s="49" t="s">
        <v>6065</v>
      </c>
      <c r="O609" s="49" t="s">
        <v>34115</v>
      </c>
      <c r="P609" s="49" t="s">
        <v>34116</v>
      </c>
      <c r="Q609" s="49" t="s">
        <v>34117</v>
      </c>
      <c r="R609" s="49" t="s">
        <v>34118</v>
      </c>
      <c r="S609" s="49" t="s">
        <v>34119</v>
      </c>
      <c r="T609" s="49" t="s">
        <v>34120</v>
      </c>
    </row>
    <row r="610" spans="1:21" x14ac:dyDescent="0.2">
      <c r="A610" s="49" t="s">
        <v>30</v>
      </c>
    </row>
    <row r="611" spans="1:21" x14ac:dyDescent="0.2">
      <c r="A611" s="49" t="s">
        <v>30</v>
      </c>
      <c r="E611" s="49" t="s">
        <v>31</v>
      </c>
      <c r="F611" s="49" t="s">
        <v>31</v>
      </c>
      <c r="G611" s="49" t="s">
        <v>31</v>
      </c>
      <c r="J611" s="49" t="s">
        <v>31</v>
      </c>
      <c r="K611" s="49" t="s">
        <v>31</v>
      </c>
      <c r="L611" s="49" t="s">
        <v>31</v>
      </c>
      <c r="M611" s="49" t="s">
        <v>31</v>
      </c>
    </row>
    <row r="612" spans="1:21" x14ac:dyDescent="0.2">
      <c r="A612" s="49" t="s">
        <v>30</v>
      </c>
      <c r="D612" s="49" t="s">
        <v>34121</v>
      </c>
      <c r="E612" s="49" t="s">
        <v>8775</v>
      </c>
      <c r="F612" s="49" t="s">
        <v>34122</v>
      </c>
      <c r="H612" s="49" t="s">
        <v>34123</v>
      </c>
      <c r="O612" s="49" t="s">
        <v>34124</v>
      </c>
      <c r="P612" s="49" t="s">
        <v>34125</v>
      </c>
      <c r="Q612" s="49" t="s">
        <v>34126</v>
      </c>
      <c r="R612" s="49" t="s">
        <v>34127</v>
      </c>
      <c r="S612" s="49" t="s">
        <v>34128</v>
      </c>
      <c r="T612" s="49" t="s">
        <v>34129</v>
      </c>
      <c r="U612" s="49" t="s">
        <v>34130</v>
      </c>
    </row>
    <row r="613" spans="1:21" x14ac:dyDescent="0.2">
      <c r="A613" s="49" t="s">
        <v>30</v>
      </c>
      <c r="D613" s="49" t="s">
        <v>11200</v>
      </c>
      <c r="G613" s="49" t="s">
        <v>34131</v>
      </c>
      <c r="H613" s="49" t="s">
        <v>12314</v>
      </c>
      <c r="I613" s="49" t="s">
        <v>12316</v>
      </c>
      <c r="J613" s="49" t="s">
        <v>12324</v>
      </c>
      <c r="K613" s="49" t="s">
        <v>12326</v>
      </c>
      <c r="L613" s="49" t="s">
        <v>11201</v>
      </c>
      <c r="M613" s="49" t="s">
        <v>11202</v>
      </c>
      <c r="N613" s="49" t="s">
        <v>11203</v>
      </c>
      <c r="O613" s="49" t="s">
        <v>34310</v>
      </c>
      <c r="P613" s="49" t="s">
        <v>34314</v>
      </c>
      <c r="Q613" s="49" t="s">
        <v>34318</v>
      </c>
      <c r="R613" s="49" t="s">
        <v>34322</v>
      </c>
      <c r="S613" s="49" t="s">
        <v>34326</v>
      </c>
      <c r="T613" s="49" t="s">
        <v>34330</v>
      </c>
    </row>
    <row r="614" spans="1:21" x14ac:dyDescent="0.2">
      <c r="A614" s="49" t="s">
        <v>30</v>
      </c>
      <c r="D614" s="49" t="s">
        <v>11204</v>
      </c>
      <c r="G614" s="49" t="s">
        <v>20007</v>
      </c>
      <c r="H614" s="49" t="s">
        <v>12315</v>
      </c>
      <c r="I614" s="49" t="s">
        <v>12317</v>
      </c>
      <c r="J614" s="49" t="s">
        <v>12325</v>
      </c>
      <c r="K614" s="49" t="s">
        <v>12327</v>
      </c>
      <c r="L614" s="49" t="s">
        <v>11205</v>
      </c>
      <c r="M614" s="49" t="s">
        <v>11206</v>
      </c>
      <c r="N614" s="49" t="s">
        <v>11207</v>
      </c>
      <c r="O614" s="49" t="s">
        <v>34311</v>
      </c>
      <c r="P614" s="49" t="s">
        <v>34315</v>
      </c>
      <c r="Q614" s="49" t="s">
        <v>34319</v>
      </c>
      <c r="R614" s="49" t="s">
        <v>34323</v>
      </c>
      <c r="S614" s="49" t="s">
        <v>34327</v>
      </c>
      <c r="T614" s="49" t="s">
        <v>34331</v>
      </c>
    </row>
    <row r="615" spans="1:21" x14ac:dyDescent="0.2">
      <c r="A615" s="49" t="s">
        <v>30</v>
      </c>
      <c r="D615" s="49" t="s">
        <v>34132</v>
      </c>
      <c r="G615" s="49" t="s">
        <v>20027</v>
      </c>
      <c r="H615" s="49" t="s">
        <v>34306</v>
      </c>
      <c r="I615" s="49" t="s">
        <v>34308</v>
      </c>
      <c r="J615" s="49" t="s">
        <v>34334</v>
      </c>
      <c r="K615" s="49" t="s">
        <v>34336</v>
      </c>
      <c r="L615" s="49" t="s">
        <v>34133</v>
      </c>
      <c r="M615" s="49" t="s">
        <v>34134</v>
      </c>
      <c r="N615" s="49" t="s">
        <v>34135</v>
      </c>
      <c r="O615" s="49" t="s">
        <v>34312</v>
      </c>
      <c r="P615" s="49" t="s">
        <v>34316</v>
      </c>
      <c r="Q615" s="49" t="s">
        <v>34320</v>
      </c>
      <c r="R615" s="49" t="s">
        <v>34324</v>
      </c>
      <c r="S615" s="49" t="s">
        <v>34328</v>
      </c>
      <c r="T615" s="49" t="s">
        <v>34332</v>
      </c>
    </row>
    <row r="616" spans="1:21" x14ac:dyDescent="0.2">
      <c r="A616" s="49" t="s">
        <v>30</v>
      </c>
      <c r="D616" s="49" t="s">
        <v>34136</v>
      </c>
      <c r="G616" s="49" t="s">
        <v>20037</v>
      </c>
      <c r="H616" s="49" t="s">
        <v>34307</v>
      </c>
      <c r="I616" s="49" t="s">
        <v>34309</v>
      </c>
      <c r="J616" s="49" t="s">
        <v>34335</v>
      </c>
      <c r="K616" s="49" t="s">
        <v>34337</v>
      </c>
      <c r="L616" s="49" t="s">
        <v>34137</v>
      </c>
      <c r="M616" s="49" t="s">
        <v>34138</v>
      </c>
      <c r="N616" s="49" t="s">
        <v>34139</v>
      </c>
      <c r="O616" s="49" t="s">
        <v>34313</v>
      </c>
      <c r="P616" s="49" t="s">
        <v>34317</v>
      </c>
      <c r="Q616" s="49" t="s">
        <v>34321</v>
      </c>
      <c r="R616" s="49" t="s">
        <v>34325</v>
      </c>
      <c r="S616" s="49" t="s">
        <v>34329</v>
      </c>
      <c r="T616" s="49" t="s">
        <v>34333</v>
      </c>
    </row>
    <row r="617" spans="1:21" x14ac:dyDescent="0.2">
      <c r="A617" s="49" t="s">
        <v>30</v>
      </c>
    </row>
    <row r="618" spans="1:21" x14ac:dyDescent="0.2">
      <c r="A618" s="49" t="s">
        <v>30</v>
      </c>
      <c r="E618" s="49" t="s">
        <v>31</v>
      </c>
      <c r="F618" s="49" t="s">
        <v>31</v>
      </c>
      <c r="G618" s="49" t="s">
        <v>31</v>
      </c>
      <c r="J618" s="49" t="s">
        <v>31</v>
      </c>
      <c r="K618" s="49" t="s">
        <v>31</v>
      </c>
      <c r="L618" s="49" t="s">
        <v>31</v>
      </c>
      <c r="M618" s="49" t="s">
        <v>31</v>
      </c>
    </row>
    <row r="619" spans="1:21" x14ac:dyDescent="0.2">
      <c r="A619" s="49" t="s">
        <v>30</v>
      </c>
      <c r="D619" s="49" t="s">
        <v>34140</v>
      </c>
      <c r="E619" s="49" t="s">
        <v>8832</v>
      </c>
      <c r="F619" s="49" t="s">
        <v>34141</v>
      </c>
      <c r="H619" s="49" t="s">
        <v>34142</v>
      </c>
      <c r="O619" s="49" t="s">
        <v>34143</v>
      </c>
      <c r="P619" s="49" t="s">
        <v>34144</v>
      </c>
      <c r="Q619" s="49" t="s">
        <v>34145</v>
      </c>
      <c r="R619" s="49" t="s">
        <v>34146</v>
      </c>
      <c r="S619" s="49" t="s">
        <v>34147</v>
      </c>
      <c r="T619" s="49" t="s">
        <v>34148</v>
      </c>
      <c r="U619" s="49" t="s">
        <v>34149</v>
      </c>
    </row>
    <row r="620" spans="1:21" x14ac:dyDescent="0.2">
      <c r="A620" s="49" t="s">
        <v>30</v>
      </c>
      <c r="D620" s="49" t="s">
        <v>6143</v>
      </c>
      <c r="G620" s="49" t="s">
        <v>34150</v>
      </c>
      <c r="H620" s="49" t="s">
        <v>6144</v>
      </c>
      <c r="I620" s="49" t="s">
        <v>6145</v>
      </c>
      <c r="J620" s="49" t="s">
        <v>6146</v>
      </c>
      <c r="K620" s="49" t="s">
        <v>6147</v>
      </c>
      <c r="L620" s="49" t="s">
        <v>6148</v>
      </c>
      <c r="M620" s="49" t="s">
        <v>6149</v>
      </c>
      <c r="N620" s="49" t="s">
        <v>6150</v>
      </c>
      <c r="O620" s="49" t="s">
        <v>34288</v>
      </c>
      <c r="P620" s="49" t="s">
        <v>34291</v>
      </c>
      <c r="Q620" s="49" t="s">
        <v>34294</v>
      </c>
      <c r="R620" s="49" t="s">
        <v>34297</v>
      </c>
      <c r="S620" s="49" t="s">
        <v>34300</v>
      </c>
      <c r="T620" s="49" t="s">
        <v>34303</v>
      </c>
    </row>
    <row r="621" spans="1:21" x14ac:dyDescent="0.2">
      <c r="A621" s="49" t="s">
        <v>30</v>
      </c>
      <c r="D621" s="49" t="s">
        <v>6157</v>
      </c>
      <c r="G621" s="49" t="s">
        <v>20092</v>
      </c>
      <c r="H621" s="49" t="s">
        <v>6158</v>
      </c>
      <c r="I621" s="49" t="s">
        <v>6159</v>
      </c>
      <c r="J621" s="49" t="s">
        <v>6160</v>
      </c>
      <c r="K621" s="49" t="s">
        <v>6161</v>
      </c>
      <c r="L621" s="49" t="s">
        <v>6162</v>
      </c>
      <c r="M621" s="49" t="s">
        <v>6163</v>
      </c>
      <c r="N621" s="49" t="s">
        <v>6164</v>
      </c>
      <c r="O621" s="49" t="s">
        <v>34289</v>
      </c>
      <c r="P621" s="49" t="s">
        <v>34292</v>
      </c>
      <c r="Q621" s="49" t="s">
        <v>34295</v>
      </c>
      <c r="R621" s="49" t="s">
        <v>34298</v>
      </c>
      <c r="S621" s="49" t="s">
        <v>34301</v>
      </c>
      <c r="T621" s="49" t="s">
        <v>34304</v>
      </c>
    </row>
    <row r="622" spans="1:21" x14ac:dyDescent="0.2">
      <c r="A622" s="49" t="s">
        <v>30</v>
      </c>
      <c r="D622" s="49" t="s">
        <v>6171</v>
      </c>
      <c r="G622" s="49" t="s">
        <v>20127</v>
      </c>
      <c r="H622" s="49" t="s">
        <v>6172</v>
      </c>
      <c r="I622" s="49" t="s">
        <v>6173</v>
      </c>
      <c r="J622" s="49" t="s">
        <v>6174</v>
      </c>
      <c r="K622" s="49" t="s">
        <v>6175</v>
      </c>
      <c r="L622" s="49" t="s">
        <v>6176</v>
      </c>
      <c r="M622" s="49" t="s">
        <v>6177</v>
      </c>
      <c r="N622" s="49" t="s">
        <v>6178</v>
      </c>
      <c r="O622" s="49" t="s">
        <v>34290</v>
      </c>
      <c r="P622" s="49" t="s">
        <v>34293</v>
      </c>
      <c r="Q622" s="49" t="s">
        <v>34296</v>
      </c>
      <c r="R622" s="49" t="s">
        <v>34299</v>
      </c>
      <c r="S622" s="49" t="s">
        <v>34302</v>
      </c>
      <c r="T622" s="49" t="s">
        <v>34305</v>
      </c>
    </row>
    <row r="623" spans="1:21" x14ac:dyDescent="0.2">
      <c r="A623" s="49" t="s">
        <v>30</v>
      </c>
    </row>
    <row r="624" spans="1:21" x14ac:dyDescent="0.2">
      <c r="A624" s="49" t="s">
        <v>30</v>
      </c>
      <c r="E624" s="49" t="s">
        <v>31</v>
      </c>
      <c r="F624" s="49" t="s">
        <v>31</v>
      </c>
      <c r="G624" s="49" t="s">
        <v>31</v>
      </c>
      <c r="J624" s="49" t="s">
        <v>31</v>
      </c>
      <c r="K624" s="49" t="s">
        <v>31</v>
      </c>
      <c r="L624" s="49" t="s">
        <v>31</v>
      </c>
      <c r="M624" s="49" t="s">
        <v>31</v>
      </c>
    </row>
    <row r="625" spans="1:21" x14ac:dyDescent="0.2">
      <c r="A625" s="49" t="s">
        <v>30</v>
      </c>
      <c r="D625" s="49" t="s">
        <v>34151</v>
      </c>
      <c r="E625" s="49" t="s">
        <v>8834</v>
      </c>
      <c r="F625" s="49" t="s">
        <v>34152</v>
      </c>
      <c r="H625" s="49" t="s">
        <v>34153</v>
      </c>
      <c r="O625" s="49" t="s">
        <v>34154</v>
      </c>
      <c r="P625" s="49" t="s">
        <v>34155</v>
      </c>
      <c r="Q625" s="49" t="s">
        <v>34156</v>
      </c>
      <c r="R625" s="49" t="s">
        <v>34157</v>
      </c>
      <c r="S625" s="49" t="s">
        <v>34158</v>
      </c>
      <c r="T625" s="49" t="s">
        <v>34159</v>
      </c>
      <c r="U625" s="49" t="s">
        <v>34160</v>
      </c>
    </row>
    <row r="626" spans="1:21" x14ac:dyDescent="0.2">
      <c r="A626" s="49" t="s">
        <v>30</v>
      </c>
      <c r="D626" s="49" t="s">
        <v>6227</v>
      </c>
      <c r="G626" s="49" t="s">
        <v>34161</v>
      </c>
      <c r="H626" s="49" t="s">
        <v>6228</v>
      </c>
      <c r="I626" s="49" t="s">
        <v>6229</v>
      </c>
      <c r="J626" s="49" t="s">
        <v>6230</v>
      </c>
      <c r="K626" s="49" t="s">
        <v>6231</v>
      </c>
      <c r="L626" s="49" t="s">
        <v>6232</v>
      </c>
      <c r="M626" s="49" t="s">
        <v>6233</v>
      </c>
      <c r="N626" s="49" t="s">
        <v>6234</v>
      </c>
      <c r="O626" s="49" t="s">
        <v>34162</v>
      </c>
      <c r="P626" s="49" t="s">
        <v>34163</v>
      </c>
      <c r="Q626" s="49" t="s">
        <v>34164</v>
      </c>
      <c r="R626" s="49" t="s">
        <v>34165</v>
      </c>
      <c r="S626" s="49" t="s">
        <v>34166</v>
      </c>
      <c r="T626" s="49" t="s">
        <v>34167</v>
      </c>
    </row>
    <row r="627" spans="1:21" x14ac:dyDescent="0.2">
      <c r="A627" s="49" t="s">
        <v>30</v>
      </c>
    </row>
    <row r="628" spans="1:21" x14ac:dyDescent="0.2">
      <c r="A628" s="49" t="s">
        <v>30</v>
      </c>
      <c r="E628" s="49" t="s">
        <v>31</v>
      </c>
      <c r="F628" s="49" t="s">
        <v>31</v>
      </c>
      <c r="G628" s="49" t="s">
        <v>31</v>
      </c>
      <c r="J628" s="49" t="s">
        <v>31</v>
      </c>
      <c r="K628" s="49" t="s">
        <v>31</v>
      </c>
      <c r="L628" s="49" t="s">
        <v>31</v>
      </c>
      <c r="M628" s="49" t="s">
        <v>31</v>
      </c>
    </row>
    <row r="629" spans="1:21" x14ac:dyDescent="0.2">
      <c r="A629" s="49" t="s">
        <v>30</v>
      </c>
      <c r="D629" s="49" t="s">
        <v>6241</v>
      </c>
      <c r="E629" s="49" t="s">
        <v>8835</v>
      </c>
      <c r="F629" s="49" t="s">
        <v>6243</v>
      </c>
      <c r="H629" s="49" t="s">
        <v>6244</v>
      </c>
      <c r="O629" s="49" t="s">
        <v>34168</v>
      </c>
      <c r="P629" s="49" t="s">
        <v>34169</v>
      </c>
      <c r="Q629" s="49" t="s">
        <v>34170</v>
      </c>
      <c r="R629" s="49" t="s">
        <v>34171</v>
      </c>
      <c r="S629" s="49" t="s">
        <v>34172</v>
      </c>
      <c r="T629" s="49" t="s">
        <v>34173</v>
      </c>
      <c r="U629" s="49" t="s">
        <v>34174</v>
      </c>
    </row>
    <row r="630" spans="1:21" x14ac:dyDescent="0.2">
      <c r="A630" s="49" t="s">
        <v>30</v>
      </c>
      <c r="D630" s="49" t="s">
        <v>6245</v>
      </c>
      <c r="G630" s="49" t="s">
        <v>34175</v>
      </c>
      <c r="H630" s="49" t="s">
        <v>6246</v>
      </c>
      <c r="I630" s="49" t="s">
        <v>6247</v>
      </c>
      <c r="J630" s="49" t="s">
        <v>6248</v>
      </c>
      <c r="K630" s="49" t="s">
        <v>6249</v>
      </c>
      <c r="L630" s="49" t="s">
        <v>6250</v>
      </c>
      <c r="M630" s="49" t="s">
        <v>6251</v>
      </c>
      <c r="N630" s="49" t="s">
        <v>6252</v>
      </c>
      <c r="O630" s="49" t="s">
        <v>34176</v>
      </c>
      <c r="P630" s="49" t="s">
        <v>34177</v>
      </c>
      <c r="Q630" s="49" t="s">
        <v>34178</v>
      </c>
      <c r="R630" s="49" t="s">
        <v>34179</v>
      </c>
      <c r="S630" s="49" t="s">
        <v>34180</v>
      </c>
      <c r="T630" s="49" t="s">
        <v>34181</v>
      </c>
    </row>
    <row r="631" spans="1:21" x14ac:dyDescent="0.2">
      <c r="A631" s="49" t="s">
        <v>30</v>
      </c>
      <c r="D631" s="49" t="s">
        <v>6253</v>
      </c>
      <c r="G631" s="49" t="s">
        <v>20382</v>
      </c>
      <c r="H631" s="49" t="s">
        <v>6254</v>
      </c>
      <c r="I631" s="49" t="s">
        <v>6255</v>
      </c>
      <c r="J631" s="49" t="s">
        <v>6256</v>
      </c>
      <c r="K631" s="49" t="s">
        <v>6257</v>
      </c>
      <c r="L631" s="49" t="s">
        <v>6258</v>
      </c>
      <c r="M631" s="49" t="s">
        <v>6259</v>
      </c>
      <c r="N631" s="49" t="s">
        <v>6260</v>
      </c>
      <c r="O631" s="49" t="s">
        <v>34182</v>
      </c>
      <c r="P631" s="49" t="s">
        <v>34183</v>
      </c>
      <c r="Q631" s="49" t="s">
        <v>34184</v>
      </c>
      <c r="R631" s="49" t="s">
        <v>34185</v>
      </c>
      <c r="S631" s="49" t="s">
        <v>34186</v>
      </c>
      <c r="T631" s="49" t="s">
        <v>34187</v>
      </c>
    </row>
    <row r="632" spans="1:21" x14ac:dyDescent="0.2">
      <c r="A632" s="49" t="s">
        <v>30</v>
      </c>
    </row>
    <row r="633" spans="1:21" x14ac:dyDescent="0.2">
      <c r="A633" s="49" t="s">
        <v>30</v>
      </c>
      <c r="E633" s="49" t="s">
        <v>31</v>
      </c>
      <c r="F633" s="49" t="s">
        <v>31</v>
      </c>
      <c r="G633" s="49" t="s">
        <v>31</v>
      </c>
      <c r="J633" s="49" t="s">
        <v>31</v>
      </c>
      <c r="K633" s="49" t="s">
        <v>31</v>
      </c>
      <c r="L633" s="49" t="s">
        <v>31</v>
      </c>
      <c r="M633" s="49" t="s">
        <v>31</v>
      </c>
    </row>
    <row r="634" spans="1:21" x14ac:dyDescent="0.2">
      <c r="A634" s="49" t="s">
        <v>30</v>
      </c>
      <c r="D634" s="49" t="s">
        <v>34188</v>
      </c>
      <c r="E634" s="49" t="s">
        <v>8836</v>
      </c>
      <c r="F634" s="49" t="s">
        <v>34189</v>
      </c>
      <c r="H634" s="49" t="s">
        <v>34190</v>
      </c>
      <c r="O634" s="49" t="s">
        <v>34191</v>
      </c>
      <c r="P634" s="49" t="s">
        <v>34192</v>
      </c>
      <c r="Q634" s="49" t="s">
        <v>34193</v>
      </c>
      <c r="R634" s="49" t="s">
        <v>34194</v>
      </c>
      <c r="S634" s="49" t="s">
        <v>34195</v>
      </c>
      <c r="T634" s="49" t="s">
        <v>34196</v>
      </c>
      <c r="U634" s="49" t="s">
        <v>34197</v>
      </c>
    </row>
    <row r="635" spans="1:21" x14ac:dyDescent="0.2">
      <c r="A635" s="49" t="s">
        <v>30</v>
      </c>
      <c r="D635" s="49" t="s">
        <v>6309</v>
      </c>
      <c r="G635" s="49" t="s">
        <v>34198</v>
      </c>
      <c r="H635" s="49" t="s">
        <v>6310</v>
      </c>
      <c r="I635" s="49" t="s">
        <v>6311</v>
      </c>
      <c r="J635" s="49" t="s">
        <v>6312</v>
      </c>
      <c r="K635" s="49" t="s">
        <v>6313</v>
      </c>
      <c r="L635" s="49" t="s">
        <v>6314</v>
      </c>
      <c r="M635" s="49" t="s">
        <v>6315</v>
      </c>
      <c r="N635" s="49" t="s">
        <v>6316</v>
      </c>
      <c r="O635" s="49" t="s">
        <v>34270</v>
      </c>
      <c r="P635" s="49" t="s">
        <v>34273</v>
      </c>
      <c r="Q635" s="49" t="s">
        <v>34276</v>
      </c>
      <c r="R635" s="49" t="s">
        <v>34279</v>
      </c>
      <c r="S635" s="49" t="s">
        <v>34282</v>
      </c>
      <c r="T635" s="49" t="s">
        <v>34285</v>
      </c>
    </row>
    <row r="636" spans="1:21" x14ac:dyDescent="0.2">
      <c r="A636" s="49" t="s">
        <v>30</v>
      </c>
      <c r="D636" s="49" t="s">
        <v>6323</v>
      </c>
      <c r="G636" s="49" t="s">
        <v>20537</v>
      </c>
      <c r="H636" s="49" t="s">
        <v>6324</v>
      </c>
      <c r="I636" s="49" t="s">
        <v>6325</v>
      </c>
      <c r="J636" s="49" t="s">
        <v>6326</v>
      </c>
      <c r="K636" s="49" t="s">
        <v>6327</v>
      </c>
      <c r="L636" s="49" t="s">
        <v>6328</v>
      </c>
      <c r="M636" s="49" t="s">
        <v>6329</v>
      </c>
      <c r="N636" s="49" t="s">
        <v>6330</v>
      </c>
      <c r="O636" s="49" t="s">
        <v>34271</v>
      </c>
      <c r="P636" s="49" t="s">
        <v>34274</v>
      </c>
      <c r="Q636" s="49" t="s">
        <v>34277</v>
      </c>
      <c r="R636" s="49" t="s">
        <v>34280</v>
      </c>
      <c r="S636" s="49" t="s">
        <v>34283</v>
      </c>
      <c r="T636" s="49" t="s">
        <v>34286</v>
      </c>
    </row>
    <row r="637" spans="1:21" x14ac:dyDescent="0.2">
      <c r="A637" s="49" t="s">
        <v>30</v>
      </c>
      <c r="D637" s="49" t="s">
        <v>6337</v>
      </c>
      <c r="G637" s="49" t="s">
        <v>20577</v>
      </c>
      <c r="H637" s="49" t="s">
        <v>6338</v>
      </c>
      <c r="I637" s="49" t="s">
        <v>6339</v>
      </c>
      <c r="J637" s="49" t="s">
        <v>6340</v>
      </c>
      <c r="K637" s="49" t="s">
        <v>6341</v>
      </c>
      <c r="L637" s="49" t="s">
        <v>6342</v>
      </c>
      <c r="M637" s="49" t="s">
        <v>6343</v>
      </c>
      <c r="N637" s="49" t="s">
        <v>6344</v>
      </c>
      <c r="O637" s="49" t="s">
        <v>34272</v>
      </c>
      <c r="P637" s="49" t="s">
        <v>34275</v>
      </c>
      <c r="Q637" s="49" t="s">
        <v>34278</v>
      </c>
      <c r="R637" s="49" t="s">
        <v>34281</v>
      </c>
      <c r="S637" s="49" t="s">
        <v>34284</v>
      </c>
      <c r="T637" s="49" t="s">
        <v>34287</v>
      </c>
    </row>
    <row r="638" spans="1:21" x14ac:dyDescent="0.2">
      <c r="A638" s="49" t="s">
        <v>30</v>
      </c>
    </row>
    <row r="639" spans="1:21" x14ac:dyDescent="0.2">
      <c r="A639" s="49" t="s">
        <v>30</v>
      </c>
      <c r="E639" s="49" t="s">
        <v>31</v>
      </c>
      <c r="F639" s="49" t="s">
        <v>31</v>
      </c>
      <c r="G639" s="49" t="s">
        <v>31</v>
      </c>
      <c r="J639" s="49" t="s">
        <v>31</v>
      </c>
      <c r="K639" s="49" t="s">
        <v>31</v>
      </c>
      <c r="L639" s="49" t="s">
        <v>31</v>
      </c>
      <c r="M639" s="49" t="s">
        <v>31</v>
      </c>
    </row>
    <row r="640" spans="1:21" x14ac:dyDescent="0.2">
      <c r="A640" s="49" t="s">
        <v>30</v>
      </c>
      <c r="D640" s="49" t="s">
        <v>34199</v>
      </c>
      <c r="E640" s="49" t="s">
        <v>8838</v>
      </c>
      <c r="F640" s="49" t="s">
        <v>34200</v>
      </c>
      <c r="H640" s="49" t="s">
        <v>34201</v>
      </c>
      <c r="O640" s="49" t="s">
        <v>34202</v>
      </c>
      <c r="P640" s="49" t="s">
        <v>34203</v>
      </c>
      <c r="Q640" s="49" t="s">
        <v>34204</v>
      </c>
      <c r="R640" s="49" t="s">
        <v>34205</v>
      </c>
      <c r="S640" s="49" t="s">
        <v>34206</v>
      </c>
      <c r="T640" s="49" t="s">
        <v>34207</v>
      </c>
      <c r="U640" s="49" t="s">
        <v>34208</v>
      </c>
    </row>
    <row r="641" spans="1:21" x14ac:dyDescent="0.2">
      <c r="A641" s="49" t="s">
        <v>30</v>
      </c>
      <c r="D641" s="49" t="s">
        <v>6352</v>
      </c>
      <c r="G641" s="49" t="s">
        <v>34209</v>
      </c>
      <c r="H641" s="49" t="s">
        <v>6353</v>
      </c>
      <c r="I641" s="49" t="s">
        <v>6354</v>
      </c>
      <c r="J641" s="49" t="s">
        <v>6355</v>
      </c>
      <c r="K641" s="49" t="s">
        <v>6356</v>
      </c>
      <c r="L641" s="49" t="s">
        <v>6357</v>
      </c>
      <c r="M641" s="49" t="s">
        <v>6358</v>
      </c>
      <c r="N641" s="49" t="s">
        <v>6359</v>
      </c>
      <c r="O641" s="49" t="s">
        <v>34252</v>
      </c>
      <c r="P641" s="49" t="s">
        <v>34255</v>
      </c>
      <c r="Q641" s="49" t="s">
        <v>34258</v>
      </c>
      <c r="R641" s="49" t="s">
        <v>34261</v>
      </c>
      <c r="S641" s="49" t="s">
        <v>34264</v>
      </c>
      <c r="T641" s="49" t="s">
        <v>34267</v>
      </c>
    </row>
    <row r="642" spans="1:21" x14ac:dyDescent="0.2">
      <c r="A642" s="49" t="s">
        <v>30</v>
      </c>
      <c r="D642" s="49" t="s">
        <v>6360</v>
      </c>
      <c r="G642" s="49" t="s">
        <v>20672</v>
      </c>
      <c r="H642" s="49" t="s">
        <v>6361</v>
      </c>
      <c r="I642" s="49" t="s">
        <v>6362</v>
      </c>
      <c r="J642" s="49" t="s">
        <v>6363</v>
      </c>
      <c r="K642" s="49" t="s">
        <v>6364</v>
      </c>
      <c r="L642" s="49" t="s">
        <v>6365</v>
      </c>
      <c r="M642" s="49" t="s">
        <v>6366</v>
      </c>
      <c r="N642" s="49" t="s">
        <v>6367</v>
      </c>
      <c r="O642" s="49" t="s">
        <v>34253</v>
      </c>
      <c r="P642" s="49" t="s">
        <v>34256</v>
      </c>
      <c r="Q642" s="49" t="s">
        <v>34259</v>
      </c>
      <c r="R642" s="49" t="s">
        <v>34262</v>
      </c>
      <c r="S642" s="49" t="s">
        <v>34265</v>
      </c>
      <c r="T642" s="49" t="s">
        <v>34268</v>
      </c>
    </row>
    <row r="643" spans="1:21" x14ac:dyDescent="0.2">
      <c r="A643" s="49" t="s">
        <v>30</v>
      </c>
      <c r="D643" s="49" t="s">
        <v>15124</v>
      </c>
      <c r="G643" s="49" t="s">
        <v>20692</v>
      </c>
      <c r="H643" s="49" t="s">
        <v>30836</v>
      </c>
      <c r="I643" s="49" t="s">
        <v>30839</v>
      </c>
      <c r="J643" s="49" t="s">
        <v>30860</v>
      </c>
      <c r="K643" s="49" t="s">
        <v>30863</v>
      </c>
      <c r="L643" s="49" t="s">
        <v>15126</v>
      </c>
      <c r="M643" s="49" t="s">
        <v>15127</v>
      </c>
      <c r="N643" s="49" t="s">
        <v>15128</v>
      </c>
      <c r="O643" s="49" t="s">
        <v>34254</v>
      </c>
      <c r="P643" s="49" t="s">
        <v>34257</v>
      </c>
      <c r="Q643" s="49" t="s">
        <v>34260</v>
      </c>
      <c r="R643" s="49" t="s">
        <v>34263</v>
      </c>
      <c r="S643" s="49" t="s">
        <v>34266</v>
      </c>
      <c r="T643" s="49" t="s">
        <v>34269</v>
      </c>
    </row>
    <row r="644" spans="1:21" x14ac:dyDescent="0.2">
      <c r="A644" s="49" t="s">
        <v>30</v>
      </c>
    </row>
    <row r="645" spans="1:21" x14ac:dyDescent="0.2">
      <c r="A645" s="49" t="s">
        <v>30</v>
      </c>
      <c r="E645" s="49" t="s">
        <v>31</v>
      </c>
      <c r="F645" s="49" t="s">
        <v>31</v>
      </c>
      <c r="G645" s="49" t="s">
        <v>31</v>
      </c>
      <c r="J645" s="49" t="s">
        <v>31</v>
      </c>
      <c r="K645" s="49" t="s">
        <v>31</v>
      </c>
      <c r="L645" s="49" t="s">
        <v>31</v>
      </c>
      <c r="M645" s="49" t="s">
        <v>31</v>
      </c>
    </row>
    <row r="646" spans="1:21" x14ac:dyDescent="0.2">
      <c r="A646" s="49" t="s">
        <v>30</v>
      </c>
      <c r="D646" s="49" t="s">
        <v>34210</v>
      </c>
      <c r="E646" s="49" t="s">
        <v>8840</v>
      </c>
      <c r="F646" s="49" t="s">
        <v>34211</v>
      </c>
      <c r="H646" s="49" t="s">
        <v>34212</v>
      </c>
      <c r="O646" s="49" t="s">
        <v>34213</v>
      </c>
      <c r="P646" s="49" t="s">
        <v>34214</v>
      </c>
      <c r="Q646" s="49" t="s">
        <v>34215</v>
      </c>
      <c r="R646" s="49" t="s">
        <v>34216</v>
      </c>
      <c r="S646" s="49" t="s">
        <v>34217</v>
      </c>
      <c r="T646" s="49" t="s">
        <v>34218</v>
      </c>
      <c r="U646" s="49" t="s">
        <v>34219</v>
      </c>
    </row>
    <row r="647" spans="1:21" x14ac:dyDescent="0.2">
      <c r="A647" s="49" t="s">
        <v>30</v>
      </c>
      <c r="D647" s="49" t="s">
        <v>6382</v>
      </c>
      <c r="G647" s="49" t="s">
        <v>34220</v>
      </c>
      <c r="H647" s="49" t="s">
        <v>6383</v>
      </c>
      <c r="I647" s="49" t="s">
        <v>6384</v>
      </c>
      <c r="J647" s="49" t="s">
        <v>6385</v>
      </c>
      <c r="K647" s="49" t="s">
        <v>6386</v>
      </c>
      <c r="L647" s="49" t="s">
        <v>6387</v>
      </c>
      <c r="M647" s="49" t="s">
        <v>6388</v>
      </c>
      <c r="N647" s="49" t="s">
        <v>6389</v>
      </c>
      <c r="O647" s="49" t="s">
        <v>34228</v>
      </c>
      <c r="P647" s="49" t="s">
        <v>34232</v>
      </c>
      <c r="Q647" s="49" t="s">
        <v>34236</v>
      </c>
      <c r="R647" s="49" t="s">
        <v>34240</v>
      </c>
      <c r="S647" s="49" t="s">
        <v>34244</v>
      </c>
      <c r="T647" s="49" t="s">
        <v>34248</v>
      </c>
    </row>
    <row r="648" spans="1:21" x14ac:dyDescent="0.2">
      <c r="A648" s="49" t="s">
        <v>30</v>
      </c>
      <c r="D648" s="49" t="s">
        <v>6396</v>
      </c>
      <c r="G648" s="49" t="s">
        <v>20787</v>
      </c>
      <c r="H648" s="49" t="s">
        <v>6397</v>
      </c>
      <c r="I648" s="49" t="s">
        <v>6398</v>
      </c>
      <c r="J648" s="49" t="s">
        <v>6399</v>
      </c>
      <c r="K648" s="49" t="s">
        <v>6400</v>
      </c>
      <c r="L648" s="49" t="s">
        <v>6401</v>
      </c>
      <c r="M648" s="49" t="s">
        <v>6402</v>
      </c>
      <c r="N648" s="49" t="s">
        <v>6403</v>
      </c>
      <c r="O648" s="49" t="s">
        <v>34229</v>
      </c>
      <c r="P648" s="49" t="s">
        <v>34233</v>
      </c>
      <c r="Q648" s="49" t="s">
        <v>34237</v>
      </c>
      <c r="R648" s="49" t="s">
        <v>34241</v>
      </c>
      <c r="S648" s="49" t="s">
        <v>34245</v>
      </c>
      <c r="T648" s="49" t="s">
        <v>34249</v>
      </c>
    </row>
    <row r="649" spans="1:21" x14ac:dyDescent="0.2">
      <c r="A649" s="49" t="s">
        <v>30</v>
      </c>
      <c r="D649" s="49" t="s">
        <v>6410</v>
      </c>
      <c r="G649" s="49" t="s">
        <v>20797</v>
      </c>
      <c r="H649" s="49" t="s">
        <v>6411</v>
      </c>
      <c r="I649" s="49" t="s">
        <v>6412</v>
      </c>
      <c r="J649" s="49" t="s">
        <v>6413</v>
      </c>
      <c r="K649" s="49" t="s">
        <v>6414</v>
      </c>
      <c r="L649" s="49" t="s">
        <v>6415</v>
      </c>
      <c r="M649" s="49" t="s">
        <v>6416</v>
      </c>
      <c r="N649" s="49" t="s">
        <v>6417</v>
      </c>
      <c r="O649" s="49" t="s">
        <v>34230</v>
      </c>
      <c r="P649" s="49" t="s">
        <v>34234</v>
      </c>
      <c r="Q649" s="49" t="s">
        <v>34238</v>
      </c>
      <c r="R649" s="49" t="s">
        <v>34242</v>
      </c>
      <c r="S649" s="49" t="s">
        <v>34246</v>
      </c>
      <c r="T649" s="49" t="s">
        <v>34250</v>
      </c>
    </row>
    <row r="650" spans="1:21" x14ac:dyDescent="0.2">
      <c r="A650" s="49" t="s">
        <v>30</v>
      </c>
      <c r="D650" s="49" t="s">
        <v>6424</v>
      </c>
      <c r="G650" s="49" t="s">
        <v>20827</v>
      </c>
      <c r="H650" s="49" t="s">
        <v>6425</v>
      </c>
      <c r="I650" s="49" t="s">
        <v>6426</v>
      </c>
      <c r="J650" s="49" t="s">
        <v>6427</v>
      </c>
      <c r="K650" s="49" t="s">
        <v>6428</v>
      </c>
      <c r="L650" s="49" t="s">
        <v>6429</v>
      </c>
      <c r="M650" s="49" t="s">
        <v>6430</v>
      </c>
      <c r="N650" s="49" t="s">
        <v>6431</v>
      </c>
      <c r="O650" s="49" t="s">
        <v>34231</v>
      </c>
      <c r="P650" s="49" t="s">
        <v>34235</v>
      </c>
      <c r="Q650" s="49" t="s">
        <v>34239</v>
      </c>
      <c r="R650" s="49" t="s">
        <v>34243</v>
      </c>
      <c r="S650" s="49" t="s">
        <v>34247</v>
      </c>
      <c r="T650" s="49" t="s">
        <v>34251</v>
      </c>
    </row>
    <row r="651" spans="1:21" x14ac:dyDescent="0.2">
      <c r="A651" s="49" t="s">
        <v>30</v>
      </c>
    </row>
    <row r="652" spans="1:21" x14ac:dyDescent="0.2">
      <c r="A652" s="49" t="s">
        <v>30</v>
      </c>
      <c r="E652" s="49" t="s">
        <v>31</v>
      </c>
      <c r="F652" s="49" t="s">
        <v>31</v>
      </c>
      <c r="G652" s="49" t="s">
        <v>31</v>
      </c>
      <c r="J652" s="49" t="s">
        <v>31</v>
      </c>
      <c r="K652" s="49" t="s">
        <v>31</v>
      </c>
      <c r="L652" s="49" t="s">
        <v>31</v>
      </c>
      <c r="M652" s="49" t="s">
        <v>31</v>
      </c>
    </row>
    <row r="654" spans="1:21" x14ac:dyDescent="0.2">
      <c r="N654" s="49" t="s">
        <v>32</v>
      </c>
      <c r="O654" s="49" t="s">
        <v>34221</v>
      </c>
      <c r="P654" s="49" t="s">
        <v>34222</v>
      </c>
      <c r="Q654" s="49" t="s">
        <v>34223</v>
      </c>
      <c r="R654" s="49" t="s">
        <v>34224</v>
      </c>
      <c r="S654" s="49" t="s">
        <v>34225</v>
      </c>
      <c r="T654" s="49" t="s">
        <v>34226</v>
      </c>
      <c r="U654" s="49" t="s">
        <v>34227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1"/>
  <sheetViews>
    <sheetView workbookViewId="0"/>
  </sheetViews>
  <sheetFormatPr defaultRowHeight="12.75" x14ac:dyDescent="0.2"/>
  <sheetData>
    <row r="1" spans="1:21" x14ac:dyDescent="0.2">
      <c r="A1" s="49" t="s">
        <v>34802</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9954</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5" spans="1:21" x14ac:dyDescent="0.2">
      <c r="E15" s="49" t="s">
        <v>31</v>
      </c>
      <c r="F15" s="49" t="s">
        <v>31</v>
      </c>
      <c r="G15" s="49" t="s">
        <v>31</v>
      </c>
      <c r="J15" s="49" t="s">
        <v>31</v>
      </c>
      <c r="K15" s="49" t="s">
        <v>31</v>
      </c>
      <c r="L15" s="49" t="s">
        <v>31</v>
      </c>
      <c r="M15" s="49" t="s">
        <v>31</v>
      </c>
    </row>
    <row r="16" spans="1:21" x14ac:dyDescent="0.2">
      <c r="A16" s="49" t="s">
        <v>30</v>
      </c>
      <c r="D16" s="49" t="s">
        <v>3332</v>
      </c>
      <c r="E16" s="49" t="s">
        <v>4686</v>
      </c>
      <c r="F16" s="49" t="s">
        <v>3333</v>
      </c>
      <c r="H16" s="49" t="s">
        <v>3334</v>
      </c>
      <c r="O16" s="49" t="s">
        <v>3335</v>
      </c>
      <c r="P16" s="49" t="s">
        <v>3336</v>
      </c>
      <c r="Q16" s="49" t="s">
        <v>3337</v>
      </c>
      <c r="R16" s="49" t="s">
        <v>3338</v>
      </c>
      <c r="S16" s="49" t="s">
        <v>3339</v>
      </c>
      <c r="T16" s="49" t="s">
        <v>3340</v>
      </c>
      <c r="U16" s="49" t="s">
        <v>3341</v>
      </c>
    </row>
    <row r="17" spans="1:21" x14ac:dyDescent="0.2">
      <c r="A17" s="49" t="s">
        <v>30</v>
      </c>
      <c r="D17" s="49" t="s">
        <v>2266</v>
      </c>
      <c r="G17" s="49" t="s">
        <v>3342</v>
      </c>
      <c r="H17" s="49" t="s">
        <v>2267</v>
      </c>
      <c r="I17" s="49" t="s">
        <v>2268</v>
      </c>
      <c r="J17" s="49" t="s">
        <v>2269</v>
      </c>
      <c r="K17" s="49" t="s">
        <v>2270</v>
      </c>
      <c r="L17" s="49" t="s">
        <v>2271</v>
      </c>
      <c r="M17" s="49" t="s">
        <v>2272</v>
      </c>
      <c r="N17" s="49" t="s">
        <v>2273</v>
      </c>
      <c r="O17" s="49" t="s">
        <v>3343</v>
      </c>
      <c r="P17" s="49" t="s">
        <v>3344</v>
      </c>
      <c r="Q17" s="49" t="s">
        <v>3345</v>
      </c>
      <c r="R17" s="49" t="s">
        <v>3346</v>
      </c>
      <c r="S17" s="49" t="s">
        <v>3347</v>
      </c>
      <c r="T17" s="49" t="s">
        <v>3348</v>
      </c>
    </row>
    <row r="18" spans="1:21" x14ac:dyDescent="0.2">
      <c r="A18" s="49" t="s">
        <v>30</v>
      </c>
    </row>
    <row r="19" spans="1:21" x14ac:dyDescent="0.2">
      <c r="A19" s="49" t="s">
        <v>30</v>
      </c>
      <c r="E19" s="49" t="s">
        <v>31</v>
      </c>
      <c r="F19" s="49" t="s">
        <v>31</v>
      </c>
      <c r="G19" s="49" t="s">
        <v>31</v>
      </c>
      <c r="J19" s="49" t="s">
        <v>31</v>
      </c>
      <c r="K19" s="49" t="s">
        <v>31</v>
      </c>
      <c r="L19" s="49" t="s">
        <v>31</v>
      </c>
      <c r="M19" s="49" t="s">
        <v>31</v>
      </c>
    </row>
    <row r="20" spans="1:21" x14ac:dyDescent="0.2">
      <c r="A20" s="49" t="s">
        <v>30</v>
      </c>
      <c r="D20" s="49" t="s">
        <v>2274</v>
      </c>
      <c r="E20" s="49" t="s">
        <v>4752</v>
      </c>
      <c r="F20" s="49" t="s">
        <v>2275</v>
      </c>
      <c r="H20" s="49" t="s">
        <v>2276</v>
      </c>
      <c r="O20" s="49" t="s">
        <v>12962</v>
      </c>
      <c r="P20" s="49" t="s">
        <v>12963</v>
      </c>
      <c r="Q20" s="49" t="s">
        <v>12964</v>
      </c>
      <c r="R20" s="49" t="s">
        <v>12965</v>
      </c>
      <c r="S20" s="49" t="s">
        <v>12966</v>
      </c>
      <c r="T20" s="49" t="s">
        <v>12967</v>
      </c>
      <c r="U20" s="49" t="s">
        <v>12968</v>
      </c>
    </row>
    <row r="21" spans="1:21" x14ac:dyDescent="0.2">
      <c r="A21" s="49" t="s">
        <v>30</v>
      </c>
      <c r="D21" s="49" t="s">
        <v>79</v>
      </c>
      <c r="G21" s="49" t="s">
        <v>3349</v>
      </c>
      <c r="H21" s="49" t="s">
        <v>80</v>
      </c>
      <c r="I21" s="49" t="s">
        <v>81</v>
      </c>
      <c r="J21" s="49" t="s">
        <v>82</v>
      </c>
      <c r="K21" s="49" t="s">
        <v>83</v>
      </c>
      <c r="L21" s="49" t="s">
        <v>84</v>
      </c>
      <c r="M21" s="49" t="s">
        <v>85</v>
      </c>
      <c r="N21" s="49" t="s">
        <v>86</v>
      </c>
      <c r="O21" s="49" t="s">
        <v>3350</v>
      </c>
      <c r="P21" s="49" t="s">
        <v>3351</v>
      </c>
      <c r="Q21" s="49" t="s">
        <v>3352</v>
      </c>
      <c r="R21" s="49" t="s">
        <v>3353</v>
      </c>
      <c r="S21" s="49" t="s">
        <v>3354</v>
      </c>
      <c r="T21" s="49" t="s">
        <v>3355</v>
      </c>
    </row>
    <row r="22" spans="1:21" x14ac:dyDescent="0.2">
      <c r="A22" s="49" t="s">
        <v>30</v>
      </c>
      <c r="D22" s="49" t="s">
        <v>2645</v>
      </c>
      <c r="G22" s="49" t="s">
        <v>14690</v>
      </c>
      <c r="H22" s="49" t="s">
        <v>2646</v>
      </c>
      <c r="I22" s="49" t="s">
        <v>2647</v>
      </c>
      <c r="J22" s="49" t="s">
        <v>2648</v>
      </c>
      <c r="K22" s="49" t="s">
        <v>2649</v>
      </c>
      <c r="L22" s="49" t="s">
        <v>2650</v>
      </c>
      <c r="M22" s="49" t="s">
        <v>2651</v>
      </c>
      <c r="N22" s="49" t="s">
        <v>2652</v>
      </c>
      <c r="O22" s="49" t="s">
        <v>3566</v>
      </c>
      <c r="P22" s="49" t="s">
        <v>3567</v>
      </c>
      <c r="Q22" s="49" t="s">
        <v>3568</v>
      </c>
      <c r="R22" s="49" t="s">
        <v>3569</v>
      </c>
      <c r="S22" s="49" t="s">
        <v>3570</v>
      </c>
      <c r="T22" s="49" t="s">
        <v>3571</v>
      </c>
    </row>
    <row r="23" spans="1:21" x14ac:dyDescent="0.2">
      <c r="A23" s="49" t="s">
        <v>30</v>
      </c>
    </row>
    <row r="24" spans="1:21" x14ac:dyDescent="0.2">
      <c r="A24" s="49" t="s">
        <v>30</v>
      </c>
      <c r="E24" s="49" t="s">
        <v>31</v>
      </c>
      <c r="F24" s="49" t="s">
        <v>31</v>
      </c>
      <c r="G24" s="49" t="s">
        <v>31</v>
      </c>
      <c r="J24" s="49" t="s">
        <v>31</v>
      </c>
      <c r="K24" s="49" t="s">
        <v>31</v>
      </c>
      <c r="L24" s="49" t="s">
        <v>31</v>
      </c>
      <c r="M24" s="49" t="s">
        <v>31</v>
      </c>
    </row>
    <row r="25" spans="1:21" x14ac:dyDescent="0.2">
      <c r="A25" s="49" t="s">
        <v>30</v>
      </c>
      <c r="D25" s="49" t="s">
        <v>10262</v>
      </c>
      <c r="E25" s="49" t="s">
        <v>4805</v>
      </c>
      <c r="F25" s="49" t="s">
        <v>10263</v>
      </c>
      <c r="H25" s="49" t="s">
        <v>10264</v>
      </c>
      <c r="O25" s="49" t="s">
        <v>10265</v>
      </c>
      <c r="P25" s="49" t="s">
        <v>10266</v>
      </c>
      <c r="Q25" s="49" t="s">
        <v>10267</v>
      </c>
      <c r="R25" s="49" t="s">
        <v>10268</v>
      </c>
      <c r="S25" s="49" t="s">
        <v>10269</v>
      </c>
      <c r="T25" s="49" t="s">
        <v>10270</v>
      </c>
      <c r="U25" s="49" t="s">
        <v>10271</v>
      </c>
    </row>
    <row r="26" spans="1:21" x14ac:dyDescent="0.2">
      <c r="A26" s="49" t="s">
        <v>30</v>
      </c>
      <c r="D26" s="49" t="s">
        <v>98</v>
      </c>
      <c r="G26" s="49" t="s">
        <v>10272</v>
      </c>
      <c r="H26" s="49" t="s">
        <v>99</v>
      </c>
      <c r="I26" s="49" t="s">
        <v>100</v>
      </c>
      <c r="J26" s="49" t="s">
        <v>101</v>
      </c>
      <c r="K26" s="49" t="s">
        <v>102</v>
      </c>
      <c r="L26" s="49" t="s">
        <v>103</v>
      </c>
      <c r="M26" s="49" t="s">
        <v>104</v>
      </c>
      <c r="N26" s="49" t="s">
        <v>105</v>
      </c>
      <c r="O26" s="49" t="s">
        <v>3363</v>
      </c>
      <c r="P26" s="49" t="s">
        <v>3364</v>
      </c>
      <c r="Q26" s="49" t="s">
        <v>3365</v>
      </c>
      <c r="R26" s="49" t="s">
        <v>3366</v>
      </c>
      <c r="S26" s="49" t="s">
        <v>3367</v>
      </c>
      <c r="T26" s="49" t="s">
        <v>3368</v>
      </c>
    </row>
    <row r="27" spans="1:21" x14ac:dyDescent="0.2">
      <c r="A27" s="49" t="s">
        <v>30</v>
      </c>
    </row>
    <row r="28" spans="1:21" x14ac:dyDescent="0.2">
      <c r="A28" s="49" t="s">
        <v>30</v>
      </c>
      <c r="E28" s="49" t="s">
        <v>31</v>
      </c>
      <c r="F28" s="49" t="s">
        <v>31</v>
      </c>
      <c r="G28" s="49" t="s">
        <v>31</v>
      </c>
      <c r="J28" s="49" t="s">
        <v>31</v>
      </c>
      <c r="K28" s="49" t="s">
        <v>31</v>
      </c>
      <c r="L28" s="49" t="s">
        <v>31</v>
      </c>
      <c r="M28" s="49" t="s">
        <v>31</v>
      </c>
    </row>
    <row r="29" spans="1:21" x14ac:dyDescent="0.2">
      <c r="A29" s="49" t="s">
        <v>30</v>
      </c>
      <c r="D29" s="49" t="s">
        <v>3369</v>
      </c>
      <c r="E29" s="49" t="s">
        <v>4841</v>
      </c>
      <c r="F29" s="49" t="s">
        <v>3370</v>
      </c>
      <c r="H29" s="49" t="s">
        <v>3371</v>
      </c>
      <c r="O29" s="49" t="s">
        <v>10273</v>
      </c>
      <c r="P29" s="49" t="s">
        <v>10274</v>
      </c>
      <c r="Q29" s="49" t="s">
        <v>10275</v>
      </c>
      <c r="R29" s="49" t="s">
        <v>10276</v>
      </c>
      <c r="S29" s="49" t="s">
        <v>10277</v>
      </c>
      <c r="T29" s="49" t="s">
        <v>10278</v>
      </c>
      <c r="U29" s="49" t="s">
        <v>10279</v>
      </c>
    </row>
    <row r="30" spans="1:21" x14ac:dyDescent="0.2">
      <c r="A30" s="49" t="s">
        <v>30</v>
      </c>
      <c r="D30" s="49" t="s">
        <v>130</v>
      </c>
      <c r="G30" s="49" t="s">
        <v>3372</v>
      </c>
      <c r="H30" s="49" t="s">
        <v>131</v>
      </c>
      <c r="I30" s="49" t="s">
        <v>132</v>
      </c>
      <c r="J30" s="49" t="s">
        <v>133</v>
      </c>
      <c r="K30" s="49" t="s">
        <v>134</v>
      </c>
      <c r="L30" s="49" t="s">
        <v>135</v>
      </c>
      <c r="M30" s="49" t="s">
        <v>136</v>
      </c>
      <c r="N30" s="49" t="s">
        <v>137</v>
      </c>
      <c r="O30" s="49" t="s">
        <v>3373</v>
      </c>
      <c r="P30" s="49" t="s">
        <v>3374</v>
      </c>
      <c r="Q30" s="49" t="s">
        <v>3375</v>
      </c>
      <c r="R30" s="49" t="s">
        <v>3376</v>
      </c>
      <c r="S30" s="49" t="s">
        <v>3377</v>
      </c>
      <c r="T30" s="49" t="s">
        <v>3378</v>
      </c>
    </row>
    <row r="31" spans="1:21" x14ac:dyDescent="0.2">
      <c r="A31" s="49" t="s">
        <v>30</v>
      </c>
    </row>
    <row r="32" spans="1:21" x14ac:dyDescent="0.2">
      <c r="A32" s="49" t="s">
        <v>30</v>
      </c>
      <c r="E32" s="49" t="s">
        <v>31</v>
      </c>
      <c r="F32" s="49" t="s">
        <v>31</v>
      </c>
      <c r="G32" s="49" t="s">
        <v>31</v>
      </c>
      <c r="J32" s="49" t="s">
        <v>31</v>
      </c>
      <c r="K32" s="49" t="s">
        <v>31</v>
      </c>
      <c r="L32" s="49" t="s">
        <v>31</v>
      </c>
      <c r="M32" s="49" t="s">
        <v>31</v>
      </c>
    </row>
    <row r="33" spans="1:21" x14ac:dyDescent="0.2">
      <c r="A33" s="49" t="s">
        <v>30</v>
      </c>
      <c r="D33" s="49" t="s">
        <v>138</v>
      </c>
      <c r="E33" s="49" t="s">
        <v>4951</v>
      </c>
      <c r="F33" s="49" t="s">
        <v>139</v>
      </c>
      <c r="H33" s="49" t="s">
        <v>140</v>
      </c>
      <c r="O33" s="49" t="s">
        <v>12969</v>
      </c>
      <c r="P33" s="49" t="s">
        <v>12970</v>
      </c>
      <c r="Q33" s="49" t="s">
        <v>12971</v>
      </c>
      <c r="R33" s="49" t="s">
        <v>12972</v>
      </c>
      <c r="S33" s="49" t="s">
        <v>12973</v>
      </c>
      <c r="T33" s="49" t="s">
        <v>12974</v>
      </c>
      <c r="U33" s="49" t="s">
        <v>12975</v>
      </c>
    </row>
    <row r="34" spans="1:21" x14ac:dyDescent="0.2">
      <c r="A34" s="49" t="s">
        <v>30</v>
      </c>
      <c r="D34" s="49" t="s">
        <v>141</v>
      </c>
      <c r="G34" s="49" t="s">
        <v>3833</v>
      </c>
      <c r="H34" s="49" t="s">
        <v>142</v>
      </c>
      <c r="I34" s="49" t="s">
        <v>143</v>
      </c>
      <c r="J34" s="49" t="s">
        <v>144</v>
      </c>
      <c r="K34" s="49" t="s">
        <v>145</v>
      </c>
      <c r="L34" s="49" t="s">
        <v>146</v>
      </c>
      <c r="M34" s="49" t="s">
        <v>147</v>
      </c>
      <c r="N34" s="49" t="s">
        <v>148</v>
      </c>
      <c r="O34" s="49" t="s">
        <v>3834</v>
      </c>
      <c r="P34" s="49" t="s">
        <v>3835</v>
      </c>
      <c r="Q34" s="49" t="s">
        <v>3836</v>
      </c>
      <c r="R34" s="49" t="s">
        <v>3837</v>
      </c>
      <c r="S34" s="49" t="s">
        <v>3838</v>
      </c>
      <c r="T34" s="49" t="s">
        <v>3839</v>
      </c>
    </row>
    <row r="35" spans="1:21" x14ac:dyDescent="0.2">
      <c r="A35" s="49" t="s">
        <v>30</v>
      </c>
    </row>
    <row r="36" spans="1:21" x14ac:dyDescent="0.2">
      <c r="A36" s="49" t="s">
        <v>30</v>
      </c>
      <c r="E36" s="49" t="s">
        <v>31</v>
      </c>
      <c r="F36" s="49" t="s">
        <v>31</v>
      </c>
      <c r="G36" s="49" t="s">
        <v>31</v>
      </c>
      <c r="J36" s="49" t="s">
        <v>31</v>
      </c>
      <c r="K36" s="49" t="s">
        <v>31</v>
      </c>
      <c r="L36" s="49" t="s">
        <v>31</v>
      </c>
      <c r="M36" s="49" t="s">
        <v>31</v>
      </c>
    </row>
    <row r="37" spans="1:21" x14ac:dyDescent="0.2">
      <c r="A37" s="49" t="s">
        <v>30</v>
      </c>
      <c r="D37" s="49" t="s">
        <v>2291</v>
      </c>
      <c r="E37" s="49" t="s">
        <v>5256</v>
      </c>
      <c r="F37" s="49" t="s">
        <v>2292</v>
      </c>
      <c r="H37" s="49" t="s">
        <v>2293</v>
      </c>
      <c r="O37" s="49" t="s">
        <v>2294</v>
      </c>
      <c r="P37" s="49" t="s">
        <v>2295</v>
      </c>
      <c r="Q37" s="49" t="s">
        <v>2296</v>
      </c>
      <c r="R37" s="49" t="s">
        <v>2297</v>
      </c>
      <c r="S37" s="49" t="s">
        <v>2298</v>
      </c>
      <c r="T37" s="49" t="s">
        <v>2299</v>
      </c>
      <c r="U37" s="49" t="s">
        <v>2300</v>
      </c>
    </row>
    <row r="38" spans="1:21" x14ac:dyDescent="0.2">
      <c r="A38" s="49" t="s">
        <v>30</v>
      </c>
      <c r="D38" s="49" t="s">
        <v>173</v>
      </c>
      <c r="G38" s="49" t="s">
        <v>3840</v>
      </c>
      <c r="H38" s="49" t="s">
        <v>174</v>
      </c>
      <c r="I38" s="49" t="s">
        <v>175</v>
      </c>
      <c r="J38" s="49" t="s">
        <v>176</v>
      </c>
      <c r="K38" s="49" t="s">
        <v>177</v>
      </c>
      <c r="L38" s="49" t="s">
        <v>178</v>
      </c>
      <c r="M38" s="49" t="s">
        <v>179</v>
      </c>
      <c r="N38" s="49" t="s">
        <v>180</v>
      </c>
      <c r="O38" s="49" t="s">
        <v>3841</v>
      </c>
      <c r="P38" s="49" t="s">
        <v>3842</v>
      </c>
      <c r="Q38" s="49" t="s">
        <v>3843</v>
      </c>
      <c r="R38" s="49" t="s">
        <v>3844</v>
      </c>
      <c r="S38" s="49" t="s">
        <v>3845</v>
      </c>
      <c r="T38" s="49" t="s">
        <v>3846</v>
      </c>
    </row>
    <row r="39" spans="1:21" x14ac:dyDescent="0.2">
      <c r="A39" s="49" t="s">
        <v>30</v>
      </c>
    </row>
    <row r="40" spans="1:21" x14ac:dyDescent="0.2">
      <c r="A40" s="49" t="s">
        <v>30</v>
      </c>
      <c r="E40" s="49" t="s">
        <v>31</v>
      </c>
      <c r="F40" s="49" t="s">
        <v>31</v>
      </c>
      <c r="G40" s="49" t="s">
        <v>31</v>
      </c>
      <c r="J40" s="49" t="s">
        <v>31</v>
      </c>
      <c r="K40" s="49" t="s">
        <v>31</v>
      </c>
      <c r="L40" s="49" t="s">
        <v>31</v>
      </c>
      <c r="M40" s="49" t="s">
        <v>31</v>
      </c>
    </row>
    <row r="41" spans="1:21" x14ac:dyDescent="0.2">
      <c r="A41" s="49" t="s">
        <v>30</v>
      </c>
      <c r="D41" s="49" t="s">
        <v>181</v>
      </c>
      <c r="E41" s="49" t="s">
        <v>5331</v>
      </c>
      <c r="F41" s="49" t="s">
        <v>182</v>
      </c>
      <c r="H41" s="49" t="s">
        <v>183</v>
      </c>
      <c r="O41" s="49" t="s">
        <v>2521</v>
      </c>
      <c r="P41" s="49" t="s">
        <v>2522</v>
      </c>
      <c r="Q41" s="49" t="s">
        <v>2523</v>
      </c>
      <c r="R41" s="49" t="s">
        <v>2524</v>
      </c>
      <c r="S41" s="49" t="s">
        <v>2525</v>
      </c>
      <c r="T41" s="49" t="s">
        <v>2526</v>
      </c>
      <c r="U41" s="49" t="s">
        <v>2527</v>
      </c>
    </row>
    <row r="42" spans="1:21" x14ac:dyDescent="0.2">
      <c r="A42" s="49" t="s">
        <v>30</v>
      </c>
      <c r="D42" s="49" t="s">
        <v>184</v>
      </c>
      <c r="G42" s="49" t="s">
        <v>3847</v>
      </c>
      <c r="H42" s="49" t="s">
        <v>185</v>
      </c>
      <c r="I42" s="49" t="s">
        <v>186</v>
      </c>
      <c r="J42" s="49" t="s">
        <v>187</v>
      </c>
      <c r="K42" s="49" t="s">
        <v>188</v>
      </c>
      <c r="L42" s="49" t="s">
        <v>189</v>
      </c>
      <c r="M42" s="49" t="s">
        <v>190</v>
      </c>
      <c r="N42" s="49" t="s">
        <v>191</v>
      </c>
      <c r="O42" s="49" t="s">
        <v>3591</v>
      </c>
      <c r="P42" s="49" t="s">
        <v>3592</v>
      </c>
      <c r="Q42" s="49" t="s">
        <v>3593</v>
      </c>
      <c r="R42" s="49" t="s">
        <v>3594</v>
      </c>
      <c r="S42" s="49" t="s">
        <v>3595</v>
      </c>
      <c r="T42" s="49" t="s">
        <v>3596</v>
      </c>
    </row>
    <row r="43" spans="1:21" x14ac:dyDescent="0.2">
      <c r="A43" s="49" t="s">
        <v>30</v>
      </c>
    </row>
    <row r="44" spans="1:21" x14ac:dyDescent="0.2">
      <c r="A44" s="49" t="s">
        <v>30</v>
      </c>
      <c r="E44" s="49" t="s">
        <v>31</v>
      </c>
      <c r="F44" s="49" t="s">
        <v>31</v>
      </c>
      <c r="G44" s="49" t="s">
        <v>31</v>
      </c>
      <c r="J44" s="49" t="s">
        <v>31</v>
      </c>
      <c r="K44" s="49" t="s">
        <v>31</v>
      </c>
      <c r="L44" s="49" t="s">
        <v>31</v>
      </c>
      <c r="M44" s="49" t="s">
        <v>31</v>
      </c>
    </row>
    <row r="45" spans="1:21" x14ac:dyDescent="0.2">
      <c r="A45" s="49" t="s">
        <v>30</v>
      </c>
      <c r="D45" s="49" t="s">
        <v>2528</v>
      </c>
      <c r="E45" s="49" t="s">
        <v>5416</v>
      </c>
      <c r="F45" s="49" t="s">
        <v>2529</v>
      </c>
      <c r="H45" s="49" t="s">
        <v>2530</v>
      </c>
      <c r="O45" s="49" t="s">
        <v>12976</v>
      </c>
      <c r="P45" s="49" t="s">
        <v>12977</v>
      </c>
      <c r="Q45" s="49" t="s">
        <v>12978</v>
      </c>
      <c r="R45" s="49" t="s">
        <v>12979</v>
      </c>
      <c r="S45" s="49" t="s">
        <v>12980</v>
      </c>
      <c r="T45" s="49" t="s">
        <v>12981</v>
      </c>
      <c r="U45" s="49" t="s">
        <v>12982</v>
      </c>
    </row>
    <row r="46" spans="1:21" x14ac:dyDescent="0.2">
      <c r="A46" s="49" t="s">
        <v>30</v>
      </c>
      <c r="D46" s="49" t="s">
        <v>2531</v>
      </c>
      <c r="G46" s="49" t="s">
        <v>3848</v>
      </c>
      <c r="H46" s="49" t="s">
        <v>2532</v>
      </c>
      <c r="I46" s="49" t="s">
        <v>2533</v>
      </c>
      <c r="J46" s="49" t="s">
        <v>2534</v>
      </c>
      <c r="K46" s="49" t="s">
        <v>2535</v>
      </c>
      <c r="L46" s="49" t="s">
        <v>2536</v>
      </c>
      <c r="M46" s="49" t="s">
        <v>2537</v>
      </c>
      <c r="N46" s="49" t="s">
        <v>2538</v>
      </c>
      <c r="O46" s="49" t="s">
        <v>3849</v>
      </c>
      <c r="P46" s="49" t="s">
        <v>3850</v>
      </c>
      <c r="Q46" s="49" t="s">
        <v>3851</v>
      </c>
      <c r="R46" s="49" t="s">
        <v>3852</v>
      </c>
      <c r="S46" s="49" t="s">
        <v>3853</v>
      </c>
      <c r="T46" s="49" t="s">
        <v>3854</v>
      </c>
    </row>
    <row r="47" spans="1:21" x14ac:dyDescent="0.2">
      <c r="A47" s="49" t="s">
        <v>30</v>
      </c>
      <c r="D47" s="49" t="s">
        <v>200</v>
      </c>
      <c r="G47" s="49" t="s">
        <v>15751</v>
      </c>
      <c r="H47" s="49" t="s">
        <v>201</v>
      </c>
      <c r="I47" s="49" t="s">
        <v>202</v>
      </c>
      <c r="J47" s="49" t="s">
        <v>203</v>
      </c>
      <c r="K47" s="49" t="s">
        <v>204</v>
      </c>
      <c r="L47" s="49" t="s">
        <v>205</v>
      </c>
      <c r="M47" s="49" t="s">
        <v>206</v>
      </c>
      <c r="N47" s="49" t="s">
        <v>207</v>
      </c>
      <c r="O47" s="49" t="s">
        <v>4052</v>
      </c>
      <c r="P47" s="49" t="s">
        <v>4053</v>
      </c>
      <c r="Q47" s="49" t="s">
        <v>4054</v>
      </c>
      <c r="R47" s="49" t="s">
        <v>4055</v>
      </c>
      <c r="S47" s="49" t="s">
        <v>4056</v>
      </c>
      <c r="T47" s="49" t="s">
        <v>4057</v>
      </c>
    </row>
    <row r="48" spans="1:21" x14ac:dyDescent="0.2">
      <c r="A48" s="49" t="s">
        <v>30</v>
      </c>
    </row>
    <row r="49" spans="1:21" x14ac:dyDescent="0.2">
      <c r="A49" s="49" t="s">
        <v>30</v>
      </c>
      <c r="E49" s="49" t="s">
        <v>31</v>
      </c>
      <c r="F49" s="49" t="s">
        <v>31</v>
      </c>
      <c r="G49" s="49" t="s">
        <v>31</v>
      </c>
      <c r="J49" s="49" t="s">
        <v>31</v>
      </c>
      <c r="K49" s="49" t="s">
        <v>31</v>
      </c>
      <c r="L49" s="49" t="s">
        <v>31</v>
      </c>
      <c r="M49" s="49" t="s">
        <v>31</v>
      </c>
    </row>
    <row r="50" spans="1:21" x14ac:dyDescent="0.2">
      <c r="A50" s="49" t="s">
        <v>30</v>
      </c>
      <c r="D50" s="49" t="s">
        <v>12983</v>
      </c>
      <c r="E50" s="49" t="s">
        <v>5459</v>
      </c>
      <c r="F50" s="49" t="s">
        <v>12984</v>
      </c>
      <c r="H50" s="49" t="s">
        <v>12985</v>
      </c>
      <c r="O50" s="49" t="s">
        <v>34698</v>
      </c>
      <c r="P50" s="49" t="s">
        <v>34699</v>
      </c>
      <c r="Q50" s="49" t="s">
        <v>34700</v>
      </c>
      <c r="R50" s="49" t="s">
        <v>34701</v>
      </c>
      <c r="S50" s="49" t="s">
        <v>34702</v>
      </c>
      <c r="T50" s="49" t="s">
        <v>34703</v>
      </c>
      <c r="U50" s="49" t="s">
        <v>34704</v>
      </c>
    </row>
    <row r="51" spans="1:21" x14ac:dyDescent="0.2">
      <c r="A51" s="49" t="s">
        <v>30</v>
      </c>
      <c r="D51" s="49" t="s">
        <v>232</v>
      </c>
      <c r="G51" s="49" t="s">
        <v>12986</v>
      </c>
      <c r="H51" s="49" t="s">
        <v>233</v>
      </c>
      <c r="I51" s="49" t="s">
        <v>234</v>
      </c>
      <c r="J51" s="49" t="s">
        <v>235</v>
      </c>
      <c r="K51" s="49" t="s">
        <v>236</v>
      </c>
      <c r="L51" s="49" t="s">
        <v>237</v>
      </c>
      <c r="M51" s="49" t="s">
        <v>238</v>
      </c>
      <c r="N51" s="49" t="s">
        <v>239</v>
      </c>
      <c r="O51" s="49" t="s">
        <v>4058</v>
      </c>
      <c r="P51" s="49" t="s">
        <v>4059</v>
      </c>
      <c r="Q51" s="49" t="s">
        <v>4060</v>
      </c>
      <c r="R51" s="49" t="s">
        <v>4061</v>
      </c>
      <c r="S51" s="49" t="s">
        <v>4062</v>
      </c>
      <c r="T51" s="49" t="s">
        <v>4063</v>
      </c>
    </row>
    <row r="52" spans="1:21" x14ac:dyDescent="0.2">
      <c r="A52" s="49" t="s">
        <v>30</v>
      </c>
      <c r="D52" s="49" t="s">
        <v>2228</v>
      </c>
      <c r="G52" s="49" t="s">
        <v>15779</v>
      </c>
      <c r="H52" s="49" t="s">
        <v>2229</v>
      </c>
      <c r="I52" s="49" t="s">
        <v>2230</v>
      </c>
      <c r="J52" s="49" t="s">
        <v>2231</v>
      </c>
      <c r="K52" s="49" t="s">
        <v>2232</v>
      </c>
      <c r="L52" s="49" t="s">
        <v>2233</v>
      </c>
      <c r="M52" s="49" t="s">
        <v>2234</v>
      </c>
      <c r="N52" s="49" t="s">
        <v>2235</v>
      </c>
      <c r="O52" s="49" t="s">
        <v>3979</v>
      </c>
      <c r="P52" s="49" t="s">
        <v>3980</v>
      </c>
      <c r="Q52" s="49" t="s">
        <v>3981</v>
      </c>
      <c r="R52" s="49" t="s">
        <v>3982</v>
      </c>
      <c r="S52" s="49" t="s">
        <v>3983</v>
      </c>
      <c r="T52" s="49" t="s">
        <v>3984</v>
      </c>
    </row>
    <row r="53" spans="1:21" x14ac:dyDescent="0.2">
      <c r="A53" s="49" t="s">
        <v>30</v>
      </c>
    </row>
    <row r="54" spans="1:21" x14ac:dyDescent="0.2">
      <c r="A54" s="49" t="s">
        <v>30</v>
      </c>
      <c r="E54" s="49" t="s">
        <v>31</v>
      </c>
      <c r="F54" s="49" t="s">
        <v>31</v>
      </c>
      <c r="G54" s="49" t="s">
        <v>31</v>
      </c>
      <c r="J54" s="49" t="s">
        <v>31</v>
      </c>
      <c r="K54" s="49" t="s">
        <v>31</v>
      </c>
      <c r="L54" s="49" t="s">
        <v>31</v>
      </c>
      <c r="M54" s="49" t="s">
        <v>31</v>
      </c>
    </row>
    <row r="55" spans="1:21" x14ac:dyDescent="0.2">
      <c r="A55" s="49" t="s">
        <v>30</v>
      </c>
      <c r="D55" s="49" t="s">
        <v>34705</v>
      </c>
      <c r="E55" s="49" t="s">
        <v>5498</v>
      </c>
      <c r="F55" s="49" t="s">
        <v>34706</v>
      </c>
      <c r="H55" s="49" t="s">
        <v>34707</v>
      </c>
      <c r="O55" s="49" t="s">
        <v>34708</v>
      </c>
      <c r="P55" s="49" t="s">
        <v>34709</v>
      </c>
      <c r="Q55" s="49" t="s">
        <v>34710</v>
      </c>
      <c r="R55" s="49" t="s">
        <v>34711</v>
      </c>
      <c r="S55" s="49" t="s">
        <v>34712</v>
      </c>
      <c r="T55" s="49" t="s">
        <v>34713</v>
      </c>
      <c r="U55" s="49" t="s">
        <v>34714</v>
      </c>
    </row>
    <row r="56" spans="1:21" x14ac:dyDescent="0.2">
      <c r="A56" s="49" t="s">
        <v>30</v>
      </c>
      <c r="D56" s="49" t="s">
        <v>251</v>
      </c>
      <c r="G56" s="49" t="s">
        <v>34715</v>
      </c>
      <c r="H56" s="49" t="s">
        <v>252</v>
      </c>
      <c r="I56" s="49" t="s">
        <v>253</v>
      </c>
      <c r="J56" s="49" t="s">
        <v>254</v>
      </c>
      <c r="K56" s="49" t="s">
        <v>255</v>
      </c>
      <c r="L56" s="49" t="s">
        <v>256</v>
      </c>
      <c r="M56" s="49" t="s">
        <v>257</v>
      </c>
      <c r="N56" s="49" t="s">
        <v>258</v>
      </c>
      <c r="O56" s="49" t="s">
        <v>4348</v>
      </c>
      <c r="P56" s="49" t="s">
        <v>4349</v>
      </c>
      <c r="Q56" s="49" t="s">
        <v>4350</v>
      </c>
      <c r="R56" s="49" t="s">
        <v>4351</v>
      </c>
      <c r="S56" s="49" t="s">
        <v>4352</v>
      </c>
      <c r="T56" s="49" t="s">
        <v>4353</v>
      </c>
    </row>
    <row r="57" spans="1:21" x14ac:dyDescent="0.2">
      <c r="A57" s="49" t="s">
        <v>30</v>
      </c>
    </row>
    <row r="58" spans="1:21" x14ac:dyDescent="0.2">
      <c r="A58" s="49" t="s">
        <v>30</v>
      </c>
      <c r="E58" s="49" t="s">
        <v>31</v>
      </c>
      <c r="F58" s="49" t="s">
        <v>31</v>
      </c>
      <c r="G58" s="49" t="s">
        <v>31</v>
      </c>
      <c r="J58" s="49" t="s">
        <v>31</v>
      </c>
      <c r="K58" s="49" t="s">
        <v>31</v>
      </c>
      <c r="L58" s="49" t="s">
        <v>31</v>
      </c>
      <c r="M58" s="49" t="s">
        <v>31</v>
      </c>
    </row>
    <row r="59" spans="1:21" x14ac:dyDescent="0.2">
      <c r="A59" s="49" t="s">
        <v>30</v>
      </c>
      <c r="D59" s="49" t="s">
        <v>12994</v>
      </c>
      <c r="E59" s="49" t="s">
        <v>5584</v>
      </c>
      <c r="F59" s="49" t="s">
        <v>12995</v>
      </c>
      <c r="H59" s="49" t="s">
        <v>12996</v>
      </c>
      <c r="O59" s="49" t="s">
        <v>34716</v>
      </c>
      <c r="P59" s="49" t="s">
        <v>34717</v>
      </c>
      <c r="Q59" s="49" t="s">
        <v>34718</v>
      </c>
      <c r="R59" s="49" t="s">
        <v>34719</v>
      </c>
      <c r="S59" s="49" t="s">
        <v>34720</v>
      </c>
      <c r="T59" s="49" t="s">
        <v>34721</v>
      </c>
      <c r="U59" s="49" t="s">
        <v>34722</v>
      </c>
    </row>
    <row r="60" spans="1:21" x14ac:dyDescent="0.2">
      <c r="A60" s="49" t="s">
        <v>30</v>
      </c>
      <c r="D60" s="49" t="s">
        <v>2301</v>
      </c>
      <c r="G60" s="49" t="s">
        <v>12997</v>
      </c>
      <c r="H60" s="49" t="s">
        <v>2302</v>
      </c>
      <c r="I60" s="49" t="s">
        <v>2303</v>
      </c>
      <c r="J60" s="49" t="s">
        <v>2304</v>
      </c>
      <c r="K60" s="49" t="s">
        <v>2305</v>
      </c>
      <c r="L60" s="49" t="s">
        <v>2306</v>
      </c>
      <c r="M60" s="49" t="s">
        <v>2307</v>
      </c>
      <c r="N60" s="49" t="s">
        <v>2308</v>
      </c>
      <c r="O60" s="49" t="s">
        <v>12998</v>
      </c>
      <c r="P60" s="49" t="s">
        <v>12999</v>
      </c>
      <c r="Q60" s="49" t="s">
        <v>13000</v>
      </c>
      <c r="R60" s="49" t="s">
        <v>13001</v>
      </c>
      <c r="S60" s="49" t="s">
        <v>13002</v>
      </c>
      <c r="T60" s="49" t="s">
        <v>13003</v>
      </c>
    </row>
    <row r="61" spans="1:21" x14ac:dyDescent="0.2">
      <c r="A61" s="49" t="s">
        <v>30</v>
      </c>
      <c r="D61" s="49" t="s">
        <v>2250</v>
      </c>
      <c r="G61" s="49" t="s">
        <v>15876</v>
      </c>
      <c r="H61" s="49" t="s">
        <v>2251</v>
      </c>
      <c r="I61" s="49" t="s">
        <v>2252</v>
      </c>
      <c r="J61" s="49" t="s">
        <v>2253</v>
      </c>
      <c r="K61" s="49" t="s">
        <v>2254</v>
      </c>
      <c r="L61" s="49" t="s">
        <v>2255</v>
      </c>
      <c r="M61" s="49" t="s">
        <v>2256</v>
      </c>
      <c r="N61" s="49" t="s">
        <v>2257</v>
      </c>
      <c r="O61" s="49" t="s">
        <v>3436</v>
      </c>
      <c r="P61" s="49" t="s">
        <v>3437</v>
      </c>
      <c r="Q61" s="49" t="s">
        <v>3438</v>
      </c>
      <c r="R61" s="49" t="s">
        <v>3439</v>
      </c>
      <c r="S61" s="49" t="s">
        <v>3440</v>
      </c>
      <c r="T61" s="49" t="s">
        <v>3441</v>
      </c>
    </row>
    <row r="62" spans="1:21" x14ac:dyDescent="0.2">
      <c r="A62" s="49" t="s">
        <v>30</v>
      </c>
    </row>
    <row r="63" spans="1:21" x14ac:dyDescent="0.2">
      <c r="A63" s="49" t="s">
        <v>30</v>
      </c>
      <c r="E63" s="49" t="s">
        <v>31</v>
      </c>
      <c r="F63" s="49" t="s">
        <v>31</v>
      </c>
      <c r="G63" s="49" t="s">
        <v>31</v>
      </c>
      <c r="J63" s="49" t="s">
        <v>31</v>
      </c>
      <c r="K63" s="49" t="s">
        <v>31</v>
      </c>
      <c r="L63" s="49" t="s">
        <v>31</v>
      </c>
      <c r="M63" s="49" t="s">
        <v>31</v>
      </c>
    </row>
    <row r="64" spans="1:21" x14ac:dyDescent="0.2">
      <c r="A64" s="49" t="s">
        <v>30</v>
      </c>
      <c r="D64" s="49" t="s">
        <v>34723</v>
      </c>
      <c r="E64" s="49" t="s">
        <v>5627</v>
      </c>
      <c r="F64" s="49" t="s">
        <v>34724</v>
      </c>
      <c r="H64" s="49" t="s">
        <v>34725</v>
      </c>
      <c r="O64" s="49" t="s">
        <v>34726</v>
      </c>
      <c r="P64" s="49" t="s">
        <v>34727</v>
      </c>
      <c r="Q64" s="49" t="s">
        <v>34728</v>
      </c>
      <c r="R64" s="49" t="s">
        <v>34729</v>
      </c>
      <c r="S64" s="49" t="s">
        <v>34730</v>
      </c>
      <c r="T64" s="49" t="s">
        <v>34731</v>
      </c>
      <c r="U64" s="49" t="s">
        <v>34732</v>
      </c>
    </row>
    <row r="65" spans="1:21" x14ac:dyDescent="0.2">
      <c r="A65" s="49" t="s">
        <v>30</v>
      </c>
      <c r="D65" s="49" t="s">
        <v>2258</v>
      </c>
      <c r="G65" s="49" t="s">
        <v>34733</v>
      </c>
      <c r="H65" s="49" t="s">
        <v>2259</v>
      </c>
      <c r="I65" s="49" t="s">
        <v>2260</v>
      </c>
      <c r="J65" s="49" t="s">
        <v>2261</v>
      </c>
      <c r="K65" s="49" t="s">
        <v>2262</v>
      </c>
      <c r="L65" s="49" t="s">
        <v>2263</v>
      </c>
      <c r="M65" s="49" t="s">
        <v>2264</v>
      </c>
      <c r="N65" s="49" t="s">
        <v>2265</v>
      </c>
      <c r="O65" s="49" t="s">
        <v>3442</v>
      </c>
      <c r="P65" s="49" t="s">
        <v>3443</v>
      </c>
      <c r="Q65" s="49" t="s">
        <v>3444</v>
      </c>
      <c r="R65" s="49" t="s">
        <v>3445</v>
      </c>
      <c r="S65" s="49" t="s">
        <v>3446</v>
      </c>
      <c r="T65" s="49" t="s">
        <v>3447</v>
      </c>
    </row>
    <row r="66" spans="1:21" x14ac:dyDescent="0.2">
      <c r="A66" s="49" t="s">
        <v>30</v>
      </c>
      <c r="D66" s="49" t="s">
        <v>2542</v>
      </c>
      <c r="G66" s="49" t="s">
        <v>15910</v>
      </c>
      <c r="H66" s="49" t="s">
        <v>2543</v>
      </c>
      <c r="I66" s="49" t="s">
        <v>2544</v>
      </c>
      <c r="J66" s="49" t="s">
        <v>2545</v>
      </c>
      <c r="K66" s="49" t="s">
        <v>2546</v>
      </c>
      <c r="L66" s="49" t="s">
        <v>2547</v>
      </c>
      <c r="M66" s="49" t="s">
        <v>2548</v>
      </c>
      <c r="N66" s="49" t="s">
        <v>2549</v>
      </c>
      <c r="O66" s="49" t="s">
        <v>3869</v>
      </c>
      <c r="P66" s="49" t="s">
        <v>3870</v>
      </c>
      <c r="Q66" s="49" t="s">
        <v>3871</v>
      </c>
      <c r="R66" s="49" t="s">
        <v>3872</v>
      </c>
      <c r="S66" s="49" t="s">
        <v>3873</v>
      </c>
      <c r="T66" s="49" t="s">
        <v>3874</v>
      </c>
    </row>
    <row r="67" spans="1:21" x14ac:dyDescent="0.2">
      <c r="A67" s="49" t="s">
        <v>30</v>
      </c>
    </row>
    <row r="68" spans="1:21" x14ac:dyDescent="0.2">
      <c r="A68" s="49" t="s">
        <v>30</v>
      </c>
      <c r="E68" s="49" t="s">
        <v>31</v>
      </c>
      <c r="F68" s="49" t="s">
        <v>31</v>
      </c>
      <c r="G68" s="49" t="s">
        <v>31</v>
      </c>
      <c r="J68" s="49" t="s">
        <v>31</v>
      </c>
      <c r="K68" s="49" t="s">
        <v>31</v>
      </c>
      <c r="L68" s="49" t="s">
        <v>31</v>
      </c>
      <c r="M68" s="49" t="s">
        <v>31</v>
      </c>
    </row>
    <row r="69" spans="1:21" x14ac:dyDescent="0.2">
      <c r="A69" s="49" t="s">
        <v>30</v>
      </c>
      <c r="D69" s="49" t="s">
        <v>2550</v>
      </c>
      <c r="E69" s="49" t="s">
        <v>5805</v>
      </c>
      <c r="F69" s="49" t="s">
        <v>2551</v>
      </c>
      <c r="H69" s="49" t="s">
        <v>2552</v>
      </c>
      <c r="O69" s="49" t="s">
        <v>34734</v>
      </c>
      <c r="P69" s="49" t="s">
        <v>34735</v>
      </c>
      <c r="Q69" s="49" t="s">
        <v>34736</v>
      </c>
      <c r="R69" s="49" t="s">
        <v>34737</v>
      </c>
      <c r="S69" s="49" t="s">
        <v>34738</v>
      </c>
      <c r="T69" s="49" t="s">
        <v>34739</v>
      </c>
      <c r="U69" s="49" t="s">
        <v>34740</v>
      </c>
    </row>
    <row r="70" spans="1:21" x14ac:dyDescent="0.2">
      <c r="A70" s="49" t="s">
        <v>30</v>
      </c>
      <c r="D70" s="49" t="s">
        <v>2309</v>
      </c>
      <c r="G70" s="49" t="s">
        <v>3875</v>
      </c>
      <c r="H70" s="49" t="s">
        <v>2310</v>
      </c>
      <c r="I70" s="49" t="s">
        <v>2311</v>
      </c>
      <c r="J70" s="49" t="s">
        <v>2312</v>
      </c>
      <c r="K70" s="49" t="s">
        <v>2313</v>
      </c>
      <c r="L70" s="49" t="s">
        <v>2314</v>
      </c>
      <c r="M70" s="49" t="s">
        <v>2315</v>
      </c>
      <c r="N70" s="49" t="s">
        <v>2316</v>
      </c>
      <c r="O70" s="49" t="s">
        <v>3876</v>
      </c>
      <c r="P70" s="49" t="s">
        <v>3877</v>
      </c>
      <c r="Q70" s="49" t="s">
        <v>3878</v>
      </c>
      <c r="R70" s="49" t="s">
        <v>3879</v>
      </c>
      <c r="S70" s="49" t="s">
        <v>3880</v>
      </c>
      <c r="T70" s="49" t="s">
        <v>3881</v>
      </c>
    </row>
    <row r="71" spans="1:21" x14ac:dyDescent="0.2">
      <c r="A71" s="49" t="s">
        <v>30</v>
      </c>
      <c r="D71" s="49" t="s">
        <v>2317</v>
      </c>
      <c r="G71" s="49" t="s">
        <v>15998</v>
      </c>
      <c r="H71" s="49" t="s">
        <v>2318</v>
      </c>
      <c r="I71" s="49" t="s">
        <v>2319</v>
      </c>
      <c r="J71" s="49" t="s">
        <v>2320</v>
      </c>
      <c r="K71" s="49" t="s">
        <v>2321</v>
      </c>
      <c r="L71" s="49" t="s">
        <v>2322</v>
      </c>
      <c r="M71" s="49" t="s">
        <v>2323</v>
      </c>
      <c r="N71" s="49" t="s">
        <v>2324</v>
      </c>
      <c r="O71" s="49" t="s">
        <v>4078</v>
      </c>
      <c r="P71" s="49" t="s">
        <v>4079</v>
      </c>
      <c r="Q71" s="49" t="s">
        <v>4080</v>
      </c>
      <c r="R71" s="49" t="s">
        <v>4081</v>
      </c>
      <c r="S71" s="49" t="s">
        <v>4082</v>
      </c>
      <c r="T71" s="49" t="s">
        <v>4083</v>
      </c>
    </row>
    <row r="72" spans="1:21" x14ac:dyDescent="0.2">
      <c r="A72" s="49" t="s">
        <v>30</v>
      </c>
    </row>
    <row r="73" spans="1:21" x14ac:dyDescent="0.2">
      <c r="A73" s="49" t="s">
        <v>30</v>
      </c>
      <c r="E73" s="49" t="s">
        <v>31</v>
      </c>
      <c r="F73" s="49" t="s">
        <v>31</v>
      </c>
      <c r="G73" s="49" t="s">
        <v>31</v>
      </c>
      <c r="J73" s="49" t="s">
        <v>31</v>
      </c>
      <c r="K73" s="49" t="s">
        <v>31</v>
      </c>
      <c r="L73" s="49" t="s">
        <v>31</v>
      </c>
      <c r="M73" s="49" t="s">
        <v>31</v>
      </c>
    </row>
    <row r="74" spans="1:21" x14ac:dyDescent="0.2">
      <c r="A74" s="49" t="s">
        <v>30</v>
      </c>
      <c r="D74" s="49" t="s">
        <v>2518</v>
      </c>
      <c r="E74" s="49" t="s">
        <v>5890</v>
      </c>
      <c r="F74" s="49" t="s">
        <v>2519</v>
      </c>
      <c r="H74" s="49" t="s">
        <v>2520</v>
      </c>
      <c r="O74" s="49" t="s">
        <v>13931</v>
      </c>
      <c r="P74" s="49" t="s">
        <v>13932</v>
      </c>
      <c r="Q74" s="49" t="s">
        <v>13933</v>
      </c>
      <c r="R74" s="49" t="s">
        <v>13934</v>
      </c>
      <c r="S74" s="49" t="s">
        <v>13935</v>
      </c>
      <c r="T74" s="49" t="s">
        <v>13936</v>
      </c>
      <c r="U74" s="49" t="s">
        <v>13937</v>
      </c>
    </row>
    <row r="75" spans="1:21" x14ac:dyDescent="0.2">
      <c r="A75" s="49" t="s">
        <v>30</v>
      </c>
      <c r="D75" s="49" t="s">
        <v>1867</v>
      </c>
      <c r="G75" s="49" t="s">
        <v>4546</v>
      </c>
      <c r="H75" s="49" t="s">
        <v>1868</v>
      </c>
      <c r="I75" s="49" t="s">
        <v>1869</v>
      </c>
      <c r="J75" s="49" t="s">
        <v>1870</v>
      </c>
      <c r="K75" s="49" t="s">
        <v>1871</v>
      </c>
      <c r="L75" s="49" t="s">
        <v>1872</v>
      </c>
      <c r="M75" s="49" t="s">
        <v>1873</v>
      </c>
      <c r="N75" s="49" t="s">
        <v>1874</v>
      </c>
      <c r="O75" s="49" t="s">
        <v>3985</v>
      </c>
      <c r="P75" s="49" t="s">
        <v>3986</v>
      </c>
      <c r="Q75" s="49" t="s">
        <v>3987</v>
      </c>
      <c r="R75" s="49" t="s">
        <v>3988</v>
      </c>
      <c r="S75" s="49" t="s">
        <v>3989</v>
      </c>
      <c r="T75" s="49" t="s">
        <v>3990</v>
      </c>
    </row>
    <row r="76" spans="1:21" x14ac:dyDescent="0.2">
      <c r="A76" s="49" t="s">
        <v>30</v>
      </c>
    </row>
    <row r="77" spans="1:21" x14ac:dyDescent="0.2">
      <c r="A77" s="49" t="s">
        <v>30</v>
      </c>
      <c r="E77" s="49" t="s">
        <v>31</v>
      </c>
      <c r="F77" s="49" t="s">
        <v>31</v>
      </c>
      <c r="G77" s="49" t="s">
        <v>31</v>
      </c>
      <c r="J77" s="49" t="s">
        <v>31</v>
      </c>
      <c r="K77" s="49" t="s">
        <v>31</v>
      </c>
      <c r="L77" s="49" t="s">
        <v>31</v>
      </c>
      <c r="M77" s="49" t="s">
        <v>31</v>
      </c>
    </row>
    <row r="78" spans="1:21" x14ac:dyDescent="0.2">
      <c r="A78" s="49" t="s">
        <v>30</v>
      </c>
      <c r="D78" s="49" t="s">
        <v>8884</v>
      </c>
      <c r="E78" s="49" t="s">
        <v>5985</v>
      </c>
      <c r="F78" s="49" t="s">
        <v>8885</v>
      </c>
      <c r="H78" s="49" t="s">
        <v>8886</v>
      </c>
      <c r="O78" s="49" t="s">
        <v>8887</v>
      </c>
      <c r="P78" s="49" t="s">
        <v>8888</v>
      </c>
      <c r="Q78" s="49" t="s">
        <v>8889</v>
      </c>
      <c r="R78" s="49" t="s">
        <v>8890</v>
      </c>
      <c r="S78" s="49" t="s">
        <v>8891</v>
      </c>
      <c r="T78" s="49" t="s">
        <v>8892</v>
      </c>
      <c r="U78" s="49" t="s">
        <v>8893</v>
      </c>
    </row>
    <row r="79" spans="1:21" x14ac:dyDescent="0.2">
      <c r="A79" s="49" t="s">
        <v>30</v>
      </c>
      <c r="D79" s="49" t="s">
        <v>1875</v>
      </c>
      <c r="G79" s="49" t="s">
        <v>8894</v>
      </c>
      <c r="H79" s="49" t="s">
        <v>1876</v>
      </c>
      <c r="I79" s="49" t="s">
        <v>1877</v>
      </c>
      <c r="J79" s="49" t="s">
        <v>1878</v>
      </c>
      <c r="K79" s="49" t="s">
        <v>1879</v>
      </c>
      <c r="L79" s="49" t="s">
        <v>1880</v>
      </c>
      <c r="M79" s="49" t="s">
        <v>1881</v>
      </c>
      <c r="N79" s="49" t="s">
        <v>1882</v>
      </c>
      <c r="O79" s="49" t="s">
        <v>3991</v>
      </c>
      <c r="P79" s="49" t="s">
        <v>3992</v>
      </c>
      <c r="Q79" s="49" t="s">
        <v>3993</v>
      </c>
      <c r="R79" s="49" t="s">
        <v>3994</v>
      </c>
      <c r="S79" s="49" t="s">
        <v>3995</v>
      </c>
      <c r="T79" s="49" t="s">
        <v>3996</v>
      </c>
    </row>
    <row r="80" spans="1:21" x14ac:dyDescent="0.2">
      <c r="A80" s="49" t="s">
        <v>30</v>
      </c>
    </row>
    <row r="81" spans="1:21" x14ac:dyDescent="0.2">
      <c r="A81" s="49" t="s">
        <v>30</v>
      </c>
      <c r="E81" s="49" t="s">
        <v>31</v>
      </c>
      <c r="F81" s="49" t="s">
        <v>31</v>
      </c>
      <c r="G81" s="49" t="s">
        <v>31</v>
      </c>
      <c r="J81" s="49" t="s">
        <v>31</v>
      </c>
      <c r="K81" s="49" t="s">
        <v>31</v>
      </c>
      <c r="L81" s="49" t="s">
        <v>31</v>
      </c>
      <c r="M81" s="49" t="s">
        <v>31</v>
      </c>
    </row>
    <row r="82" spans="1:21" x14ac:dyDescent="0.2">
      <c r="A82" s="49" t="s">
        <v>30</v>
      </c>
      <c r="D82" s="49" t="s">
        <v>2771</v>
      </c>
      <c r="E82" s="49" t="s">
        <v>6114</v>
      </c>
      <c r="F82" s="49" t="s">
        <v>2772</v>
      </c>
      <c r="H82" s="49" t="s">
        <v>2773</v>
      </c>
      <c r="O82" s="49" t="s">
        <v>8895</v>
      </c>
      <c r="P82" s="49" t="s">
        <v>8896</v>
      </c>
      <c r="Q82" s="49" t="s">
        <v>8897</v>
      </c>
      <c r="R82" s="49" t="s">
        <v>8898</v>
      </c>
      <c r="S82" s="49" t="s">
        <v>8899</v>
      </c>
      <c r="T82" s="49" t="s">
        <v>8900</v>
      </c>
      <c r="U82" s="49" t="s">
        <v>8901</v>
      </c>
    </row>
    <row r="83" spans="1:21" x14ac:dyDescent="0.2">
      <c r="A83" s="49" t="s">
        <v>30</v>
      </c>
      <c r="D83" s="49" t="s">
        <v>345</v>
      </c>
      <c r="G83" s="49" t="s">
        <v>4328</v>
      </c>
      <c r="H83" s="49" t="s">
        <v>346</v>
      </c>
      <c r="I83" s="49" t="s">
        <v>347</v>
      </c>
      <c r="J83" s="49" t="s">
        <v>348</v>
      </c>
      <c r="K83" s="49" t="s">
        <v>349</v>
      </c>
      <c r="L83" s="49" t="s">
        <v>350</v>
      </c>
      <c r="M83" s="49" t="s">
        <v>351</v>
      </c>
      <c r="N83" s="49" t="s">
        <v>352</v>
      </c>
      <c r="O83" s="49" t="s">
        <v>3659</v>
      </c>
      <c r="P83" s="49" t="s">
        <v>3660</v>
      </c>
      <c r="Q83" s="49" t="s">
        <v>3661</v>
      </c>
      <c r="R83" s="49" t="s">
        <v>3662</v>
      </c>
      <c r="S83" s="49" t="s">
        <v>3663</v>
      </c>
      <c r="T83" s="49" t="s">
        <v>3664</v>
      </c>
    </row>
    <row r="84" spans="1:21" x14ac:dyDescent="0.2">
      <c r="A84" s="49" t="s">
        <v>30</v>
      </c>
    </row>
    <row r="85" spans="1:21" x14ac:dyDescent="0.2">
      <c r="A85" s="49" t="s">
        <v>30</v>
      </c>
      <c r="E85" s="49" t="s">
        <v>31</v>
      </c>
      <c r="F85" s="49" t="s">
        <v>31</v>
      </c>
      <c r="G85" s="49" t="s">
        <v>31</v>
      </c>
      <c r="J85" s="49" t="s">
        <v>31</v>
      </c>
      <c r="K85" s="49" t="s">
        <v>31</v>
      </c>
      <c r="L85" s="49" t="s">
        <v>31</v>
      </c>
      <c r="M85" s="49" t="s">
        <v>31</v>
      </c>
    </row>
    <row r="86" spans="1:21" x14ac:dyDescent="0.2">
      <c r="A86" s="49" t="s">
        <v>30</v>
      </c>
      <c r="D86" s="49" t="s">
        <v>2774</v>
      </c>
      <c r="E86" s="49" t="s">
        <v>6242</v>
      </c>
      <c r="F86" s="49" t="s">
        <v>2775</v>
      </c>
      <c r="H86" s="49" t="s">
        <v>2776</v>
      </c>
      <c r="O86" s="49" t="s">
        <v>34741</v>
      </c>
      <c r="P86" s="49" t="s">
        <v>34742</v>
      </c>
      <c r="Q86" s="49" t="s">
        <v>34743</v>
      </c>
      <c r="R86" s="49" t="s">
        <v>34744</v>
      </c>
      <c r="S86" s="49" t="s">
        <v>34745</v>
      </c>
      <c r="T86" s="49" t="s">
        <v>34746</v>
      </c>
      <c r="U86" s="49" t="s">
        <v>34747</v>
      </c>
    </row>
    <row r="87" spans="1:21" x14ac:dyDescent="0.2">
      <c r="A87" s="49" t="s">
        <v>30</v>
      </c>
      <c r="D87" s="49" t="s">
        <v>2559</v>
      </c>
      <c r="G87" s="49" t="s">
        <v>3665</v>
      </c>
      <c r="H87" s="49" t="s">
        <v>2560</v>
      </c>
      <c r="I87" s="49" t="s">
        <v>2561</v>
      </c>
      <c r="J87" s="49" t="s">
        <v>2562</v>
      </c>
      <c r="K87" s="49" t="s">
        <v>2563</v>
      </c>
      <c r="L87" s="49" t="s">
        <v>2564</v>
      </c>
      <c r="M87" s="49" t="s">
        <v>2565</v>
      </c>
      <c r="N87" s="49" t="s">
        <v>2566</v>
      </c>
      <c r="O87" s="49" t="s">
        <v>3666</v>
      </c>
      <c r="P87" s="49" t="s">
        <v>3667</v>
      </c>
      <c r="Q87" s="49" t="s">
        <v>3668</v>
      </c>
      <c r="R87" s="49" t="s">
        <v>3669</v>
      </c>
      <c r="S87" s="49" t="s">
        <v>3670</v>
      </c>
      <c r="T87" s="49" t="s">
        <v>3671</v>
      </c>
    </row>
    <row r="88" spans="1:21" x14ac:dyDescent="0.2">
      <c r="A88" s="49" t="s">
        <v>30</v>
      </c>
    </row>
    <row r="89" spans="1:21" x14ac:dyDescent="0.2">
      <c r="A89" s="49" t="s">
        <v>30</v>
      </c>
      <c r="E89" s="49" t="s">
        <v>31</v>
      </c>
      <c r="F89" s="49" t="s">
        <v>31</v>
      </c>
      <c r="G89" s="49" t="s">
        <v>31</v>
      </c>
      <c r="J89" s="49" t="s">
        <v>31</v>
      </c>
      <c r="K89" s="49" t="s">
        <v>31</v>
      </c>
      <c r="L89" s="49" t="s">
        <v>31</v>
      </c>
      <c r="M89" s="49" t="s">
        <v>31</v>
      </c>
    </row>
    <row r="90" spans="1:21" x14ac:dyDescent="0.2">
      <c r="A90" s="49" t="s">
        <v>30</v>
      </c>
      <c r="D90" s="49" t="s">
        <v>34748</v>
      </c>
      <c r="E90" s="49" t="s">
        <v>6351</v>
      </c>
      <c r="F90" s="49" t="s">
        <v>34749</v>
      </c>
      <c r="H90" s="49" t="s">
        <v>34750</v>
      </c>
      <c r="O90" s="49" t="s">
        <v>34751</v>
      </c>
      <c r="P90" s="49" t="s">
        <v>34752</v>
      </c>
      <c r="Q90" s="49" t="s">
        <v>34753</v>
      </c>
      <c r="R90" s="49" t="s">
        <v>34754</v>
      </c>
      <c r="S90" s="49" t="s">
        <v>34755</v>
      </c>
      <c r="T90" s="49" t="s">
        <v>34756</v>
      </c>
      <c r="U90" s="49" t="s">
        <v>34757</v>
      </c>
    </row>
    <row r="91" spans="1:21" x14ac:dyDescent="0.2">
      <c r="A91" s="49" t="s">
        <v>30</v>
      </c>
      <c r="D91" s="49" t="s">
        <v>380</v>
      </c>
      <c r="G91" s="49" t="s">
        <v>34758</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row>
    <row r="93" spans="1:21" x14ac:dyDescent="0.2">
      <c r="A93" s="49" t="s">
        <v>30</v>
      </c>
      <c r="E93" s="49" t="s">
        <v>31</v>
      </c>
      <c r="F93" s="49" t="s">
        <v>31</v>
      </c>
      <c r="G93" s="49" t="s">
        <v>31</v>
      </c>
      <c r="J93" s="49" t="s">
        <v>31</v>
      </c>
      <c r="K93" s="49" t="s">
        <v>31</v>
      </c>
      <c r="L93" s="49" t="s">
        <v>31</v>
      </c>
      <c r="M93" s="49" t="s">
        <v>31</v>
      </c>
    </row>
    <row r="94" spans="1:21" x14ac:dyDescent="0.2">
      <c r="A94" s="49" t="s">
        <v>30</v>
      </c>
      <c r="D94" s="49" t="s">
        <v>9423</v>
      </c>
      <c r="E94" s="49" t="s">
        <v>6666</v>
      </c>
      <c r="F94" s="49" t="s">
        <v>9424</v>
      </c>
      <c r="H94" s="49" t="s">
        <v>9425</v>
      </c>
      <c r="O94" s="49" t="s">
        <v>10630</v>
      </c>
      <c r="P94" s="49" t="s">
        <v>10631</v>
      </c>
      <c r="Q94" s="49" t="s">
        <v>10632</v>
      </c>
      <c r="R94" s="49" t="s">
        <v>10633</v>
      </c>
      <c r="S94" s="49" t="s">
        <v>10634</v>
      </c>
      <c r="T94" s="49" t="s">
        <v>10635</v>
      </c>
      <c r="U94" s="49" t="s">
        <v>10636</v>
      </c>
    </row>
    <row r="95" spans="1:21" x14ac:dyDescent="0.2">
      <c r="A95" s="49" t="s">
        <v>30</v>
      </c>
      <c r="D95" s="49" t="s">
        <v>9426</v>
      </c>
      <c r="G95" s="49" t="s">
        <v>9427</v>
      </c>
      <c r="H95" s="49" t="s">
        <v>9428</v>
      </c>
      <c r="I95" s="49" t="s">
        <v>9429</v>
      </c>
      <c r="J95" s="49" t="s">
        <v>9430</v>
      </c>
      <c r="K95" s="49" t="s">
        <v>9431</v>
      </c>
      <c r="L95" s="49" t="s">
        <v>9432</v>
      </c>
      <c r="M95" s="49" t="s">
        <v>9433</v>
      </c>
      <c r="N95" s="49" t="s">
        <v>9434</v>
      </c>
      <c r="O95" s="49" t="s">
        <v>9435</v>
      </c>
      <c r="P95" s="49" t="s">
        <v>9436</v>
      </c>
      <c r="Q95" s="49" t="s">
        <v>9437</v>
      </c>
      <c r="R95" s="49" t="s">
        <v>9438</v>
      </c>
      <c r="S95" s="49" t="s">
        <v>9439</v>
      </c>
      <c r="T95" s="49" t="s">
        <v>9440</v>
      </c>
    </row>
    <row r="96" spans="1:21" x14ac:dyDescent="0.2">
      <c r="A96" s="49" t="s">
        <v>30</v>
      </c>
    </row>
    <row r="97" spans="1:21" x14ac:dyDescent="0.2">
      <c r="A97" s="49" t="s">
        <v>30</v>
      </c>
      <c r="E97" s="49" t="s">
        <v>31</v>
      </c>
      <c r="F97" s="49" t="s">
        <v>31</v>
      </c>
      <c r="G97" s="49" t="s">
        <v>31</v>
      </c>
      <c r="J97" s="49" t="s">
        <v>31</v>
      </c>
      <c r="K97" s="49" t="s">
        <v>31</v>
      </c>
      <c r="L97" s="49" t="s">
        <v>31</v>
      </c>
      <c r="M97" s="49" t="s">
        <v>31</v>
      </c>
    </row>
    <row r="98" spans="1:21" x14ac:dyDescent="0.2">
      <c r="A98" s="49" t="s">
        <v>30</v>
      </c>
      <c r="D98" s="49" t="s">
        <v>10637</v>
      </c>
      <c r="E98" s="49" t="s">
        <v>6803</v>
      </c>
      <c r="F98" s="49" t="s">
        <v>10638</v>
      </c>
      <c r="H98" s="49" t="s">
        <v>10639</v>
      </c>
      <c r="O98" s="49" t="s">
        <v>13058</v>
      </c>
      <c r="P98" s="49" t="s">
        <v>13059</v>
      </c>
      <c r="Q98" s="49" t="s">
        <v>13060</v>
      </c>
      <c r="R98" s="49" t="s">
        <v>13061</v>
      </c>
      <c r="S98" s="49" t="s">
        <v>13062</v>
      </c>
      <c r="T98" s="49" t="s">
        <v>13063</v>
      </c>
      <c r="U98" s="49" t="s">
        <v>13064</v>
      </c>
    </row>
    <row r="99" spans="1:21" x14ac:dyDescent="0.2">
      <c r="A99" s="49" t="s">
        <v>30</v>
      </c>
      <c r="D99" s="49" t="s">
        <v>2333</v>
      </c>
      <c r="G99" s="49" t="s">
        <v>10640</v>
      </c>
      <c r="H99" s="49" t="s">
        <v>2334</v>
      </c>
      <c r="I99" s="49" t="s">
        <v>2335</v>
      </c>
      <c r="J99" s="49" t="s">
        <v>2336</v>
      </c>
      <c r="K99" s="49" t="s">
        <v>2337</v>
      </c>
      <c r="L99" s="49" t="s">
        <v>2338</v>
      </c>
      <c r="M99" s="49" t="s">
        <v>2339</v>
      </c>
      <c r="N99" s="49" t="s">
        <v>2340</v>
      </c>
      <c r="O99" s="49" t="s">
        <v>4103</v>
      </c>
      <c r="P99" s="49" t="s">
        <v>4104</v>
      </c>
      <c r="Q99" s="49" t="s">
        <v>4105</v>
      </c>
      <c r="R99" s="49" t="s">
        <v>4106</v>
      </c>
      <c r="S99" s="49" t="s">
        <v>4107</v>
      </c>
      <c r="T99" s="49" t="s">
        <v>4108</v>
      </c>
    </row>
    <row r="100" spans="1:21" x14ac:dyDescent="0.2">
      <c r="A100" s="49" t="s">
        <v>30</v>
      </c>
      <c r="D100" s="49" t="s">
        <v>2802</v>
      </c>
      <c r="G100" s="49" t="s">
        <v>16810</v>
      </c>
      <c r="H100" s="49" t="s">
        <v>2803</v>
      </c>
      <c r="I100" s="49" t="s">
        <v>2804</v>
      </c>
      <c r="J100" s="49" t="s">
        <v>2805</v>
      </c>
      <c r="K100" s="49" t="s">
        <v>2806</v>
      </c>
      <c r="L100" s="49" t="s">
        <v>2807</v>
      </c>
      <c r="M100" s="49" t="s">
        <v>2808</v>
      </c>
      <c r="N100" s="49" t="s">
        <v>2809</v>
      </c>
      <c r="O100" s="49" t="s">
        <v>4354</v>
      </c>
      <c r="P100" s="49" t="s">
        <v>4355</v>
      </c>
      <c r="Q100" s="49" t="s">
        <v>4356</v>
      </c>
      <c r="R100" s="49" t="s">
        <v>4357</v>
      </c>
      <c r="S100" s="49" t="s">
        <v>4358</v>
      </c>
      <c r="T100" s="49" t="s">
        <v>4359</v>
      </c>
    </row>
    <row r="101" spans="1:21" x14ac:dyDescent="0.2">
      <c r="A101" s="49" t="s">
        <v>30</v>
      </c>
    </row>
    <row r="102" spans="1:21" x14ac:dyDescent="0.2">
      <c r="A102" s="49" t="s">
        <v>30</v>
      </c>
      <c r="E102" s="49" t="s">
        <v>31</v>
      </c>
      <c r="F102" s="49" t="s">
        <v>31</v>
      </c>
      <c r="G102" s="49" t="s">
        <v>31</v>
      </c>
      <c r="J102" s="49" t="s">
        <v>31</v>
      </c>
      <c r="K102" s="49" t="s">
        <v>31</v>
      </c>
      <c r="L102" s="49" t="s">
        <v>31</v>
      </c>
      <c r="M102" s="49" t="s">
        <v>31</v>
      </c>
    </row>
    <row r="103" spans="1:21" x14ac:dyDescent="0.2">
      <c r="A103" s="49" t="s">
        <v>30</v>
      </c>
      <c r="D103" s="49" t="s">
        <v>10586</v>
      </c>
      <c r="E103" s="49" t="s">
        <v>7180</v>
      </c>
      <c r="F103" s="49" t="s">
        <v>10587</v>
      </c>
      <c r="H103" s="49" t="s">
        <v>10588</v>
      </c>
      <c r="O103" s="49" t="s">
        <v>10589</v>
      </c>
      <c r="P103" s="49" t="s">
        <v>10590</v>
      </c>
      <c r="Q103" s="49" t="s">
        <v>10591</v>
      </c>
      <c r="R103" s="49" t="s">
        <v>10592</v>
      </c>
      <c r="S103" s="49" t="s">
        <v>10593</v>
      </c>
      <c r="T103" s="49" t="s">
        <v>10594</v>
      </c>
      <c r="U103" s="49" t="s">
        <v>10595</v>
      </c>
    </row>
    <row r="104" spans="1:21" x14ac:dyDescent="0.2">
      <c r="A104" s="49" t="s">
        <v>30</v>
      </c>
      <c r="D104" s="49" t="s">
        <v>2341</v>
      </c>
      <c r="G104" s="49" t="s">
        <v>10596</v>
      </c>
      <c r="H104" s="49" t="s">
        <v>2342</v>
      </c>
      <c r="I104" s="49" t="s">
        <v>2343</v>
      </c>
      <c r="J104" s="49" t="s">
        <v>2344</v>
      </c>
      <c r="K104" s="49" t="s">
        <v>2345</v>
      </c>
      <c r="L104" s="49" t="s">
        <v>2346</v>
      </c>
      <c r="M104" s="49" t="s">
        <v>2347</v>
      </c>
      <c r="N104" s="49" t="s">
        <v>2348</v>
      </c>
      <c r="O104" s="49" t="s">
        <v>4366</v>
      </c>
      <c r="P104" s="49" t="s">
        <v>4367</v>
      </c>
      <c r="Q104" s="49" t="s">
        <v>4368</v>
      </c>
      <c r="R104" s="49" t="s">
        <v>4369</v>
      </c>
      <c r="S104" s="49" t="s">
        <v>4370</v>
      </c>
      <c r="T104" s="49" t="s">
        <v>4371</v>
      </c>
    </row>
    <row r="105" spans="1:21" x14ac:dyDescent="0.2">
      <c r="A105" s="49" t="s">
        <v>30</v>
      </c>
    </row>
    <row r="106" spans="1:21" x14ac:dyDescent="0.2">
      <c r="A106" s="49" t="s">
        <v>30</v>
      </c>
      <c r="E106" s="49" t="s">
        <v>31</v>
      </c>
      <c r="F106" s="49" t="s">
        <v>31</v>
      </c>
      <c r="G106" s="49" t="s">
        <v>31</v>
      </c>
      <c r="J106" s="49" t="s">
        <v>31</v>
      </c>
      <c r="K106" s="49" t="s">
        <v>31</v>
      </c>
      <c r="L106" s="49" t="s">
        <v>31</v>
      </c>
      <c r="M106" s="49" t="s">
        <v>31</v>
      </c>
    </row>
    <row r="107" spans="1:21" x14ac:dyDescent="0.2">
      <c r="A107" s="49" t="s">
        <v>30</v>
      </c>
      <c r="D107" s="49" t="s">
        <v>10308</v>
      </c>
      <c r="E107" s="49" t="s">
        <v>7328</v>
      </c>
      <c r="F107" s="49" t="s">
        <v>10309</v>
      </c>
      <c r="H107" s="49" t="s">
        <v>10310</v>
      </c>
      <c r="O107" s="49" t="s">
        <v>10311</v>
      </c>
      <c r="P107" s="49" t="s">
        <v>10312</v>
      </c>
      <c r="Q107" s="49" t="s">
        <v>10313</v>
      </c>
      <c r="R107" s="49" t="s">
        <v>10314</v>
      </c>
      <c r="S107" s="49" t="s">
        <v>10315</v>
      </c>
      <c r="T107" s="49" t="s">
        <v>10316</v>
      </c>
      <c r="U107" s="49" t="s">
        <v>10317</v>
      </c>
    </row>
    <row r="108" spans="1:21" x14ac:dyDescent="0.2">
      <c r="A108" s="49" t="s">
        <v>30</v>
      </c>
      <c r="D108" s="49" t="s">
        <v>439</v>
      </c>
      <c r="G108" s="49" t="s">
        <v>10318</v>
      </c>
      <c r="H108" s="49" t="s">
        <v>440</v>
      </c>
      <c r="I108" s="49" t="s">
        <v>441</v>
      </c>
      <c r="J108" s="49" t="s">
        <v>442</v>
      </c>
      <c r="K108" s="49" t="s">
        <v>443</v>
      </c>
      <c r="L108" s="49" t="s">
        <v>444</v>
      </c>
      <c r="M108" s="49" t="s">
        <v>445</v>
      </c>
      <c r="N108" s="49" t="s">
        <v>446</v>
      </c>
      <c r="O108" s="49" t="s">
        <v>3716</v>
      </c>
      <c r="P108" s="49" t="s">
        <v>3717</v>
      </c>
      <c r="Q108" s="49" t="s">
        <v>3718</v>
      </c>
      <c r="R108" s="49" t="s">
        <v>3719</v>
      </c>
      <c r="S108" s="49" t="s">
        <v>3720</v>
      </c>
      <c r="T108" s="49" t="s">
        <v>3721</v>
      </c>
    </row>
    <row r="109" spans="1:21" x14ac:dyDescent="0.2">
      <c r="A109" s="49" t="s">
        <v>30</v>
      </c>
    </row>
    <row r="110" spans="1:21" x14ac:dyDescent="0.2">
      <c r="A110" s="49" t="s">
        <v>30</v>
      </c>
      <c r="E110" s="49" t="s">
        <v>31</v>
      </c>
      <c r="F110" s="49" t="s">
        <v>31</v>
      </c>
      <c r="G110" s="49" t="s">
        <v>31</v>
      </c>
      <c r="J110" s="49" t="s">
        <v>31</v>
      </c>
      <c r="K110" s="49" t="s">
        <v>31</v>
      </c>
      <c r="L110" s="49" t="s">
        <v>31</v>
      </c>
      <c r="M110" s="49" t="s">
        <v>31</v>
      </c>
    </row>
    <row r="111" spans="1:21" x14ac:dyDescent="0.2">
      <c r="A111" s="49" t="s">
        <v>30</v>
      </c>
      <c r="D111" s="49" t="s">
        <v>9441</v>
      </c>
      <c r="E111" s="49" t="s">
        <v>7358</v>
      </c>
      <c r="F111" s="49" t="s">
        <v>9442</v>
      </c>
      <c r="H111" s="49" t="s">
        <v>9443</v>
      </c>
      <c r="O111" s="49" t="s">
        <v>9444</v>
      </c>
      <c r="P111" s="49" t="s">
        <v>9445</v>
      </c>
      <c r="Q111" s="49" t="s">
        <v>9446</v>
      </c>
      <c r="R111" s="49" t="s">
        <v>9447</v>
      </c>
      <c r="S111" s="49" t="s">
        <v>9448</v>
      </c>
      <c r="T111" s="49" t="s">
        <v>9449</v>
      </c>
      <c r="U111" s="49" t="s">
        <v>9450</v>
      </c>
    </row>
    <row r="112" spans="1:21" x14ac:dyDescent="0.2">
      <c r="A112" s="49" t="s">
        <v>30</v>
      </c>
      <c r="D112" s="49" t="s">
        <v>447</v>
      </c>
      <c r="G112" s="49" t="s">
        <v>9451</v>
      </c>
      <c r="H112" s="49" t="s">
        <v>448</v>
      </c>
      <c r="I112" s="49" t="s">
        <v>449</v>
      </c>
      <c r="J112" s="49" t="s">
        <v>450</v>
      </c>
      <c r="K112" s="49" t="s">
        <v>451</v>
      </c>
      <c r="L112" s="49" t="s">
        <v>452</v>
      </c>
      <c r="M112" s="49" t="s">
        <v>453</v>
      </c>
      <c r="N112" s="49" t="s">
        <v>454</v>
      </c>
      <c r="O112" s="49" t="s">
        <v>3927</v>
      </c>
      <c r="P112" s="49" t="s">
        <v>3928</v>
      </c>
      <c r="Q112" s="49" t="s">
        <v>3929</v>
      </c>
      <c r="R112" s="49" t="s">
        <v>3930</v>
      </c>
      <c r="S112" s="49" t="s">
        <v>3931</v>
      </c>
      <c r="T112" s="49" t="s">
        <v>3932</v>
      </c>
    </row>
    <row r="113" spans="1:21" x14ac:dyDescent="0.2">
      <c r="A113" s="49" t="s">
        <v>30</v>
      </c>
    </row>
    <row r="114" spans="1:21" x14ac:dyDescent="0.2">
      <c r="A114" s="49" t="s">
        <v>30</v>
      </c>
      <c r="E114" s="49" t="s">
        <v>31</v>
      </c>
      <c r="F114" s="49" t="s">
        <v>31</v>
      </c>
      <c r="G114" s="49" t="s">
        <v>31</v>
      </c>
      <c r="J114" s="49" t="s">
        <v>31</v>
      </c>
      <c r="K114" s="49" t="s">
        <v>31</v>
      </c>
      <c r="L114" s="49" t="s">
        <v>31</v>
      </c>
      <c r="M114" s="49" t="s">
        <v>31</v>
      </c>
    </row>
    <row r="115" spans="1:21" x14ac:dyDescent="0.2">
      <c r="A115" s="49" t="s">
        <v>30</v>
      </c>
      <c r="D115" s="49" t="s">
        <v>2810</v>
      </c>
      <c r="E115" s="49" t="s">
        <v>7373</v>
      </c>
      <c r="F115" s="49" t="s">
        <v>2811</v>
      </c>
      <c r="H115" s="49" t="s">
        <v>2812</v>
      </c>
      <c r="O115" s="49" t="s">
        <v>34759</v>
      </c>
      <c r="P115" s="49" t="s">
        <v>34760</v>
      </c>
      <c r="Q115" s="49" t="s">
        <v>34761</v>
      </c>
      <c r="R115" s="49" t="s">
        <v>34762</v>
      </c>
      <c r="S115" s="49" t="s">
        <v>34763</v>
      </c>
      <c r="T115" s="49" t="s">
        <v>34764</v>
      </c>
      <c r="U115" s="49" t="s">
        <v>34765</v>
      </c>
    </row>
    <row r="116" spans="1:21" x14ac:dyDescent="0.2">
      <c r="A116" s="49" t="s">
        <v>30</v>
      </c>
      <c r="D116" s="49" t="s">
        <v>2777</v>
      </c>
      <c r="G116" s="49" t="s">
        <v>3933</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c r="D117" s="49" t="s">
        <v>1737</v>
      </c>
      <c r="G117" s="49" t="s">
        <v>17650</v>
      </c>
      <c r="H117" s="49" t="s">
        <v>1738</v>
      </c>
      <c r="I117" s="49" t="s">
        <v>1739</v>
      </c>
      <c r="J117" s="49" t="s">
        <v>1740</v>
      </c>
      <c r="K117" s="49" t="s">
        <v>1741</v>
      </c>
      <c r="L117" s="49" t="s">
        <v>1742</v>
      </c>
      <c r="M117" s="49" t="s">
        <v>1743</v>
      </c>
      <c r="N117" s="49" t="s">
        <v>1744</v>
      </c>
      <c r="O117" s="49" t="s">
        <v>3934</v>
      </c>
      <c r="P117" s="49" t="s">
        <v>3935</v>
      </c>
      <c r="Q117" s="49" t="s">
        <v>3936</v>
      </c>
      <c r="R117" s="49" t="s">
        <v>3937</v>
      </c>
      <c r="S117" s="49" t="s">
        <v>3938</v>
      </c>
      <c r="T117" s="49" t="s">
        <v>3939</v>
      </c>
    </row>
    <row r="118" spans="1:21" x14ac:dyDescent="0.2">
      <c r="A118" s="49" t="s">
        <v>30</v>
      </c>
    </row>
    <row r="119" spans="1:21" x14ac:dyDescent="0.2">
      <c r="A119" s="49" t="s">
        <v>30</v>
      </c>
      <c r="E119" s="49" t="s">
        <v>31</v>
      </c>
      <c r="F119" s="49" t="s">
        <v>31</v>
      </c>
      <c r="G119" s="49" t="s">
        <v>31</v>
      </c>
      <c r="J119" s="49" t="s">
        <v>31</v>
      </c>
      <c r="K119" s="49" t="s">
        <v>31</v>
      </c>
      <c r="L119" s="49" t="s">
        <v>31</v>
      </c>
      <c r="M119" s="49" t="s">
        <v>31</v>
      </c>
    </row>
    <row r="120" spans="1:21" x14ac:dyDescent="0.2">
      <c r="A120" s="49" t="s">
        <v>30</v>
      </c>
      <c r="D120" s="49" t="s">
        <v>8903</v>
      </c>
      <c r="E120" s="49" t="s">
        <v>7374</v>
      </c>
      <c r="F120" s="49" t="s">
        <v>8904</v>
      </c>
      <c r="H120" s="49" t="s">
        <v>8905</v>
      </c>
      <c r="O120" s="49" t="s">
        <v>13379</v>
      </c>
      <c r="P120" s="49" t="s">
        <v>13380</v>
      </c>
      <c r="Q120" s="49" t="s">
        <v>13381</v>
      </c>
      <c r="R120" s="49" t="s">
        <v>13382</v>
      </c>
      <c r="S120" s="49" t="s">
        <v>13383</v>
      </c>
      <c r="T120" s="49" t="s">
        <v>13384</v>
      </c>
      <c r="U120" s="49" t="s">
        <v>13385</v>
      </c>
    </row>
    <row r="121" spans="1:21" x14ac:dyDescent="0.2">
      <c r="A121" s="49" t="s">
        <v>30</v>
      </c>
      <c r="D121" s="49" t="s">
        <v>487</v>
      </c>
      <c r="G121" s="49" t="s">
        <v>8906</v>
      </c>
      <c r="H121" s="49" t="s">
        <v>488</v>
      </c>
      <c r="I121" s="49" t="s">
        <v>489</v>
      </c>
      <c r="J121" s="49" t="s">
        <v>490</v>
      </c>
      <c r="K121" s="49" t="s">
        <v>491</v>
      </c>
      <c r="L121" s="49" t="s">
        <v>492</v>
      </c>
      <c r="M121" s="49" t="s">
        <v>493</v>
      </c>
      <c r="N121" s="49" t="s">
        <v>494</v>
      </c>
      <c r="O121" s="49" t="s">
        <v>3747</v>
      </c>
      <c r="P121" s="49" t="s">
        <v>3748</v>
      </c>
      <c r="Q121" s="49" t="s">
        <v>3749</v>
      </c>
      <c r="R121" s="49" t="s">
        <v>3750</v>
      </c>
      <c r="S121" s="49" t="s">
        <v>3751</v>
      </c>
      <c r="T121" s="49" t="s">
        <v>3752</v>
      </c>
    </row>
    <row r="122" spans="1:21" x14ac:dyDescent="0.2">
      <c r="A122" s="49" t="s">
        <v>30</v>
      </c>
      <c r="D122" s="49" t="s">
        <v>495</v>
      </c>
      <c r="G122" s="49" t="s">
        <v>17690</v>
      </c>
      <c r="H122" s="49" t="s">
        <v>496</v>
      </c>
      <c r="I122" s="49" t="s">
        <v>497</v>
      </c>
      <c r="J122" s="49" t="s">
        <v>498</v>
      </c>
      <c r="K122" s="49" t="s">
        <v>499</v>
      </c>
      <c r="L122" s="49" t="s">
        <v>500</v>
      </c>
      <c r="M122" s="49" t="s">
        <v>501</v>
      </c>
      <c r="N122" s="49" t="s">
        <v>502</v>
      </c>
      <c r="O122" s="49" t="s">
        <v>3492</v>
      </c>
      <c r="P122" s="49" t="s">
        <v>3493</v>
      </c>
      <c r="Q122" s="49" t="s">
        <v>3494</v>
      </c>
      <c r="R122" s="49" t="s">
        <v>3495</v>
      </c>
      <c r="S122" s="49" t="s">
        <v>3496</v>
      </c>
      <c r="T122" s="49" t="s">
        <v>3497</v>
      </c>
    </row>
    <row r="123" spans="1:21" x14ac:dyDescent="0.2">
      <c r="A123" s="49" t="s">
        <v>30</v>
      </c>
    </row>
    <row r="124" spans="1:21" x14ac:dyDescent="0.2">
      <c r="A124" s="49" t="s">
        <v>30</v>
      </c>
      <c r="E124" s="49" t="s">
        <v>31</v>
      </c>
      <c r="F124" s="49" t="s">
        <v>31</v>
      </c>
      <c r="G124" s="49" t="s">
        <v>31</v>
      </c>
      <c r="J124" s="49" t="s">
        <v>31</v>
      </c>
      <c r="K124" s="49" t="s">
        <v>31</v>
      </c>
      <c r="L124" s="49" t="s">
        <v>31</v>
      </c>
      <c r="M124" s="49" t="s">
        <v>31</v>
      </c>
    </row>
    <row r="125" spans="1:21" x14ac:dyDescent="0.2">
      <c r="A125" s="49" t="s">
        <v>30</v>
      </c>
      <c r="D125" s="49" t="s">
        <v>13386</v>
      </c>
      <c r="E125" s="49" t="s">
        <v>7447</v>
      </c>
      <c r="F125" s="49" t="s">
        <v>13387</v>
      </c>
      <c r="H125" s="49" t="s">
        <v>13388</v>
      </c>
      <c r="O125" s="49" t="s">
        <v>13779</v>
      </c>
      <c r="P125" s="49" t="s">
        <v>13780</v>
      </c>
      <c r="Q125" s="49" t="s">
        <v>13781</v>
      </c>
      <c r="R125" s="49" t="s">
        <v>13782</v>
      </c>
      <c r="S125" s="49" t="s">
        <v>13783</v>
      </c>
      <c r="T125" s="49" t="s">
        <v>13784</v>
      </c>
      <c r="U125" s="49" t="s">
        <v>13785</v>
      </c>
    </row>
    <row r="126" spans="1:21" x14ac:dyDescent="0.2">
      <c r="A126" s="49" t="s">
        <v>30</v>
      </c>
      <c r="D126" s="49" t="s">
        <v>1945</v>
      </c>
      <c r="G126" s="49" t="s">
        <v>13389</v>
      </c>
      <c r="H126" s="49" t="s">
        <v>1946</v>
      </c>
      <c r="I126" s="49" t="s">
        <v>1947</v>
      </c>
      <c r="J126" s="49" t="s">
        <v>1948</v>
      </c>
      <c r="K126" s="49" t="s">
        <v>1949</v>
      </c>
      <c r="L126" s="49" t="s">
        <v>1950</v>
      </c>
      <c r="M126" s="49" t="s">
        <v>1951</v>
      </c>
      <c r="N126" s="49" t="s">
        <v>1952</v>
      </c>
      <c r="O126" s="49" t="s">
        <v>13390</v>
      </c>
      <c r="P126" s="49" t="s">
        <v>13391</v>
      </c>
      <c r="Q126" s="49" t="s">
        <v>13392</v>
      </c>
      <c r="R126" s="49" t="s">
        <v>13393</v>
      </c>
      <c r="S126" s="49" t="s">
        <v>13394</v>
      </c>
      <c r="T126" s="49" t="s">
        <v>13395</v>
      </c>
    </row>
    <row r="127" spans="1:21" x14ac:dyDescent="0.2">
      <c r="A127" s="49" t="s">
        <v>30</v>
      </c>
    </row>
    <row r="128" spans="1:21" x14ac:dyDescent="0.2">
      <c r="A128" s="49" t="s">
        <v>30</v>
      </c>
      <c r="E128" s="49" t="s">
        <v>31</v>
      </c>
      <c r="F128" s="49" t="s">
        <v>31</v>
      </c>
      <c r="G128" s="49" t="s">
        <v>31</v>
      </c>
      <c r="J128" s="49" t="s">
        <v>31</v>
      </c>
      <c r="K128" s="49" t="s">
        <v>31</v>
      </c>
      <c r="L128" s="49" t="s">
        <v>31</v>
      </c>
      <c r="M128" s="49" t="s">
        <v>31</v>
      </c>
    </row>
    <row r="129" spans="1:21" x14ac:dyDescent="0.2">
      <c r="A129" s="49" t="s">
        <v>30</v>
      </c>
      <c r="D129" s="49" t="s">
        <v>2653</v>
      </c>
      <c r="E129" s="49" t="s">
        <v>7530</v>
      </c>
      <c r="F129" s="49" t="s">
        <v>2654</v>
      </c>
      <c r="H129" s="49" t="s">
        <v>2655</v>
      </c>
      <c r="O129" s="49" t="s">
        <v>13786</v>
      </c>
      <c r="P129" s="49" t="s">
        <v>13787</v>
      </c>
      <c r="Q129" s="49" t="s">
        <v>13788</v>
      </c>
      <c r="R129" s="49" t="s">
        <v>13789</v>
      </c>
      <c r="S129" s="49" t="s">
        <v>13790</v>
      </c>
      <c r="T129" s="49" t="s">
        <v>13791</v>
      </c>
      <c r="U129" s="49" t="s">
        <v>13792</v>
      </c>
    </row>
    <row r="130" spans="1:21" x14ac:dyDescent="0.2">
      <c r="A130" s="49" t="s">
        <v>30</v>
      </c>
      <c r="D130" s="49" t="s">
        <v>535</v>
      </c>
      <c r="G130" s="49" t="s">
        <v>13793</v>
      </c>
      <c r="H130" s="49" t="s">
        <v>536</v>
      </c>
      <c r="I130" s="49" t="s">
        <v>537</v>
      </c>
      <c r="J130" s="49" t="s">
        <v>538</v>
      </c>
      <c r="K130" s="49" t="s">
        <v>539</v>
      </c>
      <c r="L130" s="49" t="s">
        <v>540</v>
      </c>
      <c r="M130" s="49" t="s">
        <v>541</v>
      </c>
      <c r="N130" s="49" t="s">
        <v>542</v>
      </c>
      <c r="O130" s="49" t="s">
        <v>3940</v>
      </c>
      <c r="P130" s="49" t="s">
        <v>3941</v>
      </c>
      <c r="Q130" s="49" t="s">
        <v>3942</v>
      </c>
      <c r="R130" s="49" t="s">
        <v>3943</v>
      </c>
      <c r="S130" s="49" t="s">
        <v>3944</v>
      </c>
      <c r="T130" s="49" t="s">
        <v>3945</v>
      </c>
    </row>
    <row r="131" spans="1:21" x14ac:dyDescent="0.2">
      <c r="A131" s="49" t="s">
        <v>30</v>
      </c>
    </row>
    <row r="132" spans="1:21" x14ac:dyDescent="0.2">
      <c r="A132" s="49" t="s">
        <v>30</v>
      </c>
      <c r="E132" s="49" t="s">
        <v>31</v>
      </c>
      <c r="F132" s="49" t="s">
        <v>31</v>
      </c>
      <c r="G132" s="49" t="s">
        <v>31</v>
      </c>
      <c r="J132" s="49" t="s">
        <v>31</v>
      </c>
      <c r="K132" s="49" t="s">
        <v>31</v>
      </c>
      <c r="L132" s="49" t="s">
        <v>31</v>
      </c>
      <c r="M132" s="49" t="s">
        <v>31</v>
      </c>
    </row>
    <row r="133" spans="1:21" x14ac:dyDescent="0.2">
      <c r="A133" s="49" t="s">
        <v>30</v>
      </c>
      <c r="D133" s="49" t="s">
        <v>10009</v>
      </c>
      <c r="E133" s="49" t="s">
        <v>7545</v>
      </c>
      <c r="F133" s="49" t="s">
        <v>10010</v>
      </c>
      <c r="H133" s="49" t="s">
        <v>10011</v>
      </c>
      <c r="O133" s="49" t="s">
        <v>33161</v>
      </c>
      <c r="P133" s="49" t="s">
        <v>33162</v>
      </c>
      <c r="Q133" s="49" t="s">
        <v>33163</v>
      </c>
      <c r="R133" s="49" t="s">
        <v>33164</v>
      </c>
      <c r="S133" s="49" t="s">
        <v>33165</v>
      </c>
      <c r="T133" s="49" t="s">
        <v>33166</v>
      </c>
      <c r="U133" s="49" t="s">
        <v>33167</v>
      </c>
    </row>
    <row r="134" spans="1:21" x14ac:dyDescent="0.2">
      <c r="A134" s="49" t="s">
        <v>30</v>
      </c>
      <c r="D134" s="49" t="s">
        <v>2656</v>
      </c>
      <c r="G134" s="49" t="s">
        <v>10012</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c r="D135" s="49" t="s">
        <v>2664</v>
      </c>
      <c r="G135" s="49" t="s">
        <v>17935</v>
      </c>
      <c r="H135" s="49" t="s">
        <v>2665</v>
      </c>
      <c r="I135" s="49" t="s">
        <v>2666</v>
      </c>
      <c r="J135" s="49" t="s">
        <v>2667</v>
      </c>
      <c r="K135" s="49" t="s">
        <v>2668</v>
      </c>
      <c r="L135" s="49" t="s">
        <v>2669</v>
      </c>
      <c r="M135" s="49" t="s">
        <v>2670</v>
      </c>
      <c r="N135" s="49" t="s">
        <v>2671</v>
      </c>
      <c r="O135" s="49" t="s">
        <v>3777</v>
      </c>
      <c r="P135" s="49" t="s">
        <v>3778</v>
      </c>
      <c r="Q135" s="49" t="s">
        <v>3779</v>
      </c>
      <c r="R135" s="49" t="s">
        <v>3780</v>
      </c>
      <c r="S135" s="49" t="s">
        <v>3781</v>
      </c>
      <c r="T135" s="49" t="s">
        <v>3782</v>
      </c>
    </row>
    <row r="136" spans="1:21" x14ac:dyDescent="0.2">
      <c r="A136" s="49" t="s">
        <v>30</v>
      </c>
    </row>
    <row r="137" spans="1:21" x14ac:dyDescent="0.2">
      <c r="A137" s="49" t="s">
        <v>30</v>
      </c>
      <c r="E137" s="49" t="s">
        <v>31</v>
      </c>
      <c r="F137" s="49" t="s">
        <v>31</v>
      </c>
      <c r="G137" s="49" t="s">
        <v>31</v>
      </c>
      <c r="J137" s="49" t="s">
        <v>31</v>
      </c>
      <c r="K137" s="49" t="s">
        <v>31</v>
      </c>
      <c r="L137" s="49" t="s">
        <v>31</v>
      </c>
      <c r="M137" s="49" t="s">
        <v>31</v>
      </c>
    </row>
    <row r="138" spans="1:21" x14ac:dyDescent="0.2">
      <c r="A138" s="49" t="s">
        <v>30</v>
      </c>
      <c r="D138" s="49" t="s">
        <v>3783</v>
      </c>
      <c r="E138" s="49" t="s">
        <v>17950</v>
      </c>
      <c r="F138" s="49" t="s">
        <v>3784</v>
      </c>
      <c r="H138" s="49" t="s">
        <v>3785</v>
      </c>
      <c r="O138" s="49" t="s">
        <v>33168</v>
      </c>
      <c r="P138" s="49" t="s">
        <v>33169</v>
      </c>
      <c r="Q138" s="49" t="s">
        <v>33170</v>
      </c>
      <c r="R138" s="49" t="s">
        <v>33171</v>
      </c>
      <c r="S138" s="49" t="s">
        <v>33172</v>
      </c>
      <c r="T138" s="49" t="s">
        <v>33173</v>
      </c>
      <c r="U138" s="49" t="s">
        <v>33174</v>
      </c>
    </row>
    <row r="139" spans="1:21" x14ac:dyDescent="0.2">
      <c r="A139" s="49" t="s">
        <v>30</v>
      </c>
      <c r="D139" s="49" t="s">
        <v>583</v>
      </c>
      <c r="G139" s="49" t="s">
        <v>3786</v>
      </c>
      <c r="H139" s="49" t="s">
        <v>584</v>
      </c>
      <c r="I139" s="49" t="s">
        <v>585</v>
      </c>
      <c r="J139" s="49" t="s">
        <v>586</v>
      </c>
      <c r="K139" s="49" t="s">
        <v>587</v>
      </c>
      <c r="L139" s="49" t="s">
        <v>588</v>
      </c>
      <c r="M139" s="49" t="s">
        <v>589</v>
      </c>
      <c r="N139" s="49" t="s">
        <v>590</v>
      </c>
      <c r="O139" s="49" t="s">
        <v>3787</v>
      </c>
      <c r="P139" s="49" t="s">
        <v>3788</v>
      </c>
      <c r="Q139" s="49" t="s">
        <v>3789</v>
      </c>
      <c r="R139" s="49" t="s">
        <v>3790</v>
      </c>
      <c r="S139" s="49" t="s">
        <v>3791</v>
      </c>
      <c r="T139" s="49" t="s">
        <v>3792</v>
      </c>
    </row>
    <row r="140" spans="1:21" x14ac:dyDescent="0.2">
      <c r="A140" s="49" t="s">
        <v>30</v>
      </c>
      <c r="D140" s="49" t="s">
        <v>591</v>
      </c>
      <c r="G140" s="49" t="s">
        <v>18001</v>
      </c>
      <c r="H140" s="49" t="s">
        <v>592</v>
      </c>
      <c r="I140" s="49" t="s">
        <v>593</v>
      </c>
      <c r="J140" s="49" t="s">
        <v>594</v>
      </c>
      <c r="K140" s="49" t="s">
        <v>595</v>
      </c>
      <c r="L140" s="49" t="s">
        <v>596</v>
      </c>
      <c r="M140" s="49" t="s">
        <v>597</v>
      </c>
      <c r="N140" s="49" t="s">
        <v>598</v>
      </c>
      <c r="O140" s="49" t="s">
        <v>3523</v>
      </c>
      <c r="P140" s="49" t="s">
        <v>3524</v>
      </c>
      <c r="Q140" s="49" t="s">
        <v>3525</v>
      </c>
      <c r="R140" s="49" t="s">
        <v>3526</v>
      </c>
      <c r="S140" s="49" t="s">
        <v>3527</v>
      </c>
      <c r="T140" s="49" t="s">
        <v>3528</v>
      </c>
    </row>
    <row r="141" spans="1:21" x14ac:dyDescent="0.2">
      <c r="A141" s="49" t="s">
        <v>30</v>
      </c>
    </row>
    <row r="142" spans="1:21" x14ac:dyDescent="0.2">
      <c r="A142" s="49" t="s">
        <v>30</v>
      </c>
      <c r="E142" s="49" t="s">
        <v>31</v>
      </c>
      <c r="F142" s="49" t="s">
        <v>31</v>
      </c>
      <c r="G142" s="49" t="s">
        <v>31</v>
      </c>
      <c r="J142" s="49" t="s">
        <v>31</v>
      </c>
      <c r="K142" s="49" t="s">
        <v>31</v>
      </c>
      <c r="L142" s="49" t="s">
        <v>31</v>
      </c>
      <c r="M142" s="49" t="s">
        <v>31</v>
      </c>
    </row>
    <row r="143" spans="1:21" x14ac:dyDescent="0.2">
      <c r="A143" s="49" t="s">
        <v>30</v>
      </c>
      <c r="D143" s="49" t="s">
        <v>13701</v>
      </c>
      <c r="E143" s="49" t="s">
        <v>7574</v>
      </c>
      <c r="F143" s="49" t="s">
        <v>13702</v>
      </c>
      <c r="H143" s="49" t="s">
        <v>13703</v>
      </c>
      <c r="O143" s="49" t="s">
        <v>34766</v>
      </c>
      <c r="P143" s="49" t="s">
        <v>34767</v>
      </c>
      <c r="Q143" s="49" t="s">
        <v>34768</v>
      </c>
      <c r="R143" s="49" t="s">
        <v>34769</v>
      </c>
      <c r="S143" s="49" t="s">
        <v>34770</v>
      </c>
      <c r="T143" s="49" t="s">
        <v>34771</v>
      </c>
      <c r="U143" s="49" t="s">
        <v>34772</v>
      </c>
    </row>
    <row r="144" spans="1:21" x14ac:dyDescent="0.2">
      <c r="A144" s="49" t="s">
        <v>30</v>
      </c>
      <c r="D144" s="49" t="s">
        <v>599</v>
      </c>
      <c r="G144" s="49" t="s">
        <v>13704</v>
      </c>
      <c r="H144" s="49" t="s">
        <v>600</v>
      </c>
      <c r="I144" s="49" t="s">
        <v>601</v>
      </c>
      <c r="J144" s="49" t="s">
        <v>602</v>
      </c>
      <c r="K144" s="49" t="s">
        <v>603</v>
      </c>
      <c r="L144" s="49" t="s">
        <v>604</v>
      </c>
      <c r="M144" s="49" t="s">
        <v>605</v>
      </c>
      <c r="N144" s="49" t="s">
        <v>606</v>
      </c>
      <c r="O144" s="49" t="s">
        <v>3529</v>
      </c>
      <c r="P144" s="49" t="s">
        <v>3530</v>
      </c>
      <c r="Q144" s="49" t="s">
        <v>3531</v>
      </c>
      <c r="R144" s="49" t="s">
        <v>3532</v>
      </c>
      <c r="S144" s="49" t="s">
        <v>3533</v>
      </c>
      <c r="T144" s="49" t="s">
        <v>3534</v>
      </c>
    </row>
    <row r="145" spans="1:21" x14ac:dyDescent="0.2">
      <c r="A145" s="49" t="s">
        <v>30</v>
      </c>
      <c r="D145" s="49" t="s">
        <v>607</v>
      </c>
      <c r="G145" s="49" t="s">
        <v>18046</v>
      </c>
      <c r="H145" s="49" t="s">
        <v>608</v>
      </c>
      <c r="I145" s="49" t="s">
        <v>609</v>
      </c>
      <c r="J145" s="49" t="s">
        <v>610</v>
      </c>
      <c r="K145" s="49" t="s">
        <v>611</v>
      </c>
      <c r="L145" s="49" t="s">
        <v>612</v>
      </c>
      <c r="M145" s="49" t="s">
        <v>613</v>
      </c>
      <c r="N145" s="49" t="s">
        <v>614</v>
      </c>
      <c r="O145" s="49" t="s">
        <v>9456</v>
      </c>
      <c r="P145" s="49" t="s">
        <v>9457</v>
      </c>
      <c r="Q145" s="49" t="s">
        <v>9458</v>
      </c>
      <c r="R145" s="49" t="s">
        <v>9459</v>
      </c>
      <c r="S145" s="49" t="s">
        <v>9460</v>
      </c>
      <c r="T145" s="49" t="s">
        <v>9461</v>
      </c>
    </row>
    <row r="146" spans="1:21" x14ac:dyDescent="0.2">
      <c r="A146" s="49" t="s">
        <v>30</v>
      </c>
    </row>
    <row r="147" spans="1:21" x14ac:dyDescent="0.2">
      <c r="A147" s="49" t="s">
        <v>30</v>
      </c>
      <c r="E147" s="49" t="s">
        <v>31</v>
      </c>
      <c r="F147" s="49" t="s">
        <v>31</v>
      </c>
      <c r="G147" s="49" t="s">
        <v>31</v>
      </c>
      <c r="J147" s="49" t="s">
        <v>31</v>
      </c>
      <c r="K147" s="49" t="s">
        <v>31</v>
      </c>
      <c r="L147" s="49" t="s">
        <v>31</v>
      </c>
      <c r="M147" s="49" t="s">
        <v>31</v>
      </c>
    </row>
    <row r="148" spans="1:21" x14ac:dyDescent="0.2">
      <c r="A148" s="49" t="s">
        <v>30</v>
      </c>
      <c r="D148" s="49" t="s">
        <v>9462</v>
      </c>
      <c r="E148" s="49" t="s">
        <v>7745</v>
      </c>
      <c r="F148" s="49" t="s">
        <v>9463</v>
      </c>
      <c r="H148" s="49" t="s">
        <v>9464</v>
      </c>
      <c r="O148" s="49" t="s">
        <v>34773</v>
      </c>
      <c r="P148" s="49" t="s">
        <v>34774</v>
      </c>
      <c r="Q148" s="49" t="s">
        <v>34775</v>
      </c>
      <c r="R148" s="49" t="s">
        <v>34776</v>
      </c>
      <c r="S148" s="49" t="s">
        <v>34777</v>
      </c>
      <c r="T148" s="49" t="s">
        <v>34778</v>
      </c>
      <c r="U148" s="49" t="s">
        <v>34779</v>
      </c>
    </row>
    <row r="149" spans="1:21" x14ac:dyDescent="0.2">
      <c r="A149" s="49" t="s">
        <v>30</v>
      </c>
      <c r="D149" s="49" t="s">
        <v>631</v>
      </c>
      <c r="G149" s="49" t="s">
        <v>9465</v>
      </c>
      <c r="H149" s="49" t="s">
        <v>632</v>
      </c>
      <c r="I149" s="49" t="s">
        <v>633</v>
      </c>
      <c r="J149" s="49" t="s">
        <v>634</v>
      </c>
      <c r="K149" s="49" t="s">
        <v>635</v>
      </c>
      <c r="L149" s="49" t="s">
        <v>636</v>
      </c>
      <c r="M149" s="49" t="s">
        <v>637</v>
      </c>
      <c r="N149" s="49" t="s">
        <v>638</v>
      </c>
      <c r="O149" s="49" t="s">
        <v>4476</v>
      </c>
      <c r="P149" s="49" t="s">
        <v>4477</v>
      </c>
      <c r="Q149" s="49" t="s">
        <v>4478</v>
      </c>
      <c r="R149" s="49" t="s">
        <v>4479</v>
      </c>
      <c r="S149" s="49" t="s">
        <v>4480</v>
      </c>
      <c r="T149" s="49" t="s">
        <v>4481</v>
      </c>
    </row>
    <row r="150" spans="1:21" x14ac:dyDescent="0.2">
      <c r="A150" s="49" t="s">
        <v>30</v>
      </c>
      <c r="D150" s="49" t="s">
        <v>639</v>
      </c>
      <c r="G150" s="49" t="s">
        <v>18201</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row>
    <row r="152" spans="1:21" x14ac:dyDescent="0.2">
      <c r="A152" s="49" t="s">
        <v>30</v>
      </c>
      <c r="E152" s="49" t="s">
        <v>31</v>
      </c>
      <c r="F152" s="49" t="s">
        <v>31</v>
      </c>
      <c r="G152" s="49" t="s">
        <v>31</v>
      </c>
      <c r="J152" s="49" t="s">
        <v>31</v>
      </c>
      <c r="K152" s="49" t="s">
        <v>31</v>
      </c>
      <c r="L152" s="49" t="s">
        <v>31</v>
      </c>
      <c r="M152" s="49" t="s">
        <v>31</v>
      </c>
    </row>
    <row r="153" spans="1:21" x14ac:dyDescent="0.2">
      <c r="A153" s="49" t="s">
        <v>30</v>
      </c>
      <c r="D153" s="49" t="s">
        <v>10031</v>
      </c>
      <c r="E153" s="49" t="s">
        <v>7760</v>
      </c>
      <c r="F153" s="49" t="s">
        <v>10032</v>
      </c>
      <c r="H153" s="49" t="s">
        <v>10033</v>
      </c>
      <c r="O153" s="49" t="s">
        <v>10659</v>
      </c>
      <c r="P153" s="49" t="s">
        <v>10660</v>
      </c>
      <c r="Q153" s="49" t="s">
        <v>10661</v>
      </c>
      <c r="R153" s="49" t="s">
        <v>10662</v>
      </c>
      <c r="S153" s="49" t="s">
        <v>10663</v>
      </c>
      <c r="T153" s="49" t="s">
        <v>10664</v>
      </c>
      <c r="U153" s="49" t="s">
        <v>10665</v>
      </c>
    </row>
    <row r="154" spans="1:21" x14ac:dyDescent="0.2">
      <c r="A154" s="49" t="s">
        <v>30</v>
      </c>
      <c r="D154" s="49" t="s">
        <v>671</v>
      </c>
      <c r="G154" s="49" t="s">
        <v>10034</v>
      </c>
      <c r="H154" s="49" t="s">
        <v>672</v>
      </c>
      <c r="I154" s="49" t="s">
        <v>673</v>
      </c>
      <c r="J154" s="49" t="s">
        <v>674</v>
      </c>
      <c r="K154" s="49" t="s">
        <v>675</v>
      </c>
      <c r="L154" s="49" t="s">
        <v>676</v>
      </c>
      <c r="M154" s="49" t="s">
        <v>677</v>
      </c>
      <c r="N154" s="49" t="s">
        <v>678</v>
      </c>
      <c r="O154" s="49" t="s">
        <v>3799</v>
      </c>
      <c r="P154" s="49" t="s">
        <v>3800</v>
      </c>
      <c r="Q154" s="49" t="s">
        <v>3801</v>
      </c>
      <c r="R154" s="49" t="s">
        <v>3802</v>
      </c>
      <c r="S154" s="49" t="s">
        <v>3803</v>
      </c>
      <c r="T154" s="49" t="s">
        <v>3804</v>
      </c>
    </row>
    <row r="155" spans="1:21" x14ac:dyDescent="0.2">
      <c r="A155" s="49" t="s">
        <v>30</v>
      </c>
    </row>
    <row r="156" spans="1:21" x14ac:dyDescent="0.2">
      <c r="A156" s="49" t="s">
        <v>30</v>
      </c>
      <c r="E156" s="49" t="s">
        <v>31</v>
      </c>
      <c r="F156" s="49" t="s">
        <v>31</v>
      </c>
      <c r="G156" s="49" t="s">
        <v>31</v>
      </c>
      <c r="J156" s="49" t="s">
        <v>31</v>
      </c>
      <c r="K156" s="49" t="s">
        <v>31</v>
      </c>
      <c r="L156" s="49" t="s">
        <v>31</v>
      </c>
      <c r="M156" s="49" t="s">
        <v>31</v>
      </c>
    </row>
    <row r="157" spans="1:21" x14ac:dyDescent="0.2">
      <c r="A157" s="49" t="s">
        <v>30</v>
      </c>
      <c r="D157" s="49" t="s">
        <v>10666</v>
      </c>
      <c r="E157" s="49" t="s">
        <v>7803</v>
      </c>
      <c r="F157" s="49" t="s">
        <v>10667</v>
      </c>
      <c r="H157" s="49" t="s">
        <v>10668</v>
      </c>
      <c r="O157" s="49" t="s">
        <v>13082</v>
      </c>
      <c r="P157" s="49" t="s">
        <v>13083</v>
      </c>
      <c r="Q157" s="49" t="s">
        <v>13084</v>
      </c>
      <c r="R157" s="49" t="s">
        <v>13085</v>
      </c>
      <c r="S157" s="49" t="s">
        <v>13086</v>
      </c>
      <c r="T157" s="49" t="s">
        <v>13087</v>
      </c>
      <c r="U157" s="49" t="s">
        <v>13088</v>
      </c>
    </row>
    <row r="158" spans="1:21" x14ac:dyDescent="0.2">
      <c r="A158" s="49" t="s">
        <v>30</v>
      </c>
      <c r="D158" s="49" t="s">
        <v>1985</v>
      </c>
      <c r="G158" s="49" t="s">
        <v>10669</v>
      </c>
      <c r="H158" s="49" t="s">
        <v>1986</v>
      </c>
      <c r="I158" s="49" t="s">
        <v>1987</v>
      </c>
      <c r="J158" s="49" t="s">
        <v>1988</v>
      </c>
      <c r="K158" s="49" t="s">
        <v>1989</v>
      </c>
      <c r="L158" s="49" t="s">
        <v>1990</v>
      </c>
      <c r="M158" s="49" t="s">
        <v>1991</v>
      </c>
      <c r="N158" s="49" t="s">
        <v>1992</v>
      </c>
      <c r="O158" s="49" t="s">
        <v>10670</v>
      </c>
      <c r="P158" s="49" t="s">
        <v>10671</v>
      </c>
      <c r="Q158" s="49" t="s">
        <v>10672</v>
      </c>
      <c r="R158" s="49" t="s">
        <v>10673</v>
      </c>
      <c r="S158" s="49" t="s">
        <v>10674</v>
      </c>
      <c r="T158" s="49" t="s">
        <v>10675</v>
      </c>
    </row>
    <row r="159" spans="1:21" x14ac:dyDescent="0.2">
      <c r="A159" s="49" t="s">
        <v>30</v>
      </c>
    </row>
    <row r="160" spans="1:21" x14ac:dyDescent="0.2">
      <c r="A160" s="49" t="s">
        <v>30</v>
      </c>
      <c r="E160" s="49" t="s">
        <v>31</v>
      </c>
      <c r="F160" s="49" t="s">
        <v>31</v>
      </c>
      <c r="G160" s="49" t="s">
        <v>31</v>
      </c>
      <c r="J160" s="49" t="s">
        <v>31</v>
      </c>
      <c r="K160" s="49" t="s">
        <v>31</v>
      </c>
      <c r="L160" s="49" t="s">
        <v>31</v>
      </c>
      <c r="M160" s="49" t="s">
        <v>31</v>
      </c>
    </row>
    <row r="161" spans="1:21" x14ac:dyDescent="0.2">
      <c r="A161" s="49" t="s">
        <v>30</v>
      </c>
      <c r="D161" s="49" t="s">
        <v>13089</v>
      </c>
      <c r="E161" s="49" t="s">
        <v>7818</v>
      </c>
      <c r="F161" s="49" t="s">
        <v>13090</v>
      </c>
      <c r="H161" s="49" t="s">
        <v>13091</v>
      </c>
      <c r="O161" s="49" t="s">
        <v>13092</v>
      </c>
      <c r="P161" s="49" t="s">
        <v>13093</v>
      </c>
      <c r="Q161" s="49" t="s">
        <v>13094</v>
      </c>
      <c r="R161" s="49" t="s">
        <v>13095</v>
      </c>
      <c r="S161" s="49" t="s">
        <v>13096</v>
      </c>
      <c r="T161" s="49" t="s">
        <v>13097</v>
      </c>
      <c r="U161" s="49" t="s">
        <v>13098</v>
      </c>
    </row>
    <row r="162" spans="1:21" x14ac:dyDescent="0.2">
      <c r="A162" s="49" t="s">
        <v>30</v>
      </c>
      <c r="D162" s="49" t="s">
        <v>714</v>
      </c>
      <c r="G162" s="49" t="s">
        <v>13099</v>
      </c>
      <c r="H162" s="49" t="s">
        <v>715</v>
      </c>
      <c r="I162" s="49" t="s">
        <v>716</v>
      </c>
      <c r="J162" s="49" t="s">
        <v>717</v>
      </c>
      <c r="K162" s="49" t="s">
        <v>718</v>
      </c>
      <c r="L162" s="49" t="s">
        <v>719</v>
      </c>
      <c r="M162" s="49" t="s">
        <v>720</v>
      </c>
      <c r="N162" s="49" t="s">
        <v>721</v>
      </c>
      <c r="O162" s="49" t="s">
        <v>13100</v>
      </c>
      <c r="P162" s="49" t="s">
        <v>13101</v>
      </c>
      <c r="Q162" s="49" t="s">
        <v>13102</v>
      </c>
      <c r="R162" s="49" t="s">
        <v>13103</v>
      </c>
      <c r="S162" s="49" t="s">
        <v>13104</v>
      </c>
      <c r="T162" s="49" t="s">
        <v>13105</v>
      </c>
    </row>
    <row r="163" spans="1:21" x14ac:dyDescent="0.2">
      <c r="A163" s="49" t="s">
        <v>30</v>
      </c>
    </row>
    <row r="164" spans="1:21" x14ac:dyDescent="0.2">
      <c r="A164" s="49" t="s">
        <v>30</v>
      </c>
      <c r="E164" s="49" t="s">
        <v>31</v>
      </c>
      <c r="F164" s="49" t="s">
        <v>31</v>
      </c>
      <c r="G164" s="49" t="s">
        <v>31</v>
      </c>
      <c r="J164" s="49" t="s">
        <v>31</v>
      </c>
      <c r="K164" s="49" t="s">
        <v>31</v>
      </c>
      <c r="L164" s="49" t="s">
        <v>31</v>
      </c>
      <c r="M164" s="49" t="s">
        <v>31</v>
      </c>
    </row>
    <row r="165" spans="1:21" x14ac:dyDescent="0.2">
      <c r="A165" s="49" t="s">
        <v>30</v>
      </c>
      <c r="D165" s="49" t="s">
        <v>13106</v>
      </c>
      <c r="E165" s="49" t="s">
        <v>7849</v>
      </c>
      <c r="F165" s="49" t="s">
        <v>13107</v>
      </c>
      <c r="H165" s="49" t="s">
        <v>13108</v>
      </c>
      <c r="O165" s="49" t="s">
        <v>13109</v>
      </c>
      <c r="P165" s="49" t="s">
        <v>13110</v>
      </c>
      <c r="Q165" s="49" t="s">
        <v>13111</v>
      </c>
      <c r="R165" s="49" t="s">
        <v>13112</v>
      </c>
      <c r="S165" s="49" t="s">
        <v>13113</v>
      </c>
      <c r="T165" s="49" t="s">
        <v>13114</v>
      </c>
      <c r="U165" s="49" t="s">
        <v>13115</v>
      </c>
    </row>
    <row r="166" spans="1:21" x14ac:dyDescent="0.2">
      <c r="A166" s="49" t="s">
        <v>30</v>
      </c>
      <c r="D166" s="49" t="s">
        <v>2581</v>
      </c>
      <c r="G166" s="49" t="s">
        <v>13116</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row>
    <row r="168" spans="1:21" x14ac:dyDescent="0.2">
      <c r="A168" s="49" t="s">
        <v>30</v>
      </c>
      <c r="E168" s="49" t="s">
        <v>31</v>
      </c>
      <c r="F168" s="49" t="s">
        <v>31</v>
      </c>
      <c r="G168" s="49" t="s">
        <v>31</v>
      </c>
      <c r="J168" s="49" t="s">
        <v>31</v>
      </c>
      <c r="K168" s="49" t="s">
        <v>31</v>
      </c>
      <c r="L168" s="49" t="s">
        <v>31</v>
      </c>
      <c r="M168" s="49" t="s">
        <v>31</v>
      </c>
    </row>
    <row r="169" spans="1:21" x14ac:dyDescent="0.2">
      <c r="A169" s="49" t="s">
        <v>30</v>
      </c>
      <c r="D169" s="49" t="s">
        <v>10041</v>
      </c>
      <c r="E169" s="49" t="s">
        <v>8020</v>
      </c>
      <c r="F169" s="49" t="s">
        <v>10042</v>
      </c>
      <c r="H169" s="49" t="s">
        <v>10043</v>
      </c>
      <c r="O169" s="49" t="s">
        <v>10044</v>
      </c>
      <c r="P169" s="49" t="s">
        <v>10045</v>
      </c>
      <c r="Q169" s="49" t="s">
        <v>10046</v>
      </c>
      <c r="R169" s="49" t="s">
        <v>10047</v>
      </c>
      <c r="S169" s="49" t="s">
        <v>10048</v>
      </c>
      <c r="T169" s="49" t="s">
        <v>10049</v>
      </c>
      <c r="U169" s="49" t="s">
        <v>10050</v>
      </c>
    </row>
    <row r="170" spans="1:21" x14ac:dyDescent="0.2">
      <c r="A170" s="49" t="s">
        <v>30</v>
      </c>
      <c r="D170" s="49" t="s">
        <v>746</v>
      </c>
      <c r="G170" s="49" t="s">
        <v>10051</v>
      </c>
      <c r="H170" s="49" t="s">
        <v>747</v>
      </c>
      <c r="I170" s="49" t="s">
        <v>748</v>
      </c>
      <c r="J170" s="49" t="s">
        <v>749</v>
      </c>
      <c r="K170" s="49" t="s">
        <v>750</v>
      </c>
      <c r="L170" s="49" t="s">
        <v>751</v>
      </c>
      <c r="M170" s="49" t="s">
        <v>752</v>
      </c>
      <c r="N170" s="49" t="s">
        <v>753</v>
      </c>
      <c r="O170" s="49" t="s">
        <v>10052</v>
      </c>
      <c r="P170" s="49" t="s">
        <v>10053</v>
      </c>
      <c r="Q170" s="49" t="s">
        <v>10054</v>
      </c>
      <c r="R170" s="49" t="s">
        <v>10055</v>
      </c>
      <c r="S170" s="49" t="s">
        <v>10056</v>
      </c>
      <c r="T170" s="49" t="s">
        <v>10057</v>
      </c>
    </row>
    <row r="171" spans="1:21" x14ac:dyDescent="0.2">
      <c r="A171" s="49" t="s">
        <v>30</v>
      </c>
      <c r="D171" s="49" t="s">
        <v>4620</v>
      </c>
      <c r="G171" s="49" t="s">
        <v>18847</v>
      </c>
      <c r="H171" s="49" t="s">
        <v>4621</v>
      </c>
      <c r="I171" s="49" t="s">
        <v>4622</v>
      </c>
      <c r="J171" s="49" t="s">
        <v>4623</v>
      </c>
      <c r="K171" s="49" t="s">
        <v>4624</v>
      </c>
      <c r="L171" s="49" t="s">
        <v>4625</v>
      </c>
      <c r="M171" s="49" t="s">
        <v>4626</v>
      </c>
      <c r="N171" s="49" t="s">
        <v>4627</v>
      </c>
      <c r="O171" s="49" t="s">
        <v>9466</v>
      </c>
      <c r="P171" s="49" t="s">
        <v>9467</v>
      </c>
      <c r="Q171" s="49" t="s">
        <v>9468</v>
      </c>
      <c r="R171" s="49" t="s">
        <v>9469</v>
      </c>
      <c r="S171" s="49" t="s">
        <v>9470</v>
      </c>
      <c r="T171" s="49" t="s">
        <v>9471</v>
      </c>
    </row>
    <row r="172" spans="1:21" x14ac:dyDescent="0.2">
      <c r="A172" s="49" t="s">
        <v>30</v>
      </c>
    </row>
    <row r="173" spans="1:21" x14ac:dyDescent="0.2">
      <c r="A173" s="49" t="s">
        <v>30</v>
      </c>
      <c r="E173" s="49" t="s">
        <v>31</v>
      </c>
      <c r="F173" s="49" t="s">
        <v>31</v>
      </c>
      <c r="G173" s="49" t="s">
        <v>31</v>
      </c>
      <c r="J173" s="49" t="s">
        <v>31</v>
      </c>
      <c r="K173" s="49" t="s">
        <v>31</v>
      </c>
      <c r="L173" s="49" t="s">
        <v>31</v>
      </c>
      <c r="M173" s="49" t="s">
        <v>31</v>
      </c>
    </row>
    <row r="174" spans="1:21" x14ac:dyDescent="0.2">
      <c r="A174" s="49" t="s">
        <v>30</v>
      </c>
      <c r="D174" s="49" t="s">
        <v>9472</v>
      </c>
      <c r="E174" s="49" t="s">
        <v>8518</v>
      </c>
      <c r="F174" s="49" t="s">
        <v>9473</v>
      </c>
      <c r="H174" s="49" t="s">
        <v>9474</v>
      </c>
      <c r="O174" s="49" t="s">
        <v>13801</v>
      </c>
      <c r="P174" s="49" t="s">
        <v>13802</v>
      </c>
      <c r="Q174" s="49" t="s">
        <v>13803</v>
      </c>
      <c r="R174" s="49" t="s">
        <v>13804</v>
      </c>
      <c r="S174" s="49" t="s">
        <v>13805</v>
      </c>
      <c r="T174" s="49" t="s">
        <v>13806</v>
      </c>
      <c r="U174" s="49" t="s">
        <v>13807</v>
      </c>
    </row>
    <row r="175" spans="1:21" x14ac:dyDescent="0.2">
      <c r="A175" s="49" t="s">
        <v>30</v>
      </c>
      <c r="D175" s="49" t="s">
        <v>1764</v>
      </c>
      <c r="G175" s="49" t="s">
        <v>9475</v>
      </c>
      <c r="H175" s="49" t="s">
        <v>1765</v>
      </c>
      <c r="I175" s="49" t="s">
        <v>1766</v>
      </c>
      <c r="J175" s="49" t="s">
        <v>1767</v>
      </c>
      <c r="K175" s="49" t="s">
        <v>1768</v>
      </c>
      <c r="L175" s="49" t="s">
        <v>1769</v>
      </c>
      <c r="M175" s="49" t="s">
        <v>1770</v>
      </c>
      <c r="N175" s="49" t="s">
        <v>1771</v>
      </c>
      <c r="O175" s="49" t="s">
        <v>4042</v>
      </c>
      <c r="P175" s="49" t="s">
        <v>4043</v>
      </c>
      <c r="Q175" s="49" t="s">
        <v>4044</v>
      </c>
      <c r="R175" s="49" t="s">
        <v>4045</v>
      </c>
      <c r="S175" s="49" t="s">
        <v>4046</v>
      </c>
      <c r="T175" s="49" t="s">
        <v>4047</v>
      </c>
    </row>
    <row r="176" spans="1:21" x14ac:dyDescent="0.2">
      <c r="A176" s="49" t="s">
        <v>30</v>
      </c>
      <c r="D176" s="49" t="s">
        <v>754</v>
      </c>
      <c r="G176" s="49" t="s">
        <v>19592</v>
      </c>
      <c r="H176" s="49" t="s">
        <v>755</v>
      </c>
      <c r="I176" s="49" t="s">
        <v>756</v>
      </c>
      <c r="J176" s="49" t="s">
        <v>757</v>
      </c>
      <c r="K176" s="49" t="s">
        <v>758</v>
      </c>
      <c r="L176" s="49" t="s">
        <v>759</v>
      </c>
      <c r="M176" s="49" t="s">
        <v>760</v>
      </c>
      <c r="N176" s="49" t="s">
        <v>761</v>
      </c>
      <c r="O176" s="49" t="s">
        <v>9476</v>
      </c>
      <c r="P176" s="49" t="s">
        <v>9477</v>
      </c>
      <c r="Q176" s="49" t="s">
        <v>9478</v>
      </c>
      <c r="R176" s="49" t="s">
        <v>9479</v>
      </c>
      <c r="S176" s="49" t="s">
        <v>9480</v>
      </c>
      <c r="T176" s="49" t="s">
        <v>9481</v>
      </c>
    </row>
    <row r="177" spans="1:21" x14ac:dyDescent="0.2">
      <c r="A177" s="49" t="s">
        <v>30</v>
      </c>
    </row>
    <row r="178" spans="1:21" x14ac:dyDescent="0.2">
      <c r="A178" s="49" t="s">
        <v>30</v>
      </c>
      <c r="E178" s="49" t="s">
        <v>31</v>
      </c>
      <c r="F178" s="49" t="s">
        <v>31</v>
      </c>
      <c r="G178" s="49" t="s">
        <v>31</v>
      </c>
      <c r="J178" s="49" t="s">
        <v>31</v>
      </c>
      <c r="K178" s="49" t="s">
        <v>31</v>
      </c>
      <c r="L178" s="49" t="s">
        <v>31</v>
      </c>
      <c r="M178" s="49" t="s">
        <v>31</v>
      </c>
    </row>
    <row r="179" spans="1:21" x14ac:dyDescent="0.2">
      <c r="A179" s="49" t="s">
        <v>30</v>
      </c>
      <c r="D179" s="49" t="s">
        <v>13808</v>
      </c>
      <c r="E179" s="49" t="s">
        <v>8775</v>
      </c>
      <c r="F179" s="49" t="s">
        <v>13809</v>
      </c>
      <c r="H179" s="49" t="s">
        <v>13810</v>
      </c>
      <c r="O179" s="49" t="s">
        <v>13811</v>
      </c>
      <c r="P179" s="49" t="s">
        <v>13812</v>
      </c>
      <c r="Q179" s="49" t="s">
        <v>13813</v>
      </c>
      <c r="R179" s="49" t="s">
        <v>13814</v>
      </c>
      <c r="S179" s="49" t="s">
        <v>13815</v>
      </c>
      <c r="T179" s="49" t="s">
        <v>13816</v>
      </c>
      <c r="U179" s="49" t="s">
        <v>13817</v>
      </c>
    </row>
    <row r="180" spans="1:21" x14ac:dyDescent="0.2">
      <c r="A180" s="49" t="s">
        <v>30</v>
      </c>
      <c r="D180" s="49" t="s">
        <v>786</v>
      </c>
      <c r="G180" s="49" t="s">
        <v>13818</v>
      </c>
      <c r="H180" s="49" t="s">
        <v>787</v>
      </c>
      <c r="I180" s="49" t="s">
        <v>788</v>
      </c>
      <c r="J180" s="49" t="s">
        <v>789</v>
      </c>
      <c r="K180" s="49" t="s">
        <v>790</v>
      </c>
      <c r="L180" s="49" t="s">
        <v>791</v>
      </c>
      <c r="M180" s="49" t="s">
        <v>792</v>
      </c>
      <c r="N180" s="49" t="s">
        <v>793</v>
      </c>
      <c r="O180" s="49" t="s">
        <v>10065</v>
      </c>
      <c r="P180" s="49" t="s">
        <v>10066</v>
      </c>
      <c r="Q180" s="49" t="s">
        <v>10067</v>
      </c>
      <c r="R180" s="49" t="s">
        <v>10068</v>
      </c>
      <c r="S180" s="49" t="s">
        <v>10069</v>
      </c>
      <c r="T180" s="49" t="s">
        <v>10070</v>
      </c>
    </row>
    <row r="181" spans="1:21" x14ac:dyDescent="0.2">
      <c r="A181" s="49" t="s">
        <v>30</v>
      </c>
    </row>
    <row r="182" spans="1:21" x14ac:dyDescent="0.2">
      <c r="A182" s="49" t="s">
        <v>30</v>
      </c>
      <c r="E182" s="49" t="s">
        <v>31</v>
      </c>
      <c r="F182" s="49" t="s">
        <v>31</v>
      </c>
      <c r="G182" s="49" t="s">
        <v>31</v>
      </c>
      <c r="J182" s="49" t="s">
        <v>31</v>
      </c>
      <c r="K182" s="49" t="s">
        <v>31</v>
      </c>
      <c r="L182" s="49" t="s">
        <v>31</v>
      </c>
      <c r="M182" s="49" t="s">
        <v>31</v>
      </c>
    </row>
    <row r="183" spans="1:21" x14ac:dyDescent="0.2">
      <c r="A183" s="49" t="s">
        <v>30</v>
      </c>
      <c r="D183" s="49" t="s">
        <v>10071</v>
      </c>
      <c r="E183" s="49" t="s">
        <v>8834</v>
      </c>
      <c r="F183" s="49" t="s">
        <v>10072</v>
      </c>
      <c r="H183" s="49" t="s">
        <v>10073</v>
      </c>
      <c r="O183" s="49" t="s">
        <v>34780</v>
      </c>
      <c r="P183" s="49" t="s">
        <v>34781</v>
      </c>
      <c r="Q183" s="49" t="s">
        <v>34782</v>
      </c>
      <c r="R183" s="49" t="s">
        <v>34783</v>
      </c>
      <c r="S183" s="49" t="s">
        <v>34784</v>
      </c>
      <c r="T183" s="49" t="s">
        <v>34785</v>
      </c>
      <c r="U183" s="49" t="s">
        <v>34786</v>
      </c>
    </row>
    <row r="184" spans="1:21" x14ac:dyDescent="0.2">
      <c r="A184" s="49" t="s">
        <v>30</v>
      </c>
      <c r="D184" s="49" t="s">
        <v>4658</v>
      </c>
      <c r="G184" s="49" t="s">
        <v>10074</v>
      </c>
      <c r="H184" s="49" t="s">
        <v>4659</v>
      </c>
      <c r="I184" s="49" t="s">
        <v>4660</v>
      </c>
      <c r="J184" s="49" t="s">
        <v>4661</v>
      </c>
      <c r="K184" s="49" t="s">
        <v>4662</v>
      </c>
      <c r="L184" s="49" t="s">
        <v>4663</v>
      </c>
      <c r="M184" s="49" t="s">
        <v>4664</v>
      </c>
      <c r="N184" s="49" t="s">
        <v>4665</v>
      </c>
      <c r="O184" s="49" t="s">
        <v>10075</v>
      </c>
      <c r="P184" s="49" t="s">
        <v>10076</v>
      </c>
      <c r="Q184" s="49" t="s">
        <v>10077</v>
      </c>
      <c r="R184" s="49" t="s">
        <v>10078</v>
      </c>
      <c r="S184" s="49" t="s">
        <v>10079</v>
      </c>
      <c r="T184" s="49" t="s">
        <v>10080</v>
      </c>
    </row>
    <row r="185" spans="1:21" x14ac:dyDescent="0.2">
      <c r="A185" s="49" t="s">
        <v>30</v>
      </c>
    </row>
    <row r="186" spans="1:21" x14ac:dyDescent="0.2">
      <c r="A186" s="49" t="s">
        <v>30</v>
      </c>
      <c r="E186" s="49" t="s">
        <v>31</v>
      </c>
      <c r="F186" s="49" t="s">
        <v>31</v>
      </c>
      <c r="G186" s="49" t="s">
        <v>31</v>
      </c>
      <c r="J186" s="49" t="s">
        <v>31</v>
      </c>
      <c r="K186" s="49" t="s">
        <v>31</v>
      </c>
      <c r="L186" s="49" t="s">
        <v>31</v>
      </c>
      <c r="M186" s="49" t="s">
        <v>31</v>
      </c>
    </row>
    <row r="187" spans="1:21" x14ac:dyDescent="0.2">
      <c r="A187" s="49" t="s">
        <v>30</v>
      </c>
      <c r="D187" s="49" t="s">
        <v>14257</v>
      </c>
      <c r="E187" s="49" t="s">
        <v>8835</v>
      </c>
      <c r="F187" s="49" t="s">
        <v>14259</v>
      </c>
      <c r="H187" s="49" t="s">
        <v>14260</v>
      </c>
      <c r="O187" s="49" t="s">
        <v>34787</v>
      </c>
      <c r="P187" s="49" t="s">
        <v>34788</v>
      </c>
      <c r="Q187" s="49" t="s">
        <v>34789</v>
      </c>
      <c r="R187" s="49" t="s">
        <v>34790</v>
      </c>
      <c r="S187" s="49" t="s">
        <v>34791</v>
      </c>
      <c r="T187" s="49" t="s">
        <v>34792</v>
      </c>
      <c r="U187" s="49" t="s">
        <v>34793</v>
      </c>
    </row>
    <row r="188" spans="1:21" x14ac:dyDescent="0.2">
      <c r="A188" s="49" t="s">
        <v>30</v>
      </c>
      <c r="D188" s="49" t="s">
        <v>818</v>
      </c>
      <c r="G188" s="49" t="s">
        <v>34794</v>
      </c>
      <c r="H188" s="49" t="s">
        <v>819</v>
      </c>
      <c r="I188" s="49" t="s">
        <v>820</v>
      </c>
      <c r="J188" s="49" t="s">
        <v>821</v>
      </c>
      <c r="K188" s="49" t="s">
        <v>822</v>
      </c>
      <c r="L188" s="49" t="s">
        <v>823</v>
      </c>
      <c r="M188" s="49" t="s">
        <v>824</v>
      </c>
      <c r="N188" s="49" t="s">
        <v>825</v>
      </c>
      <c r="O188" s="49" t="s">
        <v>10081</v>
      </c>
      <c r="P188" s="49" t="s">
        <v>10082</v>
      </c>
      <c r="Q188" s="49" t="s">
        <v>10083</v>
      </c>
      <c r="R188" s="49" t="s">
        <v>10084</v>
      </c>
      <c r="S188" s="49" t="s">
        <v>10085</v>
      </c>
      <c r="T188" s="49" t="s">
        <v>10086</v>
      </c>
    </row>
    <row r="189" spans="1:21" x14ac:dyDescent="0.2">
      <c r="A189" s="49" t="s">
        <v>30</v>
      </c>
    </row>
    <row r="190" spans="1:21" x14ac:dyDescent="0.2">
      <c r="A190" s="49" t="s">
        <v>30</v>
      </c>
      <c r="E190" s="49" t="s">
        <v>31</v>
      </c>
      <c r="F190" s="49" t="s">
        <v>31</v>
      </c>
      <c r="G190" s="49" t="s">
        <v>31</v>
      </c>
      <c r="J190" s="49" t="s">
        <v>31</v>
      </c>
      <c r="K190" s="49" t="s">
        <v>31</v>
      </c>
      <c r="L190" s="49" t="s">
        <v>31</v>
      </c>
      <c r="M190" s="49" t="s">
        <v>31</v>
      </c>
    </row>
    <row r="191" spans="1:21" x14ac:dyDescent="0.2">
      <c r="A191" s="49" t="s">
        <v>30</v>
      </c>
      <c r="D191" s="49" t="s">
        <v>10087</v>
      </c>
      <c r="E191" s="49" t="s">
        <v>8837</v>
      </c>
      <c r="F191" s="49" t="s">
        <v>10088</v>
      </c>
      <c r="H191" s="49" t="s">
        <v>10089</v>
      </c>
      <c r="O191" s="49" t="s">
        <v>13711</v>
      </c>
      <c r="P191" s="49" t="s">
        <v>13712</v>
      </c>
      <c r="Q191" s="49" t="s">
        <v>13713</v>
      </c>
      <c r="R191" s="49" t="s">
        <v>13714</v>
      </c>
      <c r="S191" s="49" t="s">
        <v>13715</v>
      </c>
      <c r="T191" s="49" t="s">
        <v>13716</v>
      </c>
      <c r="U191" s="49" t="s">
        <v>13717</v>
      </c>
    </row>
    <row r="192" spans="1:21" x14ac:dyDescent="0.2">
      <c r="A192" s="49" t="s">
        <v>30</v>
      </c>
      <c r="D192" s="49" t="s">
        <v>850</v>
      </c>
      <c r="G192" s="49" t="s">
        <v>10090</v>
      </c>
      <c r="H192" s="49" t="s">
        <v>851</v>
      </c>
      <c r="I192" s="49" t="s">
        <v>852</v>
      </c>
      <c r="J192" s="49" t="s">
        <v>853</v>
      </c>
      <c r="K192" s="49" t="s">
        <v>854</v>
      </c>
      <c r="L192" s="49" t="s">
        <v>855</v>
      </c>
      <c r="M192" s="49" t="s">
        <v>856</v>
      </c>
      <c r="N192" s="49" t="s">
        <v>857</v>
      </c>
      <c r="O192" s="49" t="s">
        <v>9488</v>
      </c>
      <c r="P192" s="49" t="s">
        <v>9489</v>
      </c>
      <c r="Q192" s="49" t="s">
        <v>9490</v>
      </c>
      <c r="R192" s="49" t="s">
        <v>9491</v>
      </c>
      <c r="S192" s="49" t="s">
        <v>9492</v>
      </c>
      <c r="T192" s="49" t="s">
        <v>9493</v>
      </c>
    </row>
    <row r="193" spans="1:21" x14ac:dyDescent="0.2">
      <c r="A193" s="49" t="s">
        <v>30</v>
      </c>
    </row>
    <row r="194" spans="1:21" x14ac:dyDescent="0.2">
      <c r="A194" s="49" t="s">
        <v>30</v>
      </c>
      <c r="E194" s="49" t="s">
        <v>31</v>
      </c>
      <c r="F194" s="49" t="s">
        <v>31</v>
      </c>
      <c r="G194" s="49" t="s">
        <v>31</v>
      </c>
      <c r="J194" s="49" t="s">
        <v>31</v>
      </c>
      <c r="K194" s="49" t="s">
        <v>31</v>
      </c>
      <c r="L194" s="49" t="s">
        <v>31</v>
      </c>
      <c r="M194" s="49" t="s">
        <v>31</v>
      </c>
    </row>
    <row r="195" spans="1:21" x14ac:dyDescent="0.2">
      <c r="A195" s="49" t="s">
        <v>30</v>
      </c>
      <c r="D195" s="49" t="s">
        <v>10358</v>
      </c>
      <c r="E195" s="49" t="s">
        <v>8840</v>
      </c>
      <c r="F195" s="49" t="s">
        <v>10359</v>
      </c>
      <c r="H195" s="49" t="s">
        <v>10360</v>
      </c>
      <c r="O195" s="49" t="s">
        <v>33207</v>
      </c>
      <c r="P195" s="49" t="s">
        <v>33208</v>
      </c>
      <c r="Q195" s="49" t="s">
        <v>33209</v>
      </c>
      <c r="R195" s="49" t="s">
        <v>33210</v>
      </c>
      <c r="S195" s="49" t="s">
        <v>33211</v>
      </c>
      <c r="T195" s="49" t="s">
        <v>33212</v>
      </c>
      <c r="U195" s="49" t="s">
        <v>33213</v>
      </c>
    </row>
    <row r="196" spans="1:21" x14ac:dyDescent="0.2">
      <c r="A196" s="49" t="s">
        <v>30</v>
      </c>
      <c r="D196" s="49" t="s">
        <v>858</v>
      </c>
      <c r="G196" s="49" t="s">
        <v>10361</v>
      </c>
      <c r="H196" s="49" t="s">
        <v>859</v>
      </c>
      <c r="I196" s="49" t="s">
        <v>860</v>
      </c>
      <c r="J196" s="49" t="s">
        <v>861</v>
      </c>
      <c r="K196" s="49" t="s">
        <v>862</v>
      </c>
      <c r="L196" s="49" t="s">
        <v>863</v>
      </c>
      <c r="M196" s="49" t="s">
        <v>864</v>
      </c>
      <c r="N196" s="49" t="s">
        <v>865</v>
      </c>
      <c r="O196" s="49" t="s">
        <v>10362</v>
      </c>
      <c r="P196" s="49" t="s">
        <v>10363</v>
      </c>
      <c r="Q196" s="49" t="s">
        <v>10364</v>
      </c>
      <c r="R196" s="49" t="s">
        <v>10365</v>
      </c>
      <c r="S196" s="49" t="s">
        <v>10366</v>
      </c>
      <c r="T196" s="49" t="s">
        <v>10367</v>
      </c>
    </row>
    <row r="197" spans="1:21" x14ac:dyDescent="0.2">
      <c r="A197" s="49" t="s">
        <v>30</v>
      </c>
      <c r="D197" s="49" t="s">
        <v>866</v>
      </c>
      <c r="G197" s="49" t="s">
        <v>20807</v>
      </c>
      <c r="H197" s="49" t="s">
        <v>867</v>
      </c>
      <c r="I197" s="49" t="s">
        <v>868</v>
      </c>
      <c r="J197" s="49" t="s">
        <v>869</v>
      </c>
      <c r="K197" s="49" t="s">
        <v>870</v>
      </c>
      <c r="L197" s="49" t="s">
        <v>871</v>
      </c>
      <c r="M197" s="49" t="s">
        <v>872</v>
      </c>
      <c r="N197" s="49" t="s">
        <v>873</v>
      </c>
      <c r="O197" s="49" t="s">
        <v>9500</v>
      </c>
      <c r="P197" s="49" t="s">
        <v>9501</v>
      </c>
      <c r="Q197" s="49" t="s">
        <v>9502</v>
      </c>
      <c r="R197" s="49" t="s">
        <v>9503</v>
      </c>
      <c r="S197" s="49" t="s">
        <v>9504</v>
      </c>
      <c r="T197" s="49" t="s">
        <v>9505</v>
      </c>
    </row>
    <row r="198" spans="1:21" x14ac:dyDescent="0.2">
      <c r="A198" s="49" t="s">
        <v>30</v>
      </c>
    </row>
    <row r="199" spans="1:21" x14ac:dyDescent="0.2">
      <c r="A199" s="49" t="s">
        <v>30</v>
      </c>
      <c r="E199" s="49" t="s">
        <v>31</v>
      </c>
      <c r="F199" s="49" t="s">
        <v>31</v>
      </c>
      <c r="G199" s="49" t="s">
        <v>31</v>
      </c>
      <c r="J199" s="49" t="s">
        <v>31</v>
      </c>
      <c r="K199" s="49" t="s">
        <v>31</v>
      </c>
      <c r="L199" s="49" t="s">
        <v>31</v>
      </c>
      <c r="M199" s="49" t="s">
        <v>31</v>
      </c>
    </row>
    <row r="201" spans="1:21" x14ac:dyDescent="0.2">
      <c r="N201" s="49" t="s">
        <v>32</v>
      </c>
      <c r="O201" s="49" t="s">
        <v>34795</v>
      </c>
      <c r="P201" s="49" t="s">
        <v>34796</v>
      </c>
      <c r="Q201" s="49" t="s">
        <v>34797</v>
      </c>
      <c r="R201" s="49" t="s">
        <v>34798</v>
      </c>
      <c r="S201" s="49" t="s">
        <v>34799</v>
      </c>
      <c r="T201" s="49" t="s">
        <v>34800</v>
      </c>
      <c r="U201" s="49" t="s">
        <v>34801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workbookViewId="0"/>
  </sheetViews>
  <sheetFormatPr defaultRowHeight="12.75" x14ac:dyDescent="0.2"/>
  <sheetData>
    <row r="1" spans="1:21" x14ac:dyDescent="0.2">
      <c r="A1" s="49" t="s">
        <v>35885</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9966</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3535</v>
      </c>
      <c r="P12" s="49" t="s">
        <v>3536</v>
      </c>
      <c r="Q12" s="49" t="s">
        <v>3537</v>
      </c>
      <c r="R12" s="49" t="s">
        <v>3538</v>
      </c>
      <c r="S12" s="49" t="s">
        <v>3539</v>
      </c>
      <c r="T12" s="49" t="s">
        <v>3540</v>
      </c>
      <c r="U12" s="49" t="s">
        <v>3541</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4" spans="1:21" x14ac:dyDescent="0.2">
      <c r="A14" s="49" t="s">
        <v>30</v>
      </c>
      <c r="D14" s="49" t="s">
        <v>47</v>
      </c>
      <c r="G14" s="49" t="s">
        <v>14032</v>
      </c>
      <c r="H14" s="49" t="s">
        <v>48</v>
      </c>
      <c r="I14" s="49" t="s">
        <v>49</v>
      </c>
      <c r="J14" s="49" t="s">
        <v>50</v>
      </c>
      <c r="K14" s="49" t="s">
        <v>51</v>
      </c>
      <c r="L14" s="49" t="s">
        <v>52</v>
      </c>
      <c r="M14" s="49" t="s">
        <v>53</v>
      </c>
      <c r="N14" s="49" t="s">
        <v>54</v>
      </c>
      <c r="O14" s="49" t="s">
        <v>3542</v>
      </c>
      <c r="P14" s="49" t="s">
        <v>3543</v>
      </c>
      <c r="Q14" s="49" t="s">
        <v>3544</v>
      </c>
      <c r="R14" s="49" t="s">
        <v>3545</v>
      </c>
      <c r="S14" s="49" t="s">
        <v>3546</v>
      </c>
      <c r="T14" s="49" t="s">
        <v>3547</v>
      </c>
    </row>
    <row r="16" spans="1:21" x14ac:dyDescent="0.2">
      <c r="E16" s="49" t="s">
        <v>31</v>
      </c>
      <c r="F16" s="49" t="s">
        <v>31</v>
      </c>
      <c r="G16" s="49" t="s">
        <v>31</v>
      </c>
      <c r="J16" s="49" t="s">
        <v>31</v>
      </c>
      <c r="K16" s="49" t="s">
        <v>31</v>
      </c>
      <c r="L16" s="49" t="s">
        <v>31</v>
      </c>
      <c r="M16" s="49" t="s">
        <v>31</v>
      </c>
    </row>
    <row r="17" spans="1:21" x14ac:dyDescent="0.2">
      <c r="A17" s="49" t="s">
        <v>30</v>
      </c>
      <c r="D17" s="49" t="s">
        <v>3548</v>
      </c>
      <c r="E17" s="49" t="s">
        <v>4549</v>
      </c>
      <c r="F17" s="49" t="s">
        <v>3549</v>
      </c>
      <c r="H17" s="49" t="s">
        <v>3550</v>
      </c>
      <c r="O17" s="49" t="s">
        <v>34804</v>
      </c>
      <c r="P17" s="49" t="s">
        <v>34805</v>
      </c>
      <c r="Q17" s="49" t="s">
        <v>34806</v>
      </c>
      <c r="R17" s="49" t="s">
        <v>34807</v>
      </c>
      <c r="S17" s="49" t="s">
        <v>34808</v>
      </c>
      <c r="T17" s="49" t="s">
        <v>34809</v>
      </c>
      <c r="U17" s="49" t="s">
        <v>34810</v>
      </c>
    </row>
    <row r="18" spans="1:21" x14ac:dyDescent="0.2">
      <c r="A18" s="49" t="s">
        <v>30</v>
      </c>
      <c r="D18" s="49" t="s">
        <v>3551</v>
      </c>
      <c r="G18" s="49" t="s">
        <v>3552</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c r="D19" s="49" t="s">
        <v>63</v>
      </c>
      <c r="G19" s="49" t="s">
        <v>14051</v>
      </c>
      <c r="H19" s="49" t="s">
        <v>64</v>
      </c>
      <c r="I19" s="49" t="s">
        <v>65</v>
      </c>
      <c r="J19" s="49" t="s">
        <v>66</v>
      </c>
      <c r="K19" s="49" t="s">
        <v>67</v>
      </c>
      <c r="L19" s="49" t="s">
        <v>68</v>
      </c>
      <c r="M19" s="49" t="s">
        <v>69</v>
      </c>
      <c r="N19" s="49" t="s">
        <v>70</v>
      </c>
      <c r="O19" s="49" t="s">
        <v>4322</v>
      </c>
      <c r="P19" s="49" t="s">
        <v>4323</v>
      </c>
      <c r="Q19" s="49" t="s">
        <v>4324</v>
      </c>
      <c r="R19" s="49" t="s">
        <v>4325</v>
      </c>
      <c r="S19" s="49" t="s">
        <v>4326</v>
      </c>
      <c r="T19" s="49" t="s">
        <v>4327</v>
      </c>
    </row>
    <row r="20" spans="1:21" x14ac:dyDescent="0.2">
      <c r="A20" s="49" t="s">
        <v>30</v>
      </c>
      <c r="D20" s="49" t="s">
        <v>71</v>
      </c>
      <c r="G20" s="49" t="s">
        <v>14053</v>
      </c>
      <c r="H20" s="49" t="s">
        <v>72</v>
      </c>
      <c r="I20" s="49" t="s">
        <v>73</v>
      </c>
      <c r="J20" s="49" t="s">
        <v>74</v>
      </c>
      <c r="K20" s="49" t="s">
        <v>75</v>
      </c>
      <c r="L20" s="49" t="s">
        <v>76</v>
      </c>
      <c r="M20" s="49" t="s">
        <v>77</v>
      </c>
      <c r="N20" s="49" t="s">
        <v>78</v>
      </c>
      <c r="O20" s="49" t="s">
        <v>34690</v>
      </c>
      <c r="P20" s="49" t="s">
        <v>34691</v>
      </c>
      <c r="Q20" s="49" t="s">
        <v>34692</v>
      </c>
      <c r="R20" s="49" t="s">
        <v>34693</v>
      </c>
      <c r="S20" s="49" t="s">
        <v>34694</v>
      </c>
      <c r="T20" s="49" t="s">
        <v>34695</v>
      </c>
    </row>
    <row r="21" spans="1:21" x14ac:dyDescent="0.2">
      <c r="A21" s="49" t="s">
        <v>30</v>
      </c>
    </row>
    <row r="22" spans="1:21" x14ac:dyDescent="0.2">
      <c r="A22" s="49" t="s">
        <v>30</v>
      </c>
      <c r="E22" s="49" t="s">
        <v>31</v>
      </c>
      <c r="F22" s="49" t="s">
        <v>31</v>
      </c>
      <c r="G22" s="49" t="s">
        <v>31</v>
      </c>
      <c r="J22" s="49" t="s">
        <v>31</v>
      </c>
      <c r="K22" s="49" t="s">
        <v>31</v>
      </c>
      <c r="L22" s="49" t="s">
        <v>31</v>
      </c>
      <c r="M22" s="49" t="s">
        <v>31</v>
      </c>
    </row>
    <row r="23" spans="1:21" x14ac:dyDescent="0.2">
      <c r="A23" s="49" t="s">
        <v>30</v>
      </c>
      <c r="D23" s="49" t="s">
        <v>34811</v>
      </c>
      <c r="E23" s="49" t="s">
        <v>4550</v>
      </c>
      <c r="F23" s="49" t="s">
        <v>34812</v>
      </c>
      <c r="H23" s="49" t="s">
        <v>34813</v>
      </c>
      <c r="O23" s="49" t="s">
        <v>34814</v>
      </c>
      <c r="P23" s="49" t="s">
        <v>34815</v>
      </c>
      <c r="Q23" s="49" t="s">
        <v>34816</v>
      </c>
      <c r="R23" s="49" t="s">
        <v>34817</v>
      </c>
      <c r="S23" s="49" t="s">
        <v>34818</v>
      </c>
      <c r="T23" s="49" t="s">
        <v>34819</v>
      </c>
      <c r="U23" s="49" t="s">
        <v>34820</v>
      </c>
    </row>
    <row r="24" spans="1:21" x14ac:dyDescent="0.2">
      <c r="A24" s="49" t="s">
        <v>30</v>
      </c>
      <c r="D24" s="49" t="s">
        <v>2217</v>
      </c>
      <c r="G24" s="49" t="s">
        <v>34821</v>
      </c>
      <c r="H24" s="49" t="s">
        <v>2218</v>
      </c>
      <c r="I24" s="49" t="s">
        <v>2219</v>
      </c>
      <c r="J24" s="49" t="s">
        <v>2220</v>
      </c>
      <c r="K24" s="49" t="s">
        <v>2221</v>
      </c>
      <c r="L24" s="49" t="s">
        <v>2222</v>
      </c>
      <c r="M24" s="49" t="s">
        <v>2223</v>
      </c>
      <c r="N24" s="49" t="s">
        <v>2224</v>
      </c>
      <c r="O24" s="49" t="s">
        <v>3578</v>
      </c>
      <c r="P24" s="49" t="s">
        <v>3579</v>
      </c>
      <c r="Q24" s="49" t="s">
        <v>3580</v>
      </c>
      <c r="R24" s="49" t="s">
        <v>3581</v>
      </c>
      <c r="S24" s="49" t="s">
        <v>3582</v>
      </c>
      <c r="T24" s="49" t="s">
        <v>3583</v>
      </c>
    </row>
    <row r="25" spans="1:21" x14ac:dyDescent="0.2">
      <c r="A25" s="49" t="s">
        <v>30</v>
      </c>
      <c r="D25" s="49" t="s">
        <v>90</v>
      </c>
      <c r="G25" s="49" t="s">
        <v>14072</v>
      </c>
      <c r="H25" s="49" t="s">
        <v>91</v>
      </c>
      <c r="I25" s="49" t="s">
        <v>92</v>
      </c>
      <c r="J25" s="49" t="s">
        <v>93</v>
      </c>
      <c r="K25" s="49" t="s">
        <v>94</v>
      </c>
      <c r="L25" s="49" t="s">
        <v>95</v>
      </c>
      <c r="M25" s="49" t="s">
        <v>96</v>
      </c>
      <c r="N25" s="49" t="s">
        <v>97</v>
      </c>
      <c r="O25" s="49" t="s">
        <v>3357</v>
      </c>
      <c r="P25" s="49" t="s">
        <v>3358</v>
      </c>
      <c r="Q25" s="49" t="s">
        <v>3359</v>
      </c>
      <c r="R25" s="49" t="s">
        <v>3360</v>
      </c>
      <c r="S25" s="49" t="s">
        <v>3361</v>
      </c>
      <c r="T25" s="49" t="s">
        <v>3362</v>
      </c>
    </row>
    <row r="26" spans="1:21" x14ac:dyDescent="0.2">
      <c r="A26" s="49" t="s">
        <v>30</v>
      </c>
      <c r="D26" s="49" t="s">
        <v>98</v>
      </c>
      <c r="G26" s="49" t="s">
        <v>14075</v>
      </c>
      <c r="H26" s="49" t="s">
        <v>99</v>
      </c>
      <c r="I26" s="49" t="s">
        <v>100</v>
      </c>
      <c r="J26" s="49" t="s">
        <v>101</v>
      </c>
      <c r="K26" s="49" t="s">
        <v>102</v>
      </c>
      <c r="L26" s="49" t="s">
        <v>103</v>
      </c>
      <c r="M26" s="49" t="s">
        <v>104</v>
      </c>
      <c r="N26" s="49" t="s">
        <v>105</v>
      </c>
      <c r="O26" s="49" t="s">
        <v>3363</v>
      </c>
      <c r="P26" s="49" t="s">
        <v>3364</v>
      </c>
      <c r="Q26" s="49" t="s">
        <v>3365</v>
      </c>
      <c r="R26" s="49" t="s">
        <v>3366</v>
      </c>
      <c r="S26" s="49" t="s">
        <v>3367</v>
      </c>
      <c r="T26" s="49" t="s">
        <v>3368</v>
      </c>
    </row>
    <row r="27" spans="1:21" x14ac:dyDescent="0.2">
      <c r="A27" s="49" t="s">
        <v>30</v>
      </c>
    </row>
    <row r="28" spans="1:21" x14ac:dyDescent="0.2">
      <c r="A28" s="49" t="s">
        <v>30</v>
      </c>
      <c r="E28" s="49" t="s">
        <v>31</v>
      </c>
      <c r="F28" s="49" t="s">
        <v>31</v>
      </c>
      <c r="G28" s="49" t="s">
        <v>31</v>
      </c>
      <c r="J28" s="49" t="s">
        <v>31</v>
      </c>
      <c r="K28" s="49" t="s">
        <v>31</v>
      </c>
      <c r="L28" s="49" t="s">
        <v>31</v>
      </c>
      <c r="M28" s="49" t="s">
        <v>31</v>
      </c>
    </row>
    <row r="29" spans="1:21" x14ac:dyDescent="0.2">
      <c r="A29" s="49" t="s">
        <v>30</v>
      </c>
      <c r="D29" s="49" t="s">
        <v>3369</v>
      </c>
      <c r="E29" s="49" t="s">
        <v>4551</v>
      </c>
      <c r="F29" s="49" t="s">
        <v>3370</v>
      </c>
      <c r="H29" s="49" t="s">
        <v>3371</v>
      </c>
      <c r="O29" s="49" t="s">
        <v>34822</v>
      </c>
      <c r="P29" s="49" t="s">
        <v>34823</v>
      </c>
      <c r="Q29" s="49" t="s">
        <v>34824</v>
      </c>
      <c r="R29" s="49" t="s">
        <v>34825</v>
      </c>
      <c r="S29" s="49" t="s">
        <v>34826</v>
      </c>
      <c r="T29" s="49" t="s">
        <v>34827</v>
      </c>
      <c r="U29" s="49" t="s">
        <v>34828</v>
      </c>
    </row>
    <row r="30" spans="1:21" x14ac:dyDescent="0.2">
      <c r="A30" s="49" t="s">
        <v>30</v>
      </c>
      <c r="D30" s="49" t="s">
        <v>130</v>
      </c>
      <c r="G30" s="49" t="s">
        <v>3372</v>
      </c>
      <c r="H30" s="49" t="s">
        <v>131</v>
      </c>
      <c r="I30" s="49" t="s">
        <v>132</v>
      </c>
      <c r="J30" s="49" t="s">
        <v>133</v>
      </c>
      <c r="K30" s="49" t="s">
        <v>134</v>
      </c>
      <c r="L30" s="49" t="s">
        <v>135</v>
      </c>
      <c r="M30" s="49" t="s">
        <v>136</v>
      </c>
      <c r="N30" s="49" t="s">
        <v>137</v>
      </c>
      <c r="O30" s="49" t="s">
        <v>3373</v>
      </c>
      <c r="P30" s="49" t="s">
        <v>3374</v>
      </c>
      <c r="Q30" s="49" t="s">
        <v>3375</v>
      </c>
      <c r="R30" s="49" t="s">
        <v>3376</v>
      </c>
      <c r="S30" s="49" t="s">
        <v>3377</v>
      </c>
      <c r="T30" s="49" t="s">
        <v>3378</v>
      </c>
    </row>
    <row r="31" spans="1:21" x14ac:dyDescent="0.2">
      <c r="A31" s="49" t="s">
        <v>30</v>
      </c>
      <c r="D31" s="49" t="s">
        <v>1659</v>
      </c>
      <c r="G31" s="49" t="s">
        <v>14095</v>
      </c>
      <c r="H31" s="49" t="s">
        <v>1660</v>
      </c>
      <c r="I31" s="49" t="s">
        <v>1661</v>
      </c>
      <c r="J31" s="49" t="s">
        <v>1662</v>
      </c>
      <c r="K31" s="49" t="s">
        <v>1663</v>
      </c>
      <c r="L31" s="49" t="s">
        <v>1664</v>
      </c>
      <c r="M31" s="49" t="s">
        <v>1665</v>
      </c>
      <c r="N31" s="49" t="s">
        <v>1666</v>
      </c>
      <c r="O31" s="49" t="s">
        <v>3379</v>
      </c>
      <c r="P31" s="49" t="s">
        <v>3380</v>
      </c>
      <c r="Q31" s="49" t="s">
        <v>3381</v>
      </c>
      <c r="R31" s="49" t="s">
        <v>3382</v>
      </c>
      <c r="S31" s="49" t="s">
        <v>3383</v>
      </c>
      <c r="T31" s="49" t="s">
        <v>3384</v>
      </c>
    </row>
    <row r="32" spans="1:21" x14ac:dyDescent="0.2">
      <c r="A32" s="49" t="s">
        <v>30</v>
      </c>
      <c r="D32" s="49" t="s">
        <v>1797</v>
      </c>
      <c r="G32" s="49" t="s">
        <v>14097</v>
      </c>
      <c r="H32" s="49" t="s">
        <v>1798</v>
      </c>
      <c r="I32" s="49" t="s">
        <v>1799</v>
      </c>
      <c r="J32" s="49" t="s">
        <v>1800</v>
      </c>
      <c r="K32" s="49" t="s">
        <v>1801</v>
      </c>
      <c r="L32" s="49" t="s">
        <v>1802</v>
      </c>
      <c r="M32" s="49" t="s">
        <v>1803</v>
      </c>
      <c r="N32" s="49" t="s">
        <v>1804</v>
      </c>
      <c r="O32" s="49" t="s">
        <v>3902</v>
      </c>
      <c r="P32" s="49" t="s">
        <v>3903</v>
      </c>
      <c r="Q32" s="49" t="s">
        <v>3904</v>
      </c>
      <c r="R32" s="49" t="s">
        <v>3905</v>
      </c>
      <c r="S32" s="49" t="s">
        <v>3906</v>
      </c>
      <c r="T32" s="49" t="s">
        <v>3907</v>
      </c>
    </row>
    <row r="33" spans="1:21" x14ac:dyDescent="0.2">
      <c r="A33" s="49" t="s">
        <v>30</v>
      </c>
      <c r="D33" s="49" t="s">
        <v>2283</v>
      </c>
      <c r="G33" s="49" t="s">
        <v>14098</v>
      </c>
      <c r="H33" s="49" t="s">
        <v>2284</v>
      </c>
      <c r="I33" s="49" t="s">
        <v>2285</v>
      </c>
      <c r="J33" s="49" t="s">
        <v>2286</v>
      </c>
      <c r="K33" s="49" t="s">
        <v>2287</v>
      </c>
      <c r="L33" s="49" t="s">
        <v>2288</v>
      </c>
      <c r="M33" s="49" t="s">
        <v>2289</v>
      </c>
      <c r="N33" s="49" t="s">
        <v>2290</v>
      </c>
      <c r="O33" s="49" t="s">
        <v>4342</v>
      </c>
      <c r="P33" s="49" t="s">
        <v>4343</v>
      </c>
      <c r="Q33" s="49" t="s">
        <v>4344</v>
      </c>
      <c r="R33" s="49" t="s">
        <v>4345</v>
      </c>
      <c r="S33" s="49" t="s">
        <v>4346</v>
      </c>
      <c r="T33" s="49" t="s">
        <v>4347</v>
      </c>
    </row>
    <row r="34" spans="1:21" x14ac:dyDescent="0.2">
      <c r="A34" s="49" t="s">
        <v>30</v>
      </c>
      <c r="D34" s="49" t="s">
        <v>141</v>
      </c>
      <c r="G34" s="49" t="s">
        <v>14104</v>
      </c>
      <c r="H34" s="49" t="s">
        <v>142</v>
      </c>
      <c r="I34" s="49" t="s">
        <v>143</v>
      </c>
      <c r="J34" s="49" t="s">
        <v>144</v>
      </c>
      <c r="K34" s="49" t="s">
        <v>145</v>
      </c>
      <c r="L34" s="49" t="s">
        <v>146</v>
      </c>
      <c r="M34" s="49" t="s">
        <v>147</v>
      </c>
      <c r="N34" s="49" t="s">
        <v>148</v>
      </c>
      <c r="O34" s="49" t="s">
        <v>3834</v>
      </c>
      <c r="P34" s="49" t="s">
        <v>3835</v>
      </c>
      <c r="Q34" s="49" t="s">
        <v>3836</v>
      </c>
      <c r="R34" s="49" t="s">
        <v>3837</v>
      </c>
      <c r="S34" s="49" t="s">
        <v>3838</v>
      </c>
      <c r="T34" s="49" t="s">
        <v>3839</v>
      </c>
    </row>
    <row r="35" spans="1:21" x14ac:dyDescent="0.2">
      <c r="A35" s="49" t="s">
        <v>30</v>
      </c>
    </row>
    <row r="36" spans="1:21" x14ac:dyDescent="0.2">
      <c r="A36" s="49" t="s">
        <v>30</v>
      </c>
      <c r="E36" s="49" t="s">
        <v>31</v>
      </c>
      <c r="F36" s="49" t="s">
        <v>31</v>
      </c>
      <c r="G36" s="49" t="s">
        <v>31</v>
      </c>
      <c r="J36" s="49" t="s">
        <v>31</v>
      </c>
      <c r="K36" s="49" t="s">
        <v>31</v>
      </c>
      <c r="L36" s="49" t="s">
        <v>31</v>
      </c>
      <c r="M36" s="49" t="s">
        <v>31</v>
      </c>
    </row>
    <row r="37" spans="1:21" x14ac:dyDescent="0.2">
      <c r="A37" s="49" t="s">
        <v>30</v>
      </c>
      <c r="D37" s="49" t="s">
        <v>2291</v>
      </c>
      <c r="E37" s="49" t="s">
        <v>4552</v>
      </c>
      <c r="F37" s="49" t="s">
        <v>2292</v>
      </c>
      <c r="H37" s="49" t="s">
        <v>2293</v>
      </c>
      <c r="O37" s="49" t="s">
        <v>34829</v>
      </c>
      <c r="P37" s="49" t="s">
        <v>34830</v>
      </c>
      <c r="Q37" s="49" t="s">
        <v>34831</v>
      </c>
      <c r="R37" s="49" t="s">
        <v>34832</v>
      </c>
      <c r="S37" s="49" t="s">
        <v>34833</v>
      </c>
      <c r="T37" s="49" t="s">
        <v>34834</v>
      </c>
      <c r="U37" s="49" t="s">
        <v>34835</v>
      </c>
    </row>
    <row r="38" spans="1:21" x14ac:dyDescent="0.2">
      <c r="A38" s="49" t="s">
        <v>30</v>
      </c>
      <c r="D38" s="49" t="s">
        <v>173</v>
      </c>
      <c r="G38" s="49" t="s">
        <v>3840</v>
      </c>
      <c r="H38" s="49" t="s">
        <v>174</v>
      </c>
      <c r="I38" s="49" t="s">
        <v>175</v>
      </c>
      <c r="J38" s="49" t="s">
        <v>176</v>
      </c>
      <c r="K38" s="49" t="s">
        <v>177</v>
      </c>
      <c r="L38" s="49" t="s">
        <v>178</v>
      </c>
      <c r="M38" s="49" t="s">
        <v>179</v>
      </c>
      <c r="N38" s="49" t="s">
        <v>180</v>
      </c>
      <c r="O38" s="49" t="s">
        <v>3841</v>
      </c>
      <c r="P38" s="49" t="s">
        <v>3842</v>
      </c>
      <c r="Q38" s="49" t="s">
        <v>3843</v>
      </c>
      <c r="R38" s="49" t="s">
        <v>3844</v>
      </c>
      <c r="S38" s="49" t="s">
        <v>3845</v>
      </c>
      <c r="T38" s="49" t="s">
        <v>3846</v>
      </c>
    </row>
    <row r="39" spans="1:21" x14ac:dyDescent="0.2">
      <c r="A39" s="49" t="s">
        <v>30</v>
      </c>
      <c r="D39" s="49" t="s">
        <v>1667</v>
      </c>
      <c r="G39" s="49" t="s">
        <v>14129</v>
      </c>
      <c r="H39" s="49" t="s">
        <v>1668</v>
      </c>
      <c r="I39" s="49" t="s">
        <v>1669</v>
      </c>
      <c r="J39" s="49" t="s">
        <v>1670</v>
      </c>
      <c r="K39" s="49" t="s">
        <v>1671</v>
      </c>
      <c r="L39" s="49" t="s">
        <v>1672</v>
      </c>
      <c r="M39" s="49" t="s">
        <v>1673</v>
      </c>
      <c r="N39" s="49" t="s">
        <v>1674</v>
      </c>
      <c r="O39" s="49" t="s">
        <v>3972</v>
      </c>
      <c r="P39" s="49" t="s">
        <v>3973</v>
      </c>
      <c r="Q39" s="49" t="s">
        <v>3974</v>
      </c>
      <c r="R39" s="49" t="s">
        <v>3975</v>
      </c>
      <c r="S39" s="49" t="s">
        <v>3976</v>
      </c>
      <c r="T39" s="49" t="s">
        <v>3977</v>
      </c>
    </row>
    <row r="40" spans="1:21" x14ac:dyDescent="0.2">
      <c r="A40" s="49" t="s">
        <v>30</v>
      </c>
      <c r="D40" s="49" t="s">
        <v>1808</v>
      </c>
      <c r="G40" s="49" t="s">
        <v>14130</v>
      </c>
      <c r="H40" s="49" t="s">
        <v>1809</v>
      </c>
      <c r="I40" s="49" t="s">
        <v>1810</v>
      </c>
      <c r="J40" s="49" t="s">
        <v>1811</v>
      </c>
      <c r="K40" s="49" t="s">
        <v>1812</v>
      </c>
      <c r="L40" s="49" t="s">
        <v>1813</v>
      </c>
      <c r="M40" s="49" t="s">
        <v>1814</v>
      </c>
      <c r="N40" s="49" t="s">
        <v>1815</v>
      </c>
      <c r="O40" s="49" t="s">
        <v>32200</v>
      </c>
      <c r="P40" s="49" t="s">
        <v>32201</v>
      </c>
      <c r="Q40" s="49" t="s">
        <v>32202</v>
      </c>
      <c r="R40" s="49" t="s">
        <v>32203</v>
      </c>
      <c r="S40" s="49" t="s">
        <v>32204</v>
      </c>
      <c r="T40" s="49" t="s">
        <v>32205</v>
      </c>
    </row>
    <row r="41" spans="1:21" x14ac:dyDescent="0.2">
      <c r="A41" s="49" t="s">
        <v>30</v>
      </c>
      <c r="D41" s="49" t="s">
        <v>2824</v>
      </c>
      <c r="G41" s="49" t="s">
        <v>14134</v>
      </c>
      <c r="H41" s="49" t="s">
        <v>2825</v>
      </c>
      <c r="I41" s="49" t="s">
        <v>2826</v>
      </c>
      <c r="J41" s="49" t="s">
        <v>2827</v>
      </c>
      <c r="K41" s="49" t="s">
        <v>2828</v>
      </c>
      <c r="L41" s="49" t="s">
        <v>2829</v>
      </c>
      <c r="M41" s="49" t="s">
        <v>2830</v>
      </c>
      <c r="N41" s="49" t="s">
        <v>2831</v>
      </c>
      <c r="O41" s="49" t="s">
        <v>3403</v>
      </c>
      <c r="P41" s="49" t="s">
        <v>3404</v>
      </c>
      <c r="Q41" s="49" t="s">
        <v>3405</v>
      </c>
      <c r="R41" s="49" t="s">
        <v>3406</v>
      </c>
      <c r="S41" s="49" t="s">
        <v>3407</v>
      </c>
      <c r="T41" s="49" t="s">
        <v>3408</v>
      </c>
    </row>
    <row r="42" spans="1:21" x14ac:dyDescent="0.2">
      <c r="A42" s="49" t="s">
        <v>30</v>
      </c>
    </row>
    <row r="43" spans="1:21" x14ac:dyDescent="0.2">
      <c r="A43" s="49" t="s">
        <v>30</v>
      </c>
      <c r="E43" s="49" t="s">
        <v>31</v>
      </c>
      <c r="F43" s="49" t="s">
        <v>31</v>
      </c>
      <c r="G43" s="49" t="s">
        <v>31</v>
      </c>
      <c r="J43" s="49" t="s">
        <v>31</v>
      </c>
      <c r="K43" s="49" t="s">
        <v>31</v>
      </c>
      <c r="L43" s="49" t="s">
        <v>31</v>
      </c>
      <c r="M43" s="49" t="s">
        <v>31</v>
      </c>
    </row>
    <row r="44" spans="1:21" x14ac:dyDescent="0.2">
      <c r="A44" s="49" t="s">
        <v>30</v>
      </c>
      <c r="D44" s="49" t="s">
        <v>9955</v>
      </c>
      <c r="E44" s="49" t="s">
        <v>4559</v>
      </c>
      <c r="F44" s="49" t="s">
        <v>9956</v>
      </c>
      <c r="H44" s="49" t="s">
        <v>9957</v>
      </c>
      <c r="O44" s="49" t="s">
        <v>34836</v>
      </c>
      <c r="P44" s="49" t="s">
        <v>34837</v>
      </c>
      <c r="Q44" s="49" t="s">
        <v>34838</v>
      </c>
      <c r="R44" s="49" t="s">
        <v>34839</v>
      </c>
      <c r="S44" s="49" t="s">
        <v>34840</v>
      </c>
      <c r="T44" s="49" t="s">
        <v>34841</v>
      </c>
      <c r="U44" s="49" t="s">
        <v>34842</v>
      </c>
    </row>
    <row r="45" spans="1:21" x14ac:dyDescent="0.2">
      <c r="A45" s="49" t="s">
        <v>30</v>
      </c>
      <c r="D45" s="49" t="s">
        <v>1824</v>
      </c>
      <c r="G45" s="49" t="s">
        <v>9965</v>
      </c>
      <c r="H45" s="49" t="s">
        <v>1825</v>
      </c>
      <c r="I45" s="49" t="s">
        <v>1826</v>
      </c>
      <c r="J45" s="49" t="s">
        <v>1827</v>
      </c>
      <c r="K45" s="49" t="s">
        <v>1828</v>
      </c>
      <c r="L45" s="49" t="s">
        <v>1829</v>
      </c>
      <c r="M45" s="49" t="s">
        <v>1830</v>
      </c>
      <c r="N45" s="49" t="s">
        <v>1831</v>
      </c>
      <c r="O45" s="49" t="s">
        <v>3409</v>
      </c>
      <c r="P45" s="49" t="s">
        <v>3410</v>
      </c>
      <c r="Q45" s="49" t="s">
        <v>3411</v>
      </c>
      <c r="R45" s="49" t="s">
        <v>3412</v>
      </c>
      <c r="S45" s="49" t="s">
        <v>3413</v>
      </c>
      <c r="T45" s="49" t="s">
        <v>3414</v>
      </c>
    </row>
    <row r="46" spans="1:21" x14ac:dyDescent="0.2">
      <c r="A46" s="49" t="s">
        <v>30</v>
      </c>
      <c r="D46" s="49" t="s">
        <v>2531</v>
      </c>
      <c r="G46" s="49" t="s">
        <v>14152</v>
      </c>
      <c r="H46" s="49" t="s">
        <v>2532</v>
      </c>
      <c r="I46" s="49" t="s">
        <v>2533</v>
      </c>
      <c r="J46" s="49" t="s">
        <v>2534</v>
      </c>
      <c r="K46" s="49" t="s">
        <v>2535</v>
      </c>
      <c r="L46" s="49" t="s">
        <v>2536</v>
      </c>
      <c r="M46" s="49" t="s">
        <v>2537</v>
      </c>
      <c r="N46" s="49" t="s">
        <v>2538</v>
      </c>
      <c r="O46" s="49" t="s">
        <v>3849</v>
      </c>
      <c r="P46" s="49" t="s">
        <v>3850</v>
      </c>
      <c r="Q46" s="49" t="s">
        <v>3851</v>
      </c>
      <c r="R46" s="49" t="s">
        <v>3852</v>
      </c>
      <c r="S46" s="49" t="s">
        <v>3853</v>
      </c>
      <c r="T46" s="49" t="s">
        <v>3854</v>
      </c>
    </row>
    <row r="47" spans="1:21" x14ac:dyDescent="0.2">
      <c r="A47" s="49" t="s">
        <v>30</v>
      </c>
      <c r="D47" s="49" t="s">
        <v>200</v>
      </c>
      <c r="G47" s="49" t="s">
        <v>14154</v>
      </c>
      <c r="H47" s="49" t="s">
        <v>201</v>
      </c>
      <c r="I47" s="49" t="s">
        <v>202</v>
      </c>
      <c r="J47" s="49" t="s">
        <v>203</v>
      </c>
      <c r="K47" s="49" t="s">
        <v>204</v>
      </c>
      <c r="L47" s="49" t="s">
        <v>205</v>
      </c>
      <c r="M47" s="49" t="s">
        <v>206</v>
      </c>
      <c r="N47" s="49" t="s">
        <v>207</v>
      </c>
      <c r="O47" s="49" t="s">
        <v>4052</v>
      </c>
      <c r="P47" s="49" t="s">
        <v>4053</v>
      </c>
      <c r="Q47" s="49" t="s">
        <v>4054</v>
      </c>
      <c r="R47" s="49" t="s">
        <v>4055</v>
      </c>
      <c r="S47" s="49" t="s">
        <v>4056</v>
      </c>
      <c r="T47" s="49" t="s">
        <v>4057</v>
      </c>
    </row>
    <row r="48" spans="1:21" x14ac:dyDescent="0.2">
      <c r="A48" s="49" t="s">
        <v>30</v>
      </c>
      <c r="D48" s="49" t="s">
        <v>208</v>
      </c>
      <c r="G48" s="49" t="s">
        <v>14159</v>
      </c>
      <c r="H48" s="49" t="s">
        <v>209</v>
      </c>
      <c r="I48" s="49" t="s">
        <v>210</v>
      </c>
      <c r="J48" s="49" t="s">
        <v>211</v>
      </c>
      <c r="K48" s="49" t="s">
        <v>212</v>
      </c>
      <c r="L48" s="49" t="s">
        <v>213</v>
      </c>
      <c r="M48" s="49" t="s">
        <v>214</v>
      </c>
      <c r="N48" s="49" t="s">
        <v>215</v>
      </c>
      <c r="O48" s="49" t="s">
        <v>3609</v>
      </c>
      <c r="P48" s="49" t="s">
        <v>3610</v>
      </c>
      <c r="Q48" s="49" t="s">
        <v>3611</v>
      </c>
      <c r="R48" s="49" t="s">
        <v>3612</v>
      </c>
      <c r="S48" s="49" t="s">
        <v>3613</v>
      </c>
      <c r="T48" s="49" t="s">
        <v>3614</v>
      </c>
    </row>
    <row r="49" spans="1:21" x14ac:dyDescent="0.2">
      <c r="A49" s="49" t="s">
        <v>30</v>
      </c>
    </row>
    <row r="50" spans="1:21" x14ac:dyDescent="0.2">
      <c r="A50" s="49" t="s">
        <v>30</v>
      </c>
      <c r="E50" s="49" t="s">
        <v>31</v>
      </c>
      <c r="F50" s="49" t="s">
        <v>31</v>
      </c>
      <c r="G50" s="49" t="s">
        <v>31</v>
      </c>
      <c r="J50" s="49" t="s">
        <v>31</v>
      </c>
      <c r="K50" s="49" t="s">
        <v>31</v>
      </c>
      <c r="L50" s="49" t="s">
        <v>31</v>
      </c>
      <c r="M50" s="49" t="s">
        <v>31</v>
      </c>
    </row>
    <row r="51" spans="1:21" x14ac:dyDescent="0.2">
      <c r="A51" s="49" t="s">
        <v>30</v>
      </c>
      <c r="D51" s="49" t="s">
        <v>2225</v>
      </c>
      <c r="E51" s="49" t="s">
        <v>4561</v>
      </c>
      <c r="F51" s="49" t="s">
        <v>2226</v>
      </c>
      <c r="H51" s="49" t="s">
        <v>2227</v>
      </c>
      <c r="O51" s="49" t="s">
        <v>8859</v>
      </c>
      <c r="P51" s="49" t="s">
        <v>8860</v>
      </c>
      <c r="Q51" s="49" t="s">
        <v>8861</v>
      </c>
      <c r="R51" s="49" t="s">
        <v>8862</v>
      </c>
      <c r="S51" s="49" t="s">
        <v>8863</v>
      </c>
      <c r="T51" s="49" t="s">
        <v>8864</v>
      </c>
      <c r="U51" s="49" t="s">
        <v>8865</v>
      </c>
    </row>
    <row r="52" spans="1:21" x14ac:dyDescent="0.2">
      <c r="A52" s="49" t="s">
        <v>30</v>
      </c>
      <c r="D52" s="49" t="s">
        <v>2228</v>
      </c>
      <c r="G52" s="49" t="s">
        <v>3978</v>
      </c>
      <c r="H52" s="49" t="s">
        <v>2229</v>
      </c>
      <c r="I52" s="49" t="s">
        <v>2230</v>
      </c>
      <c r="J52" s="49" t="s">
        <v>2231</v>
      </c>
      <c r="K52" s="49" t="s">
        <v>2232</v>
      </c>
      <c r="L52" s="49" t="s">
        <v>2233</v>
      </c>
      <c r="M52" s="49" t="s">
        <v>2234</v>
      </c>
      <c r="N52" s="49" t="s">
        <v>2235</v>
      </c>
      <c r="O52" s="49" t="s">
        <v>3979</v>
      </c>
      <c r="P52" s="49" t="s">
        <v>3980</v>
      </c>
      <c r="Q52" s="49" t="s">
        <v>3981</v>
      </c>
      <c r="R52" s="49" t="s">
        <v>3982</v>
      </c>
      <c r="S52" s="49" t="s">
        <v>3983</v>
      </c>
      <c r="T52" s="49" t="s">
        <v>3984</v>
      </c>
    </row>
    <row r="53" spans="1:21" x14ac:dyDescent="0.2">
      <c r="A53" s="49" t="s">
        <v>30</v>
      </c>
      <c r="D53" s="49" t="s">
        <v>2236</v>
      </c>
      <c r="G53" s="49" t="s">
        <v>14176</v>
      </c>
      <c r="H53" s="49" t="s">
        <v>2237</v>
      </c>
      <c r="I53" s="49" t="s">
        <v>2238</v>
      </c>
      <c r="J53" s="49" t="s">
        <v>2239</v>
      </c>
      <c r="K53" s="49" t="s">
        <v>2240</v>
      </c>
      <c r="L53" s="49" t="s">
        <v>2241</v>
      </c>
      <c r="M53" s="49" t="s">
        <v>2242</v>
      </c>
      <c r="N53" s="49" t="s">
        <v>2243</v>
      </c>
      <c r="O53" s="49" t="s">
        <v>3422</v>
      </c>
      <c r="P53" s="49" t="s">
        <v>3423</v>
      </c>
      <c r="Q53" s="49" t="s">
        <v>3424</v>
      </c>
      <c r="R53" s="49" t="s">
        <v>3425</v>
      </c>
      <c r="S53" s="49" t="s">
        <v>3426</v>
      </c>
      <c r="T53" s="49" t="s">
        <v>3427</v>
      </c>
    </row>
    <row r="54" spans="1:21" x14ac:dyDescent="0.2">
      <c r="A54" s="49" t="s">
        <v>30</v>
      </c>
    </row>
    <row r="55" spans="1:21" x14ac:dyDescent="0.2">
      <c r="A55" s="49" t="s">
        <v>30</v>
      </c>
      <c r="E55" s="49" t="s">
        <v>31</v>
      </c>
      <c r="F55" s="49" t="s">
        <v>31</v>
      </c>
      <c r="G55" s="49" t="s">
        <v>31</v>
      </c>
      <c r="J55" s="49" t="s">
        <v>31</v>
      </c>
      <c r="K55" s="49" t="s">
        <v>31</v>
      </c>
      <c r="L55" s="49" t="s">
        <v>31</v>
      </c>
      <c r="M55" s="49" t="s">
        <v>31</v>
      </c>
    </row>
    <row r="56" spans="1:21" x14ac:dyDescent="0.2">
      <c r="A56" s="49" t="s">
        <v>30</v>
      </c>
      <c r="D56" s="49" t="s">
        <v>2244</v>
      </c>
      <c r="E56" s="49" t="s">
        <v>4564</v>
      </c>
      <c r="F56" s="49" t="s">
        <v>2245</v>
      </c>
      <c r="H56" s="49" t="s">
        <v>2246</v>
      </c>
      <c r="O56" s="49" t="s">
        <v>34843</v>
      </c>
      <c r="P56" s="49" t="s">
        <v>34844</v>
      </c>
      <c r="Q56" s="49" t="s">
        <v>34845</v>
      </c>
      <c r="R56" s="49" t="s">
        <v>34846</v>
      </c>
      <c r="S56" s="49" t="s">
        <v>34847</v>
      </c>
      <c r="T56" s="49" t="s">
        <v>34848</v>
      </c>
      <c r="U56" s="49" t="s">
        <v>34849</v>
      </c>
    </row>
    <row r="57" spans="1:21" x14ac:dyDescent="0.2">
      <c r="A57" s="49" t="s">
        <v>30</v>
      </c>
      <c r="D57" s="49" t="s">
        <v>259</v>
      </c>
      <c r="G57" s="49" t="s">
        <v>3428</v>
      </c>
      <c r="H57" s="49" t="s">
        <v>260</v>
      </c>
      <c r="I57" s="49" t="s">
        <v>261</v>
      </c>
      <c r="J57" s="49" t="s">
        <v>262</v>
      </c>
      <c r="K57" s="49" t="s">
        <v>263</v>
      </c>
      <c r="L57" s="49" t="s">
        <v>264</v>
      </c>
      <c r="M57" s="49" t="s">
        <v>265</v>
      </c>
      <c r="N57" s="49" t="s">
        <v>266</v>
      </c>
      <c r="O57" s="49" t="s">
        <v>3429</v>
      </c>
      <c r="P57" s="49" t="s">
        <v>3430</v>
      </c>
      <c r="Q57" s="49" t="s">
        <v>3431</v>
      </c>
      <c r="R57" s="49" t="s">
        <v>3432</v>
      </c>
      <c r="S57" s="49" t="s">
        <v>3433</v>
      </c>
      <c r="T57" s="49" t="s">
        <v>3434</v>
      </c>
    </row>
    <row r="58" spans="1:21" x14ac:dyDescent="0.2">
      <c r="A58" s="49" t="s">
        <v>30</v>
      </c>
      <c r="D58" s="49" t="s">
        <v>267</v>
      </c>
      <c r="G58" s="49" t="s">
        <v>14197</v>
      </c>
      <c r="H58" s="49" t="s">
        <v>268</v>
      </c>
      <c r="I58" s="49" t="s">
        <v>269</v>
      </c>
      <c r="J58" s="49" t="s">
        <v>270</v>
      </c>
      <c r="K58" s="49" t="s">
        <v>271</v>
      </c>
      <c r="L58" s="49" t="s">
        <v>272</v>
      </c>
      <c r="M58" s="49" t="s">
        <v>273</v>
      </c>
      <c r="N58" s="49" t="s">
        <v>274</v>
      </c>
      <c r="O58" s="49" t="s">
        <v>3615</v>
      </c>
      <c r="P58" s="49" t="s">
        <v>3616</v>
      </c>
      <c r="Q58" s="49" t="s">
        <v>3617</v>
      </c>
      <c r="R58" s="49" t="s">
        <v>3618</v>
      </c>
      <c r="S58" s="49" t="s">
        <v>3619</v>
      </c>
      <c r="T58" s="49" t="s">
        <v>3620</v>
      </c>
    </row>
    <row r="59" spans="1:21" x14ac:dyDescent="0.2">
      <c r="A59" s="49" t="s">
        <v>30</v>
      </c>
    </row>
    <row r="60" spans="1:21" x14ac:dyDescent="0.2">
      <c r="A60" s="49" t="s">
        <v>30</v>
      </c>
      <c r="E60" s="49" t="s">
        <v>31</v>
      </c>
      <c r="F60" s="49" t="s">
        <v>31</v>
      </c>
      <c r="G60" s="49" t="s">
        <v>31</v>
      </c>
      <c r="J60" s="49" t="s">
        <v>31</v>
      </c>
      <c r="K60" s="49" t="s">
        <v>31</v>
      </c>
      <c r="L60" s="49" t="s">
        <v>31</v>
      </c>
      <c r="M60" s="49" t="s">
        <v>31</v>
      </c>
    </row>
    <row r="61" spans="1:21" x14ac:dyDescent="0.2">
      <c r="A61" s="49" t="s">
        <v>30</v>
      </c>
      <c r="D61" s="49" t="s">
        <v>275</v>
      </c>
      <c r="E61" s="49" t="s">
        <v>4565</v>
      </c>
      <c r="F61" s="49" t="s">
        <v>276</v>
      </c>
      <c r="H61" s="49" t="s">
        <v>277</v>
      </c>
      <c r="O61" s="49" t="s">
        <v>10280</v>
      </c>
      <c r="P61" s="49" t="s">
        <v>10281</v>
      </c>
      <c r="Q61" s="49" t="s">
        <v>10282</v>
      </c>
      <c r="R61" s="49" t="s">
        <v>10283</v>
      </c>
      <c r="S61" s="49" t="s">
        <v>10284</v>
      </c>
      <c r="T61" s="49" t="s">
        <v>10285</v>
      </c>
      <c r="U61" s="49" t="s">
        <v>10286</v>
      </c>
    </row>
    <row r="62" spans="1:21" x14ac:dyDescent="0.2">
      <c r="A62" s="49" t="s">
        <v>30</v>
      </c>
      <c r="D62" s="49" t="s">
        <v>278</v>
      </c>
      <c r="G62" s="49" t="s">
        <v>3862</v>
      </c>
      <c r="H62" s="49" t="s">
        <v>279</v>
      </c>
      <c r="I62" s="49" t="s">
        <v>280</v>
      </c>
      <c r="J62" s="49" t="s">
        <v>281</v>
      </c>
      <c r="K62" s="49" t="s">
        <v>282</v>
      </c>
      <c r="L62" s="49" t="s">
        <v>283</v>
      </c>
      <c r="M62" s="49" t="s">
        <v>284</v>
      </c>
      <c r="N62" s="49" t="s">
        <v>285</v>
      </c>
      <c r="O62" s="49" t="s">
        <v>3863</v>
      </c>
      <c r="P62" s="49" t="s">
        <v>3864</v>
      </c>
      <c r="Q62" s="49" t="s">
        <v>3865</v>
      </c>
      <c r="R62" s="49" t="s">
        <v>3866</v>
      </c>
      <c r="S62" s="49" t="s">
        <v>3867</v>
      </c>
      <c r="T62" s="49" t="s">
        <v>3868</v>
      </c>
    </row>
    <row r="63" spans="1:21" x14ac:dyDescent="0.2">
      <c r="A63" s="49" t="s">
        <v>30</v>
      </c>
      <c r="D63" s="49" t="s">
        <v>286</v>
      </c>
      <c r="G63" s="49" t="s">
        <v>14216</v>
      </c>
      <c r="H63" s="49" t="s">
        <v>287</v>
      </c>
      <c r="I63" s="49" t="s">
        <v>288</v>
      </c>
      <c r="J63" s="49" t="s">
        <v>289</v>
      </c>
      <c r="K63" s="49" t="s">
        <v>290</v>
      </c>
      <c r="L63" s="49" t="s">
        <v>291</v>
      </c>
      <c r="M63" s="49" t="s">
        <v>292</v>
      </c>
      <c r="N63" s="49" t="s">
        <v>293</v>
      </c>
      <c r="O63" s="49" t="s">
        <v>4072</v>
      </c>
      <c r="P63" s="49" t="s">
        <v>4073</v>
      </c>
      <c r="Q63" s="49" t="s">
        <v>4074</v>
      </c>
      <c r="R63" s="49" t="s">
        <v>4075</v>
      </c>
      <c r="S63" s="49" t="s">
        <v>4076</v>
      </c>
      <c r="T63" s="49" t="s">
        <v>4077</v>
      </c>
    </row>
    <row r="64" spans="1:21" x14ac:dyDescent="0.2">
      <c r="A64" s="49" t="s">
        <v>30</v>
      </c>
    </row>
    <row r="65" spans="1:21" x14ac:dyDescent="0.2">
      <c r="A65" s="49" t="s">
        <v>30</v>
      </c>
      <c r="E65" s="49" t="s">
        <v>31</v>
      </c>
      <c r="F65" s="49" t="s">
        <v>31</v>
      </c>
      <c r="G65" s="49" t="s">
        <v>31</v>
      </c>
      <c r="J65" s="49" t="s">
        <v>31</v>
      </c>
      <c r="K65" s="49" t="s">
        <v>31</v>
      </c>
      <c r="L65" s="49" t="s">
        <v>31</v>
      </c>
      <c r="M65" s="49" t="s">
        <v>31</v>
      </c>
    </row>
    <row r="66" spans="1:21" x14ac:dyDescent="0.2">
      <c r="A66" s="49" t="s">
        <v>30</v>
      </c>
      <c r="D66" s="49" t="s">
        <v>9989</v>
      </c>
      <c r="E66" s="49" t="s">
        <v>4566</v>
      </c>
      <c r="F66" s="49" t="s">
        <v>9990</v>
      </c>
      <c r="H66" s="49" t="s">
        <v>9991</v>
      </c>
      <c r="O66" s="49" t="s">
        <v>34850</v>
      </c>
      <c r="P66" s="49" t="s">
        <v>34851</v>
      </c>
      <c r="Q66" s="49" t="s">
        <v>34852</v>
      </c>
      <c r="R66" s="49" t="s">
        <v>34853</v>
      </c>
      <c r="S66" s="49" t="s">
        <v>34854</v>
      </c>
      <c r="T66" s="49" t="s">
        <v>34855</v>
      </c>
      <c r="U66" s="49" t="s">
        <v>34856</v>
      </c>
    </row>
    <row r="67" spans="1:21" x14ac:dyDescent="0.2">
      <c r="A67" s="49" t="s">
        <v>30</v>
      </c>
      <c r="D67" s="49" t="s">
        <v>1689</v>
      </c>
      <c r="G67" s="49" t="s">
        <v>9992</v>
      </c>
      <c r="H67" s="49" t="s">
        <v>1690</v>
      </c>
      <c r="I67" s="49" t="s">
        <v>1691</v>
      </c>
      <c r="J67" s="49" t="s">
        <v>1692</v>
      </c>
      <c r="K67" s="49" t="s">
        <v>1693</v>
      </c>
      <c r="L67" s="49" t="s">
        <v>1694</v>
      </c>
      <c r="M67" s="49" t="s">
        <v>1695</v>
      </c>
      <c r="N67" s="49" t="s">
        <v>1696</v>
      </c>
      <c r="O67" s="49" t="s">
        <v>3909</v>
      </c>
      <c r="P67" s="49" t="s">
        <v>3910</v>
      </c>
      <c r="Q67" s="49" t="s">
        <v>3911</v>
      </c>
      <c r="R67" s="49" t="s">
        <v>3912</v>
      </c>
      <c r="S67" s="49" t="s">
        <v>3913</v>
      </c>
      <c r="T67" s="49" t="s">
        <v>3914</v>
      </c>
    </row>
    <row r="68" spans="1:21" x14ac:dyDescent="0.2">
      <c r="A68" s="49" t="s">
        <v>30</v>
      </c>
      <c r="D68" s="49" t="s">
        <v>302</v>
      </c>
      <c r="G68" s="49" t="s">
        <v>14235</v>
      </c>
      <c r="H68" s="49" t="s">
        <v>303</v>
      </c>
      <c r="I68" s="49" t="s">
        <v>304</v>
      </c>
      <c r="J68" s="49" t="s">
        <v>305</v>
      </c>
      <c r="K68" s="49" t="s">
        <v>306</v>
      </c>
      <c r="L68" s="49" t="s">
        <v>307</v>
      </c>
      <c r="M68" s="49" t="s">
        <v>308</v>
      </c>
      <c r="N68" s="49" t="s">
        <v>309</v>
      </c>
      <c r="O68" s="49" t="s">
        <v>3633</v>
      </c>
      <c r="P68" s="49" t="s">
        <v>3634</v>
      </c>
      <c r="Q68" s="49" t="s">
        <v>3635</v>
      </c>
      <c r="R68" s="49" t="s">
        <v>3636</v>
      </c>
      <c r="S68" s="49" t="s">
        <v>3637</v>
      </c>
      <c r="T68" s="49" t="s">
        <v>3638</v>
      </c>
    </row>
    <row r="69" spans="1:21" x14ac:dyDescent="0.2">
      <c r="A69" s="49" t="s">
        <v>30</v>
      </c>
      <c r="D69" s="49" t="s">
        <v>1843</v>
      </c>
      <c r="G69" s="49" t="s">
        <v>14237</v>
      </c>
      <c r="H69" s="49" t="s">
        <v>1844</v>
      </c>
      <c r="I69" s="49" t="s">
        <v>1845</v>
      </c>
      <c r="J69" s="49" t="s">
        <v>1846</v>
      </c>
      <c r="K69" s="49" t="s">
        <v>1847</v>
      </c>
      <c r="L69" s="49" t="s">
        <v>1848</v>
      </c>
      <c r="M69" s="49" t="s">
        <v>1849</v>
      </c>
      <c r="N69" s="49" t="s">
        <v>1850</v>
      </c>
      <c r="O69" s="49" t="s">
        <v>13005</v>
      </c>
      <c r="P69" s="49" t="s">
        <v>13006</v>
      </c>
      <c r="Q69" s="49" t="s">
        <v>13007</v>
      </c>
      <c r="R69" s="49" t="s">
        <v>13008</v>
      </c>
      <c r="S69" s="49" t="s">
        <v>13009</v>
      </c>
      <c r="T69" s="49" t="s">
        <v>13010</v>
      </c>
    </row>
    <row r="70" spans="1:21" x14ac:dyDescent="0.2">
      <c r="A70" s="49" t="s">
        <v>30</v>
      </c>
      <c r="D70" s="49" t="s">
        <v>2309</v>
      </c>
      <c r="G70" s="49" t="s">
        <v>14238</v>
      </c>
      <c r="H70" s="49" t="s">
        <v>2310</v>
      </c>
      <c r="I70" s="49" t="s">
        <v>2311</v>
      </c>
      <c r="J70" s="49" t="s">
        <v>2312</v>
      </c>
      <c r="K70" s="49" t="s">
        <v>2313</v>
      </c>
      <c r="L70" s="49" t="s">
        <v>2314</v>
      </c>
      <c r="M70" s="49" t="s">
        <v>2315</v>
      </c>
      <c r="N70" s="49" t="s">
        <v>2316</v>
      </c>
      <c r="O70" s="49" t="s">
        <v>3876</v>
      </c>
      <c r="P70" s="49" t="s">
        <v>3877</v>
      </c>
      <c r="Q70" s="49" t="s">
        <v>3878</v>
      </c>
      <c r="R70" s="49" t="s">
        <v>3879</v>
      </c>
      <c r="S70" s="49" t="s">
        <v>3880</v>
      </c>
      <c r="T70" s="49" t="s">
        <v>3881</v>
      </c>
    </row>
    <row r="71" spans="1:21" x14ac:dyDescent="0.2">
      <c r="A71" s="49" t="s">
        <v>30</v>
      </c>
    </row>
    <row r="72" spans="1:21" x14ac:dyDescent="0.2">
      <c r="A72" s="49" t="s">
        <v>30</v>
      </c>
      <c r="E72" s="49" t="s">
        <v>31</v>
      </c>
      <c r="F72" s="49" t="s">
        <v>31</v>
      </c>
      <c r="G72" s="49" t="s">
        <v>31</v>
      </c>
      <c r="J72" s="49" t="s">
        <v>31</v>
      </c>
      <c r="K72" s="49" t="s">
        <v>31</v>
      </c>
      <c r="L72" s="49" t="s">
        <v>31</v>
      </c>
      <c r="M72" s="49" t="s">
        <v>31</v>
      </c>
    </row>
    <row r="73" spans="1:21" x14ac:dyDescent="0.2">
      <c r="A73" s="49" t="s">
        <v>30</v>
      </c>
      <c r="D73" s="49" t="s">
        <v>2553</v>
      </c>
      <c r="E73" s="49" t="s">
        <v>4567</v>
      </c>
      <c r="F73" s="49" t="s">
        <v>2554</v>
      </c>
      <c r="H73" s="49" t="s">
        <v>2555</v>
      </c>
      <c r="O73" s="49" t="s">
        <v>3882</v>
      </c>
      <c r="P73" s="49" t="s">
        <v>3883</v>
      </c>
      <c r="Q73" s="49" t="s">
        <v>3884</v>
      </c>
      <c r="R73" s="49" t="s">
        <v>3885</v>
      </c>
      <c r="S73" s="49" t="s">
        <v>3886</v>
      </c>
      <c r="T73" s="49" t="s">
        <v>3887</v>
      </c>
      <c r="U73" s="49" t="s">
        <v>3888</v>
      </c>
    </row>
    <row r="74" spans="1:21" x14ac:dyDescent="0.2">
      <c r="A74" s="49" t="s">
        <v>30</v>
      </c>
      <c r="D74" s="49" t="s">
        <v>1859</v>
      </c>
      <c r="G74" s="49" t="s">
        <v>3889</v>
      </c>
      <c r="H74" s="49" t="s">
        <v>1860</v>
      </c>
      <c r="I74" s="49" t="s">
        <v>1861</v>
      </c>
      <c r="J74" s="49" t="s">
        <v>1862</v>
      </c>
      <c r="K74" s="49" t="s">
        <v>1863</v>
      </c>
      <c r="L74" s="49" t="s">
        <v>1864</v>
      </c>
      <c r="M74" s="49" t="s">
        <v>1865</v>
      </c>
      <c r="N74" s="49" t="s">
        <v>1866</v>
      </c>
      <c r="O74" s="49" t="s">
        <v>3639</v>
      </c>
      <c r="P74" s="49" t="s">
        <v>3640</v>
      </c>
      <c r="Q74" s="49" t="s">
        <v>3641</v>
      </c>
      <c r="R74" s="49" t="s">
        <v>3642</v>
      </c>
      <c r="S74" s="49" t="s">
        <v>3643</v>
      </c>
      <c r="T74" s="49" t="s">
        <v>3644</v>
      </c>
    </row>
    <row r="75" spans="1:21" x14ac:dyDescent="0.2">
      <c r="A75" s="49" t="s">
        <v>30</v>
      </c>
    </row>
    <row r="76" spans="1:21" x14ac:dyDescent="0.2">
      <c r="A76" s="49" t="s">
        <v>30</v>
      </c>
      <c r="E76" s="49" t="s">
        <v>31</v>
      </c>
      <c r="F76" s="49" t="s">
        <v>31</v>
      </c>
      <c r="G76" s="49" t="s">
        <v>31</v>
      </c>
      <c r="J76" s="49" t="s">
        <v>31</v>
      </c>
      <c r="K76" s="49" t="s">
        <v>31</v>
      </c>
      <c r="L76" s="49" t="s">
        <v>31</v>
      </c>
      <c r="M76" s="49" t="s">
        <v>31</v>
      </c>
    </row>
    <row r="77" spans="1:21" x14ac:dyDescent="0.2">
      <c r="A77" s="49" t="s">
        <v>30</v>
      </c>
      <c r="D77" s="49" t="s">
        <v>2853</v>
      </c>
      <c r="E77" s="49" t="s">
        <v>14258</v>
      </c>
      <c r="F77" s="49" t="s">
        <v>2854</v>
      </c>
      <c r="H77" s="49" t="s">
        <v>2855</v>
      </c>
      <c r="O77" s="49" t="s">
        <v>9416</v>
      </c>
      <c r="P77" s="49" t="s">
        <v>9417</v>
      </c>
      <c r="Q77" s="49" t="s">
        <v>9418</v>
      </c>
      <c r="R77" s="49" t="s">
        <v>9419</v>
      </c>
      <c r="S77" s="49" t="s">
        <v>9420</v>
      </c>
      <c r="T77" s="49" t="s">
        <v>9421</v>
      </c>
      <c r="U77" s="49" t="s">
        <v>9422</v>
      </c>
    </row>
    <row r="78" spans="1:21" x14ac:dyDescent="0.2">
      <c r="A78" s="49" t="s">
        <v>30</v>
      </c>
      <c r="D78" s="49" t="s">
        <v>326</v>
      </c>
      <c r="G78" s="49" t="s">
        <v>3645</v>
      </c>
      <c r="H78" s="49" t="s">
        <v>327</v>
      </c>
      <c r="I78" s="49" t="s">
        <v>328</v>
      </c>
      <c r="J78" s="49" t="s">
        <v>329</v>
      </c>
      <c r="K78" s="49" t="s">
        <v>330</v>
      </c>
      <c r="L78" s="49" t="s">
        <v>331</v>
      </c>
      <c r="M78" s="49" t="s">
        <v>332</v>
      </c>
      <c r="N78" s="49" t="s">
        <v>333</v>
      </c>
      <c r="O78" s="49" t="s">
        <v>3646</v>
      </c>
      <c r="P78" s="49" t="s">
        <v>3647</v>
      </c>
      <c r="Q78" s="49" t="s">
        <v>3648</v>
      </c>
      <c r="R78" s="49" t="s">
        <v>3649</v>
      </c>
      <c r="S78" s="49" t="s">
        <v>3650</v>
      </c>
      <c r="T78" s="49" t="s">
        <v>3651</v>
      </c>
    </row>
    <row r="79" spans="1:21" x14ac:dyDescent="0.2">
      <c r="A79" s="49" t="s">
        <v>30</v>
      </c>
    </row>
    <row r="80" spans="1:21" x14ac:dyDescent="0.2">
      <c r="A80" s="49" t="s">
        <v>30</v>
      </c>
      <c r="E80" s="49" t="s">
        <v>31</v>
      </c>
      <c r="F80" s="49" t="s">
        <v>31</v>
      </c>
      <c r="G80" s="49" t="s">
        <v>31</v>
      </c>
      <c r="J80" s="49" t="s">
        <v>31</v>
      </c>
      <c r="K80" s="49" t="s">
        <v>31</v>
      </c>
      <c r="L80" s="49" t="s">
        <v>31</v>
      </c>
      <c r="M80" s="49" t="s">
        <v>31</v>
      </c>
    </row>
    <row r="81" spans="1:21" x14ac:dyDescent="0.2">
      <c r="A81" s="49" t="s">
        <v>30</v>
      </c>
      <c r="D81" s="49" t="s">
        <v>334</v>
      </c>
      <c r="E81" s="49" t="s">
        <v>4568</v>
      </c>
      <c r="F81" s="49" t="s">
        <v>335</v>
      </c>
      <c r="H81" s="49" t="s">
        <v>336</v>
      </c>
      <c r="O81" s="49" t="s">
        <v>34857</v>
      </c>
      <c r="P81" s="49" t="s">
        <v>34858</v>
      </c>
      <c r="Q81" s="49" t="s">
        <v>34859</v>
      </c>
      <c r="R81" s="49" t="s">
        <v>34860</v>
      </c>
      <c r="S81" s="49" t="s">
        <v>34861</v>
      </c>
      <c r="T81" s="49" t="s">
        <v>34862</v>
      </c>
      <c r="U81" s="49" t="s">
        <v>34863</v>
      </c>
    </row>
    <row r="82" spans="1:21" x14ac:dyDescent="0.2">
      <c r="A82" s="49" t="s">
        <v>30</v>
      </c>
      <c r="D82" s="49" t="s">
        <v>337</v>
      </c>
      <c r="G82" s="49" t="s">
        <v>3652</v>
      </c>
      <c r="H82" s="49" t="s">
        <v>338</v>
      </c>
      <c r="I82" s="49" t="s">
        <v>339</v>
      </c>
      <c r="J82" s="49" t="s">
        <v>340</v>
      </c>
      <c r="K82" s="49" t="s">
        <v>341</v>
      </c>
      <c r="L82" s="49" t="s">
        <v>342</v>
      </c>
      <c r="M82" s="49" t="s">
        <v>343</v>
      </c>
      <c r="N82" s="49" t="s">
        <v>344</v>
      </c>
      <c r="O82" s="49" t="s">
        <v>3653</v>
      </c>
      <c r="P82" s="49" t="s">
        <v>3654</v>
      </c>
      <c r="Q82" s="49" t="s">
        <v>3655</v>
      </c>
      <c r="R82" s="49" t="s">
        <v>3656</v>
      </c>
      <c r="S82" s="49" t="s">
        <v>3657</v>
      </c>
      <c r="T82" s="49" t="s">
        <v>3658</v>
      </c>
    </row>
    <row r="83" spans="1:21" x14ac:dyDescent="0.2">
      <c r="A83" s="49" t="s">
        <v>30</v>
      </c>
      <c r="D83" s="49" t="s">
        <v>345</v>
      </c>
      <c r="G83" s="49" t="s">
        <v>14292</v>
      </c>
      <c r="H83" s="49" t="s">
        <v>346</v>
      </c>
      <c r="I83" s="49" t="s">
        <v>347</v>
      </c>
      <c r="J83" s="49" t="s">
        <v>348</v>
      </c>
      <c r="K83" s="49" t="s">
        <v>349</v>
      </c>
      <c r="L83" s="49" t="s">
        <v>350</v>
      </c>
      <c r="M83" s="49" t="s">
        <v>351</v>
      </c>
      <c r="N83" s="49" t="s">
        <v>352</v>
      </c>
      <c r="O83" s="49" t="s">
        <v>3659</v>
      </c>
      <c r="P83" s="49" t="s">
        <v>3660</v>
      </c>
      <c r="Q83" s="49" t="s">
        <v>3661</v>
      </c>
      <c r="R83" s="49" t="s">
        <v>3662</v>
      </c>
      <c r="S83" s="49" t="s">
        <v>3663</v>
      </c>
      <c r="T83" s="49" t="s">
        <v>3664</v>
      </c>
    </row>
    <row r="84" spans="1:21" x14ac:dyDescent="0.2">
      <c r="A84" s="49" t="s">
        <v>30</v>
      </c>
      <c r="D84" s="49" t="s">
        <v>353</v>
      </c>
      <c r="G84" s="49" t="s">
        <v>14295</v>
      </c>
      <c r="H84" s="49" t="s">
        <v>354</v>
      </c>
      <c r="I84" s="49" t="s">
        <v>355</v>
      </c>
      <c r="J84" s="49" t="s">
        <v>356</v>
      </c>
      <c r="K84" s="49" t="s">
        <v>357</v>
      </c>
      <c r="L84" s="49" t="s">
        <v>358</v>
      </c>
      <c r="M84" s="49" t="s">
        <v>359</v>
      </c>
      <c r="N84" s="49" t="s">
        <v>360</v>
      </c>
      <c r="O84" s="49" t="s">
        <v>4004</v>
      </c>
      <c r="P84" s="49" t="s">
        <v>4005</v>
      </c>
      <c r="Q84" s="49" t="s">
        <v>4006</v>
      </c>
      <c r="R84" s="49" t="s">
        <v>4007</v>
      </c>
      <c r="S84" s="49" t="s">
        <v>4008</v>
      </c>
      <c r="T84" s="49" t="s">
        <v>4009</v>
      </c>
    </row>
    <row r="85" spans="1:21" x14ac:dyDescent="0.2">
      <c r="A85" s="49" t="s">
        <v>30</v>
      </c>
    </row>
    <row r="86" spans="1:21" x14ac:dyDescent="0.2">
      <c r="A86" s="49" t="s">
        <v>30</v>
      </c>
      <c r="E86" s="49" t="s">
        <v>31</v>
      </c>
      <c r="F86" s="49" t="s">
        <v>31</v>
      </c>
      <c r="G86" s="49" t="s">
        <v>31</v>
      </c>
      <c r="J86" s="49" t="s">
        <v>31</v>
      </c>
      <c r="K86" s="49" t="s">
        <v>31</v>
      </c>
      <c r="L86" s="49" t="s">
        <v>31</v>
      </c>
      <c r="M86" s="49" t="s">
        <v>31</v>
      </c>
    </row>
    <row r="87" spans="1:21" x14ac:dyDescent="0.2">
      <c r="A87" s="49" t="s">
        <v>30</v>
      </c>
      <c r="D87" s="49" t="s">
        <v>361</v>
      </c>
      <c r="E87" s="49" t="s">
        <v>4569</v>
      </c>
      <c r="F87" s="49" t="s">
        <v>362</v>
      </c>
      <c r="H87" s="49" t="s">
        <v>363</v>
      </c>
      <c r="O87" s="49" t="s">
        <v>34864</v>
      </c>
      <c r="P87" s="49" t="s">
        <v>34865</v>
      </c>
      <c r="Q87" s="49" t="s">
        <v>34866</v>
      </c>
      <c r="R87" s="49" t="s">
        <v>34867</v>
      </c>
      <c r="S87" s="49" t="s">
        <v>34868</v>
      </c>
      <c r="T87" s="49" t="s">
        <v>34869</v>
      </c>
      <c r="U87" s="49" t="s">
        <v>34870</v>
      </c>
    </row>
    <row r="88" spans="1:21" x14ac:dyDescent="0.2">
      <c r="A88" s="49" t="s">
        <v>30</v>
      </c>
      <c r="D88" s="49" t="s">
        <v>364</v>
      </c>
      <c r="G88" s="49" t="s">
        <v>4010</v>
      </c>
      <c r="H88" s="49" t="s">
        <v>365</v>
      </c>
      <c r="I88" s="49" t="s">
        <v>366</v>
      </c>
      <c r="J88" s="49" t="s">
        <v>367</v>
      </c>
      <c r="K88" s="49" t="s">
        <v>368</v>
      </c>
      <c r="L88" s="49" t="s">
        <v>369</v>
      </c>
      <c r="M88" s="49" t="s">
        <v>370</v>
      </c>
      <c r="N88" s="49" t="s">
        <v>371</v>
      </c>
      <c r="O88" s="49" t="s">
        <v>4011</v>
      </c>
      <c r="P88" s="49" t="s">
        <v>4012</v>
      </c>
      <c r="Q88" s="49" t="s">
        <v>4013</v>
      </c>
      <c r="R88" s="49" t="s">
        <v>4014</v>
      </c>
      <c r="S88" s="49" t="s">
        <v>4015</v>
      </c>
      <c r="T88" s="49" t="s">
        <v>4016</v>
      </c>
    </row>
    <row r="89" spans="1:21" x14ac:dyDescent="0.2">
      <c r="A89" s="49" t="s">
        <v>30</v>
      </c>
      <c r="D89" s="49" t="s">
        <v>14118</v>
      </c>
      <c r="G89" s="49" t="s">
        <v>14307</v>
      </c>
      <c r="H89" s="49" t="s">
        <v>31976</v>
      </c>
      <c r="I89" s="49" t="s">
        <v>31977</v>
      </c>
      <c r="J89" s="49" t="s">
        <v>32026</v>
      </c>
      <c r="K89" s="49" t="s">
        <v>32027</v>
      </c>
      <c r="L89" s="49" t="s">
        <v>14120</v>
      </c>
      <c r="M89" s="49" t="s">
        <v>14121</v>
      </c>
      <c r="N89" s="49" t="s">
        <v>14122</v>
      </c>
      <c r="O89" s="49" t="s">
        <v>33026</v>
      </c>
      <c r="P89" s="49" t="s">
        <v>33027</v>
      </c>
      <c r="Q89" s="49" t="s">
        <v>33028</v>
      </c>
      <c r="R89" s="49" t="s">
        <v>33029</v>
      </c>
      <c r="S89" s="49" t="s">
        <v>33030</v>
      </c>
      <c r="T89" s="49" t="s">
        <v>33031</v>
      </c>
    </row>
    <row r="90" spans="1:21" x14ac:dyDescent="0.2">
      <c r="A90" s="49" t="s">
        <v>30</v>
      </c>
      <c r="D90" s="49" t="s">
        <v>372</v>
      </c>
      <c r="G90" s="49" t="s">
        <v>14313</v>
      </c>
      <c r="H90" s="49" t="s">
        <v>373</v>
      </c>
      <c r="I90" s="49" t="s">
        <v>374</v>
      </c>
      <c r="J90" s="49" t="s">
        <v>375</v>
      </c>
      <c r="K90" s="49" t="s">
        <v>376</v>
      </c>
      <c r="L90" s="49" t="s">
        <v>377</v>
      </c>
      <c r="M90" s="49" t="s">
        <v>378</v>
      </c>
      <c r="N90" s="49" t="s">
        <v>379</v>
      </c>
      <c r="O90" s="49" t="s">
        <v>4097</v>
      </c>
      <c r="P90" s="49" t="s">
        <v>4098</v>
      </c>
      <c r="Q90" s="49" t="s">
        <v>4099</v>
      </c>
      <c r="R90" s="49" t="s">
        <v>4100</v>
      </c>
      <c r="S90" s="49" t="s">
        <v>4101</v>
      </c>
      <c r="T90" s="49" t="s">
        <v>4102</v>
      </c>
    </row>
    <row r="91" spans="1:21" x14ac:dyDescent="0.2">
      <c r="A91" s="49" t="s">
        <v>30</v>
      </c>
      <c r="D91" s="49" t="s">
        <v>380</v>
      </c>
      <c r="G91" s="49" t="s">
        <v>14314</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c r="D92" s="49" t="s">
        <v>1715</v>
      </c>
      <c r="G92" s="49" t="s">
        <v>14320</v>
      </c>
      <c r="H92" s="49" t="s">
        <v>1716</v>
      </c>
      <c r="I92" s="49" t="s">
        <v>1717</v>
      </c>
      <c r="J92" s="49" t="s">
        <v>1718</v>
      </c>
      <c r="K92" s="49" t="s">
        <v>1719</v>
      </c>
      <c r="L92" s="49" t="s">
        <v>1720</v>
      </c>
      <c r="M92" s="49" t="s">
        <v>1721</v>
      </c>
      <c r="N92" s="49" t="s">
        <v>1722</v>
      </c>
      <c r="O92" s="49" t="s">
        <v>3678</v>
      </c>
      <c r="P92" s="49" t="s">
        <v>3679</v>
      </c>
      <c r="Q92" s="49" t="s">
        <v>3680</v>
      </c>
      <c r="R92" s="49" t="s">
        <v>3681</v>
      </c>
      <c r="S92" s="49" t="s">
        <v>3682</v>
      </c>
      <c r="T92" s="49" t="s">
        <v>3683</v>
      </c>
    </row>
    <row r="93" spans="1:21" x14ac:dyDescent="0.2">
      <c r="A93" s="49" t="s">
        <v>30</v>
      </c>
    </row>
    <row r="94" spans="1:21" x14ac:dyDescent="0.2">
      <c r="A94" s="49" t="s">
        <v>30</v>
      </c>
      <c r="E94" s="49" t="s">
        <v>31</v>
      </c>
      <c r="F94" s="49" t="s">
        <v>31</v>
      </c>
      <c r="G94" s="49" t="s">
        <v>31</v>
      </c>
      <c r="J94" s="49" t="s">
        <v>31</v>
      </c>
      <c r="K94" s="49" t="s">
        <v>31</v>
      </c>
      <c r="L94" s="49" t="s">
        <v>31</v>
      </c>
      <c r="M94" s="49" t="s">
        <v>31</v>
      </c>
    </row>
    <row r="95" spans="1:21" x14ac:dyDescent="0.2">
      <c r="A95" s="49" t="s">
        <v>30</v>
      </c>
      <c r="D95" s="49" t="s">
        <v>1723</v>
      </c>
      <c r="E95" s="49" t="s">
        <v>4582</v>
      </c>
      <c r="F95" s="49" t="s">
        <v>1724</v>
      </c>
      <c r="H95" s="49" t="s">
        <v>1725</v>
      </c>
      <c r="O95" s="49" t="s">
        <v>34871</v>
      </c>
      <c r="P95" s="49" t="s">
        <v>34872</v>
      </c>
      <c r="Q95" s="49" t="s">
        <v>34873</v>
      </c>
      <c r="R95" s="49" t="s">
        <v>34874</v>
      </c>
      <c r="S95" s="49" t="s">
        <v>34875</v>
      </c>
      <c r="T95" s="49" t="s">
        <v>34876</v>
      </c>
      <c r="U95" s="49" t="s">
        <v>34877</v>
      </c>
    </row>
    <row r="96" spans="1:21" x14ac:dyDescent="0.2">
      <c r="A96" s="49" t="s">
        <v>30</v>
      </c>
      <c r="D96" s="49" t="s">
        <v>388</v>
      </c>
      <c r="G96" s="49" t="s">
        <v>3684</v>
      </c>
      <c r="H96" s="49" t="s">
        <v>389</v>
      </c>
      <c r="I96" s="49" t="s">
        <v>390</v>
      </c>
      <c r="J96" s="49" t="s">
        <v>391</v>
      </c>
      <c r="K96" s="49" t="s">
        <v>392</v>
      </c>
      <c r="L96" s="49" t="s">
        <v>393</v>
      </c>
      <c r="M96" s="49" t="s">
        <v>394</v>
      </c>
      <c r="N96" s="49" t="s">
        <v>395</v>
      </c>
      <c r="O96" s="49" t="s">
        <v>3685</v>
      </c>
      <c r="P96" s="49" t="s">
        <v>3686</v>
      </c>
      <c r="Q96" s="49" t="s">
        <v>3687</v>
      </c>
      <c r="R96" s="49" t="s">
        <v>3688</v>
      </c>
      <c r="S96" s="49" t="s">
        <v>3689</v>
      </c>
      <c r="T96" s="49" t="s">
        <v>3690</v>
      </c>
    </row>
    <row r="97" spans="1:21" x14ac:dyDescent="0.2">
      <c r="A97" s="49" t="s">
        <v>30</v>
      </c>
      <c r="D97" s="49" t="s">
        <v>396</v>
      </c>
      <c r="G97" s="49" t="s">
        <v>14334</v>
      </c>
      <c r="H97" s="49" t="s">
        <v>397</v>
      </c>
      <c r="I97" s="49" t="s">
        <v>398</v>
      </c>
      <c r="J97" s="49" t="s">
        <v>399</v>
      </c>
      <c r="K97" s="49" t="s">
        <v>400</v>
      </c>
      <c r="L97" s="49" t="s">
        <v>401</v>
      </c>
      <c r="M97" s="49" t="s">
        <v>402</v>
      </c>
      <c r="N97" s="49" t="s">
        <v>403</v>
      </c>
      <c r="O97" s="49" t="s">
        <v>3466</v>
      </c>
      <c r="P97" s="49" t="s">
        <v>3467</v>
      </c>
      <c r="Q97" s="49" t="s">
        <v>3468</v>
      </c>
      <c r="R97" s="49" t="s">
        <v>3469</v>
      </c>
      <c r="S97" s="49" t="s">
        <v>3470</v>
      </c>
      <c r="T97" s="49" t="s">
        <v>3471</v>
      </c>
    </row>
    <row r="98" spans="1:21" x14ac:dyDescent="0.2">
      <c r="A98" s="49" t="s">
        <v>30</v>
      </c>
      <c r="D98" s="49" t="s">
        <v>404</v>
      </c>
      <c r="G98" s="49" t="s">
        <v>14337</v>
      </c>
      <c r="H98" s="49" t="s">
        <v>405</v>
      </c>
      <c r="I98" s="49" t="s">
        <v>406</v>
      </c>
      <c r="J98" s="49" t="s">
        <v>407</v>
      </c>
      <c r="K98" s="49" t="s">
        <v>408</v>
      </c>
      <c r="L98" s="49" t="s">
        <v>409</v>
      </c>
      <c r="M98" s="49" t="s">
        <v>410</v>
      </c>
      <c r="N98" s="49" t="s">
        <v>411</v>
      </c>
      <c r="O98" s="49" t="s">
        <v>3691</v>
      </c>
      <c r="P98" s="49" t="s">
        <v>3692</v>
      </c>
      <c r="Q98" s="49" t="s">
        <v>3693</v>
      </c>
      <c r="R98" s="49" t="s">
        <v>3694</v>
      </c>
      <c r="S98" s="49" t="s">
        <v>3695</v>
      </c>
      <c r="T98" s="49" t="s">
        <v>3696</v>
      </c>
    </row>
    <row r="99" spans="1:21" x14ac:dyDescent="0.2">
      <c r="A99" s="49" t="s">
        <v>30</v>
      </c>
      <c r="D99" s="49" t="s">
        <v>2333</v>
      </c>
      <c r="G99" s="49" t="s">
        <v>14339</v>
      </c>
      <c r="H99" s="49" t="s">
        <v>2334</v>
      </c>
      <c r="I99" s="49" t="s">
        <v>2335</v>
      </c>
      <c r="J99" s="49" t="s">
        <v>2336</v>
      </c>
      <c r="K99" s="49" t="s">
        <v>2337</v>
      </c>
      <c r="L99" s="49" t="s">
        <v>2338</v>
      </c>
      <c r="M99" s="49" t="s">
        <v>2339</v>
      </c>
      <c r="N99" s="49" t="s">
        <v>2340</v>
      </c>
      <c r="O99" s="49" t="s">
        <v>4103</v>
      </c>
      <c r="P99" s="49" t="s">
        <v>4104</v>
      </c>
      <c r="Q99" s="49" t="s">
        <v>4105</v>
      </c>
      <c r="R99" s="49" t="s">
        <v>4106</v>
      </c>
      <c r="S99" s="49" t="s">
        <v>4107</v>
      </c>
      <c r="T99" s="49" t="s">
        <v>4108</v>
      </c>
    </row>
    <row r="100" spans="1:21" x14ac:dyDescent="0.2">
      <c r="A100" s="49" t="s">
        <v>30</v>
      </c>
    </row>
    <row r="101" spans="1:21" x14ac:dyDescent="0.2">
      <c r="A101" s="49" t="s">
        <v>30</v>
      </c>
      <c r="E101" s="49" t="s">
        <v>31</v>
      </c>
      <c r="F101" s="49" t="s">
        <v>31</v>
      </c>
      <c r="G101" s="49" t="s">
        <v>31</v>
      </c>
      <c r="J101" s="49" t="s">
        <v>31</v>
      </c>
      <c r="K101" s="49" t="s">
        <v>31</v>
      </c>
      <c r="L101" s="49" t="s">
        <v>31</v>
      </c>
      <c r="M101" s="49" t="s">
        <v>31</v>
      </c>
    </row>
    <row r="102" spans="1:21" x14ac:dyDescent="0.2">
      <c r="A102" s="49" t="s">
        <v>30</v>
      </c>
      <c r="D102" s="49" t="s">
        <v>10304</v>
      </c>
      <c r="E102" s="49" t="s">
        <v>4601</v>
      </c>
      <c r="F102" s="49" t="s">
        <v>10305</v>
      </c>
      <c r="H102" s="49" t="s">
        <v>10306</v>
      </c>
      <c r="O102" s="49" t="s">
        <v>34878</v>
      </c>
      <c r="P102" s="49" t="s">
        <v>34879</v>
      </c>
      <c r="Q102" s="49" t="s">
        <v>34880</v>
      </c>
      <c r="R102" s="49" t="s">
        <v>34881</v>
      </c>
      <c r="S102" s="49" t="s">
        <v>34882</v>
      </c>
      <c r="T102" s="49" t="s">
        <v>34883</v>
      </c>
      <c r="U102" s="49" t="s">
        <v>34884</v>
      </c>
    </row>
    <row r="103" spans="1:21" x14ac:dyDescent="0.2">
      <c r="A103" s="49" t="s">
        <v>30</v>
      </c>
      <c r="D103" s="49" t="s">
        <v>420</v>
      </c>
      <c r="G103" s="49" t="s">
        <v>10307</v>
      </c>
      <c r="H103" s="49" t="s">
        <v>421</v>
      </c>
      <c r="I103" s="49" t="s">
        <v>422</v>
      </c>
      <c r="J103" s="49" t="s">
        <v>423</v>
      </c>
      <c r="K103" s="49" t="s">
        <v>424</v>
      </c>
      <c r="L103" s="49" t="s">
        <v>425</v>
      </c>
      <c r="M103" s="49" t="s">
        <v>426</v>
      </c>
      <c r="N103" s="49" t="s">
        <v>427</v>
      </c>
      <c r="O103" s="49" t="s">
        <v>3703</v>
      </c>
      <c r="P103" s="49" t="s">
        <v>3704</v>
      </c>
      <c r="Q103" s="49" t="s">
        <v>3705</v>
      </c>
      <c r="R103" s="49" t="s">
        <v>3706</v>
      </c>
      <c r="S103" s="49" t="s">
        <v>3707</v>
      </c>
      <c r="T103" s="49" t="s">
        <v>3708</v>
      </c>
    </row>
    <row r="104" spans="1:21" x14ac:dyDescent="0.2">
      <c r="A104" s="49" t="s">
        <v>30</v>
      </c>
      <c r="D104" s="49" t="s">
        <v>2341</v>
      </c>
      <c r="G104" s="49" t="s">
        <v>14351</v>
      </c>
      <c r="H104" s="49" t="s">
        <v>2342</v>
      </c>
      <c r="I104" s="49" t="s">
        <v>2343</v>
      </c>
      <c r="J104" s="49" t="s">
        <v>2344</v>
      </c>
      <c r="K104" s="49" t="s">
        <v>2345</v>
      </c>
      <c r="L104" s="49" t="s">
        <v>2346</v>
      </c>
      <c r="M104" s="49" t="s">
        <v>2347</v>
      </c>
      <c r="N104" s="49" t="s">
        <v>2348</v>
      </c>
      <c r="O104" s="49" t="s">
        <v>4366</v>
      </c>
      <c r="P104" s="49" t="s">
        <v>4367</v>
      </c>
      <c r="Q104" s="49" t="s">
        <v>4368</v>
      </c>
      <c r="R104" s="49" t="s">
        <v>4369</v>
      </c>
      <c r="S104" s="49" t="s">
        <v>4370</v>
      </c>
      <c r="T104" s="49" t="s">
        <v>4371</v>
      </c>
    </row>
    <row r="105" spans="1:21" x14ac:dyDescent="0.2">
      <c r="A105" s="49" t="s">
        <v>30</v>
      </c>
      <c r="D105" s="49" t="s">
        <v>1910</v>
      </c>
      <c r="G105" s="49" t="s">
        <v>14356</v>
      </c>
      <c r="H105" s="49" t="s">
        <v>1911</v>
      </c>
      <c r="I105" s="49" t="s">
        <v>1912</v>
      </c>
      <c r="J105" s="49" t="s">
        <v>1913</v>
      </c>
      <c r="K105" s="49" t="s">
        <v>1914</v>
      </c>
      <c r="L105" s="49" t="s">
        <v>1915</v>
      </c>
      <c r="M105" s="49" t="s">
        <v>1916</v>
      </c>
      <c r="N105" s="49" t="s">
        <v>1917</v>
      </c>
      <c r="O105" s="49" t="s">
        <v>3480</v>
      </c>
      <c r="P105" s="49" t="s">
        <v>3481</v>
      </c>
      <c r="Q105" s="49" t="s">
        <v>3482</v>
      </c>
      <c r="R105" s="49" t="s">
        <v>3483</v>
      </c>
      <c r="S105" s="49" t="s">
        <v>3484</v>
      </c>
      <c r="T105" s="49" t="s">
        <v>3485</v>
      </c>
    </row>
    <row r="106" spans="1:21" x14ac:dyDescent="0.2">
      <c r="A106" s="49" t="s">
        <v>30</v>
      </c>
    </row>
    <row r="107" spans="1:21" x14ac:dyDescent="0.2">
      <c r="A107" s="49" t="s">
        <v>30</v>
      </c>
      <c r="E107" s="49" t="s">
        <v>31</v>
      </c>
      <c r="F107" s="49" t="s">
        <v>31</v>
      </c>
      <c r="G107" s="49" t="s">
        <v>31</v>
      </c>
      <c r="J107" s="49" t="s">
        <v>31</v>
      </c>
      <c r="K107" s="49" t="s">
        <v>31</v>
      </c>
      <c r="L107" s="49" t="s">
        <v>31</v>
      </c>
      <c r="M107" s="49" t="s">
        <v>31</v>
      </c>
    </row>
    <row r="108" spans="1:21" x14ac:dyDescent="0.2">
      <c r="A108" s="49" t="s">
        <v>30</v>
      </c>
      <c r="D108" s="49" t="s">
        <v>13065</v>
      </c>
      <c r="E108" s="49" t="s">
        <v>4615</v>
      </c>
      <c r="F108" s="49" t="s">
        <v>13066</v>
      </c>
      <c r="H108" s="49" t="s">
        <v>13067</v>
      </c>
      <c r="O108" s="49" t="s">
        <v>34885</v>
      </c>
      <c r="P108" s="49" t="s">
        <v>34886</v>
      </c>
      <c r="Q108" s="49" t="s">
        <v>34887</v>
      </c>
      <c r="R108" s="49" t="s">
        <v>34888</v>
      </c>
      <c r="S108" s="49" t="s">
        <v>34889</v>
      </c>
      <c r="T108" s="49" t="s">
        <v>34890</v>
      </c>
      <c r="U108" s="49" t="s">
        <v>34891</v>
      </c>
    </row>
    <row r="109" spans="1:21" x14ac:dyDescent="0.2">
      <c r="A109" s="49" t="s">
        <v>30</v>
      </c>
      <c r="D109" s="49" t="s">
        <v>10777</v>
      </c>
      <c r="G109" s="49" t="s">
        <v>13068</v>
      </c>
      <c r="H109" s="49" t="s">
        <v>12888</v>
      </c>
      <c r="I109" s="49" t="s">
        <v>12889</v>
      </c>
      <c r="J109" s="49" t="s">
        <v>12896</v>
      </c>
      <c r="K109" s="49" t="s">
        <v>12897</v>
      </c>
      <c r="L109" s="49" t="s">
        <v>10778</v>
      </c>
      <c r="M109" s="49" t="s">
        <v>10779</v>
      </c>
      <c r="N109" s="49" t="s">
        <v>10780</v>
      </c>
      <c r="O109" s="49" t="s">
        <v>13069</v>
      </c>
      <c r="P109" s="49" t="s">
        <v>13070</v>
      </c>
      <c r="Q109" s="49" t="s">
        <v>13071</v>
      </c>
      <c r="R109" s="49" t="s">
        <v>13072</v>
      </c>
      <c r="S109" s="49" t="s">
        <v>13073</v>
      </c>
      <c r="T109" s="49" t="s">
        <v>13074</v>
      </c>
    </row>
    <row r="110" spans="1:21" x14ac:dyDescent="0.2">
      <c r="A110" s="49" t="s">
        <v>30</v>
      </c>
      <c r="D110" s="49" t="s">
        <v>1926</v>
      </c>
      <c r="G110" s="49" t="s">
        <v>14369</v>
      </c>
      <c r="H110" s="49" t="s">
        <v>1927</v>
      </c>
      <c r="I110" s="49" t="s">
        <v>1928</v>
      </c>
      <c r="J110" s="49" t="s">
        <v>1929</v>
      </c>
      <c r="K110" s="49" t="s">
        <v>1930</v>
      </c>
      <c r="L110" s="49" t="s">
        <v>1931</v>
      </c>
      <c r="M110" s="49" t="s">
        <v>1932</v>
      </c>
      <c r="N110" s="49" t="s">
        <v>1933</v>
      </c>
      <c r="O110" s="49" t="s">
        <v>3722</v>
      </c>
      <c r="P110" s="49" t="s">
        <v>3723</v>
      </c>
      <c r="Q110" s="49" t="s">
        <v>3724</v>
      </c>
      <c r="R110" s="49" t="s">
        <v>3725</v>
      </c>
      <c r="S110" s="49" t="s">
        <v>3726</v>
      </c>
      <c r="T110" s="49" t="s">
        <v>3727</v>
      </c>
    </row>
    <row r="111" spans="1:21" x14ac:dyDescent="0.2">
      <c r="A111" s="49" t="s">
        <v>30</v>
      </c>
      <c r="D111" s="49" t="s">
        <v>2570</v>
      </c>
      <c r="G111" s="49" t="s">
        <v>14378</v>
      </c>
      <c r="H111" s="49" t="s">
        <v>2571</v>
      </c>
      <c r="I111" s="49" t="s">
        <v>2572</v>
      </c>
      <c r="J111" s="49" t="s">
        <v>2573</v>
      </c>
      <c r="K111" s="49" t="s">
        <v>2574</v>
      </c>
      <c r="L111" s="49" t="s">
        <v>2575</v>
      </c>
      <c r="M111" s="49" t="s">
        <v>2576</v>
      </c>
      <c r="N111" s="49" t="s">
        <v>2577</v>
      </c>
      <c r="O111" s="49" t="s">
        <v>3921</v>
      </c>
      <c r="P111" s="49" t="s">
        <v>3922</v>
      </c>
      <c r="Q111" s="49" t="s">
        <v>3923</v>
      </c>
      <c r="R111" s="49" t="s">
        <v>3924</v>
      </c>
      <c r="S111" s="49" t="s">
        <v>3925</v>
      </c>
      <c r="T111" s="49" t="s">
        <v>3926</v>
      </c>
    </row>
    <row r="112" spans="1:21" x14ac:dyDescent="0.2">
      <c r="A112" s="49" t="s">
        <v>30</v>
      </c>
    </row>
    <row r="113" spans="1:21" x14ac:dyDescent="0.2">
      <c r="A113" s="49" t="s">
        <v>30</v>
      </c>
      <c r="E113" s="49" t="s">
        <v>31</v>
      </c>
      <c r="F113" s="49" t="s">
        <v>31</v>
      </c>
      <c r="G113" s="49" t="s">
        <v>31</v>
      </c>
      <c r="J113" s="49" t="s">
        <v>31</v>
      </c>
      <c r="K113" s="49" t="s">
        <v>31</v>
      </c>
      <c r="L113" s="49" t="s">
        <v>31</v>
      </c>
      <c r="M113" s="49" t="s">
        <v>31</v>
      </c>
    </row>
    <row r="114" spans="1:21" x14ac:dyDescent="0.2">
      <c r="A114" s="49" t="s">
        <v>30</v>
      </c>
      <c r="D114" s="49" t="s">
        <v>32270</v>
      </c>
      <c r="E114" s="49" t="s">
        <v>4618</v>
      </c>
      <c r="F114" s="49" t="s">
        <v>32271</v>
      </c>
      <c r="H114" s="49" t="s">
        <v>32272</v>
      </c>
      <c r="O114" s="49" t="s">
        <v>34892</v>
      </c>
      <c r="P114" s="49" t="s">
        <v>34893</v>
      </c>
      <c r="Q114" s="49" t="s">
        <v>34894</v>
      </c>
      <c r="R114" s="49" t="s">
        <v>34895</v>
      </c>
      <c r="S114" s="49" t="s">
        <v>34896</v>
      </c>
      <c r="T114" s="49" t="s">
        <v>34897</v>
      </c>
      <c r="U114" s="49" t="s">
        <v>34898</v>
      </c>
    </row>
    <row r="115" spans="1:21" x14ac:dyDescent="0.2">
      <c r="A115" s="49" t="s">
        <v>30</v>
      </c>
      <c r="D115" s="49" t="s">
        <v>463</v>
      </c>
      <c r="G115" s="49" t="s">
        <v>32280</v>
      </c>
      <c r="H115" s="49" t="s">
        <v>464</v>
      </c>
      <c r="I115" s="49" t="s">
        <v>465</v>
      </c>
      <c r="J115" s="49" t="s">
        <v>466</v>
      </c>
      <c r="K115" s="49" t="s">
        <v>467</v>
      </c>
      <c r="L115" s="49" t="s">
        <v>468</v>
      </c>
      <c r="M115" s="49" t="s">
        <v>469</v>
      </c>
      <c r="N115" s="49" t="s">
        <v>470</v>
      </c>
      <c r="O115" s="49" t="s">
        <v>3728</v>
      </c>
      <c r="P115" s="49" t="s">
        <v>3729</v>
      </c>
      <c r="Q115" s="49" t="s">
        <v>3730</v>
      </c>
      <c r="R115" s="49" t="s">
        <v>3731</v>
      </c>
      <c r="S115" s="49" t="s">
        <v>3732</v>
      </c>
      <c r="T115" s="49" t="s">
        <v>3733</v>
      </c>
    </row>
    <row r="116" spans="1:21" x14ac:dyDescent="0.2">
      <c r="A116" s="49" t="s">
        <v>30</v>
      </c>
      <c r="D116" s="49" t="s">
        <v>2777</v>
      </c>
      <c r="G116" s="49" t="s">
        <v>14400</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row>
    <row r="118" spans="1:21" x14ac:dyDescent="0.2">
      <c r="A118" s="49" t="s">
        <v>30</v>
      </c>
      <c r="E118" s="49" t="s">
        <v>31</v>
      </c>
      <c r="F118" s="49" t="s">
        <v>31</v>
      </c>
      <c r="G118" s="49" t="s">
        <v>31</v>
      </c>
      <c r="J118" s="49" t="s">
        <v>31</v>
      </c>
      <c r="K118" s="49" t="s">
        <v>31</v>
      </c>
      <c r="L118" s="49" t="s">
        <v>31</v>
      </c>
      <c r="M118" s="49" t="s">
        <v>31</v>
      </c>
    </row>
    <row r="119" spans="1:21" x14ac:dyDescent="0.2">
      <c r="A119" s="49" t="s">
        <v>30</v>
      </c>
      <c r="D119" s="49" t="s">
        <v>2785</v>
      </c>
      <c r="E119" s="49" t="s">
        <v>4619</v>
      </c>
      <c r="F119" s="49" t="s">
        <v>2786</v>
      </c>
      <c r="H119" s="49" t="s">
        <v>2787</v>
      </c>
      <c r="O119" s="49" t="s">
        <v>34899</v>
      </c>
      <c r="P119" s="49" t="s">
        <v>34900</v>
      </c>
      <c r="Q119" s="49" t="s">
        <v>34901</v>
      </c>
      <c r="R119" s="49" t="s">
        <v>34902</v>
      </c>
      <c r="S119" s="49" t="s">
        <v>34903</v>
      </c>
      <c r="T119" s="49" t="s">
        <v>34904</v>
      </c>
      <c r="U119" s="49" t="s">
        <v>34905</v>
      </c>
    </row>
    <row r="120" spans="1:21" x14ac:dyDescent="0.2">
      <c r="A120" s="49" t="s">
        <v>30</v>
      </c>
      <c r="D120" s="49" t="s">
        <v>479</v>
      </c>
      <c r="G120" s="49" t="s">
        <v>3740</v>
      </c>
      <c r="H120" s="49" t="s">
        <v>480</v>
      </c>
      <c r="I120" s="49" t="s">
        <v>481</v>
      </c>
      <c r="J120" s="49" t="s">
        <v>482</v>
      </c>
      <c r="K120" s="49" t="s">
        <v>483</v>
      </c>
      <c r="L120" s="49" t="s">
        <v>484</v>
      </c>
      <c r="M120" s="49" t="s">
        <v>485</v>
      </c>
      <c r="N120" s="49" t="s">
        <v>486</v>
      </c>
      <c r="O120" s="49" t="s">
        <v>3741</v>
      </c>
      <c r="P120" s="49" t="s">
        <v>3742</v>
      </c>
      <c r="Q120" s="49" t="s">
        <v>3743</v>
      </c>
      <c r="R120" s="49" t="s">
        <v>3744</v>
      </c>
      <c r="S120" s="49" t="s">
        <v>3745</v>
      </c>
      <c r="T120" s="49" t="s">
        <v>3746</v>
      </c>
    </row>
    <row r="121" spans="1:21" x14ac:dyDescent="0.2">
      <c r="A121" s="49" t="s">
        <v>30</v>
      </c>
      <c r="D121" s="49" t="s">
        <v>487</v>
      </c>
      <c r="G121" s="49" t="s">
        <v>14426</v>
      </c>
      <c r="H121" s="49" t="s">
        <v>488</v>
      </c>
      <c r="I121" s="49" t="s">
        <v>489</v>
      </c>
      <c r="J121" s="49" t="s">
        <v>490</v>
      </c>
      <c r="K121" s="49" t="s">
        <v>491</v>
      </c>
      <c r="L121" s="49" t="s">
        <v>492</v>
      </c>
      <c r="M121" s="49" t="s">
        <v>493</v>
      </c>
      <c r="N121" s="49" t="s">
        <v>494</v>
      </c>
      <c r="O121" s="49" t="s">
        <v>3747</v>
      </c>
      <c r="P121" s="49" t="s">
        <v>3748</v>
      </c>
      <c r="Q121" s="49" t="s">
        <v>3749</v>
      </c>
      <c r="R121" s="49" t="s">
        <v>3750</v>
      </c>
      <c r="S121" s="49" t="s">
        <v>3751</v>
      </c>
      <c r="T121" s="49" t="s">
        <v>3752</v>
      </c>
    </row>
    <row r="122" spans="1:21" x14ac:dyDescent="0.2">
      <c r="A122" s="49" t="s">
        <v>30</v>
      </c>
    </row>
    <row r="123" spans="1:21" x14ac:dyDescent="0.2">
      <c r="A123" s="49" t="s">
        <v>30</v>
      </c>
      <c r="E123" s="49" t="s">
        <v>31</v>
      </c>
      <c r="F123" s="49" t="s">
        <v>31</v>
      </c>
      <c r="G123" s="49" t="s">
        <v>31</v>
      </c>
      <c r="J123" s="49" t="s">
        <v>31</v>
      </c>
      <c r="K123" s="49" t="s">
        <v>31</v>
      </c>
      <c r="L123" s="49" t="s">
        <v>31</v>
      </c>
      <c r="M123" s="49" t="s">
        <v>31</v>
      </c>
    </row>
    <row r="124" spans="1:21" x14ac:dyDescent="0.2">
      <c r="A124" s="49" t="s">
        <v>30</v>
      </c>
      <c r="D124" s="49" t="s">
        <v>32288</v>
      </c>
      <c r="E124" s="49" t="s">
        <v>4655</v>
      </c>
      <c r="F124" s="49" t="s">
        <v>32289</v>
      </c>
      <c r="H124" s="49" t="s">
        <v>32290</v>
      </c>
      <c r="O124" s="49" t="s">
        <v>34906</v>
      </c>
      <c r="P124" s="49" t="s">
        <v>34907</v>
      </c>
      <c r="Q124" s="49" t="s">
        <v>34908</v>
      </c>
      <c r="R124" s="49" t="s">
        <v>34909</v>
      </c>
      <c r="S124" s="49" t="s">
        <v>34910</v>
      </c>
      <c r="T124" s="49" t="s">
        <v>34911</v>
      </c>
      <c r="U124" s="49" t="s">
        <v>34912</v>
      </c>
    </row>
    <row r="125" spans="1:21" x14ac:dyDescent="0.2">
      <c r="A125" s="49" t="s">
        <v>30</v>
      </c>
      <c r="D125" s="49" t="s">
        <v>519</v>
      </c>
      <c r="G125" s="49" t="s">
        <v>32298</v>
      </c>
      <c r="H125" s="49" t="s">
        <v>520</v>
      </c>
      <c r="I125" s="49" t="s">
        <v>521</v>
      </c>
      <c r="J125" s="49" t="s">
        <v>522</v>
      </c>
      <c r="K125" s="49" t="s">
        <v>523</v>
      </c>
      <c r="L125" s="49" t="s">
        <v>524</v>
      </c>
      <c r="M125" s="49" t="s">
        <v>525</v>
      </c>
      <c r="N125" s="49" t="s">
        <v>526</v>
      </c>
      <c r="O125" s="49" t="s">
        <v>3753</v>
      </c>
      <c r="P125" s="49" t="s">
        <v>3754</v>
      </c>
      <c r="Q125" s="49" t="s">
        <v>3755</v>
      </c>
      <c r="R125" s="49" t="s">
        <v>3756</v>
      </c>
      <c r="S125" s="49" t="s">
        <v>3757</v>
      </c>
      <c r="T125" s="49" t="s">
        <v>3758</v>
      </c>
    </row>
    <row r="126" spans="1:21" x14ac:dyDescent="0.2">
      <c r="A126" s="49" t="s">
        <v>30</v>
      </c>
      <c r="D126" s="49" t="s">
        <v>1945</v>
      </c>
      <c r="G126" s="49" t="s">
        <v>14461</v>
      </c>
      <c r="H126" s="49" t="s">
        <v>1946</v>
      </c>
      <c r="I126" s="49" t="s">
        <v>1947</v>
      </c>
      <c r="J126" s="49" t="s">
        <v>1948</v>
      </c>
      <c r="K126" s="49" t="s">
        <v>1949</v>
      </c>
      <c r="L126" s="49" t="s">
        <v>1950</v>
      </c>
      <c r="M126" s="49" t="s">
        <v>1951</v>
      </c>
      <c r="N126" s="49" t="s">
        <v>1952</v>
      </c>
      <c r="O126" s="49" t="s">
        <v>13390</v>
      </c>
      <c r="P126" s="49" t="s">
        <v>13391</v>
      </c>
      <c r="Q126" s="49" t="s">
        <v>13392</v>
      </c>
      <c r="R126" s="49" t="s">
        <v>13393</v>
      </c>
      <c r="S126" s="49" t="s">
        <v>13394</v>
      </c>
      <c r="T126" s="49" t="s">
        <v>13395</v>
      </c>
    </row>
    <row r="127" spans="1:21" x14ac:dyDescent="0.2">
      <c r="A127" s="49" t="s">
        <v>30</v>
      </c>
      <c r="D127" s="49" t="s">
        <v>1953</v>
      </c>
      <c r="G127" s="49" t="s">
        <v>14463</v>
      </c>
      <c r="H127" s="49" t="s">
        <v>1954</v>
      </c>
      <c r="I127" s="49" t="s">
        <v>1955</v>
      </c>
      <c r="J127" s="49" t="s">
        <v>1956</v>
      </c>
      <c r="K127" s="49" t="s">
        <v>1957</v>
      </c>
      <c r="L127" s="49" t="s">
        <v>1958</v>
      </c>
      <c r="M127" s="49" t="s">
        <v>1959</v>
      </c>
      <c r="N127" s="49" t="s">
        <v>1960</v>
      </c>
      <c r="O127" s="49" t="s">
        <v>3498</v>
      </c>
      <c r="P127" s="49" t="s">
        <v>3499</v>
      </c>
      <c r="Q127" s="49" t="s">
        <v>3500</v>
      </c>
      <c r="R127" s="49" t="s">
        <v>3501</v>
      </c>
      <c r="S127" s="49" t="s">
        <v>3502</v>
      </c>
      <c r="T127" s="49" t="s">
        <v>3503</v>
      </c>
    </row>
    <row r="128" spans="1:21" x14ac:dyDescent="0.2">
      <c r="A128" s="49" t="s">
        <v>30</v>
      </c>
    </row>
    <row r="129" spans="1:21" x14ac:dyDescent="0.2">
      <c r="A129" s="49" t="s">
        <v>30</v>
      </c>
      <c r="E129" s="49" t="s">
        <v>31</v>
      </c>
      <c r="F129" s="49" t="s">
        <v>31</v>
      </c>
      <c r="G129" s="49" t="s">
        <v>31</v>
      </c>
      <c r="J129" s="49" t="s">
        <v>31</v>
      </c>
      <c r="K129" s="49" t="s">
        <v>31</v>
      </c>
      <c r="L129" s="49" t="s">
        <v>31</v>
      </c>
      <c r="M129" s="49" t="s">
        <v>31</v>
      </c>
    </row>
    <row r="130" spans="1:21" x14ac:dyDescent="0.2">
      <c r="A130" s="49" t="s">
        <v>30</v>
      </c>
      <c r="D130" s="49" t="s">
        <v>2578</v>
      </c>
      <c r="E130" s="49" t="s">
        <v>4675</v>
      </c>
      <c r="F130" s="49" t="s">
        <v>2579</v>
      </c>
      <c r="H130" s="49" t="s">
        <v>2580</v>
      </c>
      <c r="O130" s="49" t="s">
        <v>34913</v>
      </c>
      <c r="P130" s="49" t="s">
        <v>34914</v>
      </c>
      <c r="Q130" s="49" t="s">
        <v>34915</v>
      </c>
      <c r="R130" s="49" t="s">
        <v>34916</v>
      </c>
      <c r="S130" s="49" t="s">
        <v>34917</v>
      </c>
      <c r="T130" s="49" t="s">
        <v>34918</v>
      </c>
      <c r="U130" s="49" t="s">
        <v>34919</v>
      </c>
    </row>
    <row r="131" spans="1:21" x14ac:dyDescent="0.2">
      <c r="A131" s="49" t="s">
        <v>30</v>
      </c>
      <c r="D131" s="49" t="s">
        <v>543</v>
      </c>
      <c r="G131" s="49" t="s">
        <v>3504</v>
      </c>
      <c r="H131" s="49" t="s">
        <v>544</v>
      </c>
      <c r="I131" s="49" t="s">
        <v>545</v>
      </c>
      <c r="J131" s="49" t="s">
        <v>546</v>
      </c>
      <c r="K131" s="49" t="s">
        <v>547</v>
      </c>
      <c r="L131" s="49" t="s">
        <v>548</v>
      </c>
      <c r="M131" s="49" t="s">
        <v>549</v>
      </c>
      <c r="N131" s="49" t="s">
        <v>550</v>
      </c>
      <c r="O131" s="49" t="s">
        <v>3505</v>
      </c>
      <c r="P131" s="49" t="s">
        <v>3506</v>
      </c>
      <c r="Q131" s="49" t="s">
        <v>3507</v>
      </c>
      <c r="R131" s="49" t="s">
        <v>3508</v>
      </c>
      <c r="S131" s="49" t="s">
        <v>3509</v>
      </c>
      <c r="T131" s="49" t="s">
        <v>3510</v>
      </c>
    </row>
    <row r="132" spans="1:21" x14ac:dyDescent="0.2">
      <c r="A132" s="49" t="s">
        <v>30</v>
      </c>
      <c r="D132" s="49" t="s">
        <v>551</v>
      </c>
      <c r="G132" s="49" t="s">
        <v>14483</v>
      </c>
      <c r="H132" s="49" t="s">
        <v>552</v>
      </c>
      <c r="I132" s="49" t="s">
        <v>553</v>
      </c>
      <c r="J132" s="49" t="s">
        <v>554</v>
      </c>
      <c r="K132" s="49" t="s">
        <v>555</v>
      </c>
      <c r="L132" s="49" t="s">
        <v>556</v>
      </c>
      <c r="M132" s="49" t="s">
        <v>557</v>
      </c>
      <c r="N132" s="49" t="s">
        <v>558</v>
      </c>
      <c r="O132" s="49" t="s">
        <v>3511</v>
      </c>
      <c r="P132" s="49" t="s">
        <v>3512</v>
      </c>
      <c r="Q132" s="49" t="s">
        <v>3513</v>
      </c>
      <c r="R132" s="49" t="s">
        <v>3514</v>
      </c>
      <c r="S132" s="49" t="s">
        <v>3515</v>
      </c>
      <c r="T132" s="49" t="s">
        <v>3516</v>
      </c>
    </row>
    <row r="133" spans="1:21" x14ac:dyDescent="0.2">
      <c r="A133" s="49" t="s">
        <v>30</v>
      </c>
      <c r="D133" s="49" t="s">
        <v>1748</v>
      </c>
      <c r="G133" s="49" t="s">
        <v>14489</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c r="D134" s="49" t="s">
        <v>2656</v>
      </c>
      <c r="G134" s="49" t="s">
        <v>14502</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row>
    <row r="136" spans="1:21" x14ac:dyDescent="0.2">
      <c r="A136" s="49" t="s">
        <v>30</v>
      </c>
      <c r="E136" s="49" t="s">
        <v>31</v>
      </c>
      <c r="F136" s="49" t="s">
        <v>31</v>
      </c>
      <c r="G136" s="49" t="s">
        <v>31</v>
      </c>
      <c r="J136" s="49" t="s">
        <v>31</v>
      </c>
      <c r="K136" s="49" t="s">
        <v>31</v>
      </c>
      <c r="L136" s="49" t="s">
        <v>31</v>
      </c>
      <c r="M136" s="49" t="s">
        <v>31</v>
      </c>
    </row>
    <row r="137" spans="1:21" x14ac:dyDescent="0.2">
      <c r="A137" s="49" t="s">
        <v>30</v>
      </c>
      <c r="D137" s="49" t="s">
        <v>2791</v>
      </c>
      <c r="E137" s="49" t="s">
        <v>4679</v>
      </c>
      <c r="F137" s="49" t="s">
        <v>2792</v>
      </c>
      <c r="H137" s="49" t="s">
        <v>2793</v>
      </c>
      <c r="O137" s="49" t="s">
        <v>34920</v>
      </c>
      <c r="P137" s="49" t="s">
        <v>34921</v>
      </c>
      <c r="Q137" s="49" t="s">
        <v>34922</v>
      </c>
      <c r="R137" s="49" t="s">
        <v>34923</v>
      </c>
      <c r="S137" s="49" t="s">
        <v>34924</v>
      </c>
      <c r="T137" s="49" t="s">
        <v>34925</v>
      </c>
      <c r="U137" s="49" t="s">
        <v>34926</v>
      </c>
    </row>
    <row r="138" spans="1:21" x14ac:dyDescent="0.2">
      <c r="A138" s="49" t="s">
        <v>30</v>
      </c>
      <c r="D138" s="49" t="s">
        <v>575</v>
      </c>
      <c r="G138" s="49" t="s">
        <v>3946</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c r="D139" s="49" t="s">
        <v>583</v>
      </c>
      <c r="G139" s="49" t="s">
        <v>14534</v>
      </c>
      <c r="H139" s="49" t="s">
        <v>584</v>
      </c>
      <c r="I139" s="49" t="s">
        <v>585</v>
      </c>
      <c r="J139" s="49" t="s">
        <v>586</v>
      </c>
      <c r="K139" s="49" t="s">
        <v>587</v>
      </c>
      <c r="L139" s="49" t="s">
        <v>588</v>
      </c>
      <c r="M139" s="49" t="s">
        <v>589</v>
      </c>
      <c r="N139" s="49" t="s">
        <v>590</v>
      </c>
      <c r="O139" s="49" t="s">
        <v>3787</v>
      </c>
      <c r="P139" s="49" t="s">
        <v>3788</v>
      </c>
      <c r="Q139" s="49" t="s">
        <v>3789</v>
      </c>
      <c r="R139" s="49" t="s">
        <v>3790</v>
      </c>
      <c r="S139" s="49" t="s">
        <v>3791</v>
      </c>
      <c r="T139" s="49" t="s">
        <v>3792</v>
      </c>
    </row>
    <row r="140" spans="1:21" x14ac:dyDescent="0.2">
      <c r="A140" s="49" t="s">
        <v>30</v>
      </c>
      <c r="D140" s="49" t="s">
        <v>591</v>
      </c>
      <c r="G140" s="49" t="s">
        <v>14535</v>
      </c>
      <c r="H140" s="49" t="s">
        <v>592</v>
      </c>
      <c r="I140" s="49" t="s">
        <v>593</v>
      </c>
      <c r="J140" s="49" t="s">
        <v>594</v>
      </c>
      <c r="K140" s="49" t="s">
        <v>595</v>
      </c>
      <c r="L140" s="49" t="s">
        <v>596</v>
      </c>
      <c r="M140" s="49" t="s">
        <v>597</v>
      </c>
      <c r="N140" s="49" t="s">
        <v>598</v>
      </c>
      <c r="O140" s="49" t="s">
        <v>3523</v>
      </c>
      <c r="P140" s="49" t="s">
        <v>3524</v>
      </c>
      <c r="Q140" s="49" t="s">
        <v>3525</v>
      </c>
      <c r="R140" s="49" t="s">
        <v>3526</v>
      </c>
      <c r="S140" s="49" t="s">
        <v>3527</v>
      </c>
      <c r="T140" s="49" t="s">
        <v>3528</v>
      </c>
    </row>
    <row r="141" spans="1:21" x14ac:dyDescent="0.2">
      <c r="A141" s="49" t="s">
        <v>30</v>
      </c>
      <c r="D141" s="49" t="s">
        <v>1969</v>
      </c>
      <c r="G141" s="49" t="s">
        <v>14537</v>
      </c>
      <c r="H141" s="49" t="s">
        <v>1970</v>
      </c>
      <c r="I141" s="49" t="s">
        <v>1971</v>
      </c>
      <c r="J141" s="49" t="s">
        <v>1972</v>
      </c>
      <c r="K141" s="49" t="s">
        <v>1973</v>
      </c>
      <c r="L141" s="49" t="s">
        <v>1974</v>
      </c>
      <c r="M141" s="49" t="s">
        <v>1975</v>
      </c>
      <c r="N141" s="49" t="s">
        <v>1976</v>
      </c>
      <c r="O141" s="49" t="s">
        <v>4464</v>
      </c>
      <c r="P141" s="49" t="s">
        <v>4465</v>
      </c>
      <c r="Q141" s="49" t="s">
        <v>4466</v>
      </c>
      <c r="R141" s="49" t="s">
        <v>4467</v>
      </c>
      <c r="S141" s="49" t="s">
        <v>4468</v>
      </c>
      <c r="T141" s="49" t="s">
        <v>4469</v>
      </c>
    </row>
    <row r="142" spans="1:21" x14ac:dyDescent="0.2">
      <c r="A142" s="49" t="s">
        <v>30</v>
      </c>
    </row>
    <row r="143" spans="1:21" x14ac:dyDescent="0.2">
      <c r="A143" s="49" t="s">
        <v>30</v>
      </c>
      <c r="E143" s="49" t="s">
        <v>31</v>
      </c>
      <c r="F143" s="49" t="s">
        <v>31</v>
      </c>
      <c r="G143" s="49" t="s">
        <v>31</v>
      </c>
      <c r="J143" s="49" t="s">
        <v>31</v>
      </c>
      <c r="K143" s="49" t="s">
        <v>31</v>
      </c>
      <c r="L143" s="49" t="s">
        <v>31</v>
      </c>
      <c r="M143" s="49" t="s">
        <v>31</v>
      </c>
    </row>
    <row r="144" spans="1:21" x14ac:dyDescent="0.2">
      <c r="A144" s="49" t="s">
        <v>30</v>
      </c>
      <c r="D144" s="49" t="s">
        <v>10323</v>
      </c>
      <c r="E144" s="49" t="s">
        <v>4683</v>
      </c>
      <c r="F144" s="49" t="s">
        <v>10324</v>
      </c>
      <c r="H144" s="49" t="s">
        <v>10325</v>
      </c>
      <c r="O144" s="49" t="s">
        <v>34927</v>
      </c>
      <c r="P144" s="49" t="s">
        <v>34928</v>
      </c>
      <c r="Q144" s="49" t="s">
        <v>34929</v>
      </c>
      <c r="R144" s="49" t="s">
        <v>34930</v>
      </c>
      <c r="S144" s="49" t="s">
        <v>34931</v>
      </c>
      <c r="T144" s="49" t="s">
        <v>34932</v>
      </c>
      <c r="U144" s="49" t="s">
        <v>34933</v>
      </c>
    </row>
    <row r="145" spans="1:21" x14ac:dyDescent="0.2">
      <c r="A145" s="49" t="s">
        <v>30</v>
      </c>
      <c r="D145" s="49" t="s">
        <v>607</v>
      </c>
      <c r="G145" s="49" t="s">
        <v>10326</v>
      </c>
      <c r="H145" s="49" t="s">
        <v>608</v>
      </c>
      <c r="I145" s="49" t="s">
        <v>609</v>
      </c>
      <c r="J145" s="49" t="s">
        <v>610</v>
      </c>
      <c r="K145" s="49" t="s">
        <v>611</v>
      </c>
      <c r="L145" s="49" t="s">
        <v>612</v>
      </c>
      <c r="M145" s="49" t="s">
        <v>613</v>
      </c>
      <c r="N145" s="49" t="s">
        <v>614</v>
      </c>
      <c r="O145" s="49" t="s">
        <v>9456</v>
      </c>
      <c r="P145" s="49" t="s">
        <v>9457</v>
      </c>
      <c r="Q145" s="49" t="s">
        <v>9458</v>
      </c>
      <c r="R145" s="49" t="s">
        <v>9459</v>
      </c>
      <c r="S145" s="49" t="s">
        <v>9460</v>
      </c>
      <c r="T145" s="49" t="s">
        <v>9461</v>
      </c>
    </row>
    <row r="146" spans="1:21" x14ac:dyDescent="0.2">
      <c r="A146" s="49" t="s">
        <v>30</v>
      </c>
      <c r="D146" s="49" t="s">
        <v>615</v>
      </c>
      <c r="G146" s="49" t="s">
        <v>14570</v>
      </c>
      <c r="H146" s="49" t="s">
        <v>616</v>
      </c>
      <c r="I146" s="49" t="s">
        <v>617</v>
      </c>
      <c r="J146" s="49" t="s">
        <v>618</v>
      </c>
      <c r="K146" s="49" t="s">
        <v>619</v>
      </c>
      <c r="L146" s="49" t="s">
        <v>620</v>
      </c>
      <c r="M146" s="49" t="s">
        <v>621</v>
      </c>
      <c r="N146" s="49" t="s">
        <v>622</v>
      </c>
      <c r="O146" s="49" t="s">
        <v>8921</v>
      </c>
      <c r="P146" s="49" t="s">
        <v>8922</v>
      </c>
      <c r="Q146" s="49" t="s">
        <v>8923</v>
      </c>
      <c r="R146" s="49" t="s">
        <v>8924</v>
      </c>
      <c r="S146" s="49" t="s">
        <v>8925</v>
      </c>
      <c r="T146" s="49" t="s">
        <v>8926</v>
      </c>
    </row>
    <row r="147" spans="1:21" x14ac:dyDescent="0.2">
      <c r="A147" s="49" t="s">
        <v>30</v>
      </c>
    </row>
    <row r="148" spans="1:21" x14ac:dyDescent="0.2">
      <c r="A148" s="49" t="s">
        <v>30</v>
      </c>
      <c r="E148" s="49" t="s">
        <v>31</v>
      </c>
      <c r="F148" s="49" t="s">
        <v>31</v>
      </c>
      <c r="G148" s="49" t="s">
        <v>31</v>
      </c>
      <c r="J148" s="49" t="s">
        <v>31</v>
      </c>
      <c r="K148" s="49" t="s">
        <v>31</v>
      </c>
      <c r="L148" s="49" t="s">
        <v>31</v>
      </c>
      <c r="M148" s="49" t="s">
        <v>31</v>
      </c>
    </row>
    <row r="149" spans="1:21" x14ac:dyDescent="0.2">
      <c r="A149" s="49" t="s">
        <v>30</v>
      </c>
      <c r="D149" s="49" t="s">
        <v>10020</v>
      </c>
      <c r="E149" s="49" t="s">
        <v>4686</v>
      </c>
      <c r="F149" s="49" t="s">
        <v>10021</v>
      </c>
      <c r="H149" s="49" t="s">
        <v>10022</v>
      </c>
      <c r="O149" s="49" t="s">
        <v>34934</v>
      </c>
      <c r="P149" s="49" t="s">
        <v>34935</v>
      </c>
      <c r="Q149" s="49" t="s">
        <v>34936</v>
      </c>
      <c r="R149" s="49" t="s">
        <v>34937</v>
      </c>
      <c r="S149" s="49" t="s">
        <v>34938</v>
      </c>
      <c r="T149" s="49" t="s">
        <v>34939</v>
      </c>
      <c r="U149" s="49" t="s">
        <v>34940</v>
      </c>
    </row>
    <row r="150" spans="1:21" x14ac:dyDescent="0.2">
      <c r="A150" s="49" t="s">
        <v>30</v>
      </c>
      <c r="D150" s="49" t="s">
        <v>639</v>
      </c>
      <c r="G150" s="49" t="s">
        <v>10030</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c r="D151" s="49" t="s">
        <v>647</v>
      </c>
      <c r="G151" s="49" t="s">
        <v>14614</v>
      </c>
      <c r="H151" s="49" t="s">
        <v>648</v>
      </c>
      <c r="I151" s="49" t="s">
        <v>649</v>
      </c>
      <c r="J151" s="49" t="s">
        <v>650</v>
      </c>
      <c r="K151" s="49" t="s">
        <v>651</v>
      </c>
      <c r="L151" s="49" t="s">
        <v>652</v>
      </c>
      <c r="M151" s="49" t="s">
        <v>653</v>
      </c>
      <c r="N151" s="49" t="s">
        <v>654</v>
      </c>
      <c r="O151" s="49" t="s">
        <v>34684</v>
      </c>
      <c r="P151" s="49" t="s">
        <v>34685</v>
      </c>
      <c r="Q151" s="49" t="s">
        <v>34686</v>
      </c>
      <c r="R151" s="49" t="s">
        <v>34687</v>
      </c>
      <c r="S151" s="49" t="s">
        <v>34688</v>
      </c>
      <c r="T151" s="49" t="s">
        <v>34689</v>
      </c>
    </row>
    <row r="152" spans="1:21" x14ac:dyDescent="0.2">
      <c r="A152" s="49" t="s">
        <v>30</v>
      </c>
      <c r="D152" s="49" t="s">
        <v>655</v>
      </c>
      <c r="G152" s="49" t="s">
        <v>14648</v>
      </c>
      <c r="H152" s="49" t="s">
        <v>656</v>
      </c>
      <c r="I152" s="49" t="s">
        <v>657</v>
      </c>
      <c r="J152" s="49" t="s">
        <v>658</v>
      </c>
      <c r="K152" s="49" t="s">
        <v>659</v>
      </c>
      <c r="L152" s="49" t="s">
        <v>660</v>
      </c>
      <c r="M152" s="49" t="s">
        <v>661</v>
      </c>
      <c r="N152" s="49" t="s">
        <v>662</v>
      </c>
      <c r="O152" s="49" t="s">
        <v>32334</v>
      </c>
      <c r="P152" s="49" t="s">
        <v>32335</v>
      </c>
      <c r="Q152" s="49" t="s">
        <v>32336</v>
      </c>
      <c r="R152" s="49" t="s">
        <v>32337</v>
      </c>
      <c r="S152" s="49" t="s">
        <v>32338</v>
      </c>
      <c r="T152" s="49" t="s">
        <v>32339</v>
      </c>
    </row>
    <row r="153" spans="1:21" x14ac:dyDescent="0.2">
      <c r="A153" s="49" t="s">
        <v>30</v>
      </c>
    </row>
    <row r="154" spans="1:21" x14ac:dyDescent="0.2">
      <c r="A154" s="49" t="s">
        <v>30</v>
      </c>
      <c r="E154" s="49" t="s">
        <v>31</v>
      </c>
      <c r="F154" s="49" t="s">
        <v>31</v>
      </c>
      <c r="G154" s="49" t="s">
        <v>31</v>
      </c>
      <c r="J154" s="49" t="s">
        <v>31</v>
      </c>
      <c r="K154" s="49" t="s">
        <v>31</v>
      </c>
      <c r="L154" s="49" t="s">
        <v>31</v>
      </c>
      <c r="M154" s="49" t="s">
        <v>31</v>
      </c>
    </row>
    <row r="155" spans="1:21" x14ac:dyDescent="0.2">
      <c r="A155" s="49" t="s">
        <v>30</v>
      </c>
      <c r="D155" s="49" t="s">
        <v>32340</v>
      </c>
      <c r="E155" s="49" t="s">
        <v>4752</v>
      </c>
      <c r="F155" s="49" t="s">
        <v>32341</v>
      </c>
      <c r="H155" s="49" t="s">
        <v>32342</v>
      </c>
      <c r="O155" s="49" t="s">
        <v>32343</v>
      </c>
      <c r="P155" s="49" t="s">
        <v>32344</v>
      </c>
      <c r="Q155" s="49" t="s">
        <v>32345</v>
      </c>
      <c r="R155" s="49" t="s">
        <v>32346</v>
      </c>
      <c r="S155" s="49" t="s">
        <v>32347</v>
      </c>
      <c r="T155" s="49" t="s">
        <v>32348</v>
      </c>
      <c r="U155" s="49" t="s">
        <v>32349</v>
      </c>
    </row>
    <row r="156" spans="1:21" x14ac:dyDescent="0.2">
      <c r="A156" s="49" t="s">
        <v>30</v>
      </c>
      <c r="D156" s="49" t="s">
        <v>14209</v>
      </c>
      <c r="G156" s="49" t="s">
        <v>32350</v>
      </c>
      <c r="H156" s="49" t="s">
        <v>31878</v>
      </c>
      <c r="I156" s="49" t="s">
        <v>31879</v>
      </c>
      <c r="J156" s="49" t="s">
        <v>31898</v>
      </c>
      <c r="K156" s="49" t="s">
        <v>31899</v>
      </c>
      <c r="L156" s="49" t="s">
        <v>14211</v>
      </c>
      <c r="M156" s="49" t="s">
        <v>14212</v>
      </c>
      <c r="N156" s="49" t="s">
        <v>14213</v>
      </c>
      <c r="O156" s="49" t="s">
        <v>32351</v>
      </c>
      <c r="P156" s="49" t="s">
        <v>32352</v>
      </c>
      <c r="Q156" s="49" t="s">
        <v>32353</v>
      </c>
      <c r="R156" s="49" t="s">
        <v>32354</v>
      </c>
      <c r="S156" s="49" t="s">
        <v>32355</v>
      </c>
      <c r="T156" s="49" t="s">
        <v>32356</v>
      </c>
    </row>
    <row r="157" spans="1:21" x14ac:dyDescent="0.2">
      <c r="A157" s="49" t="s">
        <v>30</v>
      </c>
    </row>
    <row r="158" spans="1:21" x14ac:dyDescent="0.2">
      <c r="A158" s="49" t="s">
        <v>30</v>
      </c>
      <c r="E158" s="49" t="s">
        <v>31</v>
      </c>
      <c r="F158" s="49" t="s">
        <v>31</v>
      </c>
      <c r="G158" s="49" t="s">
        <v>31</v>
      </c>
      <c r="J158" s="49" t="s">
        <v>31</v>
      </c>
      <c r="K158" s="49" t="s">
        <v>31</v>
      </c>
      <c r="L158" s="49" t="s">
        <v>31</v>
      </c>
      <c r="M158" s="49" t="s">
        <v>31</v>
      </c>
    </row>
    <row r="159" spans="1:21" x14ac:dyDescent="0.2">
      <c r="A159" s="49" t="s">
        <v>30</v>
      </c>
      <c r="D159" s="49" t="s">
        <v>32357</v>
      </c>
      <c r="E159" s="49" t="s">
        <v>4756</v>
      </c>
      <c r="F159" s="49" t="s">
        <v>32358</v>
      </c>
      <c r="H159" s="49" t="s">
        <v>32359</v>
      </c>
      <c r="O159" s="49" t="s">
        <v>32360</v>
      </c>
      <c r="P159" s="49" t="s">
        <v>32361</v>
      </c>
      <c r="Q159" s="49" t="s">
        <v>32362</v>
      </c>
      <c r="R159" s="49" t="s">
        <v>32363</v>
      </c>
      <c r="S159" s="49" t="s">
        <v>32364</v>
      </c>
      <c r="T159" s="49" t="s">
        <v>32365</v>
      </c>
      <c r="U159" s="49" t="s">
        <v>32366</v>
      </c>
    </row>
    <row r="160" spans="1:21" x14ac:dyDescent="0.2">
      <c r="A160" s="49" t="s">
        <v>30</v>
      </c>
      <c r="D160" s="49" t="s">
        <v>698</v>
      </c>
      <c r="G160" s="49" t="s">
        <v>32367</v>
      </c>
      <c r="H160" s="49" t="s">
        <v>699</v>
      </c>
      <c r="I160" s="49" t="s">
        <v>700</v>
      </c>
      <c r="J160" s="49" t="s">
        <v>701</v>
      </c>
      <c r="K160" s="49" t="s">
        <v>702</v>
      </c>
      <c r="L160" s="49" t="s">
        <v>703</v>
      </c>
      <c r="M160" s="49" t="s">
        <v>704</v>
      </c>
      <c r="N160" s="49" t="s">
        <v>705</v>
      </c>
      <c r="O160" s="49" t="s">
        <v>8927</v>
      </c>
      <c r="P160" s="49" t="s">
        <v>8928</v>
      </c>
      <c r="Q160" s="49" t="s">
        <v>8929</v>
      </c>
      <c r="R160" s="49" t="s">
        <v>8930</v>
      </c>
      <c r="S160" s="49" t="s">
        <v>8931</v>
      </c>
      <c r="T160" s="49" t="s">
        <v>8932</v>
      </c>
    </row>
    <row r="161" spans="1:21" x14ac:dyDescent="0.2">
      <c r="A161" s="49" t="s">
        <v>30</v>
      </c>
      <c r="D161" s="49" t="s">
        <v>706</v>
      </c>
      <c r="G161" s="49" t="s">
        <v>14711</v>
      </c>
      <c r="H161" s="49" t="s">
        <v>707</v>
      </c>
      <c r="I161" s="49" t="s">
        <v>708</v>
      </c>
      <c r="J161" s="49" t="s">
        <v>709</v>
      </c>
      <c r="K161" s="49" t="s">
        <v>710</v>
      </c>
      <c r="L161" s="49" t="s">
        <v>711</v>
      </c>
      <c r="M161" s="49" t="s">
        <v>712</v>
      </c>
      <c r="N161" s="49" t="s">
        <v>713</v>
      </c>
      <c r="O161" s="49" t="s">
        <v>3811</v>
      </c>
      <c r="P161" s="49" t="s">
        <v>3812</v>
      </c>
      <c r="Q161" s="49" t="s">
        <v>3813</v>
      </c>
      <c r="R161" s="49" t="s">
        <v>3814</v>
      </c>
      <c r="S161" s="49" t="s">
        <v>3815</v>
      </c>
      <c r="T161" s="49" t="s">
        <v>3816</v>
      </c>
    </row>
    <row r="162" spans="1:21" x14ac:dyDescent="0.2">
      <c r="A162" s="49" t="s">
        <v>30</v>
      </c>
    </row>
    <row r="163" spans="1:21" x14ac:dyDescent="0.2">
      <c r="A163" s="49" t="s">
        <v>30</v>
      </c>
      <c r="E163" s="49" t="s">
        <v>31</v>
      </c>
      <c r="F163" s="49" t="s">
        <v>31</v>
      </c>
      <c r="G163" s="49" t="s">
        <v>31</v>
      </c>
      <c r="J163" s="49" t="s">
        <v>31</v>
      </c>
      <c r="K163" s="49" t="s">
        <v>31</v>
      </c>
      <c r="L163" s="49" t="s">
        <v>31</v>
      </c>
      <c r="M163" s="49" t="s">
        <v>31</v>
      </c>
    </row>
    <row r="164" spans="1:21" x14ac:dyDescent="0.2">
      <c r="A164" s="49" t="s">
        <v>30</v>
      </c>
      <c r="D164" s="49" t="s">
        <v>4488</v>
      </c>
      <c r="E164" s="49" t="s">
        <v>4760</v>
      </c>
      <c r="F164" s="49" t="s">
        <v>4489</v>
      </c>
      <c r="H164" s="49" t="s">
        <v>4490</v>
      </c>
      <c r="O164" s="49" t="s">
        <v>33200</v>
      </c>
      <c r="P164" s="49" t="s">
        <v>33201</v>
      </c>
      <c r="Q164" s="49" t="s">
        <v>33202</v>
      </c>
      <c r="R164" s="49" t="s">
        <v>33203</v>
      </c>
      <c r="S164" s="49" t="s">
        <v>33204</v>
      </c>
      <c r="T164" s="49" t="s">
        <v>33205</v>
      </c>
      <c r="U164" s="49" t="s">
        <v>33206</v>
      </c>
    </row>
    <row r="165" spans="1:21" x14ac:dyDescent="0.2">
      <c r="A165" s="49" t="s">
        <v>30</v>
      </c>
      <c r="D165" s="49" t="s">
        <v>2832</v>
      </c>
      <c r="G165" s="49" t="s">
        <v>4498</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c r="D166" s="49" t="s">
        <v>2581</v>
      </c>
      <c r="G166" s="49" t="s">
        <v>14759</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c r="D167" s="49" t="s">
        <v>730</v>
      </c>
      <c r="G167" s="49" t="s">
        <v>14768</v>
      </c>
      <c r="H167" s="49" t="s">
        <v>731</v>
      </c>
      <c r="I167" s="49" t="s">
        <v>732</v>
      </c>
      <c r="J167" s="49" t="s">
        <v>733</v>
      </c>
      <c r="K167" s="49" t="s">
        <v>734</v>
      </c>
      <c r="L167" s="49" t="s">
        <v>735</v>
      </c>
      <c r="M167" s="49" t="s">
        <v>736</v>
      </c>
      <c r="N167" s="49" t="s">
        <v>737</v>
      </c>
      <c r="O167" s="49" t="s">
        <v>4036</v>
      </c>
      <c r="P167" s="49" t="s">
        <v>4037</v>
      </c>
      <c r="Q167" s="49" t="s">
        <v>4038</v>
      </c>
      <c r="R167" s="49" t="s">
        <v>4039</v>
      </c>
      <c r="S167" s="49" t="s">
        <v>4040</v>
      </c>
      <c r="T167" s="49" t="s">
        <v>4041</v>
      </c>
    </row>
    <row r="168" spans="1:21" x14ac:dyDescent="0.2">
      <c r="A168" s="49" t="s">
        <v>30</v>
      </c>
      <c r="D168" s="49" t="s">
        <v>14229</v>
      </c>
      <c r="G168" s="49" t="s">
        <v>14777</v>
      </c>
      <c r="H168" s="49" t="s">
        <v>31856</v>
      </c>
      <c r="I168" s="49" t="s">
        <v>31857</v>
      </c>
      <c r="J168" s="49" t="s">
        <v>31876</v>
      </c>
      <c r="K168" s="49" t="s">
        <v>31877</v>
      </c>
      <c r="L168" s="49" t="s">
        <v>14231</v>
      </c>
      <c r="M168" s="49" t="s">
        <v>14232</v>
      </c>
      <c r="N168" s="49" t="s">
        <v>14233</v>
      </c>
      <c r="O168" s="49" t="s">
        <v>34678</v>
      </c>
      <c r="P168" s="49" t="s">
        <v>34679</v>
      </c>
      <c r="Q168" s="49" t="s">
        <v>34680</v>
      </c>
      <c r="R168" s="49" t="s">
        <v>34681</v>
      </c>
      <c r="S168" s="49" t="s">
        <v>34682</v>
      </c>
      <c r="T168" s="49" t="s">
        <v>34683</v>
      </c>
    </row>
    <row r="169" spans="1:21" x14ac:dyDescent="0.2">
      <c r="A169" s="49" t="s">
        <v>30</v>
      </c>
      <c r="D169" s="49" t="s">
        <v>738</v>
      </c>
      <c r="G169" s="49" t="s">
        <v>14778</v>
      </c>
      <c r="H169" s="49" t="s">
        <v>739</v>
      </c>
      <c r="I169" s="49" t="s">
        <v>740</v>
      </c>
      <c r="J169" s="49" t="s">
        <v>741</v>
      </c>
      <c r="K169" s="49" t="s">
        <v>742</v>
      </c>
      <c r="L169" s="49" t="s">
        <v>743</v>
      </c>
      <c r="M169" s="49" t="s">
        <v>744</v>
      </c>
      <c r="N169" s="49" t="s">
        <v>745</v>
      </c>
      <c r="O169" s="49" t="s">
        <v>4500</v>
      </c>
      <c r="P169" s="49" t="s">
        <v>4501</v>
      </c>
      <c r="Q169" s="49" t="s">
        <v>4502</v>
      </c>
      <c r="R169" s="49" t="s">
        <v>4503</v>
      </c>
      <c r="S169" s="49" t="s">
        <v>4504</v>
      </c>
      <c r="T169" s="49" t="s">
        <v>4505</v>
      </c>
    </row>
    <row r="170" spans="1:21" x14ac:dyDescent="0.2">
      <c r="A170" s="49" t="s">
        <v>30</v>
      </c>
    </row>
    <row r="171" spans="1:21" x14ac:dyDescent="0.2">
      <c r="A171" s="49" t="s">
        <v>30</v>
      </c>
      <c r="E171" s="49" t="s">
        <v>31</v>
      </c>
      <c r="F171" s="49" t="s">
        <v>31</v>
      </c>
      <c r="G171" s="49" t="s">
        <v>31</v>
      </c>
      <c r="J171" s="49" t="s">
        <v>31</v>
      </c>
      <c r="K171" s="49" t="s">
        <v>31</v>
      </c>
      <c r="L171" s="49" t="s">
        <v>31</v>
      </c>
      <c r="M171" s="49" t="s">
        <v>31</v>
      </c>
    </row>
    <row r="172" spans="1:21" x14ac:dyDescent="0.2">
      <c r="A172" s="49" t="s">
        <v>30</v>
      </c>
      <c r="D172" s="49" t="s">
        <v>2850</v>
      </c>
      <c r="E172" s="49" t="s">
        <v>4805</v>
      </c>
      <c r="F172" s="49" t="s">
        <v>2851</v>
      </c>
      <c r="H172" s="49" t="s">
        <v>2852</v>
      </c>
      <c r="O172" s="49" t="s">
        <v>10676</v>
      </c>
      <c r="P172" s="49" t="s">
        <v>10677</v>
      </c>
      <c r="Q172" s="49" t="s">
        <v>10678</v>
      </c>
      <c r="R172" s="49" t="s">
        <v>10679</v>
      </c>
      <c r="S172" s="49" t="s">
        <v>10680</v>
      </c>
      <c r="T172" s="49" t="s">
        <v>10681</v>
      </c>
      <c r="U172" s="49" t="s">
        <v>10682</v>
      </c>
    </row>
    <row r="173" spans="1:21" x14ac:dyDescent="0.2">
      <c r="A173" s="49" t="s">
        <v>30</v>
      </c>
      <c r="D173" s="49" t="s">
        <v>2672</v>
      </c>
      <c r="G173" s="49" t="s">
        <v>4506</v>
      </c>
      <c r="H173" s="49" t="s">
        <v>2673</v>
      </c>
      <c r="I173" s="49" t="s">
        <v>2674</v>
      </c>
      <c r="J173" s="49" t="s">
        <v>2675</v>
      </c>
      <c r="K173" s="49" t="s">
        <v>2676</v>
      </c>
      <c r="L173" s="49" t="s">
        <v>2677</v>
      </c>
      <c r="M173" s="49" t="s">
        <v>2678</v>
      </c>
      <c r="N173" s="49" t="s">
        <v>2679</v>
      </c>
      <c r="O173" s="49" t="s">
        <v>4507</v>
      </c>
      <c r="P173" s="49" t="s">
        <v>4508</v>
      </c>
      <c r="Q173" s="49" t="s">
        <v>4509</v>
      </c>
      <c r="R173" s="49" t="s">
        <v>4510</v>
      </c>
      <c r="S173" s="49" t="s">
        <v>4511</v>
      </c>
      <c r="T173" s="49" t="s">
        <v>4512</v>
      </c>
    </row>
    <row r="174" spans="1:21" x14ac:dyDescent="0.2">
      <c r="A174" s="49" t="s">
        <v>30</v>
      </c>
      <c r="D174" s="49" t="s">
        <v>2794</v>
      </c>
      <c r="G174" s="49" t="s">
        <v>14841</v>
      </c>
      <c r="H174" s="49" t="s">
        <v>2795</v>
      </c>
      <c r="I174" s="49" t="s">
        <v>2796</v>
      </c>
      <c r="J174" s="49" t="s">
        <v>2797</v>
      </c>
      <c r="K174" s="49" t="s">
        <v>2798</v>
      </c>
      <c r="L174" s="49" t="s">
        <v>2799</v>
      </c>
      <c r="M174" s="49" t="s">
        <v>2800</v>
      </c>
      <c r="N174" s="49" t="s">
        <v>2801</v>
      </c>
      <c r="O174" s="49" t="s">
        <v>4513</v>
      </c>
      <c r="P174" s="49" t="s">
        <v>4514</v>
      </c>
      <c r="Q174" s="49" t="s">
        <v>4515</v>
      </c>
      <c r="R174" s="49" t="s">
        <v>4516</v>
      </c>
      <c r="S174" s="49" t="s">
        <v>4517</v>
      </c>
      <c r="T174" s="49" t="s">
        <v>4518</v>
      </c>
    </row>
    <row r="175" spans="1:21" x14ac:dyDescent="0.2">
      <c r="A175" s="49" t="s">
        <v>30</v>
      </c>
    </row>
    <row r="176" spans="1:21" x14ac:dyDescent="0.2">
      <c r="A176" s="49" t="s">
        <v>30</v>
      </c>
      <c r="E176" s="49" t="s">
        <v>31</v>
      </c>
      <c r="F176" s="49" t="s">
        <v>31</v>
      </c>
      <c r="G176" s="49" t="s">
        <v>31</v>
      </c>
      <c r="J176" s="49" t="s">
        <v>31</v>
      </c>
      <c r="K176" s="49" t="s">
        <v>31</v>
      </c>
      <c r="L176" s="49" t="s">
        <v>31</v>
      </c>
      <c r="M176" s="49" t="s">
        <v>31</v>
      </c>
    </row>
    <row r="177" spans="1:21" x14ac:dyDescent="0.2">
      <c r="A177" s="49" t="s">
        <v>30</v>
      </c>
      <c r="D177" s="49" t="s">
        <v>4654</v>
      </c>
      <c r="E177" s="49" t="s">
        <v>4837</v>
      </c>
      <c r="F177" s="49" t="s">
        <v>4656</v>
      </c>
      <c r="H177" s="49" t="s">
        <v>4657</v>
      </c>
      <c r="O177" s="49" t="s">
        <v>10683</v>
      </c>
      <c r="P177" s="49" t="s">
        <v>10684</v>
      </c>
      <c r="Q177" s="49" t="s">
        <v>10685</v>
      </c>
      <c r="R177" s="49" t="s">
        <v>10686</v>
      </c>
      <c r="S177" s="49" t="s">
        <v>10687</v>
      </c>
      <c r="T177" s="49" t="s">
        <v>10688</v>
      </c>
      <c r="U177" s="49" t="s">
        <v>10689</v>
      </c>
    </row>
    <row r="178" spans="1:21" x14ac:dyDescent="0.2">
      <c r="A178" s="49" t="s">
        <v>30</v>
      </c>
      <c r="D178" s="49" t="s">
        <v>770</v>
      </c>
      <c r="G178" s="49" t="s">
        <v>10690</v>
      </c>
      <c r="H178" s="49" t="s">
        <v>771</v>
      </c>
      <c r="I178" s="49" t="s">
        <v>772</v>
      </c>
      <c r="J178" s="49" t="s">
        <v>773</v>
      </c>
      <c r="K178" s="49" t="s">
        <v>774</v>
      </c>
      <c r="L178" s="49" t="s">
        <v>775</v>
      </c>
      <c r="M178" s="49" t="s">
        <v>776</v>
      </c>
      <c r="N178" s="49" t="s">
        <v>777</v>
      </c>
      <c r="O178" s="49" t="s">
        <v>10327</v>
      </c>
      <c r="P178" s="49" t="s">
        <v>10328</v>
      </c>
      <c r="Q178" s="49" t="s">
        <v>10329</v>
      </c>
      <c r="R178" s="49" t="s">
        <v>10330</v>
      </c>
      <c r="S178" s="49" t="s">
        <v>10331</v>
      </c>
      <c r="T178" s="49" t="s">
        <v>10332</v>
      </c>
    </row>
    <row r="179" spans="1:21" x14ac:dyDescent="0.2">
      <c r="A179" s="49" t="s">
        <v>30</v>
      </c>
    </row>
    <row r="180" spans="1:21" x14ac:dyDescent="0.2">
      <c r="A180" s="49" t="s">
        <v>30</v>
      </c>
      <c r="E180" s="49" t="s">
        <v>31</v>
      </c>
      <c r="F180" s="49" t="s">
        <v>31</v>
      </c>
      <c r="G180" s="49" t="s">
        <v>31</v>
      </c>
      <c r="J180" s="49" t="s">
        <v>31</v>
      </c>
      <c r="K180" s="49" t="s">
        <v>31</v>
      </c>
      <c r="L180" s="49" t="s">
        <v>31</v>
      </c>
      <c r="M180" s="49" t="s">
        <v>31</v>
      </c>
    </row>
    <row r="181" spans="1:21" x14ac:dyDescent="0.2">
      <c r="A181" s="49" t="s">
        <v>30</v>
      </c>
      <c r="D181" s="49" t="s">
        <v>10333</v>
      </c>
      <c r="E181" s="49" t="s">
        <v>4841</v>
      </c>
      <c r="F181" s="49" t="s">
        <v>10334</v>
      </c>
      <c r="H181" s="49" t="s">
        <v>10335</v>
      </c>
      <c r="O181" s="49" t="s">
        <v>34941</v>
      </c>
      <c r="P181" s="49" t="s">
        <v>34942</v>
      </c>
      <c r="Q181" s="49" t="s">
        <v>34943</v>
      </c>
      <c r="R181" s="49" t="s">
        <v>34944</v>
      </c>
      <c r="S181" s="49" t="s">
        <v>34945</v>
      </c>
      <c r="T181" s="49" t="s">
        <v>34946</v>
      </c>
      <c r="U181" s="49" t="s">
        <v>34947</v>
      </c>
    </row>
    <row r="182" spans="1:21" x14ac:dyDescent="0.2">
      <c r="A182" s="49" t="s">
        <v>30</v>
      </c>
      <c r="D182" s="49" t="s">
        <v>802</v>
      </c>
      <c r="G182" s="49" t="s">
        <v>10343</v>
      </c>
      <c r="H182" s="49" t="s">
        <v>803</v>
      </c>
      <c r="I182" s="49" t="s">
        <v>804</v>
      </c>
      <c r="J182" s="49" t="s">
        <v>805</v>
      </c>
      <c r="K182" s="49" t="s">
        <v>806</v>
      </c>
      <c r="L182" s="49" t="s">
        <v>807</v>
      </c>
      <c r="M182" s="49" t="s">
        <v>808</v>
      </c>
      <c r="N182" s="49" t="s">
        <v>809</v>
      </c>
      <c r="O182" s="49" t="s">
        <v>10344</v>
      </c>
      <c r="P182" s="49" t="s">
        <v>10345</v>
      </c>
      <c r="Q182" s="49" t="s">
        <v>10346</v>
      </c>
      <c r="R182" s="49" t="s">
        <v>10347</v>
      </c>
      <c r="S182" s="49" t="s">
        <v>10348</v>
      </c>
      <c r="T182" s="49" t="s">
        <v>10349</v>
      </c>
    </row>
    <row r="183" spans="1:21" x14ac:dyDescent="0.2">
      <c r="A183" s="49" t="s">
        <v>30</v>
      </c>
      <c r="D183" s="49" t="s">
        <v>810</v>
      </c>
      <c r="G183" s="49" t="s">
        <v>14911</v>
      </c>
      <c r="H183" s="49" t="s">
        <v>811</v>
      </c>
      <c r="I183" s="49" t="s">
        <v>812</v>
      </c>
      <c r="J183" s="49" t="s">
        <v>813</v>
      </c>
      <c r="K183" s="49" t="s">
        <v>814</v>
      </c>
      <c r="L183" s="49" t="s">
        <v>815</v>
      </c>
      <c r="M183" s="49" t="s">
        <v>816</v>
      </c>
      <c r="N183" s="49" t="s">
        <v>817</v>
      </c>
      <c r="O183" s="49" t="s">
        <v>4527</v>
      </c>
      <c r="P183" s="49" t="s">
        <v>4528</v>
      </c>
      <c r="Q183" s="49" t="s">
        <v>4529</v>
      </c>
      <c r="R183" s="49" t="s">
        <v>4530</v>
      </c>
      <c r="S183" s="49" t="s">
        <v>4531</v>
      </c>
      <c r="T183" s="49" t="s">
        <v>4532</v>
      </c>
    </row>
    <row r="184" spans="1:21" x14ac:dyDescent="0.2">
      <c r="A184" s="49" t="s">
        <v>30</v>
      </c>
      <c r="D184" s="49" t="s">
        <v>4658</v>
      </c>
      <c r="G184" s="49" t="s">
        <v>14914</v>
      </c>
      <c r="H184" s="49" t="s">
        <v>4659</v>
      </c>
      <c r="I184" s="49" t="s">
        <v>4660</v>
      </c>
      <c r="J184" s="49" t="s">
        <v>4661</v>
      </c>
      <c r="K184" s="49" t="s">
        <v>4662</v>
      </c>
      <c r="L184" s="49" t="s">
        <v>4663</v>
      </c>
      <c r="M184" s="49" t="s">
        <v>4664</v>
      </c>
      <c r="N184" s="49" t="s">
        <v>4665</v>
      </c>
      <c r="O184" s="49" t="s">
        <v>10075</v>
      </c>
      <c r="P184" s="49" t="s">
        <v>10076</v>
      </c>
      <c r="Q184" s="49" t="s">
        <v>10077</v>
      </c>
      <c r="R184" s="49" t="s">
        <v>10078</v>
      </c>
      <c r="S184" s="49" t="s">
        <v>10079</v>
      </c>
      <c r="T184" s="49" t="s">
        <v>10080</v>
      </c>
    </row>
    <row r="185" spans="1:21" x14ac:dyDescent="0.2">
      <c r="A185" s="49" t="s">
        <v>30</v>
      </c>
      <c r="D185" s="49" t="s">
        <v>4666</v>
      </c>
      <c r="G185" s="49" t="s">
        <v>14923</v>
      </c>
      <c r="H185" s="49" t="s">
        <v>4667</v>
      </c>
      <c r="I185" s="49" t="s">
        <v>4668</v>
      </c>
      <c r="J185" s="49" t="s">
        <v>4669</v>
      </c>
      <c r="K185" s="49" t="s">
        <v>4670</v>
      </c>
      <c r="L185" s="49" t="s">
        <v>4671</v>
      </c>
      <c r="M185" s="49" t="s">
        <v>4672</v>
      </c>
      <c r="N185" s="49" t="s">
        <v>4673</v>
      </c>
      <c r="O185" s="49" t="s">
        <v>8939</v>
      </c>
      <c r="P185" s="49" t="s">
        <v>8940</v>
      </c>
      <c r="Q185" s="49" t="s">
        <v>8941</v>
      </c>
      <c r="R185" s="49" t="s">
        <v>8942</v>
      </c>
      <c r="S185" s="49" t="s">
        <v>8943</v>
      </c>
      <c r="T185" s="49" t="s">
        <v>8944</v>
      </c>
    </row>
    <row r="186" spans="1:21" x14ac:dyDescent="0.2">
      <c r="A186" s="49" t="s">
        <v>30</v>
      </c>
      <c r="D186" s="49" t="s">
        <v>2683</v>
      </c>
      <c r="G186" s="49" t="s">
        <v>14932</v>
      </c>
      <c r="H186" s="49" t="s">
        <v>2684</v>
      </c>
      <c r="I186" s="49" t="s">
        <v>2685</v>
      </c>
      <c r="J186" s="49" t="s">
        <v>2686</v>
      </c>
      <c r="K186" s="49" t="s">
        <v>2687</v>
      </c>
      <c r="L186" s="49" t="s">
        <v>2688</v>
      </c>
      <c r="M186" s="49" t="s">
        <v>2689</v>
      </c>
      <c r="N186" s="49" t="s">
        <v>2690</v>
      </c>
      <c r="O186" s="49" t="s">
        <v>9482</v>
      </c>
      <c r="P186" s="49" t="s">
        <v>9483</v>
      </c>
      <c r="Q186" s="49" t="s">
        <v>9484</v>
      </c>
      <c r="R186" s="49" t="s">
        <v>9485</v>
      </c>
      <c r="S186" s="49" t="s">
        <v>9486</v>
      </c>
      <c r="T186" s="49" t="s">
        <v>9487</v>
      </c>
    </row>
    <row r="187" spans="1:21" x14ac:dyDescent="0.2">
      <c r="A187" s="49" t="s">
        <v>30</v>
      </c>
      <c r="D187" s="49" t="s">
        <v>1778</v>
      </c>
      <c r="G187" s="49" t="s">
        <v>14933</v>
      </c>
      <c r="H187" s="49" t="s">
        <v>1779</v>
      </c>
      <c r="I187" s="49" t="s">
        <v>1780</v>
      </c>
      <c r="J187" s="49" t="s">
        <v>1781</v>
      </c>
      <c r="K187" s="49" t="s">
        <v>1782</v>
      </c>
      <c r="L187" s="49" t="s">
        <v>1783</v>
      </c>
      <c r="M187" s="49" t="s">
        <v>1784</v>
      </c>
      <c r="N187" s="49" t="s">
        <v>1785</v>
      </c>
      <c r="O187" s="49" t="s">
        <v>4533</v>
      </c>
      <c r="P187" s="49" t="s">
        <v>4534</v>
      </c>
      <c r="Q187" s="49" t="s">
        <v>4535</v>
      </c>
      <c r="R187" s="49" t="s">
        <v>4536</v>
      </c>
      <c r="S187" s="49" t="s">
        <v>4537</v>
      </c>
      <c r="T187" s="49" t="s">
        <v>4538</v>
      </c>
    </row>
    <row r="188" spans="1:21" x14ac:dyDescent="0.2">
      <c r="A188" s="49" t="s">
        <v>30</v>
      </c>
    </row>
    <row r="189" spans="1:21" x14ac:dyDescent="0.2">
      <c r="A189" s="49" t="s">
        <v>30</v>
      </c>
      <c r="E189" s="49" t="s">
        <v>31</v>
      </c>
      <c r="F189" s="49" t="s">
        <v>31</v>
      </c>
      <c r="G189" s="49" t="s">
        <v>31</v>
      </c>
      <c r="J189" s="49" t="s">
        <v>31</v>
      </c>
      <c r="K189" s="49" t="s">
        <v>31</v>
      </c>
      <c r="L189" s="49" t="s">
        <v>31</v>
      </c>
      <c r="M189" s="49" t="s">
        <v>31</v>
      </c>
    </row>
    <row r="190" spans="1:21" x14ac:dyDescent="0.2">
      <c r="A190" s="49" t="s">
        <v>30</v>
      </c>
      <c r="D190" s="49" t="s">
        <v>1786</v>
      </c>
      <c r="E190" s="49" t="s">
        <v>4844</v>
      </c>
      <c r="F190" s="49" t="s">
        <v>1787</v>
      </c>
      <c r="H190" s="49" t="s">
        <v>1788</v>
      </c>
      <c r="O190" s="49" t="s">
        <v>34948</v>
      </c>
      <c r="P190" s="49" t="s">
        <v>34949</v>
      </c>
      <c r="Q190" s="49" t="s">
        <v>34950</v>
      </c>
      <c r="R190" s="49" t="s">
        <v>34951</v>
      </c>
      <c r="S190" s="49" t="s">
        <v>34952</v>
      </c>
      <c r="T190" s="49" t="s">
        <v>34953</v>
      </c>
      <c r="U190" s="49" t="s">
        <v>34954</v>
      </c>
    </row>
    <row r="191" spans="1:21" x14ac:dyDescent="0.2">
      <c r="A191" s="49" t="s">
        <v>30</v>
      </c>
      <c r="D191" s="49" t="s">
        <v>842</v>
      </c>
      <c r="G191" s="49" t="s">
        <v>4539</v>
      </c>
      <c r="H191" s="49" t="s">
        <v>843</v>
      </c>
      <c r="I191" s="49" t="s">
        <v>844</v>
      </c>
      <c r="J191" s="49" t="s">
        <v>845</v>
      </c>
      <c r="K191" s="49" t="s">
        <v>846</v>
      </c>
      <c r="L191" s="49" t="s">
        <v>847</v>
      </c>
      <c r="M191" s="49" t="s">
        <v>848</v>
      </c>
      <c r="N191" s="49" t="s">
        <v>849</v>
      </c>
      <c r="O191" s="49" t="s">
        <v>4540</v>
      </c>
      <c r="P191" s="49" t="s">
        <v>4541</v>
      </c>
      <c r="Q191" s="49" t="s">
        <v>4542</v>
      </c>
      <c r="R191" s="49" t="s">
        <v>4543</v>
      </c>
      <c r="S191" s="49" t="s">
        <v>4544</v>
      </c>
      <c r="T191" s="49" t="s">
        <v>4545</v>
      </c>
    </row>
    <row r="192" spans="1:21" x14ac:dyDescent="0.2">
      <c r="A192" s="49" t="s">
        <v>30</v>
      </c>
      <c r="D192" s="49" t="s">
        <v>850</v>
      </c>
      <c r="G192" s="49" t="s">
        <v>14951</v>
      </c>
      <c r="H192" s="49" t="s">
        <v>851</v>
      </c>
      <c r="I192" s="49" t="s">
        <v>852</v>
      </c>
      <c r="J192" s="49" t="s">
        <v>853</v>
      </c>
      <c r="K192" s="49" t="s">
        <v>854</v>
      </c>
      <c r="L192" s="49" t="s">
        <v>855</v>
      </c>
      <c r="M192" s="49" t="s">
        <v>856</v>
      </c>
      <c r="N192" s="49" t="s">
        <v>857</v>
      </c>
      <c r="O192" s="49" t="s">
        <v>9488</v>
      </c>
      <c r="P192" s="49" t="s">
        <v>9489</v>
      </c>
      <c r="Q192" s="49" t="s">
        <v>9490</v>
      </c>
      <c r="R192" s="49" t="s">
        <v>9491</v>
      </c>
      <c r="S192" s="49" t="s">
        <v>9492</v>
      </c>
      <c r="T192" s="49" t="s">
        <v>9493</v>
      </c>
    </row>
    <row r="193" spans="1:21" x14ac:dyDescent="0.2">
      <c r="A193" s="49" t="s">
        <v>30</v>
      </c>
      <c r="D193" s="49" t="s">
        <v>2363</v>
      </c>
      <c r="G193" s="49" t="s">
        <v>14952</v>
      </c>
      <c r="H193" s="49" t="s">
        <v>2364</v>
      </c>
      <c r="I193" s="49" t="s">
        <v>2365</v>
      </c>
      <c r="J193" s="49" t="s">
        <v>2366</v>
      </c>
      <c r="K193" s="49" t="s">
        <v>2367</v>
      </c>
      <c r="L193" s="49" t="s">
        <v>2368</v>
      </c>
      <c r="M193" s="49" t="s">
        <v>2369</v>
      </c>
      <c r="N193" s="49" t="s">
        <v>2370</v>
      </c>
      <c r="O193" s="49" t="s">
        <v>9494</v>
      </c>
      <c r="P193" s="49" t="s">
        <v>9495</v>
      </c>
      <c r="Q193" s="49" t="s">
        <v>9496</v>
      </c>
      <c r="R193" s="49" t="s">
        <v>9497</v>
      </c>
      <c r="S193" s="49" t="s">
        <v>9498</v>
      </c>
      <c r="T193" s="49" t="s">
        <v>9499</v>
      </c>
    </row>
    <row r="194" spans="1:21" x14ac:dyDescent="0.2">
      <c r="A194" s="49" t="s">
        <v>30</v>
      </c>
      <c r="D194" s="49" t="s">
        <v>2001</v>
      </c>
      <c r="G194" s="49" t="s">
        <v>14953</v>
      </c>
      <c r="H194" s="49" t="s">
        <v>2002</v>
      </c>
      <c r="I194" s="49" t="s">
        <v>2003</v>
      </c>
      <c r="J194" s="49" t="s">
        <v>2004</v>
      </c>
      <c r="K194" s="49" t="s">
        <v>2005</v>
      </c>
      <c r="L194" s="49" t="s">
        <v>2006</v>
      </c>
      <c r="M194" s="49" t="s">
        <v>2007</v>
      </c>
      <c r="N194" s="49" t="s">
        <v>2008</v>
      </c>
      <c r="O194" s="49" t="s">
        <v>8965</v>
      </c>
      <c r="P194" s="49" t="s">
        <v>8966</v>
      </c>
      <c r="Q194" s="49" t="s">
        <v>8967</v>
      </c>
      <c r="R194" s="49" t="s">
        <v>8968</v>
      </c>
      <c r="S194" s="49" t="s">
        <v>8969</v>
      </c>
      <c r="T194" s="49" t="s">
        <v>8970</v>
      </c>
    </row>
    <row r="195" spans="1:21" x14ac:dyDescent="0.2">
      <c r="A195" s="49" t="s">
        <v>30</v>
      </c>
    </row>
    <row r="196" spans="1:21" x14ac:dyDescent="0.2">
      <c r="A196" s="49" t="s">
        <v>30</v>
      </c>
      <c r="E196" s="49" t="s">
        <v>31</v>
      </c>
      <c r="F196" s="49" t="s">
        <v>31</v>
      </c>
      <c r="G196" s="49" t="s">
        <v>31</v>
      </c>
      <c r="J196" s="49" t="s">
        <v>31</v>
      </c>
      <c r="K196" s="49" t="s">
        <v>31</v>
      </c>
      <c r="L196" s="49" t="s">
        <v>31</v>
      </c>
      <c r="M196" s="49" t="s">
        <v>31</v>
      </c>
    </row>
    <row r="197" spans="1:21" x14ac:dyDescent="0.2">
      <c r="A197" s="49" t="s">
        <v>30</v>
      </c>
      <c r="D197" s="49" t="s">
        <v>32411</v>
      </c>
      <c r="E197" s="49" t="s">
        <v>4875</v>
      </c>
      <c r="F197" s="49" t="s">
        <v>32412</v>
      </c>
      <c r="H197" s="49" t="s">
        <v>32413</v>
      </c>
      <c r="O197" s="49" t="s">
        <v>34955</v>
      </c>
      <c r="P197" s="49" t="s">
        <v>34956</v>
      </c>
      <c r="Q197" s="49" t="s">
        <v>34957</v>
      </c>
      <c r="R197" s="49" t="s">
        <v>34958</v>
      </c>
      <c r="S197" s="49" t="s">
        <v>34959</v>
      </c>
      <c r="T197" s="49" t="s">
        <v>34960</v>
      </c>
      <c r="U197" s="49" t="s">
        <v>34961</v>
      </c>
    </row>
    <row r="198" spans="1:21" x14ac:dyDescent="0.2">
      <c r="A198" s="49" t="s">
        <v>30</v>
      </c>
      <c r="D198" s="49" t="s">
        <v>874</v>
      </c>
      <c r="G198" s="49" t="s">
        <v>32421</v>
      </c>
      <c r="H198" s="49" t="s">
        <v>875</v>
      </c>
      <c r="I198" s="49" t="s">
        <v>876</v>
      </c>
      <c r="J198" s="49" t="s">
        <v>877</v>
      </c>
      <c r="K198" s="49" t="s">
        <v>878</v>
      </c>
      <c r="L198" s="49" t="s">
        <v>879</v>
      </c>
      <c r="M198" s="49" t="s">
        <v>880</v>
      </c>
      <c r="N198" s="49" t="s">
        <v>881</v>
      </c>
      <c r="O198" s="49" t="s">
        <v>8971</v>
      </c>
      <c r="P198" s="49" t="s">
        <v>8972</v>
      </c>
      <c r="Q198" s="49" t="s">
        <v>8973</v>
      </c>
      <c r="R198" s="49" t="s">
        <v>8974</v>
      </c>
      <c r="S198" s="49" t="s">
        <v>8975</v>
      </c>
      <c r="T198" s="49" t="s">
        <v>8976</v>
      </c>
    </row>
    <row r="199" spans="1:21" x14ac:dyDescent="0.2">
      <c r="A199" s="49" t="s">
        <v>30</v>
      </c>
      <c r="D199" s="49" t="s">
        <v>2009</v>
      </c>
      <c r="G199" s="49" t="s">
        <v>14976</v>
      </c>
      <c r="H199" s="49" t="s">
        <v>2010</v>
      </c>
      <c r="I199" s="49" t="s">
        <v>2011</v>
      </c>
      <c r="J199" s="49" t="s">
        <v>2012</v>
      </c>
      <c r="K199" s="49" t="s">
        <v>2013</v>
      </c>
      <c r="L199" s="49" t="s">
        <v>2014</v>
      </c>
      <c r="M199" s="49" t="s">
        <v>2015</v>
      </c>
      <c r="N199" s="49" t="s">
        <v>2016</v>
      </c>
      <c r="O199" s="49" t="s">
        <v>10368</v>
      </c>
      <c r="P199" s="49" t="s">
        <v>10369</v>
      </c>
      <c r="Q199" s="49" t="s">
        <v>10370</v>
      </c>
      <c r="R199" s="49" t="s">
        <v>10371</v>
      </c>
      <c r="S199" s="49" t="s">
        <v>10372</v>
      </c>
      <c r="T199" s="49" t="s">
        <v>10373</v>
      </c>
    </row>
    <row r="200" spans="1:21" x14ac:dyDescent="0.2">
      <c r="A200" s="49" t="s">
        <v>30</v>
      </c>
      <c r="D200" s="49" t="s">
        <v>2017</v>
      </c>
      <c r="G200" s="49" t="s">
        <v>14979</v>
      </c>
      <c r="H200" s="49" t="s">
        <v>2018</v>
      </c>
      <c r="I200" s="49" t="s">
        <v>2019</v>
      </c>
      <c r="J200" s="49" t="s">
        <v>2020</v>
      </c>
      <c r="K200" s="49" t="s">
        <v>2021</v>
      </c>
      <c r="L200" s="49" t="s">
        <v>2022</v>
      </c>
      <c r="M200" s="49" t="s">
        <v>2023</v>
      </c>
      <c r="N200" s="49" t="s">
        <v>2024</v>
      </c>
      <c r="O200" s="49" t="s">
        <v>13164</v>
      </c>
      <c r="P200" s="49" t="s">
        <v>13165</v>
      </c>
      <c r="Q200" s="49" t="s">
        <v>13166</v>
      </c>
      <c r="R200" s="49" t="s">
        <v>13167</v>
      </c>
      <c r="S200" s="49" t="s">
        <v>13168</v>
      </c>
      <c r="T200" s="49" t="s">
        <v>13169</v>
      </c>
    </row>
    <row r="201" spans="1:21" x14ac:dyDescent="0.2">
      <c r="A201" s="49" t="s">
        <v>30</v>
      </c>
      <c r="D201" s="49" t="s">
        <v>2025</v>
      </c>
      <c r="G201" s="49" t="s">
        <v>14980</v>
      </c>
      <c r="H201" s="49" t="s">
        <v>2026</v>
      </c>
      <c r="I201" s="49" t="s">
        <v>2027</v>
      </c>
      <c r="J201" s="49" t="s">
        <v>2028</v>
      </c>
      <c r="K201" s="49" t="s">
        <v>2029</v>
      </c>
      <c r="L201" s="49" t="s">
        <v>2030</v>
      </c>
      <c r="M201" s="49" t="s">
        <v>2031</v>
      </c>
      <c r="N201" s="49" t="s">
        <v>2032</v>
      </c>
      <c r="O201" s="49" t="s">
        <v>9509</v>
      </c>
      <c r="P201" s="49" t="s">
        <v>9510</v>
      </c>
      <c r="Q201" s="49" t="s">
        <v>9511</v>
      </c>
      <c r="R201" s="49" t="s">
        <v>9512</v>
      </c>
      <c r="S201" s="49" t="s">
        <v>9513</v>
      </c>
      <c r="T201" s="49" t="s">
        <v>9514</v>
      </c>
    </row>
    <row r="202" spans="1:21" x14ac:dyDescent="0.2">
      <c r="A202" s="49" t="s">
        <v>30</v>
      </c>
    </row>
    <row r="203" spans="1:21" x14ac:dyDescent="0.2">
      <c r="A203" s="49" t="s">
        <v>30</v>
      </c>
      <c r="E203" s="49" t="s">
        <v>31</v>
      </c>
      <c r="F203" s="49" t="s">
        <v>31</v>
      </c>
      <c r="G203" s="49" t="s">
        <v>31</v>
      </c>
      <c r="J203" s="49" t="s">
        <v>31</v>
      </c>
      <c r="K203" s="49" t="s">
        <v>31</v>
      </c>
      <c r="L203" s="49" t="s">
        <v>31</v>
      </c>
      <c r="M203" s="49" t="s">
        <v>31</v>
      </c>
    </row>
    <row r="204" spans="1:21" x14ac:dyDescent="0.2">
      <c r="A204" s="49" t="s">
        <v>30</v>
      </c>
      <c r="D204" s="49" t="s">
        <v>4678</v>
      </c>
      <c r="E204" s="49" t="s">
        <v>4877</v>
      </c>
      <c r="F204" s="49" t="s">
        <v>4680</v>
      </c>
      <c r="H204" s="49" t="s">
        <v>4681</v>
      </c>
      <c r="O204" s="49" t="s">
        <v>34962</v>
      </c>
      <c r="P204" s="49" t="s">
        <v>34963</v>
      </c>
      <c r="Q204" s="49" t="s">
        <v>34964</v>
      </c>
      <c r="R204" s="49" t="s">
        <v>34965</v>
      </c>
      <c r="S204" s="49" t="s">
        <v>34966</v>
      </c>
      <c r="T204" s="49" t="s">
        <v>34967</v>
      </c>
      <c r="U204" s="49" t="s">
        <v>34968</v>
      </c>
    </row>
    <row r="205" spans="1:21" x14ac:dyDescent="0.2">
      <c r="A205" s="49" t="s">
        <v>30</v>
      </c>
      <c r="D205" s="49" t="s">
        <v>906</v>
      </c>
      <c r="G205" s="49" t="s">
        <v>9515</v>
      </c>
      <c r="H205" s="49" t="s">
        <v>907</v>
      </c>
      <c r="I205" s="49" t="s">
        <v>908</v>
      </c>
      <c r="J205" s="49" t="s">
        <v>909</v>
      </c>
      <c r="K205" s="49" t="s">
        <v>910</v>
      </c>
      <c r="L205" s="49" t="s">
        <v>911</v>
      </c>
      <c r="M205" s="49" t="s">
        <v>912</v>
      </c>
      <c r="N205" s="49" t="s">
        <v>913</v>
      </c>
      <c r="O205" s="49" t="s">
        <v>9516</v>
      </c>
      <c r="P205" s="49" t="s">
        <v>9517</v>
      </c>
      <c r="Q205" s="49" t="s">
        <v>9518</v>
      </c>
      <c r="R205" s="49" t="s">
        <v>9519</v>
      </c>
      <c r="S205" s="49" t="s">
        <v>9520</v>
      </c>
      <c r="T205" s="49" t="s">
        <v>9521</v>
      </c>
    </row>
    <row r="206" spans="1:21" x14ac:dyDescent="0.2">
      <c r="A206" s="49" t="s">
        <v>30</v>
      </c>
      <c r="D206" s="49" t="s">
        <v>914</v>
      </c>
      <c r="G206" s="49" t="s">
        <v>15002</v>
      </c>
      <c r="H206" s="49" t="s">
        <v>915</v>
      </c>
      <c r="I206" s="49" t="s">
        <v>916</v>
      </c>
      <c r="J206" s="49" t="s">
        <v>917</v>
      </c>
      <c r="K206" s="49" t="s">
        <v>918</v>
      </c>
      <c r="L206" s="49" t="s">
        <v>919</v>
      </c>
      <c r="M206" s="49" t="s">
        <v>920</v>
      </c>
      <c r="N206" s="49" t="s">
        <v>921</v>
      </c>
      <c r="O206" s="49" t="s">
        <v>10095</v>
      </c>
      <c r="P206" s="49" t="s">
        <v>10096</v>
      </c>
      <c r="Q206" s="49" t="s">
        <v>10097</v>
      </c>
      <c r="R206" s="49" t="s">
        <v>10098</v>
      </c>
      <c r="S206" s="49" t="s">
        <v>10099</v>
      </c>
      <c r="T206" s="49" t="s">
        <v>10100</v>
      </c>
    </row>
    <row r="207" spans="1:21" x14ac:dyDescent="0.2">
      <c r="A207" s="49" t="s">
        <v>30</v>
      </c>
      <c r="D207" s="49" t="s">
        <v>922</v>
      </c>
      <c r="G207" s="49" t="s">
        <v>15004</v>
      </c>
      <c r="H207" s="49" t="s">
        <v>923</v>
      </c>
      <c r="I207" s="49" t="s">
        <v>924</v>
      </c>
      <c r="J207" s="49" t="s">
        <v>925</v>
      </c>
      <c r="K207" s="49" t="s">
        <v>926</v>
      </c>
      <c r="L207" s="49" t="s">
        <v>927</v>
      </c>
      <c r="M207" s="49" t="s">
        <v>928</v>
      </c>
      <c r="N207" s="49" t="s">
        <v>929</v>
      </c>
      <c r="O207" s="49" t="s">
        <v>32440</v>
      </c>
      <c r="P207" s="49" t="s">
        <v>32441</v>
      </c>
      <c r="Q207" s="49" t="s">
        <v>32442</v>
      </c>
      <c r="R207" s="49" t="s">
        <v>32443</v>
      </c>
      <c r="S207" s="49" t="s">
        <v>32444</v>
      </c>
      <c r="T207" s="49" t="s">
        <v>32445</v>
      </c>
    </row>
    <row r="208" spans="1:21" x14ac:dyDescent="0.2">
      <c r="A208" s="49" t="s">
        <v>30</v>
      </c>
      <c r="D208" s="49" t="s">
        <v>930</v>
      </c>
      <c r="G208" s="49" t="s">
        <v>15006</v>
      </c>
      <c r="H208" s="49" t="s">
        <v>931</v>
      </c>
      <c r="I208" s="49" t="s">
        <v>932</v>
      </c>
      <c r="J208" s="49" t="s">
        <v>933</v>
      </c>
      <c r="K208" s="49" t="s">
        <v>934</v>
      </c>
      <c r="L208" s="49" t="s">
        <v>935</v>
      </c>
      <c r="M208" s="49" t="s">
        <v>936</v>
      </c>
      <c r="N208" s="49" t="s">
        <v>937</v>
      </c>
      <c r="O208" s="49" t="s">
        <v>10101</v>
      </c>
      <c r="P208" s="49" t="s">
        <v>10102</v>
      </c>
      <c r="Q208" s="49" t="s">
        <v>10103</v>
      </c>
      <c r="R208" s="49" t="s">
        <v>10104</v>
      </c>
      <c r="S208" s="49" t="s">
        <v>10105</v>
      </c>
      <c r="T208" s="49" t="s">
        <v>10106</v>
      </c>
    </row>
    <row r="209" spans="1:21" x14ac:dyDescent="0.2">
      <c r="A209" s="49" t="s">
        <v>30</v>
      </c>
      <c r="D209" s="49" t="s">
        <v>938</v>
      </c>
      <c r="G209" s="49" t="s">
        <v>15011</v>
      </c>
      <c r="H209" s="49" t="s">
        <v>939</v>
      </c>
      <c r="I209" s="49" t="s">
        <v>940</v>
      </c>
      <c r="J209" s="49" t="s">
        <v>941</v>
      </c>
      <c r="K209" s="49" t="s">
        <v>942</v>
      </c>
      <c r="L209" s="49" t="s">
        <v>943</v>
      </c>
      <c r="M209" s="49" t="s">
        <v>944</v>
      </c>
      <c r="N209" s="49" t="s">
        <v>945</v>
      </c>
      <c r="O209" s="49" t="s">
        <v>35879</v>
      </c>
      <c r="P209" s="49" t="s">
        <v>35880</v>
      </c>
      <c r="Q209" s="49" t="s">
        <v>35881</v>
      </c>
      <c r="R209" s="49" t="s">
        <v>35882</v>
      </c>
      <c r="S209" s="49" t="s">
        <v>35883</v>
      </c>
      <c r="T209" s="49" t="s">
        <v>35884</v>
      </c>
    </row>
    <row r="210" spans="1:21" x14ac:dyDescent="0.2">
      <c r="A210" s="49" t="s">
        <v>30</v>
      </c>
      <c r="D210" s="49" t="s">
        <v>2033</v>
      </c>
      <c r="G210" s="49" t="s">
        <v>15016</v>
      </c>
      <c r="H210" s="49" t="s">
        <v>2034</v>
      </c>
      <c r="I210" s="49" t="s">
        <v>2035</v>
      </c>
      <c r="J210" s="49" t="s">
        <v>2036</v>
      </c>
      <c r="K210" s="49" t="s">
        <v>2037</v>
      </c>
      <c r="L210" s="49" t="s">
        <v>2038</v>
      </c>
      <c r="M210" s="49" t="s">
        <v>2039</v>
      </c>
      <c r="N210" s="49" t="s">
        <v>2040</v>
      </c>
      <c r="O210" s="49" t="s">
        <v>10380</v>
      </c>
      <c r="P210" s="49" t="s">
        <v>10381</v>
      </c>
      <c r="Q210" s="49" t="s">
        <v>10382</v>
      </c>
      <c r="R210" s="49" t="s">
        <v>10383</v>
      </c>
      <c r="S210" s="49" t="s">
        <v>10384</v>
      </c>
      <c r="T210" s="49" t="s">
        <v>10385</v>
      </c>
    </row>
    <row r="211" spans="1:21" x14ac:dyDescent="0.2">
      <c r="A211" s="49" t="s">
        <v>30</v>
      </c>
    </row>
    <row r="212" spans="1:21" x14ac:dyDescent="0.2">
      <c r="A212" s="49" t="s">
        <v>30</v>
      </c>
      <c r="E212" s="49" t="s">
        <v>31</v>
      </c>
      <c r="F212" s="49" t="s">
        <v>31</v>
      </c>
      <c r="G212" s="49" t="s">
        <v>31</v>
      </c>
      <c r="J212" s="49" t="s">
        <v>31</v>
      </c>
      <c r="K212" s="49" t="s">
        <v>31</v>
      </c>
      <c r="L212" s="49" t="s">
        <v>31</v>
      </c>
      <c r="M212" s="49" t="s">
        <v>31</v>
      </c>
    </row>
    <row r="213" spans="1:21" x14ac:dyDescent="0.2">
      <c r="A213" s="49" t="s">
        <v>30</v>
      </c>
      <c r="D213" s="49" t="s">
        <v>10386</v>
      </c>
      <c r="E213" s="49" t="s">
        <v>4881</v>
      </c>
      <c r="F213" s="49" t="s">
        <v>10387</v>
      </c>
      <c r="H213" s="49" t="s">
        <v>10388</v>
      </c>
      <c r="O213" s="49" t="s">
        <v>34969</v>
      </c>
      <c r="P213" s="49" t="s">
        <v>34970</v>
      </c>
      <c r="Q213" s="49" t="s">
        <v>34971</v>
      </c>
      <c r="R213" s="49" t="s">
        <v>34972</v>
      </c>
      <c r="S213" s="49" t="s">
        <v>34973</v>
      </c>
      <c r="T213" s="49" t="s">
        <v>34974</v>
      </c>
      <c r="U213" s="49" t="s">
        <v>34975</v>
      </c>
    </row>
    <row r="214" spans="1:21" x14ac:dyDescent="0.2">
      <c r="A214" s="49" t="s">
        <v>30</v>
      </c>
      <c r="D214" s="49" t="s">
        <v>954</v>
      </c>
      <c r="G214" s="49" t="s">
        <v>10389</v>
      </c>
      <c r="H214" s="49" t="s">
        <v>955</v>
      </c>
      <c r="I214" s="49" t="s">
        <v>956</v>
      </c>
      <c r="J214" s="49" t="s">
        <v>957</v>
      </c>
      <c r="K214" s="49" t="s">
        <v>958</v>
      </c>
      <c r="L214" s="49" t="s">
        <v>959</v>
      </c>
      <c r="M214" s="49" t="s">
        <v>960</v>
      </c>
      <c r="N214" s="49" t="s">
        <v>961</v>
      </c>
      <c r="O214" s="49" t="s">
        <v>10390</v>
      </c>
      <c r="P214" s="49" t="s">
        <v>10391</v>
      </c>
      <c r="Q214" s="49" t="s">
        <v>10392</v>
      </c>
      <c r="R214" s="49" t="s">
        <v>10393</v>
      </c>
      <c r="S214" s="49" t="s">
        <v>10394</v>
      </c>
      <c r="T214" s="49" t="s">
        <v>10395</v>
      </c>
    </row>
    <row r="215" spans="1:21" x14ac:dyDescent="0.2">
      <c r="A215" s="49" t="s">
        <v>30</v>
      </c>
      <c r="D215" s="49" t="s">
        <v>962</v>
      </c>
      <c r="G215" s="49" t="s">
        <v>15033</v>
      </c>
      <c r="H215" s="49" t="s">
        <v>963</v>
      </c>
      <c r="I215" s="49" t="s">
        <v>964</v>
      </c>
      <c r="J215" s="49" t="s">
        <v>965</v>
      </c>
      <c r="K215" s="49" t="s">
        <v>966</v>
      </c>
      <c r="L215" s="49" t="s">
        <v>967</v>
      </c>
      <c r="M215" s="49" t="s">
        <v>968</v>
      </c>
      <c r="N215" s="49" t="s">
        <v>969</v>
      </c>
      <c r="O215" s="49" t="s">
        <v>10396</v>
      </c>
      <c r="P215" s="49" t="s">
        <v>10397</v>
      </c>
      <c r="Q215" s="49" t="s">
        <v>10398</v>
      </c>
      <c r="R215" s="49" t="s">
        <v>10399</v>
      </c>
      <c r="S215" s="49" t="s">
        <v>10400</v>
      </c>
      <c r="T215" s="49" t="s">
        <v>10401</v>
      </c>
    </row>
    <row r="216" spans="1:21" x14ac:dyDescent="0.2">
      <c r="A216" s="49" t="s">
        <v>30</v>
      </c>
      <c r="D216" s="49" t="s">
        <v>970</v>
      </c>
      <c r="G216" s="49" t="s">
        <v>15038</v>
      </c>
      <c r="H216" s="49" t="s">
        <v>971</v>
      </c>
      <c r="I216" s="49" t="s">
        <v>972</v>
      </c>
      <c r="J216" s="49" t="s">
        <v>973</v>
      </c>
      <c r="K216" s="49" t="s">
        <v>974</v>
      </c>
      <c r="L216" s="49" t="s">
        <v>975</v>
      </c>
      <c r="M216" s="49" t="s">
        <v>976</v>
      </c>
      <c r="N216" s="49" t="s">
        <v>977</v>
      </c>
      <c r="O216" s="49" t="s">
        <v>9005</v>
      </c>
      <c r="P216" s="49" t="s">
        <v>9006</v>
      </c>
      <c r="Q216" s="49" t="s">
        <v>9007</v>
      </c>
      <c r="R216" s="49" t="s">
        <v>9008</v>
      </c>
      <c r="S216" s="49" t="s">
        <v>9009</v>
      </c>
      <c r="T216" s="49" t="s">
        <v>9010</v>
      </c>
    </row>
    <row r="217" spans="1:21" x14ac:dyDescent="0.2">
      <c r="A217" s="49" t="s">
        <v>30</v>
      </c>
    </row>
    <row r="218" spans="1:21" x14ac:dyDescent="0.2">
      <c r="A218" s="49" t="s">
        <v>30</v>
      </c>
      <c r="E218" s="49" t="s">
        <v>31</v>
      </c>
      <c r="F218" s="49" t="s">
        <v>31</v>
      </c>
      <c r="G218" s="49" t="s">
        <v>31</v>
      </c>
      <c r="J218" s="49" t="s">
        <v>31</v>
      </c>
      <c r="K218" s="49" t="s">
        <v>31</v>
      </c>
      <c r="L218" s="49" t="s">
        <v>31</v>
      </c>
      <c r="M218" s="49" t="s">
        <v>31</v>
      </c>
    </row>
    <row r="219" spans="1:21" x14ac:dyDescent="0.2">
      <c r="A219" s="49" t="s">
        <v>30</v>
      </c>
      <c r="D219" s="49" t="s">
        <v>10111</v>
      </c>
      <c r="E219" s="49" t="s">
        <v>4920</v>
      </c>
      <c r="F219" s="49" t="s">
        <v>10112</v>
      </c>
      <c r="H219" s="49" t="s">
        <v>10113</v>
      </c>
      <c r="O219" s="49" t="s">
        <v>34976</v>
      </c>
      <c r="P219" s="49" t="s">
        <v>34977</v>
      </c>
      <c r="Q219" s="49" t="s">
        <v>34978</v>
      </c>
      <c r="R219" s="49" t="s">
        <v>34979</v>
      </c>
      <c r="S219" s="49" t="s">
        <v>34980</v>
      </c>
      <c r="T219" s="49" t="s">
        <v>34981</v>
      </c>
      <c r="U219" s="49" t="s">
        <v>34982</v>
      </c>
    </row>
    <row r="220" spans="1:21" x14ac:dyDescent="0.2">
      <c r="A220" s="49" t="s">
        <v>30</v>
      </c>
      <c r="D220" s="49" t="s">
        <v>10114</v>
      </c>
      <c r="G220" s="49" t="s">
        <v>10115</v>
      </c>
      <c r="H220" s="49" t="s">
        <v>10116</v>
      </c>
      <c r="I220" s="49" t="s">
        <v>10117</v>
      </c>
      <c r="J220" s="49" t="s">
        <v>10118</v>
      </c>
      <c r="K220" s="49" t="s">
        <v>10119</v>
      </c>
      <c r="L220" s="49" t="s">
        <v>10120</v>
      </c>
      <c r="M220" s="49" t="s">
        <v>10121</v>
      </c>
      <c r="N220" s="49" t="s">
        <v>10122</v>
      </c>
      <c r="O220" s="49" t="s">
        <v>10123</v>
      </c>
      <c r="P220" s="49" t="s">
        <v>10124</v>
      </c>
      <c r="Q220" s="49" t="s">
        <v>10125</v>
      </c>
      <c r="R220" s="49" t="s">
        <v>10126</v>
      </c>
      <c r="S220" s="49" t="s">
        <v>10127</v>
      </c>
      <c r="T220" s="49" t="s">
        <v>10128</v>
      </c>
    </row>
    <row r="221" spans="1:21" x14ac:dyDescent="0.2">
      <c r="A221" s="49" t="s">
        <v>30</v>
      </c>
      <c r="D221" s="49" t="s">
        <v>9017</v>
      </c>
      <c r="G221" s="49" t="s">
        <v>15059</v>
      </c>
      <c r="H221" s="49" t="s">
        <v>9018</v>
      </c>
      <c r="I221" s="49" t="s">
        <v>9019</v>
      </c>
      <c r="J221" s="49" t="s">
        <v>9020</v>
      </c>
      <c r="K221" s="49" t="s">
        <v>9021</v>
      </c>
      <c r="L221" s="49" t="s">
        <v>9022</v>
      </c>
      <c r="M221" s="49" t="s">
        <v>9023</v>
      </c>
      <c r="N221" s="49" t="s">
        <v>9024</v>
      </c>
      <c r="O221" s="49" t="s">
        <v>9025</v>
      </c>
      <c r="P221" s="49" t="s">
        <v>9026</v>
      </c>
      <c r="Q221" s="49" t="s">
        <v>9027</v>
      </c>
      <c r="R221" s="49" t="s">
        <v>9028</v>
      </c>
      <c r="S221" s="49" t="s">
        <v>9029</v>
      </c>
      <c r="T221" s="49" t="s">
        <v>9030</v>
      </c>
    </row>
    <row r="222" spans="1:21" x14ac:dyDescent="0.2">
      <c r="A222" s="49" t="s">
        <v>30</v>
      </c>
      <c r="D222" s="49" t="s">
        <v>9534</v>
      </c>
      <c r="G222" s="49" t="s">
        <v>15061</v>
      </c>
      <c r="H222" s="49" t="s">
        <v>9536</v>
      </c>
      <c r="I222" s="49" t="s">
        <v>9537</v>
      </c>
      <c r="J222" s="49" t="s">
        <v>9538</v>
      </c>
      <c r="K222" s="49" t="s">
        <v>9539</v>
      </c>
      <c r="L222" s="49" t="s">
        <v>9540</v>
      </c>
      <c r="M222" s="49" t="s">
        <v>9541</v>
      </c>
      <c r="N222" s="49" t="s">
        <v>9542</v>
      </c>
      <c r="O222" s="49" t="s">
        <v>9543</v>
      </c>
      <c r="P222" s="49" t="s">
        <v>9544</v>
      </c>
      <c r="Q222" s="49" t="s">
        <v>9545</v>
      </c>
      <c r="R222" s="49" t="s">
        <v>9546</v>
      </c>
      <c r="S222" s="49" t="s">
        <v>9547</v>
      </c>
      <c r="T222" s="49" t="s">
        <v>9548</v>
      </c>
    </row>
    <row r="223" spans="1:21" x14ac:dyDescent="0.2">
      <c r="A223" s="49" t="s">
        <v>30</v>
      </c>
      <c r="D223" s="49" t="s">
        <v>1002</v>
      </c>
      <c r="G223" s="49" t="s">
        <v>15063</v>
      </c>
      <c r="H223" s="49" t="s">
        <v>1003</v>
      </c>
      <c r="I223" s="49" t="s">
        <v>1004</v>
      </c>
      <c r="J223" s="49" t="s">
        <v>1005</v>
      </c>
      <c r="K223" s="49" t="s">
        <v>1006</v>
      </c>
      <c r="L223" s="49" t="s">
        <v>1007</v>
      </c>
      <c r="M223" s="49" t="s">
        <v>1008</v>
      </c>
      <c r="N223" s="49" t="s">
        <v>1009</v>
      </c>
      <c r="O223" s="49" t="s">
        <v>9549</v>
      </c>
      <c r="P223" s="49" t="s">
        <v>9550</v>
      </c>
      <c r="Q223" s="49" t="s">
        <v>9551</v>
      </c>
      <c r="R223" s="49" t="s">
        <v>9552</v>
      </c>
      <c r="S223" s="49" t="s">
        <v>9553</v>
      </c>
      <c r="T223" s="49" t="s">
        <v>9554</v>
      </c>
    </row>
    <row r="224" spans="1:21" x14ac:dyDescent="0.2">
      <c r="A224" s="49" t="s">
        <v>30</v>
      </c>
      <c r="D224" s="49" t="s">
        <v>14315</v>
      </c>
      <c r="G224" s="49" t="s">
        <v>15065</v>
      </c>
      <c r="H224" s="49" t="s">
        <v>31780</v>
      </c>
      <c r="I224" s="49" t="s">
        <v>31781</v>
      </c>
      <c r="J224" s="49" t="s">
        <v>31800</v>
      </c>
      <c r="K224" s="49" t="s">
        <v>31801</v>
      </c>
      <c r="L224" s="49" t="s">
        <v>14317</v>
      </c>
      <c r="M224" s="49" t="s">
        <v>14318</v>
      </c>
      <c r="N224" s="49" t="s">
        <v>14319</v>
      </c>
      <c r="O224" s="49" t="s">
        <v>32492</v>
      </c>
      <c r="P224" s="49" t="s">
        <v>32493</v>
      </c>
      <c r="Q224" s="49" t="s">
        <v>32494</v>
      </c>
      <c r="R224" s="49" t="s">
        <v>32495</v>
      </c>
      <c r="S224" s="49" t="s">
        <v>32496</v>
      </c>
      <c r="T224" s="49" t="s">
        <v>32497</v>
      </c>
    </row>
    <row r="225" spans="1:21" x14ac:dyDescent="0.2">
      <c r="A225" s="49" t="s">
        <v>30</v>
      </c>
    </row>
    <row r="226" spans="1:21" x14ac:dyDescent="0.2">
      <c r="A226" s="49" t="s">
        <v>30</v>
      </c>
      <c r="E226" s="49" t="s">
        <v>31</v>
      </c>
      <c r="F226" s="49" t="s">
        <v>31</v>
      </c>
      <c r="G226" s="49" t="s">
        <v>31</v>
      </c>
      <c r="J226" s="49" t="s">
        <v>31</v>
      </c>
      <c r="K226" s="49" t="s">
        <v>31</v>
      </c>
      <c r="L226" s="49" t="s">
        <v>31</v>
      </c>
      <c r="M226" s="49" t="s">
        <v>31</v>
      </c>
    </row>
    <row r="227" spans="1:21" x14ac:dyDescent="0.2">
      <c r="A227" s="49" t="s">
        <v>30</v>
      </c>
      <c r="D227" s="49" t="s">
        <v>32498</v>
      </c>
      <c r="E227" s="49" t="s">
        <v>4949</v>
      </c>
      <c r="F227" s="49" t="s">
        <v>32499</v>
      </c>
      <c r="H227" s="49" t="s">
        <v>32500</v>
      </c>
      <c r="O227" s="49" t="s">
        <v>34983</v>
      </c>
      <c r="P227" s="49" t="s">
        <v>34984</v>
      </c>
      <c r="Q227" s="49" t="s">
        <v>34985</v>
      </c>
      <c r="R227" s="49" t="s">
        <v>34986</v>
      </c>
      <c r="S227" s="49" t="s">
        <v>34987</v>
      </c>
      <c r="T227" s="49" t="s">
        <v>34988</v>
      </c>
      <c r="U227" s="49" t="s">
        <v>34989</v>
      </c>
    </row>
    <row r="228" spans="1:21" x14ac:dyDescent="0.2">
      <c r="A228" s="49" t="s">
        <v>30</v>
      </c>
      <c r="D228" s="49" t="s">
        <v>4715</v>
      </c>
      <c r="G228" s="49" t="s">
        <v>32508</v>
      </c>
      <c r="H228" s="49" t="s">
        <v>4716</v>
      </c>
      <c r="I228" s="49" t="s">
        <v>4717</v>
      </c>
      <c r="J228" s="49" t="s">
        <v>4718</v>
      </c>
      <c r="K228" s="49" t="s">
        <v>4719</v>
      </c>
      <c r="L228" s="49" t="s">
        <v>4720</v>
      </c>
      <c r="M228" s="49" t="s">
        <v>4721</v>
      </c>
      <c r="N228" s="49" t="s">
        <v>4722</v>
      </c>
      <c r="O228" s="49" t="s">
        <v>32509</v>
      </c>
      <c r="P228" s="49" t="s">
        <v>32510</v>
      </c>
      <c r="Q228" s="49" t="s">
        <v>32511</v>
      </c>
      <c r="R228" s="49" t="s">
        <v>32512</v>
      </c>
      <c r="S228" s="49" t="s">
        <v>32513</v>
      </c>
      <c r="T228" s="49" t="s">
        <v>32514</v>
      </c>
    </row>
    <row r="229" spans="1:21" x14ac:dyDescent="0.2">
      <c r="A229" s="49" t="s">
        <v>30</v>
      </c>
      <c r="D229" s="49" t="s">
        <v>1010</v>
      </c>
      <c r="G229" s="49" t="s">
        <v>15086</v>
      </c>
      <c r="H229" s="49" t="s">
        <v>1011</v>
      </c>
      <c r="I229" s="49" t="s">
        <v>1012</v>
      </c>
      <c r="J229" s="49" t="s">
        <v>1013</v>
      </c>
      <c r="K229" s="49" t="s">
        <v>1014</v>
      </c>
      <c r="L229" s="49" t="s">
        <v>1015</v>
      </c>
      <c r="M229" s="49" t="s">
        <v>1016</v>
      </c>
      <c r="N229" s="49" t="s">
        <v>1017</v>
      </c>
      <c r="O229" s="49" t="s">
        <v>32515</v>
      </c>
      <c r="P229" s="49" t="s">
        <v>32516</v>
      </c>
      <c r="Q229" s="49" t="s">
        <v>32517</v>
      </c>
      <c r="R229" s="49" t="s">
        <v>32518</v>
      </c>
      <c r="S229" s="49" t="s">
        <v>32519</v>
      </c>
      <c r="T229" s="49" t="s">
        <v>32520</v>
      </c>
    </row>
    <row r="230" spans="1:21" x14ac:dyDescent="0.2">
      <c r="A230" s="49" t="s">
        <v>30</v>
      </c>
      <c r="D230" s="49" t="s">
        <v>1018</v>
      </c>
      <c r="G230" s="49" t="s">
        <v>15087</v>
      </c>
      <c r="H230" s="49" t="s">
        <v>1019</v>
      </c>
      <c r="I230" s="49" t="s">
        <v>1020</v>
      </c>
      <c r="J230" s="49" t="s">
        <v>1021</v>
      </c>
      <c r="K230" s="49" t="s">
        <v>1022</v>
      </c>
      <c r="L230" s="49" t="s">
        <v>1023</v>
      </c>
      <c r="M230" s="49" t="s">
        <v>1024</v>
      </c>
      <c r="N230" s="49" t="s">
        <v>1025</v>
      </c>
      <c r="O230" s="49" t="s">
        <v>13967</v>
      </c>
      <c r="P230" s="49" t="s">
        <v>13968</v>
      </c>
      <c r="Q230" s="49" t="s">
        <v>13969</v>
      </c>
      <c r="R230" s="49" t="s">
        <v>13970</v>
      </c>
      <c r="S230" s="49" t="s">
        <v>13971</v>
      </c>
      <c r="T230" s="49" t="s">
        <v>13972</v>
      </c>
    </row>
    <row r="231" spans="1:21" x14ac:dyDescent="0.2">
      <c r="A231" s="49" t="s">
        <v>30</v>
      </c>
      <c r="D231" s="49" t="s">
        <v>4723</v>
      </c>
      <c r="G231" s="49" t="s">
        <v>15088</v>
      </c>
      <c r="H231" s="49" t="s">
        <v>4724</v>
      </c>
      <c r="I231" s="49" t="s">
        <v>4725</v>
      </c>
      <c r="J231" s="49" t="s">
        <v>4726</v>
      </c>
      <c r="K231" s="49" t="s">
        <v>4727</v>
      </c>
      <c r="L231" s="49" t="s">
        <v>4728</v>
      </c>
      <c r="M231" s="49" t="s">
        <v>4729</v>
      </c>
      <c r="N231" s="49" t="s">
        <v>4730</v>
      </c>
      <c r="O231" s="49" t="s">
        <v>9568</v>
      </c>
      <c r="P231" s="49" t="s">
        <v>9569</v>
      </c>
      <c r="Q231" s="49" t="s">
        <v>9570</v>
      </c>
      <c r="R231" s="49" t="s">
        <v>9571</v>
      </c>
      <c r="S231" s="49" t="s">
        <v>9572</v>
      </c>
      <c r="T231" s="49" t="s">
        <v>9573</v>
      </c>
    </row>
    <row r="232" spans="1:21" x14ac:dyDescent="0.2">
      <c r="A232" s="49" t="s">
        <v>30</v>
      </c>
      <c r="D232" s="49" t="s">
        <v>4737</v>
      </c>
      <c r="G232" s="49" t="s">
        <v>15089</v>
      </c>
      <c r="H232" s="49" t="s">
        <v>4738</v>
      </c>
      <c r="I232" s="49" t="s">
        <v>4739</v>
      </c>
      <c r="J232" s="49" t="s">
        <v>4740</v>
      </c>
      <c r="K232" s="49" t="s">
        <v>4741</v>
      </c>
      <c r="L232" s="49" t="s">
        <v>4742</v>
      </c>
      <c r="M232" s="49" t="s">
        <v>4743</v>
      </c>
      <c r="N232" s="49" t="s">
        <v>4744</v>
      </c>
      <c r="O232" s="49" t="s">
        <v>10129</v>
      </c>
      <c r="P232" s="49" t="s">
        <v>10130</v>
      </c>
      <c r="Q232" s="49" t="s">
        <v>10131</v>
      </c>
      <c r="R232" s="49" t="s">
        <v>10132</v>
      </c>
      <c r="S232" s="49" t="s">
        <v>10133</v>
      </c>
      <c r="T232" s="49" t="s">
        <v>10134</v>
      </c>
    </row>
    <row r="233" spans="1:21" x14ac:dyDescent="0.2">
      <c r="A233" s="49" t="s">
        <v>30</v>
      </c>
    </row>
    <row r="234" spans="1:21" x14ac:dyDescent="0.2">
      <c r="A234" s="49" t="s">
        <v>30</v>
      </c>
      <c r="E234" s="49" t="s">
        <v>31</v>
      </c>
      <c r="F234" s="49" t="s">
        <v>31</v>
      </c>
      <c r="G234" s="49" t="s">
        <v>31</v>
      </c>
      <c r="J234" s="49" t="s">
        <v>31</v>
      </c>
      <c r="K234" s="49" t="s">
        <v>31</v>
      </c>
      <c r="L234" s="49" t="s">
        <v>31</v>
      </c>
      <c r="M234" s="49" t="s">
        <v>31</v>
      </c>
    </row>
    <row r="235" spans="1:21" x14ac:dyDescent="0.2">
      <c r="A235" s="49" t="s">
        <v>30</v>
      </c>
      <c r="D235" s="49" t="s">
        <v>4751</v>
      </c>
      <c r="E235" s="49" t="s">
        <v>4968</v>
      </c>
      <c r="F235" s="49" t="s">
        <v>4753</v>
      </c>
      <c r="H235" s="49" t="s">
        <v>4754</v>
      </c>
      <c r="O235" s="49" t="s">
        <v>34990</v>
      </c>
      <c r="P235" s="49" t="s">
        <v>34991</v>
      </c>
      <c r="Q235" s="49" t="s">
        <v>34992</v>
      </c>
      <c r="R235" s="49" t="s">
        <v>34993</v>
      </c>
      <c r="S235" s="49" t="s">
        <v>34994</v>
      </c>
      <c r="T235" s="49" t="s">
        <v>34995</v>
      </c>
      <c r="U235" s="49" t="s">
        <v>34996</v>
      </c>
    </row>
    <row r="236" spans="1:21" x14ac:dyDescent="0.2">
      <c r="A236" s="49" t="s">
        <v>30</v>
      </c>
      <c r="D236" s="49" t="s">
        <v>3124</v>
      </c>
      <c r="G236" s="49" t="s">
        <v>13211</v>
      </c>
      <c r="H236" s="49" t="s">
        <v>3125</v>
      </c>
      <c r="I236" s="49" t="s">
        <v>3126</v>
      </c>
      <c r="J236" s="49" t="s">
        <v>3127</v>
      </c>
      <c r="K236" s="49" t="s">
        <v>3128</v>
      </c>
      <c r="L236" s="49" t="s">
        <v>3129</v>
      </c>
      <c r="M236" s="49" t="s">
        <v>3130</v>
      </c>
      <c r="N236" s="49" t="s">
        <v>3131</v>
      </c>
      <c r="O236" s="49" t="s">
        <v>13212</v>
      </c>
      <c r="P236" s="49" t="s">
        <v>13213</v>
      </c>
      <c r="Q236" s="49" t="s">
        <v>13214</v>
      </c>
      <c r="R236" s="49" t="s">
        <v>13215</v>
      </c>
      <c r="S236" s="49" t="s">
        <v>13216</v>
      </c>
      <c r="T236" s="49" t="s">
        <v>13217</v>
      </c>
    </row>
    <row r="237" spans="1:21" x14ac:dyDescent="0.2">
      <c r="A237" s="49" t="s">
        <v>30</v>
      </c>
      <c r="D237" s="49" t="s">
        <v>2371</v>
      </c>
      <c r="G237" s="49" t="s">
        <v>15135</v>
      </c>
      <c r="H237" s="49" t="s">
        <v>2372</v>
      </c>
      <c r="I237" s="49" t="s">
        <v>2373</v>
      </c>
      <c r="J237" s="49" t="s">
        <v>2374</v>
      </c>
      <c r="K237" s="49" t="s">
        <v>2375</v>
      </c>
      <c r="L237" s="49" t="s">
        <v>2376</v>
      </c>
      <c r="M237" s="49" t="s">
        <v>2377</v>
      </c>
      <c r="N237" s="49" t="s">
        <v>2378</v>
      </c>
      <c r="O237" s="49" t="s">
        <v>9049</v>
      </c>
      <c r="P237" s="49" t="s">
        <v>9050</v>
      </c>
      <c r="Q237" s="49" t="s">
        <v>9051</v>
      </c>
      <c r="R237" s="49" t="s">
        <v>9052</v>
      </c>
      <c r="S237" s="49" t="s">
        <v>9053</v>
      </c>
      <c r="T237" s="49" t="s">
        <v>9054</v>
      </c>
    </row>
    <row r="238" spans="1:21" x14ac:dyDescent="0.2">
      <c r="A238" s="49" t="s">
        <v>30</v>
      </c>
      <c r="D238" s="49" t="s">
        <v>2379</v>
      </c>
      <c r="G238" s="49" t="s">
        <v>15140</v>
      </c>
      <c r="H238" s="49" t="s">
        <v>2380</v>
      </c>
      <c r="I238" s="49" t="s">
        <v>2381</v>
      </c>
      <c r="J238" s="49" t="s">
        <v>2382</v>
      </c>
      <c r="K238" s="49" t="s">
        <v>2383</v>
      </c>
      <c r="L238" s="49" t="s">
        <v>2384</v>
      </c>
      <c r="M238" s="49" t="s">
        <v>2385</v>
      </c>
      <c r="N238" s="49" t="s">
        <v>2386</v>
      </c>
      <c r="O238" s="49" t="s">
        <v>9055</v>
      </c>
      <c r="P238" s="49" t="s">
        <v>9056</v>
      </c>
      <c r="Q238" s="49" t="s">
        <v>9057</v>
      </c>
      <c r="R238" s="49" t="s">
        <v>9058</v>
      </c>
      <c r="S238" s="49" t="s">
        <v>9059</v>
      </c>
      <c r="T238" s="49" t="s">
        <v>9060</v>
      </c>
    </row>
    <row r="239" spans="1:21" x14ac:dyDescent="0.2">
      <c r="A239" s="49" t="s">
        <v>30</v>
      </c>
      <c r="D239" s="49" t="s">
        <v>1042</v>
      </c>
      <c r="G239" s="49" t="s">
        <v>15141</v>
      </c>
      <c r="H239" s="49" t="s">
        <v>1043</v>
      </c>
      <c r="I239" s="49" t="s">
        <v>1044</v>
      </c>
      <c r="J239" s="49" t="s">
        <v>1045</v>
      </c>
      <c r="K239" s="49" t="s">
        <v>1046</v>
      </c>
      <c r="L239" s="49" t="s">
        <v>1047</v>
      </c>
      <c r="M239" s="49" t="s">
        <v>1048</v>
      </c>
      <c r="N239" s="49" t="s">
        <v>1049</v>
      </c>
      <c r="O239" s="49" t="s">
        <v>9588</v>
      </c>
      <c r="P239" s="49" t="s">
        <v>9589</v>
      </c>
      <c r="Q239" s="49" t="s">
        <v>9590</v>
      </c>
      <c r="R239" s="49" t="s">
        <v>9591</v>
      </c>
      <c r="S239" s="49" t="s">
        <v>9592</v>
      </c>
      <c r="T239" s="49" t="s">
        <v>9593</v>
      </c>
    </row>
    <row r="240" spans="1:21" x14ac:dyDescent="0.2">
      <c r="A240" s="49" t="s">
        <v>30</v>
      </c>
      <c r="D240" s="49" t="s">
        <v>2065</v>
      </c>
      <c r="G240" s="49" t="s">
        <v>15142</v>
      </c>
      <c r="H240" s="49" t="s">
        <v>2066</v>
      </c>
      <c r="I240" s="49" t="s">
        <v>2067</v>
      </c>
      <c r="J240" s="49" t="s">
        <v>2068</v>
      </c>
      <c r="K240" s="49" t="s">
        <v>2069</v>
      </c>
      <c r="L240" s="49" t="s">
        <v>2070</v>
      </c>
      <c r="M240" s="49" t="s">
        <v>2071</v>
      </c>
      <c r="N240" s="49" t="s">
        <v>2072</v>
      </c>
      <c r="O240" s="49" t="s">
        <v>13428</v>
      </c>
      <c r="P240" s="49" t="s">
        <v>13429</v>
      </c>
      <c r="Q240" s="49" t="s">
        <v>13430</v>
      </c>
      <c r="R240" s="49" t="s">
        <v>13431</v>
      </c>
      <c r="S240" s="49" t="s">
        <v>13432</v>
      </c>
      <c r="T240" s="49" t="s">
        <v>13433</v>
      </c>
    </row>
    <row r="241" spans="1:21" x14ac:dyDescent="0.2">
      <c r="A241" s="49" t="s">
        <v>30</v>
      </c>
    </row>
    <row r="242" spans="1:21" x14ac:dyDescent="0.2">
      <c r="A242" s="49" t="s">
        <v>30</v>
      </c>
      <c r="E242" s="49" t="s">
        <v>31</v>
      </c>
      <c r="F242" s="49" t="s">
        <v>31</v>
      </c>
      <c r="G242" s="49" t="s">
        <v>31</v>
      </c>
      <c r="J242" s="49" t="s">
        <v>31</v>
      </c>
      <c r="K242" s="49" t="s">
        <v>31</v>
      </c>
      <c r="L242" s="49" t="s">
        <v>31</v>
      </c>
      <c r="M242" s="49" t="s">
        <v>31</v>
      </c>
    </row>
    <row r="243" spans="1:21" x14ac:dyDescent="0.2">
      <c r="A243" s="49" t="s">
        <v>30</v>
      </c>
      <c r="D243" s="49" t="s">
        <v>13434</v>
      </c>
      <c r="E243" s="49" t="s">
        <v>4969</v>
      </c>
      <c r="F243" s="49" t="s">
        <v>13435</v>
      </c>
      <c r="H243" s="49" t="s">
        <v>13436</v>
      </c>
      <c r="O243" s="49" t="s">
        <v>34997</v>
      </c>
      <c r="P243" s="49" t="s">
        <v>34998</v>
      </c>
      <c r="Q243" s="49" t="s">
        <v>34999</v>
      </c>
      <c r="R243" s="49" t="s">
        <v>35000</v>
      </c>
      <c r="S243" s="49" t="s">
        <v>35001</v>
      </c>
      <c r="T243" s="49" t="s">
        <v>35002</v>
      </c>
      <c r="U243" s="49" t="s">
        <v>35003</v>
      </c>
    </row>
    <row r="244" spans="1:21" x14ac:dyDescent="0.2">
      <c r="A244" s="49" t="s">
        <v>30</v>
      </c>
      <c r="D244" s="49" t="s">
        <v>2387</v>
      </c>
      <c r="G244" s="49" t="s">
        <v>13437</v>
      </c>
      <c r="H244" s="49" t="s">
        <v>2388</v>
      </c>
      <c r="I244" s="49" t="s">
        <v>2389</v>
      </c>
      <c r="J244" s="49" t="s">
        <v>2390</v>
      </c>
      <c r="K244" s="49" t="s">
        <v>2391</v>
      </c>
      <c r="L244" s="49" t="s">
        <v>2392</v>
      </c>
      <c r="M244" s="49" t="s">
        <v>2393</v>
      </c>
      <c r="N244" s="49" t="s">
        <v>2394</v>
      </c>
      <c r="O244" s="49" t="s">
        <v>9594</v>
      </c>
      <c r="P244" s="49" t="s">
        <v>9595</v>
      </c>
      <c r="Q244" s="49" t="s">
        <v>9596</v>
      </c>
      <c r="R244" s="49" t="s">
        <v>9597</v>
      </c>
      <c r="S244" s="49" t="s">
        <v>9598</v>
      </c>
      <c r="T244" s="49" t="s">
        <v>9599</v>
      </c>
    </row>
    <row r="245" spans="1:21" x14ac:dyDescent="0.2">
      <c r="A245" s="49" t="s">
        <v>30</v>
      </c>
      <c r="D245" s="49" t="s">
        <v>2081</v>
      </c>
      <c r="G245" s="49" t="s">
        <v>15159</v>
      </c>
      <c r="H245" s="49" t="s">
        <v>2082</v>
      </c>
      <c r="I245" s="49" t="s">
        <v>2083</v>
      </c>
      <c r="J245" s="49" t="s">
        <v>2084</v>
      </c>
      <c r="K245" s="49" t="s">
        <v>2085</v>
      </c>
      <c r="L245" s="49" t="s">
        <v>2086</v>
      </c>
      <c r="M245" s="49" t="s">
        <v>2087</v>
      </c>
      <c r="N245" s="49" t="s">
        <v>2088</v>
      </c>
      <c r="O245" s="49" t="s">
        <v>9600</v>
      </c>
      <c r="P245" s="49" t="s">
        <v>9601</v>
      </c>
      <c r="Q245" s="49" t="s">
        <v>9602</v>
      </c>
      <c r="R245" s="49" t="s">
        <v>9603</v>
      </c>
      <c r="S245" s="49" t="s">
        <v>9604</v>
      </c>
      <c r="T245" s="49" t="s">
        <v>9605</v>
      </c>
    </row>
    <row r="246" spans="1:21" x14ac:dyDescent="0.2">
      <c r="A246" s="49" t="s">
        <v>30</v>
      </c>
      <c r="D246" s="49" t="s">
        <v>2589</v>
      </c>
      <c r="G246" s="49" t="s">
        <v>15167</v>
      </c>
      <c r="H246" s="49" t="s">
        <v>2590</v>
      </c>
      <c r="I246" s="49" t="s">
        <v>2591</v>
      </c>
      <c r="J246" s="49" t="s">
        <v>2592</v>
      </c>
      <c r="K246" s="49" t="s">
        <v>2593</v>
      </c>
      <c r="L246" s="49" t="s">
        <v>2594</v>
      </c>
      <c r="M246" s="49" t="s">
        <v>2595</v>
      </c>
      <c r="N246" s="49" t="s">
        <v>2596</v>
      </c>
      <c r="O246" s="49" t="s">
        <v>10148</v>
      </c>
      <c r="P246" s="49" t="s">
        <v>10149</v>
      </c>
      <c r="Q246" s="49" t="s">
        <v>10150</v>
      </c>
      <c r="R246" s="49" t="s">
        <v>10151</v>
      </c>
      <c r="S246" s="49" t="s">
        <v>10152</v>
      </c>
      <c r="T246" s="49" t="s">
        <v>10153</v>
      </c>
    </row>
    <row r="247" spans="1:21" x14ac:dyDescent="0.2">
      <c r="A247" s="49" t="s">
        <v>30</v>
      </c>
      <c r="D247" s="49" t="s">
        <v>1058</v>
      </c>
      <c r="G247" s="49" t="s">
        <v>15177</v>
      </c>
      <c r="H247" s="49" t="s">
        <v>1059</v>
      </c>
      <c r="I247" s="49" t="s">
        <v>1060</v>
      </c>
      <c r="J247" s="49" t="s">
        <v>1061</v>
      </c>
      <c r="K247" s="49" t="s">
        <v>1062</v>
      </c>
      <c r="L247" s="49" t="s">
        <v>1063</v>
      </c>
      <c r="M247" s="49" t="s">
        <v>1064</v>
      </c>
      <c r="N247" s="49" t="s">
        <v>1065</v>
      </c>
      <c r="O247" s="49" t="s">
        <v>9067</v>
      </c>
      <c r="P247" s="49" t="s">
        <v>9068</v>
      </c>
      <c r="Q247" s="49" t="s">
        <v>9069</v>
      </c>
      <c r="R247" s="49" t="s">
        <v>9070</v>
      </c>
      <c r="S247" s="49" t="s">
        <v>9071</v>
      </c>
      <c r="T247" s="49" t="s">
        <v>9072</v>
      </c>
    </row>
    <row r="248" spans="1:21" x14ac:dyDescent="0.2">
      <c r="A248" s="49" t="s">
        <v>30</v>
      </c>
      <c r="D248" s="49" t="s">
        <v>2699</v>
      </c>
      <c r="G248" s="49" t="s">
        <v>15179</v>
      </c>
      <c r="H248" s="49" t="s">
        <v>2700</v>
      </c>
      <c r="I248" s="49" t="s">
        <v>2701</v>
      </c>
      <c r="J248" s="49" t="s">
        <v>2702</v>
      </c>
      <c r="K248" s="49" t="s">
        <v>2703</v>
      </c>
      <c r="L248" s="49" t="s">
        <v>2704</v>
      </c>
      <c r="M248" s="49" t="s">
        <v>2705</v>
      </c>
      <c r="N248" s="49" t="s">
        <v>2706</v>
      </c>
      <c r="O248" s="49" t="s">
        <v>9073</v>
      </c>
      <c r="P248" s="49" t="s">
        <v>9074</v>
      </c>
      <c r="Q248" s="49" t="s">
        <v>9075</v>
      </c>
      <c r="R248" s="49" t="s">
        <v>9076</v>
      </c>
      <c r="S248" s="49" t="s">
        <v>9077</v>
      </c>
      <c r="T248" s="49" t="s">
        <v>9078</v>
      </c>
    </row>
    <row r="249" spans="1:21" x14ac:dyDescent="0.2">
      <c r="A249" s="49" t="s">
        <v>30</v>
      </c>
      <c r="D249" s="49" t="s">
        <v>2089</v>
      </c>
      <c r="G249" s="49" t="s">
        <v>15181</v>
      </c>
      <c r="H249" s="49" t="s">
        <v>2090</v>
      </c>
      <c r="I249" s="49" t="s">
        <v>2091</v>
      </c>
      <c r="J249" s="49" t="s">
        <v>2092</v>
      </c>
      <c r="K249" s="49" t="s">
        <v>2093</v>
      </c>
      <c r="L249" s="49" t="s">
        <v>2094</v>
      </c>
      <c r="M249" s="49" t="s">
        <v>2095</v>
      </c>
      <c r="N249" s="49" t="s">
        <v>2096</v>
      </c>
      <c r="O249" s="49" t="s">
        <v>9614</v>
      </c>
      <c r="P249" s="49" t="s">
        <v>9615</v>
      </c>
      <c r="Q249" s="49" t="s">
        <v>9616</v>
      </c>
      <c r="R249" s="49" t="s">
        <v>9617</v>
      </c>
      <c r="S249" s="49" t="s">
        <v>9618</v>
      </c>
      <c r="T249" s="49" t="s">
        <v>9619</v>
      </c>
    </row>
    <row r="250" spans="1:21" x14ac:dyDescent="0.2">
      <c r="A250" s="49" t="s">
        <v>30</v>
      </c>
    </row>
    <row r="251" spans="1:21" x14ac:dyDescent="0.2">
      <c r="A251" s="49" t="s">
        <v>30</v>
      </c>
      <c r="E251" s="49" t="s">
        <v>31</v>
      </c>
      <c r="F251" s="49" t="s">
        <v>31</v>
      </c>
      <c r="G251" s="49" t="s">
        <v>31</v>
      </c>
      <c r="J251" s="49" t="s">
        <v>31</v>
      </c>
      <c r="K251" s="49" t="s">
        <v>31</v>
      </c>
      <c r="L251" s="49" t="s">
        <v>31</v>
      </c>
      <c r="M251" s="49" t="s">
        <v>31</v>
      </c>
    </row>
    <row r="252" spans="1:21" x14ac:dyDescent="0.2">
      <c r="A252" s="49" t="s">
        <v>30</v>
      </c>
      <c r="D252" s="49" t="s">
        <v>35004</v>
      </c>
      <c r="E252" s="49" t="s">
        <v>4970</v>
      </c>
      <c r="F252" s="49" t="s">
        <v>35005</v>
      </c>
      <c r="H252" s="49" t="s">
        <v>35006</v>
      </c>
      <c r="O252" s="49" t="s">
        <v>35007</v>
      </c>
      <c r="P252" s="49" t="s">
        <v>35008</v>
      </c>
      <c r="Q252" s="49" t="s">
        <v>35009</v>
      </c>
      <c r="R252" s="49" t="s">
        <v>35010</v>
      </c>
      <c r="S252" s="49" t="s">
        <v>35011</v>
      </c>
      <c r="T252" s="49" t="s">
        <v>35012</v>
      </c>
      <c r="U252" s="49" t="s">
        <v>35013</v>
      </c>
    </row>
    <row r="253" spans="1:21" x14ac:dyDescent="0.2">
      <c r="A253" s="49" t="s">
        <v>30</v>
      </c>
      <c r="D253" s="49" t="s">
        <v>1082</v>
      </c>
      <c r="G253" s="49" t="s">
        <v>35014</v>
      </c>
      <c r="H253" s="49" t="s">
        <v>1083</v>
      </c>
      <c r="I253" s="49" t="s">
        <v>1084</v>
      </c>
      <c r="J253" s="49" t="s">
        <v>1085</v>
      </c>
      <c r="K253" s="49" t="s">
        <v>1086</v>
      </c>
      <c r="L253" s="49" t="s">
        <v>1087</v>
      </c>
      <c r="M253" s="49" t="s">
        <v>1088</v>
      </c>
      <c r="N253" s="49" t="s">
        <v>1089</v>
      </c>
      <c r="O253" s="49" t="s">
        <v>33014</v>
      </c>
      <c r="P253" s="49" t="s">
        <v>33015</v>
      </c>
      <c r="Q253" s="49" t="s">
        <v>33016</v>
      </c>
      <c r="R253" s="49" t="s">
        <v>33017</v>
      </c>
      <c r="S253" s="49" t="s">
        <v>33018</v>
      </c>
      <c r="T253" s="49" t="s">
        <v>33019</v>
      </c>
    </row>
    <row r="254" spans="1:21" x14ac:dyDescent="0.2">
      <c r="A254" s="49" t="s">
        <v>30</v>
      </c>
      <c r="D254" s="49" t="s">
        <v>2597</v>
      </c>
      <c r="G254" s="49" t="s">
        <v>15204</v>
      </c>
      <c r="H254" s="49" t="s">
        <v>2598</v>
      </c>
      <c r="I254" s="49" t="s">
        <v>2599</v>
      </c>
      <c r="J254" s="49" t="s">
        <v>2600</v>
      </c>
      <c r="K254" s="49" t="s">
        <v>2601</v>
      </c>
      <c r="L254" s="49" t="s">
        <v>2602</v>
      </c>
      <c r="M254" s="49" t="s">
        <v>2603</v>
      </c>
      <c r="N254" s="49" t="s">
        <v>2604</v>
      </c>
      <c r="O254" s="49" t="s">
        <v>9637</v>
      </c>
      <c r="P254" s="49" t="s">
        <v>9638</v>
      </c>
      <c r="Q254" s="49" t="s">
        <v>9639</v>
      </c>
      <c r="R254" s="49" t="s">
        <v>9640</v>
      </c>
      <c r="S254" s="49" t="s">
        <v>9641</v>
      </c>
      <c r="T254" s="49" t="s">
        <v>9642</v>
      </c>
    </row>
    <row r="255" spans="1:21" x14ac:dyDescent="0.2">
      <c r="A255" s="49" t="s">
        <v>30</v>
      </c>
      <c r="D255" s="49" t="s">
        <v>2105</v>
      </c>
      <c r="G255" s="49" t="s">
        <v>15208</v>
      </c>
      <c r="H255" s="49" t="s">
        <v>2106</v>
      </c>
      <c r="I255" s="49" t="s">
        <v>2107</v>
      </c>
      <c r="J255" s="49" t="s">
        <v>2108</v>
      </c>
      <c r="K255" s="49" t="s">
        <v>2109</v>
      </c>
      <c r="L255" s="49" t="s">
        <v>2110</v>
      </c>
      <c r="M255" s="49" t="s">
        <v>2111</v>
      </c>
      <c r="N255" s="49" t="s">
        <v>2112</v>
      </c>
      <c r="O255" s="49" t="s">
        <v>10415</v>
      </c>
      <c r="P255" s="49" t="s">
        <v>10416</v>
      </c>
      <c r="Q255" s="49" t="s">
        <v>10417</v>
      </c>
      <c r="R255" s="49" t="s">
        <v>10418</v>
      </c>
      <c r="S255" s="49" t="s">
        <v>10419</v>
      </c>
      <c r="T255" s="49" t="s">
        <v>10420</v>
      </c>
    </row>
    <row r="256" spans="1:21" x14ac:dyDescent="0.2">
      <c r="A256" s="49" t="s">
        <v>30</v>
      </c>
      <c r="D256" s="49" t="s">
        <v>2707</v>
      </c>
      <c r="G256" s="49" t="s">
        <v>15210</v>
      </c>
      <c r="H256" s="49" t="s">
        <v>2708</v>
      </c>
      <c r="I256" s="49" t="s">
        <v>2709</v>
      </c>
      <c r="J256" s="49" t="s">
        <v>2710</v>
      </c>
      <c r="K256" s="49" t="s">
        <v>2711</v>
      </c>
      <c r="L256" s="49" t="s">
        <v>2712</v>
      </c>
      <c r="M256" s="49" t="s">
        <v>2713</v>
      </c>
      <c r="N256" s="49" t="s">
        <v>2714</v>
      </c>
      <c r="O256" s="49" t="s">
        <v>9100</v>
      </c>
      <c r="P256" s="49" t="s">
        <v>9101</v>
      </c>
      <c r="Q256" s="49" t="s">
        <v>9102</v>
      </c>
      <c r="R256" s="49" t="s">
        <v>9103</v>
      </c>
      <c r="S256" s="49" t="s">
        <v>9104</v>
      </c>
      <c r="T256" s="49" t="s">
        <v>9105</v>
      </c>
    </row>
    <row r="257" spans="1:21" x14ac:dyDescent="0.2">
      <c r="A257" s="49" t="s">
        <v>30</v>
      </c>
    </row>
    <row r="258" spans="1:21" x14ac:dyDescent="0.2">
      <c r="A258" s="49" t="s">
        <v>30</v>
      </c>
      <c r="E258" s="49" t="s">
        <v>31</v>
      </c>
      <c r="F258" s="49" t="s">
        <v>31</v>
      </c>
      <c r="G258" s="49" t="s">
        <v>31</v>
      </c>
      <c r="J258" s="49" t="s">
        <v>31</v>
      </c>
      <c r="K258" s="49" t="s">
        <v>31</v>
      </c>
      <c r="L258" s="49" t="s">
        <v>31</v>
      </c>
      <c r="M258" s="49" t="s">
        <v>31</v>
      </c>
    </row>
    <row r="259" spans="1:21" x14ac:dyDescent="0.2">
      <c r="A259" s="49" t="s">
        <v>30</v>
      </c>
      <c r="D259" s="49" t="s">
        <v>13739</v>
      </c>
      <c r="E259" s="49" t="s">
        <v>4987</v>
      </c>
      <c r="F259" s="49" t="s">
        <v>13740</v>
      </c>
      <c r="H259" s="49" t="s">
        <v>13741</v>
      </c>
      <c r="O259" s="49" t="s">
        <v>35015</v>
      </c>
      <c r="P259" s="49" t="s">
        <v>35016</v>
      </c>
      <c r="Q259" s="49" t="s">
        <v>35017</v>
      </c>
      <c r="R259" s="49" t="s">
        <v>35018</v>
      </c>
      <c r="S259" s="49" t="s">
        <v>35019</v>
      </c>
      <c r="T259" s="49" t="s">
        <v>35020</v>
      </c>
      <c r="U259" s="49" t="s">
        <v>35021</v>
      </c>
    </row>
    <row r="260" spans="1:21" x14ac:dyDescent="0.2">
      <c r="A260" s="49" t="s">
        <v>30</v>
      </c>
      <c r="D260" s="49" t="s">
        <v>2113</v>
      </c>
      <c r="G260" s="49" t="s">
        <v>13749</v>
      </c>
      <c r="H260" s="49" t="s">
        <v>2114</v>
      </c>
      <c r="I260" s="49" t="s">
        <v>2115</v>
      </c>
      <c r="J260" s="49" t="s">
        <v>2116</v>
      </c>
      <c r="K260" s="49" t="s">
        <v>2117</v>
      </c>
      <c r="L260" s="49" t="s">
        <v>2118</v>
      </c>
      <c r="M260" s="49" t="s">
        <v>2119</v>
      </c>
      <c r="N260" s="49" t="s">
        <v>2120</v>
      </c>
      <c r="O260" s="49" t="s">
        <v>13239</v>
      </c>
      <c r="P260" s="49" t="s">
        <v>13240</v>
      </c>
      <c r="Q260" s="49" t="s">
        <v>13241</v>
      </c>
      <c r="R260" s="49" t="s">
        <v>13242</v>
      </c>
      <c r="S260" s="49" t="s">
        <v>13243</v>
      </c>
      <c r="T260" s="49" t="s">
        <v>13244</v>
      </c>
    </row>
    <row r="261" spans="1:21" x14ac:dyDescent="0.2">
      <c r="A261" s="49" t="s">
        <v>30</v>
      </c>
      <c r="D261" s="49" t="s">
        <v>2121</v>
      </c>
      <c r="G261" s="49" t="s">
        <v>15231</v>
      </c>
      <c r="H261" s="49" t="s">
        <v>2122</v>
      </c>
      <c r="I261" s="49" t="s">
        <v>2123</v>
      </c>
      <c r="J261" s="49" t="s">
        <v>2124</v>
      </c>
      <c r="K261" s="49" t="s">
        <v>2125</v>
      </c>
      <c r="L261" s="49" t="s">
        <v>2126</v>
      </c>
      <c r="M261" s="49" t="s">
        <v>2127</v>
      </c>
      <c r="N261" s="49" t="s">
        <v>2128</v>
      </c>
      <c r="O261" s="49" t="s">
        <v>10167</v>
      </c>
      <c r="P261" s="49" t="s">
        <v>10168</v>
      </c>
      <c r="Q261" s="49" t="s">
        <v>10169</v>
      </c>
      <c r="R261" s="49" t="s">
        <v>10170</v>
      </c>
      <c r="S261" s="49" t="s">
        <v>10171</v>
      </c>
      <c r="T261" s="49" t="s">
        <v>10172</v>
      </c>
    </row>
    <row r="262" spans="1:21" x14ac:dyDescent="0.2">
      <c r="A262" s="49" t="s">
        <v>30</v>
      </c>
      <c r="D262" s="49" t="s">
        <v>2715</v>
      </c>
      <c r="G262" s="49" t="s">
        <v>15233</v>
      </c>
      <c r="H262" s="49" t="s">
        <v>2716</v>
      </c>
      <c r="I262" s="49" t="s">
        <v>2717</v>
      </c>
      <c r="J262" s="49" t="s">
        <v>2718</v>
      </c>
      <c r="K262" s="49" t="s">
        <v>2719</v>
      </c>
      <c r="L262" s="49" t="s">
        <v>2720</v>
      </c>
      <c r="M262" s="49" t="s">
        <v>2721</v>
      </c>
      <c r="N262" s="49" t="s">
        <v>2722</v>
      </c>
      <c r="O262" s="49" t="s">
        <v>9112</v>
      </c>
      <c r="P262" s="49" t="s">
        <v>9113</v>
      </c>
      <c r="Q262" s="49" t="s">
        <v>9114</v>
      </c>
      <c r="R262" s="49" t="s">
        <v>9115</v>
      </c>
      <c r="S262" s="49" t="s">
        <v>9116</v>
      </c>
      <c r="T262" s="49" t="s">
        <v>9117</v>
      </c>
    </row>
    <row r="263" spans="1:21" x14ac:dyDescent="0.2">
      <c r="A263" s="49" t="s">
        <v>30</v>
      </c>
    </row>
    <row r="264" spans="1:21" x14ac:dyDescent="0.2">
      <c r="A264" s="49" t="s">
        <v>30</v>
      </c>
      <c r="E264" s="49" t="s">
        <v>31</v>
      </c>
      <c r="F264" s="49" t="s">
        <v>31</v>
      </c>
      <c r="G264" s="49" t="s">
        <v>31</v>
      </c>
      <c r="J264" s="49" t="s">
        <v>31</v>
      </c>
      <c r="K264" s="49" t="s">
        <v>31</v>
      </c>
      <c r="L264" s="49" t="s">
        <v>31</v>
      </c>
      <c r="M264" s="49" t="s">
        <v>31</v>
      </c>
    </row>
    <row r="265" spans="1:21" x14ac:dyDescent="0.2">
      <c r="A265" s="49" t="s">
        <v>30</v>
      </c>
      <c r="D265" s="49" t="s">
        <v>9118</v>
      </c>
      <c r="E265" s="49" t="s">
        <v>5002</v>
      </c>
      <c r="F265" s="49" t="s">
        <v>9119</v>
      </c>
      <c r="H265" s="49" t="s">
        <v>9120</v>
      </c>
      <c r="O265" s="49" t="s">
        <v>35022</v>
      </c>
      <c r="P265" s="49" t="s">
        <v>35023</v>
      </c>
      <c r="Q265" s="49" t="s">
        <v>35024</v>
      </c>
      <c r="R265" s="49" t="s">
        <v>35025</v>
      </c>
      <c r="S265" s="49" t="s">
        <v>35026</v>
      </c>
      <c r="T265" s="49" t="s">
        <v>35027</v>
      </c>
      <c r="U265" s="49" t="s">
        <v>35028</v>
      </c>
    </row>
    <row r="266" spans="1:21" x14ac:dyDescent="0.2">
      <c r="A266" s="49" t="s">
        <v>30</v>
      </c>
      <c r="D266" s="49" t="s">
        <v>2395</v>
      </c>
      <c r="G266" s="49" t="s">
        <v>9121</v>
      </c>
      <c r="H266" s="49" t="s">
        <v>2396</v>
      </c>
      <c r="I266" s="49" t="s">
        <v>2397</v>
      </c>
      <c r="J266" s="49" t="s">
        <v>2398</v>
      </c>
      <c r="K266" s="49" t="s">
        <v>2399</v>
      </c>
      <c r="L266" s="49" t="s">
        <v>2400</v>
      </c>
      <c r="M266" s="49" t="s">
        <v>2401</v>
      </c>
      <c r="N266" s="49" t="s">
        <v>2402</v>
      </c>
      <c r="O266" s="49" t="s">
        <v>9122</v>
      </c>
      <c r="P266" s="49" t="s">
        <v>9123</v>
      </c>
      <c r="Q266" s="49" t="s">
        <v>9124</v>
      </c>
      <c r="R266" s="49" t="s">
        <v>9125</v>
      </c>
      <c r="S266" s="49" t="s">
        <v>9126</v>
      </c>
      <c r="T266" s="49" t="s">
        <v>9127</v>
      </c>
    </row>
    <row r="267" spans="1:21" x14ac:dyDescent="0.2">
      <c r="A267" s="49" t="s">
        <v>30</v>
      </c>
      <c r="D267" s="49" t="s">
        <v>14373</v>
      </c>
      <c r="G267" s="49" t="s">
        <v>15261</v>
      </c>
      <c r="H267" s="49" t="s">
        <v>31704</v>
      </c>
      <c r="I267" s="49" t="s">
        <v>31705</v>
      </c>
      <c r="J267" s="49" t="s">
        <v>31742</v>
      </c>
      <c r="K267" s="49" t="s">
        <v>31743</v>
      </c>
      <c r="L267" s="49" t="s">
        <v>14375</v>
      </c>
      <c r="M267" s="49" t="s">
        <v>14376</v>
      </c>
      <c r="N267" s="49" t="s">
        <v>14377</v>
      </c>
      <c r="O267" s="49" t="s">
        <v>33008</v>
      </c>
      <c r="P267" s="49" t="s">
        <v>33009</v>
      </c>
      <c r="Q267" s="49" t="s">
        <v>33010</v>
      </c>
      <c r="R267" s="49" t="s">
        <v>33011</v>
      </c>
      <c r="S267" s="49" t="s">
        <v>33012</v>
      </c>
      <c r="T267" s="49" t="s">
        <v>33013</v>
      </c>
    </row>
    <row r="268" spans="1:21" x14ac:dyDescent="0.2">
      <c r="A268" s="49" t="s">
        <v>30</v>
      </c>
      <c r="D268" s="49" t="s">
        <v>2403</v>
      </c>
      <c r="G268" s="49" t="s">
        <v>15262</v>
      </c>
      <c r="H268" s="49" t="s">
        <v>2404</v>
      </c>
      <c r="I268" s="49" t="s">
        <v>2405</v>
      </c>
      <c r="J268" s="49" t="s">
        <v>2406</v>
      </c>
      <c r="K268" s="49" t="s">
        <v>2407</v>
      </c>
      <c r="L268" s="49" t="s">
        <v>2408</v>
      </c>
      <c r="M268" s="49" t="s">
        <v>2409</v>
      </c>
      <c r="N268" s="49" t="s">
        <v>2410</v>
      </c>
      <c r="O268" s="49" t="s">
        <v>9653</v>
      </c>
      <c r="P268" s="49" t="s">
        <v>9654</v>
      </c>
      <c r="Q268" s="49" t="s">
        <v>9655</v>
      </c>
      <c r="R268" s="49" t="s">
        <v>9656</v>
      </c>
      <c r="S268" s="49" t="s">
        <v>9657</v>
      </c>
      <c r="T268" s="49" t="s">
        <v>9658</v>
      </c>
    </row>
    <row r="269" spans="1:21" x14ac:dyDescent="0.2">
      <c r="A269" s="49" t="s">
        <v>30</v>
      </c>
    </row>
    <row r="270" spans="1:21" x14ac:dyDescent="0.2">
      <c r="A270" s="49" t="s">
        <v>30</v>
      </c>
      <c r="E270" s="49" t="s">
        <v>31</v>
      </c>
      <c r="F270" s="49" t="s">
        <v>31</v>
      </c>
      <c r="G270" s="49" t="s">
        <v>31</v>
      </c>
      <c r="J270" s="49" t="s">
        <v>31</v>
      </c>
      <c r="K270" s="49" t="s">
        <v>31</v>
      </c>
      <c r="L270" s="49" t="s">
        <v>31</v>
      </c>
      <c r="M270" s="49" t="s">
        <v>31</v>
      </c>
    </row>
    <row r="271" spans="1:21" x14ac:dyDescent="0.2">
      <c r="A271" s="49" t="s">
        <v>30</v>
      </c>
      <c r="D271" s="49" t="s">
        <v>2411</v>
      </c>
      <c r="E271" s="49" t="s">
        <v>5040</v>
      </c>
      <c r="F271" s="49" t="s">
        <v>2412</v>
      </c>
      <c r="H271" s="49" t="s">
        <v>2413</v>
      </c>
      <c r="O271" s="49" t="s">
        <v>35029</v>
      </c>
      <c r="P271" s="49" t="s">
        <v>35030</v>
      </c>
      <c r="Q271" s="49" t="s">
        <v>35031</v>
      </c>
      <c r="R271" s="49" t="s">
        <v>35032</v>
      </c>
      <c r="S271" s="49" t="s">
        <v>35033</v>
      </c>
      <c r="T271" s="49" t="s">
        <v>35034</v>
      </c>
      <c r="U271" s="49" t="s">
        <v>35035</v>
      </c>
    </row>
    <row r="272" spans="1:21" x14ac:dyDescent="0.2">
      <c r="A272" s="49" t="s">
        <v>30</v>
      </c>
      <c r="D272" s="49" t="s">
        <v>1138</v>
      </c>
      <c r="G272" s="49" t="s">
        <v>9659</v>
      </c>
      <c r="H272" s="49" t="s">
        <v>1139</v>
      </c>
      <c r="I272" s="49" t="s">
        <v>1140</v>
      </c>
      <c r="J272" s="49" t="s">
        <v>1141</v>
      </c>
      <c r="K272" s="49" t="s">
        <v>1142</v>
      </c>
      <c r="L272" s="49" t="s">
        <v>1143</v>
      </c>
      <c r="M272" s="49" t="s">
        <v>1144</v>
      </c>
      <c r="N272" s="49" t="s">
        <v>1145</v>
      </c>
      <c r="O272" s="49" t="s">
        <v>9140</v>
      </c>
      <c r="P272" s="49" t="s">
        <v>9141</v>
      </c>
      <c r="Q272" s="49" t="s">
        <v>9142</v>
      </c>
      <c r="R272" s="49" t="s">
        <v>9143</v>
      </c>
      <c r="S272" s="49" t="s">
        <v>9144</v>
      </c>
      <c r="T272" s="49" t="s">
        <v>9145</v>
      </c>
    </row>
    <row r="273" spans="1:21" x14ac:dyDescent="0.2">
      <c r="A273" s="49" t="s">
        <v>30</v>
      </c>
      <c r="D273" s="49" t="s">
        <v>1146</v>
      </c>
      <c r="G273" s="49" t="s">
        <v>15291</v>
      </c>
      <c r="H273" s="49" t="s">
        <v>1147</v>
      </c>
      <c r="I273" s="49" t="s">
        <v>1148</v>
      </c>
      <c r="J273" s="49" t="s">
        <v>1149</v>
      </c>
      <c r="K273" s="49" t="s">
        <v>1150</v>
      </c>
      <c r="L273" s="49" t="s">
        <v>1151</v>
      </c>
      <c r="M273" s="49" t="s">
        <v>1152</v>
      </c>
      <c r="N273" s="49" t="s">
        <v>1153</v>
      </c>
      <c r="O273" s="49" t="s">
        <v>33002</v>
      </c>
      <c r="P273" s="49" t="s">
        <v>33003</v>
      </c>
      <c r="Q273" s="49" t="s">
        <v>33004</v>
      </c>
      <c r="R273" s="49" t="s">
        <v>33005</v>
      </c>
      <c r="S273" s="49" t="s">
        <v>33006</v>
      </c>
      <c r="T273" s="49" t="s">
        <v>33007</v>
      </c>
    </row>
    <row r="274" spans="1:21" x14ac:dyDescent="0.2">
      <c r="A274" s="49" t="s">
        <v>30</v>
      </c>
      <c r="D274" s="49" t="s">
        <v>10788</v>
      </c>
      <c r="G274" s="49" t="s">
        <v>15293</v>
      </c>
      <c r="H274" s="49" t="s">
        <v>12722</v>
      </c>
      <c r="I274" s="49" t="s">
        <v>12723</v>
      </c>
      <c r="J274" s="49" t="s">
        <v>12742</v>
      </c>
      <c r="K274" s="49" t="s">
        <v>12743</v>
      </c>
      <c r="L274" s="49" t="s">
        <v>10789</v>
      </c>
      <c r="M274" s="49" t="s">
        <v>10790</v>
      </c>
      <c r="N274" s="49" t="s">
        <v>10791</v>
      </c>
      <c r="O274" s="49" t="s">
        <v>13855</v>
      </c>
      <c r="P274" s="49" t="s">
        <v>13856</v>
      </c>
      <c r="Q274" s="49" t="s">
        <v>13857</v>
      </c>
      <c r="R274" s="49" t="s">
        <v>13858</v>
      </c>
      <c r="S274" s="49" t="s">
        <v>13859</v>
      </c>
      <c r="T274" s="49" t="s">
        <v>13860</v>
      </c>
    </row>
    <row r="275" spans="1:21" x14ac:dyDescent="0.2">
      <c r="A275" s="49" t="s">
        <v>30</v>
      </c>
      <c r="D275" s="49" t="s">
        <v>1154</v>
      </c>
      <c r="G275" s="49" t="s">
        <v>15295</v>
      </c>
      <c r="H275" s="49" t="s">
        <v>1155</v>
      </c>
      <c r="I275" s="49" t="s">
        <v>1156</v>
      </c>
      <c r="J275" s="49" t="s">
        <v>1157</v>
      </c>
      <c r="K275" s="49" t="s">
        <v>1158</v>
      </c>
      <c r="L275" s="49" t="s">
        <v>1159</v>
      </c>
      <c r="M275" s="49" t="s">
        <v>1160</v>
      </c>
      <c r="N275" s="49" t="s">
        <v>1161</v>
      </c>
      <c r="O275" s="49" t="s">
        <v>10691</v>
      </c>
      <c r="P275" s="49" t="s">
        <v>10692</v>
      </c>
      <c r="Q275" s="49" t="s">
        <v>10693</v>
      </c>
      <c r="R275" s="49" t="s">
        <v>10694</v>
      </c>
      <c r="S275" s="49" t="s">
        <v>10695</v>
      </c>
      <c r="T275" s="49" t="s">
        <v>10696</v>
      </c>
    </row>
    <row r="276" spans="1:21" x14ac:dyDescent="0.2">
      <c r="A276" s="49" t="s">
        <v>30</v>
      </c>
    </row>
    <row r="277" spans="1:21" x14ac:dyDescent="0.2">
      <c r="A277" s="49" t="s">
        <v>30</v>
      </c>
      <c r="E277" s="49" t="s">
        <v>31</v>
      </c>
      <c r="F277" s="49" t="s">
        <v>31</v>
      </c>
      <c r="G277" s="49" t="s">
        <v>31</v>
      </c>
      <c r="J277" s="49" t="s">
        <v>31</v>
      </c>
      <c r="K277" s="49" t="s">
        <v>31</v>
      </c>
      <c r="L277" s="49" t="s">
        <v>31</v>
      </c>
      <c r="M277" s="49" t="s">
        <v>31</v>
      </c>
    </row>
    <row r="278" spans="1:21" x14ac:dyDescent="0.2">
      <c r="A278" s="49" t="s">
        <v>30</v>
      </c>
      <c r="D278" s="49" t="s">
        <v>10697</v>
      </c>
      <c r="E278" s="49" t="s">
        <v>5066</v>
      </c>
      <c r="F278" s="49" t="s">
        <v>10698</v>
      </c>
      <c r="H278" s="49" t="s">
        <v>10699</v>
      </c>
      <c r="O278" s="49" t="s">
        <v>35036</v>
      </c>
      <c r="P278" s="49" t="s">
        <v>35037</v>
      </c>
      <c r="Q278" s="49" t="s">
        <v>35038</v>
      </c>
      <c r="R278" s="49" t="s">
        <v>35039</v>
      </c>
      <c r="S278" s="49" t="s">
        <v>35040</v>
      </c>
      <c r="T278" s="49" t="s">
        <v>35041</v>
      </c>
      <c r="U278" s="49" t="s">
        <v>35042</v>
      </c>
    </row>
    <row r="279" spans="1:21" x14ac:dyDescent="0.2">
      <c r="A279" s="49" t="s">
        <v>30</v>
      </c>
      <c r="D279" s="49" t="s">
        <v>2422</v>
      </c>
      <c r="G279" s="49" t="s">
        <v>10700</v>
      </c>
      <c r="H279" s="49" t="s">
        <v>2423</v>
      </c>
      <c r="I279" s="49" t="s">
        <v>2424</v>
      </c>
      <c r="J279" s="49" t="s">
        <v>2425</v>
      </c>
      <c r="K279" s="49" t="s">
        <v>2426</v>
      </c>
      <c r="L279" s="49" t="s">
        <v>2427</v>
      </c>
      <c r="M279" s="49" t="s">
        <v>2428</v>
      </c>
      <c r="N279" s="49" t="s">
        <v>2429</v>
      </c>
      <c r="O279" s="49" t="s">
        <v>9672</v>
      </c>
      <c r="P279" s="49" t="s">
        <v>9673</v>
      </c>
      <c r="Q279" s="49" t="s">
        <v>9674</v>
      </c>
      <c r="R279" s="49" t="s">
        <v>9675</v>
      </c>
      <c r="S279" s="49" t="s">
        <v>9676</v>
      </c>
      <c r="T279" s="49" t="s">
        <v>9677</v>
      </c>
    </row>
    <row r="280" spans="1:21" x14ac:dyDescent="0.2">
      <c r="A280" s="49" t="s">
        <v>30</v>
      </c>
      <c r="D280" s="49" t="s">
        <v>2813</v>
      </c>
      <c r="G280" s="49" t="s">
        <v>15312</v>
      </c>
      <c r="H280" s="49" t="s">
        <v>2814</v>
      </c>
      <c r="I280" s="49" t="s">
        <v>2815</v>
      </c>
      <c r="J280" s="49" t="s">
        <v>2816</v>
      </c>
      <c r="K280" s="49" t="s">
        <v>2817</v>
      </c>
      <c r="L280" s="49" t="s">
        <v>2818</v>
      </c>
      <c r="M280" s="49" t="s">
        <v>2819</v>
      </c>
      <c r="N280" s="49" t="s">
        <v>2820</v>
      </c>
      <c r="O280" s="49" t="s">
        <v>9174</v>
      </c>
      <c r="P280" s="49" t="s">
        <v>9175</v>
      </c>
      <c r="Q280" s="49" t="s">
        <v>9176</v>
      </c>
      <c r="R280" s="49" t="s">
        <v>9177</v>
      </c>
      <c r="S280" s="49" t="s">
        <v>9178</v>
      </c>
      <c r="T280" s="49" t="s">
        <v>9179</v>
      </c>
    </row>
    <row r="281" spans="1:21" x14ac:dyDescent="0.2">
      <c r="A281" s="49" t="s">
        <v>30</v>
      </c>
      <c r="D281" s="49" t="s">
        <v>4806</v>
      </c>
      <c r="G281" s="49" t="s">
        <v>15313</v>
      </c>
      <c r="H281" s="49" t="s">
        <v>4807</v>
      </c>
      <c r="I281" s="49" t="s">
        <v>4808</v>
      </c>
      <c r="J281" s="49" t="s">
        <v>4809</v>
      </c>
      <c r="K281" s="49" t="s">
        <v>4810</v>
      </c>
      <c r="L281" s="49" t="s">
        <v>4811</v>
      </c>
      <c r="M281" s="49" t="s">
        <v>4812</v>
      </c>
      <c r="N281" s="49" t="s">
        <v>4813</v>
      </c>
      <c r="O281" s="49" t="s">
        <v>10421</v>
      </c>
      <c r="P281" s="49" t="s">
        <v>10422</v>
      </c>
      <c r="Q281" s="49" t="s">
        <v>10423</v>
      </c>
      <c r="R281" s="49" t="s">
        <v>10424</v>
      </c>
      <c r="S281" s="49" t="s">
        <v>10425</v>
      </c>
      <c r="T281" s="49" t="s">
        <v>10426</v>
      </c>
    </row>
    <row r="282" spans="1:21" x14ac:dyDescent="0.2">
      <c r="A282" s="49" t="s">
        <v>30</v>
      </c>
    </row>
    <row r="283" spans="1:21" x14ac:dyDescent="0.2">
      <c r="A283" s="49" t="s">
        <v>30</v>
      </c>
      <c r="E283" s="49" t="s">
        <v>31</v>
      </c>
      <c r="F283" s="49" t="s">
        <v>31</v>
      </c>
      <c r="G283" s="49" t="s">
        <v>31</v>
      </c>
      <c r="J283" s="49" t="s">
        <v>31</v>
      </c>
      <c r="K283" s="49" t="s">
        <v>31</v>
      </c>
      <c r="L283" s="49" t="s">
        <v>31</v>
      </c>
      <c r="M283" s="49" t="s">
        <v>31</v>
      </c>
    </row>
    <row r="284" spans="1:21" x14ac:dyDescent="0.2">
      <c r="A284" s="49" t="s">
        <v>30</v>
      </c>
      <c r="D284" s="49" t="s">
        <v>35043</v>
      </c>
      <c r="E284" s="49" t="s">
        <v>5091</v>
      </c>
      <c r="F284" s="49" t="s">
        <v>35044</v>
      </c>
      <c r="H284" s="49" t="s">
        <v>35045</v>
      </c>
      <c r="O284" s="49" t="s">
        <v>35046</v>
      </c>
      <c r="P284" s="49" t="s">
        <v>35047</v>
      </c>
      <c r="Q284" s="49" t="s">
        <v>35048</v>
      </c>
      <c r="R284" s="49" t="s">
        <v>35049</v>
      </c>
      <c r="S284" s="49" t="s">
        <v>35050</v>
      </c>
      <c r="T284" s="49" t="s">
        <v>35051</v>
      </c>
      <c r="U284" s="49" t="s">
        <v>35052</v>
      </c>
    </row>
    <row r="285" spans="1:21" x14ac:dyDescent="0.2">
      <c r="A285" s="49" t="s">
        <v>30</v>
      </c>
      <c r="D285" s="49" t="s">
        <v>2731</v>
      </c>
      <c r="G285" s="49" t="s">
        <v>35053</v>
      </c>
      <c r="H285" s="49" t="s">
        <v>2732</v>
      </c>
      <c r="I285" s="49" t="s">
        <v>2733</v>
      </c>
      <c r="J285" s="49" t="s">
        <v>2734</v>
      </c>
      <c r="K285" s="49" t="s">
        <v>2735</v>
      </c>
      <c r="L285" s="49" t="s">
        <v>2736</v>
      </c>
      <c r="M285" s="49" t="s">
        <v>2737</v>
      </c>
      <c r="N285" s="49" t="s">
        <v>2738</v>
      </c>
      <c r="O285" s="49" t="s">
        <v>10183</v>
      </c>
      <c r="P285" s="49" t="s">
        <v>10184</v>
      </c>
      <c r="Q285" s="49" t="s">
        <v>10185</v>
      </c>
      <c r="R285" s="49" t="s">
        <v>10186</v>
      </c>
      <c r="S285" s="49" t="s">
        <v>10187</v>
      </c>
      <c r="T285" s="49" t="s">
        <v>10188</v>
      </c>
    </row>
    <row r="286" spans="1:21" x14ac:dyDescent="0.2">
      <c r="A286" s="49" t="s">
        <v>30</v>
      </c>
    </row>
    <row r="287" spans="1:21" x14ac:dyDescent="0.2">
      <c r="A287" s="49" t="s">
        <v>30</v>
      </c>
      <c r="E287" s="49" t="s">
        <v>31</v>
      </c>
      <c r="F287" s="49" t="s">
        <v>31</v>
      </c>
      <c r="G287" s="49" t="s">
        <v>31</v>
      </c>
      <c r="J287" s="49" t="s">
        <v>31</v>
      </c>
      <c r="K287" s="49" t="s">
        <v>31</v>
      </c>
      <c r="L287" s="49" t="s">
        <v>31</v>
      </c>
      <c r="M287" s="49" t="s">
        <v>31</v>
      </c>
    </row>
    <row r="288" spans="1:21" x14ac:dyDescent="0.2">
      <c r="A288" s="49" t="s">
        <v>30</v>
      </c>
      <c r="D288" s="49" t="s">
        <v>4836</v>
      </c>
      <c r="E288" s="49" t="s">
        <v>5100</v>
      </c>
      <c r="F288" s="49" t="s">
        <v>4838</v>
      </c>
      <c r="H288" s="49" t="s">
        <v>4839</v>
      </c>
      <c r="O288" s="49" t="s">
        <v>35054</v>
      </c>
      <c r="P288" s="49" t="s">
        <v>35055</v>
      </c>
      <c r="Q288" s="49" t="s">
        <v>35056</v>
      </c>
      <c r="R288" s="49" t="s">
        <v>35057</v>
      </c>
      <c r="S288" s="49" t="s">
        <v>35058</v>
      </c>
      <c r="T288" s="49" t="s">
        <v>35059</v>
      </c>
      <c r="U288" s="49" t="s">
        <v>35060</v>
      </c>
    </row>
    <row r="289" spans="1:21" x14ac:dyDescent="0.2">
      <c r="A289" s="49" t="s">
        <v>30</v>
      </c>
      <c r="D289" s="49" t="s">
        <v>1194</v>
      </c>
      <c r="G289" s="49" t="s">
        <v>10189</v>
      </c>
      <c r="H289" s="49" t="s">
        <v>1195</v>
      </c>
      <c r="I289" s="49" t="s">
        <v>1196</v>
      </c>
      <c r="J289" s="49" t="s">
        <v>1197</v>
      </c>
      <c r="K289" s="49" t="s">
        <v>1198</v>
      </c>
      <c r="L289" s="49" t="s">
        <v>1199</v>
      </c>
      <c r="M289" s="49" t="s">
        <v>1200</v>
      </c>
      <c r="N289" s="49" t="s">
        <v>1201</v>
      </c>
      <c r="O289" s="49" t="s">
        <v>9694</v>
      </c>
      <c r="P289" s="49" t="s">
        <v>9695</v>
      </c>
      <c r="Q289" s="49" t="s">
        <v>9696</v>
      </c>
      <c r="R289" s="49" t="s">
        <v>9697</v>
      </c>
      <c r="S289" s="49" t="s">
        <v>9698</v>
      </c>
      <c r="T289" s="49" t="s">
        <v>9699</v>
      </c>
    </row>
    <row r="290" spans="1:21" x14ac:dyDescent="0.2">
      <c r="A290" s="49" t="s">
        <v>30</v>
      </c>
      <c r="D290" s="49" t="s">
        <v>2129</v>
      </c>
      <c r="G290" s="49" t="s">
        <v>15349</v>
      </c>
      <c r="H290" s="49" t="s">
        <v>2130</v>
      </c>
      <c r="I290" s="49" t="s">
        <v>2131</v>
      </c>
      <c r="J290" s="49" t="s">
        <v>2132</v>
      </c>
      <c r="K290" s="49" t="s">
        <v>2133</v>
      </c>
      <c r="L290" s="49" t="s">
        <v>2134</v>
      </c>
      <c r="M290" s="49" t="s">
        <v>2135</v>
      </c>
      <c r="N290" s="49" t="s">
        <v>2136</v>
      </c>
      <c r="O290" s="49" t="s">
        <v>13869</v>
      </c>
      <c r="P290" s="49" t="s">
        <v>13870</v>
      </c>
      <c r="Q290" s="49" t="s">
        <v>13871</v>
      </c>
      <c r="R290" s="49" t="s">
        <v>13872</v>
      </c>
      <c r="S290" s="49" t="s">
        <v>13873</v>
      </c>
      <c r="T290" s="49" t="s">
        <v>13874</v>
      </c>
    </row>
    <row r="291" spans="1:21" x14ac:dyDescent="0.2">
      <c r="A291" s="49" t="s">
        <v>30</v>
      </c>
    </row>
    <row r="292" spans="1:21" x14ac:dyDescent="0.2">
      <c r="A292" s="49" t="s">
        <v>30</v>
      </c>
      <c r="E292" s="49" t="s">
        <v>31</v>
      </c>
      <c r="F292" s="49" t="s">
        <v>31</v>
      </c>
      <c r="G292" s="49" t="s">
        <v>31</v>
      </c>
      <c r="J292" s="49" t="s">
        <v>31</v>
      </c>
      <c r="K292" s="49" t="s">
        <v>31</v>
      </c>
      <c r="L292" s="49" t="s">
        <v>31</v>
      </c>
      <c r="M292" s="49" t="s">
        <v>31</v>
      </c>
    </row>
    <row r="293" spans="1:21" x14ac:dyDescent="0.2">
      <c r="A293" s="49" t="s">
        <v>30</v>
      </c>
      <c r="D293" s="49" t="s">
        <v>13875</v>
      </c>
      <c r="E293" s="49" t="s">
        <v>5115</v>
      </c>
      <c r="F293" s="49" t="s">
        <v>13876</v>
      </c>
      <c r="H293" s="49" t="s">
        <v>13877</v>
      </c>
      <c r="O293" s="49" t="s">
        <v>35061</v>
      </c>
      <c r="P293" s="49" t="s">
        <v>35062</v>
      </c>
      <c r="Q293" s="49" t="s">
        <v>35063</v>
      </c>
      <c r="R293" s="49" t="s">
        <v>35064</v>
      </c>
      <c r="S293" s="49" t="s">
        <v>35065</v>
      </c>
      <c r="T293" s="49" t="s">
        <v>35066</v>
      </c>
      <c r="U293" s="49" t="s">
        <v>35067</v>
      </c>
    </row>
    <row r="294" spans="1:21" x14ac:dyDescent="0.2">
      <c r="A294" s="49" t="s">
        <v>30</v>
      </c>
      <c r="D294" s="49" t="s">
        <v>1210</v>
      </c>
      <c r="G294" s="49" t="s">
        <v>13878</v>
      </c>
      <c r="H294" s="49" t="s">
        <v>1211</v>
      </c>
      <c r="I294" s="49" t="s">
        <v>1212</v>
      </c>
      <c r="J294" s="49" t="s">
        <v>1213</v>
      </c>
      <c r="K294" s="49" t="s">
        <v>1214</v>
      </c>
      <c r="L294" s="49" t="s">
        <v>1215</v>
      </c>
      <c r="M294" s="49" t="s">
        <v>1216</v>
      </c>
      <c r="N294" s="49" t="s">
        <v>1217</v>
      </c>
      <c r="O294" s="49" t="s">
        <v>10190</v>
      </c>
      <c r="P294" s="49" t="s">
        <v>10191</v>
      </c>
      <c r="Q294" s="49" t="s">
        <v>10192</v>
      </c>
      <c r="R294" s="49" t="s">
        <v>10193</v>
      </c>
      <c r="S294" s="49" t="s">
        <v>10194</v>
      </c>
      <c r="T294" s="49" t="s">
        <v>10195</v>
      </c>
    </row>
    <row r="295" spans="1:21" x14ac:dyDescent="0.2">
      <c r="A295" s="49" t="s">
        <v>30</v>
      </c>
    </row>
    <row r="296" spans="1:21" x14ac:dyDescent="0.2">
      <c r="A296" s="49" t="s">
        <v>30</v>
      </c>
      <c r="E296" s="49" t="s">
        <v>31</v>
      </c>
      <c r="F296" s="49" t="s">
        <v>31</v>
      </c>
      <c r="G296" s="49" t="s">
        <v>31</v>
      </c>
      <c r="J296" s="49" t="s">
        <v>31</v>
      </c>
      <c r="K296" s="49" t="s">
        <v>31</v>
      </c>
      <c r="L296" s="49" t="s">
        <v>31</v>
      </c>
      <c r="M296" s="49" t="s">
        <v>31</v>
      </c>
    </row>
    <row r="297" spans="1:21" x14ac:dyDescent="0.2">
      <c r="A297" s="49" t="s">
        <v>30</v>
      </c>
      <c r="D297" s="49" t="s">
        <v>33371</v>
      </c>
      <c r="E297" s="49" t="s">
        <v>5130</v>
      </c>
      <c r="F297" s="49" t="s">
        <v>33372</v>
      </c>
      <c r="H297" s="49" t="s">
        <v>33373</v>
      </c>
      <c r="O297" s="49" t="s">
        <v>35068</v>
      </c>
      <c r="P297" s="49" t="s">
        <v>35069</v>
      </c>
      <c r="Q297" s="49" t="s">
        <v>35070</v>
      </c>
      <c r="R297" s="49" t="s">
        <v>35071</v>
      </c>
      <c r="S297" s="49" t="s">
        <v>35072</v>
      </c>
      <c r="T297" s="49" t="s">
        <v>35073</v>
      </c>
      <c r="U297" s="49" t="s">
        <v>35074</v>
      </c>
    </row>
    <row r="298" spans="1:21" x14ac:dyDescent="0.2">
      <c r="A298" s="49" t="s">
        <v>30</v>
      </c>
      <c r="D298" s="49" t="s">
        <v>1218</v>
      </c>
      <c r="G298" s="49" t="s">
        <v>33381</v>
      </c>
      <c r="H298" s="49" t="s">
        <v>1219</v>
      </c>
      <c r="I298" s="49" t="s">
        <v>1220</v>
      </c>
      <c r="J298" s="49" t="s">
        <v>1221</v>
      </c>
      <c r="K298" s="49" t="s">
        <v>1222</v>
      </c>
      <c r="L298" s="49" t="s">
        <v>1223</v>
      </c>
      <c r="M298" s="49" t="s">
        <v>1224</v>
      </c>
      <c r="N298" s="49" t="s">
        <v>1225</v>
      </c>
      <c r="O298" s="49" t="s">
        <v>9724</v>
      </c>
      <c r="P298" s="49" t="s">
        <v>9725</v>
      </c>
      <c r="Q298" s="49" t="s">
        <v>9726</v>
      </c>
      <c r="R298" s="49" t="s">
        <v>9727</v>
      </c>
      <c r="S298" s="49" t="s">
        <v>9728</v>
      </c>
      <c r="T298" s="49" t="s">
        <v>9729</v>
      </c>
    </row>
    <row r="299" spans="1:21" x14ac:dyDescent="0.2">
      <c r="A299" s="49" t="s">
        <v>30</v>
      </c>
      <c r="D299" s="49" t="s">
        <v>35075</v>
      </c>
      <c r="G299" s="49" t="s">
        <v>15400</v>
      </c>
      <c r="H299" s="49" t="s">
        <v>35869</v>
      </c>
      <c r="I299" s="49" t="s">
        <v>35870</v>
      </c>
      <c r="J299" s="49" t="s">
        <v>35877</v>
      </c>
      <c r="K299" s="49" t="s">
        <v>35878</v>
      </c>
      <c r="L299" s="49" t="s">
        <v>35076</v>
      </c>
      <c r="M299" s="49" t="s">
        <v>35077</v>
      </c>
      <c r="N299" s="49" t="s">
        <v>35078</v>
      </c>
      <c r="O299" s="49" t="s">
        <v>35871</v>
      </c>
      <c r="P299" s="49" t="s">
        <v>35872</v>
      </c>
      <c r="Q299" s="49" t="s">
        <v>35873</v>
      </c>
      <c r="R299" s="49" t="s">
        <v>35874</v>
      </c>
      <c r="S299" s="49" t="s">
        <v>35875</v>
      </c>
      <c r="T299" s="49" t="s">
        <v>35876</v>
      </c>
    </row>
    <row r="300" spans="1:21" x14ac:dyDescent="0.2">
      <c r="A300" s="49" t="s">
        <v>30</v>
      </c>
      <c r="D300" s="49" t="s">
        <v>2605</v>
      </c>
      <c r="G300" s="49" t="s">
        <v>15403</v>
      </c>
      <c r="H300" s="49" t="s">
        <v>2606</v>
      </c>
      <c r="I300" s="49" t="s">
        <v>2607</v>
      </c>
      <c r="J300" s="49" t="s">
        <v>2608</v>
      </c>
      <c r="K300" s="49" t="s">
        <v>2609</v>
      </c>
      <c r="L300" s="49" t="s">
        <v>2610</v>
      </c>
      <c r="M300" s="49" t="s">
        <v>2611</v>
      </c>
      <c r="N300" s="49" t="s">
        <v>2612</v>
      </c>
      <c r="O300" s="49" t="s">
        <v>9220</v>
      </c>
      <c r="P300" s="49" t="s">
        <v>9221</v>
      </c>
      <c r="Q300" s="49" t="s">
        <v>9222</v>
      </c>
      <c r="R300" s="49" t="s">
        <v>9223</v>
      </c>
      <c r="S300" s="49" t="s">
        <v>9224</v>
      </c>
      <c r="T300" s="49" t="s">
        <v>9225</v>
      </c>
    </row>
    <row r="301" spans="1:21" x14ac:dyDescent="0.2">
      <c r="A301" s="49" t="s">
        <v>30</v>
      </c>
    </row>
    <row r="302" spans="1:21" x14ac:dyDescent="0.2">
      <c r="A302" s="49" t="s">
        <v>30</v>
      </c>
      <c r="E302" s="49" t="s">
        <v>31</v>
      </c>
      <c r="F302" s="49" t="s">
        <v>31</v>
      </c>
      <c r="G302" s="49" t="s">
        <v>31</v>
      </c>
      <c r="J302" s="49" t="s">
        <v>31</v>
      </c>
      <c r="K302" s="49" t="s">
        <v>31</v>
      </c>
      <c r="L302" s="49" t="s">
        <v>31</v>
      </c>
      <c r="M302" s="49" t="s">
        <v>31</v>
      </c>
    </row>
    <row r="303" spans="1:21" x14ac:dyDescent="0.2">
      <c r="A303" s="49" t="s">
        <v>30</v>
      </c>
      <c r="D303" s="49" t="s">
        <v>9226</v>
      </c>
      <c r="E303" s="49" t="s">
        <v>5159</v>
      </c>
      <c r="F303" s="49" t="s">
        <v>9227</v>
      </c>
      <c r="H303" s="49" t="s">
        <v>9228</v>
      </c>
      <c r="O303" s="49" t="s">
        <v>35079</v>
      </c>
      <c r="P303" s="49" t="s">
        <v>35080</v>
      </c>
      <c r="Q303" s="49" t="s">
        <v>35081</v>
      </c>
      <c r="R303" s="49" t="s">
        <v>35082</v>
      </c>
      <c r="S303" s="49" t="s">
        <v>35083</v>
      </c>
      <c r="T303" s="49" t="s">
        <v>35084</v>
      </c>
      <c r="U303" s="49" t="s">
        <v>35085</v>
      </c>
    </row>
    <row r="304" spans="1:21" x14ac:dyDescent="0.2">
      <c r="A304" s="49" t="s">
        <v>30</v>
      </c>
      <c r="D304" s="49" t="s">
        <v>1234</v>
      </c>
      <c r="G304" s="49" t="s">
        <v>9229</v>
      </c>
      <c r="H304" s="49" t="s">
        <v>1235</v>
      </c>
      <c r="I304" s="49" t="s">
        <v>1236</v>
      </c>
      <c r="J304" s="49" t="s">
        <v>1237</v>
      </c>
      <c r="K304" s="49" t="s">
        <v>1238</v>
      </c>
      <c r="L304" s="49" t="s">
        <v>1239</v>
      </c>
      <c r="M304" s="49" t="s">
        <v>1240</v>
      </c>
      <c r="N304" s="49" t="s">
        <v>1241</v>
      </c>
      <c r="O304" s="49" t="s">
        <v>9230</v>
      </c>
      <c r="P304" s="49" t="s">
        <v>9231</v>
      </c>
      <c r="Q304" s="49" t="s">
        <v>9232</v>
      </c>
      <c r="R304" s="49" t="s">
        <v>9233</v>
      </c>
      <c r="S304" s="49" t="s">
        <v>9234</v>
      </c>
      <c r="T304" s="49" t="s">
        <v>9235</v>
      </c>
    </row>
    <row r="305" spans="1:21" x14ac:dyDescent="0.2">
      <c r="A305" s="49" t="s">
        <v>30</v>
      </c>
      <c r="D305" s="49" t="s">
        <v>1242</v>
      </c>
      <c r="G305" s="49" t="s">
        <v>15447</v>
      </c>
      <c r="H305" s="49" t="s">
        <v>1243</v>
      </c>
      <c r="I305" s="49" t="s">
        <v>1244</v>
      </c>
      <c r="J305" s="49" t="s">
        <v>1245</v>
      </c>
      <c r="K305" s="49" t="s">
        <v>1246</v>
      </c>
      <c r="L305" s="49" t="s">
        <v>1247</v>
      </c>
      <c r="M305" s="49" t="s">
        <v>1248</v>
      </c>
      <c r="N305" s="49" t="s">
        <v>1249</v>
      </c>
      <c r="O305" s="49" t="s">
        <v>9236</v>
      </c>
      <c r="P305" s="49" t="s">
        <v>9237</v>
      </c>
      <c r="Q305" s="49" t="s">
        <v>9238</v>
      </c>
      <c r="R305" s="49" t="s">
        <v>9239</v>
      </c>
      <c r="S305" s="49" t="s">
        <v>9240</v>
      </c>
      <c r="T305" s="49" t="s">
        <v>9241</v>
      </c>
    </row>
    <row r="306" spans="1:21" x14ac:dyDescent="0.2">
      <c r="A306" s="49" t="s">
        <v>30</v>
      </c>
      <c r="D306" s="49" t="s">
        <v>2145</v>
      </c>
      <c r="G306" s="49" t="s">
        <v>15449</v>
      </c>
      <c r="H306" s="49" t="s">
        <v>2146</v>
      </c>
      <c r="I306" s="49" t="s">
        <v>2147</v>
      </c>
      <c r="J306" s="49" t="s">
        <v>2148</v>
      </c>
      <c r="K306" s="49" t="s">
        <v>2149</v>
      </c>
      <c r="L306" s="49" t="s">
        <v>2150</v>
      </c>
      <c r="M306" s="49" t="s">
        <v>2151</v>
      </c>
      <c r="N306" s="49" t="s">
        <v>2152</v>
      </c>
      <c r="O306" s="49" t="s">
        <v>10705</v>
      </c>
      <c r="P306" s="49" t="s">
        <v>10706</v>
      </c>
      <c r="Q306" s="49" t="s">
        <v>10707</v>
      </c>
      <c r="R306" s="49" t="s">
        <v>10708</v>
      </c>
      <c r="S306" s="49" t="s">
        <v>10709</v>
      </c>
      <c r="T306" s="49" t="s">
        <v>10710</v>
      </c>
    </row>
    <row r="307" spans="1:21" x14ac:dyDescent="0.2">
      <c r="A307" s="49" t="s">
        <v>30</v>
      </c>
      <c r="D307" s="49" t="s">
        <v>2755</v>
      </c>
      <c r="G307" s="49" t="s">
        <v>15459</v>
      </c>
      <c r="H307" s="49" t="s">
        <v>2756</v>
      </c>
      <c r="I307" s="49" t="s">
        <v>2757</v>
      </c>
      <c r="J307" s="49" t="s">
        <v>2758</v>
      </c>
      <c r="K307" s="49" t="s">
        <v>2759</v>
      </c>
      <c r="L307" s="49" t="s">
        <v>2760</v>
      </c>
      <c r="M307" s="49" t="s">
        <v>2761</v>
      </c>
      <c r="N307" s="49" t="s">
        <v>2762</v>
      </c>
      <c r="O307" s="49" t="s">
        <v>32607</v>
      </c>
      <c r="P307" s="49" t="s">
        <v>32608</v>
      </c>
      <c r="Q307" s="49" t="s">
        <v>32609</v>
      </c>
      <c r="R307" s="49" t="s">
        <v>32610</v>
      </c>
      <c r="S307" s="49" t="s">
        <v>32611</v>
      </c>
      <c r="T307" s="49" t="s">
        <v>32612</v>
      </c>
    </row>
    <row r="308" spans="1:21" x14ac:dyDescent="0.2">
      <c r="A308" s="49" t="s">
        <v>30</v>
      </c>
    </row>
    <row r="309" spans="1:21" x14ac:dyDescent="0.2">
      <c r="A309" s="49" t="s">
        <v>30</v>
      </c>
      <c r="E309" s="49" t="s">
        <v>31</v>
      </c>
      <c r="F309" s="49" t="s">
        <v>31</v>
      </c>
      <c r="G309" s="49" t="s">
        <v>31</v>
      </c>
      <c r="J309" s="49" t="s">
        <v>31</v>
      </c>
      <c r="K309" s="49" t="s">
        <v>31</v>
      </c>
      <c r="L309" s="49" t="s">
        <v>31</v>
      </c>
      <c r="M309" s="49" t="s">
        <v>31</v>
      </c>
    </row>
    <row r="310" spans="1:21" x14ac:dyDescent="0.2">
      <c r="A310" s="49" t="s">
        <v>30</v>
      </c>
      <c r="D310" s="49" t="s">
        <v>35086</v>
      </c>
      <c r="E310" s="49" t="s">
        <v>5174</v>
      </c>
      <c r="F310" s="49" t="s">
        <v>35087</v>
      </c>
      <c r="H310" s="49" t="s">
        <v>35088</v>
      </c>
      <c r="O310" s="49" t="s">
        <v>35089</v>
      </c>
      <c r="P310" s="49" t="s">
        <v>35090</v>
      </c>
      <c r="Q310" s="49" t="s">
        <v>35091</v>
      </c>
      <c r="R310" s="49" t="s">
        <v>35092</v>
      </c>
      <c r="S310" s="49" t="s">
        <v>35093</v>
      </c>
      <c r="T310" s="49" t="s">
        <v>35094</v>
      </c>
      <c r="U310" s="49" t="s">
        <v>35095</v>
      </c>
    </row>
    <row r="311" spans="1:21" x14ac:dyDescent="0.2">
      <c r="A311" s="49" t="s">
        <v>30</v>
      </c>
      <c r="D311" s="49" t="s">
        <v>2153</v>
      </c>
      <c r="G311" s="49" t="s">
        <v>35096</v>
      </c>
      <c r="H311" s="49" t="s">
        <v>2154</v>
      </c>
      <c r="I311" s="49" t="s">
        <v>2155</v>
      </c>
      <c r="J311" s="49" t="s">
        <v>2156</v>
      </c>
      <c r="K311" s="49" t="s">
        <v>2157</v>
      </c>
      <c r="L311" s="49" t="s">
        <v>2158</v>
      </c>
      <c r="M311" s="49" t="s">
        <v>2159</v>
      </c>
      <c r="N311" s="49" t="s">
        <v>2160</v>
      </c>
      <c r="O311" s="49" t="s">
        <v>9736</v>
      </c>
      <c r="P311" s="49" t="s">
        <v>9737</v>
      </c>
      <c r="Q311" s="49" t="s">
        <v>9738</v>
      </c>
      <c r="R311" s="49" t="s">
        <v>9739</v>
      </c>
      <c r="S311" s="49" t="s">
        <v>9740</v>
      </c>
      <c r="T311" s="49" t="s">
        <v>9741</v>
      </c>
    </row>
    <row r="312" spans="1:21" x14ac:dyDescent="0.2">
      <c r="A312" s="49" t="s">
        <v>30</v>
      </c>
      <c r="D312" s="49" t="s">
        <v>4845</v>
      </c>
      <c r="G312" s="49" t="s">
        <v>15490</v>
      </c>
      <c r="H312" s="49" t="s">
        <v>4846</v>
      </c>
      <c r="I312" s="49" t="s">
        <v>4847</v>
      </c>
      <c r="J312" s="49" t="s">
        <v>4848</v>
      </c>
      <c r="K312" s="49" t="s">
        <v>4849</v>
      </c>
      <c r="L312" s="49" t="s">
        <v>4850</v>
      </c>
      <c r="M312" s="49" t="s">
        <v>4851</v>
      </c>
      <c r="N312" s="49" t="s">
        <v>4852</v>
      </c>
      <c r="O312" s="49" t="s">
        <v>32627</v>
      </c>
      <c r="P312" s="49" t="s">
        <v>32628</v>
      </c>
      <c r="Q312" s="49" t="s">
        <v>32629</v>
      </c>
      <c r="R312" s="49" t="s">
        <v>32630</v>
      </c>
      <c r="S312" s="49" t="s">
        <v>32631</v>
      </c>
      <c r="T312" s="49" t="s">
        <v>32632</v>
      </c>
    </row>
    <row r="313" spans="1:21" x14ac:dyDescent="0.2">
      <c r="A313" s="49" t="s">
        <v>30</v>
      </c>
      <c r="D313" s="49" t="s">
        <v>4859</v>
      </c>
      <c r="G313" s="49" t="s">
        <v>15495</v>
      </c>
      <c r="H313" s="49" t="s">
        <v>4860</v>
      </c>
      <c r="I313" s="49" t="s">
        <v>4861</v>
      </c>
      <c r="J313" s="49" t="s">
        <v>4862</v>
      </c>
      <c r="K313" s="49" t="s">
        <v>4863</v>
      </c>
      <c r="L313" s="49" t="s">
        <v>4864</v>
      </c>
      <c r="M313" s="49" t="s">
        <v>4865</v>
      </c>
      <c r="N313" s="49" t="s">
        <v>4866</v>
      </c>
      <c r="O313" s="49" t="s">
        <v>9263</v>
      </c>
      <c r="P313" s="49" t="s">
        <v>9264</v>
      </c>
      <c r="Q313" s="49" t="s">
        <v>9265</v>
      </c>
      <c r="R313" s="49" t="s">
        <v>9266</v>
      </c>
      <c r="S313" s="49" t="s">
        <v>9267</v>
      </c>
      <c r="T313" s="49" t="s">
        <v>9268</v>
      </c>
    </row>
    <row r="314" spans="1:21" x14ac:dyDescent="0.2">
      <c r="A314" s="49" t="s">
        <v>30</v>
      </c>
      <c r="D314" s="49" t="s">
        <v>4867</v>
      </c>
      <c r="G314" s="49" t="s">
        <v>15500</v>
      </c>
      <c r="H314" s="49" t="s">
        <v>4868</v>
      </c>
      <c r="I314" s="49" t="s">
        <v>4869</v>
      </c>
      <c r="J314" s="49" t="s">
        <v>4870</v>
      </c>
      <c r="K314" s="49" t="s">
        <v>4871</v>
      </c>
      <c r="L314" s="49" t="s">
        <v>4872</v>
      </c>
      <c r="M314" s="49" t="s">
        <v>4873</v>
      </c>
      <c r="N314" s="49" t="s">
        <v>4874</v>
      </c>
      <c r="O314" s="49" t="s">
        <v>9269</v>
      </c>
      <c r="P314" s="49" t="s">
        <v>9270</v>
      </c>
      <c r="Q314" s="49" t="s">
        <v>9271</v>
      </c>
      <c r="R314" s="49" t="s">
        <v>9272</v>
      </c>
      <c r="S314" s="49" t="s">
        <v>9273</v>
      </c>
      <c r="T314" s="49" t="s">
        <v>9274</v>
      </c>
    </row>
    <row r="315" spans="1:21" x14ac:dyDescent="0.2">
      <c r="A315" s="49" t="s">
        <v>30</v>
      </c>
    </row>
    <row r="316" spans="1:21" x14ac:dyDescent="0.2">
      <c r="A316" s="49" t="s">
        <v>30</v>
      </c>
      <c r="E316" s="49" t="s">
        <v>31</v>
      </c>
      <c r="F316" s="49" t="s">
        <v>31</v>
      </c>
      <c r="G316" s="49" t="s">
        <v>31</v>
      </c>
      <c r="J316" s="49" t="s">
        <v>31</v>
      </c>
      <c r="K316" s="49" t="s">
        <v>31</v>
      </c>
      <c r="L316" s="49" t="s">
        <v>31</v>
      </c>
      <c r="M316" s="49" t="s">
        <v>31</v>
      </c>
    </row>
    <row r="317" spans="1:21" x14ac:dyDescent="0.2">
      <c r="A317" s="49" t="s">
        <v>30</v>
      </c>
      <c r="D317" s="49" t="s">
        <v>33400</v>
      </c>
      <c r="E317" s="49" t="s">
        <v>5189</v>
      </c>
      <c r="F317" s="49" t="s">
        <v>33401</v>
      </c>
      <c r="H317" s="49" t="s">
        <v>33402</v>
      </c>
      <c r="O317" s="49" t="s">
        <v>35097</v>
      </c>
      <c r="P317" s="49" t="s">
        <v>35098</v>
      </c>
      <c r="Q317" s="49" t="s">
        <v>35099</v>
      </c>
      <c r="R317" s="49" t="s">
        <v>35100</v>
      </c>
      <c r="S317" s="49" t="s">
        <v>35101</v>
      </c>
      <c r="T317" s="49" t="s">
        <v>35102</v>
      </c>
      <c r="U317" s="49" t="s">
        <v>35103</v>
      </c>
    </row>
    <row r="318" spans="1:21" x14ac:dyDescent="0.2">
      <c r="A318" s="49" t="s">
        <v>30</v>
      </c>
      <c r="D318" s="49" t="s">
        <v>14442</v>
      </c>
      <c r="G318" s="49" t="s">
        <v>33410</v>
      </c>
      <c r="H318" s="49" t="s">
        <v>31588</v>
      </c>
      <c r="I318" s="49" t="s">
        <v>31590</v>
      </c>
      <c r="J318" s="49" t="s">
        <v>31646</v>
      </c>
      <c r="K318" s="49" t="s">
        <v>31648</v>
      </c>
      <c r="L318" s="49" t="s">
        <v>14444</v>
      </c>
      <c r="M318" s="49" t="s">
        <v>14445</v>
      </c>
      <c r="N318" s="49" t="s">
        <v>14446</v>
      </c>
      <c r="O318" s="49" t="s">
        <v>34672</v>
      </c>
      <c r="P318" s="49" t="s">
        <v>34673</v>
      </c>
      <c r="Q318" s="49" t="s">
        <v>34674</v>
      </c>
      <c r="R318" s="49" t="s">
        <v>34675</v>
      </c>
      <c r="S318" s="49" t="s">
        <v>34676</v>
      </c>
      <c r="T318" s="49" t="s">
        <v>34677</v>
      </c>
    </row>
    <row r="319" spans="1:21" x14ac:dyDescent="0.2">
      <c r="A319" s="49" t="s">
        <v>30</v>
      </c>
    </row>
    <row r="320" spans="1:21" x14ac:dyDescent="0.2">
      <c r="A320" s="49" t="s">
        <v>30</v>
      </c>
      <c r="E320" s="49" t="s">
        <v>31</v>
      </c>
      <c r="F320" s="49" t="s">
        <v>31</v>
      </c>
      <c r="G320" s="49" t="s">
        <v>31</v>
      </c>
      <c r="J320" s="49" t="s">
        <v>31</v>
      </c>
      <c r="K320" s="49" t="s">
        <v>31</v>
      </c>
      <c r="L320" s="49" t="s">
        <v>31</v>
      </c>
      <c r="M320" s="49" t="s">
        <v>31</v>
      </c>
    </row>
    <row r="321" spans="1:21" x14ac:dyDescent="0.2">
      <c r="A321" s="49" t="s">
        <v>30</v>
      </c>
      <c r="D321" s="49" t="s">
        <v>35104</v>
      </c>
      <c r="E321" s="49" t="s">
        <v>5301</v>
      </c>
      <c r="F321" s="49" t="s">
        <v>35105</v>
      </c>
      <c r="H321" s="49" t="s">
        <v>35106</v>
      </c>
      <c r="O321" s="49" t="s">
        <v>35107</v>
      </c>
      <c r="P321" s="49" t="s">
        <v>35108</v>
      </c>
      <c r="Q321" s="49" t="s">
        <v>35109</v>
      </c>
      <c r="R321" s="49" t="s">
        <v>35110</v>
      </c>
      <c r="S321" s="49" t="s">
        <v>35111</v>
      </c>
      <c r="T321" s="49" t="s">
        <v>35112</v>
      </c>
      <c r="U321" s="49" t="s">
        <v>35113</v>
      </c>
    </row>
    <row r="322" spans="1:21" x14ac:dyDescent="0.2">
      <c r="A322" s="49" t="s">
        <v>30</v>
      </c>
      <c r="D322" s="49" t="s">
        <v>1290</v>
      </c>
      <c r="G322" s="49" t="s">
        <v>35114</v>
      </c>
      <c r="H322" s="49" t="s">
        <v>1291</v>
      </c>
      <c r="I322" s="49" t="s">
        <v>1292</v>
      </c>
      <c r="J322" s="49" t="s">
        <v>1293</v>
      </c>
      <c r="K322" s="49" t="s">
        <v>1294</v>
      </c>
      <c r="L322" s="49" t="s">
        <v>1295</v>
      </c>
      <c r="M322" s="49" t="s">
        <v>1296</v>
      </c>
      <c r="N322" s="49" t="s">
        <v>1297</v>
      </c>
      <c r="O322" s="49" t="s">
        <v>9275</v>
      </c>
      <c r="P322" s="49" t="s">
        <v>9276</v>
      </c>
      <c r="Q322" s="49" t="s">
        <v>9277</v>
      </c>
      <c r="R322" s="49" t="s">
        <v>9278</v>
      </c>
      <c r="S322" s="49" t="s">
        <v>9279</v>
      </c>
      <c r="T322" s="49" t="s">
        <v>9280</v>
      </c>
    </row>
    <row r="323" spans="1:21" x14ac:dyDescent="0.2">
      <c r="A323" s="49" t="s">
        <v>30</v>
      </c>
    </row>
    <row r="324" spans="1:21" x14ac:dyDescent="0.2">
      <c r="A324" s="49" t="s">
        <v>30</v>
      </c>
      <c r="E324" s="49" t="s">
        <v>31</v>
      </c>
      <c r="F324" s="49" t="s">
        <v>31</v>
      </c>
      <c r="G324" s="49" t="s">
        <v>31</v>
      </c>
      <c r="J324" s="49" t="s">
        <v>31</v>
      </c>
      <c r="K324" s="49" t="s">
        <v>31</v>
      </c>
      <c r="L324" s="49" t="s">
        <v>31</v>
      </c>
      <c r="M324" s="49" t="s">
        <v>31</v>
      </c>
    </row>
    <row r="325" spans="1:21" x14ac:dyDescent="0.2">
      <c r="A325" s="49" t="s">
        <v>30</v>
      </c>
      <c r="D325" s="49" t="s">
        <v>4876</v>
      </c>
      <c r="E325" s="49" t="s">
        <v>5331</v>
      </c>
      <c r="F325" s="49" t="s">
        <v>4878</v>
      </c>
      <c r="H325" s="49" t="s">
        <v>4879</v>
      </c>
      <c r="O325" s="49" t="s">
        <v>35115</v>
      </c>
      <c r="P325" s="49" t="s">
        <v>35116</v>
      </c>
      <c r="Q325" s="49" t="s">
        <v>35117</v>
      </c>
      <c r="R325" s="49" t="s">
        <v>35118</v>
      </c>
      <c r="S325" s="49" t="s">
        <v>35119</v>
      </c>
      <c r="T325" s="49" t="s">
        <v>35120</v>
      </c>
      <c r="U325" s="49" t="s">
        <v>35121</v>
      </c>
    </row>
    <row r="326" spans="1:21" x14ac:dyDescent="0.2">
      <c r="A326" s="49" t="s">
        <v>30</v>
      </c>
      <c r="D326" s="49" t="s">
        <v>1298</v>
      </c>
      <c r="G326" s="49" t="s">
        <v>9281</v>
      </c>
      <c r="H326" s="49" t="s">
        <v>1299</v>
      </c>
      <c r="I326" s="49" t="s">
        <v>1300</v>
      </c>
      <c r="J326" s="49" t="s">
        <v>1301</v>
      </c>
      <c r="K326" s="49" t="s">
        <v>1302</v>
      </c>
      <c r="L326" s="49" t="s">
        <v>1303</v>
      </c>
      <c r="M326" s="49" t="s">
        <v>1304</v>
      </c>
      <c r="N326" s="49" t="s">
        <v>1305</v>
      </c>
      <c r="O326" s="49" t="s">
        <v>9282</v>
      </c>
      <c r="P326" s="49" t="s">
        <v>9283</v>
      </c>
      <c r="Q326" s="49" t="s">
        <v>9284</v>
      </c>
      <c r="R326" s="49" t="s">
        <v>9285</v>
      </c>
      <c r="S326" s="49" t="s">
        <v>9286</v>
      </c>
      <c r="T326" s="49" t="s">
        <v>9287</v>
      </c>
    </row>
    <row r="327" spans="1:21" x14ac:dyDescent="0.2">
      <c r="A327" s="49" t="s">
        <v>30</v>
      </c>
      <c r="D327" s="49" t="s">
        <v>14455</v>
      </c>
      <c r="G327" s="49" t="s">
        <v>15723</v>
      </c>
      <c r="H327" s="49" t="s">
        <v>31589</v>
      </c>
      <c r="I327" s="49" t="s">
        <v>31591</v>
      </c>
      <c r="J327" s="49" t="s">
        <v>31647</v>
      </c>
      <c r="K327" s="49" t="s">
        <v>31649</v>
      </c>
      <c r="L327" s="49" t="s">
        <v>14457</v>
      </c>
      <c r="M327" s="49" t="s">
        <v>14458</v>
      </c>
      <c r="N327" s="49" t="s">
        <v>14459</v>
      </c>
      <c r="O327" s="49" t="s">
        <v>35863</v>
      </c>
      <c r="P327" s="49" t="s">
        <v>35864</v>
      </c>
      <c r="Q327" s="49" t="s">
        <v>35865</v>
      </c>
      <c r="R327" s="49" t="s">
        <v>35866</v>
      </c>
      <c r="S327" s="49" t="s">
        <v>35867</v>
      </c>
      <c r="T327" s="49" t="s">
        <v>35868</v>
      </c>
    </row>
    <row r="328" spans="1:21" x14ac:dyDescent="0.2">
      <c r="A328" s="49" t="s">
        <v>30</v>
      </c>
      <c r="D328" s="49" t="s">
        <v>2629</v>
      </c>
      <c r="G328" s="49" t="s">
        <v>15725</v>
      </c>
      <c r="H328" s="49" t="s">
        <v>2630</v>
      </c>
      <c r="I328" s="49" t="s">
        <v>2631</v>
      </c>
      <c r="J328" s="49" t="s">
        <v>2632</v>
      </c>
      <c r="K328" s="49" t="s">
        <v>2633</v>
      </c>
      <c r="L328" s="49" t="s">
        <v>2634</v>
      </c>
      <c r="M328" s="49" t="s">
        <v>2635</v>
      </c>
      <c r="N328" s="49" t="s">
        <v>2636</v>
      </c>
      <c r="O328" s="49" t="s">
        <v>9764</v>
      </c>
      <c r="P328" s="49" t="s">
        <v>9765</v>
      </c>
      <c r="Q328" s="49" t="s">
        <v>9766</v>
      </c>
      <c r="R328" s="49" t="s">
        <v>9767</v>
      </c>
      <c r="S328" s="49" t="s">
        <v>9768</v>
      </c>
      <c r="T328" s="49" t="s">
        <v>9769</v>
      </c>
    </row>
    <row r="329" spans="1:21" x14ac:dyDescent="0.2">
      <c r="A329" s="49" t="s">
        <v>30</v>
      </c>
      <c r="D329" s="49" t="s">
        <v>2169</v>
      </c>
      <c r="G329" s="49" t="s">
        <v>15726</v>
      </c>
      <c r="H329" s="49" t="s">
        <v>2170</v>
      </c>
      <c r="I329" s="49" t="s">
        <v>2171</v>
      </c>
      <c r="J329" s="49" t="s">
        <v>2172</v>
      </c>
      <c r="K329" s="49" t="s">
        <v>2173</v>
      </c>
      <c r="L329" s="49" t="s">
        <v>2174</v>
      </c>
      <c r="M329" s="49" t="s">
        <v>2175</v>
      </c>
      <c r="N329" s="49" t="s">
        <v>2176</v>
      </c>
      <c r="O329" s="49" t="s">
        <v>9770</v>
      </c>
      <c r="P329" s="49" t="s">
        <v>9771</v>
      </c>
      <c r="Q329" s="49" t="s">
        <v>9772</v>
      </c>
      <c r="R329" s="49" t="s">
        <v>9773</v>
      </c>
      <c r="S329" s="49" t="s">
        <v>9774</v>
      </c>
      <c r="T329" s="49" t="s">
        <v>9775</v>
      </c>
    </row>
    <row r="330" spans="1:21" x14ac:dyDescent="0.2">
      <c r="A330" s="49" t="s">
        <v>30</v>
      </c>
    </row>
    <row r="331" spans="1:21" x14ac:dyDescent="0.2">
      <c r="A331" s="49" t="s">
        <v>30</v>
      </c>
      <c r="E331" s="49" t="s">
        <v>31</v>
      </c>
      <c r="F331" s="49" t="s">
        <v>31</v>
      </c>
      <c r="G331" s="49" t="s">
        <v>31</v>
      </c>
      <c r="J331" s="49" t="s">
        <v>31</v>
      </c>
      <c r="K331" s="49" t="s">
        <v>31</v>
      </c>
      <c r="L331" s="49" t="s">
        <v>31</v>
      </c>
      <c r="M331" s="49" t="s">
        <v>31</v>
      </c>
    </row>
    <row r="332" spans="1:21" x14ac:dyDescent="0.2">
      <c r="A332" s="49" t="s">
        <v>30</v>
      </c>
      <c r="D332" s="49" t="s">
        <v>4880</v>
      </c>
      <c r="E332" s="49" t="s">
        <v>5555</v>
      </c>
      <c r="F332" s="49" t="s">
        <v>4882</v>
      </c>
      <c r="H332" s="49" t="s">
        <v>4883</v>
      </c>
      <c r="O332" s="49" t="s">
        <v>35122</v>
      </c>
      <c r="P332" s="49" t="s">
        <v>35123</v>
      </c>
      <c r="Q332" s="49" t="s">
        <v>35124</v>
      </c>
      <c r="R332" s="49" t="s">
        <v>35125</v>
      </c>
      <c r="S332" s="49" t="s">
        <v>35126</v>
      </c>
      <c r="T332" s="49" t="s">
        <v>35127</v>
      </c>
      <c r="U332" s="49" t="s">
        <v>35128</v>
      </c>
    </row>
    <row r="333" spans="1:21" x14ac:dyDescent="0.2">
      <c r="A333" s="49" t="s">
        <v>30</v>
      </c>
      <c r="D333" s="49" t="s">
        <v>1330</v>
      </c>
      <c r="G333" s="49" t="s">
        <v>13894</v>
      </c>
      <c r="H333" s="49" t="s">
        <v>1331</v>
      </c>
      <c r="I333" s="49" t="s">
        <v>1332</v>
      </c>
      <c r="J333" s="49" t="s">
        <v>1333</v>
      </c>
      <c r="K333" s="49" t="s">
        <v>1334</v>
      </c>
      <c r="L333" s="49" t="s">
        <v>1335</v>
      </c>
      <c r="M333" s="49" t="s">
        <v>1336</v>
      </c>
      <c r="N333" s="49" t="s">
        <v>1337</v>
      </c>
      <c r="O333" s="49" t="s">
        <v>13895</v>
      </c>
      <c r="P333" s="49" t="s">
        <v>13896</v>
      </c>
      <c r="Q333" s="49" t="s">
        <v>13897</v>
      </c>
      <c r="R333" s="49" t="s">
        <v>13898</v>
      </c>
      <c r="S333" s="49" t="s">
        <v>13899</v>
      </c>
      <c r="T333" s="49" t="s">
        <v>13900</v>
      </c>
    </row>
    <row r="334" spans="1:21" x14ac:dyDescent="0.2">
      <c r="A334" s="49" t="s">
        <v>30</v>
      </c>
    </row>
    <row r="335" spans="1:21" x14ac:dyDescent="0.2">
      <c r="A335" s="49" t="s">
        <v>30</v>
      </c>
      <c r="E335" s="49" t="s">
        <v>31</v>
      </c>
      <c r="F335" s="49" t="s">
        <v>31</v>
      </c>
      <c r="G335" s="49" t="s">
        <v>31</v>
      </c>
      <c r="J335" s="49" t="s">
        <v>31</v>
      </c>
      <c r="K335" s="49" t="s">
        <v>31</v>
      </c>
      <c r="L335" s="49" t="s">
        <v>31</v>
      </c>
      <c r="M335" s="49" t="s">
        <v>31</v>
      </c>
    </row>
    <row r="336" spans="1:21" x14ac:dyDescent="0.2">
      <c r="A336" s="49" t="s">
        <v>30</v>
      </c>
      <c r="D336" s="49" t="s">
        <v>35129</v>
      </c>
      <c r="E336" s="49" t="s">
        <v>5805</v>
      </c>
      <c r="F336" s="49" t="s">
        <v>35130</v>
      </c>
      <c r="H336" s="49" t="s">
        <v>35131</v>
      </c>
      <c r="O336" s="49" t="s">
        <v>35132</v>
      </c>
      <c r="P336" s="49" t="s">
        <v>35133</v>
      </c>
      <c r="Q336" s="49" t="s">
        <v>35134</v>
      </c>
      <c r="R336" s="49" t="s">
        <v>35135</v>
      </c>
      <c r="S336" s="49" t="s">
        <v>35136</v>
      </c>
      <c r="T336" s="49" t="s">
        <v>35137</v>
      </c>
      <c r="U336" s="49" t="s">
        <v>35138</v>
      </c>
    </row>
    <row r="337" spans="1:21" x14ac:dyDescent="0.2">
      <c r="A337" s="49" t="s">
        <v>30</v>
      </c>
      <c r="D337" s="49" t="s">
        <v>4906</v>
      </c>
      <c r="G337" s="49" t="s">
        <v>35139</v>
      </c>
      <c r="H337" s="49" t="s">
        <v>4907</v>
      </c>
      <c r="I337" s="49" t="s">
        <v>4908</v>
      </c>
      <c r="J337" s="49" t="s">
        <v>4909</v>
      </c>
      <c r="K337" s="49" t="s">
        <v>4910</v>
      </c>
      <c r="L337" s="49" t="s">
        <v>4911</v>
      </c>
      <c r="M337" s="49" t="s">
        <v>4912</v>
      </c>
      <c r="N337" s="49" t="s">
        <v>4913</v>
      </c>
      <c r="O337" s="49" t="s">
        <v>34666</v>
      </c>
      <c r="P337" s="49" t="s">
        <v>34667</v>
      </c>
      <c r="Q337" s="49" t="s">
        <v>34668</v>
      </c>
      <c r="R337" s="49" t="s">
        <v>34669</v>
      </c>
      <c r="S337" s="49" t="s">
        <v>34670</v>
      </c>
      <c r="T337" s="49" t="s">
        <v>34671</v>
      </c>
    </row>
    <row r="338" spans="1:21" x14ac:dyDescent="0.2">
      <c r="A338" s="49" t="s">
        <v>30</v>
      </c>
      <c r="D338" s="49" t="s">
        <v>2177</v>
      </c>
      <c r="G338" s="49" t="s">
        <v>16000</v>
      </c>
      <c r="H338" s="49" t="s">
        <v>2178</v>
      </c>
      <c r="I338" s="49" t="s">
        <v>2179</v>
      </c>
      <c r="J338" s="49" t="s">
        <v>2180</v>
      </c>
      <c r="K338" s="49" t="s">
        <v>2181</v>
      </c>
      <c r="L338" s="49" t="s">
        <v>2182</v>
      </c>
      <c r="M338" s="49" t="s">
        <v>2183</v>
      </c>
      <c r="N338" s="49" t="s">
        <v>2184</v>
      </c>
      <c r="O338" s="49" t="s">
        <v>9792</v>
      </c>
      <c r="P338" s="49" t="s">
        <v>9793</v>
      </c>
      <c r="Q338" s="49" t="s">
        <v>9794</v>
      </c>
      <c r="R338" s="49" t="s">
        <v>9795</v>
      </c>
      <c r="S338" s="49" t="s">
        <v>9796</v>
      </c>
      <c r="T338" s="49" t="s">
        <v>9797</v>
      </c>
    </row>
    <row r="339" spans="1:21" x14ac:dyDescent="0.2">
      <c r="A339" s="49" t="s">
        <v>30</v>
      </c>
    </row>
    <row r="340" spans="1:21" x14ac:dyDescent="0.2">
      <c r="A340" s="49" t="s">
        <v>30</v>
      </c>
      <c r="E340" s="49" t="s">
        <v>31</v>
      </c>
      <c r="F340" s="49" t="s">
        <v>31</v>
      </c>
      <c r="G340" s="49" t="s">
        <v>31</v>
      </c>
      <c r="J340" s="49" t="s">
        <v>31</v>
      </c>
      <c r="K340" s="49" t="s">
        <v>31</v>
      </c>
      <c r="L340" s="49" t="s">
        <v>31</v>
      </c>
      <c r="M340" s="49" t="s">
        <v>31</v>
      </c>
    </row>
    <row r="341" spans="1:21" x14ac:dyDescent="0.2">
      <c r="A341" s="49" t="s">
        <v>30</v>
      </c>
      <c r="D341" s="49" t="s">
        <v>9798</v>
      </c>
      <c r="E341" s="49" t="s">
        <v>5985</v>
      </c>
      <c r="F341" s="49" t="s">
        <v>9799</v>
      </c>
      <c r="H341" s="49" t="s">
        <v>9800</v>
      </c>
      <c r="O341" s="49" t="s">
        <v>35140</v>
      </c>
      <c r="P341" s="49" t="s">
        <v>35141</v>
      </c>
      <c r="Q341" s="49" t="s">
        <v>35142</v>
      </c>
      <c r="R341" s="49" t="s">
        <v>35143</v>
      </c>
      <c r="S341" s="49" t="s">
        <v>35144</v>
      </c>
      <c r="T341" s="49" t="s">
        <v>35145</v>
      </c>
      <c r="U341" s="49" t="s">
        <v>35146</v>
      </c>
    </row>
    <row r="342" spans="1:21" x14ac:dyDescent="0.2">
      <c r="A342" s="49" t="s">
        <v>30</v>
      </c>
      <c r="D342" s="49" t="s">
        <v>1362</v>
      </c>
      <c r="G342" s="49" t="s">
        <v>9801</v>
      </c>
      <c r="H342" s="49" t="s">
        <v>1363</v>
      </c>
      <c r="I342" s="49" t="s">
        <v>1364</v>
      </c>
      <c r="J342" s="49" t="s">
        <v>1365</v>
      </c>
      <c r="K342" s="49" t="s">
        <v>1366</v>
      </c>
      <c r="L342" s="49" t="s">
        <v>1367</v>
      </c>
      <c r="M342" s="49" t="s">
        <v>1368</v>
      </c>
      <c r="N342" s="49" t="s">
        <v>1369</v>
      </c>
      <c r="O342" s="49" t="s">
        <v>9802</v>
      </c>
      <c r="P342" s="49" t="s">
        <v>9803</v>
      </c>
      <c r="Q342" s="49" t="s">
        <v>9804</v>
      </c>
      <c r="R342" s="49" t="s">
        <v>9805</v>
      </c>
      <c r="S342" s="49" t="s">
        <v>9806</v>
      </c>
      <c r="T342" s="49" t="s">
        <v>9807</v>
      </c>
    </row>
    <row r="343" spans="1:21" x14ac:dyDescent="0.2">
      <c r="A343" s="49" t="s">
        <v>30</v>
      </c>
      <c r="D343" s="49" t="s">
        <v>1370</v>
      </c>
      <c r="G343" s="49" t="s">
        <v>16100</v>
      </c>
      <c r="H343" s="49" t="s">
        <v>1371</v>
      </c>
      <c r="I343" s="49" t="s">
        <v>1372</v>
      </c>
      <c r="J343" s="49" t="s">
        <v>1373</v>
      </c>
      <c r="K343" s="49" t="s">
        <v>1374</v>
      </c>
      <c r="L343" s="49" t="s">
        <v>1375</v>
      </c>
      <c r="M343" s="49" t="s">
        <v>1376</v>
      </c>
      <c r="N343" s="49" t="s">
        <v>1377</v>
      </c>
      <c r="O343" s="49" t="s">
        <v>9808</v>
      </c>
      <c r="P343" s="49" t="s">
        <v>9809</v>
      </c>
      <c r="Q343" s="49" t="s">
        <v>9810</v>
      </c>
      <c r="R343" s="49" t="s">
        <v>9811</v>
      </c>
      <c r="S343" s="49" t="s">
        <v>9812</v>
      </c>
      <c r="T343" s="49" t="s">
        <v>9813</v>
      </c>
    </row>
    <row r="344" spans="1:21" x14ac:dyDescent="0.2">
      <c r="A344" s="49" t="s">
        <v>30</v>
      </c>
      <c r="D344" s="49" t="s">
        <v>1378</v>
      </c>
      <c r="G344" s="49" t="s">
        <v>16114</v>
      </c>
      <c r="H344" s="49" t="s">
        <v>1379</v>
      </c>
      <c r="I344" s="49" t="s">
        <v>1380</v>
      </c>
      <c r="J344" s="49" t="s">
        <v>1381</v>
      </c>
      <c r="K344" s="49" t="s">
        <v>1382</v>
      </c>
      <c r="L344" s="49" t="s">
        <v>1383</v>
      </c>
      <c r="M344" s="49" t="s">
        <v>1384</v>
      </c>
      <c r="N344" s="49" t="s">
        <v>1385</v>
      </c>
      <c r="O344" s="49" t="s">
        <v>13309</v>
      </c>
      <c r="P344" s="49" t="s">
        <v>13310</v>
      </c>
      <c r="Q344" s="49" t="s">
        <v>13311</v>
      </c>
      <c r="R344" s="49" t="s">
        <v>13312</v>
      </c>
      <c r="S344" s="49" t="s">
        <v>13313</v>
      </c>
      <c r="T344" s="49" t="s">
        <v>13314</v>
      </c>
    </row>
    <row r="345" spans="1:21" x14ac:dyDescent="0.2">
      <c r="A345" s="49" t="s">
        <v>30</v>
      </c>
      <c r="D345" s="49" t="s">
        <v>2637</v>
      </c>
      <c r="G345" s="49" t="s">
        <v>16119</v>
      </c>
      <c r="H345" s="49" t="s">
        <v>2638</v>
      </c>
      <c r="I345" s="49" t="s">
        <v>2639</v>
      </c>
      <c r="J345" s="49" t="s">
        <v>2640</v>
      </c>
      <c r="K345" s="49" t="s">
        <v>2641</v>
      </c>
      <c r="L345" s="49" t="s">
        <v>2642</v>
      </c>
      <c r="M345" s="49" t="s">
        <v>2643</v>
      </c>
      <c r="N345" s="49" t="s">
        <v>2644</v>
      </c>
      <c r="O345" s="49" t="s">
        <v>9309</v>
      </c>
      <c r="P345" s="49" t="s">
        <v>9310</v>
      </c>
      <c r="Q345" s="49" t="s">
        <v>9311</v>
      </c>
      <c r="R345" s="49" t="s">
        <v>9312</v>
      </c>
      <c r="S345" s="49" t="s">
        <v>9313</v>
      </c>
      <c r="T345" s="49" t="s">
        <v>9314</v>
      </c>
    </row>
    <row r="346" spans="1:21" x14ac:dyDescent="0.2">
      <c r="A346" s="49" t="s">
        <v>30</v>
      </c>
    </row>
    <row r="347" spans="1:21" x14ac:dyDescent="0.2">
      <c r="A347" s="49" t="s">
        <v>30</v>
      </c>
      <c r="E347" s="49" t="s">
        <v>31</v>
      </c>
      <c r="F347" s="49" t="s">
        <v>31</v>
      </c>
      <c r="G347" s="49" t="s">
        <v>31</v>
      </c>
      <c r="J347" s="49" t="s">
        <v>31</v>
      </c>
      <c r="K347" s="49" t="s">
        <v>31</v>
      </c>
      <c r="L347" s="49" t="s">
        <v>31</v>
      </c>
      <c r="M347" s="49" t="s">
        <v>31</v>
      </c>
    </row>
    <row r="348" spans="1:21" x14ac:dyDescent="0.2">
      <c r="A348" s="49" t="s">
        <v>30</v>
      </c>
      <c r="D348" s="49" t="s">
        <v>13767</v>
      </c>
      <c r="E348" s="49" t="s">
        <v>6114</v>
      </c>
      <c r="F348" s="49" t="s">
        <v>13768</v>
      </c>
      <c r="H348" s="49" t="s">
        <v>13769</v>
      </c>
      <c r="O348" s="49" t="s">
        <v>35147</v>
      </c>
      <c r="P348" s="49" t="s">
        <v>35148</v>
      </c>
      <c r="Q348" s="49" t="s">
        <v>35149</v>
      </c>
      <c r="R348" s="49" t="s">
        <v>35150</v>
      </c>
      <c r="S348" s="49" t="s">
        <v>35151</v>
      </c>
      <c r="T348" s="49" t="s">
        <v>35152</v>
      </c>
      <c r="U348" s="49" t="s">
        <v>35153</v>
      </c>
    </row>
    <row r="349" spans="1:21" x14ac:dyDescent="0.2">
      <c r="A349" s="49" t="s">
        <v>30</v>
      </c>
      <c r="D349" s="49" t="s">
        <v>10470</v>
      </c>
      <c r="G349" s="49" t="s">
        <v>13770</v>
      </c>
      <c r="H349" s="49" t="s">
        <v>10471</v>
      </c>
      <c r="I349" s="49" t="s">
        <v>10472</v>
      </c>
      <c r="J349" s="49" t="s">
        <v>10473</v>
      </c>
      <c r="K349" s="49" t="s">
        <v>10474</v>
      </c>
      <c r="L349" s="49" t="s">
        <v>10475</v>
      </c>
      <c r="M349" s="49" t="s">
        <v>10476</v>
      </c>
      <c r="N349" s="49" t="s">
        <v>10477</v>
      </c>
      <c r="O349" s="49" t="s">
        <v>10478</v>
      </c>
      <c r="P349" s="49" t="s">
        <v>10479</v>
      </c>
      <c r="Q349" s="49" t="s">
        <v>10480</v>
      </c>
      <c r="R349" s="49" t="s">
        <v>10481</v>
      </c>
      <c r="S349" s="49" t="s">
        <v>10482</v>
      </c>
      <c r="T349" s="49" t="s">
        <v>10483</v>
      </c>
    </row>
    <row r="350" spans="1:21" x14ac:dyDescent="0.2">
      <c r="A350" s="49" t="s">
        <v>30</v>
      </c>
      <c r="D350" s="49" t="s">
        <v>1386</v>
      </c>
      <c r="G350" s="49" t="s">
        <v>16157</v>
      </c>
      <c r="H350" s="49" t="s">
        <v>1387</v>
      </c>
      <c r="I350" s="49" t="s">
        <v>1388</v>
      </c>
      <c r="J350" s="49" t="s">
        <v>1389</v>
      </c>
      <c r="K350" s="49" t="s">
        <v>1390</v>
      </c>
      <c r="L350" s="49" t="s">
        <v>1391</v>
      </c>
      <c r="M350" s="49" t="s">
        <v>1392</v>
      </c>
      <c r="N350" s="49" t="s">
        <v>1393</v>
      </c>
      <c r="O350" s="49" t="s">
        <v>35857</v>
      </c>
      <c r="P350" s="49" t="s">
        <v>35858</v>
      </c>
      <c r="Q350" s="49" t="s">
        <v>35859</v>
      </c>
      <c r="R350" s="49" t="s">
        <v>35860</v>
      </c>
      <c r="S350" s="49" t="s">
        <v>35861</v>
      </c>
      <c r="T350" s="49" t="s">
        <v>35862</v>
      </c>
    </row>
    <row r="351" spans="1:21" x14ac:dyDescent="0.2">
      <c r="A351" s="49" t="s">
        <v>30</v>
      </c>
      <c r="D351" s="49" t="s">
        <v>1394</v>
      </c>
      <c r="G351" s="49" t="s">
        <v>16174</v>
      </c>
      <c r="H351" s="49" t="s">
        <v>1395</v>
      </c>
      <c r="I351" s="49" t="s">
        <v>1396</v>
      </c>
      <c r="J351" s="49" t="s">
        <v>1397</v>
      </c>
      <c r="K351" s="49" t="s">
        <v>1398</v>
      </c>
      <c r="L351" s="49" t="s">
        <v>1399</v>
      </c>
      <c r="M351" s="49" t="s">
        <v>1400</v>
      </c>
      <c r="N351" s="49" t="s">
        <v>1401</v>
      </c>
      <c r="O351" s="49" t="s">
        <v>9321</v>
      </c>
      <c r="P351" s="49" t="s">
        <v>9322</v>
      </c>
      <c r="Q351" s="49" t="s">
        <v>9323</v>
      </c>
      <c r="R351" s="49" t="s">
        <v>9324</v>
      </c>
      <c r="S351" s="49" t="s">
        <v>9325</v>
      </c>
      <c r="T351" s="49" t="s">
        <v>9326</v>
      </c>
    </row>
    <row r="352" spans="1:21" x14ac:dyDescent="0.2">
      <c r="A352" s="49" t="s">
        <v>30</v>
      </c>
    </row>
    <row r="353" spans="1:21" x14ac:dyDescent="0.2">
      <c r="A353" s="49" t="s">
        <v>30</v>
      </c>
      <c r="E353" s="49" t="s">
        <v>31</v>
      </c>
      <c r="F353" s="49" t="s">
        <v>31</v>
      </c>
      <c r="G353" s="49" t="s">
        <v>31</v>
      </c>
      <c r="J353" s="49" t="s">
        <v>31</v>
      </c>
      <c r="K353" s="49" t="s">
        <v>31</v>
      </c>
      <c r="L353" s="49" t="s">
        <v>31</v>
      </c>
      <c r="M353" s="49" t="s">
        <v>31</v>
      </c>
    </row>
    <row r="354" spans="1:21" x14ac:dyDescent="0.2">
      <c r="A354" s="49" t="s">
        <v>30</v>
      </c>
      <c r="D354" s="49" t="s">
        <v>9327</v>
      </c>
      <c r="E354" s="49" t="s">
        <v>6242</v>
      </c>
      <c r="F354" s="49" t="s">
        <v>9328</v>
      </c>
      <c r="H354" s="49" t="s">
        <v>9329</v>
      </c>
      <c r="O354" s="49" t="s">
        <v>35154</v>
      </c>
      <c r="P354" s="49" t="s">
        <v>35155</v>
      </c>
      <c r="Q354" s="49" t="s">
        <v>35156</v>
      </c>
      <c r="R354" s="49" t="s">
        <v>35157</v>
      </c>
      <c r="S354" s="49" t="s">
        <v>35158</v>
      </c>
      <c r="T354" s="49" t="s">
        <v>35159</v>
      </c>
      <c r="U354" s="49" t="s">
        <v>35160</v>
      </c>
    </row>
    <row r="355" spans="1:21" x14ac:dyDescent="0.2">
      <c r="A355" s="49" t="s">
        <v>30</v>
      </c>
      <c r="D355" s="49" t="s">
        <v>1402</v>
      </c>
      <c r="G355" s="49" t="s">
        <v>9330</v>
      </c>
      <c r="H355" s="49" t="s">
        <v>1403</v>
      </c>
      <c r="I355" s="49" t="s">
        <v>1404</v>
      </c>
      <c r="J355" s="49" t="s">
        <v>1405</v>
      </c>
      <c r="K355" s="49" t="s">
        <v>1406</v>
      </c>
      <c r="L355" s="49" t="s">
        <v>1407</v>
      </c>
      <c r="M355" s="49" t="s">
        <v>1408</v>
      </c>
      <c r="N355" s="49" t="s">
        <v>1409</v>
      </c>
      <c r="O355" s="49" t="s">
        <v>9331</v>
      </c>
      <c r="P355" s="49" t="s">
        <v>9332</v>
      </c>
      <c r="Q355" s="49" t="s">
        <v>9333</v>
      </c>
      <c r="R355" s="49" t="s">
        <v>9334</v>
      </c>
      <c r="S355" s="49" t="s">
        <v>9335</v>
      </c>
      <c r="T355" s="49" t="s">
        <v>9336</v>
      </c>
    </row>
    <row r="356" spans="1:21" x14ac:dyDescent="0.2">
      <c r="A356" s="49" t="s">
        <v>30</v>
      </c>
      <c r="D356" s="49" t="s">
        <v>1410</v>
      </c>
      <c r="G356" s="49" t="s">
        <v>16221</v>
      </c>
      <c r="H356" s="49" t="s">
        <v>1411</v>
      </c>
      <c r="I356" s="49" t="s">
        <v>1412</v>
      </c>
      <c r="J356" s="49" t="s">
        <v>1413</v>
      </c>
      <c r="K356" s="49" t="s">
        <v>1414</v>
      </c>
      <c r="L356" s="49" t="s">
        <v>1415</v>
      </c>
      <c r="M356" s="49" t="s">
        <v>1416</v>
      </c>
      <c r="N356" s="49" t="s">
        <v>1417</v>
      </c>
      <c r="O356" s="49" t="s">
        <v>34660</v>
      </c>
      <c r="P356" s="49" t="s">
        <v>34661</v>
      </c>
      <c r="Q356" s="49" t="s">
        <v>34662</v>
      </c>
      <c r="R356" s="49" t="s">
        <v>34663</v>
      </c>
      <c r="S356" s="49" t="s">
        <v>34664</v>
      </c>
      <c r="T356" s="49" t="s">
        <v>34665</v>
      </c>
    </row>
    <row r="357" spans="1:21" x14ac:dyDescent="0.2">
      <c r="A357" s="49" t="s">
        <v>30</v>
      </c>
      <c r="D357" s="49" t="s">
        <v>1418</v>
      </c>
      <c r="G357" s="49" t="s">
        <v>16226</v>
      </c>
      <c r="H357" s="49" t="s">
        <v>1419</v>
      </c>
      <c r="I357" s="49" t="s">
        <v>1420</v>
      </c>
      <c r="J357" s="49" t="s">
        <v>1421</v>
      </c>
      <c r="K357" s="49" t="s">
        <v>1422</v>
      </c>
      <c r="L357" s="49" t="s">
        <v>1423</v>
      </c>
      <c r="M357" s="49" t="s">
        <v>1424</v>
      </c>
      <c r="N357" s="49" t="s">
        <v>1425</v>
      </c>
      <c r="O357" s="49" t="s">
        <v>32705</v>
      </c>
      <c r="P357" s="49" t="s">
        <v>32706</v>
      </c>
      <c r="Q357" s="49" t="s">
        <v>32707</v>
      </c>
      <c r="R357" s="49" t="s">
        <v>32708</v>
      </c>
      <c r="S357" s="49" t="s">
        <v>32709</v>
      </c>
      <c r="T357" s="49" t="s">
        <v>32710</v>
      </c>
    </row>
    <row r="358" spans="1:21" x14ac:dyDescent="0.2">
      <c r="A358" s="49" t="s">
        <v>30</v>
      </c>
    </row>
    <row r="359" spans="1:21" x14ac:dyDescent="0.2">
      <c r="A359" s="49" t="s">
        <v>30</v>
      </c>
      <c r="E359" s="49" t="s">
        <v>31</v>
      </c>
      <c r="F359" s="49" t="s">
        <v>31</v>
      </c>
      <c r="G359" s="49" t="s">
        <v>31</v>
      </c>
      <c r="J359" s="49" t="s">
        <v>31</v>
      </c>
      <c r="K359" s="49" t="s">
        <v>31</v>
      </c>
      <c r="L359" s="49" t="s">
        <v>31</v>
      </c>
      <c r="M359" s="49" t="s">
        <v>31</v>
      </c>
    </row>
    <row r="360" spans="1:21" x14ac:dyDescent="0.2">
      <c r="A360" s="49" t="s">
        <v>30</v>
      </c>
      <c r="D360" s="49" t="s">
        <v>4950</v>
      </c>
      <c r="E360" s="49" t="s">
        <v>6351</v>
      </c>
      <c r="F360" s="49" t="s">
        <v>4952</v>
      </c>
      <c r="H360" s="49" t="s">
        <v>4953</v>
      </c>
      <c r="O360" s="49" t="s">
        <v>35161</v>
      </c>
      <c r="P360" s="49" t="s">
        <v>35162</v>
      </c>
      <c r="Q360" s="49" t="s">
        <v>35163</v>
      </c>
      <c r="R360" s="49" t="s">
        <v>35164</v>
      </c>
      <c r="S360" s="49" t="s">
        <v>35165</v>
      </c>
      <c r="T360" s="49" t="s">
        <v>35166</v>
      </c>
      <c r="U360" s="49" t="s">
        <v>35167</v>
      </c>
    </row>
    <row r="361" spans="1:21" x14ac:dyDescent="0.2">
      <c r="A361" s="49" t="s">
        <v>30</v>
      </c>
      <c r="D361" s="49" t="s">
        <v>4954</v>
      </c>
      <c r="G361" s="49" t="s">
        <v>32718</v>
      </c>
      <c r="H361" s="49" t="s">
        <v>4955</v>
      </c>
      <c r="I361" s="49" t="s">
        <v>4956</v>
      </c>
      <c r="J361" s="49" t="s">
        <v>4957</v>
      </c>
      <c r="K361" s="49" t="s">
        <v>4958</v>
      </c>
      <c r="L361" s="49" t="s">
        <v>4959</v>
      </c>
      <c r="M361" s="49" t="s">
        <v>4960</v>
      </c>
      <c r="N361" s="49" t="s">
        <v>4961</v>
      </c>
      <c r="O361" s="49" t="s">
        <v>10224</v>
      </c>
      <c r="P361" s="49" t="s">
        <v>10225</v>
      </c>
      <c r="Q361" s="49" t="s">
        <v>10226</v>
      </c>
      <c r="R361" s="49" t="s">
        <v>10227</v>
      </c>
      <c r="S361" s="49" t="s">
        <v>10228</v>
      </c>
      <c r="T361" s="49" t="s">
        <v>10229</v>
      </c>
    </row>
    <row r="362" spans="1:21" x14ac:dyDescent="0.2">
      <c r="A362" s="49" t="s">
        <v>30</v>
      </c>
    </row>
    <row r="363" spans="1:21" x14ac:dyDescent="0.2">
      <c r="A363" s="49" t="s">
        <v>30</v>
      </c>
      <c r="E363" s="49" t="s">
        <v>31</v>
      </c>
      <c r="F363" s="49" t="s">
        <v>31</v>
      </c>
      <c r="G363" s="49" t="s">
        <v>31</v>
      </c>
      <c r="J363" s="49" t="s">
        <v>31</v>
      </c>
      <c r="K363" s="49" t="s">
        <v>31</v>
      </c>
      <c r="L363" s="49" t="s">
        <v>31</v>
      </c>
      <c r="M363" s="49" t="s">
        <v>31</v>
      </c>
    </row>
    <row r="364" spans="1:21" x14ac:dyDescent="0.2">
      <c r="A364" s="49" t="s">
        <v>30</v>
      </c>
      <c r="D364" s="49" t="s">
        <v>13513</v>
      </c>
      <c r="E364" s="49" t="s">
        <v>6446</v>
      </c>
      <c r="F364" s="49" t="s">
        <v>13514</v>
      </c>
      <c r="H364" s="49" t="s">
        <v>13515</v>
      </c>
      <c r="O364" s="49" t="s">
        <v>13516</v>
      </c>
      <c r="P364" s="49" t="s">
        <v>13517</v>
      </c>
      <c r="Q364" s="49" t="s">
        <v>13518</v>
      </c>
      <c r="R364" s="49" t="s">
        <v>13519</v>
      </c>
      <c r="S364" s="49" t="s">
        <v>13520</v>
      </c>
      <c r="T364" s="49" t="s">
        <v>13521</v>
      </c>
      <c r="U364" s="49" t="s">
        <v>13522</v>
      </c>
    </row>
    <row r="365" spans="1:21" x14ac:dyDescent="0.2">
      <c r="A365" s="49" t="s">
        <v>30</v>
      </c>
      <c r="D365" s="49" t="s">
        <v>1450</v>
      </c>
      <c r="G365" s="49" t="s">
        <v>13523</v>
      </c>
      <c r="H365" s="49" t="s">
        <v>1451</v>
      </c>
      <c r="I365" s="49" t="s">
        <v>1452</v>
      </c>
      <c r="J365" s="49" t="s">
        <v>1453</v>
      </c>
      <c r="K365" s="49" t="s">
        <v>1454</v>
      </c>
      <c r="L365" s="49" t="s">
        <v>1455</v>
      </c>
      <c r="M365" s="49" t="s">
        <v>1456</v>
      </c>
      <c r="N365" s="49" t="s">
        <v>1457</v>
      </c>
      <c r="O365" s="49" t="s">
        <v>9365</v>
      </c>
      <c r="P365" s="49" t="s">
        <v>9366</v>
      </c>
      <c r="Q365" s="49" t="s">
        <v>9367</v>
      </c>
      <c r="R365" s="49" t="s">
        <v>9368</v>
      </c>
      <c r="S365" s="49" t="s">
        <v>9369</v>
      </c>
      <c r="T365" s="49" t="s">
        <v>9370</v>
      </c>
    </row>
    <row r="366" spans="1:21" x14ac:dyDescent="0.2">
      <c r="A366" s="49" t="s">
        <v>30</v>
      </c>
      <c r="D366" s="49" t="s">
        <v>1458</v>
      </c>
      <c r="G366" s="49" t="s">
        <v>16425</v>
      </c>
      <c r="H366" s="49" t="s">
        <v>1459</v>
      </c>
      <c r="I366" s="49" t="s">
        <v>1460</v>
      </c>
      <c r="J366" s="49" t="s">
        <v>1461</v>
      </c>
      <c r="K366" s="49" t="s">
        <v>1462</v>
      </c>
      <c r="L366" s="49" t="s">
        <v>1463</v>
      </c>
      <c r="M366" s="49" t="s">
        <v>1464</v>
      </c>
      <c r="N366" s="49" t="s">
        <v>1465</v>
      </c>
      <c r="O366" s="49" t="s">
        <v>10236</v>
      </c>
      <c r="P366" s="49" t="s">
        <v>10237</v>
      </c>
      <c r="Q366" s="49" t="s">
        <v>10238</v>
      </c>
      <c r="R366" s="49" t="s">
        <v>10239</v>
      </c>
      <c r="S366" s="49" t="s">
        <v>10240</v>
      </c>
      <c r="T366" s="49" t="s">
        <v>10241</v>
      </c>
    </row>
    <row r="367" spans="1:21" x14ac:dyDescent="0.2">
      <c r="A367" s="49" t="s">
        <v>30</v>
      </c>
    </row>
    <row r="368" spans="1:21" x14ac:dyDescent="0.2">
      <c r="A368" s="49" t="s">
        <v>30</v>
      </c>
      <c r="E368" s="49" t="s">
        <v>31</v>
      </c>
      <c r="F368" s="49" t="s">
        <v>31</v>
      </c>
      <c r="G368" s="49" t="s">
        <v>31</v>
      </c>
      <c r="J368" s="49" t="s">
        <v>31</v>
      </c>
      <c r="K368" s="49" t="s">
        <v>31</v>
      </c>
      <c r="L368" s="49" t="s">
        <v>31</v>
      </c>
      <c r="M368" s="49" t="s">
        <v>31</v>
      </c>
    </row>
    <row r="369" spans="1:21" x14ac:dyDescent="0.2">
      <c r="A369" s="49" t="s">
        <v>30</v>
      </c>
      <c r="D369" s="49" t="s">
        <v>13524</v>
      </c>
      <c r="E369" s="49" t="s">
        <v>6601</v>
      </c>
      <c r="F369" s="49" t="s">
        <v>13525</v>
      </c>
      <c r="H369" s="49" t="s">
        <v>13526</v>
      </c>
      <c r="O369" s="49" t="s">
        <v>35168</v>
      </c>
      <c r="P369" s="49" t="s">
        <v>35169</v>
      </c>
      <c r="Q369" s="49" t="s">
        <v>35170</v>
      </c>
      <c r="R369" s="49" t="s">
        <v>35171</v>
      </c>
      <c r="S369" s="49" t="s">
        <v>35172</v>
      </c>
      <c r="T369" s="49" t="s">
        <v>35173</v>
      </c>
      <c r="U369" s="49" t="s">
        <v>35174</v>
      </c>
    </row>
    <row r="370" spans="1:21" x14ac:dyDescent="0.2">
      <c r="A370" s="49" t="s">
        <v>30</v>
      </c>
      <c r="D370" s="49" t="s">
        <v>2193</v>
      </c>
      <c r="G370" s="49" t="s">
        <v>13527</v>
      </c>
      <c r="H370" s="49" t="s">
        <v>2194</v>
      </c>
      <c r="I370" s="49" t="s">
        <v>2195</v>
      </c>
      <c r="J370" s="49" t="s">
        <v>2196</v>
      </c>
      <c r="K370" s="49" t="s">
        <v>2197</v>
      </c>
      <c r="L370" s="49" t="s">
        <v>2198</v>
      </c>
      <c r="M370" s="49" t="s">
        <v>2199</v>
      </c>
      <c r="N370" s="49" t="s">
        <v>2200</v>
      </c>
      <c r="O370" s="49" t="s">
        <v>9371</v>
      </c>
      <c r="P370" s="49" t="s">
        <v>9372</v>
      </c>
      <c r="Q370" s="49" t="s">
        <v>9373</v>
      </c>
      <c r="R370" s="49" t="s">
        <v>9374</v>
      </c>
      <c r="S370" s="49" t="s">
        <v>9375</v>
      </c>
      <c r="T370" s="49" t="s">
        <v>9376</v>
      </c>
    </row>
    <row r="371" spans="1:21" x14ac:dyDescent="0.2">
      <c r="A371" s="49" t="s">
        <v>30</v>
      </c>
      <c r="D371" s="49" t="s">
        <v>1474</v>
      </c>
      <c r="G371" s="49" t="s">
        <v>16490</v>
      </c>
      <c r="H371" s="49" t="s">
        <v>1475</v>
      </c>
      <c r="I371" s="49" t="s">
        <v>1476</v>
      </c>
      <c r="J371" s="49" t="s">
        <v>1477</v>
      </c>
      <c r="K371" s="49" t="s">
        <v>1478</v>
      </c>
      <c r="L371" s="49" t="s">
        <v>1479</v>
      </c>
      <c r="M371" s="49" t="s">
        <v>1480</v>
      </c>
      <c r="N371" s="49" t="s">
        <v>1481</v>
      </c>
      <c r="O371" s="49" t="s">
        <v>10248</v>
      </c>
      <c r="P371" s="49" t="s">
        <v>10249</v>
      </c>
      <c r="Q371" s="49" t="s">
        <v>10250</v>
      </c>
      <c r="R371" s="49" t="s">
        <v>10251</v>
      </c>
      <c r="S371" s="49" t="s">
        <v>10252</v>
      </c>
      <c r="T371" s="49" t="s">
        <v>10253</v>
      </c>
    </row>
    <row r="372" spans="1:21" x14ac:dyDescent="0.2">
      <c r="A372" s="49" t="s">
        <v>30</v>
      </c>
      <c r="D372" s="49" t="s">
        <v>14519</v>
      </c>
      <c r="G372" s="49" t="s">
        <v>16550</v>
      </c>
      <c r="H372" s="49" t="s">
        <v>31482</v>
      </c>
      <c r="I372" s="49" t="s">
        <v>31485</v>
      </c>
      <c r="J372" s="49" t="s">
        <v>31524</v>
      </c>
      <c r="K372" s="49" t="s">
        <v>31527</v>
      </c>
      <c r="L372" s="49" t="s">
        <v>14521</v>
      </c>
      <c r="M372" s="49" t="s">
        <v>14522</v>
      </c>
      <c r="N372" s="49" t="s">
        <v>14523</v>
      </c>
      <c r="O372" s="49" t="s">
        <v>32755</v>
      </c>
      <c r="P372" s="49" t="s">
        <v>32756</v>
      </c>
      <c r="Q372" s="49" t="s">
        <v>32757</v>
      </c>
      <c r="R372" s="49" t="s">
        <v>32758</v>
      </c>
      <c r="S372" s="49" t="s">
        <v>32759</v>
      </c>
      <c r="T372" s="49" t="s">
        <v>32760</v>
      </c>
    </row>
    <row r="373" spans="1:21" x14ac:dyDescent="0.2">
      <c r="A373" s="49" t="s">
        <v>30</v>
      </c>
      <c r="D373" s="49" t="s">
        <v>14524</v>
      </c>
      <c r="G373" s="49" t="s">
        <v>16585</v>
      </c>
      <c r="H373" s="49" t="s">
        <v>31483</v>
      </c>
      <c r="I373" s="49" t="s">
        <v>31486</v>
      </c>
      <c r="J373" s="49" t="s">
        <v>31525</v>
      </c>
      <c r="K373" s="49" t="s">
        <v>31528</v>
      </c>
      <c r="L373" s="49" t="s">
        <v>14526</v>
      </c>
      <c r="M373" s="49" t="s">
        <v>14527</v>
      </c>
      <c r="N373" s="49" t="s">
        <v>14528</v>
      </c>
      <c r="O373" s="49" t="s">
        <v>35851</v>
      </c>
      <c r="P373" s="49" t="s">
        <v>35852</v>
      </c>
      <c r="Q373" s="49" t="s">
        <v>35853</v>
      </c>
      <c r="R373" s="49" t="s">
        <v>35854</v>
      </c>
      <c r="S373" s="49" t="s">
        <v>35855</v>
      </c>
      <c r="T373" s="49" t="s">
        <v>35856</v>
      </c>
    </row>
    <row r="374" spans="1:21" x14ac:dyDescent="0.2">
      <c r="A374" s="49" t="s">
        <v>30</v>
      </c>
    </row>
    <row r="375" spans="1:21" x14ac:dyDescent="0.2">
      <c r="A375" s="49" t="s">
        <v>30</v>
      </c>
      <c r="E375" s="49" t="s">
        <v>31</v>
      </c>
      <c r="F375" s="49" t="s">
        <v>31</v>
      </c>
      <c r="G375" s="49" t="s">
        <v>31</v>
      </c>
      <c r="J375" s="49" t="s">
        <v>31</v>
      </c>
      <c r="K375" s="49" t="s">
        <v>31</v>
      </c>
      <c r="L375" s="49" t="s">
        <v>31</v>
      </c>
      <c r="M375" s="49" t="s">
        <v>31</v>
      </c>
    </row>
    <row r="376" spans="1:21" x14ac:dyDescent="0.2">
      <c r="A376" s="49" t="s">
        <v>30</v>
      </c>
      <c r="D376" s="49" t="s">
        <v>35175</v>
      </c>
      <c r="E376" s="49" t="s">
        <v>6666</v>
      </c>
      <c r="F376" s="49" t="s">
        <v>35176</v>
      </c>
      <c r="H376" s="49" t="s">
        <v>35177</v>
      </c>
      <c r="O376" s="49" t="s">
        <v>35178</v>
      </c>
      <c r="P376" s="49" t="s">
        <v>35179</v>
      </c>
      <c r="Q376" s="49" t="s">
        <v>35180</v>
      </c>
      <c r="R376" s="49" t="s">
        <v>35181</v>
      </c>
      <c r="S376" s="49" t="s">
        <v>35182</v>
      </c>
      <c r="T376" s="49" t="s">
        <v>35183</v>
      </c>
      <c r="U376" s="49" t="s">
        <v>35184</v>
      </c>
    </row>
    <row r="377" spans="1:21" x14ac:dyDescent="0.2">
      <c r="A377" s="49" t="s">
        <v>30</v>
      </c>
      <c r="D377" s="49" t="s">
        <v>10863</v>
      </c>
      <c r="G377" s="49" t="s">
        <v>35185</v>
      </c>
      <c r="H377" s="49" t="s">
        <v>10864</v>
      </c>
      <c r="I377" s="49" t="s">
        <v>10865</v>
      </c>
      <c r="J377" s="49" t="s">
        <v>10866</v>
      </c>
      <c r="K377" s="49" t="s">
        <v>10867</v>
      </c>
      <c r="L377" s="49" t="s">
        <v>10868</v>
      </c>
      <c r="M377" s="49" t="s">
        <v>10869</v>
      </c>
      <c r="N377" s="49" t="s">
        <v>10870</v>
      </c>
      <c r="O377" s="49" t="s">
        <v>13330</v>
      </c>
      <c r="P377" s="49" t="s">
        <v>13331</v>
      </c>
      <c r="Q377" s="49" t="s">
        <v>13332</v>
      </c>
      <c r="R377" s="49" t="s">
        <v>13333</v>
      </c>
      <c r="S377" s="49" t="s">
        <v>13334</v>
      </c>
      <c r="T377" s="49" t="s">
        <v>13335</v>
      </c>
    </row>
    <row r="378" spans="1:21" x14ac:dyDescent="0.2">
      <c r="A378" s="49" t="s">
        <v>30</v>
      </c>
      <c r="D378" s="49" t="s">
        <v>1482</v>
      </c>
      <c r="G378" s="49" t="s">
        <v>16670</v>
      </c>
      <c r="H378" s="49" t="s">
        <v>1483</v>
      </c>
      <c r="I378" s="49" t="s">
        <v>1484</v>
      </c>
      <c r="J378" s="49" t="s">
        <v>1485</v>
      </c>
      <c r="K378" s="49" t="s">
        <v>1486</v>
      </c>
      <c r="L378" s="49" t="s">
        <v>1487</v>
      </c>
      <c r="M378" s="49" t="s">
        <v>1488</v>
      </c>
      <c r="N378" s="49" t="s">
        <v>1489</v>
      </c>
      <c r="O378" s="49" t="s">
        <v>9820</v>
      </c>
      <c r="P378" s="49" t="s">
        <v>9821</v>
      </c>
      <c r="Q378" s="49" t="s">
        <v>9822</v>
      </c>
      <c r="R378" s="49" t="s">
        <v>9823</v>
      </c>
      <c r="S378" s="49" t="s">
        <v>9824</v>
      </c>
      <c r="T378" s="49" t="s">
        <v>9825</v>
      </c>
    </row>
    <row r="379" spans="1:21" x14ac:dyDescent="0.2">
      <c r="A379" s="49" t="s">
        <v>30</v>
      </c>
      <c r="D379" s="49" t="s">
        <v>1490</v>
      </c>
      <c r="G379" s="49" t="s">
        <v>16675</v>
      </c>
      <c r="H379" s="49" t="s">
        <v>1491</v>
      </c>
      <c r="I379" s="49" t="s">
        <v>1492</v>
      </c>
      <c r="J379" s="49" t="s">
        <v>1493</v>
      </c>
      <c r="K379" s="49" t="s">
        <v>1494</v>
      </c>
      <c r="L379" s="49" t="s">
        <v>1495</v>
      </c>
      <c r="M379" s="49" t="s">
        <v>1496</v>
      </c>
      <c r="N379" s="49" t="s">
        <v>1497</v>
      </c>
      <c r="O379" s="49" t="s">
        <v>9377</v>
      </c>
      <c r="P379" s="49" t="s">
        <v>9378</v>
      </c>
      <c r="Q379" s="49" t="s">
        <v>9379</v>
      </c>
      <c r="R379" s="49" t="s">
        <v>9380</v>
      </c>
      <c r="S379" s="49" t="s">
        <v>9381</v>
      </c>
      <c r="T379" s="49" t="s">
        <v>9382</v>
      </c>
    </row>
    <row r="380" spans="1:21" x14ac:dyDescent="0.2">
      <c r="A380" s="49" t="s">
        <v>30</v>
      </c>
      <c r="D380" s="49" t="s">
        <v>1498</v>
      </c>
      <c r="G380" s="49" t="s">
        <v>16695</v>
      </c>
      <c r="H380" s="49" t="s">
        <v>1499</v>
      </c>
      <c r="I380" s="49" t="s">
        <v>1500</v>
      </c>
      <c r="J380" s="49" t="s">
        <v>1501</v>
      </c>
      <c r="K380" s="49" t="s">
        <v>1502</v>
      </c>
      <c r="L380" s="49" t="s">
        <v>1503</v>
      </c>
      <c r="M380" s="49" t="s">
        <v>1504</v>
      </c>
      <c r="N380" s="49" t="s">
        <v>1505</v>
      </c>
      <c r="O380" s="49" t="s">
        <v>10529</v>
      </c>
      <c r="P380" s="49" t="s">
        <v>10530</v>
      </c>
      <c r="Q380" s="49" t="s">
        <v>10531</v>
      </c>
      <c r="R380" s="49" t="s">
        <v>10532</v>
      </c>
      <c r="S380" s="49" t="s">
        <v>10533</v>
      </c>
      <c r="T380" s="49" t="s">
        <v>10534</v>
      </c>
    </row>
    <row r="381" spans="1:21" x14ac:dyDescent="0.2">
      <c r="A381" s="49" t="s">
        <v>30</v>
      </c>
    </row>
    <row r="382" spans="1:21" x14ac:dyDescent="0.2">
      <c r="A382" s="49" t="s">
        <v>30</v>
      </c>
      <c r="E382" s="49" t="s">
        <v>31</v>
      </c>
      <c r="F382" s="49" t="s">
        <v>31</v>
      </c>
      <c r="G382" s="49" t="s">
        <v>31</v>
      </c>
      <c r="J382" s="49" t="s">
        <v>31</v>
      </c>
      <c r="K382" s="49" t="s">
        <v>31</v>
      </c>
      <c r="L382" s="49" t="s">
        <v>31</v>
      </c>
      <c r="M382" s="49" t="s">
        <v>31</v>
      </c>
    </row>
    <row r="383" spans="1:21" x14ac:dyDescent="0.2">
      <c r="A383" s="49" t="s">
        <v>30</v>
      </c>
      <c r="D383" s="49" t="s">
        <v>13912</v>
      </c>
      <c r="E383" s="49" t="s">
        <v>6803</v>
      </c>
      <c r="F383" s="49" t="s">
        <v>13913</v>
      </c>
      <c r="H383" s="49" t="s">
        <v>13914</v>
      </c>
      <c r="O383" s="49" t="s">
        <v>35186</v>
      </c>
      <c r="P383" s="49" t="s">
        <v>35187</v>
      </c>
      <c r="Q383" s="49" t="s">
        <v>35188</v>
      </c>
      <c r="R383" s="49" t="s">
        <v>35189</v>
      </c>
      <c r="S383" s="49" t="s">
        <v>35190</v>
      </c>
      <c r="T383" s="49" t="s">
        <v>35191</v>
      </c>
      <c r="U383" s="49" t="s">
        <v>35192</v>
      </c>
    </row>
    <row r="384" spans="1:21" x14ac:dyDescent="0.2">
      <c r="A384" s="49" t="s">
        <v>30</v>
      </c>
      <c r="D384" s="49" t="s">
        <v>1530</v>
      </c>
      <c r="G384" s="49" t="s">
        <v>13915</v>
      </c>
      <c r="H384" s="49" t="s">
        <v>1531</v>
      </c>
      <c r="I384" s="49" t="s">
        <v>1532</v>
      </c>
      <c r="J384" s="49" t="s">
        <v>1533</v>
      </c>
      <c r="K384" s="49" t="s">
        <v>1534</v>
      </c>
      <c r="L384" s="49" t="s">
        <v>1535</v>
      </c>
      <c r="M384" s="49" t="s">
        <v>1536</v>
      </c>
      <c r="N384" s="49" t="s">
        <v>1537</v>
      </c>
      <c r="O384" s="49" t="s">
        <v>13916</v>
      </c>
      <c r="P384" s="49" t="s">
        <v>13917</v>
      </c>
      <c r="Q384" s="49" t="s">
        <v>13918</v>
      </c>
      <c r="R384" s="49" t="s">
        <v>13919</v>
      </c>
      <c r="S384" s="49" t="s">
        <v>13920</v>
      </c>
      <c r="T384" s="49" t="s">
        <v>13921</v>
      </c>
    </row>
    <row r="385" spans="1:21" x14ac:dyDescent="0.2">
      <c r="A385" s="49" t="s">
        <v>30</v>
      </c>
      <c r="D385" s="49" t="s">
        <v>1538</v>
      </c>
      <c r="G385" s="49" t="s">
        <v>16755</v>
      </c>
      <c r="H385" s="49" t="s">
        <v>1539</v>
      </c>
      <c r="I385" s="49" t="s">
        <v>1540</v>
      </c>
      <c r="J385" s="49" t="s">
        <v>1541</v>
      </c>
      <c r="K385" s="49" t="s">
        <v>1542</v>
      </c>
      <c r="L385" s="49" t="s">
        <v>1543</v>
      </c>
      <c r="M385" s="49" t="s">
        <v>1544</v>
      </c>
      <c r="N385" s="49" t="s">
        <v>1545</v>
      </c>
      <c r="O385" s="49" t="s">
        <v>10541</v>
      </c>
      <c r="P385" s="49" t="s">
        <v>10542</v>
      </c>
      <c r="Q385" s="49" t="s">
        <v>10543</v>
      </c>
      <c r="R385" s="49" t="s">
        <v>10544</v>
      </c>
      <c r="S385" s="49" t="s">
        <v>10545</v>
      </c>
      <c r="T385" s="49" t="s">
        <v>10546</v>
      </c>
    </row>
    <row r="386" spans="1:21" x14ac:dyDescent="0.2">
      <c r="A386" s="49" t="s">
        <v>30</v>
      </c>
      <c r="D386" s="49" t="s">
        <v>1546</v>
      </c>
      <c r="G386" s="49" t="s">
        <v>16770</v>
      </c>
      <c r="H386" s="49" t="s">
        <v>1547</v>
      </c>
      <c r="I386" s="49" t="s">
        <v>1548</v>
      </c>
      <c r="J386" s="49" t="s">
        <v>1549</v>
      </c>
      <c r="K386" s="49" t="s">
        <v>1550</v>
      </c>
      <c r="L386" s="49" t="s">
        <v>1551</v>
      </c>
      <c r="M386" s="49" t="s">
        <v>1552</v>
      </c>
      <c r="N386" s="49" t="s">
        <v>1553</v>
      </c>
      <c r="O386" s="49" t="s">
        <v>13342</v>
      </c>
      <c r="P386" s="49" t="s">
        <v>13343</v>
      </c>
      <c r="Q386" s="49" t="s">
        <v>13344</v>
      </c>
      <c r="R386" s="49" t="s">
        <v>13345</v>
      </c>
      <c r="S386" s="49" t="s">
        <v>13346</v>
      </c>
      <c r="T386" s="49" t="s">
        <v>13347</v>
      </c>
    </row>
    <row r="387" spans="1:21" x14ac:dyDescent="0.2">
      <c r="A387" s="49" t="s">
        <v>30</v>
      </c>
      <c r="D387" s="49" t="s">
        <v>14550</v>
      </c>
      <c r="G387" s="49" t="s">
        <v>16805</v>
      </c>
      <c r="H387" s="49" t="s">
        <v>31384</v>
      </c>
      <c r="I387" s="49" t="s">
        <v>31392</v>
      </c>
      <c r="J387" s="49" t="s">
        <v>31466</v>
      </c>
      <c r="K387" s="49" t="s">
        <v>31474</v>
      </c>
      <c r="L387" s="49" t="s">
        <v>14552</v>
      </c>
      <c r="M387" s="49" t="s">
        <v>14553</v>
      </c>
      <c r="N387" s="49" t="s">
        <v>14554</v>
      </c>
      <c r="O387" s="49" t="s">
        <v>35845</v>
      </c>
      <c r="P387" s="49" t="s">
        <v>35846</v>
      </c>
      <c r="Q387" s="49" t="s">
        <v>35847</v>
      </c>
      <c r="R387" s="49" t="s">
        <v>35848</v>
      </c>
      <c r="S387" s="49" t="s">
        <v>35849</v>
      </c>
      <c r="T387" s="49" t="s">
        <v>35850</v>
      </c>
    </row>
    <row r="388" spans="1:21" x14ac:dyDescent="0.2">
      <c r="A388" s="49" t="s">
        <v>30</v>
      </c>
      <c r="D388" s="49" t="s">
        <v>14555</v>
      </c>
      <c r="G388" s="49" t="s">
        <v>16820</v>
      </c>
      <c r="H388" s="49" t="s">
        <v>31385</v>
      </c>
      <c r="I388" s="49" t="s">
        <v>31393</v>
      </c>
      <c r="J388" s="49" t="s">
        <v>31467</v>
      </c>
      <c r="K388" s="49" t="s">
        <v>31475</v>
      </c>
      <c r="L388" s="49" t="s">
        <v>14557</v>
      </c>
      <c r="M388" s="49" t="s">
        <v>14558</v>
      </c>
      <c r="N388" s="49" t="s">
        <v>14559</v>
      </c>
      <c r="O388" s="49" t="s">
        <v>32984</v>
      </c>
      <c r="P388" s="49" t="s">
        <v>32985</v>
      </c>
      <c r="Q388" s="49" t="s">
        <v>32986</v>
      </c>
      <c r="R388" s="49" t="s">
        <v>32987</v>
      </c>
      <c r="S388" s="49" t="s">
        <v>32988</v>
      </c>
      <c r="T388" s="49" t="s">
        <v>32989</v>
      </c>
    </row>
    <row r="389" spans="1:21" x14ac:dyDescent="0.2">
      <c r="A389" s="49" t="s">
        <v>30</v>
      </c>
      <c r="D389" s="49" t="s">
        <v>2201</v>
      </c>
      <c r="G389" s="49" t="s">
        <v>16825</v>
      </c>
      <c r="H389" s="49" t="s">
        <v>2202</v>
      </c>
      <c r="I389" s="49" t="s">
        <v>2203</v>
      </c>
      <c r="J389" s="49" t="s">
        <v>2204</v>
      </c>
      <c r="K389" s="49" t="s">
        <v>2205</v>
      </c>
      <c r="L389" s="49" t="s">
        <v>2206</v>
      </c>
      <c r="M389" s="49" t="s">
        <v>2207</v>
      </c>
      <c r="N389" s="49" t="s">
        <v>2208</v>
      </c>
      <c r="O389" s="49" t="s">
        <v>10547</v>
      </c>
      <c r="P389" s="49" t="s">
        <v>10548</v>
      </c>
      <c r="Q389" s="49" t="s">
        <v>10549</v>
      </c>
      <c r="R389" s="49" t="s">
        <v>10550</v>
      </c>
      <c r="S389" s="49" t="s">
        <v>10551</v>
      </c>
      <c r="T389" s="49" t="s">
        <v>10552</v>
      </c>
    </row>
    <row r="390" spans="1:21" x14ac:dyDescent="0.2">
      <c r="A390" s="49" t="s">
        <v>30</v>
      </c>
      <c r="D390" s="49" t="s">
        <v>2209</v>
      </c>
      <c r="G390" s="49" t="s">
        <v>16840</v>
      </c>
      <c r="H390" s="49" t="s">
        <v>2210</v>
      </c>
      <c r="I390" s="49" t="s">
        <v>2211</v>
      </c>
      <c r="J390" s="49" t="s">
        <v>2212</v>
      </c>
      <c r="K390" s="49" t="s">
        <v>2213</v>
      </c>
      <c r="L390" s="49" t="s">
        <v>2214</v>
      </c>
      <c r="M390" s="49" t="s">
        <v>2215</v>
      </c>
      <c r="N390" s="49" t="s">
        <v>2216</v>
      </c>
      <c r="O390" s="49" t="s">
        <v>10553</v>
      </c>
      <c r="P390" s="49" t="s">
        <v>10554</v>
      </c>
      <c r="Q390" s="49" t="s">
        <v>10555</v>
      </c>
      <c r="R390" s="49" t="s">
        <v>10556</v>
      </c>
      <c r="S390" s="49" t="s">
        <v>10557</v>
      </c>
      <c r="T390" s="49" t="s">
        <v>10558</v>
      </c>
    </row>
    <row r="391" spans="1:21" x14ac:dyDescent="0.2">
      <c r="A391" s="49" t="s">
        <v>30</v>
      </c>
      <c r="D391" s="49" t="s">
        <v>1554</v>
      </c>
      <c r="G391" s="49" t="s">
        <v>16850</v>
      </c>
      <c r="H391" s="49" t="s">
        <v>1555</v>
      </c>
      <c r="I391" s="49" t="s">
        <v>1556</v>
      </c>
      <c r="J391" s="49" t="s">
        <v>1557</v>
      </c>
      <c r="K391" s="49" t="s">
        <v>1558</v>
      </c>
      <c r="L391" s="49" t="s">
        <v>1559</v>
      </c>
      <c r="M391" s="49" t="s">
        <v>1560</v>
      </c>
      <c r="N391" s="49" t="s">
        <v>1561</v>
      </c>
      <c r="O391" s="49" t="s">
        <v>34642</v>
      </c>
      <c r="P391" s="49" t="s">
        <v>34644</v>
      </c>
      <c r="Q391" s="49" t="s">
        <v>34646</v>
      </c>
      <c r="R391" s="49" t="s">
        <v>34648</v>
      </c>
      <c r="S391" s="49" t="s">
        <v>34650</v>
      </c>
      <c r="T391" s="49" t="s">
        <v>34652</v>
      </c>
    </row>
    <row r="392" spans="1:21" x14ac:dyDescent="0.2">
      <c r="A392" s="49" t="s">
        <v>30</v>
      </c>
      <c r="D392" s="49" t="s">
        <v>14563</v>
      </c>
      <c r="G392" s="49" t="s">
        <v>16900</v>
      </c>
      <c r="H392" s="49" t="s">
        <v>31386</v>
      </c>
      <c r="I392" s="49" t="s">
        <v>31394</v>
      </c>
      <c r="J392" s="49" t="s">
        <v>31468</v>
      </c>
      <c r="K392" s="49" t="s">
        <v>31476</v>
      </c>
      <c r="L392" s="49" t="s">
        <v>14565</v>
      </c>
      <c r="M392" s="49" t="s">
        <v>14566</v>
      </c>
      <c r="N392" s="49" t="s">
        <v>14567</v>
      </c>
      <c r="O392" s="49" t="s">
        <v>34643</v>
      </c>
      <c r="P392" s="49" t="s">
        <v>34645</v>
      </c>
      <c r="Q392" s="49" t="s">
        <v>34647</v>
      </c>
      <c r="R392" s="49" t="s">
        <v>34649</v>
      </c>
      <c r="S392" s="49" t="s">
        <v>34651</v>
      </c>
      <c r="T392" s="49" t="s">
        <v>34653</v>
      </c>
    </row>
    <row r="393" spans="1:21" x14ac:dyDescent="0.2">
      <c r="A393" s="49" t="s">
        <v>30</v>
      </c>
    </row>
    <row r="394" spans="1:21" x14ac:dyDescent="0.2">
      <c r="A394" s="49" t="s">
        <v>30</v>
      </c>
      <c r="E394" s="49" t="s">
        <v>31</v>
      </c>
      <c r="F394" s="49" t="s">
        <v>31</v>
      </c>
      <c r="G394" s="49" t="s">
        <v>31</v>
      </c>
      <c r="J394" s="49" t="s">
        <v>31</v>
      </c>
      <c r="K394" s="49" t="s">
        <v>31</v>
      </c>
      <c r="L394" s="49" t="s">
        <v>31</v>
      </c>
      <c r="M394" s="49" t="s">
        <v>31</v>
      </c>
    </row>
    <row r="395" spans="1:21" x14ac:dyDescent="0.2">
      <c r="A395" s="49" t="s">
        <v>30</v>
      </c>
      <c r="D395" s="49" t="s">
        <v>33494</v>
      </c>
      <c r="E395" s="49" t="s">
        <v>6962</v>
      </c>
      <c r="F395" s="49" t="s">
        <v>33495</v>
      </c>
      <c r="H395" s="49" t="s">
        <v>33496</v>
      </c>
      <c r="O395" s="49" t="s">
        <v>35193</v>
      </c>
      <c r="P395" s="49" t="s">
        <v>35194</v>
      </c>
      <c r="Q395" s="49" t="s">
        <v>35195</v>
      </c>
      <c r="R395" s="49" t="s">
        <v>35196</v>
      </c>
      <c r="S395" s="49" t="s">
        <v>35197</v>
      </c>
      <c r="T395" s="49" t="s">
        <v>35198</v>
      </c>
      <c r="U395" s="49" t="s">
        <v>35199</v>
      </c>
    </row>
    <row r="396" spans="1:21" x14ac:dyDescent="0.2">
      <c r="A396" s="49" t="s">
        <v>30</v>
      </c>
      <c r="D396" s="49" t="s">
        <v>1573</v>
      </c>
      <c r="G396" s="49" t="s">
        <v>33504</v>
      </c>
      <c r="H396" s="49" t="s">
        <v>1574</v>
      </c>
      <c r="I396" s="49" t="s">
        <v>1575</v>
      </c>
      <c r="J396" s="49" t="s">
        <v>1576</v>
      </c>
      <c r="K396" s="49" t="s">
        <v>1577</v>
      </c>
      <c r="L396" s="49" t="s">
        <v>1578</v>
      </c>
      <c r="M396" s="49" t="s">
        <v>1579</v>
      </c>
      <c r="N396" s="49" t="s">
        <v>1580</v>
      </c>
      <c r="O396" s="49" t="s">
        <v>34636</v>
      </c>
      <c r="P396" s="49" t="s">
        <v>34637</v>
      </c>
      <c r="Q396" s="49" t="s">
        <v>34638</v>
      </c>
      <c r="R396" s="49" t="s">
        <v>34639</v>
      </c>
      <c r="S396" s="49" t="s">
        <v>34640</v>
      </c>
      <c r="T396" s="49" t="s">
        <v>34641</v>
      </c>
    </row>
    <row r="397" spans="1:21" x14ac:dyDescent="0.2">
      <c r="A397" s="49" t="s">
        <v>30</v>
      </c>
      <c r="D397" s="49" t="s">
        <v>3825</v>
      </c>
      <c r="G397" s="49" t="s">
        <v>16965</v>
      </c>
      <c r="H397" s="49" t="s">
        <v>3826</v>
      </c>
      <c r="I397" s="49" t="s">
        <v>3827</v>
      </c>
      <c r="J397" s="49" t="s">
        <v>3828</v>
      </c>
      <c r="K397" s="49" t="s">
        <v>3829</v>
      </c>
      <c r="L397" s="49" t="s">
        <v>3830</v>
      </c>
      <c r="M397" s="49" t="s">
        <v>3831</v>
      </c>
      <c r="N397" s="49" t="s">
        <v>3832</v>
      </c>
      <c r="O397" s="49" t="s">
        <v>9826</v>
      </c>
      <c r="P397" s="49" t="s">
        <v>9827</v>
      </c>
      <c r="Q397" s="49" t="s">
        <v>9828</v>
      </c>
      <c r="R397" s="49" t="s">
        <v>9829</v>
      </c>
      <c r="S397" s="49" t="s">
        <v>9830</v>
      </c>
      <c r="T397" s="49" t="s">
        <v>9831</v>
      </c>
    </row>
    <row r="398" spans="1:21" x14ac:dyDescent="0.2">
      <c r="A398" s="49" t="s">
        <v>30</v>
      </c>
      <c r="D398" s="49" t="s">
        <v>3300</v>
      </c>
      <c r="G398" s="49" t="s">
        <v>16995</v>
      </c>
      <c r="H398" s="49" t="s">
        <v>3301</v>
      </c>
      <c r="I398" s="49" t="s">
        <v>3302</v>
      </c>
      <c r="J398" s="49" t="s">
        <v>3303</v>
      </c>
      <c r="K398" s="49" t="s">
        <v>3304</v>
      </c>
      <c r="L398" s="49" t="s">
        <v>3305</v>
      </c>
      <c r="M398" s="49" t="s">
        <v>3306</v>
      </c>
      <c r="N398" s="49" t="s">
        <v>3307</v>
      </c>
      <c r="O398" s="49" t="s">
        <v>9399</v>
      </c>
      <c r="P398" s="49" t="s">
        <v>9400</v>
      </c>
      <c r="Q398" s="49" t="s">
        <v>9401</v>
      </c>
      <c r="R398" s="49" t="s">
        <v>9402</v>
      </c>
      <c r="S398" s="49" t="s">
        <v>9403</v>
      </c>
      <c r="T398" s="49" t="s">
        <v>9404</v>
      </c>
    </row>
    <row r="399" spans="1:21" x14ac:dyDescent="0.2">
      <c r="A399" s="49" t="s">
        <v>30</v>
      </c>
      <c r="D399" s="49" t="s">
        <v>14574</v>
      </c>
      <c r="G399" s="49" t="s">
        <v>17000</v>
      </c>
      <c r="H399" s="49" t="s">
        <v>31387</v>
      </c>
      <c r="I399" s="49" t="s">
        <v>31395</v>
      </c>
      <c r="J399" s="49" t="s">
        <v>31469</v>
      </c>
      <c r="K399" s="49" t="s">
        <v>31477</v>
      </c>
      <c r="L399" s="49" t="s">
        <v>14576</v>
      </c>
      <c r="M399" s="49" t="s">
        <v>14577</v>
      </c>
      <c r="N399" s="49" t="s">
        <v>14578</v>
      </c>
      <c r="O399" s="49" t="s">
        <v>32808</v>
      </c>
      <c r="P399" s="49" t="s">
        <v>32809</v>
      </c>
      <c r="Q399" s="49" t="s">
        <v>32810</v>
      </c>
      <c r="R399" s="49" t="s">
        <v>32811</v>
      </c>
      <c r="S399" s="49" t="s">
        <v>32812</v>
      </c>
      <c r="T399" s="49" t="s">
        <v>32813</v>
      </c>
    </row>
    <row r="400" spans="1:21" x14ac:dyDescent="0.2">
      <c r="A400" s="49" t="s">
        <v>30</v>
      </c>
      <c r="D400" s="49" t="s">
        <v>14579</v>
      </c>
      <c r="G400" s="49" t="s">
        <v>17015</v>
      </c>
      <c r="H400" s="49" t="s">
        <v>31388</v>
      </c>
      <c r="I400" s="49" t="s">
        <v>31396</v>
      </c>
      <c r="J400" s="49" t="s">
        <v>31470</v>
      </c>
      <c r="K400" s="49" t="s">
        <v>31478</v>
      </c>
      <c r="L400" s="49" t="s">
        <v>14581</v>
      </c>
      <c r="M400" s="49" t="s">
        <v>14582</v>
      </c>
      <c r="N400" s="49" t="s">
        <v>14583</v>
      </c>
      <c r="O400" s="49" t="s">
        <v>35839</v>
      </c>
      <c r="P400" s="49" t="s">
        <v>35840</v>
      </c>
      <c r="Q400" s="49" t="s">
        <v>35841</v>
      </c>
      <c r="R400" s="49" t="s">
        <v>35842</v>
      </c>
      <c r="S400" s="49" t="s">
        <v>35843</v>
      </c>
      <c r="T400" s="49" t="s">
        <v>35844</v>
      </c>
    </row>
    <row r="401" spans="1:21" x14ac:dyDescent="0.2">
      <c r="A401" s="49" t="s">
        <v>30</v>
      </c>
    </row>
    <row r="402" spans="1:21" x14ac:dyDescent="0.2">
      <c r="A402" s="49" t="s">
        <v>30</v>
      </c>
      <c r="E402" s="49" t="s">
        <v>31</v>
      </c>
      <c r="F402" s="49" t="s">
        <v>31</v>
      </c>
      <c r="G402" s="49" t="s">
        <v>31</v>
      </c>
      <c r="J402" s="49" t="s">
        <v>31</v>
      </c>
      <c r="K402" s="49" t="s">
        <v>31</v>
      </c>
      <c r="L402" s="49" t="s">
        <v>31</v>
      </c>
      <c r="M402" s="49" t="s">
        <v>31</v>
      </c>
    </row>
    <row r="403" spans="1:21" x14ac:dyDescent="0.2">
      <c r="A403" s="49" t="s">
        <v>30</v>
      </c>
      <c r="D403" s="49" t="s">
        <v>35200</v>
      </c>
      <c r="E403" s="49" t="s">
        <v>7041</v>
      </c>
      <c r="F403" s="49" t="s">
        <v>35201</v>
      </c>
      <c r="H403" s="49" t="s">
        <v>35202</v>
      </c>
      <c r="O403" s="49" t="s">
        <v>35203</v>
      </c>
      <c r="P403" s="49" t="s">
        <v>35204</v>
      </c>
      <c r="Q403" s="49" t="s">
        <v>35205</v>
      </c>
      <c r="R403" s="49" t="s">
        <v>35206</v>
      </c>
      <c r="S403" s="49" t="s">
        <v>35207</v>
      </c>
      <c r="T403" s="49" t="s">
        <v>35208</v>
      </c>
      <c r="U403" s="49" t="s">
        <v>35209</v>
      </c>
    </row>
    <row r="404" spans="1:21" x14ac:dyDescent="0.2">
      <c r="A404" s="49" t="s">
        <v>30</v>
      </c>
      <c r="D404" s="49" t="s">
        <v>14591</v>
      </c>
      <c r="G404" s="49" t="s">
        <v>35210</v>
      </c>
      <c r="H404" s="49" t="s">
        <v>31390</v>
      </c>
      <c r="I404" s="49" t="s">
        <v>31398</v>
      </c>
      <c r="J404" s="49" t="s">
        <v>31472</v>
      </c>
      <c r="K404" s="49" t="s">
        <v>31480</v>
      </c>
      <c r="L404" s="49" t="s">
        <v>14593</v>
      </c>
      <c r="M404" s="49" t="s">
        <v>14594</v>
      </c>
      <c r="N404" s="49" t="s">
        <v>14595</v>
      </c>
      <c r="O404" s="49" t="s">
        <v>32831</v>
      </c>
      <c r="P404" s="49" t="s">
        <v>32832</v>
      </c>
      <c r="Q404" s="49" t="s">
        <v>32833</v>
      </c>
      <c r="R404" s="49" t="s">
        <v>32834</v>
      </c>
      <c r="S404" s="49" t="s">
        <v>32835</v>
      </c>
      <c r="T404" s="49" t="s">
        <v>32836</v>
      </c>
    </row>
    <row r="405" spans="1:21" x14ac:dyDescent="0.2">
      <c r="A405" s="49" t="s">
        <v>30</v>
      </c>
      <c r="D405" s="49" t="s">
        <v>14596</v>
      </c>
      <c r="G405" s="49" t="s">
        <v>17060</v>
      </c>
      <c r="H405" s="49" t="s">
        <v>31391</v>
      </c>
      <c r="I405" s="49" t="s">
        <v>31399</v>
      </c>
      <c r="J405" s="49" t="s">
        <v>31473</v>
      </c>
      <c r="K405" s="49" t="s">
        <v>31481</v>
      </c>
      <c r="L405" s="49" t="s">
        <v>14598</v>
      </c>
      <c r="M405" s="49" t="s">
        <v>14599</v>
      </c>
      <c r="N405" s="49" t="s">
        <v>14600</v>
      </c>
      <c r="O405" s="49" t="s">
        <v>34624</v>
      </c>
      <c r="P405" s="49" t="s">
        <v>34626</v>
      </c>
      <c r="Q405" s="49" t="s">
        <v>34628</v>
      </c>
      <c r="R405" s="49" t="s">
        <v>34630</v>
      </c>
      <c r="S405" s="49" t="s">
        <v>34632</v>
      </c>
      <c r="T405" s="49" t="s">
        <v>34634</v>
      </c>
    </row>
    <row r="406" spans="1:21" x14ac:dyDescent="0.2">
      <c r="A406" s="49" t="s">
        <v>30</v>
      </c>
      <c r="D406" s="49" t="s">
        <v>13528</v>
      </c>
      <c r="G406" s="49" t="s">
        <v>17065</v>
      </c>
      <c r="H406" s="49" t="s">
        <v>13529</v>
      </c>
      <c r="I406" s="49" t="s">
        <v>13530</v>
      </c>
      <c r="J406" s="49" t="s">
        <v>13531</v>
      </c>
      <c r="K406" s="49" t="s">
        <v>13532</v>
      </c>
      <c r="L406" s="49" t="s">
        <v>13533</v>
      </c>
      <c r="M406" s="49" t="s">
        <v>13534</v>
      </c>
      <c r="N406" s="49" t="s">
        <v>13535</v>
      </c>
      <c r="O406" s="49" t="s">
        <v>13536</v>
      </c>
      <c r="P406" s="49" t="s">
        <v>13537</v>
      </c>
      <c r="Q406" s="49" t="s">
        <v>13538</v>
      </c>
      <c r="R406" s="49" t="s">
        <v>13539</v>
      </c>
      <c r="S406" s="49" t="s">
        <v>13540</v>
      </c>
      <c r="T406" s="49" t="s">
        <v>13541</v>
      </c>
    </row>
    <row r="407" spans="1:21" x14ac:dyDescent="0.2">
      <c r="A407" s="49" t="s">
        <v>30</v>
      </c>
      <c r="D407" s="49" t="s">
        <v>10910</v>
      </c>
      <c r="G407" s="49" t="s">
        <v>17075</v>
      </c>
      <c r="H407" s="49" t="s">
        <v>12638</v>
      </c>
      <c r="I407" s="49" t="s">
        <v>12640</v>
      </c>
      <c r="J407" s="49" t="s">
        <v>12660</v>
      </c>
      <c r="K407" s="49" t="s">
        <v>12662</v>
      </c>
      <c r="L407" s="49" t="s">
        <v>10911</v>
      </c>
      <c r="M407" s="49" t="s">
        <v>10912</v>
      </c>
      <c r="N407" s="49" t="s">
        <v>10913</v>
      </c>
      <c r="O407" s="49" t="s">
        <v>34625</v>
      </c>
      <c r="P407" s="49" t="s">
        <v>34627</v>
      </c>
      <c r="Q407" s="49" t="s">
        <v>34629</v>
      </c>
      <c r="R407" s="49" t="s">
        <v>34631</v>
      </c>
      <c r="S407" s="49" t="s">
        <v>34633</v>
      </c>
      <c r="T407" s="49" t="s">
        <v>34635</v>
      </c>
    </row>
    <row r="408" spans="1:21" x14ac:dyDescent="0.2">
      <c r="A408" s="49" t="s">
        <v>30</v>
      </c>
    </row>
    <row r="409" spans="1:21" x14ac:dyDescent="0.2">
      <c r="A409" s="49" t="s">
        <v>30</v>
      </c>
      <c r="E409" s="49" t="s">
        <v>31</v>
      </c>
      <c r="F409" s="49" t="s">
        <v>31</v>
      </c>
      <c r="G409" s="49" t="s">
        <v>31</v>
      </c>
      <c r="J409" s="49" t="s">
        <v>31</v>
      </c>
      <c r="K409" s="49" t="s">
        <v>31</v>
      </c>
      <c r="L409" s="49" t="s">
        <v>31</v>
      </c>
      <c r="M409" s="49" t="s">
        <v>31</v>
      </c>
    </row>
    <row r="410" spans="1:21" x14ac:dyDescent="0.2">
      <c r="A410" s="49" t="s">
        <v>30</v>
      </c>
      <c r="D410" s="49" t="s">
        <v>33512</v>
      </c>
      <c r="E410" s="49" t="s">
        <v>7084</v>
      </c>
      <c r="F410" s="49" t="s">
        <v>33513</v>
      </c>
      <c r="H410" s="49" t="s">
        <v>33514</v>
      </c>
      <c r="O410" s="49" t="s">
        <v>35211</v>
      </c>
      <c r="P410" s="49" t="s">
        <v>35212</v>
      </c>
      <c r="Q410" s="49" t="s">
        <v>35213</v>
      </c>
      <c r="R410" s="49" t="s">
        <v>35214</v>
      </c>
      <c r="S410" s="49" t="s">
        <v>35215</v>
      </c>
      <c r="T410" s="49" t="s">
        <v>35216</v>
      </c>
      <c r="U410" s="49" t="s">
        <v>35217</v>
      </c>
    </row>
    <row r="411" spans="1:21" x14ac:dyDescent="0.2">
      <c r="A411" s="49" t="s">
        <v>30</v>
      </c>
      <c r="D411" s="49" t="s">
        <v>2502</v>
      </c>
      <c r="G411" s="49" t="s">
        <v>33522</v>
      </c>
      <c r="H411" s="49" t="s">
        <v>2503</v>
      </c>
      <c r="I411" s="49" t="s">
        <v>2504</v>
      </c>
      <c r="J411" s="49" t="s">
        <v>2505</v>
      </c>
      <c r="K411" s="49" t="s">
        <v>2506</v>
      </c>
      <c r="L411" s="49" t="s">
        <v>2507</v>
      </c>
      <c r="M411" s="49" t="s">
        <v>2508</v>
      </c>
      <c r="N411" s="49" t="s">
        <v>2509</v>
      </c>
      <c r="O411" s="49" t="s">
        <v>34606</v>
      </c>
      <c r="P411" s="49" t="s">
        <v>34609</v>
      </c>
      <c r="Q411" s="49" t="s">
        <v>34612</v>
      </c>
      <c r="R411" s="49" t="s">
        <v>34615</v>
      </c>
      <c r="S411" s="49" t="s">
        <v>34618</v>
      </c>
      <c r="T411" s="49" t="s">
        <v>34621</v>
      </c>
    </row>
    <row r="412" spans="1:21" x14ac:dyDescent="0.2">
      <c r="A412" s="49" t="s">
        <v>30</v>
      </c>
      <c r="D412" s="49" t="s">
        <v>9838</v>
      </c>
      <c r="G412" s="49" t="s">
        <v>17120</v>
      </c>
      <c r="H412" s="49" t="s">
        <v>9839</v>
      </c>
      <c r="I412" s="49" t="s">
        <v>9840</v>
      </c>
      <c r="J412" s="49" t="s">
        <v>9841</v>
      </c>
      <c r="K412" s="49" t="s">
        <v>9842</v>
      </c>
      <c r="L412" s="49" t="s">
        <v>9843</v>
      </c>
      <c r="M412" s="49" t="s">
        <v>9844</v>
      </c>
      <c r="N412" s="49" t="s">
        <v>9845</v>
      </c>
      <c r="O412" s="49" t="s">
        <v>34607</v>
      </c>
      <c r="P412" s="49" t="s">
        <v>34610</v>
      </c>
      <c r="Q412" s="49" t="s">
        <v>34613</v>
      </c>
      <c r="R412" s="49" t="s">
        <v>34616</v>
      </c>
      <c r="S412" s="49" t="s">
        <v>34619</v>
      </c>
      <c r="T412" s="49" t="s">
        <v>34622</v>
      </c>
    </row>
    <row r="413" spans="1:21" x14ac:dyDescent="0.2">
      <c r="A413" s="49" t="s">
        <v>30</v>
      </c>
      <c r="D413" s="49" t="s">
        <v>10914</v>
      </c>
      <c r="G413" s="49" t="s">
        <v>17160</v>
      </c>
      <c r="H413" s="49" t="s">
        <v>12639</v>
      </c>
      <c r="I413" s="49" t="s">
        <v>12641</v>
      </c>
      <c r="J413" s="49" t="s">
        <v>12661</v>
      </c>
      <c r="K413" s="49" t="s">
        <v>12663</v>
      </c>
      <c r="L413" s="49" t="s">
        <v>10915</v>
      </c>
      <c r="M413" s="49" t="s">
        <v>10916</v>
      </c>
      <c r="N413" s="49" t="s">
        <v>10917</v>
      </c>
      <c r="O413" s="49" t="s">
        <v>34608</v>
      </c>
      <c r="P413" s="49" t="s">
        <v>34611</v>
      </c>
      <c r="Q413" s="49" t="s">
        <v>34614</v>
      </c>
      <c r="R413" s="49" t="s">
        <v>34617</v>
      </c>
      <c r="S413" s="49" t="s">
        <v>34620</v>
      </c>
      <c r="T413" s="49" t="s">
        <v>34623</v>
      </c>
    </row>
    <row r="414" spans="1:21" x14ac:dyDescent="0.2">
      <c r="A414" s="49" t="s">
        <v>30</v>
      </c>
      <c r="D414" s="49" t="s">
        <v>5043</v>
      </c>
      <c r="G414" s="49" t="s">
        <v>17165</v>
      </c>
      <c r="H414" s="49" t="s">
        <v>5044</v>
      </c>
      <c r="I414" s="49" t="s">
        <v>5045</v>
      </c>
      <c r="J414" s="49" t="s">
        <v>5046</v>
      </c>
      <c r="K414" s="49" t="s">
        <v>5047</v>
      </c>
      <c r="L414" s="49" t="s">
        <v>5048</v>
      </c>
      <c r="M414" s="49" t="s">
        <v>5049</v>
      </c>
      <c r="N414" s="49" t="s">
        <v>5050</v>
      </c>
      <c r="O414" s="49" t="s">
        <v>13543</v>
      </c>
      <c r="P414" s="49" t="s">
        <v>13544</v>
      </c>
      <c r="Q414" s="49" t="s">
        <v>13545</v>
      </c>
      <c r="R414" s="49" t="s">
        <v>13546</v>
      </c>
      <c r="S414" s="49" t="s">
        <v>13547</v>
      </c>
      <c r="T414" s="49" t="s">
        <v>13548</v>
      </c>
    </row>
    <row r="415" spans="1:21" x14ac:dyDescent="0.2">
      <c r="A415" s="49" t="s">
        <v>30</v>
      </c>
      <c r="D415" s="49" t="s">
        <v>1589</v>
      </c>
      <c r="G415" s="49" t="s">
        <v>17170</v>
      </c>
      <c r="H415" s="49" t="s">
        <v>1590</v>
      </c>
      <c r="I415" s="49" t="s">
        <v>1591</v>
      </c>
      <c r="J415" s="49" t="s">
        <v>1592</v>
      </c>
      <c r="K415" s="49" t="s">
        <v>1593</v>
      </c>
      <c r="L415" s="49" t="s">
        <v>1594</v>
      </c>
      <c r="M415" s="49" t="s">
        <v>1595</v>
      </c>
      <c r="N415" s="49" t="s">
        <v>1596</v>
      </c>
      <c r="O415" s="49" t="s">
        <v>13549</v>
      </c>
      <c r="P415" s="49" t="s">
        <v>13550</v>
      </c>
      <c r="Q415" s="49" t="s">
        <v>13551</v>
      </c>
      <c r="R415" s="49" t="s">
        <v>13552</v>
      </c>
      <c r="S415" s="49" t="s">
        <v>13553</v>
      </c>
      <c r="T415" s="49" t="s">
        <v>13554</v>
      </c>
    </row>
    <row r="416" spans="1:21" x14ac:dyDescent="0.2">
      <c r="A416" s="49" t="s">
        <v>30</v>
      </c>
      <c r="D416" s="49" t="s">
        <v>14618</v>
      </c>
      <c r="G416" s="49" t="s">
        <v>17180</v>
      </c>
      <c r="H416" s="49" t="s">
        <v>31310</v>
      </c>
      <c r="I416" s="49" t="s">
        <v>31315</v>
      </c>
      <c r="J416" s="49" t="s">
        <v>31374</v>
      </c>
      <c r="K416" s="49" t="s">
        <v>31379</v>
      </c>
      <c r="L416" s="49" t="s">
        <v>14620</v>
      </c>
      <c r="M416" s="49" t="s">
        <v>14621</v>
      </c>
      <c r="N416" s="49" t="s">
        <v>14622</v>
      </c>
      <c r="O416" s="49" t="s">
        <v>35827</v>
      </c>
      <c r="P416" s="49" t="s">
        <v>35829</v>
      </c>
      <c r="Q416" s="49" t="s">
        <v>35831</v>
      </c>
      <c r="R416" s="49" t="s">
        <v>35833</v>
      </c>
      <c r="S416" s="49" t="s">
        <v>35835</v>
      </c>
      <c r="T416" s="49" t="s">
        <v>35837</v>
      </c>
    </row>
    <row r="417" spans="1:21" x14ac:dyDescent="0.2">
      <c r="A417" s="49" t="s">
        <v>30</v>
      </c>
      <c r="D417" s="49" t="s">
        <v>5051</v>
      </c>
      <c r="G417" s="49" t="s">
        <v>17200</v>
      </c>
      <c r="H417" s="49" t="s">
        <v>5052</v>
      </c>
      <c r="I417" s="49" t="s">
        <v>5053</v>
      </c>
      <c r="J417" s="49" t="s">
        <v>5054</v>
      </c>
      <c r="K417" s="49" t="s">
        <v>5055</v>
      </c>
      <c r="L417" s="49" t="s">
        <v>5056</v>
      </c>
      <c r="M417" s="49" t="s">
        <v>5057</v>
      </c>
      <c r="N417" s="49" t="s">
        <v>5058</v>
      </c>
      <c r="O417" s="49" t="s">
        <v>35828</v>
      </c>
      <c r="P417" s="49" t="s">
        <v>35830</v>
      </c>
      <c r="Q417" s="49" t="s">
        <v>35832</v>
      </c>
      <c r="R417" s="49" t="s">
        <v>35834</v>
      </c>
      <c r="S417" s="49" t="s">
        <v>35836</v>
      </c>
      <c r="T417" s="49" t="s">
        <v>35838</v>
      </c>
    </row>
    <row r="418" spans="1:21" x14ac:dyDescent="0.2">
      <c r="A418" s="49" t="s">
        <v>30</v>
      </c>
    </row>
    <row r="419" spans="1:21" x14ac:dyDescent="0.2">
      <c r="A419" s="49" t="s">
        <v>30</v>
      </c>
      <c r="E419" s="49" t="s">
        <v>31</v>
      </c>
      <c r="F419" s="49" t="s">
        <v>31</v>
      </c>
      <c r="G419" s="49" t="s">
        <v>31</v>
      </c>
      <c r="J419" s="49" t="s">
        <v>31</v>
      </c>
      <c r="K419" s="49" t="s">
        <v>31</v>
      </c>
      <c r="L419" s="49" t="s">
        <v>31</v>
      </c>
      <c r="M419" s="49" t="s">
        <v>31</v>
      </c>
    </row>
    <row r="420" spans="1:21" x14ac:dyDescent="0.2">
      <c r="A420" s="49" t="s">
        <v>30</v>
      </c>
      <c r="D420" s="49" t="s">
        <v>5065</v>
      </c>
      <c r="E420" s="49" t="s">
        <v>7180</v>
      </c>
      <c r="F420" s="49" t="s">
        <v>5067</v>
      </c>
      <c r="H420" s="49" t="s">
        <v>5068</v>
      </c>
      <c r="O420" s="49" t="s">
        <v>35218</v>
      </c>
      <c r="P420" s="49" t="s">
        <v>35219</v>
      </c>
      <c r="Q420" s="49" t="s">
        <v>35220</v>
      </c>
      <c r="R420" s="49" t="s">
        <v>35221</v>
      </c>
      <c r="S420" s="49" t="s">
        <v>35222</v>
      </c>
      <c r="T420" s="49" t="s">
        <v>35223</v>
      </c>
      <c r="U420" s="49" t="s">
        <v>35224</v>
      </c>
    </row>
    <row r="421" spans="1:21" x14ac:dyDescent="0.2">
      <c r="A421" s="49" t="s">
        <v>30</v>
      </c>
      <c r="D421" s="49" t="s">
        <v>5069</v>
      </c>
      <c r="G421" s="49" t="s">
        <v>35225</v>
      </c>
      <c r="H421" s="49" t="s">
        <v>5070</v>
      </c>
      <c r="I421" s="49" t="s">
        <v>5071</v>
      </c>
      <c r="J421" s="49" t="s">
        <v>5072</v>
      </c>
      <c r="K421" s="49" t="s">
        <v>5073</v>
      </c>
      <c r="L421" s="49" t="s">
        <v>5074</v>
      </c>
      <c r="M421" s="49" t="s">
        <v>5075</v>
      </c>
      <c r="N421" s="49" t="s">
        <v>5076</v>
      </c>
      <c r="O421" s="49" t="s">
        <v>35815</v>
      </c>
      <c r="P421" s="49" t="s">
        <v>35817</v>
      </c>
      <c r="Q421" s="49" t="s">
        <v>35819</v>
      </c>
      <c r="R421" s="49" t="s">
        <v>35821</v>
      </c>
      <c r="S421" s="49" t="s">
        <v>35823</v>
      </c>
      <c r="T421" s="49" t="s">
        <v>35825</v>
      </c>
    </row>
    <row r="422" spans="1:21" x14ac:dyDescent="0.2">
      <c r="A422" s="49" t="s">
        <v>30</v>
      </c>
      <c r="D422" s="49" t="s">
        <v>14636</v>
      </c>
      <c r="G422" s="49" t="s">
        <v>17260</v>
      </c>
      <c r="H422" s="49" t="s">
        <v>31313</v>
      </c>
      <c r="I422" s="49" t="s">
        <v>31318</v>
      </c>
      <c r="J422" s="49" t="s">
        <v>31377</v>
      </c>
      <c r="K422" s="49" t="s">
        <v>31382</v>
      </c>
      <c r="L422" s="49" t="s">
        <v>14638</v>
      </c>
      <c r="M422" s="49" t="s">
        <v>14639</v>
      </c>
      <c r="N422" s="49" t="s">
        <v>14640</v>
      </c>
      <c r="O422" s="49" t="s">
        <v>35816</v>
      </c>
      <c r="P422" s="49" t="s">
        <v>35818</v>
      </c>
      <c r="Q422" s="49" t="s">
        <v>35820</v>
      </c>
      <c r="R422" s="49" t="s">
        <v>35822</v>
      </c>
      <c r="S422" s="49" t="s">
        <v>35824</v>
      </c>
      <c r="T422" s="49" t="s">
        <v>35826</v>
      </c>
    </row>
    <row r="423" spans="1:21" x14ac:dyDescent="0.2">
      <c r="A423" s="49" t="s">
        <v>30</v>
      </c>
      <c r="D423" s="49" t="s">
        <v>5083</v>
      </c>
      <c r="G423" s="49" t="s">
        <v>17280</v>
      </c>
      <c r="H423" s="49" t="s">
        <v>5084</v>
      </c>
      <c r="I423" s="49" t="s">
        <v>5085</v>
      </c>
      <c r="J423" s="49" t="s">
        <v>5086</v>
      </c>
      <c r="K423" s="49" t="s">
        <v>5087</v>
      </c>
      <c r="L423" s="49" t="s">
        <v>5088</v>
      </c>
      <c r="M423" s="49" t="s">
        <v>5089</v>
      </c>
      <c r="N423" s="49" t="s">
        <v>5090</v>
      </c>
      <c r="O423" s="49" t="s">
        <v>13573</v>
      </c>
      <c r="P423" s="49" t="s">
        <v>13574</v>
      </c>
      <c r="Q423" s="49" t="s">
        <v>13575</v>
      </c>
      <c r="R423" s="49" t="s">
        <v>13576</v>
      </c>
      <c r="S423" s="49" t="s">
        <v>13577</v>
      </c>
      <c r="T423" s="49" t="s">
        <v>13578</v>
      </c>
    </row>
    <row r="424" spans="1:21" x14ac:dyDescent="0.2">
      <c r="A424" s="49" t="s">
        <v>30</v>
      </c>
      <c r="D424" s="49" t="s">
        <v>14642</v>
      </c>
      <c r="G424" s="49" t="s">
        <v>17295</v>
      </c>
      <c r="H424" s="49" t="s">
        <v>31314</v>
      </c>
      <c r="I424" s="49" t="s">
        <v>31319</v>
      </c>
      <c r="J424" s="49" t="s">
        <v>31378</v>
      </c>
      <c r="K424" s="49" t="s">
        <v>31383</v>
      </c>
      <c r="L424" s="49" t="s">
        <v>14644</v>
      </c>
      <c r="M424" s="49" t="s">
        <v>14645</v>
      </c>
      <c r="N424" s="49" t="s">
        <v>14646</v>
      </c>
      <c r="O424" s="49" t="s">
        <v>32960</v>
      </c>
      <c r="P424" s="49" t="s">
        <v>32962</v>
      </c>
      <c r="Q424" s="49" t="s">
        <v>32964</v>
      </c>
      <c r="R424" s="49" t="s">
        <v>32966</v>
      </c>
      <c r="S424" s="49" t="s">
        <v>32968</v>
      </c>
      <c r="T424" s="49" t="s">
        <v>32970</v>
      </c>
    </row>
    <row r="425" spans="1:21" x14ac:dyDescent="0.2">
      <c r="A425" s="49" t="s">
        <v>30</v>
      </c>
      <c r="D425" s="49" t="s">
        <v>1597</v>
      </c>
      <c r="G425" s="49" t="s">
        <v>17305</v>
      </c>
      <c r="H425" s="49" t="s">
        <v>1598</v>
      </c>
      <c r="I425" s="49" t="s">
        <v>1599</v>
      </c>
      <c r="J425" s="49" t="s">
        <v>1600</v>
      </c>
      <c r="K425" s="49" t="s">
        <v>1601</v>
      </c>
      <c r="L425" s="49" t="s">
        <v>1602</v>
      </c>
      <c r="M425" s="49" t="s">
        <v>1603</v>
      </c>
      <c r="N425" s="49" t="s">
        <v>1604</v>
      </c>
      <c r="O425" s="49" t="s">
        <v>32961</v>
      </c>
      <c r="P425" s="49" t="s">
        <v>32963</v>
      </c>
      <c r="Q425" s="49" t="s">
        <v>32965</v>
      </c>
      <c r="R425" s="49" t="s">
        <v>32967</v>
      </c>
      <c r="S425" s="49" t="s">
        <v>32969</v>
      </c>
      <c r="T425" s="49" t="s">
        <v>32971</v>
      </c>
    </row>
    <row r="426" spans="1:21" x14ac:dyDescent="0.2">
      <c r="A426" s="49" t="s">
        <v>30</v>
      </c>
      <c r="D426" s="49" t="s">
        <v>1605</v>
      </c>
      <c r="G426" s="49" t="s">
        <v>17310</v>
      </c>
      <c r="H426" s="49" t="s">
        <v>1606</v>
      </c>
      <c r="I426" s="49" t="s">
        <v>1607</v>
      </c>
      <c r="J426" s="49" t="s">
        <v>1608</v>
      </c>
      <c r="K426" s="49" t="s">
        <v>1609</v>
      </c>
      <c r="L426" s="49" t="s">
        <v>1610</v>
      </c>
      <c r="M426" s="49" t="s">
        <v>1611</v>
      </c>
      <c r="N426" s="49" t="s">
        <v>1612</v>
      </c>
      <c r="O426" s="49" t="s">
        <v>34594</v>
      </c>
      <c r="P426" s="49" t="s">
        <v>34595</v>
      </c>
      <c r="Q426" s="49" t="s">
        <v>34596</v>
      </c>
      <c r="R426" s="49" t="s">
        <v>34597</v>
      </c>
      <c r="S426" s="49" t="s">
        <v>34598</v>
      </c>
      <c r="T426" s="49" t="s">
        <v>34599</v>
      </c>
    </row>
    <row r="427" spans="1:21" x14ac:dyDescent="0.2">
      <c r="A427" s="49" t="s">
        <v>30</v>
      </c>
      <c r="D427" s="49" t="s">
        <v>1613</v>
      </c>
      <c r="G427" s="49" t="s">
        <v>17330</v>
      </c>
      <c r="H427" s="49" t="s">
        <v>1614</v>
      </c>
      <c r="I427" s="49" t="s">
        <v>1615</v>
      </c>
      <c r="J427" s="49" t="s">
        <v>1616</v>
      </c>
      <c r="K427" s="49" t="s">
        <v>1617</v>
      </c>
      <c r="L427" s="49" t="s">
        <v>1618</v>
      </c>
      <c r="M427" s="49" t="s">
        <v>1619</v>
      </c>
      <c r="N427" s="49" t="s">
        <v>1620</v>
      </c>
      <c r="O427" s="49" t="s">
        <v>9846</v>
      </c>
      <c r="P427" s="49" t="s">
        <v>9847</v>
      </c>
      <c r="Q427" s="49" t="s">
        <v>9848</v>
      </c>
      <c r="R427" s="49" t="s">
        <v>9849</v>
      </c>
      <c r="S427" s="49" t="s">
        <v>9850</v>
      </c>
      <c r="T427" s="49" t="s">
        <v>9851</v>
      </c>
    </row>
    <row r="428" spans="1:21" x14ac:dyDescent="0.2">
      <c r="A428" s="49" t="s">
        <v>30</v>
      </c>
      <c r="D428" s="49" t="s">
        <v>9852</v>
      </c>
      <c r="G428" s="49" t="s">
        <v>17335</v>
      </c>
      <c r="H428" s="49" t="s">
        <v>9853</v>
      </c>
      <c r="I428" s="49" t="s">
        <v>9854</v>
      </c>
      <c r="J428" s="49" t="s">
        <v>9855</v>
      </c>
      <c r="K428" s="49" t="s">
        <v>9856</v>
      </c>
      <c r="L428" s="49" t="s">
        <v>9857</v>
      </c>
      <c r="M428" s="49" t="s">
        <v>9858</v>
      </c>
      <c r="N428" s="49" t="s">
        <v>9859</v>
      </c>
      <c r="O428" s="49" t="s">
        <v>9860</v>
      </c>
      <c r="P428" s="49" t="s">
        <v>9861</v>
      </c>
      <c r="Q428" s="49" t="s">
        <v>9862</v>
      </c>
      <c r="R428" s="49" t="s">
        <v>9863</v>
      </c>
      <c r="S428" s="49" t="s">
        <v>9864</v>
      </c>
      <c r="T428" s="49" t="s">
        <v>9865</v>
      </c>
    </row>
    <row r="429" spans="1:21" x14ac:dyDescent="0.2">
      <c r="A429" s="49" t="s">
        <v>30</v>
      </c>
    </row>
    <row r="430" spans="1:21" x14ac:dyDescent="0.2">
      <c r="A430" s="49" t="s">
        <v>30</v>
      </c>
      <c r="E430" s="49" t="s">
        <v>31</v>
      </c>
      <c r="F430" s="49" t="s">
        <v>31</v>
      </c>
      <c r="G430" s="49" t="s">
        <v>31</v>
      </c>
      <c r="J430" s="49" t="s">
        <v>31</v>
      </c>
      <c r="K430" s="49" t="s">
        <v>31</v>
      </c>
      <c r="L430" s="49" t="s">
        <v>31</v>
      </c>
      <c r="M430" s="49" t="s">
        <v>31</v>
      </c>
    </row>
    <row r="431" spans="1:21" x14ac:dyDescent="0.2">
      <c r="A431" s="49" t="s">
        <v>30</v>
      </c>
      <c r="D431" s="49" t="s">
        <v>13579</v>
      </c>
      <c r="E431" s="49" t="s">
        <v>7328</v>
      </c>
      <c r="F431" s="49" t="s">
        <v>13580</v>
      </c>
      <c r="H431" s="49" t="s">
        <v>13581</v>
      </c>
      <c r="O431" s="49" t="s">
        <v>13582</v>
      </c>
      <c r="P431" s="49" t="s">
        <v>13583</v>
      </c>
      <c r="Q431" s="49" t="s">
        <v>13584</v>
      </c>
      <c r="R431" s="49" t="s">
        <v>13585</v>
      </c>
      <c r="S431" s="49" t="s">
        <v>13586</v>
      </c>
      <c r="T431" s="49" t="s">
        <v>13587</v>
      </c>
      <c r="U431" s="49" t="s">
        <v>13588</v>
      </c>
    </row>
    <row r="432" spans="1:21" x14ac:dyDescent="0.2">
      <c r="A432" s="49" t="s">
        <v>30</v>
      </c>
      <c r="D432" s="49" t="s">
        <v>13589</v>
      </c>
      <c r="G432" s="49" t="s">
        <v>13590</v>
      </c>
      <c r="H432" s="49" t="s">
        <v>13591</v>
      </c>
      <c r="I432" s="49" t="s">
        <v>13592</v>
      </c>
      <c r="J432" s="49" t="s">
        <v>13593</v>
      </c>
      <c r="K432" s="49" t="s">
        <v>13594</v>
      </c>
      <c r="L432" s="49" t="s">
        <v>13595</v>
      </c>
      <c r="M432" s="49" t="s">
        <v>13596</v>
      </c>
      <c r="N432" s="49" t="s">
        <v>13597</v>
      </c>
      <c r="O432" s="49" t="s">
        <v>13598</v>
      </c>
      <c r="P432" s="49" t="s">
        <v>13599</v>
      </c>
      <c r="Q432" s="49" t="s">
        <v>13600</v>
      </c>
      <c r="R432" s="49" t="s">
        <v>13601</v>
      </c>
      <c r="S432" s="49" t="s">
        <v>13602</v>
      </c>
      <c r="T432" s="49" t="s">
        <v>13603</v>
      </c>
    </row>
    <row r="433" spans="1:21" x14ac:dyDescent="0.2">
      <c r="A433" s="49" t="s">
        <v>30</v>
      </c>
    </row>
    <row r="434" spans="1:21" x14ac:dyDescent="0.2">
      <c r="A434" s="49" t="s">
        <v>30</v>
      </c>
      <c r="E434" s="49" t="s">
        <v>31</v>
      </c>
      <c r="F434" s="49" t="s">
        <v>31</v>
      </c>
      <c r="G434" s="49" t="s">
        <v>31</v>
      </c>
      <c r="J434" s="49" t="s">
        <v>31</v>
      </c>
      <c r="K434" s="49" t="s">
        <v>31</v>
      </c>
      <c r="L434" s="49" t="s">
        <v>31</v>
      </c>
      <c r="M434" s="49" t="s">
        <v>31</v>
      </c>
    </row>
    <row r="435" spans="1:21" x14ac:dyDescent="0.2">
      <c r="A435" s="49" t="s">
        <v>30</v>
      </c>
      <c r="D435" s="49" t="s">
        <v>13604</v>
      </c>
      <c r="E435" s="49" t="s">
        <v>17950</v>
      </c>
      <c r="F435" s="49" t="s">
        <v>13605</v>
      </c>
      <c r="H435" s="49" t="s">
        <v>13606</v>
      </c>
      <c r="O435" s="49" t="s">
        <v>13607</v>
      </c>
      <c r="P435" s="49" t="s">
        <v>13608</v>
      </c>
      <c r="Q435" s="49" t="s">
        <v>13609</v>
      </c>
      <c r="R435" s="49" t="s">
        <v>13610</v>
      </c>
      <c r="S435" s="49" t="s">
        <v>13611</v>
      </c>
      <c r="T435" s="49" t="s">
        <v>13612</v>
      </c>
      <c r="U435" s="49" t="s">
        <v>13613</v>
      </c>
    </row>
    <row r="436" spans="1:21" x14ac:dyDescent="0.2">
      <c r="A436" s="49" t="s">
        <v>30</v>
      </c>
      <c r="D436" s="49" t="s">
        <v>1621</v>
      </c>
      <c r="G436" s="49" t="s">
        <v>13614</v>
      </c>
      <c r="H436" s="49" t="s">
        <v>1622</v>
      </c>
      <c r="I436" s="49" t="s">
        <v>1623</v>
      </c>
      <c r="J436" s="49" t="s">
        <v>1624</v>
      </c>
      <c r="K436" s="49" t="s">
        <v>1625</v>
      </c>
      <c r="L436" s="49" t="s">
        <v>1626</v>
      </c>
      <c r="M436" s="49" t="s">
        <v>1627</v>
      </c>
      <c r="N436" s="49" t="s">
        <v>1628</v>
      </c>
      <c r="O436" s="49" t="s">
        <v>13615</v>
      </c>
      <c r="P436" s="49" t="s">
        <v>13616</v>
      </c>
      <c r="Q436" s="49" t="s">
        <v>13617</v>
      </c>
      <c r="R436" s="49" t="s">
        <v>13618</v>
      </c>
      <c r="S436" s="49" t="s">
        <v>13619</v>
      </c>
      <c r="T436" s="49" t="s">
        <v>13620</v>
      </c>
    </row>
    <row r="437" spans="1:21" x14ac:dyDescent="0.2">
      <c r="A437" s="49" t="s">
        <v>30</v>
      </c>
    </row>
    <row r="438" spans="1:21" x14ac:dyDescent="0.2">
      <c r="A438" s="49" t="s">
        <v>30</v>
      </c>
      <c r="E438" s="49" t="s">
        <v>31</v>
      </c>
      <c r="F438" s="49" t="s">
        <v>31</v>
      </c>
      <c r="G438" s="49" t="s">
        <v>31</v>
      </c>
      <c r="J438" s="49" t="s">
        <v>31</v>
      </c>
      <c r="K438" s="49" t="s">
        <v>31</v>
      </c>
      <c r="L438" s="49" t="s">
        <v>31</v>
      </c>
      <c r="M438" s="49" t="s">
        <v>31</v>
      </c>
    </row>
    <row r="439" spans="1:21" x14ac:dyDescent="0.2">
      <c r="A439" s="49" t="s">
        <v>30</v>
      </c>
      <c r="D439" s="49" t="s">
        <v>13621</v>
      </c>
      <c r="E439" s="49" t="s">
        <v>7617</v>
      </c>
      <c r="F439" s="49" t="s">
        <v>13622</v>
      </c>
      <c r="H439" s="49" t="s">
        <v>13623</v>
      </c>
      <c r="O439" s="49" t="s">
        <v>13624</v>
      </c>
      <c r="P439" s="49" t="s">
        <v>13625</v>
      </c>
      <c r="Q439" s="49" t="s">
        <v>13626</v>
      </c>
      <c r="R439" s="49" t="s">
        <v>13627</v>
      </c>
      <c r="S439" s="49" t="s">
        <v>13628</v>
      </c>
      <c r="T439" s="49" t="s">
        <v>13629</v>
      </c>
      <c r="U439" s="49" t="s">
        <v>13630</v>
      </c>
    </row>
    <row r="440" spans="1:21" x14ac:dyDescent="0.2">
      <c r="A440" s="49" t="s">
        <v>30</v>
      </c>
      <c r="D440" s="49" t="s">
        <v>10935</v>
      </c>
      <c r="G440" s="49" t="s">
        <v>13631</v>
      </c>
      <c r="H440" s="49" t="s">
        <v>10936</v>
      </c>
      <c r="I440" s="49" t="s">
        <v>10937</v>
      </c>
      <c r="J440" s="49" t="s">
        <v>10938</v>
      </c>
      <c r="K440" s="49" t="s">
        <v>10939</v>
      </c>
      <c r="L440" s="49" t="s">
        <v>10940</v>
      </c>
      <c r="M440" s="49" t="s">
        <v>10941</v>
      </c>
      <c r="N440" s="49" t="s">
        <v>10942</v>
      </c>
      <c r="O440" s="49" t="s">
        <v>13632</v>
      </c>
      <c r="P440" s="49" t="s">
        <v>13633</v>
      </c>
      <c r="Q440" s="49" t="s">
        <v>13634</v>
      </c>
      <c r="R440" s="49" t="s">
        <v>13635</v>
      </c>
      <c r="S440" s="49" t="s">
        <v>13636</v>
      </c>
      <c r="T440" s="49" t="s">
        <v>13637</v>
      </c>
    </row>
    <row r="441" spans="1:21" x14ac:dyDescent="0.2">
      <c r="A441" s="49" t="s">
        <v>30</v>
      </c>
    </row>
    <row r="442" spans="1:21" x14ac:dyDescent="0.2">
      <c r="A442" s="49" t="s">
        <v>30</v>
      </c>
      <c r="E442" s="49" t="s">
        <v>31</v>
      </c>
      <c r="F442" s="49" t="s">
        <v>31</v>
      </c>
      <c r="G442" s="49" t="s">
        <v>31</v>
      </c>
      <c r="J442" s="49" t="s">
        <v>31</v>
      </c>
      <c r="K442" s="49" t="s">
        <v>31</v>
      </c>
      <c r="L442" s="49" t="s">
        <v>31</v>
      </c>
      <c r="M442" s="49" t="s">
        <v>31</v>
      </c>
    </row>
    <row r="443" spans="1:21" x14ac:dyDescent="0.2">
      <c r="A443" s="49" t="s">
        <v>30</v>
      </c>
      <c r="D443" s="49" t="s">
        <v>13638</v>
      </c>
      <c r="E443" s="49" t="s">
        <v>7632</v>
      </c>
      <c r="F443" s="49" t="s">
        <v>13639</v>
      </c>
      <c r="H443" s="49" t="s">
        <v>13640</v>
      </c>
      <c r="O443" s="49" t="s">
        <v>35226</v>
      </c>
      <c r="P443" s="49" t="s">
        <v>35227</v>
      </c>
      <c r="Q443" s="49" t="s">
        <v>35228</v>
      </c>
      <c r="R443" s="49" t="s">
        <v>35229</v>
      </c>
      <c r="S443" s="49" t="s">
        <v>35230</v>
      </c>
      <c r="T443" s="49" t="s">
        <v>35231</v>
      </c>
      <c r="U443" s="49" t="s">
        <v>35232</v>
      </c>
    </row>
    <row r="444" spans="1:21" x14ac:dyDescent="0.2">
      <c r="A444" s="49" t="s">
        <v>30</v>
      </c>
      <c r="D444" s="49" t="s">
        <v>2510</v>
      </c>
      <c r="G444" s="49" t="s">
        <v>13641</v>
      </c>
      <c r="H444" s="49" t="s">
        <v>2511</v>
      </c>
      <c r="I444" s="49" t="s">
        <v>2512</v>
      </c>
      <c r="J444" s="49" t="s">
        <v>2513</v>
      </c>
      <c r="K444" s="49" t="s">
        <v>2514</v>
      </c>
      <c r="L444" s="49" t="s">
        <v>2515</v>
      </c>
      <c r="M444" s="49" t="s">
        <v>2516</v>
      </c>
      <c r="N444" s="49" t="s">
        <v>2517</v>
      </c>
      <c r="O444" s="49" t="s">
        <v>13642</v>
      </c>
      <c r="P444" s="49" t="s">
        <v>13643</v>
      </c>
      <c r="Q444" s="49" t="s">
        <v>13644</v>
      </c>
      <c r="R444" s="49" t="s">
        <v>13645</v>
      </c>
      <c r="S444" s="49" t="s">
        <v>13646</v>
      </c>
      <c r="T444" s="49" t="s">
        <v>13647</v>
      </c>
    </row>
    <row r="445" spans="1:21" x14ac:dyDescent="0.2">
      <c r="A445" s="49" t="s">
        <v>30</v>
      </c>
    </row>
    <row r="446" spans="1:21" x14ac:dyDescent="0.2">
      <c r="A446" s="49" t="s">
        <v>30</v>
      </c>
      <c r="E446" s="49" t="s">
        <v>31</v>
      </c>
      <c r="F446" s="49" t="s">
        <v>31</v>
      </c>
      <c r="G446" s="49" t="s">
        <v>31</v>
      </c>
      <c r="J446" s="49" t="s">
        <v>31</v>
      </c>
      <c r="K446" s="49" t="s">
        <v>31</v>
      </c>
      <c r="L446" s="49" t="s">
        <v>31</v>
      </c>
      <c r="M446" s="49" t="s">
        <v>31</v>
      </c>
    </row>
    <row r="447" spans="1:21" x14ac:dyDescent="0.2">
      <c r="A447" s="49" t="s">
        <v>30</v>
      </c>
      <c r="D447" s="49" t="s">
        <v>35233</v>
      </c>
      <c r="E447" s="49" t="s">
        <v>18336</v>
      </c>
      <c r="F447" s="49" t="s">
        <v>35234</v>
      </c>
      <c r="H447" s="49" t="s">
        <v>35235</v>
      </c>
      <c r="O447" s="49" t="s">
        <v>35236</v>
      </c>
      <c r="P447" s="49" t="s">
        <v>35237</v>
      </c>
      <c r="Q447" s="49" t="s">
        <v>35238</v>
      </c>
      <c r="R447" s="49" t="s">
        <v>35239</v>
      </c>
      <c r="S447" s="49" t="s">
        <v>35240</v>
      </c>
      <c r="T447" s="49" t="s">
        <v>35241</v>
      </c>
      <c r="U447" s="49" t="s">
        <v>35242</v>
      </c>
    </row>
    <row r="448" spans="1:21" x14ac:dyDescent="0.2">
      <c r="A448" s="49" t="s">
        <v>30</v>
      </c>
      <c r="D448" s="49" t="s">
        <v>10975</v>
      </c>
      <c r="G448" s="49" t="s">
        <v>35243</v>
      </c>
      <c r="H448" s="49" t="s">
        <v>10976</v>
      </c>
      <c r="I448" s="49" t="s">
        <v>10977</v>
      </c>
      <c r="J448" s="49" t="s">
        <v>10978</v>
      </c>
      <c r="K448" s="49" t="s">
        <v>10979</v>
      </c>
      <c r="L448" s="49" t="s">
        <v>10980</v>
      </c>
      <c r="M448" s="49" t="s">
        <v>10981</v>
      </c>
      <c r="N448" s="49" t="s">
        <v>10982</v>
      </c>
      <c r="O448" s="49" t="s">
        <v>35244</v>
      </c>
      <c r="P448" s="49" t="s">
        <v>35245</v>
      </c>
      <c r="Q448" s="49" t="s">
        <v>35246</v>
      </c>
      <c r="R448" s="49" t="s">
        <v>35247</v>
      </c>
      <c r="S448" s="49" t="s">
        <v>35248</v>
      </c>
      <c r="T448" s="49" t="s">
        <v>35249</v>
      </c>
    </row>
    <row r="449" spans="1:21" x14ac:dyDescent="0.2">
      <c r="A449" s="49" t="s">
        <v>30</v>
      </c>
    </row>
    <row r="450" spans="1:21" x14ac:dyDescent="0.2">
      <c r="A450" s="49" t="s">
        <v>30</v>
      </c>
      <c r="E450" s="49" t="s">
        <v>31</v>
      </c>
      <c r="F450" s="49" t="s">
        <v>31</v>
      </c>
      <c r="G450" s="49" t="s">
        <v>31</v>
      </c>
      <c r="J450" s="49" t="s">
        <v>31</v>
      </c>
      <c r="K450" s="49" t="s">
        <v>31</v>
      </c>
      <c r="L450" s="49" t="s">
        <v>31</v>
      </c>
      <c r="M450" s="49" t="s">
        <v>31</v>
      </c>
    </row>
    <row r="451" spans="1:21" x14ac:dyDescent="0.2">
      <c r="A451" s="49" t="s">
        <v>30</v>
      </c>
      <c r="D451" s="49" t="s">
        <v>10983</v>
      </c>
      <c r="E451" s="49" t="s">
        <v>7819</v>
      </c>
      <c r="F451" s="49" t="s">
        <v>10984</v>
      </c>
      <c r="H451" s="49" t="s">
        <v>10985</v>
      </c>
      <c r="O451" s="49" t="s">
        <v>35250</v>
      </c>
      <c r="P451" s="49" t="s">
        <v>35251</v>
      </c>
      <c r="Q451" s="49" t="s">
        <v>35252</v>
      </c>
      <c r="R451" s="49" t="s">
        <v>35253</v>
      </c>
      <c r="S451" s="49" t="s">
        <v>35254</v>
      </c>
      <c r="T451" s="49" t="s">
        <v>35255</v>
      </c>
      <c r="U451" s="49" t="s">
        <v>35256</v>
      </c>
    </row>
    <row r="452" spans="1:21" x14ac:dyDescent="0.2">
      <c r="A452" s="49" t="s">
        <v>30</v>
      </c>
      <c r="D452" s="49" t="s">
        <v>1637</v>
      </c>
      <c r="G452" s="49" t="s">
        <v>35257</v>
      </c>
      <c r="H452" s="49" t="s">
        <v>1638</v>
      </c>
      <c r="I452" s="49" t="s">
        <v>1639</v>
      </c>
      <c r="J452" s="49" t="s">
        <v>1640</v>
      </c>
      <c r="K452" s="49" t="s">
        <v>1641</v>
      </c>
      <c r="L452" s="49" t="s">
        <v>1642</v>
      </c>
      <c r="M452" s="49" t="s">
        <v>1643</v>
      </c>
      <c r="N452" s="49" t="s">
        <v>1644</v>
      </c>
      <c r="O452" s="49" t="s">
        <v>33615</v>
      </c>
      <c r="P452" s="49" t="s">
        <v>33616</v>
      </c>
      <c r="Q452" s="49" t="s">
        <v>33617</v>
      </c>
      <c r="R452" s="49" t="s">
        <v>33618</v>
      </c>
      <c r="S452" s="49" t="s">
        <v>33619</v>
      </c>
      <c r="T452" s="49" t="s">
        <v>33620</v>
      </c>
    </row>
    <row r="453" spans="1:21" x14ac:dyDescent="0.2">
      <c r="A453" s="49" t="s">
        <v>30</v>
      </c>
    </row>
    <row r="454" spans="1:21" x14ac:dyDescent="0.2">
      <c r="A454" s="49" t="s">
        <v>30</v>
      </c>
      <c r="E454" s="49" t="s">
        <v>31</v>
      </c>
      <c r="F454" s="49" t="s">
        <v>31</v>
      </c>
      <c r="G454" s="49" t="s">
        <v>31</v>
      </c>
      <c r="J454" s="49" t="s">
        <v>31</v>
      </c>
      <c r="K454" s="49" t="s">
        <v>31</v>
      </c>
      <c r="L454" s="49" t="s">
        <v>31</v>
      </c>
      <c r="M454" s="49" t="s">
        <v>31</v>
      </c>
    </row>
    <row r="455" spans="1:21" x14ac:dyDescent="0.2">
      <c r="A455" s="49" t="s">
        <v>30</v>
      </c>
      <c r="D455" s="49" t="s">
        <v>33621</v>
      </c>
      <c r="E455" s="49" t="s">
        <v>7820</v>
      </c>
      <c r="F455" s="49" t="s">
        <v>33622</v>
      </c>
      <c r="H455" s="49" t="s">
        <v>33623</v>
      </c>
      <c r="O455" s="49" t="s">
        <v>35258</v>
      </c>
      <c r="P455" s="49" t="s">
        <v>35259</v>
      </c>
      <c r="Q455" s="49" t="s">
        <v>35260</v>
      </c>
      <c r="R455" s="49" t="s">
        <v>35261</v>
      </c>
      <c r="S455" s="49" t="s">
        <v>35262</v>
      </c>
      <c r="T455" s="49" t="s">
        <v>35263</v>
      </c>
      <c r="U455" s="49" t="s">
        <v>35264</v>
      </c>
    </row>
    <row r="456" spans="1:21" x14ac:dyDescent="0.2">
      <c r="A456" s="49" t="s">
        <v>30</v>
      </c>
      <c r="D456" s="49" t="s">
        <v>14717</v>
      </c>
      <c r="G456" s="49" t="s">
        <v>33631</v>
      </c>
      <c r="H456" s="49" t="s">
        <v>31208</v>
      </c>
      <c r="I456" s="49" t="s">
        <v>31211</v>
      </c>
      <c r="J456" s="49" t="s">
        <v>31238</v>
      </c>
      <c r="K456" s="49" t="s">
        <v>31241</v>
      </c>
      <c r="L456" s="49" t="s">
        <v>14719</v>
      </c>
      <c r="M456" s="49" t="s">
        <v>14720</v>
      </c>
      <c r="N456" s="49" t="s">
        <v>14721</v>
      </c>
      <c r="O456" s="49" t="s">
        <v>33632</v>
      </c>
      <c r="P456" s="49" t="s">
        <v>33633</v>
      </c>
      <c r="Q456" s="49" t="s">
        <v>33634</v>
      </c>
      <c r="R456" s="49" t="s">
        <v>33635</v>
      </c>
      <c r="S456" s="49" t="s">
        <v>33636</v>
      </c>
      <c r="T456" s="49" t="s">
        <v>33637</v>
      </c>
    </row>
    <row r="457" spans="1:21" x14ac:dyDescent="0.2">
      <c r="A457" s="49" t="s">
        <v>30</v>
      </c>
    </row>
    <row r="458" spans="1:21" x14ac:dyDescent="0.2">
      <c r="A458" s="49" t="s">
        <v>30</v>
      </c>
      <c r="E458" s="49" t="s">
        <v>31</v>
      </c>
      <c r="F458" s="49" t="s">
        <v>31</v>
      </c>
      <c r="G458" s="49" t="s">
        <v>31</v>
      </c>
      <c r="J458" s="49" t="s">
        <v>31</v>
      </c>
      <c r="K458" s="49" t="s">
        <v>31</v>
      </c>
      <c r="L458" s="49" t="s">
        <v>31</v>
      </c>
      <c r="M458" s="49" t="s">
        <v>31</v>
      </c>
    </row>
    <row r="459" spans="1:21" x14ac:dyDescent="0.2">
      <c r="A459" s="49" t="s">
        <v>30</v>
      </c>
      <c r="D459" s="49" t="s">
        <v>35265</v>
      </c>
      <c r="E459" s="49" t="s">
        <v>7864</v>
      </c>
      <c r="F459" s="49" t="s">
        <v>35266</v>
      </c>
      <c r="H459" s="49" t="s">
        <v>35267</v>
      </c>
      <c r="O459" s="49" t="s">
        <v>35268</v>
      </c>
      <c r="P459" s="49" t="s">
        <v>35269</v>
      </c>
      <c r="Q459" s="49" t="s">
        <v>35270</v>
      </c>
      <c r="R459" s="49" t="s">
        <v>35271</v>
      </c>
      <c r="S459" s="49" t="s">
        <v>35272</v>
      </c>
      <c r="T459" s="49" t="s">
        <v>35273</v>
      </c>
      <c r="U459" s="49" t="s">
        <v>35274</v>
      </c>
    </row>
    <row r="460" spans="1:21" x14ac:dyDescent="0.2">
      <c r="A460" s="49" t="s">
        <v>30</v>
      </c>
      <c r="D460" s="49" t="s">
        <v>9890</v>
      </c>
      <c r="G460" s="49" t="s">
        <v>35275</v>
      </c>
      <c r="H460" s="49" t="s">
        <v>9891</v>
      </c>
      <c r="I460" s="49" t="s">
        <v>9892</v>
      </c>
      <c r="J460" s="49" t="s">
        <v>9893</v>
      </c>
      <c r="K460" s="49" t="s">
        <v>9894</v>
      </c>
      <c r="L460" s="49" t="s">
        <v>9895</v>
      </c>
      <c r="M460" s="49" t="s">
        <v>9896</v>
      </c>
      <c r="N460" s="49" t="s">
        <v>9897</v>
      </c>
      <c r="O460" s="49" t="s">
        <v>35276</v>
      </c>
      <c r="P460" s="49" t="s">
        <v>35277</v>
      </c>
      <c r="Q460" s="49" t="s">
        <v>35278</v>
      </c>
      <c r="R460" s="49" t="s">
        <v>35279</v>
      </c>
      <c r="S460" s="49" t="s">
        <v>35280</v>
      </c>
      <c r="T460" s="49" t="s">
        <v>35281</v>
      </c>
    </row>
    <row r="461" spans="1:21" x14ac:dyDescent="0.2">
      <c r="A461" s="49" t="s">
        <v>30</v>
      </c>
      <c r="D461" s="49" t="s">
        <v>9898</v>
      </c>
      <c r="G461" s="49" t="s">
        <v>18712</v>
      </c>
      <c r="H461" s="49" t="s">
        <v>9899</v>
      </c>
      <c r="I461" s="49" t="s">
        <v>9900</v>
      </c>
      <c r="J461" s="49" t="s">
        <v>9901</v>
      </c>
      <c r="K461" s="49" t="s">
        <v>9902</v>
      </c>
      <c r="L461" s="49" t="s">
        <v>9903</v>
      </c>
      <c r="M461" s="49" t="s">
        <v>9904</v>
      </c>
      <c r="N461" s="49" t="s">
        <v>9905</v>
      </c>
      <c r="O461" s="49" t="s">
        <v>33649</v>
      </c>
      <c r="P461" s="49" t="s">
        <v>33650</v>
      </c>
      <c r="Q461" s="49" t="s">
        <v>33651</v>
      </c>
      <c r="R461" s="49" t="s">
        <v>33652</v>
      </c>
      <c r="S461" s="49" t="s">
        <v>33653</v>
      </c>
      <c r="T461" s="49" t="s">
        <v>33654</v>
      </c>
    </row>
    <row r="462" spans="1:21" x14ac:dyDescent="0.2">
      <c r="A462" s="49" t="s">
        <v>30</v>
      </c>
    </row>
    <row r="463" spans="1:21" x14ac:dyDescent="0.2">
      <c r="A463" s="49" t="s">
        <v>30</v>
      </c>
      <c r="E463" s="49" t="s">
        <v>31</v>
      </c>
      <c r="F463" s="49" t="s">
        <v>31</v>
      </c>
      <c r="G463" s="49" t="s">
        <v>31</v>
      </c>
      <c r="J463" s="49" t="s">
        <v>31</v>
      </c>
      <c r="K463" s="49" t="s">
        <v>31</v>
      </c>
      <c r="L463" s="49" t="s">
        <v>31</v>
      </c>
      <c r="M463" s="49" t="s">
        <v>31</v>
      </c>
    </row>
    <row r="464" spans="1:21" x14ac:dyDescent="0.2">
      <c r="A464" s="49" t="s">
        <v>30</v>
      </c>
      <c r="D464" s="49" t="s">
        <v>33655</v>
      </c>
      <c r="E464" s="49" t="s">
        <v>7949</v>
      </c>
      <c r="F464" s="49" t="s">
        <v>33656</v>
      </c>
      <c r="H464" s="49" t="s">
        <v>33657</v>
      </c>
      <c r="O464" s="49" t="s">
        <v>35282</v>
      </c>
      <c r="P464" s="49" t="s">
        <v>35283</v>
      </c>
      <c r="Q464" s="49" t="s">
        <v>35284</v>
      </c>
      <c r="R464" s="49" t="s">
        <v>35285</v>
      </c>
      <c r="S464" s="49" t="s">
        <v>35286</v>
      </c>
      <c r="T464" s="49" t="s">
        <v>35287</v>
      </c>
      <c r="U464" s="49" t="s">
        <v>35288</v>
      </c>
    </row>
    <row r="465" spans="1:21" x14ac:dyDescent="0.2">
      <c r="A465" s="49" t="s">
        <v>30</v>
      </c>
      <c r="D465" s="49" t="s">
        <v>9906</v>
      </c>
      <c r="G465" s="49" t="s">
        <v>33665</v>
      </c>
      <c r="H465" s="49" t="s">
        <v>9907</v>
      </c>
      <c r="I465" s="49" t="s">
        <v>9908</v>
      </c>
      <c r="J465" s="49" t="s">
        <v>9909</v>
      </c>
      <c r="K465" s="49" t="s">
        <v>9910</v>
      </c>
      <c r="L465" s="49" t="s">
        <v>9911</v>
      </c>
      <c r="M465" s="49" t="s">
        <v>9912</v>
      </c>
      <c r="N465" s="49" t="s">
        <v>9913</v>
      </c>
      <c r="O465" s="49" t="s">
        <v>34548</v>
      </c>
      <c r="P465" s="49" t="s">
        <v>34551</v>
      </c>
      <c r="Q465" s="49" t="s">
        <v>34554</v>
      </c>
      <c r="R465" s="49" t="s">
        <v>34557</v>
      </c>
      <c r="S465" s="49" t="s">
        <v>34560</v>
      </c>
      <c r="T465" s="49" t="s">
        <v>34563</v>
      </c>
    </row>
    <row r="466" spans="1:21" x14ac:dyDescent="0.2">
      <c r="A466" s="49" t="s">
        <v>30</v>
      </c>
    </row>
    <row r="467" spans="1:21" x14ac:dyDescent="0.2">
      <c r="A467" s="49" t="s">
        <v>30</v>
      </c>
      <c r="E467" s="49" t="s">
        <v>31</v>
      </c>
      <c r="F467" s="49" t="s">
        <v>31</v>
      </c>
      <c r="G467" s="49" t="s">
        <v>31</v>
      </c>
      <c r="J467" s="49" t="s">
        <v>31</v>
      </c>
      <c r="K467" s="49" t="s">
        <v>31</v>
      </c>
      <c r="L467" s="49" t="s">
        <v>31</v>
      </c>
      <c r="M467" s="49" t="s">
        <v>31</v>
      </c>
    </row>
    <row r="468" spans="1:21" x14ac:dyDescent="0.2">
      <c r="A468" s="49" t="s">
        <v>30</v>
      </c>
      <c r="D468" s="49" t="s">
        <v>35289</v>
      </c>
      <c r="E468" s="49" t="s">
        <v>8020</v>
      </c>
      <c r="F468" s="49" t="s">
        <v>35290</v>
      </c>
      <c r="H468" s="49" t="s">
        <v>35291</v>
      </c>
      <c r="O468" s="49" t="s">
        <v>35292</v>
      </c>
      <c r="P468" s="49" t="s">
        <v>35293</v>
      </c>
      <c r="Q468" s="49" t="s">
        <v>35294</v>
      </c>
      <c r="R468" s="49" t="s">
        <v>35295</v>
      </c>
      <c r="S468" s="49" t="s">
        <v>35296</v>
      </c>
      <c r="T468" s="49" t="s">
        <v>35297</v>
      </c>
      <c r="U468" s="49" t="s">
        <v>35298</v>
      </c>
    </row>
    <row r="469" spans="1:21" x14ac:dyDescent="0.2">
      <c r="A469" s="49" t="s">
        <v>30</v>
      </c>
      <c r="D469" s="49" t="s">
        <v>5212</v>
      </c>
      <c r="G469" s="49" t="s">
        <v>35299</v>
      </c>
      <c r="H469" s="49" t="s">
        <v>5213</v>
      </c>
      <c r="I469" s="49" t="s">
        <v>5214</v>
      </c>
      <c r="J469" s="49" t="s">
        <v>5215</v>
      </c>
      <c r="K469" s="49" t="s">
        <v>5216</v>
      </c>
      <c r="L469" s="49" t="s">
        <v>5217</v>
      </c>
      <c r="M469" s="49" t="s">
        <v>5218</v>
      </c>
      <c r="N469" s="49" t="s">
        <v>5219</v>
      </c>
      <c r="O469" s="49" t="s">
        <v>35803</v>
      </c>
      <c r="P469" s="49" t="s">
        <v>35805</v>
      </c>
      <c r="Q469" s="49" t="s">
        <v>35807</v>
      </c>
      <c r="R469" s="49" t="s">
        <v>35809</v>
      </c>
      <c r="S469" s="49" t="s">
        <v>35811</v>
      </c>
      <c r="T469" s="49" t="s">
        <v>35813</v>
      </c>
    </row>
    <row r="470" spans="1:21" x14ac:dyDescent="0.2">
      <c r="A470" s="49" t="s">
        <v>30</v>
      </c>
      <c r="D470" s="49" t="s">
        <v>14742</v>
      </c>
      <c r="G470" s="49" t="s">
        <v>18797</v>
      </c>
      <c r="H470" s="49" t="s">
        <v>31116</v>
      </c>
      <c r="I470" s="49" t="s">
        <v>31125</v>
      </c>
      <c r="J470" s="49" t="s">
        <v>31188</v>
      </c>
      <c r="K470" s="49" t="s">
        <v>31197</v>
      </c>
      <c r="L470" s="49" t="s">
        <v>14744</v>
      </c>
      <c r="M470" s="49" t="s">
        <v>14745</v>
      </c>
      <c r="N470" s="49" t="s">
        <v>14746</v>
      </c>
      <c r="O470" s="49" t="s">
        <v>35804</v>
      </c>
      <c r="P470" s="49" t="s">
        <v>35806</v>
      </c>
      <c r="Q470" s="49" t="s">
        <v>35808</v>
      </c>
      <c r="R470" s="49" t="s">
        <v>35810</v>
      </c>
      <c r="S470" s="49" t="s">
        <v>35812</v>
      </c>
      <c r="T470" s="49" t="s">
        <v>35814</v>
      </c>
    </row>
    <row r="471" spans="1:21" x14ac:dyDescent="0.2">
      <c r="A471" s="49" t="s">
        <v>30</v>
      </c>
      <c r="D471" s="49" t="s">
        <v>14747</v>
      </c>
      <c r="G471" s="49" t="s">
        <v>18862</v>
      </c>
      <c r="H471" s="49" t="s">
        <v>31117</v>
      </c>
      <c r="I471" s="49" t="s">
        <v>31126</v>
      </c>
      <c r="J471" s="49" t="s">
        <v>31189</v>
      </c>
      <c r="K471" s="49" t="s">
        <v>31198</v>
      </c>
      <c r="L471" s="49" t="s">
        <v>14749</v>
      </c>
      <c r="M471" s="49" t="s">
        <v>14750</v>
      </c>
      <c r="N471" s="49" t="s">
        <v>14751</v>
      </c>
      <c r="O471" s="49" t="s">
        <v>33677</v>
      </c>
      <c r="P471" s="49" t="s">
        <v>33678</v>
      </c>
      <c r="Q471" s="49" t="s">
        <v>33679</v>
      </c>
      <c r="R471" s="49" t="s">
        <v>33680</v>
      </c>
      <c r="S471" s="49" t="s">
        <v>33681</v>
      </c>
      <c r="T471" s="49" t="s">
        <v>33682</v>
      </c>
    </row>
    <row r="472" spans="1:21" x14ac:dyDescent="0.2">
      <c r="A472" s="49" t="s">
        <v>30</v>
      </c>
    </row>
    <row r="473" spans="1:21" x14ac:dyDescent="0.2">
      <c r="A473" s="49" t="s">
        <v>30</v>
      </c>
      <c r="E473" s="49" t="s">
        <v>31</v>
      </c>
      <c r="F473" s="49" t="s">
        <v>31</v>
      </c>
      <c r="G473" s="49" t="s">
        <v>31</v>
      </c>
      <c r="J473" s="49" t="s">
        <v>31</v>
      </c>
      <c r="K473" s="49" t="s">
        <v>31</v>
      </c>
      <c r="L473" s="49" t="s">
        <v>31</v>
      </c>
      <c r="M473" s="49" t="s">
        <v>31</v>
      </c>
    </row>
    <row r="474" spans="1:21" x14ac:dyDescent="0.2">
      <c r="A474" s="49" t="s">
        <v>30</v>
      </c>
      <c r="D474" s="49" t="s">
        <v>33683</v>
      </c>
      <c r="E474" s="49" t="s">
        <v>8077</v>
      </c>
      <c r="F474" s="49" t="s">
        <v>33684</v>
      </c>
      <c r="H474" s="49" t="s">
        <v>33685</v>
      </c>
      <c r="O474" s="49" t="s">
        <v>35300</v>
      </c>
      <c r="P474" s="49" t="s">
        <v>35301</v>
      </c>
      <c r="Q474" s="49" t="s">
        <v>35302</v>
      </c>
      <c r="R474" s="49" t="s">
        <v>35303</v>
      </c>
      <c r="S474" s="49" t="s">
        <v>35304</v>
      </c>
      <c r="T474" s="49" t="s">
        <v>35305</v>
      </c>
      <c r="U474" s="49" t="s">
        <v>35306</v>
      </c>
    </row>
    <row r="475" spans="1:21" x14ac:dyDescent="0.2">
      <c r="A475" s="49" t="s">
        <v>30</v>
      </c>
      <c r="D475" s="49" t="s">
        <v>9922</v>
      </c>
      <c r="G475" s="49" t="s">
        <v>33693</v>
      </c>
      <c r="H475" s="49" t="s">
        <v>9923</v>
      </c>
      <c r="I475" s="49" t="s">
        <v>9924</v>
      </c>
      <c r="J475" s="49" t="s">
        <v>9925</v>
      </c>
      <c r="K475" s="49" t="s">
        <v>9926</v>
      </c>
      <c r="L475" s="49" t="s">
        <v>9927</v>
      </c>
      <c r="M475" s="49" t="s">
        <v>9928</v>
      </c>
      <c r="N475" s="49" t="s">
        <v>9929</v>
      </c>
      <c r="O475" s="49" t="s">
        <v>34530</v>
      </c>
      <c r="P475" s="49" t="s">
        <v>34533</v>
      </c>
      <c r="Q475" s="49" t="s">
        <v>34536</v>
      </c>
      <c r="R475" s="49" t="s">
        <v>34539</v>
      </c>
      <c r="S475" s="49" t="s">
        <v>34542</v>
      </c>
      <c r="T475" s="49" t="s">
        <v>34545</v>
      </c>
    </row>
    <row r="476" spans="1:21" x14ac:dyDescent="0.2">
      <c r="A476" s="49" t="s">
        <v>30</v>
      </c>
      <c r="D476" s="49" t="s">
        <v>5227</v>
      </c>
      <c r="G476" s="49" t="s">
        <v>18972</v>
      </c>
      <c r="H476" s="49" t="s">
        <v>5228</v>
      </c>
      <c r="I476" s="49" t="s">
        <v>5229</v>
      </c>
      <c r="J476" s="49" t="s">
        <v>5230</v>
      </c>
      <c r="K476" s="49" t="s">
        <v>5231</v>
      </c>
      <c r="L476" s="49" t="s">
        <v>5232</v>
      </c>
      <c r="M476" s="49" t="s">
        <v>5233</v>
      </c>
      <c r="N476" s="49" t="s">
        <v>5234</v>
      </c>
      <c r="O476" s="49" t="s">
        <v>34531</v>
      </c>
      <c r="P476" s="49" t="s">
        <v>34534</v>
      </c>
      <c r="Q476" s="49" t="s">
        <v>34537</v>
      </c>
      <c r="R476" s="49" t="s">
        <v>34540</v>
      </c>
      <c r="S476" s="49" t="s">
        <v>34543</v>
      </c>
      <c r="T476" s="49" t="s">
        <v>34546</v>
      </c>
    </row>
    <row r="477" spans="1:21" x14ac:dyDescent="0.2">
      <c r="A477" s="49" t="s">
        <v>30</v>
      </c>
    </row>
    <row r="478" spans="1:21" x14ac:dyDescent="0.2">
      <c r="A478" s="49" t="s">
        <v>30</v>
      </c>
      <c r="E478" s="49" t="s">
        <v>31</v>
      </c>
      <c r="F478" s="49" t="s">
        <v>31</v>
      </c>
      <c r="G478" s="49" t="s">
        <v>31</v>
      </c>
      <c r="J478" s="49" t="s">
        <v>31</v>
      </c>
      <c r="K478" s="49" t="s">
        <v>31</v>
      </c>
      <c r="L478" s="49" t="s">
        <v>31</v>
      </c>
      <c r="M478" s="49" t="s">
        <v>31</v>
      </c>
    </row>
    <row r="479" spans="1:21" x14ac:dyDescent="0.2">
      <c r="A479" s="49" t="s">
        <v>30</v>
      </c>
      <c r="D479" s="49" t="s">
        <v>35307</v>
      </c>
      <c r="E479" s="49" t="s">
        <v>8162</v>
      </c>
      <c r="F479" s="49" t="s">
        <v>35308</v>
      </c>
      <c r="H479" s="49" t="s">
        <v>35309</v>
      </c>
      <c r="O479" s="49" t="s">
        <v>35310</v>
      </c>
      <c r="P479" s="49" t="s">
        <v>35311</v>
      </c>
      <c r="Q479" s="49" t="s">
        <v>35312</v>
      </c>
      <c r="R479" s="49" t="s">
        <v>35313</v>
      </c>
      <c r="S479" s="49" t="s">
        <v>35314</v>
      </c>
      <c r="T479" s="49" t="s">
        <v>35315</v>
      </c>
      <c r="U479" s="49" t="s">
        <v>35316</v>
      </c>
    </row>
    <row r="480" spans="1:21" x14ac:dyDescent="0.2">
      <c r="A480" s="49" t="s">
        <v>30</v>
      </c>
      <c r="D480" s="49" t="s">
        <v>14772</v>
      </c>
      <c r="G480" s="49" t="s">
        <v>35317</v>
      </c>
      <c r="H480" s="49" t="s">
        <v>31121</v>
      </c>
      <c r="I480" s="49" t="s">
        <v>31130</v>
      </c>
      <c r="J480" s="49" t="s">
        <v>31193</v>
      </c>
      <c r="K480" s="49" t="s">
        <v>31202</v>
      </c>
      <c r="L480" s="49" t="s">
        <v>14774</v>
      </c>
      <c r="M480" s="49" t="s">
        <v>14775</v>
      </c>
      <c r="N480" s="49" t="s">
        <v>14776</v>
      </c>
      <c r="O480" s="49" t="s">
        <v>35797</v>
      </c>
      <c r="P480" s="49" t="s">
        <v>35798</v>
      </c>
      <c r="Q480" s="49" t="s">
        <v>35799</v>
      </c>
      <c r="R480" s="49" t="s">
        <v>35800</v>
      </c>
      <c r="S480" s="49" t="s">
        <v>35801</v>
      </c>
      <c r="T480" s="49" t="s">
        <v>35802</v>
      </c>
    </row>
    <row r="481" spans="1:21" x14ac:dyDescent="0.2">
      <c r="A481" s="49" t="s">
        <v>30</v>
      </c>
      <c r="D481" s="49" t="s">
        <v>5259</v>
      </c>
      <c r="G481" s="49" t="s">
        <v>19027</v>
      </c>
      <c r="H481" s="49" t="s">
        <v>5260</v>
      </c>
      <c r="I481" s="49" t="s">
        <v>5261</v>
      </c>
      <c r="J481" s="49" t="s">
        <v>5262</v>
      </c>
      <c r="K481" s="49" t="s">
        <v>5263</v>
      </c>
      <c r="L481" s="49" t="s">
        <v>5264</v>
      </c>
      <c r="M481" s="49" t="s">
        <v>5265</v>
      </c>
      <c r="N481" s="49" t="s">
        <v>5266</v>
      </c>
      <c r="O481" s="49" t="s">
        <v>34512</v>
      </c>
      <c r="P481" s="49" t="s">
        <v>34515</v>
      </c>
      <c r="Q481" s="49" t="s">
        <v>34518</v>
      </c>
      <c r="R481" s="49" t="s">
        <v>34521</v>
      </c>
      <c r="S481" s="49" t="s">
        <v>34524</v>
      </c>
      <c r="T481" s="49" t="s">
        <v>34527</v>
      </c>
    </row>
    <row r="482" spans="1:21" x14ac:dyDescent="0.2">
      <c r="A482" s="49" t="s">
        <v>30</v>
      </c>
      <c r="D482" s="49" t="s">
        <v>5273</v>
      </c>
      <c r="G482" s="49" t="s">
        <v>19037</v>
      </c>
      <c r="H482" s="49" t="s">
        <v>5274</v>
      </c>
      <c r="I482" s="49" t="s">
        <v>5275</v>
      </c>
      <c r="J482" s="49" t="s">
        <v>5276</v>
      </c>
      <c r="K482" s="49" t="s">
        <v>5277</v>
      </c>
      <c r="L482" s="49" t="s">
        <v>5278</v>
      </c>
      <c r="M482" s="49" t="s">
        <v>5279</v>
      </c>
      <c r="N482" s="49" t="s">
        <v>5280</v>
      </c>
      <c r="O482" s="49" t="s">
        <v>34513</v>
      </c>
      <c r="P482" s="49" t="s">
        <v>34516</v>
      </c>
      <c r="Q482" s="49" t="s">
        <v>34519</v>
      </c>
      <c r="R482" s="49" t="s">
        <v>34522</v>
      </c>
      <c r="S482" s="49" t="s">
        <v>34525</v>
      </c>
      <c r="T482" s="49" t="s">
        <v>34528</v>
      </c>
    </row>
    <row r="483" spans="1:21" x14ac:dyDescent="0.2">
      <c r="A483" s="49" t="s">
        <v>30</v>
      </c>
    </row>
    <row r="484" spans="1:21" x14ac:dyDescent="0.2">
      <c r="A484" s="49" t="s">
        <v>30</v>
      </c>
      <c r="E484" s="49" t="s">
        <v>31</v>
      </c>
      <c r="F484" s="49" t="s">
        <v>31</v>
      </c>
      <c r="G484" s="49" t="s">
        <v>31</v>
      </c>
      <c r="J484" s="49" t="s">
        <v>31</v>
      </c>
      <c r="K484" s="49" t="s">
        <v>31</v>
      </c>
      <c r="L484" s="49" t="s">
        <v>31</v>
      </c>
      <c r="M484" s="49" t="s">
        <v>31</v>
      </c>
    </row>
    <row r="485" spans="1:21" x14ac:dyDescent="0.2">
      <c r="A485" s="49" t="s">
        <v>30</v>
      </c>
      <c r="D485" s="49" t="s">
        <v>35318</v>
      </c>
      <c r="E485" s="49" t="s">
        <v>8205</v>
      </c>
      <c r="F485" s="49" t="s">
        <v>35319</v>
      </c>
      <c r="H485" s="49" t="s">
        <v>35320</v>
      </c>
      <c r="O485" s="49" t="s">
        <v>35321</v>
      </c>
      <c r="P485" s="49" t="s">
        <v>35322</v>
      </c>
      <c r="Q485" s="49" t="s">
        <v>35323</v>
      </c>
      <c r="R485" s="49" t="s">
        <v>35324</v>
      </c>
      <c r="S485" s="49" t="s">
        <v>35325</v>
      </c>
      <c r="T485" s="49" t="s">
        <v>35326</v>
      </c>
      <c r="U485" s="49" t="s">
        <v>35327</v>
      </c>
    </row>
    <row r="486" spans="1:21" x14ac:dyDescent="0.2">
      <c r="A486" s="49" t="s">
        <v>30</v>
      </c>
      <c r="D486" s="49" t="s">
        <v>11009</v>
      </c>
      <c r="G486" s="49" t="s">
        <v>35328</v>
      </c>
      <c r="H486" s="49" t="s">
        <v>12536</v>
      </c>
      <c r="I486" s="49" t="s">
        <v>12537</v>
      </c>
      <c r="J486" s="49" t="s">
        <v>12556</v>
      </c>
      <c r="K486" s="49" t="s">
        <v>12557</v>
      </c>
      <c r="L486" s="49" t="s">
        <v>11010</v>
      </c>
      <c r="M486" s="49" t="s">
        <v>11011</v>
      </c>
      <c r="N486" s="49" t="s">
        <v>11012</v>
      </c>
      <c r="O486" s="49" t="s">
        <v>35329</v>
      </c>
      <c r="P486" s="49" t="s">
        <v>35330</v>
      </c>
      <c r="Q486" s="49" t="s">
        <v>35331</v>
      </c>
      <c r="R486" s="49" t="s">
        <v>35332</v>
      </c>
      <c r="S486" s="49" t="s">
        <v>35333</v>
      </c>
      <c r="T486" s="49" t="s">
        <v>35334</v>
      </c>
    </row>
    <row r="487" spans="1:21" x14ac:dyDescent="0.2">
      <c r="A487" s="49" t="s">
        <v>30</v>
      </c>
      <c r="D487" s="49" t="s">
        <v>14783</v>
      </c>
      <c r="G487" s="49" t="s">
        <v>19107</v>
      </c>
      <c r="H487" s="49" t="s">
        <v>31122</v>
      </c>
      <c r="I487" s="49" t="s">
        <v>31131</v>
      </c>
      <c r="J487" s="49" t="s">
        <v>31194</v>
      </c>
      <c r="K487" s="49" t="s">
        <v>31203</v>
      </c>
      <c r="L487" s="49" t="s">
        <v>14785</v>
      </c>
      <c r="M487" s="49" t="s">
        <v>14786</v>
      </c>
      <c r="N487" s="49" t="s">
        <v>14787</v>
      </c>
      <c r="O487" s="49" t="s">
        <v>33713</v>
      </c>
      <c r="P487" s="49" t="s">
        <v>33714</v>
      </c>
      <c r="Q487" s="49" t="s">
        <v>33715</v>
      </c>
      <c r="R487" s="49" t="s">
        <v>33716</v>
      </c>
      <c r="S487" s="49" t="s">
        <v>33717</v>
      </c>
      <c r="T487" s="49" t="s">
        <v>33718</v>
      </c>
    </row>
    <row r="488" spans="1:21" x14ac:dyDescent="0.2">
      <c r="A488" s="49" t="s">
        <v>30</v>
      </c>
    </row>
    <row r="489" spans="1:21" x14ac:dyDescent="0.2">
      <c r="A489" s="49" t="s">
        <v>30</v>
      </c>
      <c r="E489" s="49" t="s">
        <v>31</v>
      </c>
      <c r="F489" s="49" t="s">
        <v>31</v>
      </c>
      <c r="G489" s="49" t="s">
        <v>31</v>
      </c>
      <c r="J489" s="49" t="s">
        <v>31</v>
      </c>
      <c r="K489" s="49" t="s">
        <v>31</v>
      </c>
      <c r="L489" s="49" t="s">
        <v>31</v>
      </c>
      <c r="M489" s="49" t="s">
        <v>31</v>
      </c>
    </row>
    <row r="490" spans="1:21" x14ac:dyDescent="0.2">
      <c r="A490" s="49" t="s">
        <v>30</v>
      </c>
      <c r="D490" s="49" t="s">
        <v>33719</v>
      </c>
      <c r="E490" s="49" t="s">
        <v>8262</v>
      </c>
      <c r="F490" s="49" t="s">
        <v>33720</v>
      </c>
      <c r="H490" s="49" t="s">
        <v>33721</v>
      </c>
      <c r="O490" s="49" t="s">
        <v>35335</v>
      </c>
      <c r="P490" s="49" t="s">
        <v>35336</v>
      </c>
      <c r="Q490" s="49" t="s">
        <v>35337</v>
      </c>
      <c r="R490" s="49" t="s">
        <v>35338</v>
      </c>
      <c r="S490" s="49" t="s">
        <v>35339</v>
      </c>
      <c r="T490" s="49" t="s">
        <v>35340</v>
      </c>
      <c r="U490" s="49" t="s">
        <v>35341</v>
      </c>
    </row>
    <row r="491" spans="1:21" x14ac:dyDescent="0.2">
      <c r="A491" s="49" t="s">
        <v>30</v>
      </c>
      <c r="D491" s="49" t="s">
        <v>11016</v>
      </c>
      <c r="G491" s="49" t="s">
        <v>33729</v>
      </c>
      <c r="H491" s="49" t="s">
        <v>11017</v>
      </c>
      <c r="I491" s="49" t="s">
        <v>11018</v>
      </c>
      <c r="J491" s="49" t="s">
        <v>11019</v>
      </c>
      <c r="K491" s="49" t="s">
        <v>11020</v>
      </c>
      <c r="L491" s="49" t="s">
        <v>11021</v>
      </c>
      <c r="M491" s="49" t="s">
        <v>11022</v>
      </c>
      <c r="N491" s="49" t="s">
        <v>11023</v>
      </c>
      <c r="O491" s="49" t="s">
        <v>33730</v>
      </c>
      <c r="P491" s="49" t="s">
        <v>33731</v>
      </c>
      <c r="Q491" s="49" t="s">
        <v>33732</v>
      </c>
      <c r="R491" s="49" t="s">
        <v>33733</v>
      </c>
      <c r="S491" s="49" t="s">
        <v>33734</v>
      </c>
      <c r="T491" s="49" t="s">
        <v>33735</v>
      </c>
    </row>
    <row r="492" spans="1:21" x14ac:dyDescent="0.2">
      <c r="A492" s="49" t="s">
        <v>30</v>
      </c>
    </row>
    <row r="493" spans="1:21" x14ac:dyDescent="0.2">
      <c r="A493" s="49" t="s">
        <v>30</v>
      </c>
      <c r="E493" s="49" t="s">
        <v>31</v>
      </c>
      <c r="F493" s="49" t="s">
        <v>31</v>
      </c>
      <c r="G493" s="49" t="s">
        <v>31</v>
      </c>
      <c r="J493" s="49" t="s">
        <v>31</v>
      </c>
      <c r="K493" s="49" t="s">
        <v>31</v>
      </c>
      <c r="L493" s="49" t="s">
        <v>31</v>
      </c>
      <c r="M493" s="49" t="s">
        <v>31</v>
      </c>
    </row>
    <row r="494" spans="1:21" x14ac:dyDescent="0.2">
      <c r="A494" s="49" t="s">
        <v>30</v>
      </c>
      <c r="D494" s="49" t="s">
        <v>14800</v>
      </c>
      <c r="E494" s="49" t="s">
        <v>8333</v>
      </c>
      <c r="F494" s="49" t="s">
        <v>14801</v>
      </c>
      <c r="H494" s="49" t="s">
        <v>14802</v>
      </c>
      <c r="O494" s="49" t="s">
        <v>35342</v>
      </c>
      <c r="P494" s="49" t="s">
        <v>35343</v>
      </c>
      <c r="Q494" s="49" t="s">
        <v>35344</v>
      </c>
      <c r="R494" s="49" t="s">
        <v>35345</v>
      </c>
      <c r="S494" s="49" t="s">
        <v>35346</v>
      </c>
      <c r="T494" s="49" t="s">
        <v>35347</v>
      </c>
      <c r="U494" s="49" t="s">
        <v>35348</v>
      </c>
    </row>
    <row r="495" spans="1:21" x14ac:dyDescent="0.2">
      <c r="A495" s="49" t="s">
        <v>30</v>
      </c>
      <c r="D495" s="49" t="s">
        <v>14810</v>
      </c>
      <c r="G495" s="49" t="s">
        <v>35349</v>
      </c>
      <c r="H495" s="49" t="s">
        <v>31036</v>
      </c>
      <c r="I495" s="49" t="s">
        <v>31044</v>
      </c>
      <c r="J495" s="49" t="s">
        <v>31100</v>
      </c>
      <c r="K495" s="49" t="s">
        <v>31108</v>
      </c>
      <c r="L495" s="49" t="s">
        <v>14812</v>
      </c>
      <c r="M495" s="49" t="s">
        <v>14813</v>
      </c>
      <c r="N495" s="49" t="s">
        <v>14814</v>
      </c>
      <c r="O495" s="49" t="s">
        <v>35785</v>
      </c>
      <c r="P495" s="49" t="s">
        <v>35787</v>
      </c>
      <c r="Q495" s="49" t="s">
        <v>35789</v>
      </c>
      <c r="R495" s="49" t="s">
        <v>35791</v>
      </c>
      <c r="S495" s="49" t="s">
        <v>35793</v>
      </c>
      <c r="T495" s="49" t="s">
        <v>35795</v>
      </c>
    </row>
    <row r="496" spans="1:21" x14ac:dyDescent="0.2">
      <c r="A496" s="49" t="s">
        <v>30</v>
      </c>
      <c r="D496" s="49" t="s">
        <v>14815</v>
      </c>
      <c r="G496" s="49" t="s">
        <v>19267</v>
      </c>
      <c r="H496" s="49" t="s">
        <v>31037</v>
      </c>
      <c r="I496" s="49" t="s">
        <v>31045</v>
      </c>
      <c r="J496" s="49" t="s">
        <v>31101</v>
      </c>
      <c r="K496" s="49" t="s">
        <v>31109</v>
      </c>
      <c r="L496" s="49" t="s">
        <v>14817</v>
      </c>
      <c r="M496" s="49" t="s">
        <v>14818</v>
      </c>
      <c r="N496" s="49" t="s">
        <v>14819</v>
      </c>
      <c r="O496" s="49" t="s">
        <v>33753</v>
      </c>
      <c r="P496" s="49" t="s">
        <v>33754</v>
      </c>
      <c r="Q496" s="49" t="s">
        <v>33755</v>
      </c>
      <c r="R496" s="49" t="s">
        <v>33756</v>
      </c>
      <c r="S496" s="49" t="s">
        <v>33757</v>
      </c>
      <c r="T496" s="49" t="s">
        <v>33758</v>
      </c>
    </row>
    <row r="497" spans="1:21" x14ac:dyDescent="0.2">
      <c r="A497" s="49" t="s">
        <v>30</v>
      </c>
      <c r="D497" s="49" t="s">
        <v>5317</v>
      </c>
      <c r="G497" s="49" t="s">
        <v>19307</v>
      </c>
      <c r="H497" s="49" t="s">
        <v>5318</v>
      </c>
      <c r="I497" s="49" t="s">
        <v>5319</v>
      </c>
      <c r="J497" s="49" t="s">
        <v>5320</v>
      </c>
      <c r="K497" s="49" t="s">
        <v>5321</v>
      </c>
      <c r="L497" s="49" t="s">
        <v>5322</v>
      </c>
      <c r="M497" s="49" t="s">
        <v>5323</v>
      </c>
      <c r="N497" s="49" t="s">
        <v>5324</v>
      </c>
      <c r="O497" s="49" t="s">
        <v>35786</v>
      </c>
      <c r="P497" s="49" t="s">
        <v>35788</v>
      </c>
      <c r="Q497" s="49" t="s">
        <v>35790</v>
      </c>
      <c r="R497" s="49" t="s">
        <v>35792</v>
      </c>
      <c r="S497" s="49" t="s">
        <v>35794</v>
      </c>
      <c r="T497" s="49" t="s">
        <v>35796</v>
      </c>
    </row>
    <row r="498" spans="1:21" x14ac:dyDescent="0.2">
      <c r="A498" s="49" t="s">
        <v>30</v>
      </c>
    </row>
    <row r="499" spans="1:21" x14ac:dyDescent="0.2">
      <c r="A499" s="49" t="s">
        <v>30</v>
      </c>
      <c r="E499" s="49" t="s">
        <v>31</v>
      </c>
      <c r="F499" s="49" t="s">
        <v>31</v>
      </c>
      <c r="G499" s="49" t="s">
        <v>31</v>
      </c>
      <c r="J499" s="49" t="s">
        <v>31</v>
      </c>
      <c r="K499" s="49" t="s">
        <v>31</v>
      </c>
      <c r="L499" s="49" t="s">
        <v>31</v>
      </c>
      <c r="M499" s="49" t="s">
        <v>31</v>
      </c>
    </row>
    <row r="500" spans="1:21" x14ac:dyDescent="0.2">
      <c r="A500" s="49" t="s">
        <v>30</v>
      </c>
      <c r="D500" s="49" t="s">
        <v>35350</v>
      </c>
      <c r="E500" s="49" t="s">
        <v>8404</v>
      </c>
      <c r="F500" s="49" t="s">
        <v>35351</v>
      </c>
      <c r="H500" s="49" t="s">
        <v>35352</v>
      </c>
      <c r="O500" s="49" t="s">
        <v>35353</v>
      </c>
      <c r="P500" s="49" t="s">
        <v>35354</v>
      </c>
      <c r="Q500" s="49" t="s">
        <v>35355</v>
      </c>
      <c r="R500" s="49" t="s">
        <v>35356</v>
      </c>
      <c r="S500" s="49" t="s">
        <v>35357</v>
      </c>
      <c r="T500" s="49" t="s">
        <v>35358</v>
      </c>
      <c r="U500" s="49" t="s">
        <v>35359</v>
      </c>
    </row>
    <row r="501" spans="1:21" x14ac:dyDescent="0.2">
      <c r="A501" s="49" t="s">
        <v>30</v>
      </c>
      <c r="D501" s="49" t="s">
        <v>14824</v>
      </c>
      <c r="G501" s="49" t="s">
        <v>35360</v>
      </c>
      <c r="H501" s="49" t="s">
        <v>31038</v>
      </c>
      <c r="I501" s="49" t="s">
        <v>31046</v>
      </c>
      <c r="J501" s="49" t="s">
        <v>31102</v>
      </c>
      <c r="K501" s="49" t="s">
        <v>31110</v>
      </c>
      <c r="L501" s="49" t="s">
        <v>14826</v>
      </c>
      <c r="M501" s="49" t="s">
        <v>14827</v>
      </c>
      <c r="N501" s="49" t="s">
        <v>14828</v>
      </c>
      <c r="O501" s="49" t="s">
        <v>35767</v>
      </c>
      <c r="P501" s="49" t="s">
        <v>35770</v>
      </c>
      <c r="Q501" s="49" t="s">
        <v>35773</v>
      </c>
      <c r="R501" s="49" t="s">
        <v>35776</v>
      </c>
      <c r="S501" s="49" t="s">
        <v>35779</v>
      </c>
      <c r="T501" s="49" t="s">
        <v>35782</v>
      </c>
    </row>
    <row r="502" spans="1:21" x14ac:dyDescent="0.2">
      <c r="A502" s="49" t="s">
        <v>30</v>
      </c>
      <c r="D502" s="49" t="s">
        <v>14829</v>
      </c>
      <c r="G502" s="49" t="s">
        <v>19372</v>
      </c>
      <c r="H502" s="49" t="s">
        <v>31039</v>
      </c>
      <c r="I502" s="49" t="s">
        <v>31047</v>
      </c>
      <c r="J502" s="49" t="s">
        <v>31103</v>
      </c>
      <c r="K502" s="49" t="s">
        <v>31111</v>
      </c>
      <c r="L502" s="49" t="s">
        <v>14831</v>
      </c>
      <c r="M502" s="49" t="s">
        <v>14832</v>
      </c>
      <c r="N502" s="49" t="s">
        <v>14833</v>
      </c>
      <c r="O502" s="49" t="s">
        <v>35768</v>
      </c>
      <c r="P502" s="49" t="s">
        <v>35771</v>
      </c>
      <c r="Q502" s="49" t="s">
        <v>35774</v>
      </c>
      <c r="R502" s="49" t="s">
        <v>35777</v>
      </c>
      <c r="S502" s="49" t="s">
        <v>35780</v>
      </c>
      <c r="T502" s="49" t="s">
        <v>35783</v>
      </c>
    </row>
    <row r="503" spans="1:21" x14ac:dyDescent="0.2">
      <c r="A503" s="49" t="s">
        <v>30</v>
      </c>
      <c r="D503" s="49" t="s">
        <v>14834</v>
      </c>
      <c r="G503" s="49" t="s">
        <v>19387</v>
      </c>
      <c r="H503" s="49" t="s">
        <v>31040</v>
      </c>
      <c r="I503" s="49" t="s">
        <v>31048</v>
      </c>
      <c r="J503" s="49" t="s">
        <v>31104</v>
      </c>
      <c r="K503" s="49" t="s">
        <v>31112</v>
      </c>
      <c r="L503" s="49" t="s">
        <v>14836</v>
      </c>
      <c r="M503" s="49" t="s">
        <v>14837</v>
      </c>
      <c r="N503" s="49" t="s">
        <v>14838</v>
      </c>
      <c r="O503" s="49" t="s">
        <v>35769</v>
      </c>
      <c r="P503" s="49" t="s">
        <v>35772</v>
      </c>
      <c r="Q503" s="49" t="s">
        <v>35775</v>
      </c>
      <c r="R503" s="49" t="s">
        <v>35778</v>
      </c>
      <c r="S503" s="49" t="s">
        <v>35781</v>
      </c>
      <c r="T503" s="49" t="s">
        <v>35784</v>
      </c>
    </row>
    <row r="504" spans="1:21" x14ac:dyDescent="0.2">
      <c r="A504" s="49" t="s">
        <v>30</v>
      </c>
    </row>
    <row r="505" spans="1:21" x14ac:dyDescent="0.2">
      <c r="A505" s="49" t="s">
        <v>30</v>
      </c>
      <c r="E505" s="49" t="s">
        <v>31</v>
      </c>
      <c r="F505" s="49" t="s">
        <v>31</v>
      </c>
      <c r="G505" s="49" t="s">
        <v>31</v>
      </c>
      <c r="J505" s="49" t="s">
        <v>31</v>
      </c>
      <c r="K505" s="49" t="s">
        <v>31</v>
      </c>
      <c r="L505" s="49" t="s">
        <v>31</v>
      </c>
      <c r="M505" s="49" t="s">
        <v>31</v>
      </c>
    </row>
    <row r="506" spans="1:21" x14ac:dyDescent="0.2">
      <c r="A506" s="49" t="s">
        <v>30</v>
      </c>
      <c r="D506" s="49" t="s">
        <v>35361</v>
      </c>
      <c r="E506" s="49" t="s">
        <v>8475</v>
      </c>
      <c r="F506" s="49" t="s">
        <v>35362</v>
      </c>
      <c r="H506" s="49" t="s">
        <v>35363</v>
      </c>
      <c r="O506" s="49" t="s">
        <v>35364</v>
      </c>
      <c r="P506" s="49" t="s">
        <v>35365</v>
      </c>
      <c r="Q506" s="49" t="s">
        <v>35366</v>
      </c>
      <c r="R506" s="49" t="s">
        <v>35367</v>
      </c>
      <c r="S506" s="49" t="s">
        <v>35368</v>
      </c>
      <c r="T506" s="49" t="s">
        <v>35369</v>
      </c>
      <c r="U506" s="49" t="s">
        <v>35370</v>
      </c>
    </row>
    <row r="507" spans="1:21" x14ac:dyDescent="0.2">
      <c r="A507" s="49" t="s">
        <v>30</v>
      </c>
      <c r="D507" s="49" t="s">
        <v>14842</v>
      </c>
      <c r="G507" s="49" t="s">
        <v>35371</v>
      </c>
      <c r="H507" s="49" t="s">
        <v>31041</v>
      </c>
      <c r="I507" s="49" t="s">
        <v>31049</v>
      </c>
      <c r="J507" s="49" t="s">
        <v>31105</v>
      </c>
      <c r="K507" s="49" t="s">
        <v>31113</v>
      </c>
      <c r="L507" s="49" t="s">
        <v>14844</v>
      </c>
      <c r="M507" s="49" t="s">
        <v>14845</v>
      </c>
      <c r="N507" s="49" t="s">
        <v>14846</v>
      </c>
      <c r="O507" s="49" t="s">
        <v>35749</v>
      </c>
      <c r="P507" s="49" t="s">
        <v>35752</v>
      </c>
      <c r="Q507" s="49" t="s">
        <v>35755</v>
      </c>
      <c r="R507" s="49" t="s">
        <v>35758</v>
      </c>
      <c r="S507" s="49" t="s">
        <v>35761</v>
      </c>
      <c r="T507" s="49" t="s">
        <v>35764</v>
      </c>
    </row>
    <row r="508" spans="1:21" x14ac:dyDescent="0.2">
      <c r="A508" s="49" t="s">
        <v>30</v>
      </c>
      <c r="D508" s="49" t="s">
        <v>14847</v>
      </c>
      <c r="G508" s="49" t="s">
        <v>19442</v>
      </c>
      <c r="H508" s="49" t="s">
        <v>31042</v>
      </c>
      <c r="I508" s="49" t="s">
        <v>31050</v>
      </c>
      <c r="J508" s="49" t="s">
        <v>31106</v>
      </c>
      <c r="K508" s="49" t="s">
        <v>31114</v>
      </c>
      <c r="L508" s="49" t="s">
        <v>14849</v>
      </c>
      <c r="M508" s="49" t="s">
        <v>14850</v>
      </c>
      <c r="N508" s="49" t="s">
        <v>14851</v>
      </c>
      <c r="O508" s="49" t="s">
        <v>35750</v>
      </c>
      <c r="P508" s="49" t="s">
        <v>35753</v>
      </c>
      <c r="Q508" s="49" t="s">
        <v>35756</v>
      </c>
      <c r="R508" s="49" t="s">
        <v>35759</v>
      </c>
      <c r="S508" s="49" t="s">
        <v>35762</v>
      </c>
      <c r="T508" s="49" t="s">
        <v>35765</v>
      </c>
    </row>
    <row r="509" spans="1:21" x14ac:dyDescent="0.2">
      <c r="A509" s="49" t="s">
        <v>30</v>
      </c>
      <c r="D509" s="49" t="s">
        <v>14852</v>
      </c>
      <c r="G509" s="49" t="s">
        <v>19482</v>
      </c>
      <c r="H509" s="49" t="s">
        <v>31043</v>
      </c>
      <c r="I509" s="49" t="s">
        <v>31051</v>
      </c>
      <c r="J509" s="49" t="s">
        <v>31107</v>
      </c>
      <c r="K509" s="49" t="s">
        <v>31115</v>
      </c>
      <c r="L509" s="49" t="s">
        <v>14854</v>
      </c>
      <c r="M509" s="49" t="s">
        <v>14855</v>
      </c>
      <c r="N509" s="49" t="s">
        <v>14856</v>
      </c>
      <c r="O509" s="49" t="s">
        <v>35751</v>
      </c>
      <c r="P509" s="49" t="s">
        <v>35754</v>
      </c>
      <c r="Q509" s="49" t="s">
        <v>35757</v>
      </c>
      <c r="R509" s="49" t="s">
        <v>35760</v>
      </c>
      <c r="S509" s="49" t="s">
        <v>35763</v>
      </c>
      <c r="T509" s="49" t="s">
        <v>35766</v>
      </c>
    </row>
    <row r="510" spans="1:21" x14ac:dyDescent="0.2">
      <c r="A510" s="49" t="s">
        <v>30</v>
      </c>
      <c r="D510" s="49" t="s">
        <v>5374</v>
      </c>
      <c r="G510" s="49" t="s">
        <v>19487</v>
      </c>
      <c r="H510" s="49" t="s">
        <v>5375</v>
      </c>
      <c r="I510" s="49" t="s">
        <v>5376</v>
      </c>
      <c r="J510" s="49" t="s">
        <v>5377</v>
      </c>
      <c r="K510" s="49" t="s">
        <v>5378</v>
      </c>
      <c r="L510" s="49" t="s">
        <v>5379</v>
      </c>
      <c r="M510" s="49" t="s">
        <v>5380</v>
      </c>
      <c r="N510" s="49" t="s">
        <v>5381</v>
      </c>
      <c r="O510" s="49" t="s">
        <v>34476</v>
      </c>
      <c r="P510" s="49" t="s">
        <v>34479</v>
      </c>
      <c r="Q510" s="49" t="s">
        <v>34482</v>
      </c>
      <c r="R510" s="49" t="s">
        <v>34485</v>
      </c>
      <c r="S510" s="49" t="s">
        <v>34488</v>
      </c>
      <c r="T510" s="49" t="s">
        <v>34491</v>
      </c>
    </row>
    <row r="511" spans="1:21" x14ac:dyDescent="0.2">
      <c r="A511" s="49" t="s">
        <v>30</v>
      </c>
    </row>
    <row r="512" spans="1:21" x14ac:dyDescent="0.2">
      <c r="A512" s="49" t="s">
        <v>30</v>
      </c>
      <c r="E512" s="49" t="s">
        <v>31</v>
      </c>
      <c r="F512" s="49" t="s">
        <v>31</v>
      </c>
      <c r="G512" s="49" t="s">
        <v>31</v>
      </c>
      <c r="J512" s="49" t="s">
        <v>31</v>
      </c>
      <c r="K512" s="49" t="s">
        <v>31</v>
      </c>
      <c r="L512" s="49" t="s">
        <v>31</v>
      </c>
      <c r="M512" s="49" t="s">
        <v>31</v>
      </c>
    </row>
    <row r="513" spans="1:21" x14ac:dyDescent="0.2">
      <c r="A513" s="49" t="s">
        <v>30</v>
      </c>
      <c r="D513" s="49" t="s">
        <v>35372</v>
      </c>
      <c r="E513" s="49" t="s">
        <v>8518</v>
      </c>
      <c r="F513" s="49" t="s">
        <v>35373</v>
      </c>
      <c r="H513" s="49" t="s">
        <v>35374</v>
      </c>
      <c r="O513" s="49" t="s">
        <v>35375</v>
      </c>
      <c r="P513" s="49" t="s">
        <v>35376</v>
      </c>
      <c r="Q513" s="49" t="s">
        <v>35377</v>
      </c>
      <c r="R513" s="49" t="s">
        <v>35378</v>
      </c>
      <c r="S513" s="49" t="s">
        <v>35379</v>
      </c>
      <c r="T513" s="49" t="s">
        <v>35380</v>
      </c>
      <c r="U513" s="49" t="s">
        <v>35381</v>
      </c>
    </row>
    <row r="514" spans="1:21" x14ac:dyDescent="0.2">
      <c r="A514" s="49" t="s">
        <v>30</v>
      </c>
      <c r="D514" s="49" t="s">
        <v>11093</v>
      </c>
      <c r="G514" s="49" t="s">
        <v>35382</v>
      </c>
      <c r="H514" s="49" t="s">
        <v>12526</v>
      </c>
      <c r="I514" s="49" t="s">
        <v>12527</v>
      </c>
      <c r="J514" s="49" t="s">
        <v>12534</v>
      </c>
      <c r="K514" s="49" t="s">
        <v>12535</v>
      </c>
      <c r="L514" s="49" t="s">
        <v>11094</v>
      </c>
      <c r="M514" s="49" t="s">
        <v>11095</v>
      </c>
      <c r="N514" s="49" t="s">
        <v>11096</v>
      </c>
      <c r="O514" s="49" t="s">
        <v>35729</v>
      </c>
      <c r="P514" s="49" t="s">
        <v>35732</v>
      </c>
      <c r="Q514" s="49" t="s">
        <v>35735</v>
      </c>
      <c r="R514" s="49" t="s">
        <v>35738</v>
      </c>
      <c r="S514" s="49" t="s">
        <v>35741</v>
      </c>
      <c r="T514" s="49" t="s">
        <v>35744</v>
      </c>
    </row>
    <row r="515" spans="1:21" x14ac:dyDescent="0.2">
      <c r="A515" s="49" t="s">
        <v>30</v>
      </c>
      <c r="D515" s="49" t="s">
        <v>35383</v>
      </c>
      <c r="G515" s="49" t="s">
        <v>19582</v>
      </c>
      <c r="H515" s="49" t="s">
        <v>35727</v>
      </c>
      <c r="I515" s="49" t="s">
        <v>35728</v>
      </c>
      <c r="J515" s="49" t="s">
        <v>35747</v>
      </c>
      <c r="K515" s="49" t="s">
        <v>35748</v>
      </c>
      <c r="L515" s="49" t="s">
        <v>35384</v>
      </c>
      <c r="M515" s="49" t="s">
        <v>35385</v>
      </c>
      <c r="N515" s="49" t="s">
        <v>35386</v>
      </c>
      <c r="O515" s="49" t="s">
        <v>35730</v>
      </c>
      <c r="P515" s="49" t="s">
        <v>35733</v>
      </c>
      <c r="Q515" s="49" t="s">
        <v>35736</v>
      </c>
      <c r="R515" s="49" t="s">
        <v>35739</v>
      </c>
      <c r="S515" s="49" t="s">
        <v>35742</v>
      </c>
      <c r="T515" s="49" t="s">
        <v>35745</v>
      </c>
    </row>
    <row r="516" spans="1:21" x14ac:dyDescent="0.2">
      <c r="A516" s="49" t="s">
        <v>30</v>
      </c>
      <c r="D516" s="49" t="s">
        <v>33795</v>
      </c>
      <c r="G516" s="49" t="s">
        <v>19617</v>
      </c>
      <c r="H516" s="49" t="s">
        <v>33797</v>
      </c>
      <c r="I516" s="49" t="s">
        <v>33798</v>
      </c>
      <c r="J516" s="49" t="s">
        <v>33799</v>
      </c>
      <c r="K516" s="49" t="s">
        <v>33800</v>
      </c>
      <c r="L516" s="49" t="s">
        <v>33801</v>
      </c>
      <c r="M516" s="49" t="s">
        <v>33802</v>
      </c>
      <c r="N516" s="49" t="s">
        <v>33803</v>
      </c>
      <c r="O516" s="49" t="s">
        <v>33804</v>
      </c>
      <c r="P516" s="49" t="s">
        <v>33805</v>
      </c>
      <c r="Q516" s="49" t="s">
        <v>33806</v>
      </c>
      <c r="R516" s="49" t="s">
        <v>33807</v>
      </c>
      <c r="S516" s="49" t="s">
        <v>33808</v>
      </c>
      <c r="T516" s="49" t="s">
        <v>33809</v>
      </c>
    </row>
    <row r="517" spans="1:21" x14ac:dyDescent="0.2">
      <c r="A517" s="49" t="s">
        <v>30</v>
      </c>
      <c r="D517" s="49" t="s">
        <v>14871</v>
      </c>
      <c r="G517" s="49" t="s">
        <v>19622</v>
      </c>
      <c r="H517" s="49" t="s">
        <v>31026</v>
      </c>
      <c r="I517" s="49" t="s">
        <v>31027</v>
      </c>
      <c r="J517" s="49" t="s">
        <v>31034</v>
      </c>
      <c r="K517" s="49" t="s">
        <v>31035</v>
      </c>
      <c r="L517" s="49" t="s">
        <v>14873</v>
      </c>
      <c r="M517" s="49" t="s">
        <v>14874</v>
      </c>
      <c r="N517" s="49" t="s">
        <v>14875</v>
      </c>
      <c r="O517" s="49" t="s">
        <v>33810</v>
      </c>
      <c r="P517" s="49" t="s">
        <v>33811</v>
      </c>
      <c r="Q517" s="49" t="s">
        <v>33812</v>
      </c>
      <c r="R517" s="49" t="s">
        <v>33813</v>
      </c>
      <c r="S517" s="49" t="s">
        <v>33814</v>
      </c>
      <c r="T517" s="49" t="s">
        <v>33815</v>
      </c>
    </row>
    <row r="518" spans="1:21" x14ac:dyDescent="0.2">
      <c r="A518" s="49" t="s">
        <v>30</v>
      </c>
      <c r="D518" s="49" t="s">
        <v>5417</v>
      </c>
      <c r="G518" s="49" t="s">
        <v>19637</v>
      </c>
      <c r="H518" s="49" t="s">
        <v>5418</v>
      </c>
      <c r="I518" s="49" t="s">
        <v>5419</v>
      </c>
      <c r="J518" s="49" t="s">
        <v>5420</v>
      </c>
      <c r="K518" s="49" t="s">
        <v>5421</v>
      </c>
      <c r="L518" s="49" t="s">
        <v>5422</v>
      </c>
      <c r="M518" s="49" t="s">
        <v>5423</v>
      </c>
      <c r="N518" s="49" t="s">
        <v>5424</v>
      </c>
      <c r="O518" s="49" t="s">
        <v>35731</v>
      </c>
      <c r="P518" s="49" t="s">
        <v>35734</v>
      </c>
      <c r="Q518" s="49" t="s">
        <v>35737</v>
      </c>
      <c r="R518" s="49" t="s">
        <v>35740</v>
      </c>
      <c r="S518" s="49" t="s">
        <v>35743</v>
      </c>
      <c r="T518" s="49" t="s">
        <v>35746</v>
      </c>
    </row>
    <row r="519" spans="1:21" x14ac:dyDescent="0.2">
      <c r="A519" s="49" t="s">
        <v>30</v>
      </c>
    </row>
    <row r="520" spans="1:21" x14ac:dyDescent="0.2">
      <c r="A520" s="49" t="s">
        <v>30</v>
      </c>
      <c r="E520" s="49" t="s">
        <v>31</v>
      </c>
      <c r="F520" s="49" t="s">
        <v>31</v>
      </c>
      <c r="G520" s="49" t="s">
        <v>31</v>
      </c>
      <c r="J520" s="49" t="s">
        <v>31</v>
      </c>
      <c r="K520" s="49" t="s">
        <v>31</v>
      </c>
      <c r="L520" s="49" t="s">
        <v>31</v>
      </c>
      <c r="M520" s="49" t="s">
        <v>31</v>
      </c>
    </row>
    <row r="521" spans="1:21" x14ac:dyDescent="0.2">
      <c r="A521" s="49" t="s">
        <v>30</v>
      </c>
      <c r="D521" s="49" t="s">
        <v>35387</v>
      </c>
      <c r="E521" s="49" t="s">
        <v>8617</v>
      </c>
      <c r="F521" s="49" t="s">
        <v>35388</v>
      </c>
      <c r="H521" s="49" t="s">
        <v>35389</v>
      </c>
      <c r="O521" s="49" t="s">
        <v>35390</v>
      </c>
      <c r="P521" s="49" t="s">
        <v>35391</v>
      </c>
      <c r="Q521" s="49" t="s">
        <v>35392</v>
      </c>
      <c r="R521" s="49" t="s">
        <v>35393</v>
      </c>
      <c r="S521" s="49" t="s">
        <v>35394</v>
      </c>
      <c r="T521" s="49" t="s">
        <v>35395</v>
      </c>
      <c r="U521" s="49" t="s">
        <v>35396</v>
      </c>
    </row>
    <row r="522" spans="1:21" x14ac:dyDescent="0.2">
      <c r="A522" s="49" t="s">
        <v>30</v>
      </c>
      <c r="D522" s="49" t="s">
        <v>11104</v>
      </c>
      <c r="G522" s="49" t="s">
        <v>35397</v>
      </c>
      <c r="H522" s="49" t="s">
        <v>12497</v>
      </c>
      <c r="I522" s="49" t="s">
        <v>12500</v>
      </c>
      <c r="J522" s="49" t="s">
        <v>12521</v>
      </c>
      <c r="K522" s="49" t="s">
        <v>12524</v>
      </c>
      <c r="L522" s="49" t="s">
        <v>11105</v>
      </c>
      <c r="M522" s="49" t="s">
        <v>11106</v>
      </c>
      <c r="N522" s="49" t="s">
        <v>11107</v>
      </c>
      <c r="O522" s="49" t="s">
        <v>34459</v>
      </c>
      <c r="P522" s="49" t="s">
        <v>34462</v>
      </c>
      <c r="Q522" s="49" t="s">
        <v>34465</v>
      </c>
      <c r="R522" s="49" t="s">
        <v>34468</v>
      </c>
      <c r="S522" s="49" t="s">
        <v>34471</v>
      </c>
      <c r="T522" s="49" t="s">
        <v>34474</v>
      </c>
    </row>
    <row r="523" spans="1:21" x14ac:dyDescent="0.2">
      <c r="A523" s="49" t="s">
        <v>30</v>
      </c>
      <c r="D523" s="49" t="s">
        <v>11108</v>
      </c>
      <c r="G523" s="49" t="s">
        <v>19687</v>
      </c>
      <c r="H523" s="49" t="s">
        <v>12498</v>
      </c>
      <c r="I523" s="49" t="s">
        <v>12501</v>
      </c>
      <c r="J523" s="49" t="s">
        <v>12522</v>
      </c>
      <c r="K523" s="49" t="s">
        <v>12525</v>
      </c>
      <c r="L523" s="49" t="s">
        <v>11109</v>
      </c>
      <c r="M523" s="49" t="s">
        <v>11110</v>
      </c>
      <c r="N523" s="49" t="s">
        <v>11111</v>
      </c>
      <c r="O523" s="49" t="s">
        <v>34460</v>
      </c>
      <c r="P523" s="49" t="s">
        <v>34463</v>
      </c>
      <c r="Q523" s="49" t="s">
        <v>34466</v>
      </c>
      <c r="R523" s="49" t="s">
        <v>34469</v>
      </c>
      <c r="S523" s="49" t="s">
        <v>34472</v>
      </c>
      <c r="T523" s="49" t="s">
        <v>34475</v>
      </c>
    </row>
    <row r="524" spans="1:21" x14ac:dyDescent="0.2">
      <c r="A524" s="49" t="s">
        <v>30</v>
      </c>
    </row>
    <row r="525" spans="1:21" x14ac:dyDescent="0.2">
      <c r="A525" s="49" t="s">
        <v>30</v>
      </c>
      <c r="E525" s="49" t="s">
        <v>31</v>
      </c>
      <c r="F525" s="49" t="s">
        <v>31</v>
      </c>
      <c r="G525" s="49" t="s">
        <v>31</v>
      </c>
      <c r="J525" s="49" t="s">
        <v>31</v>
      </c>
      <c r="K525" s="49" t="s">
        <v>31</v>
      </c>
      <c r="L525" s="49" t="s">
        <v>31</v>
      </c>
      <c r="M525" s="49" t="s">
        <v>31</v>
      </c>
    </row>
    <row r="526" spans="1:21" x14ac:dyDescent="0.2">
      <c r="A526" s="49" t="s">
        <v>30</v>
      </c>
      <c r="D526" s="49" t="s">
        <v>33827</v>
      </c>
      <c r="E526" s="49" t="s">
        <v>8632</v>
      </c>
      <c r="F526" s="49" t="s">
        <v>33828</v>
      </c>
      <c r="H526" s="49" t="s">
        <v>33829</v>
      </c>
      <c r="O526" s="49" t="s">
        <v>33830</v>
      </c>
      <c r="P526" s="49" t="s">
        <v>33831</v>
      </c>
      <c r="Q526" s="49" t="s">
        <v>33832</v>
      </c>
      <c r="R526" s="49" t="s">
        <v>33833</v>
      </c>
      <c r="S526" s="49" t="s">
        <v>33834</v>
      </c>
      <c r="T526" s="49" t="s">
        <v>33835</v>
      </c>
      <c r="U526" s="49" t="s">
        <v>33836</v>
      </c>
    </row>
    <row r="527" spans="1:21" x14ac:dyDescent="0.2">
      <c r="A527" s="49" t="s">
        <v>30</v>
      </c>
      <c r="D527" s="49" t="s">
        <v>5490</v>
      </c>
      <c r="G527" s="49" t="s">
        <v>33837</v>
      </c>
      <c r="H527" s="49" t="s">
        <v>5491</v>
      </c>
      <c r="I527" s="49" t="s">
        <v>5492</v>
      </c>
      <c r="J527" s="49" t="s">
        <v>5493</v>
      </c>
      <c r="K527" s="49" t="s">
        <v>5494</v>
      </c>
      <c r="L527" s="49" t="s">
        <v>5495</v>
      </c>
      <c r="M527" s="49" t="s">
        <v>5496</v>
      </c>
      <c r="N527" s="49" t="s">
        <v>5497</v>
      </c>
      <c r="O527" s="49" t="s">
        <v>34434</v>
      </c>
      <c r="P527" s="49" t="s">
        <v>34438</v>
      </c>
      <c r="Q527" s="49" t="s">
        <v>34442</v>
      </c>
      <c r="R527" s="49" t="s">
        <v>34446</v>
      </c>
      <c r="S527" s="49" t="s">
        <v>34450</v>
      </c>
      <c r="T527" s="49" t="s">
        <v>34454</v>
      </c>
    </row>
    <row r="528" spans="1:21" x14ac:dyDescent="0.2">
      <c r="A528" s="49" t="s">
        <v>30</v>
      </c>
      <c r="D528" s="49" t="s">
        <v>14893</v>
      </c>
      <c r="G528" s="49" t="s">
        <v>19727</v>
      </c>
      <c r="H528" s="49" t="s">
        <v>30966</v>
      </c>
      <c r="I528" s="49" t="s">
        <v>30972</v>
      </c>
      <c r="J528" s="49" t="s">
        <v>31014</v>
      </c>
      <c r="K528" s="49" t="s">
        <v>31020</v>
      </c>
      <c r="L528" s="49" t="s">
        <v>14895</v>
      </c>
      <c r="M528" s="49" t="s">
        <v>14896</v>
      </c>
      <c r="N528" s="49" t="s">
        <v>14897</v>
      </c>
      <c r="O528" s="49" t="s">
        <v>34435</v>
      </c>
      <c r="P528" s="49" t="s">
        <v>34439</v>
      </c>
      <c r="Q528" s="49" t="s">
        <v>34443</v>
      </c>
      <c r="R528" s="49" t="s">
        <v>34447</v>
      </c>
      <c r="S528" s="49" t="s">
        <v>34451</v>
      </c>
      <c r="T528" s="49" t="s">
        <v>34455</v>
      </c>
    </row>
    <row r="529" spans="1:21" x14ac:dyDescent="0.2">
      <c r="A529" s="49" t="s">
        <v>30</v>
      </c>
      <c r="D529" s="49" t="s">
        <v>14898</v>
      </c>
      <c r="G529" s="49" t="s">
        <v>19752</v>
      </c>
      <c r="H529" s="49" t="s">
        <v>30967</v>
      </c>
      <c r="I529" s="49" t="s">
        <v>30973</v>
      </c>
      <c r="J529" s="49" t="s">
        <v>31015</v>
      </c>
      <c r="K529" s="49" t="s">
        <v>31021</v>
      </c>
      <c r="L529" s="49" t="s">
        <v>14900</v>
      </c>
      <c r="M529" s="49" t="s">
        <v>14901</v>
      </c>
      <c r="N529" s="49" t="s">
        <v>14902</v>
      </c>
      <c r="O529" s="49" t="s">
        <v>34436</v>
      </c>
      <c r="P529" s="49" t="s">
        <v>34440</v>
      </c>
      <c r="Q529" s="49" t="s">
        <v>34444</v>
      </c>
      <c r="R529" s="49" t="s">
        <v>34448</v>
      </c>
      <c r="S529" s="49" t="s">
        <v>34452</v>
      </c>
      <c r="T529" s="49" t="s">
        <v>34456</v>
      </c>
    </row>
    <row r="530" spans="1:21" x14ac:dyDescent="0.2">
      <c r="A530" s="49" t="s">
        <v>30</v>
      </c>
      <c r="D530" s="49" t="s">
        <v>14903</v>
      </c>
      <c r="G530" s="49" t="s">
        <v>19757</v>
      </c>
      <c r="H530" s="49" t="s">
        <v>30968</v>
      </c>
      <c r="I530" s="49" t="s">
        <v>30974</v>
      </c>
      <c r="J530" s="49" t="s">
        <v>31016</v>
      </c>
      <c r="K530" s="49" t="s">
        <v>31022</v>
      </c>
      <c r="L530" s="49" t="s">
        <v>14905</v>
      </c>
      <c r="M530" s="49" t="s">
        <v>14906</v>
      </c>
      <c r="N530" s="49" t="s">
        <v>14907</v>
      </c>
      <c r="O530" s="49" t="s">
        <v>34437</v>
      </c>
      <c r="P530" s="49" t="s">
        <v>34441</v>
      </c>
      <c r="Q530" s="49" t="s">
        <v>34445</v>
      </c>
      <c r="R530" s="49" t="s">
        <v>34449</v>
      </c>
      <c r="S530" s="49" t="s">
        <v>34453</v>
      </c>
      <c r="T530" s="49" t="s">
        <v>34457</v>
      </c>
    </row>
    <row r="531" spans="1:21" x14ac:dyDescent="0.2">
      <c r="A531" s="49" t="s">
        <v>30</v>
      </c>
    </row>
    <row r="532" spans="1:21" x14ac:dyDescent="0.2">
      <c r="A532" s="49" t="s">
        <v>30</v>
      </c>
      <c r="E532" s="49" t="s">
        <v>31</v>
      </c>
      <c r="F532" s="49" t="s">
        <v>31</v>
      </c>
      <c r="G532" s="49" t="s">
        <v>31</v>
      </c>
      <c r="J532" s="49" t="s">
        <v>31</v>
      </c>
      <c r="K532" s="49" t="s">
        <v>31</v>
      </c>
      <c r="L532" s="49" t="s">
        <v>31</v>
      </c>
      <c r="M532" s="49" t="s">
        <v>31</v>
      </c>
    </row>
    <row r="533" spans="1:21" x14ac:dyDescent="0.2">
      <c r="A533" s="49" t="s">
        <v>30</v>
      </c>
      <c r="D533" s="49" t="s">
        <v>33838</v>
      </c>
      <c r="E533" s="49" t="s">
        <v>8717</v>
      </c>
      <c r="F533" s="49" t="s">
        <v>33839</v>
      </c>
      <c r="H533" s="49" t="s">
        <v>33840</v>
      </c>
      <c r="O533" s="49" t="s">
        <v>35398</v>
      </c>
      <c r="P533" s="49" t="s">
        <v>35399</v>
      </c>
      <c r="Q533" s="49" t="s">
        <v>35400</v>
      </c>
      <c r="R533" s="49" t="s">
        <v>35401</v>
      </c>
      <c r="S533" s="49" t="s">
        <v>35402</v>
      </c>
      <c r="T533" s="49" t="s">
        <v>35403</v>
      </c>
      <c r="U533" s="49" t="s">
        <v>35404</v>
      </c>
    </row>
    <row r="534" spans="1:21" x14ac:dyDescent="0.2">
      <c r="A534" s="49" t="s">
        <v>30</v>
      </c>
      <c r="D534" s="49" t="s">
        <v>5513</v>
      </c>
      <c r="G534" s="49" t="s">
        <v>33848</v>
      </c>
      <c r="H534" s="49" t="s">
        <v>5514</v>
      </c>
      <c r="I534" s="49" t="s">
        <v>5515</v>
      </c>
      <c r="J534" s="49" t="s">
        <v>5516</v>
      </c>
      <c r="K534" s="49" t="s">
        <v>5517</v>
      </c>
      <c r="L534" s="49" t="s">
        <v>5518</v>
      </c>
      <c r="M534" s="49" t="s">
        <v>5519</v>
      </c>
      <c r="N534" s="49" t="s">
        <v>5520</v>
      </c>
      <c r="O534" s="49" t="s">
        <v>34416</v>
      </c>
      <c r="P534" s="49" t="s">
        <v>34419</v>
      </c>
      <c r="Q534" s="49" t="s">
        <v>34422</v>
      </c>
      <c r="R534" s="49" t="s">
        <v>34425</v>
      </c>
      <c r="S534" s="49" t="s">
        <v>34428</v>
      </c>
      <c r="T534" s="49" t="s">
        <v>34431</v>
      </c>
    </row>
    <row r="535" spans="1:21" x14ac:dyDescent="0.2">
      <c r="A535" s="49" t="s">
        <v>30</v>
      </c>
      <c r="D535" s="49" t="s">
        <v>5527</v>
      </c>
      <c r="G535" s="49" t="s">
        <v>19787</v>
      </c>
      <c r="H535" s="49" t="s">
        <v>5528</v>
      </c>
      <c r="I535" s="49" t="s">
        <v>5529</v>
      </c>
      <c r="J535" s="49" t="s">
        <v>5530</v>
      </c>
      <c r="K535" s="49" t="s">
        <v>5531</v>
      </c>
      <c r="L535" s="49" t="s">
        <v>5532</v>
      </c>
      <c r="M535" s="49" t="s">
        <v>5533</v>
      </c>
      <c r="N535" s="49" t="s">
        <v>5534</v>
      </c>
      <c r="O535" s="49" t="s">
        <v>34417</v>
      </c>
      <c r="P535" s="49" t="s">
        <v>34420</v>
      </c>
      <c r="Q535" s="49" t="s">
        <v>34423</v>
      </c>
      <c r="R535" s="49" t="s">
        <v>34426</v>
      </c>
      <c r="S535" s="49" t="s">
        <v>34429</v>
      </c>
      <c r="T535" s="49" t="s">
        <v>34432</v>
      </c>
    </row>
    <row r="536" spans="1:21" x14ac:dyDescent="0.2">
      <c r="A536" s="49" t="s">
        <v>30</v>
      </c>
      <c r="D536" s="49" t="s">
        <v>5541</v>
      </c>
      <c r="G536" s="49" t="s">
        <v>19807</v>
      </c>
      <c r="H536" s="49" t="s">
        <v>5542</v>
      </c>
      <c r="I536" s="49" t="s">
        <v>5543</v>
      </c>
      <c r="J536" s="49" t="s">
        <v>5544</v>
      </c>
      <c r="K536" s="49" t="s">
        <v>5545</v>
      </c>
      <c r="L536" s="49" t="s">
        <v>5546</v>
      </c>
      <c r="M536" s="49" t="s">
        <v>5547</v>
      </c>
      <c r="N536" s="49" t="s">
        <v>5548</v>
      </c>
      <c r="O536" s="49" t="s">
        <v>34418</v>
      </c>
      <c r="P536" s="49" t="s">
        <v>34421</v>
      </c>
      <c r="Q536" s="49" t="s">
        <v>34424</v>
      </c>
      <c r="R536" s="49" t="s">
        <v>34427</v>
      </c>
      <c r="S536" s="49" t="s">
        <v>34430</v>
      </c>
      <c r="T536" s="49" t="s">
        <v>34433</v>
      </c>
    </row>
    <row r="537" spans="1:21" x14ac:dyDescent="0.2">
      <c r="A537" s="49" t="s">
        <v>30</v>
      </c>
      <c r="D537" s="49" t="s">
        <v>11123</v>
      </c>
      <c r="G537" s="49" t="s">
        <v>19812</v>
      </c>
      <c r="H537" s="49" t="s">
        <v>12448</v>
      </c>
      <c r="I537" s="49" t="s">
        <v>12453</v>
      </c>
      <c r="J537" s="49" t="s">
        <v>12488</v>
      </c>
      <c r="K537" s="49" t="s">
        <v>12493</v>
      </c>
      <c r="L537" s="49" t="s">
        <v>11124</v>
      </c>
      <c r="M537" s="49" t="s">
        <v>11125</v>
      </c>
      <c r="N537" s="49" t="s">
        <v>11126</v>
      </c>
      <c r="O537" s="49" t="s">
        <v>35715</v>
      </c>
      <c r="P537" s="49" t="s">
        <v>35717</v>
      </c>
      <c r="Q537" s="49" t="s">
        <v>35719</v>
      </c>
      <c r="R537" s="49" t="s">
        <v>35721</v>
      </c>
      <c r="S537" s="49" t="s">
        <v>35723</v>
      </c>
      <c r="T537" s="49" t="s">
        <v>35725</v>
      </c>
    </row>
    <row r="538" spans="1:21" x14ac:dyDescent="0.2">
      <c r="A538" s="49" t="s">
        <v>30</v>
      </c>
      <c r="D538" s="49" t="s">
        <v>11127</v>
      </c>
      <c r="G538" s="49" t="s">
        <v>19827</v>
      </c>
      <c r="H538" s="49" t="s">
        <v>12449</v>
      </c>
      <c r="I538" s="49" t="s">
        <v>12454</v>
      </c>
      <c r="J538" s="49" t="s">
        <v>12489</v>
      </c>
      <c r="K538" s="49" t="s">
        <v>12494</v>
      </c>
      <c r="L538" s="49" t="s">
        <v>11128</v>
      </c>
      <c r="M538" s="49" t="s">
        <v>11129</v>
      </c>
      <c r="N538" s="49" t="s">
        <v>11130</v>
      </c>
      <c r="O538" s="49" t="s">
        <v>35716</v>
      </c>
      <c r="P538" s="49" t="s">
        <v>35718</v>
      </c>
      <c r="Q538" s="49" t="s">
        <v>35720</v>
      </c>
      <c r="R538" s="49" t="s">
        <v>35722</v>
      </c>
      <c r="S538" s="49" t="s">
        <v>35724</v>
      </c>
      <c r="T538" s="49" t="s">
        <v>35726</v>
      </c>
    </row>
    <row r="539" spans="1:21" x14ac:dyDescent="0.2">
      <c r="A539" s="49" t="s">
        <v>30</v>
      </c>
    </row>
    <row r="540" spans="1:21" x14ac:dyDescent="0.2">
      <c r="A540" s="49" t="s">
        <v>30</v>
      </c>
      <c r="E540" s="49" t="s">
        <v>31</v>
      </c>
      <c r="F540" s="49" t="s">
        <v>31</v>
      </c>
      <c r="G540" s="49" t="s">
        <v>31</v>
      </c>
      <c r="J540" s="49" t="s">
        <v>31</v>
      </c>
      <c r="K540" s="49" t="s">
        <v>31</v>
      </c>
      <c r="L540" s="49" t="s">
        <v>31</v>
      </c>
      <c r="M540" s="49" t="s">
        <v>31</v>
      </c>
    </row>
    <row r="541" spans="1:21" x14ac:dyDescent="0.2">
      <c r="A541" s="49" t="s">
        <v>30</v>
      </c>
      <c r="D541" s="49" t="s">
        <v>35405</v>
      </c>
      <c r="E541" s="49" t="s">
        <v>8760</v>
      </c>
      <c r="F541" s="49" t="s">
        <v>35406</v>
      </c>
      <c r="H541" s="49" t="s">
        <v>35407</v>
      </c>
      <c r="O541" s="49" t="s">
        <v>35408</v>
      </c>
      <c r="P541" s="49" t="s">
        <v>35409</v>
      </c>
      <c r="Q541" s="49" t="s">
        <v>35410</v>
      </c>
      <c r="R541" s="49" t="s">
        <v>35411</v>
      </c>
      <c r="S541" s="49" t="s">
        <v>35412</v>
      </c>
      <c r="T541" s="49" t="s">
        <v>35413</v>
      </c>
      <c r="U541" s="49" t="s">
        <v>35414</v>
      </c>
    </row>
    <row r="542" spans="1:21" x14ac:dyDescent="0.2">
      <c r="A542" s="49" t="s">
        <v>30</v>
      </c>
      <c r="D542" s="49" t="s">
        <v>14927</v>
      </c>
      <c r="G542" s="49" t="s">
        <v>35415</v>
      </c>
      <c r="H542" s="49" t="s">
        <v>30971</v>
      </c>
      <c r="I542" s="49" t="s">
        <v>30977</v>
      </c>
      <c r="J542" s="49" t="s">
        <v>31019</v>
      </c>
      <c r="K542" s="49" t="s">
        <v>31025</v>
      </c>
      <c r="L542" s="49" t="s">
        <v>14929</v>
      </c>
      <c r="M542" s="49" t="s">
        <v>14930</v>
      </c>
      <c r="N542" s="49" t="s">
        <v>14931</v>
      </c>
      <c r="O542" s="49" t="s">
        <v>34394</v>
      </c>
      <c r="P542" s="49" t="s">
        <v>34398</v>
      </c>
      <c r="Q542" s="49" t="s">
        <v>34402</v>
      </c>
      <c r="R542" s="49" t="s">
        <v>34406</v>
      </c>
      <c r="S542" s="49" t="s">
        <v>34410</v>
      </c>
      <c r="T542" s="49" t="s">
        <v>34414</v>
      </c>
    </row>
    <row r="543" spans="1:21" x14ac:dyDescent="0.2">
      <c r="A543" s="49" t="s">
        <v>30</v>
      </c>
      <c r="D543" s="49" t="s">
        <v>5556</v>
      </c>
      <c r="G543" s="49" t="s">
        <v>19892</v>
      </c>
      <c r="H543" s="49" t="s">
        <v>5557</v>
      </c>
      <c r="I543" s="49" t="s">
        <v>5558</v>
      </c>
      <c r="J543" s="49" t="s">
        <v>5559</v>
      </c>
      <c r="K543" s="49" t="s">
        <v>5560</v>
      </c>
      <c r="L543" s="49" t="s">
        <v>5561</v>
      </c>
      <c r="M543" s="49" t="s">
        <v>5562</v>
      </c>
      <c r="N543" s="49" t="s">
        <v>5563</v>
      </c>
      <c r="O543" s="49" t="s">
        <v>34395</v>
      </c>
      <c r="P543" s="49" t="s">
        <v>34399</v>
      </c>
      <c r="Q543" s="49" t="s">
        <v>34403</v>
      </c>
      <c r="R543" s="49" t="s">
        <v>34407</v>
      </c>
      <c r="S543" s="49" t="s">
        <v>34411</v>
      </c>
      <c r="T543" s="49" t="s">
        <v>34415</v>
      </c>
    </row>
    <row r="544" spans="1:21" x14ac:dyDescent="0.2">
      <c r="A544" s="49" t="s">
        <v>30</v>
      </c>
    </row>
    <row r="545" spans="1:21" x14ac:dyDescent="0.2">
      <c r="A545" s="49" t="s">
        <v>30</v>
      </c>
      <c r="E545" s="49" t="s">
        <v>31</v>
      </c>
      <c r="F545" s="49" t="s">
        <v>31</v>
      </c>
      <c r="G545" s="49" t="s">
        <v>31</v>
      </c>
      <c r="J545" s="49" t="s">
        <v>31</v>
      </c>
      <c r="K545" s="49" t="s">
        <v>31</v>
      </c>
      <c r="L545" s="49" t="s">
        <v>31</v>
      </c>
      <c r="M545" s="49" t="s">
        <v>31</v>
      </c>
    </row>
    <row r="546" spans="1:21" x14ac:dyDescent="0.2">
      <c r="A546" s="49" t="s">
        <v>30</v>
      </c>
      <c r="D546" s="49" t="s">
        <v>33860</v>
      </c>
      <c r="E546" s="49" t="s">
        <v>8775</v>
      </c>
      <c r="F546" s="49" t="s">
        <v>33861</v>
      </c>
      <c r="H546" s="49" t="s">
        <v>33862</v>
      </c>
      <c r="O546" s="49" t="s">
        <v>35416</v>
      </c>
      <c r="P546" s="49" t="s">
        <v>35417</v>
      </c>
      <c r="Q546" s="49" t="s">
        <v>35418</v>
      </c>
      <c r="R546" s="49" t="s">
        <v>35419</v>
      </c>
      <c r="S546" s="49" t="s">
        <v>35420</v>
      </c>
      <c r="T546" s="49" t="s">
        <v>35421</v>
      </c>
      <c r="U546" s="49" t="s">
        <v>35422</v>
      </c>
    </row>
    <row r="547" spans="1:21" x14ac:dyDescent="0.2">
      <c r="A547" s="49" t="s">
        <v>30</v>
      </c>
      <c r="D547" s="49" t="s">
        <v>11146</v>
      </c>
      <c r="G547" s="49" t="s">
        <v>33870</v>
      </c>
      <c r="H547" s="49" t="s">
        <v>12418</v>
      </c>
      <c r="I547" s="49" t="s">
        <v>12421</v>
      </c>
      <c r="J547" s="49" t="s">
        <v>12442</v>
      </c>
      <c r="K547" s="49" t="s">
        <v>12445</v>
      </c>
      <c r="L547" s="49" t="s">
        <v>11147</v>
      </c>
      <c r="M547" s="49" t="s">
        <v>11148</v>
      </c>
      <c r="N547" s="49" t="s">
        <v>11149</v>
      </c>
      <c r="O547" s="49" t="s">
        <v>33871</v>
      </c>
      <c r="P547" s="49" t="s">
        <v>33872</v>
      </c>
      <c r="Q547" s="49" t="s">
        <v>33873</v>
      </c>
      <c r="R547" s="49" t="s">
        <v>33874</v>
      </c>
      <c r="S547" s="49" t="s">
        <v>33875</v>
      </c>
      <c r="T547" s="49" t="s">
        <v>33876</v>
      </c>
    </row>
    <row r="548" spans="1:21" x14ac:dyDescent="0.2">
      <c r="A548" s="49" t="s">
        <v>30</v>
      </c>
      <c r="D548" s="49" t="s">
        <v>5585</v>
      </c>
      <c r="G548" s="49" t="s">
        <v>19982</v>
      </c>
      <c r="H548" s="49" t="s">
        <v>5586</v>
      </c>
      <c r="I548" s="49" t="s">
        <v>5587</v>
      </c>
      <c r="J548" s="49" t="s">
        <v>5588</v>
      </c>
      <c r="K548" s="49" t="s">
        <v>5589</v>
      </c>
      <c r="L548" s="49" t="s">
        <v>5590</v>
      </c>
      <c r="M548" s="49" t="s">
        <v>5591</v>
      </c>
      <c r="N548" s="49" t="s">
        <v>5592</v>
      </c>
      <c r="O548" s="49" t="s">
        <v>33877</v>
      </c>
      <c r="P548" s="49" t="s">
        <v>33878</v>
      </c>
      <c r="Q548" s="49" t="s">
        <v>33879</v>
      </c>
      <c r="R548" s="49" t="s">
        <v>33880</v>
      </c>
      <c r="S548" s="49" t="s">
        <v>33881</v>
      </c>
      <c r="T548" s="49" t="s">
        <v>33882</v>
      </c>
    </row>
    <row r="549" spans="1:21" x14ac:dyDescent="0.2">
      <c r="A549" s="49" t="s">
        <v>30</v>
      </c>
      <c r="D549" s="49" t="s">
        <v>5599</v>
      </c>
      <c r="G549" s="49" t="s">
        <v>20017</v>
      </c>
      <c r="H549" s="49" t="s">
        <v>5600</v>
      </c>
      <c r="I549" s="49" t="s">
        <v>5601</v>
      </c>
      <c r="J549" s="49" t="s">
        <v>5602</v>
      </c>
      <c r="K549" s="49" t="s">
        <v>5603</v>
      </c>
      <c r="L549" s="49" t="s">
        <v>5604</v>
      </c>
      <c r="M549" s="49" t="s">
        <v>5605</v>
      </c>
      <c r="N549" s="49" t="s">
        <v>5606</v>
      </c>
      <c r="O549" s="49" t="s">
        <v>35709</v>
      </c>
      <c r="P549" s="49" t="s">
        <v>35710</v>
      </c>
      <c r="Q549" s="49" t="s">
        <v>35711</v>
      </c>
      <c r="R549" s="49" t="s">
        <v>35712</v>
      </c>
      <c r="S549" s="49" t="s">
        <v>35713</v>
      </c>
      <c r="T549" s="49" t="s">
        <v>35714</v>
      </c>
    </row>
    <row r="550" spans="1:21" x14ac:dyDescent="0.2">
      <c r="A550" s="49" t="s">
        <v>30</v>
      </c>
    </row>
    <row r="551" spans="1:21" x14ac:dyDescent="0.2">
      <c r="A551" s="49" t="s">
        <v>30</v>
      </c>
      <c r="E551" s="49" t="s">
        <v>31</v>
      </c>
      <c r="F551" s="49" t="s">
        <v>31</v>
      </c>
      <c r="G551" s="49" t="s">
        <v>31</v>
      </c>
      <c r="J551" s="49" t="s">
        <v>31</v>
      </c>
      <c r="K551" s="49" t="s">
        <v>31</v>
      </c>
      <c r="L551" s="49" t="s">
        <v>31</v>
      </c>
      <c r="M551" s="49" t="s">
        <v>31</v>
      </c>
    </row>
    <row r="552" spans="1:21" x14ac:dyDescent="0.2">
      <c r="A552" s="49" t="s">
        <v>30</v>
      </c>
      <c r="D552" s="49" t="s">
        <v>35423</v>
      </c>
      <c r="E552" s="49" t="s">
        <v>8832</v>
      </c>
      <c r="F552" s="49" t="s">
        <v>35424</v>
      </c>
      <c r="H552" s="49" t="s">
        <v>35425</v>
      </c>
      <c r="O552" s="49" t="s">
        <v>35426</v>
      </c>
      <c r="P552" s="49" t="s">
        <v>35427</v>
      </c>
      <c r="Q552" s="49" t="s">
        <v>35428</v>
      </c>
      <c r="R552" s="49" t="s">
        <v>35429</v>
      </c>
      <c r="S552" s="49" t="s">
        <v>35430</v>
      </c>
      <c r="T552" s="49" t="s">
        <v>35431</v>
      </c>
      <c r="U552" s="49" t="s">
        <v>35432</v>
      </c>
    </row>
    <row r="553" spans="1:21" x14ac:dyDescent="0.2">
      <c r="A553" s="49" t="s">
        <v>30</v>
      </c>
      <c r="D553" s="49" t="s">
        <v>35433</v>
      </c>
      <c r="G553" s="49" t="s">
        <v>35434</v>
      </c>
      <c r="H553" s="49" t="s">
        <v>35687</v>
      </c>
      <c r="I553" s="49" t="s">
        <v>35688</v>
      </c>
      <c r="J553" s="49" t="s">
        <v>35707</v>
      </c>
      <c r="K553" s="49" t="s">
        <v>35708</v>
      </c>
      <c r="L553" s="49" t="s">
        <v>35435</v>
      </c>
      <c r="M553" s="49" t="s">
        <v>35436</v>
      </c>
      <c r="N553" s="49" t="s">
        <v>35437</v>
      </c>
      <c r="O553" s="49" t="s">
        <v>35689</v>
      </c>
      <c r="P553" s="49" t="s">
        <v>35692</v>
      </c>
      <c r="Q553" s="49" t="s">
        <v>35695</v>
      </c>
      <c r="R553" s="49" t="s">
        <v>35698</v>
      </c>
      <c r="S553" s="49" t="s">
        <v>35701</v>
      </c>
      <c r="T553" s="49" t="s">
        <v>35704</v>
      </c>
    </row>
    <row r="554" spans="1:21" x14ac:dyDescent="0.2">
      <c r="A554" s="49" t="s">
        <v>30</v>
      </c>
      <c r="D554" s="49" t="s">
        <v>11153</v>
      </c>
      <c r="G554" s="49" t="s">
        <v>20097</v>
      </c>
      <c r="H554" s="49" t="s">
        <v>12382</v>
      </c>
      <c r="I554" s="49" t="s">
        <v>12386</v>
      </c>
      <c r="J554" s="49" t="s">
        <v>12408</v>
      </c>
      <c r="K554" s="49" t="s">
        <v>12412</v>
      </c>
      <c r="L554" s="49" t="s">
        <v>11155</v>
      </c>
      <c r="M554" s="49" t="s">
        <v>11156</v>
      </c>
      <c r="N554" s="49" t="s">
        <v>11157</v>
      </c>
      <c r="O554" s="49" t="s">
        <v>35690</v>
      </c>
      <c r="P554" s="49" t="s">
        <v>35693</v>
      </c>
      <c r="Q554" s="49" t="s">
        <v>35696</v>
      </c>
      <c r="R554" s="49" t="s">
        <v>35699</v>
      </c>
      <c r="S554" s="49" t="s">
        <v>35702</v>
      </c>
      <c r="T554" s="49" t="s">
        <v>35705</v>
      </c>
    </row>
    <row r="555" spans="1:21" x14ac:dyDescent="0.2">
      <c r="A555" s="49" t="s">
        <v>30</v>
      </c>
      <c r="D555" s="49" t="s">
        <v>5628</v>
      </c>
      <c r="G555" s="49" t="s">
        <v>20117</v>
      </c>
      <c r="H555" s="49" t="s">
        <v>5629</v>
      </c>
      <c r="I555" s="49" t="s">
        <v>5630</v>
      </c>
      <c r="J555" s="49" t="s">
        <v>5631</v>
      </c>
      <c r="K555" s="49" t="s">
        <v>5632</v>
      </c>
      <c r="L555" s="49" t="s">
        <v>5633</v>
      </c>
      <c r="M555" s="49" t="s">
        <v>5634</v>
      </c>
      <c r="N555" s="49" t="s">
        <v>5635</v>
      </c>
      <c r="O555" s="49" t="s">
        <v>35691</v>
      </c>
      <c r="P555" s="49" t="s">
        <v>35694</v>
      </c>
      <c r="Q555" s="49" t="s">
        <v>35697</v>
      </c>
      <c r="R555" s="49" t="s">
        <v>35700</v>
      </c>
      <c r="S555" s="49" t="s">
        <v>35703</v>
      </c>
      <c r="T555" s="49" t="s">
        <v>35706</v>
      </c>
    </row>
    <row r="556" spans="1:21" x14ac:dyDescent="0.2">
      <c r="A556" s="49" t="s">
        <v>30</v>
      </c>
    </row>
    <row r="557" spans="1:21" x14ac:dyDescent="0.2">
      <c r="A557" s="49" t="s">
        <v>30</v>
      </c>
      <c r="E557" s="49" t="s">
        <v>31</v>
      </c>
      <c r="F557" s="49" t="s">
        <v>31</v>
      </c>
      <c r="G557" s="49" t="s">
        <v>31</v>
      </c>
      <c r="J557" s="49" t="s">
        <v>31</v>
      </c>
      <c r="K557" s="49" t="s">
        <v>31</v>
      </c>
      <c r="L557" s="49" t="s">
        <v>31</v>
      </c>
      <c r="M557" s="49" t="s">
        <v>31</v>
      </c>
    </row>
    <row r="558" spans="1:21" x14ac:dyDescent="0.2">
      <c r="A558" s="49" t="s">
        <v>30</v>
      </c>
      <c r="D558" s="49" t="s">
        <v>35438</v>
      </c>
      <c r="E558" s="49" t="s">
        <v>8833</v>
      </c>
      <c r="F558" s="49" t="s">
        <v>35439</v>
      </c>
      <c r="H558" s="49" t="s">
        <v>35440</v>
      </c>
      <c r="O558" s="49" t="s">
        <v>35441</v>
      </c>
      <c r="P558" s="49" t="s">
        <v>35442</v>
      </c>
      <c r="Q558" s="49" t="s">
        <v>35443</v>
      </c>
      <c r="R558" s="49" t="s">
        <v>35444</v>
      </c>
      <c r="S558" s="49" t="s">
        <v>35445</v>
      </c>
      <c r="T558" s="49" t="s">
        <v>35446</v>
      </c>
      <c r="U558" s="49" t="s">
        <v>35447</v>
      </c>
    </row>
    <row r="559" spans="1:21" x14ac:dyDescent="0.2">
      <c r="A559" s="49" t="s">
        <v>30</v>
      </c>
      <c r="D559" s="49" t="s">
        <v>5684</v>
      </c>
      <c r="G559" s="49" t="s">
        <v>35448</v>
      </c>
      <c r="H559" s="49" t="s">
        <v>5685</v>
      </c>
      <c r="I559" s="49" t="s">
        <v>5686</v>
      </c>
      <c r="J559" s="49" t="s">
        <v>5687</v>
      </c>
      <c r="K559" s="49" t="s">
        <v>5688</v>
      </c>
      <c r="L559" s="49" t="s">
        <v>5689</v>
      </c>
      <c r="M559" s="49" t="s">
        <v>5690</v>
      </c>
      <c r="N559" s="49" t="s">
        <v>5691</v>
      </c>
      <c r="O559" s="49" t="s">
        <v>34371</v>
      </c>
      <c r="P559" s="49" t="s">
        <v>34375</v>
      </c>
      <c r="Q559" s="49" t="s">
        <v>34379</v>
      </c>
      <c r="R559" s="49" t="s">
        <v>34383</v>
      </c>
      <c r="S559" s="49" t="s">
        <v>34387</v>
      </c>
      <c r="T559" s="49" t="s">
        <v>34391</v>
      </c>
    </row>
    <row r="560" spans="1:21" x14ac:dyDescent="0.2">
      <c r="A560" s="49" t="s">
        <v>30</v>
      </c>
      <c r="D560" s="49" t="s">
        <v>11158</v>
      </c>
      <c r="G560" s="49" t="s">
        <v>20152</v>
      </c>
      <c r="H560" s="49" t="s">
        <v>12383</v>
      </c>
      <c r="I560" s="49" t="s">
        <v>12387</v>
      </c>
      <c r="J560" s="49" t="s">
        <v>12409</v>
      </c>
      <c r="K560" s="49" t="s">
        <v>12413</v>
      </c>
      <c r="L560" s="49" t="s">
        <v>11159</v>
      </c>
      <c r="M560" s="49" t="s">
        <v>11160</v>
      </c>
      <c r="N560" s="49" t="s">
        <v>11161</v>
      </c>
      <c r="O560" s="49" t="s">
        <v>35661</v>
      </c>
      <c r="P560" s="49" t="s">
        <v>35665</v>
      </c>
      <c r="Q560" s="49" t="s">
        <v>35669</v>
      </c>
      <c r="R560" s="49" t="s">
        <v>35673</v>
      </c>
      <c r="S560" s="49" t="s">
        <v>35677</v>
      </c>
      <c r="T560" s="49" t="s">
        <v>35681</v>
      </c>
    </row>
    <row r="561" spans="1:21" x14ac:dyDescent="0.2">
      <c r="A561" s="49" t="s">
        <v>30</v>
      </c>
      <c r="D561" s="49" t="s">
        <v>11162</v>
      </c>
      <c r="G561" s="49" t="s">
        <v>20167</v>
      </c>
      <c r="H561" s="49" t="s">
        <v>12384</v>
      </c>
      <c r="I561" s="49" t="s">
        <v>12388</v>
      </c>
      <c r="J561" s="49" t="s">
        <v>12410</v>
      </c>
      <c r="K561" s="49" t="s">
        <v>12414</v>
      </c>
      <c r="L561" s="49" t="s">
        <v>11163</v>
      </c>
      <c r="M561" s="49" t="s">
        <v>11164</v>
      </c>
      <c r="N561" s="49" t="s">
        <v>11165</v>
      </c>
      <c r="O561" s="49" t="s">
        <v>35662</v>
      </c>
      <c r="P561" s="49" t="s">
        <v>35666</v>
      </c>
      <c r="Q561" s="49" t="s">
        <v>35670</v>
      </c>
      <c r="R561" s="49" t="s">
        <v>35674</v>
      </c>
      <c r="S561" s="49" t="s">
        <v>35678</v>
      </c>
      <c r="T561" s="49" t="s">
        <v>35682</v>
      </c>
    </row>
    <row r="562" spans="1:21" x14ac:dyDescent="0.2">
      <c r="A562" s="49" t="s">
        <v>30</v>
      </c>
      <c r="D562" s="49" t="s">
        <v>11166</v>
      </c>
      <c r="G562" s="49" t="s">
        <v>20177</v>
      </c>
      <c r="H562" s="49" t="s">
        <v>12385</v>
      </c>
      <c r="I562" s="49" t="s">
        <v>12389</v>
      </c>
      <c r="J562" s="49" t="s">
        <v>12411</v>
      </c>
      <c r="K562" s="49" t="s">
        <v>12415</v>
      </c>
      <c r="L562" s="49" t="s">
        <v>11167</v>
      </c>
      <c r="M562" s="49" t="s">
        <v>11168</v>
      </c>
      <c r="N562" s="49" t="s">
        <v>11169</v>
      </c>
      <c r="O562" s="49" t="s">
        <v>35663</v>
      </c>
      <c r="P562" s="49" t="s">
        <v>35667</v>
      </c>
      <c r="Q562" s="49" t="s">
        <v>35671</v>
      </c>
      <c r="R562" s="49" t="s">
        <v>35675</v>
      </c>
      <c r="S562" s="49" t="s">
        <v>35679</v>
      </c>
      <c r="T562" s="49" t="s">
        <v>35683</v>
      </c>
    </row>
    <row r="563" spans="1:21" x14ac:dyDescent="0.2">
      <c r="A563" s="49" t="s">
        <v>30</v>
      </c>
      <c r="D563" s="49" t="s">
        <v>5699</v>
      </c>
      <c r="G563" s="49" t="s">
        <v>20182</v>
      </c>
      <c r="H563" s="49" t="s">
        <v>5700</v>
      </c>
      <c r="I563" s="49" t="s">
        <v>5701</v>
      </c>
      <c r="J563" s="49" t="s">
        <v>5702</v>
      </c>
      <c r="K563" s="49" t="s">
        <v>5703</v>
      </c>
      <c r="L563" s="49" t="s">
        <v>5704</v>
      </c>
      <c r="M563" s="49" t="s">
        <v>5705</v>
      </c>
      <c r="N563" s="49" t="s">
        <v>5706</v>
      </c>
      <c r="O563" s="49" t="s">
        <v>33930</v>
      </c>
      <c r="P563" s="49" t="s">
        <v>33931</v>
      </c>
      <c r="Q563" s="49" t="s">
        <v>33932</v>
      </c>
      <c r="R563" s="49" t="s">
        <v>33933</v>
      </c>
      <c r="S563" s="49" t="s">
        <v>33934</v>
      </c>
      <c r="T563" s="49" t="s">
        <v>33935</v>
      </c>
    </row>
    <row r="564" spans="1:21" x14ac:dyDescent="0.2">
      <c r="A564" s="49" t="s">
        <v>30</v>
      </c>
      <c r="D564" s="49" t="s">
        <v>35449</v>
      </c>
      <c r="G564" s="49" t="s">
        <v>20187</v>
      </c>
      <c r="H564" s="49" t="s">
        <v>35659</v>
      </c>
      <c r="I564" s="49" t="s">
        <v>35660</v>
      </c>
      <c r="J564" s="49" t="s">
        <v>35685</v>
      </c>
      <c r="K564" s="49" t="s">
        <v>35686</v>
      </c>
      <c r="L564" s="49" t="s">
        <v>35450</v>
      </c>
      <c r="M564" s="49" t="s">
        <v>35451</v>
      </c>
      <c r="N564" s="49" t="s">
        <v>35452</v>
      </c>
      <c r="O564" s="49" t="s">
        <v>35664</v>
      </c>
      <c r="P564" s="49" t="s">
        <v>35668</v>
      </c>
      <c r="Q564" s="49" t="s">
        <v>35672</v>
      </c>
      <c r="R564" s="49" t="s">
        <v>35676</v>
      </c>
      <c r="S564" s="49" t="s">
        <v>35680</v>
      </c>
      <c r="T564" s="49" t="s">
        <v>35684</v>
      </c>
    </row>
    <row r="565" spans="1:21" x14ac:dyDescent="0.2">
      <c r="A565" s="49" t="s">
        <v>30</v>
      </c>
    </row>
    <row r="566" spans="1:21" x14ac:dyDescent="0.2">
      <c r="A566" s="49" t="s">
        <v>30</v>
      </c>
      <c r="E566" s="49" t="s">
        <v>31</v>
      </c>
      <c r="F566" s="49" t="s">
        <v>31</v>
      </c>
      <c r="G566" s="49" t="s">
        <v>31</v>
      </c>
      <c r="J566" s="49" t="s">
        <v>31</v>
      </c>
      <c r="K566" s="49" t="s">
        <v>31</v>
      </c>
      <c r="L566" s="49" t="s">
        <v>31</v>
      </c>
      <c r="M566" s="49" t="s">
        <v>31</v>
      </c>
    </row>
    <row r="567" spans="1:21" x14ac:dyDescent="0.2">
      <c r="A567" s="49" t="s">
        <v>30</v>
      </c>
      <c r="D567" s="49" t="s">
        <v>35453</v>
      </c>
      <c r="E567" s="49" t="s">
        <v>8834</v>
      </c>
      <c r="F567" s="49" t="s">
        <v>35454</v>
      </c>
      <c r="H567" s="49" t="s">
        <v>35455</v>
      </c>
      <c r="O567" s="49" t="s">
        <v>35456</v>
      </c>
      <c r="P567" s="49" t="s">
        <v>35457</v>
      </c>
      <c r="Q567" s="49" t="s">
        <v>35458</v>
      </c>
      <c r="R567" s="49" t="s">
        <v>35459</v>
      </c>
      <c r="S567" s="49" t="s">
        <v>35460</v>
      </c>
      <c r="T567" s="49" t="s">
        <v>35461</v>
      </c>
      <c r="U567" s="49" t="s">
        <v>35462</v>
      </c>
    </row>
    <row r="568" spans="1:21" x14ac:dyDescent="0.2">
      <c r="A568" s="49" t="s">
        <v>30</v>
      </c>
      <c r="D568" s="49" t="s">
        <v>5721</v>
      </c>
      <c r="G568" s="49" t="s">
        <v>35463</v>
      </c>
      <c r="H568" s="49" t="s">
        <v>5722</v>
      </c>
      <c r="I568" s="49" t="s">
        <v>5723</v>
      </c>
      <c r="J568" s="49" t="s">
        <v>5724</v>
      </c>
      <c r="K568" s="49" t="s">
        <v>5725</v>
      </c>
      <c r="L568" s="49" t="s">
        <v>5726</v>
      </c>
      <c r="M568" s="49" t="s">
        <v>5727</v>
      </c>
      <c r="N568" s="49" t="s">
        <v>5728</v>
      </c>
      <c r="O568" s="49" t="s">
        <v>33950</v>
      </c>
      <c r="P568" s="49" t="s">
        <v>33951</v>
      </c>
      <c r="Q568" s="49" t="s">
        <v>33952</v>
      </c>
      <c r="R568" s="49" t="s">
        <v>33953</v>
      </c>
      <c r="S568" s="49" t="s">
        <v>33954</v>
      </c>
      <c r="T568" s="49" t="s">
        <v>33955</v>
      </c>
    </row>
    <row r="569" spans="1:21" x14ac:dyDescent="0.2">
      <c r="A569" s="49" t="s">
        <v>30</v>
      </c>
      <c r="D569" s="49" t="s">
        <v>5735</v>
      </c>
      <c r="G569" s="49" t="s">
        <v>20227</v>
      </c>
      <c r="H569" s="49" t="s">
        <v>5736</v>
      </c>
      <c r="I569" s="49" t="s">
        <v>5737</v>
      </c>
      <c r="J569" s="49" t="s">
        <v>5738</v>
      </c>
      <c r="K569" s="49" t="s">
        <v>5739</v>
      </c>
      <c r="L569" s="49" t="s">
        <v>5740</v>
      </c>
      <c r="M569" s="49" t="s">
        <v>5741</v>
      </c>
      <c r="N569" s="49" t="s">
        <v>5742</v>
      </c>
      <c r="O569" s="49" t="s">
        <v>35647</v>
      </c>
      <c r="P569" s="49" t="s">
        <v>35649</v>
      </c>
      <c r="Q569" s="49" t="s">
        <v>35651</v>
      </c>
      <c r="R569" s="49" t="s">
        <v>35653</v>
      </c>
      <c r="S569" s="49" t="s">
        <v>35655</v>
      </c>
      <c r="T569" s="49" t="s">
        <v>35657</v>
      </c>
    </row>
    <row r="570" spans="1:21" x14ac:dyDescent="0.2">
      <c r="A570" s="49" t="s">
        <v>30</v>
      </c>
      <c r="D570" s="49" t="s">
        <v>5749</v>
      </c>
      <c r="G570" s="49" t="s">
        <v>20292</v>
      </c>
      <c r="H570" s="49" t="s">
        <v>5750</v>
      </c>
      <c r="I570" s="49" t="s">
        <v>5751</v>
      </c>
      <c r="J570" s="49" t="s">
        <v>5752</v>
      </c>
      <c r="K570" s="49" t="s">
        <v>5753</v>
      </c>
      <c r="L570" s="49" t="s">
        <v>5754</v>
      </c>
      <c r="M570" s="49" t="s">
        <v>5755</v>
      </c>
      <c r="N570" s="49" t="s">
        <v>5756</v>
      </c>
      <c r="O570" s="49" t="s">
        <v>35648</v>
      </c>
      <c r="P570" s="49" t="s">
        <v>35650</v>
      </c>
      <c r="Q570" s="49" t="s">
        <v>35652</v>
      </c>
      <c r="R570" s="49" t="s">
        <v>35654</v>
      </c>
      <c r="S570" s="49" t="s">
        <v>35656</v>
      </c>
      <c r="T570" s="49" t="s">
        <v>35658</v>
      </c>
    </row>
    <row r="571" spans="1:21" x14ac:dyDescent="0.2">
      <c r="A571" s="49" t="s">
        <v>30</v>
      </c>
    </row>
    <row r="572" spans="1:21" x14ac:dyDescent="0.2">
      <c r="A572" s="49" t="s">
        <v>30</v>
      </c>
      <c r="E572" s="49" t="s">
        <v>31</v>
      </c>
      <c r="F572" s="49" t="s">
        <v>31</v>
      </c>
      <c r="G572" s="49" t="s">
        <v>31</v>
      </c>
      <c r="J572" s="49" t="s">
        <v>31</v>
      </c>
      <c r="K572" s="49" t="s">
        <v>31</v>
      </c>
      <c r="L572" s="49" t="s">
        <v>31</v>
      </c>
      <c r="M572" s="49" t="s">
        <v>31</v>
      </c>
    </row>
    <row r="573" spans="1:21" x14ac:dyDescent="0.2">
      <c r="A573" s="49" t="s">
        <v>30</v>
      </c>
      <c r="D573" s="49" t="s">
        <v>35464</v>
      </c>
      <c r="E573" s="49" t="s">
        <v>8835</v>
      </c>
      <c r="F573" s="49" t="s">
        <v>35465</v>
      </c>
      <c r="H573" s="49" t="s">
        <v>35466</v>
      </c>
      <c r="O573" s="49" t="s">
        <v>35467</v>
      </c>
      <c r="P573" s="49" t="s">
        <v>35468</v>
      </c>
      <c r="Q573" s="49" t="s">
        <v>35469</v>
      </c>
      <c r="R573" s="49" t="s">
        <v>35470</v>
      </c>
      <c r="S573" s="49" t="s">
        <v>35471</v>
      </c>
      <c r="T573" s="49" t="s">
        <v>35472</v>
      </c>
      <c r="U573" s="49" t="s">
        <v>35473</v>
      </c>
    </row>
    <row r="574" spans="1:21" x14ac:dyDescent="0.2">
      <c r="A574" s="49" t="s">
        <v>30</v>
      </c>
      <c r="D574" s="49" t="s">
        <v>11173</v>
      </c>
      <c r="G574" s="49" t="s">
        <v>35474</v>
      </c>
      <c r="H574" s="49" t="s">
        <v>12358</v>
      </c>
      <c r="I574" s="49" t="s">
        <v>12361</v>
      </c>
      <c r="J574" s="49" t="s">
        <v>12376</v>
      </c>
      <c r="K574" s="49" t="s">
        <v>12379</v>
      </c>
      <c r="L574" s="49" t="s">
        <v>11174</v>
      </c>
      <c r="M574" s="49" t="s">
        <v>11175</v>
      </c>
      <c r="N574" s="49" t="s">
        <v>11176</v>
      </c>
      <c r="O574" s="49" t="s">
        <v>35621</v>
      </c>
      <c r="P574" s="49" t="s">
        <v>35625</v>
      </c>
      <c r="Q574" s="49" t="s">
        <v>35629</v>
      </c>
      <c r="R574" s="49" t="s">
        <v>35633</v>
      </c>
      <c r="S574" s="49" t="s">
        <v>35637</v>
      </c>
      <c r="T574" s="49" t="s">
        <v>35641</v>
      </c>
    </row>
    <row r="575" spans="1:21" x14ac:dyDescent="0.2">
      <c r="A575" s="49" t="s">
        <v>30</v>
      </c>
      <c r="D575" s="49" t="s">
        <v>11177</v>
      </c>
      <c r="G575" s="49" t="s">
        <v>20337</v>
      </c>
      <c r="H575" s="49" t="s">
        <v>12359</v>
      </c>
      <c r="I575" s="49" t="s">
        <v>12362</v>
      </c>
      <c r="J575" s="49" t="s">
        <v>12377</v>
      </c>
      <c r="K575" s="49" t="s">
        <v>12380</v>
      </c>
      <c r="L575" s="49" t="s">
        <v>11178</v>
      </c>
      <c r="M575" s="49" t="s">
        <v>11179</v>
      </c>
      <c r="N575" s="49" t="s">
        <v>11180</v>
      </c>
      <c r="O575" s="49" t="s">
        <v>35622</v>
      </c>
      <c r="P575" s="49" t="s">
        <v>35626</v>
      </c>
      <c r="Q575" s="49" t="s">
        <v>35630</v>
      </c>
      <c r="R575" s="49" t="s">
        <v>35634</v>
      </c>
      <c r="S575" s="49" t="s">
        <v>35638</v>
      </c>
      <c r="T575" s="49" t="s">
        <v>35642</v>
      </c>
    </row>
    <row r="576" spans="1:21" x14ac:dyDescent="0.2">
      <c r="A576" s="49" t="s">
        <v>30</v>
      </c>
      <c r="D576" s="49" t="s">
        <v>11181</v>
      </c>
      <c r="G576" s="49" t="s">
        <v>20367</v>
      </c>
      <c r="H576" s="49" t="s">
        <v>12360</v>
      </c>
      <c r="I576" s="49" t="s">
        <v>12363</v>
      </c>
      <c r="J576" s="49" t="s">
        <v>12378</v>
      </c>
      <c r="K576" s="49" t="s">
        <v>12381</v>
      </c>
      <c r="L576" s="49" t="s">
        <v>11182</v>
      </c>
      <c r="M576" s="49" t="s">
        <v>11183</v>
      </c>
      <c r="N576" s="49" t="s">
        <v>11184</v>
      </c>
      <c r="O576" s="49" t="s">
        <v>33984</v>
      </c>
      <c r="P576" s="49" t="s">
        <v>33985</v>
      </c>
      <c r="Q576" s="49" t="s">
        <v>33986</v>
      </c>
      <c r="R576" s="49" t="s">
        <v>33987</v>
      </c>
      <c r="S576" s="49" t="s">
        <v>33988</v>
      </c>
      <c r="T576" s="49" t="s">
        <v>33989</v>
      </c>
    </row>
    <row r="577" spans="1:21" x14ac:dyDescent="0.2">
      <c r="A577" s="49" t="s">
        <v>30</v>
      </c>
      <c r="D577" s="49" t="s">
        <v>33990</v>
      </c>
      <c r="G577" s="49" t="s">
        <v>20402</v>
      </c>
      <c r="H577" s="49" t="s">
        <v>33991</v>
      </c>
      <c r="I577" s="49" t="s">
        <v>33992</v>
      </c>
      <c r="J577" s="49" t="s">
        <v>33993</v>
      </c>
      <c r="K577" s="49" t="s">
        <v>33994</v>
      </c>
      <c r="L577" s="49" t="s">
        <v>33995</v>
      </c>
      <c r="M577" s="49" t="s">
        <v>33996</v>
      </c>
      <c r="N577" s="49" t="s">
        <v>33997</v>
      </c>
      <c r="O577" s="49" t="s">
        <v>33998</v>
      </c>
      <c r="P577" s="49" t="s">
        <v>33999</v>
      </c>
      <c r="Q577" s="49" t="s">
        <v>34000</v>
      </c>
      <c r="R577" s="49" t="s">
        <v>34001</v>
      </c>
      <c r="S577" s="49" t="s">
        <v>34002</v>
      </c>
      <c r="T577" s="49" t="s">
        <v>34003</v>
      </c>
    </row>
    <row r="578" spans="1:21" x14ac:dyDescent="0.2">
      <c r="A578" s="49" t="s">
        <v>30</v>
      </c>
      <c r="D578" s="49" t="s">
        <v>35475</v>
      </c>
      <c r="G578" s="49" t="s">
        <v>20412</v>
      </c>
      <c r="H578" s="49" t="s">
        <v>35619</v>
      </c>
      <c r="I578" s="49" t="s">
        <v>35620</v>
      </c>
      <c r="J578" s="49" t="s">
        <v>35645</v>
      </c>
      <c r="K578" s="49" t="s">
        <v>35646</v>
      </c>
      <c r="L578" s="49" t="s">
        <v>35476</v>
      </c>
      <c r="M578" s="49" t="s">
        <v>35477</v>
      </c>
      <c r="N578" s="49" t="s">
        <v>35478</v>
      </c>
      <c r="O578" s="49" t="s">
        <v>35623</v>
      </c>
      <c r="P578" s="49" t="s">
        <v>35627</v>
      </c>
      <c r="Q578" s="49" t="s">
        <v>35631</v>
      </c>
      <c r="R578" s="49" t="s">
        <v>35635</v>
      </c>
      <c r="S578" s="49" t="s">
        <v>35639</v>
      </c>
      <c r="T578" s="49" t="s">
        <v>35643</v>
      </c>
    </row>
    <row r="579" spans="1:21" x14ac:dyDescent="0.2">
      <c r="A579" s="49" t="s">
        <v>30</v>
      </c>
      <c r="D579" s="49" t="s">
        <v>14993</v>
      </c>
      <c r="G579" s="49" t="s">
        <v>20417</v>
      </c>
      <c r="H579" s="49" t="s">
        <v>30906</v>
      </c>
      <c r="I579" s="49" t="s">
        <v>30910</v>
      </c>
      <c r="J579" s="49" t="s">
        <v>30938</v>
      </c>
      <c r="K579" s="49" t="s">
        <v>30942</v>
      </c>
      <c r="L579" s="49" t="s">
        <v>14995</v>
      </c>
      <c r="M579" s="49" t="s">
        <v>14996</v>
      </c>
      <c r="N579" s="49" t="s">
        <v>14997</v>
      </c>
      <c r="O579" s="49" t="s">
        <v>35624</v>
      </c>
      <c r="P579" s="49" t="s">
        <v>35628</v>
      </c>
      <c r="Q579" s="49" t="s">
        <v>35632</v>
      </c>
      <c r="R579" s="49" t="s">
        <v>35636</v>
      </c>
      <c r="S579" s="49" t="s">
        <v>35640</v>
      </c>
      <c r="T579" s="49" t="s">
        <v>35644</v>
      </c>
    </row>
    <row r="580" spans="1:21" x14ac:dyDescent="0.2">
      <c r="A580" s="49" t="s">
        <v>30</v>
      </c>
    </row>
    <row r="581" spans="1:21" x14ac:dyDescent="0.2">
      <c r="A581" s="49" t="s">
        <v>30</v>
      </c>
      <c r="E581" s="49" t="s">
        <v>31</v>
      </c>
      <c r="F581" s="49" t="s">
        <v>31</v>
      </c>
      <c r="G581" s="49" t="s">
        <v>31</v>
      </c>
      <c r="J581" s="49" t="s">
        <v>31</v>
      </c>
      <c r="K581" s="49" t="s">
        <v>31</v>
      </c>
      <c r="L581" s="49" t="s">
        <v>31</v>
      </c>
      <c r="M581" s="49" t="s">
        <v>31</v>
      </c>
    </row>
    <row r="582" spans="1:21" x14ac:dyDescent="0.2">
      <c r="A582" s="49" t="s">
        <v>30</v>
      </c>
      <c r="D582" s="49" t="s">
        <v>35479</v>
      </c>
      <c r="E582" s="49" t="s">
        <v>8836</v>
      </c>
      <c r="F582" s="49" t="s">
        <v>35480</v>
      </c>
      <c r="H582" s="49" t="s">
        <v>35481</v>
      </c>
      <c r="O582" s="49" t="s">
        <v>35482</v>
      </c>
      <c r="P582" s="49" t="s">
        <v>35483</v>
      </c>
      <c r="Q582" s="49" t="s">
        <v>35484</v>
      </c>
      <c r="R582" s="49" t="s">
        <v>35485</v>
      </c>
      <c r="S582" s="49" t="s">
        <v>35486</v>
      </c>
      <c r="T582" s="49" t="s">
        <v>35487</v>
      </c>
      <c r="U582" s="49" t="s">
        <v>35488</v>
      </c>
    </row>
    <row r="583" spans="1:21" x14ac:dyDescent="0.2">
      <c r="A583" s="49" t="s">
        <v>30</v>
      </c>
      <c r="D583" s="49" t="s">
        <v>5848</v>
      </c>
      <c r="G583" s="49" t="s">
        <v>35489</v>
      </c>
      <c r="H583" s="49" t="s">
        <v>5849</v>
      </c>
      <c r="I583" s="49" t="s">
        <v>5850</v>
      </c>
      <c r="J583" s="49" t="s">
        <v>5851</v>
      </c>
      <c r="K583" s="49" t="s">
        <v>5852</v>
      </c>
      <c r="L583" s="49" t="s">
        <v>5853</v>
      </c>
      <c r="M583" s="49" t="s">
        <v>5854</v>
      </c>
      <c r="N583" s="49" t="s">
        <v>5855</v>
      </c>
      <c r="O583" s="49" t="s">
        <v>35595</v>
      </c>
      <c r="P583" s="49" t="s">
        <v>35599</v>
      </c>
      <c r="Q583" s="49" t="s">
        <v>35603</v>
      </c>
      <c r="R583" s="49" t="s">
        <v>35607</v>
      </c>
      <c r="S583" s="49" t="s">
        <v>35611</v>
      </c>
      <c r="T583" s="49" t="s">
        <v>35615</v>
      </c>
    </row>
    <row r="584" spans="1:21" x14ac:dyDescent="0.2">
      <c r="A584" s="49" t="s">
        <v>30</v>
      </c>
      <c r="D584" s="49" t="s">
        <v>5862</v>
      </c>
      <c r="G584" s="49" t="s">
        <v>20507</v>
      </c>
      <c r="H584" s="49" t="s">
        <v>5863</v>
      </c>
      <c r="I584" s="49" t="s">
        <v>5864</v>
      </c>
      <c r="J584" s="49" t="s">
        <v>5865</v>
      </c>
      <c r="K584" s="49" t="s">
        <v>5866</v>
      </c>
      <c r="L584" s="49" t="s">
        <v>5867</v>
      </c>
      <c r="M584" s="49" t="s">
        <v>5868</v>
      </c>
      <c r="N584" s="49" t="s">
        <v>5869</v>
      </c>
      <c r="O584" s="49" t="s">
        <v>35596</v>
      </c>
      <c r="P584" s="49" t="s">
        <v>35600</v>
      </c>
      <c r="Q584" s="49" t="s">
        <v>35604</v>
      </c>
      <c r="R584" s="49" t="s">
        <v>35608</v>
      </c>
      <c r="S584" s="49" t="s">
        <v>35612</v>
      </c>
      <c r="T584" s="49" t="s">
        <v>35616</v>
      </c>
    </row>
    <row r="585" spans="1:21" x14ac:dyDescent="0.2">
      <c r="A585" s="49" t="s">
        <v>30</v>
      </c>
      <c r="D585" s="49" t="s">
        <v>5876</v>
      </c>
      <c r="G585" s="49" t="s">
        <v>20522</v>
      </c>
      <c r="H585" s="49" t="s">
        <v>5877</v>
      </c>
      <c r="I585" s="49" t="s">
        <v>5878</v>
      </c>
      <c r="J585" s="49" t="s">
        <v>5879</v>
      </c>
      <c r="K585" s="49" t="s">
        <v>5880</v>
      </c>
      <c r="L585" s="49" t="s">
        <v>5881</v>
      </c>
      <c r="M585" s="49" t="s">
        <v>5882</v>
      </c>
      <c r="N585" s="49" t="s">
        <v>5883</v>
      </c>
      <c r="O585" s="49" t="s">
        <v>35597</v>
      </c>
      <c r="P585" s="49" t="s">
        <v>35601</v>
      </c>
      <c r="Q585" s="49" t="s">
        <v>35605</v>
      </c>
      <c r="R585" s="49" t="s">
        <v>35609</v>
      </c>
      <c r="S585" s="49" t="s">
        <v>35613</v>
      </c>
      <c r="T585" s="49" t="s">
        <v>35617</v>
      </c>
    </row>
    <row r="586" spans="1:21" x14ac:dyDescent="0.2">
      <c r="A586" s="49" t="s">
        <v>30</v>
      </c>
      <c r="D586" s="49" t="s">
        <v>11185</v>
      </c>
      <c r="G586" s="49" t="s">
        <v>20542</v>
      </c>
      <c r="H586" s="49" t="s">
        <v>12348</v>
      </c>
      <c r="I586" s="49" t="s">
        <v>12349</v>
      </c>
      <c r="J586" s="49" t="s">
        <v>12356</v>
      </c>
      <c r="K586" s="49" t="s">
        <v>12357</v>
      </c>
      <c r="L586" s="49" t="s">
        <v>11186</v>
      </c>
      <c r="M586" s="49" t="s">
        <v>11187</v>
      </c>
      <c r="N586" s="49" t="s">
        <v>11188</v>
      </c>
      <c r="O586" s="49" t="s">
        <v>34038</v>
      </c>
      <c r="P586" s="49" t="s">
        <v>34039</v>
      </c>
      <c r="Q586" s="49" t="s">
        <v>34040</v>
      </c>
      <c r="R586" s="49" t="s">
        <v>34041</v>
      </c>
      <c r="S586" s="49" t="s">
        <v>34042</v>
      </c>
      <c r="T586" s="49" t="s">
        <v>34043</v>
      </c>
    </row>
    <row r="587" spans="1:21" x14ac:dyDescent="0.2">
      <c r="A587" s="49" t="s">
        <v>30</v>
      </c>
      <c r="D587" s="49" t="s">
        <v>15005</v>
      </c>
      <c r="G587" s="49" t="s">
        <v>20547</v>
      </c>
      <c r="H587" s="49" t="s">
        <v>30907</v>
      </c>
      <c r="I587" s="49" t="s">
        <v>30911</v>
      </c>
      <c r="J587" s="49" t="s">
        <v>30939</v>
      </c>
      <c r="K587" s="49" t="s">
        <v>30943</v>
      </c>
      <c r="L587" s="49" t="s">
        <v>15007</v>
      </c>
      <c r="M587" s="49" t="s">
        <v>15008</v>
      </c>
      <c r="N587" s="49" t="s">
        <v>15009</v>
      </c>
      <c r="O587" s="49" t="s">
        <v>34044</v>
      </c>
      <c r="P587" s="49" t="s">
        <v>34045</v>
      </c>
      <c r="Q587" s="49" t="s">
        <v>34046</v>
      </c>
      <c r="R587" s="49" t="s">
        <v>34047</v>
      </c>
      <c r="S587" s="49" t="s">
        <v>34048</v>
      </c>
      <c r="T587" s="49" t="s">
        <v>34049</v>
      </c>
    </row>
    <row r="588" spans="1:21" x14ac:dyDescent="0.2">
      <c r="A588" s="49" t="s">
        <v>30</v>
      </c>
      <c r="D588" s="49" t="s">
        <v>15010</v>
      </c>
      <c r="G588" s="49" t="s">
        <v>20582</v>
      </c>
      <c r="H588" s="49" t="s">
        <v>30908</v>
      </c>
      <c r="I588" s="49" t="s">
        <v>30912</v>
      </c>
      <c r="J588" s="49" t="s">
        <v>30940</v>
      </c>
      <c r="K588" s="49" t="s">
        <v>30944</v>
      </c>
      <c r="L588" s="49" t="s">
        <v>15012</v>
      </c>
      <c r="M588" s="49" t="s">
        <v>15013</v>
      </c>
      <c r="N588" s="49" t="s">
        <v>15014</v>
      </c>
      <c r="O588" s="49" t="s">
        <v>35598</v>
      </c>
      <c r="P588" s="49" t="s">
        <v>35602</v>
      </c>
      <c r="Q588" s="49" t="s">
        <v>35606</v>
      </c>
      <c r="R588" s="49" t="s">
        <v>35610</v>
      </c>
      <c r="S588" s="49" t="s">
        <v>35614</v>
      </c>
      <c r="T588" s="49" t="s">
        <v>35618</v>
      </c>
    </row>
    <row r="589" spans="1:21" x14ac:dyDescent="0.2">
      <c r="A589" s="49" t="s">
        <v>30</v>
      </c>
    </row>
    <row r="590" spans="1:21" x14ac:dyDescent="0.2">
      <c r="A590" s="49" t="s">
        <v>30</v>
      </c>
      <c r="E590" s="49" t="s">
        <v>31</v>
      </c>
      <c r="F590" s="49" t="s">
        <v>31</v>
      </c>
      <c r="G590" s="49" t="s">
        <v>31</v>
      </c>
      <c r="J590" s="49" t="s">
        <v>31</v>
      </c>
      <c r="K590" s="49" t="s">
        <v>31</v>
      </c>
      <c r="L590" s="49" t="s">
        <v>31</v>
      </c>
      <c r="M590" s="49" t="s">
        <v>31</v>
      </c>
    </row>
    <row r="591" spans="1:21" x14ac:dyDescent="0.2">
      <c r="A591" s="49" t="s">
        <v>30</v>
      </c>
      <c r="D591" s="49" t="s">
        <v>35490</v>
      </c>
      <c r="E591" s="49" t="s">
        <v>8839</v>
      </c>
      <c r="F591" s="49" t="s">
        <v>35491</v>
      </c>
      <c r="H591" s="49" t="s">
        <v>35492</v>
      </c>
      <c r="O591" s="49" t="s">
        <v>35493</v>
      </c>
      <c r="P591" s="49" t="s">
        <v>35494</v>
      </c>
      <c r="Q591" s="49" t="s">
        <v>35495</v>
      </c>
      <c r="R591" s="49" t="s">
        <v>35496</v>
      </c>
      <c r="S591" s="49" t="s">
        <v>35497</v>
      </c>
      <c r="T591" s="49" t="s">
        <v>35498</v>
      </c>
      <c r="U591" s="49" t="s">
        <v>35499</v>
      </c>
    </row>
    <row r="592" spans="1:21" x14ac:dyDescent="0.2">
      <c r="A592" s="49" t="s">
        <v>30</v>
      </c>
      <c r="D592" s="49" t="s">
        <v>5907</v>
      </c>
      <c r="G592" s="49" t="s">
        <v>35500</v>
      </c>
      <c r="H592" s="49" t="s">
        <v>5908</v>
      </c>
      <c r="I592" s="49" t="s">
        <v>5909</v>
      </c>
      <c r="J592" s="49" t="s">
        <v>5910</v>
      </c>
      <c r="K592" s="49" t="s">
        <v>5911</v>
      </c>
      <c r="L592" s="49" t="s">
        <v>5912</v>
      </c>
      <c r="M592" s="49" t="s">
        <v>5913</v>
      </c>
      <c r="N592" s="49" t="s">
        <v>5914</v>
      </c>
      <c r="O592" s="49" t="s">
        <v>34339</v>
      </c>
      <c r="P592" s="49" t="s">
        <v>34344</v>
      </c>
      <c r="Q592" s="49" t="s">
        <v>34349</v>
      </c>
      <c r="R592" s="49" t="s">
        <v>34354</v>
      </c>
      <c r="S592" s="49" t="s">
        <v>34359</v>
      </c>
      <c r="T592" s="49" t="s">
        <v>34364</v>
      </c>
    </row>
    <row r="593" spans="1:21" x14ac:dyDescent="0.2">
      <c r="A593" s="49" t="s">
        <v>30</v>
      </c>
    </row>
    <row r="594" spans="1:21" x14ac:dyDescent="0.2">
      <c r="A594" s="49" t="s">
        <v>30</v>
      </c>
      <c r="E594" s="49" t="s">
        <v>31</v>
      </c>
      <c r="F594" s="49" t="s">
        <v>31</v>
      </c>
      <c r="G594" s="49" t="s">
        <v>31</v>
      </c>
      <c r="J594" s="49" t="s">
        <v>31</v>
      </c>
      <c r="K594" s="49" t="s">
        <v>31</v>
      </c>
      <c r="L594" s="49" t="s">
        <v>31</v>
      </c>
      <c r="M594" s="49" t="s">
        <v>31</v>
      </c>
    </row>
    <row r="595" spans="1:21" x14ac:dyDescent="0.2">
      <c r="A595" s="49" t="s">
        <v>30</v>
      </c>
      <c r="D595" s="49" t="s">
        <v>35501</v>
      </c>
      <c r="E595" s="49" t="s">
        <v>8840</v>
      </c>
      <c r="F595" s="49" t="s">
        <v>35502</v>
      </c>
      <c r="H595" s="49" t="s">
        <v>35503</v>
      </c>
      <c r="O595" s="49" t="s">
        <v>35504</v>
      </c>
      <c r="P595" s="49" t="s">
        <v>35505</v>
      </c>
      <c r="Q595" s="49" t="s">
        <v>35506</v>
      </c>
      <c r="R595" s="49" t="s">
        <v>35507</v>
      </c>
      <c r="S595" s="49" t="s">
        <v>35508</v>
      </c>
      <c r="T595" s="49" t="s">
        <v>35509</v>
      </c>
      <c r="U595" s="49" t="s">
        <v>35510</v>
      </c>
    </row>
    <row r="596" spans="1:21" x14ac:dyDescent="0.2">
      <c r="A596" s="49" t="s">
        <v>30</v>
      </c>
      <c r="D596" s="49" t="s">
        <v>5957</v>
      </c>
      <c r="G596" s="49" t="s">
        <v>35511</v>
      </c>
      <c r="H596" s="49" t="s">
        <v>5958</v>
      </c>
      <c r="I596" s="49" t="s">
        <v>5959</v>
      </c>
      <c r="J596" s="49" t="s">
        <v>5960</v>
      </c>
      <c r="K596" s="49" t="s">
        <v>5961</v>
      </c>
      <c r="L596" s="49" t="s">
        <v>5962</v>
      </c>
      <c r="M596" s="49" t="s">
        <v>5963</v>
      </c>
      <c r="N596" s="49" t="s">
        <v>5964</v>
      </c>
      <c r="O596" s="49" t="s">
        <v>35512</v>
      </c>
      <c r="P596" s="49" t="s">
        <v>35513</v>
      </c>
      <c r="Q596" s="49" t="s">
        <v>35514</v>
      </c>
      <c r="R596" s="49" t="s">
        <v>35515</v>
      </c>
      <c r="S596" s="49" t="s">
        <v>35516</v>
      </c>
      <c r="T596" s="49" t="s">
        <v>35517</v>
      </c>
    </row>
    <row r="597" spans="1:21" x14ac:dyDescent="0.2">
      <c r="A597" s="49" t="s">
        <v>30</v>
      </c>
    </row>
    <row r="598" spans="1:21" x14ac:dyDescent="0.2">
      <c r="A598" s="49" t="s">
        <v>30</v>
      </c>
      <c r="E598" s="49" t="s">
        <v>31</v>
      </c>
      <c r="F598" s="49" t="s">
        <v>31</v>
      </c>
      <c r="G598" s="49" t="s">
        <v>31</v>
      </c>
      <c r="J598" s="49" t="s">
        <v>31</v>
      </c>
      <c r="K598" s="49" t="s">
        <v>31</v>
      </c>
      <c r="L598" s="49" t="s">
        <v>31</v>
      </c>
      <c r="M598" s="49" t="s">
        <v>31</v>
      </c>
    </row>
    <row r="599" spans="1:21" x14ac:dyDescent="0.2">
      <c r="A599" s="49" t="s">
        <v>30</v>
      </c>
      <c r="D599" s="49" t="s">
        <v>35518</v>
      </c>
      <c r="E599" s="49" t="s">
        <v>20951</v>
      </c>
      <c r="F599" s="49" t="s">
        <v>35519</v>
      </c>
      <c r="H599" s="49" t="s">
        <v>35520</v>
      </c>
      <c r="O599" s="49" t="s">
        <v>35521</v>
      </c>
      <c r="P599" s="49" t="s">
        <v>35522</v>
      </c>
      <c r="Q599" s="49" t="s">
        <v>35523</v>
      </c>
      <c r="R599" s="49" t="s">
        <v>35524</v>
      </c>
      <c r="S599" s="49" t="s">
        <v>35525</v>
      </c>
      <c r="T599" s="49" t="s">
        <v>35526</v>
      </c>
      <c r="U599" s="49" t="s">
        <v>35527</v>
      </c>
    </row>
    <row r="600" spans="1:21" x14ac:dyDescent="0.2">
      <c r="A600" s="49" t="s">
        <v>30</v>
      </c>
      <c r="D600" s="49" t="s">
        <v>15037</v>
      </c>
      <c r="G600" s="49" t="s">
        <v>35528</v>
      </c>
      <c r="H600" s="49" t="s">
        <v>30886</v>
      </c>
      <c r="I600" s="49" t="s">
        <v>30888</v>
      </c>
      <c r="J600" s="49" t="s">
        <v>30902</v>
      </c>
      <c r="K600" s="49" t="s">
        <v>30904</v>
      </c>
      <c r="L600" s="49" t="s">
        <v>15039</v>
      </c>
      <c r="M600" s="49" t="s">
        <v>15040</v>
      </c>
      <c r="N600" s="49" t="s">
        <v>15041</v>
      </c>
      <c r="O600" s="49" t="s">
        <v>35529</v>
      </c>
      <c r="P600" s="49" t="s">
        <v>35530</v>
      </c>
      <c r="Q600" s="49" t="s">
        <v>35531</v>
      </c>
      <c r="R600" s="49" t="s">
        <v>35532</v>
      </c>
      <c r="S600" s="49" t="s">
        <v>35533</v>
      </c>
      <c r="T600" s="49" t="s">
        <v>35534</v>
      </c>
    </row>
    <row r="601" spans="1:21" x14ac:dyDescent="0.2">
      <c r="A601" s="49" t="s">
        <v>30</v>
      </c>
    </row>
    <row r="602" spans="1:21" x14ac:dyDescent="0.2">
      <c r="A602" s="49" t="s">
        <v>30</v>
      </c>
      <c r="E602" s="49" t="s">
        <v>31</v>
      </c>
      <c r="F602" s="49" t="s">
        <v>31</v>
      </c>
      <c r="G602" s="49" t="s">
        <v>31</v>
      </c>
      <c r="J602" s="49" t="s">
        <v>31</v>
      </c>
      <c r="K602" s="49" t="s">
        <v>31</v>
      </c>
      <c r="L602" s="49" t="s">
        <v>31</v>
      </c>
      <c r="M602" s="49" t="s">
        <v>31</v>
      </c>
    </row>
    <row r="603" spans="1:21" x14ac:dyDescent="0.2">
      <c r="A603" s="49" t="s">
        <v>30</v>
      </c>
      <c r="D603" s="49" t="s">
        <v>35535</v>
      </c>
      <c r="E603" s="49" t="s">
        <v>20977</v>
      </c>
      <c r="F603" s="49" t="s">
        <v>35536</v>
      </c>
      <c r="H603" s="49" t="s">
        <v>35537</v>
      </c>
      <c r="O603" s="49" t="s">
        <v>35538</v>
      </c>
      <c r="P603" s="49" t="s">
        <v>35539</v>
      </c>
      <c r="Q603" s="49" t="s">
        <v>35540</v>
      </c>
      <c r="R603" s="49" t="s">
        <v>35541</v>
      </c>
      <c r="S603" s="49" t="s">
        <v>35542</v>
      </c>
      <c r="T603" s="49" t="s">
        <v>35543</v>
      </c>
      <c r="U603" s="49" t="s">
        <v>35544</v>
      </c>
    </row>
    <row r="604" spans="1:21" x14ac:dyDescent="0.2">
      <c r="A604" s="49" t="s">
        <v>30</v>
      </c>
      <c r="D604" s="49" t="s">
        <v>5994</v>
      </c>
      <c r="G604" s="49" t="s">
        <v>35545</v>
      </c>
      <c r="H604" s="49" t="s">
        <v>5995</v>
      </c>
      <c r="I604" s="49" t="s">
        <v>5996</v>
      </c>
      <c r="J604" s="49" t="s">
        <v>5997</v>
      </c>
      <c r="K604" s="49" t="s">
        <v>5998</v>
      </c>
      <c r="L604" s="49" t="s">
        <v>5999</v>
      </c>
      <c r="M604" s="49" t="s">
        <v>6000</v>
      </c>
      <c r="N604" s="49" t="s">
        <v>6001</v>
      </c>
      <c r="O604" s="49" t="s">
        <v>34092</v>
      </c>
      <c r="P604" s="49" t="s">
        <v>34093</v>
      </c>
      <c r="Q604" s="49" t="s">
        <v>34094</v>
      </c>
      <c r="R604" s="49" t="s">
        <v>34095</v>
      </c>
      <c r="S604" s="49" t="s">
        <v>34096</v>
      </c>
      <c r="T604" s="49" t="s">
        <v>34097</v>
      </c>
    </row>
    <row r="605" spans="1:21" x14ac:dyDescent="0.2">
      <c r="A605" s="49" t="s">
        <v>30</v>
      </c>
    </row>
    <row r="606" spans="1:21" x14ac:dyDescent="0.2">
      <c r="A606" s="49" t="s">
        <v>30</v>
      </c>
      <c r="E606" s="49" t="s">
        <v>31</v>
      </c>
      <c r="F606" s="49" t="s">
        <v>31</v>
      </c>
      <c r="G606" s="49" t="s">
        <v>31</v>
      </c>
      <c r="J606" s="49" t="s">
        <v>31</v>
      </c>
      <c r="K606" s="49" t="s">
        <v>31</v>
      </c>
      <c r="L606" s="49" t="s">
        <v>31</v>
      </c>
      <c r="M606" s="49" t="s">
        <v>31</v>
      </c>
    </row>
    <row r="607" spans="1:21" x14ac:dyDescent="0.2">
      <c r="A607" s="49" t="s">
        <v>30</v>
      </c>
      <c r="D607" s="49" t="s">
        <v>34098</v>
      </c>
      <c r="E607" s="49" t="s">
        <v>21018</v>
      </c>
      <c r="F607" s="49" t="s">
        <v>34099</v>
      </c>
      <c r="H607" s="49" t="s">
        <v>34100</v>
      </c>
      <c r="O607" s="49" t="s">
        <v>35546</v>
      </c>
      <c r="P607" s="49" t="s">
        <v>35547</v>
      </c>
      <c r="Q607" s="49" t="s">
        <v>35548</v>
      </c>
      <c r="R607" s="49" t="s">
        <v>35549</v>
      </c>
      <c r="S607" s="49" t="s">
        <v>35550</v>
      </c>
      <c r="T607" s="49" t="s">
        <v>35551</v>
      </c>
      <c r="U607" s="49" t="s">
        <v>35552</v>
      </c>
    </row>
    <row r="608" spans="1:21" x14ac:dyDescent="0.2">
      <c r="A608" s="49" t="s">
        <v>30</v>
      </c>
      <c r="D608" s="49" t="s">
        <v>6044</v>
      </c>
      <c r="G608" s="49" t="s">
        <v>34108</v>
      </c>
      <c r="H608" s="49" t="s">
        <v>6045</v>
      </c>
      <c r="I608" s="49" t="s">
        <v>6046</v>
      </c>
      <c r="J608" s="49" t="s">
        <v>6047</v>
      </c>
      <c r="K608" s="49" t="s">
        <v>6048</v>
      </c>
      <c r="L608" s="49" t="s">
        <v>6049</v>
      </c>
      <c r="M608" s="49" t="s">
        <v>6050</v>
      </c>
      <c r="N608" s="49" t="s">
        <v>6051</v>
      </c>
      <c r="O608" s="49" t="s">
        <v>34109</v>
      </c>
      <c r="P608" s="49" t="s">
        <v>34110</v>
      </c>
      <c r="Q608" s="49" t="s">
        <v>34111</v>
      </c>
      <c r="R608" s="49" t="s">
        <v>34112</v>
      </c>
      <c r="S608" s="49" t="s">
        <v>34113</v>
      </c>
      <c r="T608" s="49" t="s">
        <v>34114</v>
      </c>
    </row>
    <row r="609" spans="1:21" x14ac:dyDescent="0.2">
      <c r="A609" s="49" t="s">
        <v>30</v>
      </c>
    </row>
    <row r="610" spans="1:21" x14ac:dyDescent="0.2">
      <c r="A610" s="49" t="s">
        <v>30</v>
      </c>
      <c r="E610" s="49" t="s">
        <v>31</v>
      </c>
      <c r="F610" s="49" t="s">
        <v>31</v>
      </c>
      <c r="G610" s="49" t="s">
        <v>31</v>
      </c>
      <c r="J610" s="49" t="s">
        <v>31</v>
      </c>
      <c r="K610" s="49" t="s">
        <v>31</v>
      </c>
      <c r="L610" s="49" t="s">
        <v>31</v>
      </c>
      <c r="M610" s="49" t="s">
        <v>31</v>
      </c>
    </row>
    <row r="611" spans="1:21" x14ac:dyDescent="0.2">
      <c r="A611" s="49" t="s">
        <v>30</v>
      </c>
      <c r="D611" s="49" t="s">
        <v>35553</v>
      </c>
      <c r="E611" s="49" t="s">
        <v>21095</v>
      </c>
      <c r="F611" s="49" t="s">
        <v>35554</v>
      </c>
      <c r="H611" s="49" t="s">
        <v>35555</v>
      </c>
      <c r="O611" s="49" t="s">
        <v>35556</v>
      </c>
      <c r="P611" s="49" t="s">
        <v>35557</v>
      </c>
      <c r="Q611" s="49" t="s">
        <v>35558</v>
      </c>
      <c r="R611" s="49" t="s">
        <v>35559</v>
      </c>
      <c r="S611" s="49" t="s">
        <v>35560</v>
      </c>
      <c r="T611" s="49" t="s">
        <v>35561</v>
      </c>
      <c r="U611" s="49" t="s">
        <v>35562</v>
      </c>
    </row>
    <row r="612" spans="1:21" x14ac:dyDescent="0.2">
      <c r="A612" s="49" t="s">
        <v>30</v>
      </c>
      <c r="D612" s="49" t="s">
        <v>6100</v>
      </c>
      <c r="G612" s="49" t="s">
        <v>35563</v>
      </c>
      <c r="H612" s="49" t="s">
        <v>6101</v>
      </c>
      <c r="I612" s="49" t="s">
        <v>6102</v>
      </c>
      <c r="J612" s="49" t="s">
        <v>6103</v>
      </c>
      <c r="K612" s="49" t="s">
        <v>6104</v>
      </c>
      <c r="L612" s="49" t="s">
        <v>6105</v>
      </c>
      <c r="M612" s="49" t="s">
        <v>6106</v>
      </c>
      <c r="N612" s="49" t="s">
        <v>6107</v>
      </c>
      <c r="O612" s="49" t="s">
        <v>35564</v>
      </c>
      <c r="P612" s="49" t="s">
        <v>35565</v>
      </c>
      <c r="Q612" s="49" t="s">
        <v>35566</v>
      </c>
      <c r="R612" s="49" t="s">
        <v>35567</v>
      </c>
      <c r="S612" s="49" t="s">
        <v>35568</v>
      </c>
      <c r="T612" s="49" t="s">
        <v>35569</v>
      </c>
    </row>
    <row r="613" spans="1:21" x14ac:dyDescent="0.2">
      <c r="A613" s="49" t="s">
        <v>30</v>
      </c>
    </row>
    <row r="614" spans="1:21" x14ac:dyDescent="0.2">
      <c r="A614" s="49" t="s">
        <v>30</v>
      </c>
      <c r="E614" s="49" t="s">
        <v>31</v>
      </c>
      <c r="F614" s="49" t="s">
        <v>31</v>
      </c>
      <c r="G614" s="49" t="s">
        <v>31</v>
      </c>
      <c r="J614" s="49" t="s">
        <v>31</v>
      </c>
      <c r="K614" s="49" t="s">
        <v>31</v>
      </c>
      <c r="L614" s="49" t="s">
        <v>31</v>
      </c>
      <c r="M614" s="49" t="s">
        <v>31</v>
      </c>
    </row>
    <row r="615" spans="1:21" x14ac:dyDescent="0.2">
      <c r="A615" s="49" t="s">
        <v>30</v>
      </c>
      <c r="D615" s="49" t="s">
        <v>35570</v>
      </c>
      <c r="E615" s="49" t="s">
        <v>21162</v>
      </c>
      <c r="F615" s="49" t="s">
        <v>35571</v>
      </c>
      <c r="H615" s="49" t="s">
        <v>35572</v>
      </c>
      <c r="O615" s="49" t="s">
        <v>35573</v>
      </c>
      <c r="P615" s="49" t="s">
        <v>35574</v>
      </c>
      <c r="Q615" s="49" t="s">
        <v>35575</v>
      </c>
      <c r="R615" s="49" t="s">
        <v>35576</v>
      </c>
      <c r="S615" s="49" t="s">
        <v>35577</v>
      </c>
      <c r="T615" s="49" t="s">
        <v>35578</v>
      </c>
      <c r="U615" s="49" t="s">
        <v>35579</v>
      </c>
    </row>
    <row r="616" spans="1:21" x14ac:dyDescent="0.2">
      <c r="A616" s="49" t="s">
        <v>30</v>
      </c>
      <c r="D616" s="49" t="s">
        <v>34136</v>
      </c>
      <c r="G616" s="49" t="s">
        <v>35580</v>
      </c>
      <c r="H616" s="49" t="s">
        <v>34307</v>
      </c>
      <c r="I616" s="49" t="s">
        <v>34309</v>
      </c>
      <c r="J616" s="49" t="s">
        <v>34335</v>
      </c>
      <c r="K616" s="49" t="s">
        <v>34337</v>
      </c>
      <c r="L616" s="49" t="s">
        <v>34137</v>
      </c>
      <c r="M616" s="49" t="s">
        <v>34138</v>
      </c>
      <c r="N616" s="49" t="s">
        <v>34139</v>
      </c>
      <c r="O616" s="49" t="s">
        <v>34313</v>
      </c>
      <c r="P616" s="49" t="s">
        <v>34317</v>
      </c>
      <c r="Q616" s="49" t="s">
        <v>34321</v>
      </c>
      <c r="R616" s="49" t="s">
        <v>34325</v>
      </c>
      <c r="S616" s="49" t="s">
        <v>34329</v>
      </c>
      <c r="T616" s="49" t="s">
        <v>34333</v>
      </c>
    </row>
    <row r="617" spans="1:21" x14ac:dyDescent="0.2">
      <c r="A617" s="49" t="s">
        <v>30</v>
      </c>
    </row>
    <row r="618" spans="1:21" x14ac:dyDescent="0.2">
      <c r="A618" s="49" t="s">
        <v>30</v>
      </c>
      <c r="E618" s="49" t="s">
        <v>31</v>
      </c>
      <c r="F618" s="49" t="s">
        <v>31</v>
      </c>
      <c r="G618" s="49" t="s">
        <v>31</v>
      </c>
      <c r="J618" s="49" t="s">
        <v>31</v>
      </c>
      <c r="K618" s="49" t="s">
        <v>31</v>
      </c>
      <c r="L618" s="49" t="s">
        <v>31</v>
      </c>
      <c r="M618" s="49" t="s">
        <v>31</v>
      </c>
    </row>
    <row r="619" spans="1:21" x14ac:dyDescent="0.2">
      <c r="A619" s="49" t="s">
        <v>30</v>
      </c>
      <c r="D619" s="49" t="s">
        <v>34140</v>
      </c>
      <c r="E619" s="49" t="s">
        <v>21229</v>
      </c>
      <c r="F619" s="49" t="s">
        <v>34141</v>
      </c>
      <c r="H619" s="49" t="s">
        <v>34142</v>
      </c>
      <c r="O619" s="49" t="s">
        <v>35581</v>
      </c>
      <c r="P619" s="49" t="s">
        <v>35582</v>
      </c>
      <c r="Q619" s="49" t="s">
        <v>35583</v>
      </c>
      <c r="R619" s="49" t="s">
        <v>35584</v>
      </c>
      <c r="S619" s="49" t="s">
        <v>35585</v>
      </c>
      <c r="T619" s="49" t="s">
        <v>35586</v>
      </c>
      <c r="U619" s="49" t="s">
        <v>35587</v>
      </c>
    </row>
    <row r="620" spans="1:21" x14ac:dyDescent="0.2">
      <c r="A620" s="49" t="s">
        <v>30</v>
      </c>
      <c r="D620" s="49" t="s">
        <v>6143</v>
      </c>
      <c r="G620" s="49" t="s">
        <v>34150</v>
      </c>
      <c r="H620" s="49" t="s">
        <v>6144</v>
      </c>
      <c r="I620" s="49" t="s">
        <v>6145</v>
      </c>
      <c r="J620" s="49" t="s">
        <v>6146</v>
      </c>
      <c r="K620" s="49" t="s">
        <v>6147</v>
      </c>
      <c r="L620" s="49" t="s">
        <v>6148</v>
      </c>
      <c r="M620" s="49" t="s">
        <v>6149</v>
      </c>
      <c r="N620" s="49" t="s">
        <v>6150</v>
      </c>
      <c r="O620" s="49" t="s">
        <v>34288</v>
      </c>
      <c r="P620" s="49" t="s">
        <v>34291</v>
      </c>
      <c r="Q620" s="49" t="s">
        <v>34294</v>
      </c>
      <c r="R620" s="49" t="s">
        <v>34297</v>
      </c>
      <c r="S620" s="49" t="s">
        <v>34300</v>
      </c>
      <c r="T620" s="49" t="s">
        <v>34303</v>
      </c>
    </row>
    <row r="621" spans="1:21" x14ac:dyDescent="0.2">
      <c r="A621" s="49" t="s">
        <v>30</v>
      </c>
    </row>
    <row r="622" spans="1:21" x14ac:dyDescent="0.2">
      <c r="A622" s="49" t="s">
        <v>30</v>
      </c>
      <c r="E622" s="49" t="s">
        <v>31</v>
      </c>
      <c r="F622" s="49" t="s">
        <v>31</v>
      </c>
      <c r="G622" s="49" t="s">
        <v>31</v>
      </c>
      <c r="J622" s="49" t="s">
        <v>31</v>
      </c>
      <c r="K622" s="49" t="s">
        <v>31</v>
      </c>
      <c r="L622" s="49" t="s">
        <v>31</v>
      </c>
      <c r="M622" s="49" t="s">
        <v>31</v>
      </c>
    </row>
    <row r="624" spans="1:21" x14ac:dyDescent="0.2">
      <c r="N624" s="49" t="s">
        <v>32</v>
      </c>
      <c r="O624" s="49" t="s">
        <v>35588</v>
      </c>
      <c r="P624" s="49" t="s">
        <v>35589</v>
      </c>
      <c r="Q624" s="49" t="s">
        <v>35590</v>
      </c>
      <c r="R624" s="49" t="s">
        <v>35591</v>
      </c>
      <c r="S624" s="49" t="s">
        <v>35592</v>
      </c>
      <c r="T624" s="49" t="s">
        <v>35593</v>
      </c>
      <c r="U624" s="49" t="s">
        <v>35594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0"/>
  <sheetViews>
    <sheetView workbookViewId="0"/>
  </sheetViews>
  <sheetFormatPr defaultRowHeight="12.75" x14ac:dyDescent="0.2"/>
  <sheetData>
    <row r="1" spans="1:21" x14ac:dyDescent="0.2">
      <c r="A1" s="49" t="s">
        <v>38153</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10254</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3535</v>
      </c>
      <c r="P12" s="49" t="s">
        <v>3536</v>
      </c>
      <c r="Q12" s="49" t="s">
        <v>3537</v>
      </c>
      <c r="R12" s="49" t="s">
        <v>3538</v>
      </c>
      <c r="S12" s="49" t="s">
        <v>3539</v>
      </c>
      <c r="T12" s="49" t="s">
        <v>3540</v>
      </c>
      <c r="U12" s="49" t="s">
        <v>3541</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4" spans="1:21" x14ac:dyDescent="0.2">
      <c r="A14" s="49" t="s">
        <v>30</v>
      </c>
      <c r="D14" s="49" t="s">
        <v>47</v>
      </c>
      <c r="G14" s="49" t="s">
        <v>14047</v>
      </c>
      <c r="H14" s="49" t="s">
        <v>48</v>
      </c>
      <c r="I14" s="49" t="s">
        <v>49</v>
      </c>
      <c r="J14" s="49" t="s">
        <v>50</v>
      </c>
      <c r="K14" s="49" t="s">
        <v>51</v>
      </c>
      <c r="L14" s="49" t="s">
        <v>52</v>
      </c>
      <c r="M14" s="49" t="s">
        <v>53</v>
      </c>
      <c r="N14" s="49" t="s">
        <v>54</v>
      </c>
      <c r="O14" s="49" t="s">
        <v>3542</v>
      </c>
      <c r="P14" s="49" t="s">
        <v>3543</v>
      </c>
      <c r="Q14" s="49" t="s">
        <v>3544</v>
      </c>
      <c r="R14" s="49" t="s">
        <v>3545</v>
      </c>
      <c r="S14" s="49" t="s">
        <v>3546</v>
      </c>
      <c r="T14" s="49" t="s">
        <v>3547</v>
      </c>
    </row>
    <row r="16" spans="1:21" x14ac:dyDescent="0.2">
      <c r="E16" s="49" t="s">
        <v>31</v>
      </c>
      <c r="F16" s="49" t="s">
        <v>31</v>
      </c>
      <c r="G16" s="49" t="s">
        <v>31</v>
      </c>
      <c r="J16" s="49" t="s">
        <v>31</v>
      </c>
      <c r="K16" s="49" t="s">
        <v>31</v>
      </c>
      <c r="L16" s="49" t="s">
        <v>31</v>
      </c>
      <c r="M16" s="49" t="s">
        <v>31</v>
      </c>
    </row>
    <row r="17" spans="1:21" x14ac:dyDescent="0.2">
      <c r="A17" s="49" t="s">
        <v>30</v>
      </c>
      <c r="D17" s="49" t="s">
        <v>3548</v>
      </c>
      <c r="E17" s="49" t="s">
        <v>4550</v>
      </c>
      <c r="F17" s="49" t="s">
        <v>3549</v>
      </c>
      <c r="H17" s="49" t="s">
        <v>3550</v>
      </c>
      <c r="O17" s="49" t="s">
        <v>33034</v>
      </c>
      <c r="P17" s="49" t="s">
        <v>33035</v>
      </c>
      <c r="Q17" s="49" t="s">
        <v>33036</v>
      </c>
      <c r="R17" s="49" t="s">
        <v>33037</v>
      </c>
      <c r="S17" s="49" t="s">
        <v>33038</v>
      </c>
      <c r="T17" s="49" t="s">
        <v>33039</v>
      </c>
      <c r="U17" s="49" t="s">
        <v>33040</v>
      </c>
    </row>
    <row r="18" spans="1:21" x14ac:dyDescent="0.2">
      <c r="A18" s="49" t="s">
        <v>30</v>
      </c>
      <c r="D18" s="49" t="s">
        <v>3551</v>
      </c>
      <c r="G18" s="49" t="s">
        <v>3552</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c r="D19" s="49" t="s">
        <v>63</v>
      </c>
      <c r="G19" s="49" t="s">
        <v>14070</v>
      </c>
      <c r="H19" s="49" t="s">
        <v>64</v>
      </c>
      <c r="I19" s="49" t="s">
        <v>65</v>
      </c>
      <c r="J19" s="49" t="s">
        <v>66</v>
      </c>
      <c r="K19" s="49" t="s">
        <v>67</v>
      </c>
      <c r="L19" s="49" t="s">
        <v>68</v>
      </c>
      <c r="M19" s="49" t="s">
        <v>69</v>
      </c>
      <c r="N19" s="49" t="s">
        <v>70</v>
      </c>
      <c r="O19" s="49" t="s">
        <v>4322</v>
      </c>
      <c r="P19" s="49" t="s">
        <v>4323</v>
      </c>
      <c r="Q19" s="49" t="s">
        <v>4324</v>
      </c>
      <c r="R19" s="49" t="s">
        <v>4325</v>
      </c>
      <c r="S19" s="49" t="s">
        <v>4326</v>
      </c>
      <c r="T19" s="49" t="s">
        <v>4327</v>
      </c>
    </row>
    <row r="20" spans="1:21" x14ac:dyDescent="0.2">
      <c r="A20" s="49" t="s">
        <v>30</v>
      </c>
      <c r="D20" s="49" t="s">
        <v>71</v>
      </c>
      <c r="G20" s="49" t="s">
        <v>14073</v>
      </c>
      <c r="H20" s="49" t="s">
        <v>72</v>
      </c>
      <c r="I20" s="49" t="s">
        <v>73</v>
      </c>
      <c r="J20" s="49" t="s">
        <v>74</v>
      </c>
      <c r="K20" s="49" t="s">
        <v>75</v>
      </c>
      <c r="L20" s="49" t="s">
        <v>76</v>
      </c>
      <c r="M20" s="49" t="s">
        <v>77</v>
      </c>
      <c r="N20" s="49" t="s">
        <v>78</v>
      </c>
      <c r="O20" s="49" t="s">
        <v>34690</v>
      </c>
      <c r="P20" s="49" t="s">
        <v>34691</v>
      </c>
      <c r="Q20" s="49" t="s">
        <v>34692</v>
      </c>
      <c r="R20" s="49" t="s">
        <v>34693</v>
      </c>
      <c r="S20" s="49" t="s">
        <v>34694</v>
      </c>
      <c r="T20" s="49" t="s">
        <v>34695</v>
      </c>
    </row>
    <row r="21" spans="1:21" x14ac:dyDescent="0.2">
      <c r="A21" s="49" t="s">
        <v>30</v>
      </c>
      <c r="D21" s="49" t="s">
        <v>79</v>
      </c>
      <c r="G21" s="49" t="s">
        <v>14077</v>
      </c>
      <c r="H21" s="49" t="s">
        <v>80</v>
      </c>
      <c r="I21" s="49" t="s">
        <v>81</v>
      </c>
      <c r="J21" s="49" t="s">
        <v>82</v>
      </c>
      <c r="K21" s="49" t="s">
        <v>83</v>
      </c>
      <c r="L21" s="49" t="s">
        <v>84</v>
      </c>
      <c r="M21" s="49" t="s">
        <v>85</v>
      </c>
      <c r="N21" s="49" t="s">
        <v>86</v>
      </c>
      <c r="O21" s="49" t="s">
        <v>3350</v>
      </c>
      <c r="P21" s="49" t="s">
        <v>3351</v>
      </c>
      <c r="Q21" s="49" t="s">
        <v>3352</v>
      </c>
      <c r="R21" s="49" t="s">
        <v>3353</v>
      </c>
      <c r="S21" s="49" t="s">
        <v>3354</v>
      </c>
      <c r="T21" s="49" t="s">
        <v>3355</v>
      </c>
    </row>
    <row r="22" spans="1:21" x14ac:dyDescent="0.2">
      <c r="A22" s="49" t="s">
        <v>30</v>
      </c>
    </row>
    <row r="23" spans="1:21" x14ac:dyDescent="0.2">
      <c r="A23" s="49" t="s">
        <v>30</v>
      </c>
      <c r="E23" s="49" t="s">
        <v>31</v>
      </c>
      <c r="F23" s="49" t="s">
        <v>31</v>
      </c>
      <c r="G23" s="49" t="s">
        <v>31</v>
      </c>
      <c r="J23" s="49" t="s">
        <v>31</v>
      </c>
      <c r="K23" s="49" t="s">
        <v>31</v>
      </c>
      <c r="L23" s="49" t="s">
        <v>31</v>
      </c>
      <c r="M23" s="49" t="s">
        <v>31</v>
      </c>
    </row>
    <row r="24" spans="1:21" x14ac:dyDescent="0.2">
      <c r="A24" s="49" t="s">
        <v>30</v>
      </c>
      <c r="D24" s="49" t="s">
        <v>87</v>
      </c>
      <c r="E24" s="49" t="s">
        <v>4551</v>
      </c>
      <c r="F24" s="49" t="s">
        <v>88</v>
      </c>
      <c r="H24" s="49" t="s">
        <v>89</v>
      </c>
      <c r="O24" s="49" t="s">
        <v>35887</v>
      </c>
      <c r="P24" s="49" t="s">
        <v>35888</v>
      </c>
      <c r="Q24" s="49" t="s">
        <v>35889</v>
      </c>
      <c r="R24" s="49" t="s">
        <v>35890</v>
      </c>
      <c r="S24" s="49" t="s">
        <v>35891</v>
      </c>
      <c r="T24" s="49" t="s">
        <v>35892</v>
      </c>
      <c r="U24" s="49" t="s">
        <v>35893</v>
      </c>
    </row>
    <row r="25" spans="1:21" x14ac:dyDescent="0.2">
      <c r="A25" s="49" t="s">
        <v>30</v>
      </c>
      <c r="D25" s="49" t="s">
        <v>90</v>
      </c>
      <c r="G25" s="49" t="s">
        <v>3356</v>
      </c>
      <c r="H25" s="49" t="s">
        <v>91</v>
      </c>
      <c r="I25" s="49" t="s">
        <v>92</v>
      </c>
      <c r="J25" s="49" t="s">
        <v>93</v>
      </c>
      <c r="K25" s="49" t="s">
        <v>94</v>
      </c>
      <c r="L25" s="49" t="s">
        <v>95</v>
      </c>
      <c r="M25" s="49" t="s">
        <v>96</v>
      </c>
      <c r="N25" s="49" t="s">
        <v>97</v>
      </c>
      <c r="O25" s="49" t="s">
        <v>3357</v>
      </c>
      <c r="P25" s="49" t="s">
        <v>3358</v>
      </c>
      <c r="Q25" s="49" t="s">
        <v>3359</v>
      </c>
      <c r="R25" s="49" t="s">
        <v>3360</v>
      </c>
      <c r="S25" s="49" t="s">
        <v>3361</v>
      </c>
      <c r="T25" s="49" t="s">
        <v>3362</v>
      </c>
    </row>
    <row r="26" spans="1:21" x14ac:dyDescent="0.2">
      <c r="A26" s="49" t="s">
        <v>30</v>
      </c>
      <c r="D26" s="49" t="s">
        <v>98</v>
      </c>
      <c r="G26" s="49" t="s">
        <v>14096</v>
      </c>
      <c r="H26" s="49" t="s">
        <v>99</v>
      </c>
      <c r="I26" s="49" t="s">
        <v>100</v>
      </c>
      <c r="J26" s="49" t="s">
        <v>101</v>
      </c>
      <c r="K26" s="49" t="s">
        <v>102</v>
      </c>
      <c r="L26" s="49" t="s">
        <v>103</v>
      </c>
      <c r="M26" s="49" t="s">
        <v>104</v>
      </c>
      <c r="N26" s="49" t="s">
        <v>105</v>
      </c>
      <c r="O26" s="49" t="s">
        <v>3363</v>
      </c>
      <c r="P26" s="49" t="s">
        <v>3364</v>
      </c>
      <c r="Q26" s="49" t="s">
        <v>3365</v>
      </c>
      <c r="R26" s="49" t="s">
        <v>3366</v>
      </c>
      <c r="S26" s="49" t="s">
        <v>3367</v>
      </c>
      <c r="T26" s="49" t="s">
        <v>3368</v>
      </c>
    </row>
    <row r="27" spans="1:21" x14ac:dyDescent="0.2">
      <c r="A27" s="49" t="s">
        <v>30</v>
      </c>
      <c r="D27" s="49" t="s">
        <v>106</v>
      </c>
      <c r="G27" s="49" t="s">
        <v>14103</v>
      </c>
      <c r="H27" s="49" t="s">
        <v>107</v>
      </c>
      <c r="I27" s="49" t="s">
        <v>108</v>
      </c>
      <c r="J27" s="49" t="s">
        <v>109</v>
      </c>
      <c r="K27" s="49" t="s">
        <v>110</v>
      </c>
      <c r="L27" s="49" t="s">
        <v>111</v>
      </c>
      <c r="M27" s="49" t="s">
        <v>112</v>
      </c>
      <c r="N27" s="49" t="s">
        <v>113</v>
      </c>
      <c r="O27" s="49" t="s">
        <v>3890</v>
      </c>
      <c r="P27" s="49" t="s">
        <v>3891</v>
      </c>
      <c r="Q27" s="49" t="s">
        <v>3892</v>
      </c>
      <c r="R27" s="49" t="s">
        <v>3893</v>
      </c>
      <c r="S27" s="49" t="s">
        <v>3894</v>
      </c>
      <c r="T27" s="49" t="s">
        <v>3895</v>
      </c>
    </row>
    <row r="28" spans="1:21" x14ac:dyDescent="0.2">
      <c r="A28" s="49" t="s">
        <v>30</v>
      </c>
      <c r="D28" s="49" t="s">
        <v>114</v>
      </c>
      <c r="G28" s="49" t="s">
        <v>14106</v>
      </c>
      <c r="H28" s="49" t="s">
        <v>115</v>
      </c>
      <c r="I28" s="49" t="s">
        <v>116</v>
      </c>
      <c r="J28" s="49" t="s">
        <v>117</v>
      </c>
      <c r="K28" s="49" t="s">
        <v>118</v>
      </c>
      <c r="L28" s="49" t="s">
        <v>119</v>
      </c>
      <c r="M28" s="49" t="s">
        <v>120</v>
      </c>
      <c r="N28" s="49" t="s">
        <v>121</v>
      </c>
      <c r="O28" s="49" t="s">
        <v>3896</v>
      </c>
      <c r="P28" s="49" t="s">
        <v>3897</v>
      </c>
      <c r="Q28" s="49" t="s">
        <v>3898</v>
      </c>
      <c r="R28" s="49" t="s">
        <v>3899</v>
      </c>
      <c r="S28" s="49" t="s">
        <v>3900</v>
      </c>
      <c r="T28" s="49" t="s">
        <v>3901</v>
      </c>
    </row>
    <row r="29" spans="1:21" x14ac:dyDescent="0.2">
      <c r="A29" s="49" t="s">
        <v>30</v>
      </c>
      <c r="D29" s="49" t="s">
        <v>122</v>
      </c>
      <c r="G29" s="49" t="s">
        <v>14108</v>
      </c>
      <c r="H29" s="49" t="s">
        <v>123</v>
      </c>
      <c r="I29" s="49" t="s">
        <v>124</v>
      </c>
      <c r="J29" s="49" t="s">
        <v>125</v>
      </c>
      <c r="K29" s="49" t="s">
        <v>126</v>
      </c>
      <c r="L29" s="49" t="s">
        <v>127</v>
      </c>
      <c r="M29" s="49" t="s">
        <v>128</v>
      </c>
      <c r="N29" s="49" t="s">
        <v>129</v>
      </c>
      <c r="O29" s="49" t="s">
        <v>3585</v>
      </c>
      <c r="P29" s="49" t="s">
        <v>3586</v>
      </c>
      <c r="Q29" s="49" t="s">
        <v>3587</v>
      </c>
      <c r="R29" s="49" t="s">
        <v>3588</v>
      </c>
      <c r="S29" s="49" t="s">
        <v>3589</v>
      </c>
      <c r="T29" s="49" t="s">
        <v>3590</v>
      </c>
    </row>
    <row r="30" spans="1:21" x14ac:dyDescent="0.2">
      <c r="A30" s="49" t="s">
        <v>30</v>
      </c>
    </row>
    <row r="31" spans="1:21" x14ac:dyDescent="0.2">
      <c r="A31" s="49" t="s">
        <v>30</v>
      </c>
      <c r="E31" s="49" t="s">
        <v>31</v>
      </c>
      <c r="F31" s="49" t="s">
        <v>31</v>
      </c>
      <c r="G31" s="49" t="s">
        <v>31</v>
      </c>
      <c r="J31" s="49" t="s">
        <v>31</v>
      </c>
      <c r="K31" s="49" t="s">
        <v>31</v>
      </c>
      <c r="L31" s="49" t="s">
        <v>31</v>
      </c>
      <c r="M31" s="49" t="s">
        <v>31</v>
      </c>
    </row>
    <row r="32" spans="1:21" x14ac:dyDescent="0.2">
      <c r="A32" s="49" t="s">
        <v>30</v>
      </c>
      <c r="D32" s="49" t="s">
        <v>2280</v>
      </c>
      <c r="E32" s="49" t="s">
        <v>4552</v>
      </c>
      <c r="F32" s="49" t="s">
        <v>2281</v>
      </c>
      <c r="H32" s="49" t="s">
        <v>2282</v>
      </c>
      <c r="O32" s="49" t="s">
        <v>35894</v>
      </c>
      <c r="P32" s="49" t="s">
        <v>35895</v>
      </c>
      <c r="Q32" s="49" t="s">
        <v>35896</v>
      </c>
      <c r="R32" s="49" t="s">
        <v>35897</v>
      </c>
      <c r="S32" s="49" t="s">
        <v>35898</v>
      </c>
      <c r="T32" s="49" t="s">
        <v>35899</v>
      </c>
      <c r="U32" s="49" t="s">
        <v>35900</v>
      </c>
    </row>
    <row r="33" spans="1:21" x14ac:dyDescent="0.2">
      <c r="A33" s="49" t="s">
        <v>30</v>
      </c>
      <c r="D33" s="49" t="s">
        <v>2283</v>
      </c>
      <c r="G33" s="49" t="s">
        <v>4341</v>
      </c>
      <c r="H33" s="49" t="s">
        <v>2284</v>
      </c>
      <c r="I33" s="49" t="s">
        <v>2285</v>
      </c>
      <c r="J33" s="49" t="s">
        <v>2286</v>
      </c>
      <c r="K33" s="49" t="s">
        <v>2287</v>
      </c>
      <c r="L33" s="49" t="s">
        <v>2288</v>
      </c>
      <c r="M33" s="49" t="s">
        <v>2289</v>
      </c>
      <c r="N33" s="49" t="s">
        <v>2290</v>
      </c>
      <c r="O33" s="49" t="s">
        <v>4342</v>
      </c>
      <c r="P33" s="49" t="s">
        <v>4343</v>
      </c>
      <c r="Q33" s="49" t="s">
        <v>4344</v>
      </c>
      <c r="R33" s="49" t="s">
        <v>4345</v>
      </c>
      <c r="S33" s="49" t="s">
        <v>4346</v>
      </c>
      <c r="T33" s="49" t="s">
        <v>4347</v>
      </c>
    </row>
    <row r="34" spans="1:21" x14ac:dyDescent="0.2">
      <c r="A34" s="49" t="s">
        <v>30</v>
      </c>
      <c r="D34" s="49" t="s">
        <v>141</v>
      </c>
      <c r="G34" s="49" t="s">
        <v>14128</v>
      </c>
      <c r="H34" s="49" t="s">
        <v>142</v>
      </c>
      <c r="I34" s="49" t="s">
        <v>143</v>
      </c>
      <c r="J34" s="49" t="s">
        <v>144</v>
      </c>
      <c r="K34" s="49" t="s">
        <v>145</v>
      </c>
      <c r="L34" s="49" t="s">
        <v>146</v>
      </c>
      <c r="M34" s="49" t="s">
        <v>147</v>
      </c>
      <c r="N34" s="49" t="s">
        <v>148</v>
      </c>
      <c r="O34" s="49" t="s">
        <v>3834</v>
      </c>
      <c r="P34" s="49" t="s">
        <v>3835</v>
      </c>
      <c r="Q34" s="49" t="s">
        <v>3836</v>
      </c>
      <c r="R34" s="49" t="s">
        <v>3837</v>
      </c>
      <c r="S34" s="49" t="s">
        <v>3838</v>
      </c>
      <c r="T34" s="49" t="s">
        <v>3839</v>
      </c>
    </row>
    <row r="35" spans="1:21" x14ac:dyDescent="0.2">
      <c r="A35" s="49" t="s">
        <v>30</v>
      </c>
      <c r="D35" s="49" t="s">
        <v>149</v>
      </c>
      <c r="G35" s="49" t="s">
        <v>14135</v>
      </c>
      <c r="H35" s="49" t="s">
        <v>150</v>
      </c>
      <c r="I35" s="49" t="s">
        <v>151</v>
      </c>
      <c r="J35" s="49" t="s">
        <v>152</v>
      </c>
      <c r="K35" s="49" t="s">
        <v>153</v>
      </c>
      <c r="L35" s="49" t="s">
        <v>154</v>
      </c>
      <c r="M35" s="49" t="s">
        <v>155</v>
      </c>
      <c r="N35" s="49" t="s">
        <v>156</v>
      </c>
      <c r="O35" s="49" t="s">
        <v>3385</v>
      </c>
      <c r="P35" s="49" t="s">
        <v>3386</v>
      </c>
      <c r="Q35" s="49" t="s">
        <v>3387</v>
      </c>
      <c r="R35" s="49" t="s">
        <v>3388</v>
      </c>
      <c r="S35" s="49" t="s">
        <v>3389</v>
      </c>
      <c r="T35" s="49" t="s">
        <v>3390</v>
      </c>
    </row>
    <row r="36" spans="1:21" x14ac:dyDescent="0.2">
      <c r="A36" s="49" t="s">
        <v>30</v>
      </c>
      <c r="D36" s="49" t="s">
        <v>157</v>
      </c>
      <c r="G36" s="49" t="s">
        <v>14139</v>
      </c>
      <c r="H36" s="49" t="s">
        <v>158</v>
      </c>
      <c r="I36" s="49" t="s">
        <v>159</v>
      </c>
      <c r="J36" s="49" t="s">
        <v>160</v>
      </c>
      <c r="K36" s="49" t="s">
        <v>161</v>
      </c>
      <c r="L36" s="49" t="s">
        <v>162</v>
      </c>
      <c r="M36" s="49" t="s">
        <v>163</v>
      </c>
      <c r="N36" s="49" t="s">
        <v>164</v>
      </c>
      <c r="O36" s="49" t="s">
        <v>3391</v>
      </c>
      <c r="P36" s="49" t="s">
        <v>3392</v>
      </c>
      <c r="Q36" s="49" t="s">
        <v>3393</v>
      </c>
      <c r="R36" s="49" t="s">
        <v>3394</v>
      </c>
      <c r="S36" s="49" t="s">
        <v>3395</v>
      </c>
      <c r="T36" s="49" t="s">
        <v>3396</v>
      </c>
    </row>
    <row r="37" spans="1:21" x14ac:dyDescent="0.2">
      <c r="A37" s="49" t="s">
        <v>30</v>
      </c>
    </row>
    <row r="38" spans="1:21" x14ac:dyDescent="0.2">
      <c r="A38" s="49" t="s">
        <v>30</v>
      </c>
      <c r="E38" s="49" t="s">
        <v>31</v>
      </c>
      <c r="F38" s="49" t="s">
        <v>31</v>
      </c>
      <c r="G38" s="49" t="s">
        <v>31</v>
      </c>
      <c r="J38" s="49" t="s">
        <v>31</v>
      </c>
      <c r="K38" s="49" t="s">
        <v>31</v>
      </c>
      <c r="L38" s="49" t="s">
        <v>31</v>
      </c>
      <c r="M38" s="49" t="s">
        <v>31</v>
      </c>
    </row>
    <row r="39" spans="1:21" x14ac:dyDescent="0.2">
      <c r="A39" s="49" t="s">
        <v>30</v>
      </c>
      <c r="D39" s="49" t="s">
        <v>32189</v>
      </c>
      <c r="E39" s="49" t="s">
        <v>4559</v>
      </c>
      <c r="F39" s="49" t="s">
        <v>32190</v>
      </c>
      <c r="H39" s="49" t="s">
        <v>32191</v>
      </c>
      <c r="O39" s="49" t="s">
        <v>35901</v>
      </c>
      <c r="P39" s="49" t="s">
        <v>35902</v>
      </c>
      <c r="Q39" s="49" t="s">
        <v>35903</v>
      </c>
      <c r="R39" s="49" t="s">
        <v>35904</v>
      </c>
      <c r="S39" s="49" t="s">
        <v>35905</v>
      </c>
      <c r="T39" s="49" t="s">
        <v>35906</v>
      </c>
      <c r="U39" s="49" t="s">
        <v>35907</v>
      </c>
    </row>
    <row r="40" spans="1:21" x14ac:dyDescent="0.2">
      <c r="A40" s="49" t="s">
        <v>30</v>
      </c>
      <c r="D40" s="49" t="s">
        <v>1808</v>
      </c>
      <c r="G40" s="49" t="s">
        <v>32199</v>
      </c>
      <c r="H40" s="49" t="s">
        <v>1809</v>
      </c>
      <c r="I40" s="49" t="s">
        <v>1810</v>
      </c>
      <c r="J40" s="49" t="s">
        <v>1811</v>
      </c>
      <c r="K40" s="49" t="s">
        <v>1812</v>
      </c>
      <c r="L40" s="49" t="s">
        <v>1813</v>
      </c>
      <c r="M40" s="49" t="s">
        <v>1814</v>
      </c>
      <c r="N40" s="49" t="s">
        <v>1815</v>
      </c>
      <c r="O40" s="49" t="s">
        <v>32200</v>
      </c>
      <c r="P40" s="49" t="s">
        <v>32201</v>
      </c>
      <c r="Q40" s="49" t="s">
        <v>32202</v>
      </c>
      <c r="R40" s="49" t="s">
        <v>32203</v>
      </c>
      <c r="S40" s="49" t="s">
        <v>32204</v>
      </c>
      <c r="T40" s="49" t="s">
        <v>32205</v>
      </c>
    </row>
    <row r="41" spans="1:21" x14ac:dyDescent="0.2">
      <c r="A41" s="49" t="s">
        <v>30</v>
      </c>
      <c r="D41" s="49" t="s">
        <v>2824</v>
      </c>
      <c r="G41" s="49" t="s">
        <v>14155</v>
      </c>
      <c r="H41" s="49" t="s">
        <v>2825</v>
      </c>
      <c r="I41" s="49" t="s">
        <v>2826</v>
      </c>
      <c r="J41" s="49" t="s">
        <v>2827</v>
      </c>
      <c r="K41" s="49" t="s">
        <v>2828</v>
      </c>
      <c r="L41" s="49" t="s">
        <v>2829</v>
      </c>
      <c r="M41" s="49" t="s">
        <v>2830</v>
      </c>
      <c r="N41" s="49" t="s">
        <v>2831</v>
      </c>
      <c r="O41" s="49" t="s">
        <v>3403</v>
      </c>
      <c r="P41" s="49" t="s">
        <v>3404</v>
      </c>
      <c r="Q41" s="49" t="s">
        <v>3405</v>
      </c>
      <c r="R41" s="49" t="s">
        <v>3406</v>
      </c>
      <c r="S41" s="49" t="s">
        <v>3407</v>
      </c>
      <c r="T41" s="49" t="s">
        <v>3408</v>
      </c>
    </row>
    <row r="42" spans="1:21" x14ac:dyDescent="0.2">
      <c r="A42" s="49" t="s">
        <v>30</v>
      </c>
    </row>
    <row r="43" spans="1:21" x14ac:dyDescent="0.2">
      <c r="A43" s="49" t="s">
        <v>30</v>
      </c>
      <c r="E43" s="49" t="s">
        <v>31</v>
      </c>
      <c r="F43" s="49" t="s">
        <v>31</v>
      </c>
      <c r="G43" s="49" t="s">
        <v>31</v>
      </c>
      <c r="J43" s="49" t="s">
        <v>31</v>
      </c>
      <c r="K43" s="49" t="s">
        <v>31</v>
      </c>
      <c r="L43" s="49" t="s">
        <v>31</v>
      </c>
      <c r="M43" s="49" t="s">
        <v>31</v>
      </c>
    </row>
    <row r="44" spans="1:21" x14ac:dyDescent="0.2">
      <c r="A44" s="49" t="s">
        <v>30</v>
      </c>
      <c r="D44" s="49" t="s">
        <v>9955</v>
      </c>
      <c r="E44" s="49" t="s">
        <v>4561</v>
      </c>
      <c r="F44" s="49" t="s">
        <v>9956</v>
      </c>
      <c r="H44" s="49" t="s">
        <v>9957</v>
      </c>
      <c r="O44" s="49" t="s">
        <v>9958</v>
      </c>
      <c r="P44" s="49" t="s">
        <v>9959</v>
      </c>
      <c r="Q44" s="49" t="s">
        <v>9960</v>
      </c>
      <c r="R44" s="49" t="s">
        <v>9961</v>
      </c>
      <c r="S44" s="49" t="s">
        <v>9962</v>
      </c>
      <c r="T44" s="49" t="s">
        <v>9963</v>
      </c>
      <c r="U44" s="49" t="s">
        <v>9964</v>
      </c>
    </row>
    <row r="45" spans="1:21" x14ac:dyDescent="0.2">
      <c r="A45" s="49" t="s">
        <v>30</v>
      </c>
      <c r="D45" s="49" t="s">
        <v>1824</v>
      </c>
      <c r="G45" s="49" t="s">
        <v>9965</v>
      </c>
      <c r="H45" s="49" t="s">
        <v>1825</v>
      </c>
      <c r="I45" s="49" t="s">
        <v>1826</v>
      </c>
      <c r="J45" s="49" t="s">
        <v>1827</v>
      </c>
      <c r="K45" s="49" t="s">
        <v>1828</v>
      </c>
      <c r="L45" s="49" t="s">
        <v>1829</v>
      </c>
      <c r="M45" s="49" t="s">
        <v>1830</v>
      </c>
      <c r="N45" s="49" t="s">
        <v>1831</v>
      </c>
      <c r="O45" s="49" t="s">
        <v>3409</v>
      </c>
      <c r="P45" s="49" t="s">
        <v>3410</v>
      </c>
      <c r="Q45" s="49" t="s">
        <v>3411</v>
      </c>
      <c r="R45" s="49" t="s">
        <v>3412</v>
      </c>
      <c r="S45" s="49" t="s">
        <v>3413</v>
      </c>
      <c r="T45" s="49" t="s">
        <v>3414</v>
      </c>
    </row>
    <row r="46" spans="1:21" x14ac:dyDescent="0.2">
      <c r="A46" s="49" t="s">
        <v>30</v>
      </c>
    </row>
    <row r="47" spans="1:21" x14ac:dyDescent="0.2">
      <c r="A47" s="49" t="s">
        <v>30</v>
      </c>
      <c r="E47" s="49" t="s">
        <v>31</v>
      </c>
      <c r="F47" s="49" t="s">
        <v>31</v>
      </c>
      <c r="G47" s="49" t="s">
        <v>31</v>
      </c>
      <c r="J47" s="49" t="s">
        <v>31</v>
      </c>
      <c r="K47" s="49" t="s">
        <v>31</v>
      </c>
      <c r="L47" s="49" t="s">
        <v>31</v>
      </c>
      <c r="M47" s="49" t="s">
        <v>31</v>
      </c>
    </row>
    <row r="48" spans="1:21" x14ac:dyDescent="0.2">
      <c r="A48" s="49" t="s">
        <v>30</v>
      </c>
      <c r="D48" s="49" t="s">
        <v>1832</v>
      </c>
      <c r="E48" s="49" t="s">
        <v>4564</v>
      </c>
      <c r="F48" s="49" t="s">
        <v>1833</v>
      </c>
      <c r="H48" s="49" t="s">
        <v>1834</v>
      </c>
      <c r="O48" s="49" t="s">
        <v>35908</v>
      </c>
      <c r="P48" s="49" t="s">
        <v>35909</v>
      </c>
      <c r="Q48" s="49" t="s">
        <v>35910</v>
      </c>
      <c r="R48" s="49" t="s">
        <v>35911</v>
      </c>
      <c r="S48" s="49" t="s">
        <v>35912</v>
      </c>
      <c r="T48" s="49" t="s">
        <v>35913</v>
      </c>
      <c r="U48" s="49" t="s">
        <v>35914</v>
      </c>
    </row>
    <row r="49" spans="1:21" x14ac:dyDescent="0.2">
      <c r="A49" s="49" t="s">
        <v>30</v>
      </c>
      <c r="D49" s="49" t="s">
        <v>216</v>
      </c>
      <c r="G49" s="49" t="s">
        <v>3415</v>
      </c>
      <c r="H49" s="49" t="s">
        <v>217</v>
      </c>
      <c r="I49" s="49" t="s">
        <v>218</v>
      </c>
      <c r="J49" s="49" t="s">
        <v>219</v>
      </c>
      <c r="K49" s="49" t="s">
        <v>220</v>
      </c>
      <c r="L49" s="49" t="s">
        <v>221</v>
      </c>
      <c r="M49" s="49" t="s">
        <v>222</v>
      </c>
      <c r="N49" s="49" t="s">
        <v>223</v>
      </c>
      <c r="O49" s="49" t="s">
        <v>3416</v>
      </c>
      <c r="P49" s="49" t="s">
        <v>3417</v>
      </c>
      <c r="Q49" s="49" t="s">
        <v>3418</v>
      </c>
      <c r="R49" s="49" t="s">
        <v>3419</v>
      </c>
      <c r="S49" s="49" t="s">
        <v>3420</v>
      </c>
      <c r="T49" s="49" t="s">
        <v>3421</v>
      </c>
    </row>
    <row r="50" spans="1:21" x14ac:dyDescent="0.2">
      <c r="A50" s="49" t="s">
        <v>30</v>
      </c>
      <c r="D50" s="49" t="s">
        <v>224</v>
      </c>
      <c r="G50" s="49" t="s">
        <v>14190</v>
      </c>
      <c r="H50" s="49" t="s">
        <v>225</v>
      </c>
      <c r="I50" s="49" t="s">
        <v>226</v>
      </c>
      <c r="J50" s="49" t="s">
        <v>227</v>
      </c>
      <c r="K50" s="49" t="s">
        <v>228</v>
      </c>
      <c r="L50" s="49" t="s">
        <v>229</v>
      </c>
      <c r="M50" s="49" t="s">
        <v>230</v>
      </c>
      <c r="N50" s="49" t="s">
        <v>231</v>
      </c>
      <c r="O50" s="49" t="s">
        <v>3856</v>
      </c>
      <c r="P50" s="49" t="s">
        <v>3857</v>
      </c>
      <c r="Q50" s="49" t="s">
        <v>3858</v>
      </c>
      <c r="R50" s="49" t="s">
        <v>3859</v>
      </c>
      <c r="S50" s="49" t="s">
        <v>3860</v>
      </c>
      <c r="T50" s="49" t="s">
        <v>3861</v>
      </c>
    </row>
    <row r="51" spans="1:21" x14ac:dyDescent="0.2">
      <c r="A51" s="49" t="s">
        <v>30</v>
      </c>
      <c r="D51" s="49" t="s">
        <v>232</v>
      </c>
      <c r="G51" s="49" t="s">
        <v>14198</v>
      </c>
      <c r="H51" s="49" t="s">
        <v>233</v>
      </c>
      <c r="I51" s="49" t="s">
        <v>234</v>
      </c>
      <c r="J51" s="49" t="s">
        <v>235</v>
      </c>
      <c r="K51" s="49" t="s">
        <v>236</v>
      </c>
      <c r="L51" s="49" t="s">
        <v>237</v>
      </c>
      <c r="M51" s="49" t="s">
        <v>238</v>
      </c>
      <c r="N51" s="49" t="s">
        <v>239</v>
      </c>
      <c r="O51" s="49" t="s">
        <v>4058</v>
      </c>
      <c r="P51" s="49" t="s">
        <v>4059</v>
      </c>
      <c r="Q51" s="49" t="s">
        <v>4060</v>
      </c>
      <c r="R51" s="49" t="s">
        <v>4061</v>
      </c>
      <c r="S51" s="49" t="s">
        <v>4062</v>
      </c>
      <c r="T51" s="49" t="s">
        <v>4063</v>
      </c>
    </row>
    <row r="52" spans="1:21" x14ac:dyDescent="0.2">
      <c r="A52" s="49" t="s">
        <v>30</v>
      </c>
    </row>
    <row r="53" spans="1:21" x14ac:dyDescent="0.2">
      <c r="A53" s="49" t="s">
        <v>30</v>
      </c>
      <c r="E53" s="49" t="s">
        <v>31</v>
      </c>
      <c r="F53" s="49" t="s">
        <v>31</v>
      </c>
      <c r="G53" s="49" t="s">
        <v>31</v>
      </c>
      <c r="J53" s="49" t="s">
        <v>31</v>
      </c>
      <c r="K53" s="49" t="s">
        <v>31</v>
      </c>
      <c r="L53" s="49" t="s">
        <v>31</v>
      </c>
      <c r="M53" s="49" t="s">
        <v>31</v>
      </c>
    </row>
    <row r="54" spans="1:21" x14ac:dyDescent="0.2">
      <c r="A54" s="49" t="s">
        <v>30</v>
      </c>
      <c r="D54" s="49" t="s">
        <v>240</v>
      </c>
      <c r="E54" s="49" t="s">
        <v>4565</v>
      </c>
      <c r="F54" s="49" t="s">
        <v>241</v>
      </c>
      <c r="H54" s="49" t="s">
        <v>242</v>
      </c>
      <c r="O54" s="49" t="s">
        <v>35915</v>
      </c>
      <c r="P54" s="49" t="s">
        <v>35916</v>
      </c>
      <c r="Q54" s="49" t="s">
        <v>35917</v>
      </c>
      <c r="R54" s="49" t="s">
        <v>35918</v>
      </c>
      <c r="S54" s="49" t="s">
        <v>35919</v>
      </c>
      <c r="T54" s="49" t="s">
        <v>35920</v>
      </c>
      <c r="U54" s="49" t="s">
        <v>35921</v>
      </c>
    </row>
    <row r="55" spans="1:21" x14ac:dyDescent="0.2">
      <c r="A55" s="49" t="s">
        <v>30</v>
      </c>
      <c r="D55" s="49" t="s">
        <v>243</v>
      </c>
      <c r="G55" s="49" t="s">
        <v>4064</v>
      </c>
      <c r="H55" s="49" t="s">
        <v>244</v>
      </c>
      <c r="I55" s="49" t="s">
        <v>245</v>
      </c>
      <c r="J55" s="49" t="s">
        <v>246</v>
      </c>
      <c r="K55" s="49" t="s">
        <v>247</v>
      </c>
      <c r="L55" s="49" t="s">
        <v>248</v>
      </c>
      <c r="M55" s="49" t="s">
        <v>249</v>
      </c>
      <c r="N55" s="49" t="s">
        <v>250</v>
      </c>
      <c r="O55" s="49" t="s">
        <v>4065</v>
      </c>
      <c r="P55" s="49" t="s">
        <v>4066</v>
      </c>
      <c r="Q55" s="49" t="s">
        <v>4067</v>
      </c>
      <c r="R55" s="49" t="s">
        <v>4068</v>
      </c>
      <c r="S55" s="49" t="s">
        <v>4069</v>
      </c>
      <c r="T55" s="49" t="s">
        <v>4070</v>
      </c>
    </row>
    <row r="56" spans="1:21" x14ac:dyDescent="0.2">
      <c r="A56" s="49" t="s">
        <v>30</v>
      </c>
    </row>
    <row r="57" spans="1:21" x14ac:dyDescent="0.2">
      <c r="A57" s="49" t="s">
        <v>30</v>
      </c>
      <c r="E57" s="49" t="s">
        <v>31</v>
      </c>
      <c r="F57" s="49" t="s">
        <v>31</v>
      </c>
      <c r="G57" s="49" t="s">
        <v>31</v>
      </c>
      <c r="J57" s="49" t="s">
        <v>31</v>
      </c>
      <c r="K57" s="49" t="s">
        <v>31</v>
      </c>
      <c r="L57" s="49" t="s">
        <v>31</v>
      </c>
      <c r="M57" s="49" t="s">
        <v>31</v>
      </c>
    </row>
    <row r="58" spans="1:21" x14ac:dyDescent="0.2">
      <c r="A58" s="49" t="s">
        <v>30</v>
      </c>
      <c r="D58" s="49" t="s">
        <v>1678</v>
      </c>
      <c r="E58" s="49" t="s">
        <v>4567</v>
      </c>
      <c r="F58" s="49" t="s">
        <v>1679</v>
      </c>
      <c r="H58" s="49" t="s">
        <v>1680</v>
      </c>
      <c r="O58" s="49" t="s">
        <v>35922</v>
      </c>
      <c r="P58" s="49" t="s">
        <v>35923</v>
      </c>
      <c r="Q58" s="49" t="s">
        <v>35924</v>
      </c>
      <c r="R58" s="49" t="s">
        <v>35925</v>
      </c>
      <c r="S58" s="49" t="s">
        <v>35926</v>
      </c>
      <c r="T58" s="49" t="s">
        <v>35927</v>
      </c>
      <c r="U58" s="49" t="s">
        <v>35928</v>
      </c>
    </row>
    <row r="59" spans="1:21" x14ac:dyDescent="0.2">
      <c r="A59" s="49" t="s">
        <v>30</v>
      </c>
      <c r="D59" s="49" t="s">
        <v>1681</v>
      </c>
      <c r="G59" s="49" t="s">
        <v>4071</v>
      </c>
      <c r="H59" s="49" t="s">
        <v>1682</v>
      </c>
      <c r="I59" s="49" t="s">
        <v>1683</v>
      </c>
      <c r="J59" s="49" t="s">
        <v>1684</v>
      </c>
      <c r="K59" s="49" t="s">
        <v>1685</v>
      </c>
      <c r="L59" s="49" t="s">
        <v>1686</v>
      </c>
      <c r="M59" s="49" t="s">
        <v>1687</v>
      </c>
      <c r="N59" s="49" t="s">
        <v>1688</v>
      </c>
      <c r="O59" s="49" t="s">
        <v>3621</v>
      </c>
      <c r="P59" s="49" t="s">
        <v>3622</v>
      </c>
      <c r="Q59" s="49" t="s">
        <v>3623</v>
      </c>
      <c r="R59" s="49" t="s">
        <v>3624</v>
      </c>
      <c r="S59" s="49" t="s">
        <v>3625</v>
      </c>
      <c r="T59" s="49" t="s">
        <v>3626</v>
      </c>
    </row>
    <row r="60" spans="1:21" x14ac:dyDescent="0.2">
      <c r="A60" s="49" t="s">
        <v>30</v>
      </c>
      <c r="D60" s="49" t="s">
        <v>2301</v>
      </c>
      <c r="G60" s="49" t="s">
        <v>14253</v>
      </c>
      <c r="H60" s="49" t="s">
        <v>2302</v>
      </c>
      <c r="I60" s="49" t="s">
        <v>2303</v>
      </c>
      <c r="J60" s="49" t="s">
        <v>2304</v>
      </c>
      <c r="K60" s="49" t="s">
        <v>2305</v>
      </c>
      <c r="L60" s="49" t="s">
        <v>2306</v>
      </c>
      <c r="M60" s="49" t="s">
        <v>2307</v>
      </c>
      <c r="N60" s="49" t="s">
        <v>2308</v>
      </c>
      <c r="O60" s="49" t="s">
        <v>12998</v>
      </c>
      <c r="P60" s="49" t="s">
        <v>12999</v>
      </c>
      <c r="Q60" s="49" t="s">
        <v>13000</v>
      </c>
      <c r="R60" s="49" t="s">
        <v>13001</v>
      </c>
      <c r="S60" s="49" t="s">
        <v>13002</v>
      </c>
      <c r="T60" s="49" t="s">
        <v>13003</v>
      </c>
    </row>
    <row r="61" spans="1:21" x14ac:dyDescent="0.2">
      <c r="A61" s="49" t="s">
        <v>30</v>
      </c>
    </row>
    <row r="62" spans="1:21" x14ac:dyDescent="0.2">
      <c r="A62" s="49" t="s">
        <v>30</v>
      </c>
      <c r="E62" s="49" t="s">
        <v>31</v>
      </c>
      <c r="F62" s="49" t="s">
        <v>31</v>
      </c>
      <c r="G62" s="49" t="s">
        <v>31</v>
      </c>
      <c r="J62" s="49" t="s">
        <v>31</v>
      </c>
      <c r="K62" s="49" t="s">
        <v>31</v>
      </c>
      <c r="L62" s="49" t="s">
        <v>31</v>
      </c>
      <c r="M62" s="49" t="s">
        <v>31</v>
      </c>
    </row>
    <row r="63" spans="1:21" x14ac:dyDescent="0.2">
      <c r="A63" s="49" t="s">
        <v>30</v>
      </c>
      <c r="D63" s="49" t="s">
        <v>10746</v>
      </c>
      <c r="E63" s="49" t="s">
        <v>14258</v>
      </c>
      <c r="F63" s="49" t="s">
        <v>10747</v>
      </c>
      <c r="H63" s="49" t="s">
        <v>10748</v>
      </c>
      <c r="O63" s="49" t="s">
        <v>35929</v>
      </c>
      <c r="P63" s="49" t="s">
        <v>35930</v>
      </c>
      <c r="Q63" s="49" t="s">
        <v>35931</v>
      </c>
      <c r="R63" s="49" t="s">
        <v>35932</v>
      </c>
      <c r="S63" s="49" t="s">
        <v>35933</v>
      </c>
      <c r="T63" s="49" t="s">
        <v>35934</v>
      </c>
      <c r="U63" s="49" t="s">
        <v>35935</v>
      </c>
    </row>
    <row r="64" spans="1:21" x14ac:dyDescent="0.2">
      <c r="A64" s="49" t="s">
        <v>30</v>
      </c>
      <c r="D64" s="49" t="s">
        <v>294</v>
      </c>
      <c r="G64" s="49" t="s">
        <v>13004</v>
      </c>
      <c r="H64" s="49" t="s">
        <v>295</v>
      </c>
      <c r="I64" s="49" t="s">
        <v>296</v>
      </c>
      <c r="J64" s="49" t="s">
        <v>297</v>
      </c>
      <c r="K64" s="49" t="s">
        <v>298</v>
      </c>
      <c r="L64" s="49" t="s">
        <v>299</v>
      </c>
      <c r="M64" s="49" t="s">
        <v>300</v>
      </c>
      <c r="N64" s="49" t="s">
        <v>301</v>
      </c>
      <c r="O64" s="49" t="s">
        <v>3627</v>
      </c>
      <c r="P64" s="49" t="s">
        <v>3628</v>
      </c>
      <c r="Q64" s="49" t="s">
        <v>3629</v>
      </c>
      <c r="R64" s="49" t="s">
        <v>3630</v>
      </c>
      <c r="S64" s="49" t="s">
        <v>3631</v>
      </c>
      <c r="T64" s="49" t="s">
        <v>3632</v>
      </c>
    </row>
    <row r="65" spans="1:21" x14ac:dyDescent="0.2">
      <c r="A65" s="49" t="s">
        <v>30</v>
      </c>
      <c r="D65" s="49" t="s">
        <v>2258</v>
      </c>
      <c r="G65" s="49" t="s">
        <v>14273</v>
      </c>
      <c r="H65" s="49" t="s">
        <v>2259</v>
      </c>
      <c r="I65" s="49" t="s">
        <v>2260</v>
      </c>
      <c r="J65" s="49" t="s">
        <v>2261</v>
      </c>
      <c r="K65" s="49" t="s">
        <v>2262</v>
      </c>
      <c r="L65" s="49" t="s">
        <v>2263</v>
      </c>
      <c r="M65" s="49" t="s">
        <v>2264</v>
      </c>
      <c r="N65" s="49" t="s">
        <v>2265</v>
      </c>
      <c r="O65" s="49" t="s">
        <v>3442</v>
      </c>
      <c r="P65" s="49" t="s">
        <v>3443</v>
      </c>
      <c r="Q65" s="49" t="s">
        <v>3444</v>
      </c>
      <c r="R65" s="49" t="s">
        <v>3445</v>
      </c>
      <c r="S65" s="49" t="s">
        <v>3446</v>
      </c>
      <c r="T65" s="49" t="s">
        <v>3447</v>
      </c>
    </row>
    <row r="66" spans="1:21" x14ac:dyDescent="0.2">
      <c r="A66" s="49" t="s">
        <v>30</v>
      </c>
      <c r="D66" s="49" t="s">
        <v>2542</v>
      </c>
      <c r="G66" s="49" t="s">
        <v>14275</v>
      </c>
      <c r="H66" s="49" t="s">
        <v>2543</v>
      </c>
      <c r="I66" s="49" t="s">
        <v>2544</v>
      </c>
      <c r="J66" s="49" t="s">
        <v>2545</v>
      </c>
      <c r="K66" s="49" t="s">
        <v>2546</v>
      </c>
      <c r="L66" s="49" t="s">
        <v>2547</v>
      </c>
      <c r="M66" s="49" t="s">
        <v>2548</v>
      </c>
      <c r="N66" s="49" t="s">
        <v>2549</v>
      </c>
      <c r="O66" s="49" t="s">
        <v>3869</v>
      </c>
      <c r="P66" s="49" t="s">
        <v>3870</v>
      </c>
      <c r="Q66" s="49" t="s">
        <v>3871</v>
      </c>
      <c r="R66" s="49" t="s">
        <v>3872</v>
      </c>
      <c r="S66" s="49" t="s">
        <v>3873</v>
      </c>
      <c r="T66" s="49" t="s">
        <v>3874</v>
      </c>
    </row>
    <row r="67" spans="1:21" x14ac:dyDescent="0.2">
      <c r="A67" s="49" t="s">
        <v>30</v>
      </c>
      <c r="D67" s="49" t="s">
        <v>1689</v>
      </c>
      <c r="G67" s="49" t="s">
        <v>14279</v>
      </c>
      <c r="H67" s="49" t="s">
        <v>1690</v>
      </c>
      <c r="I67" s="49" t="s">
        <v>1691</v>
      </c>
      <c r="J67" s="49" t="s">
        <v>1692</v>
      </c>
      <c r="K67" s="49" t="s">
        <v>1693</v>
      </c>
      <c r="L67" s="49" t="s">
        <v>1694</v>
      </c>
      <c r="M67" s="49" t="s">
        <v>1695</v>
      </c>
      <c r="N67" s="49" t="s">
        <v>1696</v>
      </c>
      <c r="O67" s="49" t="s">
        <v>3909</v>
      </c>
      <c r="P67" s="49" t="s">
        <v>3910</v>
      </c>
      <c r="Q67" s="49" t="s">
        <v>3911</v>
      </c>
      <c r="R67" s="49" t="s">
        <v>3912</v>
      </c>
      <c r="S67" s="49" t="s">
        <v>3913</v>
      </c>
      <c r="T67" s="49" t="s">
        <v>3914</v>
      </c>
    </row>
    <row r="68" spans="1:21" x14ac:dyDescent="0.2">
      <c r="A68" s="49" t="s">
        <v>30</v>
      </c>
    </row>
    <row r="69" spans="1:21" x14ac:dyDescent="0.2">
      <c r="A69" s="49" t="s">
        <v>30</v>
      </c>
      <c r="E69" s="49" t="s">
        <v>31</v>
      </c>
      <c r="F69" s="49" t="s">
        <v>31</v>
      </c>
      <c r="G69" s="49" t="s">
        <v>31</v>
      </c>
      <c r="J69" s="49" t="s">
        <v>31</v>
      </c>
      <c r="K69" s="49" t="s">
        <v>31</v>
      </c>
      <c r="L69" s="49" t="s">
        <v>31</v>
      </c>
      <c r="M69" s="49" t="s">
        <v>31</v>
      </c>
    </row>
    <row r="70" spans="1:21" x14ac:dyDescent="0.2">
      <c r="A70" s="49" t="s">
        <v>30</v>
      </c>
      <c r="D70" s="49" t="s">
        <v>35936</v>
      </c>
      <c r="E70" s="49" t="s">
        <v>4568</v>
      </c>
      <c r="F70" s="49" t="s">
        <v>35937</v>
      </c>
      <c r="H70" s="49" t="s">
        <v>35938</v>
      </c>
      <c r="O70" s="49" t="s">
        <v>35939</v>
      </c>
      <c r="P70" s="49" t="s">
        <v>35940</v>
      </c>
      <c r="Q70" s="49" t="s">
        <v>35941</v>
      </c>
      <c r="R70" s="49" t="s">
        <v>35942</v>
      </c>
      <c r="S70" s="49" t="s">
        <v>35943</v>
      </c>
      <c r="T70" s="49" t="s">
        <v>35944</v>
      </c>
      <c r="U70" s="49" t="s">
        <v>35945</v>
      </c>
    </row>
    <row r="71" spans="1:21" x14ac:dyDescent="0.2">
      <c r="A71" s="49" t="s">
        <v>30</v>
      </c>
      <c r="D71" s="49" t="s">
        <v>2317</v>
      </c>
      <c r="G71" s="49" t="s">
        <v>35946</v>
      </c>
      <c r="H71" s="49" t="s">
        <v>2318</v>
      </c>
      <c r="I71" s="49" t="s">
        <v>2319</v>
      </c>
      <c r="J71" s="49" t="s">
        <v>2320</v>
      </c>
      <c r="K71" s="49" t="s">
        <v>2321</v>
      </c>
      <c r="L71" s="49" t="s">
        <v>2322</v>
      </c>
      <c r="M71" s="49" t="s">
        <v>2323</v>
      </c>
      <c r="N71" s="49" t="s">
        <v>2324</v>
      </c>
      <c r="O71" s="49" t="s">
        <v>4078</v>
      </c>
      <c r="P71" s="49" t="s">
        <v>4079</v>
      </c>
      <c r="Q71" s="49" t="s">
        <v>4080</v>
      </c>
      <c r="R71" s="49" t="s">
        <v>4081</v>
      </c>
      <c r="S71" s="49" t="s">
        <v>4082</v>
      </c>
      <c r="T71" s="49" t="s">
        <v>4083</v>
      </c>
    </row>
    <row r="72" spans="1:21" x14ac:dyDescent="0.2">
      <c r="A72" s="49" t="s">
        <v>30</v>
      </c>
      <c r="D72" s="49" t="s">
        <v>310</v>
      </c>
      <c r="G72" s="49" t="s">
        <v>14294</v>
      </c>
      <c r="H72" s="49" t="s">
        <v>311</v>
      </c>
      <c r="I72" s="49" t="s">
        <v>312</v>
      </c>
      <c r="J72" s="49" t="s">
        <v>313</v>
      </c>
      <c r="K72" s="49" t="s">
        <v>314</v>
      </c>
      <c r="L72" s="49" t="s">
        <v>315</v>
      </c>
      <c r="M72" s="49" t="s">
        <v>316</v>
      </c>
      <c r="N72" s="49" t="s">
        <v>317</v>
      </c>
      <c r="O72" s="49" t="s">
        <v>10291</v>
      </c>
      <c r="P72" s="49" t="s">
        <v>10292</v>
      </c>
      <c r="Q72" s="49" t="s">
        <v>10293</v>
      </c>
      <c r="R72" s="49" t="s">
        <v>10294</v>
      </c>
      <c r="S72" s="49" t="s">
        <v>10295</v>
      </c>
      <c r="T72" s="49" t="s">
        <v>10296</v>
      </c>
    </row>
    <row r="73" spans="1:21" x14ac:dyDescent="0.2">
      <c r="A73" s="49" t="s">
        <v>30</v>
      </c>
      <c r="D73" s="49" t="s">
        <v>1851</v>
      </c>
      <c r="G73" s="49" t="s">
        <v>14296</v>
      </c>
      <c r="H73" s="49" t="s">
        <v>1852</v>
      </c>
      <c r="I73" s="49" t="s">
        <v>1853</v>
      </c>
      <c r="J73" s="49" t="s">
        <v>1854</v>
      </c>
      <c r="K73" s="49" t="s">
        <v>1855</v>
      </c>
      <c r="L73" s="49" t="s">
        <v>1856</v>
      </c>
      <c r="M73" s="49" t="s">
        <v>1857</v>
      </c>
      <c r="N73" s="49" t="s">
        <v>1858</v>
      </c>
      <c r="O73" s="49" t="s">
        <v>3448</v>
      </c>
      <c r="P73" s="49" t="s">
        <v>3449</v>
      </c>
      <c r="Q73" s="49" t="s">
        <v>3450</v>
      </c>
      <c r="R73" s="49" t="s">
        <v>3451</v>
      </c>
      <c r="S73" s="49" t="s">
        <v>3452</v>
      </c>
      <c r="T73" s="49" t="s">
        <v>3453</v>
      </c>
    </row>
    <row r="74" spans="1:21" x14ac:dyDescent="0.2">
      <c r="A74" s="49" t="s">
        <v>30</v>
      </c>
      <c r="D74" s="49" t="s">
        <v>1859</v>
      </c>
      <c r="G74" s="49" t="s">
        <v>14298</v>
      </c>
      <c r="H74" s="49" t="s">
        <v>1860</v>
      </c>
      <c r="I74" s="49" t="s">
        <v>1861</v>
      </c>
      <c r="J74" s="49" t="s">
        <v>1862</v>
      </c>
      <c r="K74" s="49" t="s">
        <v>1863</v>
      </c>
      <c r="L74" s="49" t="s">
        <v>1864</v>
      </c>
      <c r="M74" s="49" t="s">
        <v>1865</v>
      </c>
      <c r="N74" s="49" t="s">
        <v>1866</v>
      </c>
      <c r="O74" s="49" t="s">
        <v>3639</v>
      </c>
      <c r="P74" s="49" t="s">
        <v>3640</v>
      </c>
      <c r="Q74" s="49" t="s">
        <v>3641</v>
      </c>
      <c r="R74" s="49" t="s">
        <v>3642</v>
      </c>
      <c r="S74" s="49" t="s">
        <v>3643</v>
      </c>
      <c r="T74" s="49" t="s">
        <v>3644</v>
      </c>
    </row>
    <row r="75" spans="1:21" x14ac:dyDescent="0.2">
      <c r="A75" s="49" t="s">
        <v>30</v>
      </c>
    </row>
    <row r="76" spans="1:21" x14ac:dyDescent="0.2">
      <c r="A76" s="49" t="s">
        <v>30</v>
      </c>
      <c r="E76" s="49" t="s">
        <v>31</v>
      </c>
      <c r="F76" s="49" t="s">
        <v>31</v>
      </c>
      <c r="G76" s="49" t="s">
        <v>31</v>
      </c>
      <c r="J76" s="49" t="s">
        <v>31</v>
      </c>
      <c r="K76" s="49" t="s">
        <v>31</v>
      </c>
      <c r="L76" s="49" t="s">
        <v>31</v>
      </c>
      <c r="M76" s="49" t="s">
        <v>31</v>
      </c>
    </row>
    <row r="77" spans="1:21" x14ac:dyDescent="0.2">
      <c r="A77" s="49" t="s">
        <v>30</v>
      </c>
      <c r="D77" s="49" t="s">
        <v>2853</v>
      </c>
      <c r="E77" s="49" t="s">
        <v>4569</v>
      </c>
      <c r="F77" s="49" t="s">
        <v>2854</v>
      </c>
      <c r="H77" s="49" t="s">
        <v>2855</v>
      </c>
      <c r="O77" s="49" t="s">
        <v>35947</v>
      </c>
      <c r="P77" s="49" t="s">
        <v>35948</v>
      </c>
      <c r="Q77" s="49" t="s">
        <v>35949</v>
      </c>
      <c r="R77" s="49" t="s">
        <v>35950</v>
      </c>
      <c r="S77" s="49" t="s">
        <v>35951</v>
      </c>
      <c r="T77" s="49" t="s">
        <v>35952</v>
      </c>
      <c r="U77" s="49" t="s">
        <v>35953</v>
      </c>
    </row>
    <row r="78" spans="1:21" x14ac:dyDescent="0.2">
      <c r="A78" s="49" t="s">
        <v>30</v>
      </c>
      <c r="D78" s="49" t="s">
        <v>326</v>
      </c>
      <c r="G78" s="49" t="s">
        <v>3645</v>
      </c>
      <c r="H78" s="49" t="s">
        <v>327</v>
      </c>
      <c r="I78" s="49" t="s">
        <v>328</v>
      </c>
      <c r="J78" s="49" t="s">
        <v>329</v>
      </c>
      <c r="K78" s="49" t="s">
        <v>330</v>
      </c>
      <c r="L78" s="49" t="s">
        <v>331</v>
      </c>
      <c r="M78" s="49" t="s">
        <v>332</v>
      </c>
      <c r="N78" s="49" t="s">
        <v>333</v>
      </c>
      <c r="O78" s="49" t="s">
        <v>3646</v>
      </c>
      <c r="P78" s="49" t="s">
        <v>3647</v>
      </c>
      <c r="Q78" s="49" t="s">
        <v>3648</v>
      </c>
      <c r="R78" s="49" t="s">
        <v>3649</v>
      </c>
      <c r="S78" s="49" t="s">
        <v>3650</v>
      </c>
      <c r="T78" s="49" t="s">
        <v>3651</v>
      </c>
    </row>
    <row r="79" spans="1:21" x14ac:dyDescent="0.2">
      <c r="A79" s="49" t="s">
        <v>30</v>
      </c>
      <c r="D79" s="49" t="s">
        <v>1875</v>
      </c>
      <c r="G79" s="49" t="s">
        <v>14311</v>
      </c>
      <c r="H79" s="49" t="s">
        <v>1876</v>
      </c>
      <c r="I79" s="49" t="s">
        <v>1877</v>
      </c>
      <c r="J79" s="49" t="s">
        <v>1878</v>
      </c>
      <c r="K79" s="49" t="s">
        <v>1879</v>
      </c>
      <c r="L79" s="49" t="s">
        <v>1880</v>
      </c>
      <c r="M79" s="49" t="s">
        <v>1881</v>
      </c>
      <c r="N79" s="49" t="s">
        <v>1882</v>
      </c>
      <c r="O79" s="49" t="s">
        <v>3991</v>
      </c>
      <c r="P79" s="49" t="s">
        <v>3992</v>
      </c>
      <c r="Q79" s="49" t="s">
        <v>3993</v>
      </c>
      <c r="R79" s="49" t="s">
        <v>3994</v>
      </c>
      <c r="S79" s="49" t="s">
        <v>3995</v>
      </c>
      <c r="T79" s="49" t="s">
        <v>3996</v>
      </c>
    </row>
    <row r="80" spans="1:21" x14ac:dyDescent="0.2">
      <c r="A80" s="49" t="s">
        <v>30</v>
      </c>
      <c r="D80" s="49" t="s">
        <v>1697</v>
      </c>
      <c r="G80" s="49" t="s">
        <v>14321</v>
      </c>
      <c r="H80" s="49" t="s">
        <v>1698</v>
      </c>
      <c r="I80" s="49" t="s">
        <v>1699</v>
      </c>
      <c r="J80" s="49" t="s">
        <v>1700</v>
      </c>
      <c r="K80" s="49" t="s">
        <v>1701</v>
      </c>
      <c r="L80" s="49" t="s">
        <v>1702</v>
      </c>
      <c r="M80" s="49" t="s">
        <v>1703</v>
      </c>
      <c r="N80" s="49" t="s">
        <v>1704</v>
      </c>
      <c r="O80" s="49" t="s">
        <v>3997</v>
      </c>
      <c r="P80" s="49" t="s">
        <v>3998</v>
      </c>
      <c r="Q80" s="49" t="s">
        <v>3999</v>
      </c>
      <c r="R80" s="49" t="s">
        <v>4000</v>
      </c>
      <c r="S80" s="49" t="s">
        <v>4001</v>
      </c>
      <c r="T80" s="49" t="s">
        <v>4002</v>
      </c>
    </row>
    <row r="81" spans="1:21" x14ac:dyDescent="0.2">
      <c r="A81" s="49" t="s">
        <v>30</v>
      </c>
      <c r="D81" s="49" t="s">
        <v>1883</v>
      </c>
      <c r="G81" s="49" t="s">
        <v>14322</v>
      </c>
      <c r="H81" s="49" t="s">
        <v>1884</v>
      </c>
      <c r="I81" s="49" t="s">
        <v>1885</v>
      </c>
      <c r="J81" s="49" t="s">
        <v>1886</v>
      </c>
      <c r="K81" s="49" t="s">
        <v>1887</v>
      </c>
      <c r="L81" s="49" t="s">
        <v>1888</v>
      </c>
      <c r="M81" s="49" t="s">
        <v>1889</v>
      </c>
      <c r="N81" s="49" t="s">
        <v>1890</v>
      </c>
      <c r="O81" s="49" t="s">
        <v>3454</v>
      </c>
      <c r="P81" s="49" t="s">
        <v>3455</v>
      </c>
      <c r="Q81" s="49" t="s">
        <v>3456</v>
      </c>
      <c r="R81" s="49" t="s">
        <v>3457</v>
      </c>
      <c r="S81" s="49" t="s">
        <v>3458</v>
      </c>
      <c r="T81" s="49" t="s">
        <v>3459</v>
      </c>
    </row>
    <row r="82" spans="1:21" x14ac:dyDescent="0.2">
      <c r="A82" s="49" t="s">
        <v>30</v>
      </c>
    </row>
    <row r="83" spans="1:21" x14ac:dyDescent="0.2">
      <c r="A83" s="49" t="s">
        <v>30</v>
      </c>
      <c r="E83" s="49" t="s">
        <v>31</v>
      </c>
      <c r="F83" s="49" t="s">
        <v>31</v>
      </c>
      <c r="G83" s="49" t="s">
        <v>31</v>
      </c>
      <c r="J83" s="49" t="s">
        <v>31</v>
      </c>
      <c r="K83" s="49" t="s">
        <v>31</v>
      </c>
      <c r="L83" s="49" t="s">
        <v>31</v>
      </c>
      <c r="M83" s="49" t="s">
        <v>31</v>
      </c>
    </row>
    <row r="84" spans="1:21" x14ac:dyDescent="0.2">
      <c r="A84" s="49" t="s">
        <v>30</v>
      </c>
      <c r="D84" s="49" t="s">
        <v>9993</v>
      </c>
      <c r="E84" s="49" t="s">
        <v>4582</v>
      </c>
      <c r="F84" s="49" t="s">
        <v>9994</v>
      </c>
      <c r="H84" s="49" t="s">
        <v>9995</v>
      </c>
      <c r="O84" s="49" t="s">
        <v>35954</v>
      </c>
      <c r="P84" s="49" t="s">
        <v>35955</v>
      </c>
      <c r="Q84" s="49" t="s">
        <v>35956</v>
      </c>
      <c r="R84" s="49" t="s">
        <v>35957</v>
      </c>
      <c r="S84" s="49" t="s">
        <v>35958</v>
      </c>
      <c r="T84" s="49" t="s">
        <v>35959</v>
      </c>
      <c r="U84" s="49" t="s">
        <v>35960</v>
      </c>
    </row>
    <row r="85" spans="1:21" x14ac:dyDescent="0.2">
      <c r="A85" s="49" t="s">
        <v>30</v>
      </c>
      <c r="D85" s="49" t="s">
        <v>1891</v>
      </c>
      <c r="G85" s="49" t="s">
        <v>9996</v>
      </c>
      <c r="H85" s="49" t="s">
        <v>1892</v>
      </c>
      <c r="I85" s="49" t="s">
        <v>1893</v>
      </c>
      <c r="J85" s="49" t="s">
        <v>1894</v>
      </c>
      <c r="K85" s="49" t="s">
        <v>1895</v>
      </c>
      <c r="L85" s="49" t="s">
        <v>1896</v>
      </c>
      <c r="M85" s="49" t="s">
        <v>1897</v>
      </c>
      <c r="N85" s="49" t="s">
        <v>1898</v>
      </c>
      <c r="O85" s="49" t="s">
        <v>3460</v>
      </c>
      <c r="P85" s="49" t="s">
        <v>3461</v>
      </c>
      <c r="Q85" s="49" t="s">
        <v>3462</v>
      </c>
      <c r="R85" s="49" t="s">
        <v>3463</v>
      </c>
      <c r="S85" s="49" t="s">
        <v>3464</v>
      </c>
      <c r="T85" s="49" t="s">
        <v>3465</v>
      </c>
    </row>
    <row r="86" spans="1:21" x14ac:dyDescent="0.2">
      <c r="A86" s="49" t="s">
        <v>30</v>
      </c>
      <c r="D86" s="49" t="s">
        <v>2325</v>
      </c>
      <c r="G86" s="49" t="s">
        <v>14336</v>
      </c>
      <c r="H86" s="49" t="s">
        <v>2326</v>
      </c>
      <c r="I86" s="49" t="s">
        <v>2327</v>
      </c>
      <c r="J86" s="49" t="s">
        <v>2328</v>
      </c>
      <c r="K86" s="49" t="s">
        <v>2329</v>
      </c>
      <c r="L86" s="49" t="s">
        <v>2330</v>
      </c>
      <c r="M86" s="49" t="s">
        <v>2331</v>
      </c>
      <c r="N86" s="49" t="s">
        <v>2332</v>
      </c>
      <c r="O86" s="49" t="s">
        <v>4091</v>
      </c>
      <c r="P86" s="49" t="s">
        <v>4092</v>
      </c>
      <c r="Q86" s="49" t="s">
        <v>4093</v>
      </c>
      <c r="R86" s="49" t="s">
        <v>4094</v>
      </c>
      <c r="S86" s="49" t="s">
        <v>4095</v>
      </c>
      <c r="T86" s="49" t="s">
        <v>4096</v>
      </c>
    </row>
    <row r="87" spans="1:21" x14ac:dyDescent="0.2">
      <c r="A87" s="49" t="s">
        <v>30</v>
      </c>
      <c r="D87" s="49" t="s">
        <v>2559</v>
      </c>
      <c r="G87" s="49" t="s">
        <v>14340</v>
      </c>
      <c r="H87" s="49" t="s">
        <v>2560</v>
      </c>
      <c r="I87" s="49" t="s">
        <v>2561</v>
      </c>
      <c r="J87" s="49" t="s">
        <v>2562</v>
      </c>
      <c r="K87" s="49" t="s">
        <v>2563</v>
      </c>
      <c r="L87" s="49" t="s">
        <v>2564</v>
      </c>
      <c r="M87" s="49" t="s">
        <v>2565</v>
      </c>
      <c r="N87" s="49" t="s">
        <v>2566</v>
      </c>
      <c r="O87" s="49" t="s">
        <v>3666</v>
      </c>
      <c r="P87" s="49" t="s">
        <v>3667</v>
      </c>
      <c r="Q87" s="49" t="s">
        <v>3668</v>
      </c>
      <c r="R87" s="49" t="s">
        <v>3669</v>
      </c>
      <c r="S87" s="49" t="s">
        <v>3670</v>
      </c>
      <c r="T87" s="49" t="s">
        <v>3671</v>
      </c>
    </row>
    <row r="88" spans="1:21" x14ac:dyDescent="0.2">
      <c r="A88" s="49" t="s">
        <v>30</v>
      </c>
    </row>
    <row r="89" spans="1:21" x14ac:dyDescent="0.2">
      <c r="A89" s="49" t="s">
        <v>30</v>
      </c>
      <c r="E89" s="49" t="s">
        <v>31</v>
      </c>
      <c r="F89" s="49" t="s">
        <v>31</v>
      </c>
      <c r="G89" s="49" t="s">
        <v>31</v>
      </c>
      <c r="J89" s="49" t="s">
        <v>31</v>
      </c>
      <c r="K89" s="49" t="s">
        <v>31</v>
      </c>
      <c r="L89" s="49" t="s">
        <v>31</v>
      </c>
      <c r="M89" s="49" t="s">
        <v>31</v>
      </c>
    </row>
    <row r="90" spans="1:21" x14ac:dyDescent="0.2">
      <c r="A90" s="49" t="s">
        <v>30</v>
      </c>
      <c r="D90" s="49" t="s">
        <v>34748</v>
      </c>
      <c r="E90" s="49" t="s">
        <v>4601</v>
      </c>
      <c r="F90" s="49" t="s">
        <v>34749</v>
      </c>
      <c r="H90" s="49" t="s">
        <v>34750</v>
      </c>
      <c r="O90" s="49" t="s">
        <v>35961</v>
      </c>
      <c r="P90" s="49" t="s">
        <v>35962</v>
      </c>
      <c r="Q90" s="49" t="s">
        <v>35963</v>
      </c>
      <c r="R90" s="49" t="s">
        <v>35964</v>
      </c>
      <c r="S90" s="49" t="s">
        <v>35965</v>
      </c>
      <c r="T90" s="49" t="s">
        <v>35966</v>
      </c>
      <c r="U90" s="49" t="s">
        <v>35967</v>
      </c>
    </row>
    <row r="91" spans="1:21" x14ac:dyDescent="0.2">
      <c r="A91" s="49" t="s">
        <v>30</v>
      </c>
      <c r="D91" s="49" t="s">
        <v>380</v>
      </c>
      <c r="G91" s="49" t="s">
        <v>34758</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c r="D92" s="49" t="s">
        <v>1715</v>
      </c>
      <c r="G92" s="49" t="s">
        <v>14355</v>
      </c>
      <c r="H92" s="49" t="s">
        <v>1716</v>
      </c>
      <c r="I92" s="49" t="s">
        <v>1717</v>
      </c>
      <c r="J92" s="49" t="s">
        <v>1718</v>
      </c>
      <c r="K92" s="49" t="s">
        <v>1719</v>
      </c>
      <c r="L92" s="49" t="s">
        <v>1720</v>
      </c>
      <c r="M92" s="49" t="s">
        <v>1721</v>
      </c>
      <c r="N92" s="49" t="s">
        <v>1722</v>
      </c>
      <c r="O92" s="49" t="s">
        <v>3678</v>
      </c>
      <c r="P92" s="49" t="s">
        <v>3679</v>
      </c>
      <c r="Q92" s="49" t="s">
        <v>3680</v>
      </c>
      <c r="R92" s="49" t="s">
        <v>3681</v>
      </c>
      <c r="S92" s="49" t="s">
        <v>3682</v>
      </c>
      <c r="T92" s="49" t="s">
        <v>3683</v>
      </c>
    </row>
    <row r="93" spans="1:21" x14ac:dyDescent="0.2">
      <c r="A93" s="49" t="s">
        <v>30</v>
      </c>
      <c r="D93" s="49" t="s">
        <v>10755</v>
      </c>
      <c r="G93" s="49" t="s">
        <v>14358</v>
      </c>
      <c r="H93" s="49" t="s">
        <v>12898</v>
      </c>
      <c r="I93" s="49" t="s">
        <v>12899</v>
      </c>
      <c r="J93" s="49" t="s">
        <v>12918</v>
      </c>
      <c r="K93" s="49" t="s">
        <v>12919</v>
      </c>
      <c r="L93" s="49" t="s">
        <v>10756</v>
      </c>
      <c r="M93" s="49" t="s">
        <v>10757</v>
      </c>
      <c r="N93" s="49" t="s">
        <v>10758</v>
      </c>
      <c r="O93" s="49" t="s">
        <v>13355</v>
      </c>
      <c r="P93" s="49" t="s">
        <v>13356</v>
      </c>
      <c r="Q93" s="49" t="s">
        <v>13357</v>
      </c>
      <c r="R93" s="49" t="s">
        <v>13358</v>
      </c>
      <c r="S93" s="49" t="s">
        <v>13359</v>
      </c>
      <c r="T93" s="49" t="s">
        <v>13360</v>
      </c>
    </row>
    <row r="94" spans="1:21" x14ac:dyDescent="0.2">
      <c r="A94" s="49" t="s">
        <v>30</v>
      </c>
    </row>
    <row r="95" spans="1:21" x14ac:dyDescent="0.2">
      <c r="A95" s="49" t="s">
        <v>30</v>
      </c>
      <c r="E95" s="49" t="s">
        <v>31</v>
      </c>
      <c r="F95" s="49" t="s">
        <v>31</v>
      </c>
      <c r="G95" s="49" t="s">
        <v>31</v>
      </c>
      <c r="J95" s="49" t="s">
        <v>31</v>
      </c>
      <c r="K95" s="49" t="s">
        <v>31</v>
      </c>
      <c r="L95" s="49" t="s">
        <v>31</v>
      </c>
      <c r="M95" s="49" t="s">
        <v>31</v>
      </c>
    </row>
    <row r="96" spans="1:21" x14ac:dyDescent="0.2">
      <c r="A96" s="49" t="s">
        <v>30</v>
      </c>
      <c r="D96" s="49" t="s">
        <v>13361</v>
      </c>
      <c r="E96" s="49" t="s">
        <v>4615</v>
      </c>
      <c r="F96" s="49" t="s">
        <v>13362</v>
      </c>
      <c r="H96" s="49" t="s">
        <v>13363</v>
      </c>
      <c r="O96" s="49" t="s">
        <v>35968</v>
      </c>
      <c r="P96" s="49" t="s">
        <v>35969</v>
      </c>
      <c r="Q96" s="49" t="s">
        <v>35970</v>
      </c>
      <c r="R96" s="49" t="s">
        <v>35971</v>
      </c>
      <c r="S96" s="49" t="s">
        <v>35972</v>
      </c>
      <c r="T96" s="49" t="s">
        <v>35973</v>
      </c>
      <c r="U96" s="49" t="s">
        <v>35974</v>
      </c>
    </row>
    <row r="97" spans="1:21" x14ac:dyDescent="0.2">
      <c r="A97" s="49" t="s">
        <v>30</v>
      </c>
      <c r="D97" s="49" t="s">
        <v>396</v>
      </c>
      <c r="G97" s="49" t="s">
        <v>13364</v>
      </c>
      <c r="H97" s="49" t="s">
        <v>397</v>
      </c>
      <c r="I97" s="49" t="s">
        <v>398</v>
      </c>
      <c r="J97" s="49" t="s">
        <v>399</v>
      </c>
      <c r="K97" s="49" t="s">
        <v>400</v>
      </c>
      <c r="L97" s="49" t="s">
        <v>401</v>
      </c>
      <c r="M97" s="49" t="s">
        <v>402</v>
      </c>
      <c r="N97" s="49" t="s">
        <v>403</v>
      </c>
      <c r="O97" s="49" t="s">
        <v>3466</v>
      </c>
      <c r="P97" s="49" t="s">
        <v>3467</v>
      </c>
      <c r="Q97" s="49" t="s">
        <v>3468</v>
      </c>
      <c r="R97" s="49" t="s">
        <v>3469</v>
      </c>
      <c r="S97" s="49" t="s">
        <v>3470</v>
      </c>
      <c r="T97" s="49" t="s">
        <v>3471</v>
      </c>
    </row>
    <row r="98" spans="1:21" x14ac:dyDescent="0.2">
      <c r="A98" s="49" t="s">
        <v>30</v>
      </c>
      <c r="D98" s="49" t="s">
        <v>404</v>
      </c>
      <c r="G98" s="49" t="s">
        <v>14380</v>
      </c>
      <c r="H98" s="49" t="s">
        <v>405</v>
      </c>
      <c r="I98" s="49" t="s">
        <v>406</v>
      </c>
      <c r="J98" s="49" t="s">
        <v>407</v>
      </c>
      <c r="K98" s="49" t="s">
        <v>408</v>
      </c>
      <c r="L98" s="49" t="s">
        <v>409</v>
      </c>
      <c r="M98" s="49" t="s">
        <v>410</v>
      </c>
      <c r="N98" s="49" t="s">
        <v>411</v>
      </c>
      <c r="O98" s="49" t="s">
        <v>3691</v>
      </c>
      <c r="P98" s="49" t="s">
        <v>3692</v>
      </c>
      <c r="Q98" s="49" t="s">
        <v>3693</v>
      </c>
      <c r="R98" s="49" t="s">
        <v>3694</v>
      </c>
      <c r="S98" s="49" t="s">
        <v>3695</v>
      </c>
      <c r="T98" s="49" t="s">
        <v>3696</v>
      </c>
    </row>
    <row r="99" spans="1:21" x14ac:dyDescent="0.2">
      <c r="A99" s="49" t="s">
        <v>30</v>
      </c>
      <c r="D99" s="49" t="s">
        <v>2333</v>
      </c>
      <c r="G99" s="49" t="s">
        <v>14382</v>
      </c>
      <c r="H99" s="49" t="s">
        <v>2334</v>
      </c>
      <c r="I99" s="49" t="s">
        <v>2335</v>
      </c>
      <c r="J99" s="49" t="s">
        <v>2336</v>
      </c>
      <c r="K99" s="49" t="s">
        <v>2337</v>
      </c>
      <c r="L99" s="49" t="s">
        <v>2338</v>
      </c>
      <c r="M99" s="49" t="s">
        <v>2339</v>
      </c>
      <c r="N99" s="49" t="s">
        <v>2340</v>
      </c>
      <c r="O99" s="49" t="s">
        <v>4103</v>
      </c>
      <c r="P99" s="49" t="s">
        <v>4104</v>
      </c>
      <c r="Q99" s="49" t="s">
        <v>4105</v>
      </c>
      <c r="R99" s="49" t="s">
        <v>4106</v>
      </c>
      <c r="S99" s="49" t="s">
        <v>4107</v>
      </c>
      <c r="T99" s="49" t="s">
        <v>4108</v>
      </c>
    </row>
    <row r="100" spans="1:21" x14ac:dyDescent="0.2">
      <c r="A100" s="49" t="s">
        <v>30</v>
      </c>
      <c r="D100" s="49" t="s">
        <v>2802</v>
      </c>
      <c r="G100" s="49" t="s">
        <v>14385</v>
      </c>
      <c r="H100" s="49" t="s">
        <v>2803</v>
      </c>
      <c r="I100" s="49" t="s">
        <v>2804</v>
      </c>
      <c r="J100" s="49" t="s">
        <v>2805</v>
      </c>
      <c r="K100" s="49" t="s">
        <v>2806</v>
      </c>
      <c r="L100" s="49" t="s">
        <v>2807</v>
      </c>
      <c r="M100" s="49" t="s">
        <v>2808</v>
      </c>
      <c r="N100" s="49" t="s">
        <v>2809</v>
      </c>
      <c r="O100" s="49" t="s">
        <v>4354</v>
      </c>
      <c r="P100" s="49" t="s">
        <v>4355</v>
      </c>
      <c r="Q100" s="49" t="s">
        <v>4356</v>
      </c>
      <c r="R100" s="49" t="s">
        <v>4357</v>
      </c>
      <c r="S100" s="49" t="s">
        <v>4358</v>
      </c>
      <c r="T100" s="49" t="s">
        <v>4359</v>
      </c>
    </row>
    <row r="101" spans="1:21" x14ac:dyDescent="0.2">
      <c r="A101" s="49" t="s">
        <v>30</v>
      </c>
      <c r="D101" s="49" t="s">
        <v>1729</v>
      </c>
      <c r="G101" s="49" t="s">
        <v>14386</v>
      </c>
      <c r="H101" s="49" t="s">
        <v>1730</v>
      </c>
      <c r="I101" s="49" t="s">
        <v>1731</v>
      </c>
      <c r="J101" s="49" t="s">
        <v>1732</v>
      </c>
      <c r="K101" s="49" t="s">
        <v>1733</v>
      </c>
      <c r="L101" s="49" t="s">
        <v>1734</v>
      </c>
      <c r="M101" s="49" t="s">
        <v>1735</v>
      </c>
      <c r="N101" s="49" t="s">
        <v>1736</v>
      </c>
      <c r="O101" s="49" t="s">
        <v>3473</v>
      </c>
      <c r="P101" s="49" t="s">
        <v>3474</v>
      </c>
      <c r="Q101" s="49" t="s">
        <v>3475</v>
      </c>
      <c r="R101" s="49" t="s">
        <v>3476</v>
      </c>
      <c r="S101" s="49" t="s">
        <v>3477</v>
      </c>
      <c r="T101" s="49" t="s">
        <v>3478</v>
      </c>
    </row>
    <row r="102" spans="1:21" x14ac:dyDescent="0.2">
      <c r="A102" s="49" t="s">
        <v>30</v>
      </c>
      <c r="D102" s="49" t="s">
        <v>412</v>
      </c>
      <c r="G102" s="49" t="s">
        <v>14388</v>
      </c>
      <c r="H102" s="49" t="s">
        <v>413</v>
      </c>
      <c r="I102" s="49" t="s">
        <v>414</v>
      </c>
      <c r="J102" s="49" t="s">
        <v>415</v>
      </c>
      <c r="K102" s="49" t="s">
        <v>416</v>
      </c>
      <c r="L102" s="49" t="s">
        <v>417</v>
      </c>
      <c r="M102" s="49" t="s">
        <v>418</v>
      </c>
      <c r="N102" s="49" t="s">
        <v>419</v>
      </c>
      <c r="O102" s="49" t="s">
        <v>3697</v>
      </c>
      <c r="P102" s="49" t="s">
        <v>3698</v>
      </c>
      <c r="Q102" s="49" t="s">
        <v>3699</v>
      </c>
      <c r="R102" s="49" t="s">
        <v>3700</v>
      </c>
      <c r="S102" s="49" t="s">
        <v>3701</v>
      </c>
      <c r="T102" s="49" t="s">
        <v>3702</v>
      </c>
    </row>
    <row r="103" spans="1:21" x14ac:dyDescent="0.2">
      <c r="A103" s="49" t="s">
        <v>30</v>
      </c>
    </row>
    <row r="104" spans="1:21" x14ac:dyDescent="0.2">
      <c r="A104" s="49" t="s">
        <v>30</v>
      </c>
      <c r="E104" s="49" t="s">
        <v>31</v>
      </c>
      <c r="F104" s="49" t="s">
        <v>31</v>
      </c>
      <c r="G104" s="49" t="s">
        <v>31</v>
      </c>
      <c r="J104" s="49" t="s">
        <v>31</v>
      </c>
      <c r="K104" s="49" t="s">
        <v>31</v>
      </c>
      <c r="L104" s="49" t="s">
        <v>31</v>
      </c>
      <c r="M104" s="49" t="s">
        <v>31</v>
      </c>
    </row>
    <row r="105" spans="1:21" x14ac:dyDescent="0.2">
      <c r="A105" s="49" t="s">
        <v>30</v>
      </c>
      <c r="D105" s="49" t="s">
        <v>2977</v>
      </c>
      <c r="E105" s="49" t="s">
        <v>4618</v>
      </c>
      <c r="F105" s="49" t="s">
        <v>2978</v>
      </c>
      <c r="H105" s="49" t="s">
        <v>2979</v>
      </c>
      <c r="O105" s="49" t="s">
        <v>35975</v>
      </c>
      <c r="P105" s="49" t="s">
        <v>35976</v>
      </c>
      <c r="Q105" s="49" t="s">
        <v>35977</v>
      </c>
      <c r="R105" s="49" t="s">
        <v>35978</v>
      </c>
      <c r="S105" s="49" t="s">
        <v>35979</v>
      </c>
      <c r="T105" s="49" t="s">
        <v>35980</v>
      </c>
      <c r="U105" s="49" t="s">
        <v>35981</v>
      </c>
    </row>
    <row r="106" spans="1:21" x14ac:dyDescent="0.2">
      <c r="A106" s="49" t="s">
        <v>30</v>
      </c>
      <c r="D106" s="49" t="s">
        <v>1918</v>
      </c>
      <c r="G106" s="49" t="s">
        <v>8902</v>
      </c>
      <c r="H106" s="49" t="s">
        <v>1919</v>
      </c>
      <c r="I106" s="49" t="s">
        <v>1920</v>
      </c>
      <c r="J106" s="49" t="s">
        <v>1921</v>
      </c>
      <c r="K106" s="49" t="s">
        <v>1922</v>
      </c>
      <c r="L106" s="49" t="s">
        <v>1923</v>
      </c>
      <c r="M106" s="49" t="s">
        <v>1924</v>
      </c>
      <c r="N106" s="49" t="s">
        <v>1925</v>
      </c>
      <c r="O106" s="49" t="s">
        <v>3915</v>
      </c>
      <c r="P106" s="49" t="s">
        <v>3916</v>
      </c>
      <c r="Q106" s="49" t="s">
        <v>3917</v>
      </c>
      <c r="R106" s="49" t="s">
        <v>3918</v>
      </c>
      <c r="S106" s="49" t="s">
        <v>3919</v>
      </c>
      <c r="T106" s="49" t="s">
        <v>3920</v>
      </c>
    </row>
    <row r="107" spans="1:21" x14ac:dyDescent="0.2">
      <c r="A107" s="49" t="s">
        <v>30</v>
      </c>
      <c r="D107" s="49" t="s">
        <v>431</v>
      </c>
      <c r="G107" s="49" t="s">
        <v>14404</v>
      </c>
      <c r="H107" s="49" t="s">
        <v>432</v>
      </c>
      <c r="I107" s="49" t="s">
        <v>433</v>
      </c>
      <c r="J107" s="49" t="s">
        <v>434</v>
      </c>
      <c r="K107" s="49" t="s">
        <v>435</v>
      </c>
      <c r="L107" s="49" t="s">
        <v>436</v>
      </c>
      <c r="M107" s="49" t="s">
        <v>437</v>
      </c>
      <c r="N107" s="49" t="s">
        <v>438</v>
      </c>
      <c r="O107" s="49" t="s">
        <v>3710</v>
      </c>
      <c r="P107" s="49" t="s">
        <v>3711</v>
      </c>
      <c r="Q107" s="49" t="s">
        <v>3712</v>
      </c>
      <c r="R107" s="49" t="s">
        <v>3713</v>
      </c>
      <c r="S107" s="49" t="s">
        <v>3714</v>
      </c>
      <c r="T107" s="49" t="s">
        <v>3715</v>
      </c>
    </row>
    <row r="108" spans="1:21" x14ac:dyDescent="0.2">
      <c r="A108" s="49" t="s">
        <v>30</v>
      </c>
      <c r="D108" s="49" t="s">
        <v>439</v>
      </c>
      <c r="G108" s="49" t="s">
        <v>14406</v>
      </c>
      <c r="H108" s="49" t="s">
        <v>440</v>
      </c>
      <c r="I108" s="49" t="s">
        <v>441</v>
      </c>
      <c r="J108" s="49" t="s">
        <v>442</v>
      </c>
      <c r="K108" s="49" t="s">
        <v>443</v>
      </c>
      <c r="L108" s="49" t="s">
        <v>444</v>
      </c>
      <c r="M108" s="49" t="s">
        <v>445</v>
      </c>
      <c r="N108" s="49" t="s">
        <v>446</v>
      </c>
      <c r="O108" s="49" t="s">
        <v>3716</v>
      </c>
      <c r="P108" s="49" t="s">
        <v>3717</v>
      </c>
      <c r="Q108" s="49" t="s">
        <v>3718</v>
      </c>
      <c r="R108" s="49" t="s">
        <v>3719</v>
      </c>
      <c r="S108" s="49" t="s">
        <v>3720</v>
      </c>
      <c r="T108" s="49" t="s">
        <v>3721</v>
      </c>
    </row>
    <row r="109" spans="1:21" x14ac:dyDescent="0.2">
      <c r="A109" s="49" t="s">
        <v>30</v>
      </c>
      <c r="D109" s="49" t="s">
        <v>10777</v>
      </c>
      <c r="G109" s="49" t="s">
        <v>14411</v>
      </c>
      <c r="H109" s="49" t="s">
        <v>12888</v>
      </c>
      <c r="I109" s="49" t="s">
        <v>12889</v>
      </c>
      <c r="J109" s="49" t="s">
        <v>12896</v>
      </c>
      <c r="K109" s="49" t="s">
        <v>12897</v>
      </c>
      <c r="L109" s="49" t="s">
        <v>10778</v>
      </c>
      <c r="M109" s="49" t="s">
        <v>10779</v>
      </c>
      <c r="N109" s="49" t="s">
        <v>10780</v>
      </c>
      <c r="O109" s="49" t="s">
        <v>13069</v>
      </c>
      <c r="P109" s="49" t="s">
        <v>13070</v>
      </c>
      <c r="Q109" s="49" t="s">
        <v>13071</v>
      </c>
      <c r="R109" s="49" t="s">
        <v>13072</v>
      </c>
      <c r="S109" s="49" t="s">
        <v>13073</v>
      </c>
      <c r="T109" s="49" t="s">
        <v>13074</v>
      </c>
    </row>
    <row r="110" spans="1:21" x14ac:dyDescent="0.2">
      <c r="A110" s="49" t="s">
        <v>30</v>
      </c>
    </row>
    <row r="111" spans="1:21" x14ac:dyDescent="0.2">
      <c r="A111" s="49" t="s">
        <v>30</v>
      </c>
      <c r="E111" s="49" t="s">
        <v>31</v>
      </c>
      <c r="F111" s="49" t="s">
        <v>31</v>
      </c>
      <c r="G111" s="49" t="s">
        <v>31</v>
      </c>
      <c r="J111" s="49" t="s">
        <v>31</v>
      </c>
      <c r="K111" s="49" t="s">
        <v>31</v>
      </c>
      <c r="L111" s="49" t="s">
        <v>31</v>
      </c>
      <c r="M111" s="49" t="s">
        <v>31</v>
      </c>
    </row>
    <row r="112" spans="1:21" x14ac:dyDescent="0.2">
      <c r="A112" s="49" t="s">
        <v>30</v>
      </c>
      <c r="D112" s="49" t="s">
        <v>13938</v>
      </c>
      <c r="E112" s="49" t="s">
        <v>4619</v>
      </c>
      <c r="F112" s="49" t="s">
        <v>13939</v>
      </c>
      <c r="H112" s="49" t="s">
        <v>13940</v>
      </c>
      <c r="O112" s="49" t="s">
        <v>35982</v>
      </c>
      <c r="P112" s="49" t="s">
        <v>35983</v>
      </c>
      <c r="Q112" s="49" t="s">
        <v>35984</v>
      </c>
      <c r="R112" s="49" t="s">
        <v>35985</v>
      </c>
      <c r="S112" s="49" t="s">
        <v>35986</v>
      </c>
      <c r="T112" s="49" t="s">
        <v>35987</v>
      </c>
      <c r="U112" s="49" t="s">
        <v>35988</v>
      </c>
    </row>
    <row r="113" spans="1:21" x14ac:dyDescent="0.2">
      <c r="A113" s="49" t="s">
        <v>30</v>
      </c>
      <c r="D113" s="49" t="s">
        <v>13365</v>
      </c>
      <c r="G113" s="49" t="s">
        <v>13941</v>
      </c>
      <c r="H113" s="49" t="s">
        <v>13366</v>
      </c>
      <c r="I113" s="49" t="s">
        <v>13367</v>
      </c>
      <c r="J113" s="49" t="s">
        <v>13368</v>
      </c>
      <c r="K113" s="49" t="s">
        <v>13369</v>
      </c>
      <c r="L113" s="49" t="s">
        <v>13370</v>
      </c>
      <c r="M113" s="49" t="s">
        <v>13371</v>
      </c>
      <c r="N113" s="49" t="s">
        <v>13372</v>
      </c>
      <c r="O113" s="49" t="s">
        <v>13373</v>
      </c>
      <c r="P113" s="49" t="s">
        <v>13374</v>
      </c>
      <c r="Q113" s="49" t="s">
        <v>13375</v>
      </c>
      <c r="R113" s="49" t="s">
        <v>13376</v>
      </c>
      <c r="S113" s="49" t="s">
        <v>13377</v>
      </c>
      <c r="T113" s="49" t="s">
        <v>13378</v>
      </c>
    </row>
    <row r="114" spans="1:21" x14ac:dyDescent="0.2">
      <c r="A114" s="49" t="s">
        <v>30</v>
      </c>
      <c r="D114" s="49" t="s">
        <v>455</v>
      </c>
      <c r="G114" s="49" t="s">
        <v>14423</v>
      </c>
      <c r="H114" s="49" t="s">
        <v>456</v>
      </c>
      <c r="I114" s="49" t="s">
        <v>457</v>
      </c>
      <c r="J114" s="49" t="s">
        <v>458</v>
      </c>
      <c r="K114" s="49" t="s">
        <v>459</v>
      </c>
      <c r="L114" s="49" t="s">
        <v>460</v>
      </c>
      <c r="M114" s="49" t="s">
        <v>461</v>
      </c>
      <c r="N114" s="49" t="s">
        <v>462</v>
      </c>
      <c r="O114" s="49" t="s">
        <v>3486</v>
      </c>
      <c r="P114" s="49" t="s">
        <v>3487</v>
      </c>
      <c r="Q114" s="49" t="s">
        <v>3488</v>
      </c>
      <c r="R114" s="49" t="s">
        <v>3489</v>
      </c>
      <c r="S114" s="49" t="s">
        <v>3490</v>
      </c>
      <c r="T114" s="49" t="s">
        <v>3491</v>
      </c>
    </row>
    <row r="115" spans="1:21" x14ac:dyDescent="0.2">
      <c r="A115" s="49" t="s">
        <v>30</v>
      </c>
      <c r="D115" s="49" t="s">
        <v>463</v>
      </c>
      <c r="G115" s="49" t="s">
        <v>14427</v>
      </c>
      <c r="H115" s="49" t="s">
        <v>464</v>
      </c>
      <c r="I115" s="49" t="s">
        <v>465</v>
      </c>
      <c r="J115" s="49" t="s">
        <v>466</v>
      </c>
      <c r="K115" s="49" t="s">
        <v>467</v>
      </c>
      <c r="L115" s="49" t="s">
        <v>468</v>
      </c>
      <c r="M115" s="49" t="s">
        <v>469</v>
      </c>
      <c r="N115" s="49" t="s">
        <v>470</v>
      </c>
      <c r="O115" s="49" t="s">
        <v>3728</v>
      </c>
      <c r="P115" s="49" t="s">
        <v>3729</v>
      </c>
      <c r="Q115" s="49" t="s">
        <v>3730</v>
      </c>
      <c r="R115" s="49" t="s">
        <v>3731</v>
      </c>
      <c r="S115" s="49" t="s">
        <v>3732</v>
      </c>
      <c r="T115" s="49" t="s">
        <v>3733</v>
      </c>
    </row>
    <row r="116" spans="1:21" x14ac:dyDescent="0.2">
      <c r="A116" s="49" t="s">
        <v>30</v>
      </c>
    </row>
    <row r="117" spans="1:21" x14ac:dyDescent="0.2">
      <c r="A117" s="49" t="s">
        <v>30</v>
      </c>
      <c r="E117" s="49" t="s">
        <v>31</v>
      </c>
      <c r="F117" s="49" t="s">
        <v>31</v>
      </c>
      <c r="G117" s="49" t="s">
        <v>31</v>
      </c>
      <c r="J117" s="49" t="s">
        <v>31</v>
      </c>
      <c r="K117" s="49" t="s">
        <v>31</v>
      </c>
      <c r="L117" s="49" t="s">
        <v>31</v>
      </c>
      <c r="M117" s="49" t="s">
        <v>31</v>
      </c>
    </row>
    <row r="118" spans="1:21" x14ac:dyDescent="0.2">
      <c r="A118" s="49" t="s">
        <v>30</v>
      </c>
      <c r="D118" s="49" t="s">
        <v>35989</v>
      </c>
      <c r="E118" s="49" t="s">
        <v>4655</v>
      </c>
      <c r="F118" s="49" t="s">
        <v>35990</v>
      </c>
      <c r="H118" s="49" t="s">
        <v>35991</v>
      </c>
      <c r="O118" s="49" t="s">
        <v>35992</v>
      </c>
      <c r="P118" s="49" t="s">
        <v>35993</v>
      </c>
      <c r="Q118" s="49" t="s">
        <v>35994</v>
      </c>
      <c r="R118" s="49" t="s">
        <v>35995</v>
      </c>
      <c r="S118" s="49" t="s">
        <v>35996</v>
      </c>
      <c r="T118" s="49" t="s">
        <v>35997</v>
      </c>
      <c r="U118" s="49" t="s">
        <v>35998</v>
      </c>
    </row>
    <row r="119" spans="1:21" x14ac:dyDescent="0.2">
      <c r="A119" s="49" t="s">
        <v>30</v>
      </c>
      <c r="D119" s="49" t="s">
        <v>471</v>
      </c>
      <c r="G119" s="49" t="s">
        <v>35999</v>
      </c>
      <c r="H119" s="49" t="s">
        <v>472</v>
      </c>
      <c r="I119" s="49" t="s">
        <v>473</v>
      </c>
      <c r="J119" s="49" t="s">
        <v>474</v>
      </c>
      <c r="K119" s="49" t="s">
        <v>475</v>
      </c>
      <c r="L119" s="49" t="s">
        <v>476</v>
      </c>
      <c r="M119" s="49" t="s">
        <v>477</v>
      </c>
      <c r="N119" s="49" t="s">
        <v>478</v>
      </c>
      <c r="O119" s="49" t="s">
        <v>4335</v>
      </c>
      <c r="P119" s="49" t="s">
        <v>4336</v>
      </c>
      <c r="Q119" s="49" t="s">
        <v>4337</v>
      </c>
      <c r="R119" s="49" t="s">
        <v>4338</v>
      </c>
      <c r="S119" s="49" t="s">
        <v>4339</v>
      </c>
      <c r="T119" s="49" t="s">
        <v>4340</v>
      </c>
    </row>
    <row r="120" spans="1:21" x14ac:dyDescent="0.2">
      <c r="A120" s="49" t="s">
        <v>30</v>
      </c>
      <c r="D120" s="49" t="s">
        <v>479</v>
      </c>
      <c r="G120" s="49" t="s">
        <v>14452</v>
      </c>
      <c r="H120" s="49" t="s">
        <v>480</v>
      </c>
      <c r="I120" s="49" t="s">
        <v>481</v>
      </c>
      <c r="J120" s="49" t="s">
        <v>482</v>
      </c>
      <c r="K120" s="49" t="s">
        <v>483</v>
      </c>
      <c r="L120" s="49" t="s">
        <v>484</v>
      </c>
      <c r="M120" s="49" t="s">
        <v>485</v>
      </c>
      <c r="N120" s="49" t="s">
        <v>486</v>
      </c>
      <c r="O120" s="49" t="s">
        <v>3741</v>
      </c>
      <c r="P120" s="49" t="s">
        <v>3742</v>
      </c>
      <c r="Q120" s="49" t="s">
        <v>3743</v>
      </c>
      <c r="R120" s="49" t="s">
        <v>3744</v>
      </c>
      <c r="S120" s="49" t="s">
        <v>3745</v>
      </c>
      <c r="T120" s="49" t="s">
        <v>3746</v>
      </c>
    </row>
    <row r="121" spans="1:21" x14ac:dyDescent="0.2">
      <c r="A121" s="49" t="s">
        <v>30</v>
      </c>
      <c r="D121" s="49" t="s">
        <v>487</v>
      </c>
      <c r="G121" s="49" t="s">
        <v>14460</v>
      </c>
      <c r="H121" s="49" t="s">
        <v>488</v>
      </c>
      <c r="I121" s="49" t="s">
        <v>489</v>
      </c>
      <c r="J121" s="49" t="s">
        <v>490</v>
      </c>
      <c r="K121" s="49" t="s">
        <v>491</v>
      </c>
      <c r="L121" s="49" t="s">
        <v>492</v>
      </c>
      <c r="M121" s="49" t="s">
        <v>493</v>
      </c>
      <c r="N121" s="49" t="s">
        <v>494</v>
      </c>
      <c r="O121" s="49" t="s">
        <v>3747</v>
      </c>
      <c r="P121" s="49" t="s">
        <v>3748</v>
      </c>
      <c r="Q121" s="49" t="s">
        <v>3749</v>
      </c>
      <c r="R121" s="49" t="s">
        <v>3750</v>
      </c>
      <c r="S121" s="49" t="s">
        <v>3751</v>
      </c>
      <c r="T121" s="49" t="s">
        <v>3752</v>
      </c>
    </row>
    <row r="122" spans="1:21" x14ac:dyDescent="0.2">
      <c r="A122" s="49" t="s">
        <v>30</v>
      </c>
      <c r="D122" s="49" t="s">
        <v>495</v>
      </c>
      <c r="G122" s="49" t="s">
        <v>14462</v>
      </c>
      <c r="H122" s="49" t="s">
        <v>496</v>
      </c>
      <c r="I122" s="49" t="s">
        <v>497</v>
      </c>
      <c r="J122" s="49" t="s">
        <v>498</v>
      </c>
      <c r="K122" s="49" t="s">
        <v>499</v>
      </c>
      <c r="L122" s="49" t="s">
        <v>500</v>
      </c>
      <c r="M122" s="49" t="s">
        <v>501</v>
      </c>
      <c r="N122" s="49" t="s">
        <v>502</v>
      </c>
      <c r="O122" s="49" t="s">
        <v>3492</v>
      </c>
      <c r="P122" s="49" t="s">
        <v>3493</v>
      </c>
      <c r="Q122" s="49" t="s">
        <v>3494</v>
      </c>
      <c r="R122" s="49" t="s">
        <v>3495</v>
      </c>
      <c r="S122" s="49" t="s">
        <v>3496</v>
      </c>
      <c r="T122" s="49" t="s">
        <v>3497</v>
      </c>
    </row>
    <row r="123" spans="1:21" x14ac:dyDescent="0.2">
      <c r="A123" s="49" t="s">
        <v>30</v>
      </c>
      <c r="D123" s="49" t="s">
        <v>503</v>
      </c>
      <c r="G123" s="49" t="s">
        <v>14464</v>
      </c>
      <c r="H123" s="49" t="s">
        <v>504</v>
      </c>
      <c r="I123" s="49" t="s">
        <v>505</v>
      </c>
      <c r="J123" s="49" t="s">
        <v>506</v>
      </c>
      <c r="K123" s="49" t="s">
        <v>507</v>
      </c>
      <c r="L123" s="49" t="s">
        <v>508</v>
      </c>
      <c r="M123" s="49" t="s">
        <v>509</v>
      </c>
      <c r="N123" s="49" t="s">
        <v>510</v>
      </c>
      <c r="O123" s="49" t="s">
        <v>4360</v>
      </c>
      <c r="P123" s="49" t="s">
        <v>4361</v>
      </c>
      <c r="Q123" s="49" t="s">
        <v>4362</v>
      </c>
      <c r="R123" s="49" t="s">
        <v>4363</v>
      </c>
      <c r="S123" s="49" t="s">
        <v>4364</v>
      </c>
      <c r="T123" s="49" t="s">
        <v>4365</v>
      </c>
    </row>
    <row r="124" spans="1:21" x14ac:dyDescent="0.2">
      <c r="A124" s="49" t="s">
        <v>30</v>
      </c>
      <c r="D124" s="49" t="s">
        <v>511</v>
      </c>
      <c r="G124" s="49" t="s">
        <v>14468</v>
      </c>
      <c r="H124" s="49" t="s">
        <v>512</v>
      </c>
      <c r="I124" s="49" t="s">
        <v>513</v>
      </c>
      <c r="J124" s="49" t="s">
        <v>514</v>
      </c>
      <c r="K124" s="49" t="s">
        <v>515</v>
      </c>
      <c r="L124" s="49" t="s">
        <v>516</v>
      </c>
      <c r="M124" s="49" t="s">
        <v>517</v>
      </c>
      <c r="N124" s="49" t="s">
        <v>518</v>
      </c>
      <c r="O124" s="49" t="s">
        <v>4018</v>
      </c>
      <c r="P124" s="49" t="s">
        <v>4019</v>
      </c>
      <c r="Q124" s="49" t="s">
        <v>4020</v>
      </c>
      <c r="R124" s="49" t="s">
        <v>4021</v>
      </c>
      <c r="S124" s="49" t="s">
        <v>4022</v>
      </c>
      <c r="T124" s="49" t="s">
        <v>4023</v>
      </c>
    </row>
    <row r="125" spans="1:21" x14ac:dyDescent="0.2">
      <c r="A125" s="49" t="s">
        <v>30</v>
      </c>
    </row>
    <row r="126" spans="1:21" x14ac:dyDescent="0.2">
      <c r="A126" s="49" t="s">
        <v>30</v>
      </c>
      <c r="E126" s="49" t="s">
        <v>31</v>
      </c>
      <c r="F126" s="49" t="s">
        <v>31</v>
      </c>
      <c r="G126" s="49" t="s">
        <v>31</v>
      </c>
      <c r="J126" s="49" t="s">
        <v>31</v>
      </c>
      <c r="K126" s="49" t="s">
        <v>31</v>
      </c>
      <c r="L126" s="49" t="s">
        <v>31</v>
      </c>
      <c r="M126" s="49" t="s">
        <v>31</v>
      </c>
    </row>
    <row r="127" spans="1:21" x14ac:dyDescent="0.2">
      <c r="A127" s="49" t="s">
        <v>30</v>
      </c>
      <c r="D127" s="49" t="s">
        <v>2788</v>
      </c>
      <c r="E127" s="49" t="s">
        <v>4675</v>
      </c>
      <c r="F127" s="49" t="s">
        <v>2789</v>
      </c>
      <c r="H127" s="49" t="s">
        <v>2790</v>
      </c>
      <c r="O127" s="49" t="s">
        <v>36000</v>
      </c>
      <c r="P127" s="49" t="s">
        <v>36001</v>
      </c>
      <c r="Q127" s="49" t="s">
        <v>36002</v>
      </c>
      <c r="R127" s="49" t="s">
        <v>36003</v>
      </c>
      <c r="S127" s="49" t="s">
        <v>36004</v>
      </c>
      <c r="T127" s="49" t="s">
        <v>36005</v>
      </c>
      <c r="U127" s="49" t="s">
        <v>36006</v>
      </c>
    </row>
    <row r="128" spans="1:21" x14ac:dyDescent="0.2">
      <c r="A128" s="49" t="s">
        <v>30</v>
      </c>
      <c r="D128" s="49" t="s">
        <v>1961</v>
      </c>
      <c r="G128" s="49" t="s">
        <v>4372</v>
      </c>
      <c r="H128" s="49" t="s">
        <v>1962</v>
      </c>
      <c r="I128" s="49" t="s">
        <v>1963</v>
      </c>
      <c r="J128" s="49" t="s">
        <v>1964</v>
      </c>
      <c r="K128" s="49" t="s">
        <v>1965</v>
      </c>
      <c r="L128" s="49" t="s">
        <v>1966</v>
      </c>
      <c r="M128" s="49" t="s">
        <v>1967</v>
      </c>
      <c r="N128" s="49" t="s">
        <v>1968</v>
      </c>
      <c r="O128" s="49" t="s">
        <v>3759</v>
      </c>
      <c r="P128" s="49" t="s">
        <v>3760</v>
      </c>
      <c r="Q128" s="49" t="s">
        <v>3761</v>
      </c>
      <c r="R128" s="49" t="s">
        <v>3762</v>
      </c>
      <c r="S128" s="49" t="s">
        <v>3763</v>
      </c>
      <c r="T128" s="49" t="s">
        <v>3764</v>
      </c>
    </row>
    <row r="129" spans="1:21" x14ac:dyDescent="0.2">
      <c r="A129" s="49" t="s">
        <v>30</v>
      </c>
      <c r="D129" s="49" t="s">
        <v>527</v>
      </c>
      <c r="G129" s="49" t="s">
        <v>14488</v>
      </c>
      <c r="H129" s="49" t="s">
        <v>528</v>
      </c>
      <c r="I129" s="49" t="s">
        <v>529</v>
      </c>
      <c r="J129" s="49" t="s">
        <v>530</v>
      </c>
      <c r="K129" s="49" t="s">
        <v>531</v>
      </c>
      <c r="L129" s="49" t="s">
        <v>532</v>
      </c>
      <c r="M129" s="49" t="s">
        <v>533</v>
      </c>
      <c r="N129" s="49" t="s">
        <v>534</v>
      </c>
      <c r="O129" s="49" t="s">
        <v>4373</v>
      </c>
      <c r="P129" s="49" t="s">
        <v>4374</v>
      </c>
      <c r="Q129" s="49" t="s">
        <v>4375</v>
      </c>
      <c r="R129" s="49" t="s">
        <v>4376</v>
      </c>
      <c r="S129" s="49" t="s">
        <v>4377</v>
      </c>
      <c r="T129" s="49" t="s">
        <v>4378</v>
      </c>
    </row>
    <row r="130" spans="1:21" x14ac:dyDescent="0.2">
      <c r="A130" s="49" t="s">
        <v>30</v>
      </c>
      <c r="D130" s="49" t="s">
        <v>535</v>
      </c>
      <c r="G130" s="49" t="s">
        <v>14492</v>
      </c>
      <c r="H130" s="49" t="s">
        <v>536</v>
      </c>
      <c r="I130" s="49" t="s">
        <v>537</v>
      </c>
      <c r="J130" s="49" t="s">
        <v>538</v>
      </c>
      <c r="K130" s="49" t="s">
        <v>539</v>
      </c>
      <c r="L130" s="49" t="s">
        <v>540</v>
      </c>
      <c r="M130" s="49" t="s">
        <v>541</v>
      </c>
      <c r="N130" s="49" t="s">
        <v>542</v>
      </c>
      <c r="O130" s="49" t="s">
        <v>3940</v>
      </c>
      <c r="P130" s="49" t="s">
        <v>3941</v>
      </c>
      <c r="Q130" s="49" t="s">
        <v>3942</v>
      </c>
      <c r="R130" s="49" t="s">
        <v>3943</v>
      </c>
      <c r="S130" s="49" t="s">
        <v>3944</v>
      </c>
      <c r="T130" s="49" t="s">
        <v>3945</v>
      </c>
    </row>
    <row r="131" spans="1:21" x14ac:dyDescent="0.2">
      <c r="A131" s="49" t="s">
        <v>30</v>
      </c>
      <c r="D131" s="49" t="s">
        <v>543</v>
      </c>
      <c r="G131" s="49" t="s">
        <v>14497</v>
      </c>
      <c r="H131" s="49" t="s">
        <v>544</v>
      </c>
      <c r="I131" s="49" t="s">
        <v>545</v>
      </c>
      <c r="J131" s="49" t="s">
        <v>546</v>
      </c>
      <c r="K131" s="49" t="s">
        <v>547</v>
      </c>
      <c r="L131" s="49" t="s">
        <v>548</v>
      </c>
      <c r="M131" s="49" t="s">
        <v>549</v>
      </c>
      <c r="N131" s="49" t="s">
        <v>550</v>
      </c>
      <c r="O131" s="49" t="s">
        <v>3505</v>
      </c>
      <c r="P131" s="49" t="s">
        <v>3506</v>
      </c>
      <c r="Q131" s="49" t="s">
        <v>3507</v>
      </c>
      <c r="R131" s="49" t="s">
        <v>3508</v>
      </c>
      <c r="S131" s="49" t="s">
        <v>3509</v>
      </c>
      <c r="T131" s="49" t="s">
        <v>3510</v>
      </c>
    </row>
    <row r="132" spans="1:21" x14ac:dyDescent="0.2">
      <c r="A132" s="49" t="s">
        <v>30</v>
      </c>
      <c r="D132" s="49" t="s">
        <v>551</v>
      </c>
      <c r="G132" s="49" t="s">
        <v>14498</v>
      </c>
      <c r="H132" s="49" t="s">
        <v>552</v>
      </c>
      <c r="I132" s="49" t="s">
        <v>553</v>
      </c>
      <c r="J132" s="49" t="s">
        <v>554</v>
      </c>
      <c r="K132" s="49" t="s">
        <v>555</v>
      </c>
      <c r="L132" s="49" t="s">
        <v>556</v>
      </c>
      <c r="M132" s="49" t="s">
        <v>557</v>
      </c>
      <c r="N132" s="49" t="s">
        <v>558</v>
      </c>
      <c r="O132" s="49" t="s">
        <v>3511</v>
      </c>
      <c r="P132" s="49" t="s">
        <v>3512</v>
      </c>
      <c r="Q132" s="49" t="s">
        <v>3513</v>
      </c>
      <c r="R132" s="49" t="s">
        <v>3514</v>
      </c>
      <c r="S132" s="49" t="s">
        <v>3515</v>
      </c>
      <c r="T132" s="49" t="s">
        <v>3516</v>
      </c>
    </row>
    <row r="133" spans="1:21" x14ac:dyDescent="0.2">
      <c r="A133" s="49" t="s">
        <v>30</v>
      </c>
      <c r="D133" s="49" t="s">
        <v>1748</v>
      </c>
      <c r="G133" s="49" t="s">
        <v>14499</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c r="D134" s="49" t="s">
        <v>2656</v>
      </c>
      <c r="G134" s="49" t="s">
        <v>14501</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c r="D135" s="49" t="s">
        <v>2664</v>
      </c>
      <c r="G135" s="49" t="s">
        <v>14503</v>
      </c>
      <c r="H135" s="49" t="s">
        <v>2665</v>
      </c>
      <c r="I135" s="49" t="s">
        <v>2666</v>
      </c>
      <c r="J135" s="49" t="s">
        <v>2667</v>
      </c>
      <c r="K135" s="49" t="s">
        <v>2668</v>
      </c>
      <c r="L135" s="49" t="s">
        <v>2669</v>
      </c>
      <c r="M135" s="49" t="s">
        <v>2670</v>
      </c>
      <c r="N135" s="49" t="s">
        <v>2671</v>
      </c>
      <c r="O135" s="49" t="s">
        <v>3777</v>
      </c>
      <c r="P135" s="49" t="s">
        <v>3778</v>
      </c>
      <c r="Q135" s="49" t="s">
        <v>3779</v>
      </c>
      <c r="R135" s="49" t="s">
        <v>3780</v>
      </c>
      <c r="S135" s="49" t="s">
        <v>3781</v>
      </c>
      <c r="T135" s="49" t="s">
        <v>3782</v>
      </c>
    </row>
    <row r="136" spans="1:21" x14ac:dyDescent="0.2">
      <c r="A136" s="49" t="s">
        <v>30</v>
      </c>
      <c r="D136" s="49" t="s">
        <v>559</v>
      </c>
      <c r="G136" s="49" t="s">
        <v>14506</v>
      </c>
      <c r="H136" s="49" t="s">
        <v>560</v>
      </c>
      <c r="I136" s="49" t="s">
        <v>561</v>
      </c>
      <c r="J136" s="49" t="s">
        <v>562</v>
      </c>
      <c r="K136" s="49" t="s">
        <v>563</v>
      </c>
      <c r="L136" s="49" t="s">
        <v>564</v>
      </c>
      <c r="M136" s="49" t="s">
        <v>565</v>
      </c>
      <c r="N136" s="49" t="s">
        <v>566</v>
      </c>
      <c r="O136" s="49" t="s">
        <v>3517</v>
      </c>
      <c r="P136" s="49" t="s">
        <v>3518</v>
      </c>
      <c r="Q136" s="49" t="s">
        <v>3519</v>
      </c>
      <c r="R136" s="49" t="s">
        <v>3520</v>
      </c>
      <c r="S136" s="49" t="s">
        <v>3521</v>
      </c>
      <c r="T136" s="49" t="s">
        <v>3522</v>
      </c>
    </row>
    <row r="137" spans="1:21" x14ac:dyDescent="0.2">
      <c r="A137" s="49" t="s">
        <v>30</v>
      </c>
      <c r="D137" s="49" t="s">
        <v>567</v>
      </c>
      <c r="G137" s="49" t="s">
        <v>14507</v>
      </c>
      <c r="H137" s="49" t="s">
        <v>568</v>
      </c>
      <c r="I137" s="49" t="s">
        <v>569</v>
      </c>
      <c r="J137" s="49" t="s">
        <v>570</v>
      </c>
      <c r="K137" s="49" t="s">
        <v>571</v>
      </c>
      <c r="L137" s="49" t="s">
        <v>572</v>
      </c>
      <c r="M137" s="49" t="s">
        <v>573</v>
      </c>
      <c r="N137" s="49" t="s">
        <v>574</v>
      </c>
      <c r="O137" s="49" t="s">
        <v>8911</v>
      </c>
      <c r="P137" s="49" t="s">
        <v>8912</v>
      </c>
      <c r="Q137" s="49" t="s">
        <v>8913</v>
      </c>
      <c r="R137" s="49" t="s">
        <v>8914</v>
      </c>
      <c r="S137" s="49" t="s">
        <v>8915</v>
      </c>
      <c r="T137" s="49" t="s">
        <v>8916</v>
      </c>
    </row>
    <row r="138" spans="1:21" x14ac:dyDescent="0.2">
      <c r="A138" s="49" t="s">
        <v>30</v>
      </c>
      <c r="D138" s="49" t="s">
        <v>575</v>
      </c>
      <c r="G138" s="49" t="s">
        <v>14508</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row>
    <row r="140" spans="1:21" x14ac:dyDescent="0.2">
      <c r="A140" s="49" t="s">
        <v>30</v>
      </c>
      <c r="E140" s="49" t="s">
        <v>31</v>
      </c>
      <c r="F140" s="49" t="s">
        <v>31</v>
      </c>
      <c r="G140" s="49" t="s">
        <v>31</v>
      </c>
      <c r="J140" s="49" t="s">
        <v>31</v>
      </c>
      <c r="K140" s="49" t="s">
        <v>31</v>
      </c>
      <c r="L140" s="49" t="s">
        <v>31</v>
      </c>
      <c r="M140" s="49" t="s">
        <v>31</v>
      </c>
    </row>
    <row r="141" spans="1:21" x14ac:dyDescent="0.2">
      <c r="A141" s="49" t="s">
        <v>30</v>
      </c>
      <c r="D141" s="49" t="s">
        <v>10648</v>
      </c>
      <c r="E141" s="49" t="s">
        <v>4679</v>
      </c>
      <c r="F141" s="49" t="s">
        <v>10649</v>
      </c>
      <c r="H141" s="49" t="s">
        <v>10650</v>
      </c>
      <c r="O141" s="49" t="s">
        <v>36007</v>
      </c>
      <c r="P141" s="49" t="s">
        <v>36008</v>
      </c>
      <c r="Q141" s="49" t="s">
        <v>36009</v>
      </c>
      <c r="R141" s="49" t="s">
        <v>36010</v>
      </c>
      <c r="S141" s="49" t="s">
        <v>36011</v>
      </c>
      <c r="T141" s="49" t="s">
        <v>36012</v>
      </c>
      <c r="U141" s="49" t="s">
        <v>36013</v>
      </c>
    </row>
    <row r="142" spans="1:21" x14ac:dyDescent="0.2">
      <c r="A142" s="49" t="s">
        <v>30</v>
      </c>
      <c r="D142" s="49" t="s">
        <v>1756</v>
      </c>
      <c r="G142" s="49" t="s">
        <v>10658</v>
      </c>
      <c r="H142" s="49" t="s">
        <v>1757</v>
      </c>
      <c r="I142" s="49" t="s">
        <v>1758</v>
      </c>
      <c r="J142" s="49" t="s">
        <v>1759</v>
      </c>
      <c r="K142" s="49" t="s">
        <v>1760</v>
      </c>
      <c r="L142" s="49" t="s">
        <v>1761</v>
      </c>
      <c r="M142" s="49" t="s">
        <v>1762</v>
      </c>
      <c r="N142" s="49" t="s">
        <v>1763</v>
      </c>
      <c r="O142" s="49" t="s">
        <v>3953</v>
      </c>
      <c r="P142" s="49" t="s">
        <v>3954</v>
      </c>
      <c r="Q142" s="49" t="s">
        <v>3955</v>
      </c>
      <c r="R142" s="49" t="s">
        <v>3956</v>
      </c>
      <c r="S142" s="49" t="s">
        <v>3957</v>
      </c>
      <c r="T142" s="49" t="s">
        <v>3958</v>
      </c>
    </row>
    <row r="143" spans="1:21" x14ac:dyDescent="0.2">
      <c r="A143" s="49" t="s">
        <v>30</v>
      </c>
      <c r="D143" s="49" t="s">
        <v>2355</v>
      </c>
      <c r="G143" s="49" t="s">
        <v>14525</v>
      </c>
      <c r="H143" s="49" t="s">
        <v>2356</v>
      </c>
      <c r="I143" s="49" t="s">
        <v>2357</v>
      </c>
      <c r="J143" s="49" t="s">
        <v>2358</v>
      </c>
      <c r="K143" s="49" t="s">
        <v>2359</v>
      </c>
      <c r="L143" s="49" t="s">
        <v>2360</v>
      </c>
      <c r="M143" s="49" t="s">
        <v>2361</v>
      </c>
      <c r="N143" s="49" t="s">
        <v>2362</v>
      </c>
      <c r="O143" s="49" t="s">
        <v>4470</v>
      </c>
      <c r="P143" s="49" t="s">
        <v>4471</v>
      </c>
      <c r="Q143" s="49" t="s">
        <v>4472</v>
      </c>
      <c r="R143" s="49" t="s">
        <v>4473</v>
      </c>
      <c r="S143" s="49" t="s">
        <v>4474</v>
      </c>
      <c r="T143" s="49" t="s">
        <v>4475</v>
      </c>
    </row>
    <row r="144" spans="1:21" x14ac:dyDescent="0.2">
      <c r="A144" s="49" t="s">
        <v>30</v>
      </c>
      <c r="D144" s="49" t="s">
        <v>599</v>
      </c>
      <c r="G144" s="49" t="s">
        <v>14536</v>
      </c>
      <c r="H144" s="49" t="s">
        <v>600</v>
      </c>
      <c r="I144" s="49" t="s">
        <v>601</v>
      </c>
      <c r="J144" s="49" t="s">
        <v>602</v>
      </c>
      <c r="K144" s="49" t="s">
        <v>603</v>
      </c>
      <c r="L144" s="49" t="s">
        <v>604</v>
      </c>
      <c r="M144" s="49" t="s">
        <v>605</v>
      </c>
      <c r="N144" s="49" t="s">
        <v>606</v>
      </c>
      <c r="O144" s="49" t="s">
        <v>3529</v>
      </c>
      <c r="P144" s="49" t="s">
        <v>3530</v>
      </c>
      <c r="Q144" s="49" t="s">
        <v>3531</v>
      </c>
      <c r="R144" s="49" t="s">
        <v>3532</v>
      </c>
      <c r="S144" s="49" t="s">
        <v>3533</v>
      </c>
      <c r="T144" s="49" t="s">
        <v>3534</v>
      </c>
    </row>
    <row r="145" spans="1:21" x14ac:dyDescent="0.2">
      <c r="A145" s="49" t="s">
        <v>30</v>
      </c>
      <c r="D145" s="49" t="s">
        <v>607</v>
      </c>
      <c r="G145" s="49" t="s">
        <v>14538</v>
      </c>
      <c r="H145" s="49" t="s">
        <v>608</v>
      </c>
      <c r="I145" s="49" t="s">
        <v>609</v>
      </c>
      <c r="J145" s="49" t="s">
        <v>610</v>
      </c>
      <c r="K145" s="49" t="s">
        <v>611</v>
      </c>
      <c r="L145" s="49" t="s">
        <v>612</v>
      </c>
      <c r="M145" s="49" t="s">
        <v>613</v>
      </c>
      <c r="N145" s="49" t="s">
        <v>614</v>
      </c>
      <c r="O145" s="49" t="s">
        <v>9456</v>
      </c>
      <c r="P145" s="49" t="s">
        <v>9457</v>
      </c>
      <c r="Q145" s="49" t="s">
        <v>9458</v>
      </c>
      <c r="R145" s="49" t="s">
        <v>9459</v>
      </c>
      <c r="S145" s="49" t="s">
        <v>9460</v>
      </c>
      <c r="T145" s="49" t="s">
        <v>9461</v>
      </c>
    </row>
    <row r="146" spans="1:21" x14ac:dyDescent="0.2">
      <c r="A146" s="49" t="s">
        <v>30</v>
      </c>
    </row>
    <row r="147" spans="1:21" x14ac:dyDescent="0.2">
      <c r="A147" s="49" t="s">
        <v>30</v>
      </c>
      <c r="E147" s="49" t="s">
        <v>31</v>
      </c>
      <c r="F147" s="49" t="s">
        <v>31</v>
      </c>
      <c r="G147" s="49" t="s">
        <v>31</v>
      </c>
      <c r="J147" s="49" t="s">
        <v>31</v>
      </c>
      <c r="K147" s="49" t="s">
        <v>31</v>
      </c>
      <c r="L147" s="49" t="s">
        <v>31</v>
      </c>
      <c r="M147" s="49" t="s">
        <v>31</v>
      </c>
    </row>
    <row r="148" spans="1:21" x14ac:dyDescent="0.2">
      <c r="A148" s="49" t="s">
        <v>30</v>
      </c>
      <c r="D148" s="49" t="s">
        <v>9462</v>
      </c>
      <c r="E148" s="49" t="s">
        <v>4683</v>
      </c>
      <c r="F148" s="49" t="s">
        <v>9463</v>
      </c>
      <c r="H148" s="49" t="s">
        <v>9464</v>
      </c>
      <c r="O148" s="49" t="s">
        <v>36014</v>
      </c>
      <c r="P148" s="49" t="s">
        <v>36015</v>
      </c>
      <c r="Q148" s="49" t="s">
        <v>36016</v>
      </c>
      <c r="R148" s="49" t="s">
        <v>36017</v>
      </c>
      <c r="S148" s="49" t="s">
        <v>36018</v>
      </c>
      <c r="T148" s="49" t="s">
        <v>36019</v>
      </c>
      <c r="U148" s="49" t="s">
        <v>36020</v>
      </c>
    </row>
    <row r="149" spans="1:21" x14ac:dyDescent="0.2">
      <c r="A149" s="49" t="s">
        <v>30</v>
      </c>
      <c r="D149" s="49" t="s">
        <v>631</v>
      </c>
      <c r="G149" s="49" t="s">
        <v>9465</v>
      </c>
      <c r="H149" s="49" t="s">
        <v>632</v>
      </c>
      <c r="I149" s="49" t="s">
        <v>633</v>
      </c>
      <c r="J149" s="49" t="s">
        <v>634</v>
      </c>
      <c r="K149" s="49" t="s">
        <v>635</v>
      </c>
      <c r="L149" s="49" t="s">
        <v>636</v>
      </c>
      <c r="M149" s="49" t="s">
        <v>637</v>
      </c>
      <c r="N149" s="49" t="s">
        <v>638</v>
      </c>
      <c r="O149" s="49" t="s">
        <v>4476</v>
      </c>
      <c r="P149" s="49" t="s">
        <v>4477</v>
      </c>
      <c r="Q149" s="49" t="s">
        <v>4478</v>
      </c>
      <c r="R149" s="49" t="s">
        <v>4479</v>
      </c>
      <c r="S149" s="49" t="s">
        <v>4480</v>
      </c>
      <c r="T149" s="49" t="s">
        <v>4481</v>
      </c>
    </row>
    <row r="150" spans="1:21" x14ac:dyDescent="0.2">
      <c r="A150" s="49" t="s">
        <v>30</v>
      </c>
      <c r="D150" s="49" t="s">
        <v>639</v>
      </c>
      <c r="G150" s="49" t="s">
        <v>14561</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c r="D151" s="49" t="s">
        <v>647</v>
      </c>
      <c r="G151" s="49" t="s">
        <v>14568</v>
      </c>
      <c r="H151" s="49" t="s">
        <v>648</v>
      </c>
      <c r="I151" s="49" t="s">
        <v>649</v>
      </c>
      <c r="J151" s="49" t="s">
        <v>650</v>
      </c>
      <c r="K151" s="49" t="s">
        <v>651</v>
      </c>
      <c r="L151" s="49" t="s">
        <v>652</v>
      </c>
      <c r="M151" s="49" t="s">
        <v>653</v>
      </c>
      <c r="N151" s="49" t="s">
        <v>654</v>
      </c>
      <c r="O151" s="49" t="s">
        <v>34684</v>
      </c>
      <c r="P151" s="49" t="s">
        <v>34685</v>
      </c>
      <c r="Q151" s="49" t="s">
        <v>34686</v>
      </c>
      <c r="R151" s="49" t="s">
        <v>34687</v>
      </c>
      <c r="S151" s="49" t="s">
        <v>34688</v>
      </c>
      <c r="T151" s="49" t="s">
        <v>34689</v>
      </c>
    </row>
    <row r="152" spans="1:21" x14ac:dyDescent="0.2">
      <c r="A152" s="49" t="s">
        <v>30</v>
      </c>
      <c r="D152" s="49" t="s">
        <v>655</v>
      </c>
      <c r="G152" s="49" t="s">
        <v>14571</v>
      </c>
      <c r="H152" s="49" t="s">
        <v>656</v>
      </c>
      <c r="I152" s="49" t="s">
        <v>657</v>
      </c>
      <c r="J152" s="49" t="s">
        <v>658</v>
      </c>
      <c r="K152" s="49" t="s">
        <v>659</v>
      </c>
      <c r="L152" s="49" t="s">
        <v>660</v>
      </c>
      <c r="M152" s="49" t="s">
        <v>661</v>
      </c>
      <c r="N152" s="49" t="s">
        <v>662</v>
      </c>
      <c r="O152" s="49" t="s">
        <v>32334</v>
      </c>
      <c r="P152" s="49" t="s">
        <v>32335</v>
      </c>
      <c r="Q152" s="49" t="s">
        <v>32336</v>
      </c>
      <c r="R152" s="49" t="s">
        <v>32337</v>
      </c>
      <c r="S152" s="49" t="s">
        <v>32338</v>
      </c>
      <c r="T152" s="49" t="s">
        <v>32339</v>
      </c>
    </row>
    <row r="153" spans="1:21" x14ac:dyDescent="0.2">
      <c r="A153" s="49" t="s">
        <v>30</v>
      </c>
      <c r="D153" s="49" t="s">
        <v>663</v>
      </c>
      <c r="G153" s="49" t="s">
        <v>14573</v>
      </c>
      <c r="H153" s="49" t="s">
        <v>664</v>
      </c>
      <c r="I153" s="49" t="s">
        <v>665</v>
      </c>
      <c r="J153" s="49" t="s">
        <v>666</v>
      </c>
      <c r="K153" s="49" t="s">
        <v>667</v>
      </c>
      <c r="L153" s="49" t="s">
        <v>668</v>
      </c>
      <c r="M153" s="49" t="s">
        <v>669</v>
      </c>
      <c r="N153" s="49" t="s">
        <v>670</v>
      </c>
      <c r="O153" s="49" t="s">
        <v>4482</v>
      </c>
      <c r="P153" s="49" t="s">
        <v>4483</v>
      </c>
      <c r="Q153" s="49" t="s">
        <v>4484</v>
      </c>
      <c r="R153" s="49" t="s">
        <v>4485</v>
      </c>
      <c r="S153" s="49" t="s">
        <v>4486</v>
      </c>
      <c r="T153" s="49" t="s">
        <v>4487</v>
      </c>
    </row>
    <row r="154" spans="1:21" x14ac:dyDescent="0.2">
      <c r="A154" s="49" t="s">
        <v>30</v>
      </c>
      <c r="D154" s="49" t="s">
        <v>671</v>
      </c>
      <c r="G154" s="49" t="s">
        <v>14589</v>
      </c>
      <c r="H154" s="49" t="s">
        <v>672</v>
      </c>
      <c r="I154" s="49" t="s">
        <v>673</v>
      </c>
      <c r="J154" s="49" t="s">
        <v>674</v>
      </c>
      <c r="K154" s="49" t="s">
        <v>675</v>
      </c>
      <c r="L154" s="49" t="s">
        <v>676</v>
      </c>
      <c r="M154" s="49" t="s">
        <v>677</v>
      </c>
      <c r="N154" s="49" t="s">
        <v>678</v>
      </c>
      <c r="O154" s="49" t="s">
        <v>3799</v>
      </c>
      <c r="P154" s="49" t="s">
        <v>3800</v>
      </c>
      <c r="Q154" s="49" t="s">
        <v>3801</v>
      </c>
      <c r="R154" s="49" t="s">
        <v>3802</v>
      </c>
      <c r="S154" s="49" t="s">
        <v>3803</v>
      </c>
      <c r="T154" s="49" t="s">
        <v>3804</v>
      </c>
    </row>
    <row r="155" spans="1:21" x14ac:dyDescent="0.2">
      <c r="A155" s="49" t="s">
        <v>30</v>
      </c>
      <c r="D155" s="49" t="s">
        <v>679</v>
      </c>
      <c r="G155" s="49" t="s">
        <v>14592</v>
      </c>
      <c r="H155" s="49" t="s">
        <v>680</v>
      </c>
      <c r="I155" s="49" t="s">
        <v>681</v>
      </c>
      <c r="J155" s="49" t="s">
        <v>682</v>
      </c>
      <c r="K155" s="49" t="s">
        <v>683</v>
      </c>
      <c r="L155" s="49" t="s">
        <v>684</v>
      </c>
      <c r="M155" s="49" t="s">
        <v>685</v>
      </c>
      <c r="N155" s="49" t="s">
        <v>686</v>
      </c>
      <c r="O155" s="49" t="s">
        <v>3959</v>
      </c>
      <c r="P155" s="49" t="s">
        <v>3960</v>
      </c>
      <c r="Q155" s="49" t="s">
        <v>3961</v>
      </c>
      <c r="R155" s="49" t="s">
        <v>3962</v>
      </c>
      <c r="S155" s="49" t="s">
        <v>3963</v>
      </c>
      <c r="T155" s="49" t="s">
        <v>3964</v>
      </c>
    </row>
    <row r="156" spans="1:21" x14ac:dyDescent="0.2">
      <c r="A156" s="49" t="s">
        <v>30</v>
      </c>
    </row>
    <row r="157" spans="1:21" x14ac:dyDescent="0.2">
      <c r="A157" s="49" t="s">
        <v>30</v>
      </c>
      <c r="E157" s="49" t="s">
        <v>31</v>
      </c>
      <c r="F157" s="49" t="s">
        <v>31</v>
      </c>
      <c r="G157" s="49" t="s">
        <v>31</v>
      </c>
      <c r="J157" s="49" t="s">
        <v>31</v>
      </c>
      <c r="K157" s="49" t="s">
        <v>31</v>
      </c>
      <c r="L157" s="49" t="s">
        <v>31</v>
      </c>
      <c r="M157" s="49" t="s">
        <v>31</v>
      </c>
    </row>
    <row r="158" spans="1:21" x14ac:dyDescent="0.2">
      <c r="A158" s="49" t="s">
        <v>30</v>
      </c>
      <c r="D158" s="49" t="s">
        <v>687</v>
      </c>
      <c r="E158" s="49" t="s">
        <v>4686</v>
      </c>
      <c r="F158" s="49" t="s">
        <v>688</v>
      </c>
      <c r="H158" s="49" t="s">
        <v>689</v>
      </c>
      <c r="O158" s="49" t="s">
        <v>36021</v>
      </c>
      <c r="P158" s="49" t="s">
        <v>36022</v>
      </c>
      <c r="Q158" s="49" t="s">
        <v>36023</v>
      </c>
      <c r="R158" s="49" t="s">
        <v>36024</v>
      </c>
      <c r="S158" s="49" t="s">
        <v>36025</v>
      </c>
      <c r="T158" s="49" t="s">
        <v>36026</v>
      </c>
      <c r="U158" s="49" t="s">
        <v>36027</v>
      </c>
    </row>
    <row r="159" spans="1:21" x14ac:dyDescent="0.2">
      <c r="A159" s="49" t="s">
        <v>30</v>
      </c>
      <c r="D159" s="49" t="s">
        <v>690</v>
      </c>
      <c r="G159" s="49" t="s">
        <v>3965</v>
      </c>
      <c r="H159" s="49" t="s">
        <v>691</v>
      </c>
      <c r="I159" s="49" t="s">
        <v>692</v>
      </c>
      <c r="J159" s="49" t="s">
        <v>693</v>
      </c>
      <c r="K159" s="49" t="s">
        <v>694</v>
      </c>
      <c r="L159" s="49" t="s">
        <v>695</v>
      </c>
      <c r="M159" s="49" t="s">
        <v>696</v>
      </c>
      <c r="N159" s="49" t="s">
        <v>697</v>
      </c>
      <c r="O159" s="49" t="s">
        <v>3805</v>
      </c>
      <c r="P159" s="49" t="s">
        <v>3806</v>
      </c>
      <c r="Q159" s="49" t="s">
        <v>3807</v>
      </c>
      <c r="R159" s="49" t="s">
        <v>3808</v>
      </c>
      <c r="S159" s="49" t="s">
        <v>3809</v>
      </c>
      <c r="T159" s="49" t="s">
        <v>3810</v>
      </c>
    </row>
    <row r="160" spans="1:21" x14ac:dyDescent="0.2">
      <c r="A160" s="49" t="s">
        <v>30</v>
      </c>
      <c r="D160" s="49" t="s">
        <v>698</v>
      </c>
      <c r="G160" s="49" t="s">
        <v>14617</v>
      </c>
      <c r="H160" s="49" t="s">
        <v>699</v>
      </c>
      <c r="I160" s="49" t="s">
        <v>700</v>
      </c>
      <c r="J160" s="49" t="s">
        <v>701</v>
      </c>
      <c r="K160" s="49" t="s">
        <v>702</v>
      </c>
      <c r="L160" s="49" t="s">
        <v>703</v>
      </c>
      <c r="M160" s="49" t="s">
        <v>704</v>
      </c>
      <c r="N160" s="49" t="s">
        <v>705</v>
      </c>
      <c r="O160" s="49" t="s">
        <v>8927</v>
      </c>
      <c r="P160" s="49" t="s">
        <v>8928</v>
      </c>
      <c r="Q160" s="49" t="s">
        <v>8929</v>
      </c>
      <c r="R160" s="49" t="s">
        <v>8930</v>
      </c>
      <c r="S160" s="49" t="s">
        <v>8931</v>
      </c>
      <c r="T160" s="49" t="s">
        <v>8932</v>
      </c>
    </row>
    <row r="161" spans="1:21" x14ac:dyDescent="0.2">
      <c r="A161" s="49" t="s">
        <v>30</v>
      </c>
      <c r="D161" s="49" t="s">
        <v>706</v>
      </c>
      <c r="G161" s="49" t="s">
        <v>14619</v>
      </c>
      <c r="H161" s="49" t="s">
        <v>707</v>
      </c>
      <c r="I161" s="49" t="s">
        <v>708</v>
      </c>
      <c r="J161" s="49" t="s">
        <v>709</v>
      </c>
      <c r="K161" s="49" t="s">
        <v>710</v>
      </c>
      <c r="L161" s="49" t="s">
        <v>711</v>
      </c>
      <c r="M161" s="49" t="s">
        <v>712</v>
      </c>
      <c r="N161" s="49" t="s">
        <v>713</v>
      </c>
      <c r="O161" s="49" t="s">
        <v>3811</v>
      </c>
      <c r="P161" s="49" t="s">
        <v>3812</v>
      </c>
      <c r="Q161" s="49" t="s">
        <v>3813</v>
      </c>
      <c r="R161" s="49" t="s">
        <v>3814</v>
      </c>
      <c r="S161" s="49" t="s">
        <v>3815</v>
      </c>
      <c r="T161" s="49" t="s">
        <v>3816</v>
      </c>
    </row>
    <row r="162" spans="1:21" x14ac:dyDescent="0.2">
      <c r="A162" s="49" t="s">
        <v>30</v>
      </c>
      <c r="D162" s="49" t="s">
        <v>714</v>
      </c>
      <c r="G162" s="49" t="s">
        <v>14625</v>
      </c>
      <c r="H162" s="49" t="s">
        <v>715</v>
      </c>
      <c r="I162" s="49" t="s">
        <v>716</v>
      </c>
      <c r="J162" s="49" t="s">
        <v>717</v>
      </c>
      <c r="K162" s="49" t="s">
        <v>718</v>
      </c>
      <c r="L162" s="49" t="s">
        <v>719</v>
      </c>
      <c r="M162" s="49" t="s">
        <v>720</v>
      </c>
      <c r="N162" s="49" t="s">
        <v>721</v>
      </c>
      <c r="O162" s="49" t="s">
        <v>13100</v>
      </c>
      <c r="P162" s="49" t="s">
        <v>13101</v>
      </c>
      <c r="Q162" s="49" t="s">
        <v>13102</v>
      </c>
      <c r="R162" s="49" t="s">
        <v>13103</v>
      </c>
      <c r="S162" s="49" t="s">
        <v>13104</v>
      </c>
      <c r="T162" s="49" t="s">
        <v>13105</v>
      </c>
    </row>
    <row r="163" spans="1:21" x14ac:dyDescent="0.2">
      <c r="A163" s="49" t="s">
        <v>30</v>
      </c>
      <c r="D163" s="49" t="s">
        <v>722</v>
      </c>
      <c r="G163" s="49" t="s">
        <v>14629</v>
      </c>
      <c r="H163" s="49" t="s">
        <v>723</v>
      </c>
      <c r="I163" s="49" t="s">
        <v>724</v>
      </c>
      <c r="J163" s="49" t="s">
        <v>725</v>
      </c>
      <c r="K163" s="49" t="s">
        <v>726</v>
      </c>
      <c r="L163" s="49" t="s">
        <v>727</v>
      </c>
      <c r="M163" s="49" t="s">
        <v>728</v>
      </c>
      <c r="N163" s="49" t="s">
        <v>729</v>
      </c>
      <c r="O163" s="49" t="s">
        <v>4030</v>
      </c>
      <c r="P163" s="49" t="s">
        <v>4031</v>
      </c>
      <c r="Q163" s="49" t="s">
        <v>4032</v>
      </c>
      <c r="R163" s="49" t="s">
        <v>4033</v>
      </c>
      <c r="S163" s="49" t="s">
        <v>4034</v>
      </c>
      <c r="T163" s="49" t="s">
        <v>4035</v>
      </c>
    </row>
    <row r="164" spans="1:21" x14ac:dyDescent="0.2">
      <c r="A164" s="49" t="s">
        <v>30</v>
      </c>
      <c r="D164" s="49" t="s">
        <v>1993</v>
      </c>
      <c r="G164" s="49" t="s">
        <v>14635</v>
      </c>
      <c r="H164" s="49" t="s">
        <v>1994</v>
      </c>
      <c r="I164" s="49" t="s">
        <v>1995</v>
      </c>
      <c r="J164" s="49" t="s">
        <v>1996</v>
      </c>
      <c r="K164" s="49" t="s">
        <v>1997</v>
      </c>
      <c r="L164" s="49" t="s">
        <v>1998</v>
      </c>
      <c r="M164" s="49" t="s">
        <v>1999</v>
      </c>
      <c r="N164" s="49" t="s">
        <v>2000</v>
      </c>
      <c r="O164" s="49" t="s">
        <v>8933</v>
      </c>
      <c r="P164" s="49" t="s">
        <v>8934</v>
      </c>
      <c r="Q164" s="49" t="s">
        <v>8935</v>
      </c>
      <c r="R164" s="49" t="s">
        <v>8936</v>
      </c>
      <c r="S164" s="49" t="s">
        <v>8937</v>
      </c>
      <c r="T164" s="49" t="s">
        <v>8938</v>
      </c>
    </row>
    <row r="165" spans="1:21" x14ac:dyDescent="0.2">
      <c r="A165" s="49" t="s">
        <v>30</v>
      </c>
      <c r="D165" s="49" t="s">
        <v>2832</v>
      </c>
      <c r="G165" s="49" t="s">
        <v>14637</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c r="D166" s="49" t="s">
        <v>2581</v>
      </c>
      <c r="G166" s="49" t="s">
        <v>14641</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c r="D167" s="49" t="s">
        <v>730</v>
      </c>
      <c r="G167" s="49" t="s">
        <v>14649</v>
      </c>
      <c r="H167" s="49" t="s">
        <v>731</v>
      </c>
      <c r="I167" s="49" t="s">
        <v>732</v>
      </c>
      <c r="J167" s="49" t="s">
        <v>733</v>
      </c>
      <c r="K167" s="49" t="s">
        <v>734</v>
      </c>
      <c r="L167" s="49" t="s">
        <v>735</v>
      </c>
      <c r="M167" s="49" t="s">
        <v>736</v>
      </c>
      <c r="N167" s="49" t="s">
        <v>737</v>
      </c>
      <c r="O167" s="49" t="s">
        <v>4036</v>
      </c>
      <c r="P167" s="49" t="s">
        <v>4037</v>
      </c>
      <c r="Q167" s="49" t="s">
        <v>4038</v>
      </c>
      <c r="R167" s="49" t="s">
        <v>4039</v>
      </c>
      <c r="S167" s="49" t="s">
        <v>4040</v>
      </c>
      <c r="T167" s="49" t="s">
        <v>4041</v>
      </c>
    </row>
    <row r="168" spans="1:21" x14ac:dyDescent="0.2">
      <c r="A168" s="49" t="s">
        <v>30</v>
      </c>
      <c r="D168" s="49" t="s">
        <v>14229</v>
      </c>
      <c r="G168" s="49" t="s">
        <v>14650</v>
      </c>
      <c r="H168" s="49" t="s">
        <v>31856</v>
      </c>
      <c r="I168" s="49" t="s">
        <v>31857</v>
      </c>
      <c r="J168" s="49" t="s">
        <v>31876</v>
      </c>
      <c r="K168" s="49" t="s">
        <v>31877</v>
      </c>
      <c r="L168" s="49" t="s">
        <v>14231</v>
      </c>
      <c r="M168" s="49" t="s">
        <v>14232</v>
      </c>
      <c r="N168" s="49" t="s">
        <v>14233</v>
      </c>
      <c r="O168" s="49" t="s">
        <v>34678</v>
      </c>
      <c r="P168" s="49" t="s">
        <v>34679</v>
      </c>
      <c r="Q168" s="49" t="s">
        <v>34680</v>
      </c>
      <c r="R168" s="49" t="s">
        <v>34681</v>
      </c>
      <c r="S168" s="49" t="s">
        <v>34682</v>
      </c>
      <c r="T168" s="49" t="s">
        <v>34683</v>
      </c>
    </row>
    <row r="169" spans="1:21" x14ac:dyDescent="0.2">
      <c r="A169" s="49" t="s">
        <v>30</v>
      </c>
    </row>
    <row r="170" spans="1:21" x14ac:dyDescent="0.2">
      <c r="A170" s="49" t="s">
        <v>30</v>
      </c>
      <c r="E170" s="49" t="s">
        <v>31</v>
      </c>
      <c r="F170" s="49" t="s">
        <v>31</v>
      </c>
      <c r="G170" s="49" t="s">
        <v>31</v>
      </c>
      <c r="J170" s="49" t="s">
        <v>31</v>
      </c>
      <c r="K170" s="49" t="s">
        <v>31</v>
      </c>
      <c r="L170" s="49" t="s">
        <v>31</v>
      </c>
      <c r="M170" s="49" t="s">
        <v>31</v>
      </c>
    </row>
    <row r="171" spans="1:21" x14ac:dyDescent="0.2">
      <c r="A171" s="49" t="s">
        <v>30</v>
      </c>
      <c r="D171" s="49" t="s">
        <v>36028</v>
      </c>
      <c r="E171" s="49" t="s">
        <v>4752</v>
      </c>
      <c r="F171" s="49" t="s">
        <v>36029</v>
      </c>
      <c r="H171" s="49" t="s">
        <v>36030</v>
      </c>
      <c r="O171" s="49" t="s">
        <v>36031</v>
      </c>
      <c r="P171" s="49" t="s">
        <v>36032</v>
      </c>
      <c r="Q171" s="49" t="s">
        <v>36033</v>
      </c>
      <c r="R171" s="49" t="s">
        <v>36034</v>
      </c>
      <c r="S171" s="49" t="s">
        <v>36035</v>
      </c>
      <c r="T171" s="49" t="s">
        <v>36036</v>
      </c>
      <c r="U171" s="49" t="s">
        <v>36037</v>
      </c>
    </row>
    <row r="172" spans="1:21" x14ac:dyDescent="0.2">
      <c r="A172" s="49" t="s">
        <v>30</v>
      </c>
      <c r="D172" s="49" t="s">
        <v>4634</v>
      </c>
      <c r="G172" s="49" t="s">
        <v>36038</v>
      </c>
      <c r="H172" s="49" t="s">
        <v>4635</v>
      </c>
      <c r="I172" s="49" t="s">
        <v>4636</v>
      </c>
      <c r="J172" s="49" t="s">
        <v>4637</v>
      </c>
      <c r="K172" s="49" t="s">
        <v>4638</v>
      </c>
      <c r="L172" s="49" t="s">
        <v>4639</v>
      </c>
      <c r="M172" s="49" t="s">
        <v>4640</v>
      </c>
      <c r="N172" s="49" t="s">
        <v>4641</v>
      </c>
      <c r="O172" s="49" t="s">
        <v>38147</v>
      </c>
      <c r="P172" s="49" t="s">
        <v>38148</v>
      </c>
      <c r="Q172" s="49" t="s">
        <v>38149</v>
      </c>
      <c r="R172" s="49" t="s">
        <v>38150</v>
      </c>
      <c r="S172" s="49" t="s">
        <v>38151</v>
      </c>
      <c r="T172" s="49" t="s">
        <v>38152</v>
      </c>
    </row>
    <row r="173" spans="1:21" x14ac:dyDescent="0.2">
      <c r="A173" s="49" t="s">
        <v>30</v>
      </c>
      <c r="D173" s="49" t="s">
        <v>2672</v>
      </c>
      <c r="G173" s="49" t="s">
        <v>14686</v>
      </c>
      <c r="H173" s="49" t="s">
        <v>2673</v>
      </c>
      <c r="I173" s="49" t="s">
        <v>2674</v>
      </c>
      <c r="J173" s="49" t="s">
        <v>2675</v>
      </c>
      <c r="K173" s="49" t="s">
        <v>2676</v>
      </c>
      <c r="L173" s="49" t="s">
        <v>2677</v>
      </c>
      <c r="M173" s="49" t="s">
        <v>2678</v>
      </c>
      <c r="N173" s="49" t="s">
        <v>2679</v>
      </c>
      <c r="O173" s="49" t="s">
        <v>4507</v>
      </c>
      <c r="P173" s="49" t="s">
        <v>4508</v>
      </c>
      <c r="Q173" s="49" t="s">
        <v>4509</v>
      </c>
      <c r="R173" s="49" t="s">
        <v>4510</v>
      </c>
      <c r="S173" s="49" t="s">
        <v>4511</v>
      </c>
      <c r="T173" s="49" t="s">
        <v>4512</v>
      </c>
    </row>
    <row r="174" spans="1:21" x14ac:dyDescent="0.2">
      <c r="A174" s="49" t="s">
        <v>30</v>
      </c>
      <c r="D174" s="49" t="s">
        <v>2794</v>
      </c>
      <c r="G174" s="49" t="s">
        <v>14691</v>
      </c>
      <c r="H174" s="49" t="s">
        <v>2795</v>
      </c>
      <c r="I174" s="49" t="s">
        <v>2796</v>
      </c>
      <c r="J174" s="49" t="s">
        <v>2797</v>
      </c>
      <c r="K174" s="49" t="s">
        <v>2798</v>
      </c>
      <c r="L174" s="49" t="s">
        <v>2799</v>
      </c>
      <c r="M174" s="49" t="s">
        <v>2800</v>
      </c>
      <c r="N174" s="49" t="s">
        <v>2801</v>
      </c>
      <c r="O174" s="49" t="s">
        <v>4513</v>
      </c>
      <c r="P174" s="49" t="s">
        <v>4514</v>
      </c>
      <c r="Q174" s="49" t="s">
        <v>4515</v>
      </c>
      <c r="R174" s="49" t="s">
        <v>4516</v>
      </c>
      <c r="S174" s="49" t="s">
        <v>4517</v>
      </c>
      <c r="T174" s="49" t="s">
        <v>4518</v>
      </c>
    </row>
    <row r="175" spans="1:21" x14ac:dyDescent="0.2">
      <c r="A175" s="49" t="s">
        <v>30</v>
      </c>
      <c r="D175" s="49" t="s">
        <v>1764</v>
      </c>
      <c r="G175" s="49" t="s">
        <v>14693</v>
      </c>
      <c r="H175" s="49" t="s">
        <v>1765</v>
      </c>
      <c r="I175" s="49" t="s">
        <v>1766</v>
      </c>
      <c r="J175" s="49" t="s">
        <v>1767</v>
      </c>
      <c r="K175" s="49" t="s">
        <v>1768</v>
      </c>
      <c r="L175" s="49" t="s">
        <v>1769</v>
      </c>
      <c r="M175" s="49" t="s">
        <v>1770</v>
      </c>
      <c r="N175" s="49" t="s">
        <v>1771</v>
      </c>
      <c r="O175" s="49" t="s">
        <v>4042</v>
      </c>
      <c r="P175" s="49" t="s">
        <v>4043</v>
      </c>
      <c r="Q175" s="49" t="s">
        <v>4044</v>
      </c>
      <c r="R175" s="49" t="s">
        <v>4045</v>
      </c>
      <c r="S175" s="49" t="s">
        <v>4046</v>
      </c>
      <c r="T175" s="49" t="s">
        <v>4047</v>
      </c>
    </row>
    <row r="176" spans="1:21" x14ac:dyDescent="0.2">
      <c r="A176" s="49" t="s">
        <v>30</v>
      </c>
    </row>
    <row r="177" spans="1:21" x14ac:dyDescent="0.2">
      <c r="A177" s="49" t="s">
        <v>30</v>
      </c>
      <c r="E177" s="49" t="s">
        <v>31</v>
      </c>
      <c r="F177" s="49" t="s">
        <v>31</v>
      </c>
      <c r="G177" s="49" t="s">
        <v>31</v>
      </c>
      <c r="J177" s="49" t="s">
        <v>31</v>
      </c>
      <c r="K177" s="49" t="s">
        <v>31</v>
      </c>
      <c r="L177" s="49" t="s">
        <v>31</v>
      </c>
      <c r="M177" s="49" t="s">
        <v>31</v>
      </c>
    </row>
    <row r="178" spans="1:21" x14ac:dyDescent="0.2">
      <c r="A178" s="49" t="s">
        <v>30</v>
      </c>
      <c r="D178" s="49" t="s">
        <v>1772</v>
      </c>
      <c r="E178" s="49" t="s">
        <v>4756</v>
      </c>
      <c r="F178" s="49" t="s">
        <v>1773</v>
      </c>
      <c r="H178" s="49" t="s">
        <v>1774</v>
      </c>
      <c r="O178" s="49" t="s">
        <v>36039</v>
      </c>
      <c r="P178" s="49" t="s">
        <v>36040</v>
      </c>
      <c r="Q178" s="49" t="s">
        <v>36041</v>
      </c>
      <c r="R178" s="49" t="s">
        <v>36042</v>
      </c>
      <c r="S178" s="49" t="s">
        <v>36043</v>
      </c>
      <c r="T178" s="49" t="s">
        <v>36044</v>
      </c>
      <c r="U178" s="49" t="s">
        <v>36045</v>
      </c>
    </row>
    <row r="179" spans="1:21" x14ac:dyDescent="0.2">
      <c r="A179" s="49" t="s">
        <v>30</v>
      </c>
      <c r="D179" s="49" t="s">
        <v>778</v>
      </c>
      <c r="G179" s="49" t="s">
        <v>4519</v>
      </c>
      <c r="H179" s="49" t="s">
        <v>779</v>
      </c>
      <c r="I179" s="49" t="s">
        <v>780</v>
      </c>
      <c r="J179" s="49" t="s">
        <v>781</v>
      </c>
      <c r="K179" s="49" t="s">
        <v>782</v>
      </c>
      <c r="L179" s="49" t="s">
        <v>783</v>
      </c>
      <c r="M179" s="49" t="s">
        <v>784</v>
      </c>
      <c r="N179" s="49" t="s">
        <v>785</v>
      </c>
      <c r="O179" s="49" t="s">
        <v>4520</v>
      </c>
      <c r="P179" s="49" t="s">
        <v>4521</v>
      </c>
      <c r="Q179" s="49" t="s">
        <v>4522</v>
      </c>
      <c r="R179" s="49" t="s">
        <v>4523</v>
      </c>
      <c r="S179" s="49" t="s">
        <v>4524</v>
      </c>
      <c r="T179" s="49" t="s">
        <v>4525</v>
      </c>
    </row>
    <row r="180" spans="1:21" x14ac:dyDescent="0.2">
      <c r="A180" s="49" t="s">
        <v>30</v>
      </c>
      <c r="D180" s="49" t="s">
        <v>786</v>
      </c>
      <c r="G180" s="49" t="s">
        <v>14722</v>
      </c>
      <c r="H180" s="49" t="s">
        <v>787</v>
      </c>
      <c r="I180" s="49" t="s">
        <v>788</v>
      </c>
      <c r="J180" s="49" t="s">
        <v>789</v>
      </c>
      <c r="K180" s="49" t="s">
        <v>790</v>
      </c>
      <c r="L180" s="49" t="s">
        <v>791</v>
      </c>
      <c r="M180" s="49" t="s">
        <v>792</v>
      </c>
      <c r="N180" s="49" t="s">
        <v>793</v>
      </c>
      <c r="O180" s="49" t="s">
        <v>10065</v>
      </c>
      <c r="P180" s="49" t="s">
        <v>10066</v>
      </c>
      <c r="Q180" s="49" t="s">
        <v>10067</v>
      </c>
      <c r="R180" s="49" t="s">
        <v>10068</v>
      </c>
      <c r="S180" s="49" t="s">
        <v>10069</v>
      </c>
      <c r="T180" s="49" t="s">
        <v>10070</v>
      </c>
    </row>
    <row r="181" spans="1:21" x14ac:dyDescent="0.2">
      <c r="A181" s="49" t="s">
        <v>30</v>
      </c>
      <c r="D181" s="49" t="s">
        <v>794</v>
      </c>
      <c r="G181" s="49" t="s">
        <v>14727</v>
      </c>
      <c r="H181" s="49" t="s">
        <v>795</v>
      </c>
      <c r="I181" s="49" t="s">
        <v>796</v>
      </c>
      <c r="J181" s="49" t="s">
        <v>797</v>
      </c>
      <c r="K181" s="49" t="s">
        <v>798</v>
      </c>
      <c r="L181" s="49" t="s">
        <v>799</v>
      </c>
      <c r="M181" s="49" t="s">
        <v>800</v>
      </c>
      <c r="N181" s="49" t="s">
        <v>801</v>
      </c>
      <c r="O181" s="49" t="s">
        <v>38141</v>
      </c>
      <c r="P181" s="49" t="s">
        <v>38142</v>
      </c>
      <c r="Q181" s="49" t="s">
        <v>38143</v>
      </c>
      <c r="R181" s="49" t="s">
        <v>38144</v>
      </c>
      <c r="S181" s="49" t="s">
        <v>38145</v>
      </c>
      <c r="T181" s="49" t="s">
        <v>38146</v>
      </c>
    </row>
    <row r="182" spans="1:21" x14ac:dyDescent="0.2">
      <c r="A182" s="49" t="s">
        <v>30</v>
      </c>
      <c r="D182" s="49" t="s">
        <v>802</v>
      </c>
      <c r="G182" s="49" t="s">
        <v>14728</v>
      </c>
      <c r="H182" s="49" t="s">
        <v>803</v>
      </c>
      <c r="I182" s="49" t="s">
        <v>804</v>
      </c>
      <c r="J182" s="49" t="s">
        <v>805</v>
      </c>
      <c r="K182" s="49" t="s">
        <v>806</v>
      </c>
      <c r="L182" s="49" t="s">
        <v>807</v>
      </c>
      <c r="M182" s="49" t="s">
        <v>808</v>
      </c>
      <c r="N182" s="49" t="s">
        <v>809</v>
      </c>
      <c r="O182" s="49" t="s">
        <v>10344</v>
      </c>
      <c r="P182" s="49" t="s">
        <v>10345</v>
      </c>
      <c r="Q182" s="49" t="s">
        <v>10346</v>
      </c>
      <c r="R182" s="49" t="s">
        <v>10347</v>
      </c>
      <c r="S182" s="49" t="s">
        <v>10348</v>
      </c>
      <c r="T182" s="49" t="s">
        <v>10349</v>
      </c>
    </row>
    <row r="183" spans="1:21" x14ac:dyDescent="0.2">
      <c r="A183" s="49" t="s">
        <v>30</v>
      </c>
      <c r="D183" s="49" t="s">
        <v>810</v>
      </c>
      <c r="G183" s="49" t="s">
        <v>14729</v>
      </c>
      <c r="H183" s="49" t="s">
        <v>811</v>
      </c>
      <c r="I183" s="49" t="s">
        <v>812</v>
      </c>
      <c r="J183" s="49" t="s">
        <v>813</v>
      </c>
      <c r="K183" s="49" t="s">
        <v>814</v>
      </c>
      <c r="L183" s="49" t="s">
        <v>815</v>
      </c>
      <c r="M183" s="49" t="s">
        <v>816</v>
      </c>
      <c r="N183" s="49" t="s">
        <v>817</v>
      </c>
      <c r="O183" s="49" t="s">
        <v>4527</v>
      </c>
      <c r="P183" s="49" t="s">
        <v>4528</v>
      </c>
      <c r="Q183" s="49" t="s">
        <v>4529</v>
      </c>
      <c r="R183" s="49" t="s">
        <v>4530</v>
      </c>
      <c r="S183" s="49" t="s">
        <v>4531</v>
      </c>
      <c r="T183" s="49" t="s">
        <v>4532</v>
      </c>
    </row>
    <row r="184" spans="1:21" x14ac:dyDescent="0.2">
      <c r="A184" s="49" t="s">
        <v>30</v>
      </c>
    </row>
    <row r="185" spans="1:21" x14ac:dyDescent="0.2">
      <c r="A185" s="49" t="s">
        <v>30</v>
      </c>
      <c r="E185" s="49" t="s">
        <v>31</v>
      </c>
      <c r="F185" s="49" t="s">
        <v>31</v>
      </c>
      <c r="G185" s="49" t="s">
        <v>31</v>
      </c>
      <c r="J185" s="49" t="s">
        <v>31</v>
      </c>
      <c r="K185" s="49" t="s">
        <v>31</v>
      </c>
      <c r="L185" s="49" t="s">
        <v>31</v>
      </c>
      <c r="M185" s="49" t="s">
        <v>31</v>
      </c>
    </row>
    <row r="186" spans="1:21" x14ac:dyDescent="0.2">
      <c r="A186" s="49" t="s">
        <v>30</v>
      </c>
      <c r="D186" s="49" t="s">
        <v>13142</v>
      </c>
      <c r="E186" s="49" t="s">
        <v>4760</v>
      </c>
      <c r="F186" s="49" t="s">
        <v>13143</v>
      </c>
      <c r="H186" s="49" t="s">
        <v>13144</v>
      </c>
      <c r="O186" s="49" t="s">
        <v>36046</v>
      </c>
      <c r="P186" s="49" t="s">
        <v>36047</v>
      </c>
      <c r="Q186" s="49" t="s">
        <v>36048</v>
      </c>
      <c r="R186" s="49" t="s">
        <v>36049</v>
      </c>
      <c r="S186" s="49" t="s">
        <v>36050</v>
      </c>
      <c r="T186" s="49" t="s">
        <v>36051</v>
      </c>
      <c r="U186" s="49" t="s">
        <v>36052</v>
      </c>
    </row>
    <row r="187" spans="1:21" x14ac:dyDescent="0.2">
      <c r="A187" s="49" t="s">
        <v>30</v>
      </c>
      <c r="D187" s="49" t="s">
        <v>1778</v>
      </c>
      <c r="G187" s="49" t="s">
        <v>13152</v>
      </c>
      <c r="H187" s="49" t="s">
        <v>1779</v>
      </c>
      <c r="I187" s="49" t="s">
        <v>1780</v>
      </c>
      <c r="J187" s="49" t="s">
        <v>1781</v>
      </c>
      <c r="K187" s="49" t="s">
        <v>1782</v>
      </c>
      <c r="L187" s="49" t="s">
        <v>1783</v>
      </c>
      <c r="M187" s="49" t="s">
        <v>1784</v>
      </c>
      <c r="N187" s="49" t="s">
        <v>1785</v>
      </c>
      <c r="O187" s="49" t="s">
        <v>4533</v>
      </c>
      <c r="P187" s="49" t="s">
        <v>4534</v>
      </c>
      <c r="Q187" s="49" t="s">
        <v>4535</v>
      </c>
      <c r="R187" s="49" t="s">
        <v>4536</v>
      </c>
      <c r="S187" s="49" t="s">
        <v>4537</v>
      </c>
      <c r="T187" s="49" t="s">
        <v>4538</v>
      </c>
    </row>
    <row r="188" spans="1:21" x14ac:dyDescent="0.2">
      <c r="A188" s="49" t="s">
        <v>30</v>
      </c>
      <c r="D188" s="49" t="s">
        <v>818</v>
      </c>
      <c r="G188" s="49" t="s">
        <v>14763</v>
      </c>
      <c r="H188" s="49" t="s">
        <v>819</v>
      </c>
      <c r="I188" s="49" t="s">
        <v>820</v>
      </c>
      <c r="J188" s="49" t="s">
        <v>821</v>
      </c>
      <c r="K188" s="49" t="s">
        <v>822</v>
      </c>
      <c r="L188" s="49" t="s">
        <v>823</v>
      </c>
      <c r="M188" s="49" t="s">
        <v>824</v>
      </c>
      <c r="N188" s="49" t="s">
        <v>825</v>
      </c>
      <c r="O188" s="49" t="s">
        <v>10081</v>
      </c>
      <c r="P188" s="49" t="s">
        <v>10082</v>
      </c>
      <c r="Q188" s="49" t="s">
        <v>10083</v>
      </c>
      <c r="R188" s="49" t="s">
        <v>10084</v>
      </c>
      <c r="S188" s="49" t="s">
        <v>10085</v>
      </c>
      <c r="T188" s="49" t="s">
        <v>10086</v>
      </c>
    </row>
    <row r="189" spans="1:21" x14ac:dyDescent="0.2">
      <c r="A189" s="49" t="s">
        <v>30</v>
      </c>
      <c r="D189" s="49" t="s">
        <v>826</v>
      </c>
      <c r="G189" s="49" t="s">
        <v>14773</v>
      </c>
      <c r="H189" s="49" t="s">
        <v>827</v>
      </c>
      <c r="I189" s="49" t="s">
        <v>828</v>
      </c>
      <c r="J189" s="49" t="s">
        <v>829</v>
      </c>
      <c r="K189" s="49" t="s">
        <v>830</v>
      </c>
      <c r="L189" s="49" t="s">
        <v>831</v>
      </c>
      <c r="M189" s="49" t="s">
        <v>832</v>
      </c>
      <c r="N189" s="49" t="s">
        <v>833</v>
      </c>
      <c r="O189" s="49" t="s">
        <v>8949</v>
      </c>
      <c r="P189" s="49" t="s">
        <v>8950</v>
      </c>
      <c r="Q189" s="49" t="s">
        <v>8951</v>
      </c>
      <c r="R189" s="49" t="s">
        <v>8952</v>
      </c>
      <c r="S189" s="49" t="s">
        <v>8953</v>
      </c>
      <c r="T189" s="49" t="s">
        <v>8954</v>
      </c>
    </row>
    <row r="190" spans="1:21" x14ac:dyDescent="0.2">
      <c r="A190" s="49" t="s">
        <v>30</v>
      </c>
      <c r="D190" s="49" t="s">
        <v>834</v>
      </c>
      <c r="G190" s="49" t="s">
        <v>14789</v>
      </c>
      <c r="H190" s="49" t="s">
        <v>835</v>
      </c>
      <c r="I190" s="49" t="s">
        <v>836</v>
      </c>
      <c r="J190" s="49" t="s">
        <v>837</v>
      </c>
      <c r="K190" s="49" t="s">
        <v>838</v>
      </c>
      <c r="L190" s="49" t="s">
        <v>839</v>
      </c>
      <c r="M190" s="49" t="s">
        <v>840</v>
      </c>
      <c r="N190" s="49" t="s">
        <v>841</v>
      </c>
      <c r="O190" s="49" t="s">
        <v>8955</v>
      </c>
      <c r="P190" s="49" t="s">
        <v>8956</v>
      </c>
      <c r="Q190" s="49" t="s">
        <v>8957</v>
      </c>
      <c r="R190" s="49" t="s">
        <v>8958</v>
      </c>
      <c r="S190" s="49" t="s">
        <v>8959</v>
      </c>
      <c r="T190" s="49" t="s">
        <v>8960</v>
      </c>
    </row>
    <row r="191" spans="1:21" x14ac:dyDescent="0.2">
      <c r="A191" s="49" t="s">
        <v>30</v>
      </c>
      <c r="D191" s="49" t="s">
        <v>842</v>
      </c>
      <c r="G191" s="49" t="s">
        <v>14794</v>
      </c>
      <c r="H191" s="49" t="s">
        <v>843</v>
      </c>
      <c r="I191" s="49" t="s">
        <v>844</v>
      </c>
      <c r="J191" s="49" t="s">
        <v>845</v>
      </c>
      <c r="K191" s="49" t="s">
        <v>846</v>
      </c>
      <c r="L191" s="49" t="s">
        <v>847</v>
      </c>
      <c r="M191" s="49" t="s">
        <v>848</v>
      </c>
      <c r="N191" s="49" t="s">
        <v>849</v>
      </c>
      <c r="O191" s="49" t="s">
        <v>4540</v>
      </c>
      <c r="P191" s="49" t="s">
        <v>4541</v>
      </c>
      <c r="Q191" s="49" t="s">
        <v>4542</v>
      </c>
      <c r="R191" s="49" t="s">
        <v>4543</v>
      </c>
      <c r="S191" s="49" t="s">
        <v>4544</v>
      </c>
      <c r="T191" s="49" t="s">
        <v>4545</v>
      </c>
    </row>
    <row r="192" spans="1:21" x14ac:dyDescent="0.2">
      <c r="A192" s="49" t="s">
        <v>30</v>
      </c>
      <c r="D192" s="49" t="s">
        <v>850</v>
      </c>
      <c r="G192" s="49" t="s">
        <v>14798</v>
      </c>
      <c r="H192" s="49" t="s">
        <v>851</v>
      </c>
      <c r="I192" s="49" t="s">
        <v>852</v>
      </c>
      <c r="J192" s="49" t="s">
        <v>853</v>
      </c>
      <c r="K192" s="49" t="s">
        <v>854</v>
      </c>
      <c r="L192" s="49" t="s">
        <v>855</v>
      </c>
      <c r="M192" s="49" t="s">
        <v>856</v>
      </c>
      <c r="N192" s="49" t="s">
        <v>857</v>
      </c>
      <c r="O192" s="49" t="s">
        <v>9488</v>
      </c>
      <c r="P192" s="49" t="s">
        <v>9489</v>
      </c>
      <c r="Q192" s="49" t="s">
        <v>9490</v>
      </c>
      <c r="R192" s="49" t="s">
        <v>9491</v>
      </c>
      <c r="S192" s="49" t="s">
        <v>9492</v>
      </c>
      <c r="T192" s="49" t="s">
        <v>9493</v>
      </c>
    </row>
    <row r="193" spans="1:21" x14ac:dyDescent="0.2">
      <c r="A193" s="49" t="s">
        <v>30</v>
      </c>
    </row>
    <row r="194" spans="1:21" x14ac:dyDescent="0.2">
      <c r="A194" s="49" t="s">
        <v>30</v>
      </c>
      <c r="E194" s="49" t="s">
        <v>31</v>
      </c>
      <c r="F194" s="49" t="s">
        <v>31</v>
      </c>
      <c r="G194" s="49" t="s">
        <v>31</v>
      </c>
      <c r="J194" s="49" t="s">
        <v>31</v>
      </c>
      <c r="K194" s="49" t="s">
        <v>31</v>
      </c>
      <c r="L194" s="49" t="s">
        <v>31</v>
      </c>
      <c r="M194" s="49" t="s">
        <v>31</v>
      </c>
    </row>
    <row r="195" spans="1:21" x14ac:dyDescent="0.2">
      <c r="A195" s="49" t="s">
        <v>30</v>
      </c>
      <c r="D195" s="49" t="s">
        <v>10358</v>
      </c>
      <c r="E195" s="49" t="s">
        <v>4805</v>
      </c>
      <c r="F195" s="49" t="s">
        <v>10359</v>
      </c>
      <c r="H195" s="49" t="s">
        <v>10360</v>
      </c>
      <c r="O195" s="49" t="s">
        <v>36053</v>
      </c>
      <c r="P195" s="49" t="s">
        <v>36054</v>
      </c>
      <c r="Q195" s="49" t="s">
        <v>36055</v>
      </c>
      <c r="R195" s="49" t="s">
        <v>36056</v>
      </c>
      <c r="S195" s="49" t="s">
        <v>36057</v>
      </c>
      <c r="T195" s="49" t="s">
        <v>36058</v>
      </c>
      <c r="U195" s="49" t="s">
        <v>36059</v>
      </c>
    </row>
    <row r="196" spans="1:21" x14ac:dyDescent="0.2">
      <c r="A196" s="49" t="s">
        <v>30</v>
      </c>
      <c r="D196" s="49" t="s">
        <v>858</v>
      </c>
      <c r="G196" s="49" t="s">
        <v>10361</v>
      </c>
      <c r="H196" s="49" t="s">
        <v>859</v>
      </c>
      <c r="I196" s="49" t="s">
        <v>860</v>
      </c>
      <c r="J196" s="49" t="s">
        <v>861</v>
      </c>
      <c r="K196" s="49" t="s">
        <v>862</v>
      </c>
      <c r="L196" s="49" t="s">
        <v>863</v>
      </c>
      <c r="M196" s="49" t="s">
        <v>864</v>
      </c>
      <c r="N196" s="49" t="s">
        <v>865</v>
      </c>
      <c r="O196" s="49" t="s">
        <v>10362</v>
      </c>
      <c r="P196" s="49" t="s">
        <v>10363</v>
      </c>
      <c r="Q196" s="49" t="s">
        <v>10364</v>
      </c>
      <c r="R196" s="49" t="s">
        <v>10365</v>
      </c>
      <c r="S196" s="49" t="s">
        <v>10366</v>
      </c>
      <c r="T196" s="49" t="s">
        <v>10367</v>
      </c>
    </row>
    <row r="197" spans="1:21" x14ac:dyDescent="0.2">
      <c r="A197" s="49" t="s">
        <v>30</v>
      </c>
      <c r="D197" s="49" t="s">
        <v>866</v>
      </c>
      <c r="G197" s="49" t="s">
        <v>14843</v>
      </c>
      <c r="H197" s="49" t="s">
        <v>867</v>
      </c>
      <c r="I197" s="49" t="s">
        <v>868</v>
      </c>
      <c r="J197" s="49" t="s">
        <v>869</v>
      </c>
      <c r="K197" s="49" t="s">
        <v>870</v>
      </c>
      <c r="L197" s="49" t="s">
        <v>871</v>
      </c>
      <c r="M197" s="49" t="s">
        <v>872</v>
      </c>
      <c r="N197" s="49" t="s">
        <v>873</v>
      </c>
      <c r="O197" s="49" t="s">
        <v>9500</v>
      </c>
      <c r="P197" s="49" t="s">
        <v>9501</v>
      </c>
      <c r="Q197" s="49" t="s">
        <v>9502</v>
      </c>
      <c r="R197" s="49" t="s">
        <v>9503</v>
      </c>
      <c r="S197" s="49" t="s">
        <v>9504</v>
      </c>
      <c r="T197" s="49" t="s">
        <v>9505</v>
      </c>
    </row>
    <row r="198" spans="1:21" x14ac:dyDescent="0.2">
      <c r="A198" s="49" t="s">
        <v>30</v>
      </c>
      <c r="D198" s="49" t="s">
        <v>874</v>
      </c>
      <c r="G198" s="49" t="s">
        <v>14858</v>
      </c>
      <c r="H198" s="49" t="s">
        <v>875</v>
      </c>
      <c r="I198" s="49" t="s">
        <v>876</v>
      </c>
      <c r="J198" s="49" t="s">
        <v>877</v>
      </c>
      <c r="K198" s="49" t="s">
        <v>878</v>
      </c>
      <c r="L198" s="49" t="s">
        <v>879</v>
      </c>
      <c r="M198" s="49" t="s">
        <v>880</v>
      </c>
      <c r="N198" s="49" t="s">
        <v>881</v>
      </c>
      <c r="O198" s="49" t="s">
        <v>8971</v>
      </c>
      <c r="P198" s="49" t="s">
        <v>8972</v>
      </c>
      <c r="Q198" s="49" t="s">
        <v>8973</v>
      </c>
      <c r="R198" s="49" t="s">
        <v>8974</v>
      </c>
      <c r="S198" s="49" t="s">
        <v>8975</v>
      </c>
      <c r="T198" s="49" t="s">
        <v>8976</v>
      </c>
    </row>
    <row r="199" spans="1:21" x14ac:dyDescent="0.2">
      <c r="A199" s="49" t="s">
        <v>30</v>
      </c>
    </row>
    <row r="200" spans="1:21" x14ac:dyDescent="0.2">
      <c r="A200" s="49" t="s">
        <v>30</v>
      </c>
      <c r="E200" s="49" t="s">
        <v>31</v>
      </c>
      <c r="F200" s="49" t="s">
        <v>31</v>
      </c>
      <c r="G200" s="49" t="s">
        <v>31</v>
      </c>
      <c r="J200" s="49" t="s">
        <v>31</v>
      </c>
      <c r="K200" s="49" t="s">
        <v>31</v>
      </c>
      <c r="L200" s="49" t="s">
        <v>31</v>
      </c>
      <c r="M200" s="49" t="s">
        <v>31</v>
      </c>
    </row>
    <row r="201" spans="1:21" x14ac:dyDescent="0.2">
      <c r="A201" s="49" t="s">
        <v>30</v>
      </c>
      <c r="D201" s="49" t="s">
        <v>8977</v>
      </c>
      <c r="E201" s="49" t="s">
        <v>4837</v>
      </c>
      <c r="F201" s="49" t="s">
        <v>8978</v>
      </c>
      <c r="H201" s="49" t="s">
        <v>8979</v>
      </c>
      <c r="O201" s="49" t="s">
        <v>36060</v>
      </c>
      <c r="P201" s="49" t="s">
        <v>36061</v>
      </c>
      <c r="Q201" s="49" t="s">
        <v>36062</v>
      </c>
      <c r="R201" s="49" t="s">
        <v>36063</v>
      </c>
      <c r="S201" s="49" t="s">
        <v>36064</v>
      </c>
      <c r="T201" s="49" t="s">
        <v>36065</v>
      </c>
      <c r="U201" s="49" t="s">
        <v>36066</v>
      </c>
    </row>
    <row r="202" spans="1:21" x14ac:dyDescent="0.2">
      <c r="A202" s="49" t="s">
        <v>30</v>
      </c>
      <c r="D202" s="49" t="s">
        <v>882</v>
      </c>
      <c r="G202" s="49" t="s">
        <v>8980</v>
      </c>
      <c r="H202" s="49" t="s">
        <v>883</v>
      </c>
      <c r="I202" s="49" t="s">
        <v>884</v>
      </c>
      <c r="J202" s="49" t="s">
        <v>885</v>
      </c>
      <c r="K202" s="49" t="s">
        <v>886</v>
      </c>
      <c r="L202" s="49" t="s">
        <v>887</v>
      </c>
      <c r="M202" s="49" t="s">
        <v>888</v>
      </c>
      <c r="N202" s="49" t="s">
        <v>889</v>
      </c>
      <c r="O202" s="49" t="s">
        <v>8981</v>
      </c>
      <c r="P202" s="49" t="s">
        <v>8982</v>
      </c>
      <c r="Q202" s="49" t="s">
        <v>8983</v>
      </c>
      <c r="R202" s="49" t="s">
        <v>8984</v>
      </c>
      <c r="S202" s="49" t="s">
        <v>8985</v>
      </c>
      <c r="T202" s="49" t="s">
        <v>8986</v>
      </c>
    </row>
    <row r="203" spans="1:21" x14ac:dyDescent="0.2">
      <c r="A203" s="49" t="s">
        <v>30</v>
      </c>
    </row>
    <row r="204" spans="1:21" x14ac:dyDescent="0.2">
      <c r="A204" s="49" t="s">
        <v>30</v>
      </c>
      <c r="E204" s="49" t="s">
        <v>31</v>
      </c>
      <c r="F204" s="49" t="s">
        <v>31</v>
      </c>
      <c r="G204" s="49" t="s">
        <v>31</v>
      </c>
      <c r="J204" s="49" t="s">
        <v>31</v>
      </c>
      <c r="K204" s="49" t="s">
        <v>31</v>
      </c>
      <c r="L204" s="49" t="s">
        <v>31</v>
      </c>
      <c r="M204" s="49" t="s">
        <v>31</v>
      </c>
    </row>
    <row r="205" spans="1:21" x14ac:dyDescent="0.2">
      <c r="A205" s="49" t="s">
        <v>30</v>
      </c>
      <c r="D205" s="49" t="s">
        <v>10091</v>
      </c>
      <c r="E205" s="49" t="s">
        <v>4841</v>
      </c>
      <c r="F205" s="49" t="s">
        <v>10092</v>
      </c>
      <c r="H205" s="49" t="s">
        <v>10093</v>
      </c>
      <c r="O205" s="49" t="s">
        <v>36067</v>
      </c>
      <c r="P205" s="49" t="s">
        <v>36068</v>
      </c>
      <c r="Q205" s="49" t="s">
        <v>36069</v>
      </c>
      <c r="R205" s="49" t="s">
        <v>36070</v>
      </c>
      <c r="S205" s="49" t="s">
        <v>36071</v>
      </c>
      <c r="T205" s="49" t="s">
        <v>36072</v>
      </c>
      <c r="U205" s="49" t="s">
        <v>36073</v>
      </c>
    </row>
    <row r="206" spans="1:21" x14ac:dyDescent="0.2">
      <c r="A206" s="49" t="s">
        <v>30</v>
      </c>
      <c r="D206" s="49" t="s">
        <v>914</v>
      </c>
      <c r="G206" s="49" t="s">
        <v>10094</v>
      </c>
      <c r="H206" s="49" t="s">
        <v>915</v>
      </c>
      <c r="I206" s="49" t="s">
        <v>916</v>
      </c>
      <c r="J206" s="49" t="s">
        <v>917</v>
      </c>
      <c r="K206" s="49" t="s">
        <v>918</v>
      </c>
      <c r="L206" s="49" t="s">
        <v>919</v>
      </c>
      <c r="M206" s="49" t="s">
        <v>920</v>
      </c>
      <c r="N206" s="49" t="s">
        <v>921</v>
      </c>
      <c r="O206" s="49" t="s">
        <v>10095</v>
      </c>
      <c r="P206" s="49" t="s">
        <v>10096</v>
      </c>
      <c r="Q206" s="49" t="s">
        <v>10097</v>
      </c>
      <c r="R206" s="49" t="s">
        <v>10098</v>
      </c>
      <c r="S206" s="49" t="s">
        <v>10099</v>
      </c>
      <c r="T206" s="49" t="s">
        <v>10100</v>
      </c>
    </row>
    <row r="207" spans="1:21" x14ac:dyDescent="0.2">
      <c r="A207" s="49" t="s">
        <v>30</v>
      </c>
      <c r="D207" s="49" t="s">
        <v>922</v>
      </c>
      <c r="G207" s="49" t="s">
        <v>14912</v>
      </c>
      <c r="H207" s="49" t="s">
        <v>923</v>
      </c>
      <c r="I207" s="49" t="s">
        <v>924</v>
      </c>
      <c r="J207" s="49" t="s">
        <v>925</v>
      </c>
      <c r="K207" s="49" t="s">
        <v>926</v>
      </c>
      <c r="L207" s="49" t="s">
        <v>927</v>
      </c>
      <c r="M207" s="49" t="s">
        <v>928</v>
      </c>
      <c r="N207" s="49" t="s">
        <v>929</v>
      </c>
      <c r="O207" s="49" t="s">
        <v>32440</v>
      </c>
      <c r="P207" s="49" t="s">
        <v>32441</v>
      </c>
      <c r="Q207" s="49" t="s">
        <v>32442</v>
      </c>
      <c r="R207" s="49" t="s">
        <v>32443</v>
      </c>
      <c r="S207" s="49" t="s">
        <v>32444</v>
      </c>
      <c r="T207" s="49" t="s">
        <v>32445</v>
      </c>
    </row>
    <row r="208" spans="1:21" x14ac:dyDescent="0.2">
      <c r="A208" s="49" t="s">
        <v>30</v>
      </c>
      <c r="D208" s="49" t="s">
        <v>930</v>
      </c>
      <c r="G208" s="49" t="s">
        <v>14916</v>
      </c>
      <c r="H208" s="49" t="s">
        <v>931</v>
      </c>
      <c r="I208" s="49" t="s">
        <v>932</v>
      </c>
      <c r="J208" s="49" t="s">
        <v>933</v>
      </c>
      <c r="K208" s="49" t="s">
        <v>934</v>
      </c>
      <c r="L208" s="49" t="s">
        <v>935</v>
      </c>
      <c r="M208" s="49" t="s">
        <v>936</v>
      </c>
      <c r="N208" s="49" t="s">
        <v>937</v>
      </c>
      <c r="O208" s="49" t="s">
        <v>10101</v>
      </c>
      <c r="P208" s="49" t="s">
        <v>10102</v>
      </c>
      <c r="Q208" s="49" t="s">
        <v>10103</v>
      </c>
      <c r="R208" s="49" t="s">
        <v>10104</v>
      </c>
      <c r="S208" s="49" t="s">
        <v>10105</v>
      </c>
      <c r="T208" s="49" t="s">
        <v>10106</v>
      </c>
    </row>
    <row r="209" spans="1:21" x14ac:dyDescent="0.2">
      <c r="A209" s="49" t="s">
        <v>30</v>
      </c>
      <c r="D209" s="49" t="s">
        <v>938</v>
      </c>
      <c r="G209" s="49" t="s">
        <v>14934</v>
      </c>
      <c r="H209" s="49" t="s">
        <v>939</v>
      </c>
      <c r="I209" s="49" t="s">
        <v>940</v>
      </c>
      <c r="J209" s="49" t="s">
        <v>941</v>
      </c>
      <c r="K209" s="49" t="s">
        <v>942</v>
      </c>
      <c r="L209" s="49" t="s">
        <v>943</v>
      </c>
      <c r="M209" s="49" t="s">
        <v>944</v>
      </c>
      <c r="N209" s="49" t="s">
        <v>945</v>
      </c>
      <c r="O209" s="49" t="s">
        <v>35879</v>
      </c>
      <c r="P209" s="49" t="s">
        <v>35880</v>
      </c>
      <c r="Q209" s="49" t="s">
        <v>35881</v>
      </c>
      <c r="R209" s="49" t="s">
        <v>35882</v>
      </c>
      <c r="S209" s="49" t="s">
        <v>35883</v>
      </c>
      <c r="T209" s="49" t="s">
        <v>35884</v>
      </c>
    </row>
    <row r="210" spans="1:21" x14ac:dyDescent="0.2">
      <c r="A210" s="49" t="s">
        <v>30</v>
      </c>
      <c r="D210" s="49" t="s">
        <v>2033</v>
      </c>
      <c r="G210" s="49" t="s">
        <v>14935</v>
      </c>
      <c r="H210" s="49" t="s">
        <v>2034</v>
      </c>
      <c r="I210" s="49" t="s">
        <v>2035</v>
      </c>
      <c r="J210" s="49" t="s">
        <v>2036</v>
      </c>
      <c r="K210" s="49" t="s">
        <v>2037</v>
      </c>
      <c r="L210" s="49" t="s">
        <v>2038</v>
      </c>
      <c r="M210" s="49" t="s">
        <v>2039</v>
      </c>
      <c r="N210" s="49" t="s">
        <v>2040</v>
      </c>
      <c r="O210" s="49" t="s">
        <v>10380</v>
      </c>
      <c r="P210" s="49" t="s">
        <v>10381</v>
      </c>
      <c r="Q210" s="49" t="s">
        <v>10382</v>
      </c>
      <c r="R210" s="49" t="s">
        <v>10383</v>
      </c>
      <c r="S210" s="49" t="s">
        <v>10384</v>
      </c>
      <c r="T210" s="49" t="s">
        <v>10385</v>
      </c>
    </row>
    <row r="211" spans="1:21" x14ac:dyDescent="0.2">
      <c r="A211" s="49" t="s">
        <v>30</v>
      </c>
    </row>
    <row r="212" spans="1:21" x14ac:dyDescent="0.2">
      <c r="A212" s="49" t="s">
        <v>30</v>
      </c>
      <c r="E212" s="49" t="s">
        <v>31</v>
      </c>
      <c r="F212" s="49" t="s">
        <v>31</v>
      </c>
      <c r="G212" s="49" t="s">
        <v>31</v>
      </c>
      <c r="J212" s="49" t="s">
        <v>31</v>
      </c>
      <c r="K212" s="49" t="s">
        <v>31</v>
      </c>
      <c r="L212" s="49" t="s">
        <v>31</v>
      </c>
      <c r="M212" s="49" t="s">
        <v>31</v>
      </c>
    </row>
    <row r="213" spans="1:21" x14ac:dyDescent="0.2">
      <c r="A213" s="49" t="s">
        <v>30</v>
      </c>
      <c r="D213" s="49" t="s">
        <v>10386</v>
      </c>
      <c r="E213" s="49" t="s">
        <v>4844</v>
      </c>
      <c r="F213" s="49" t="s">
        <v>10387</v>
      </c>
      <c r="H213" s="49" t="s">
        <v>10388</v>
      </c>
      <c r="O213" s="49" t="s">
        <v>13178</v>
      </c>
      <c r="P213" s="49" t="s">
        <v>13179</v>
      </c>
      <c r="Q213" s="49" t="s">
        <v>13180</v>
      </c>
      <c r="R213" s="49" t="s">
        <v>13181</v>
      </c>
      <c r="S213" s="49" t="s">
        <v>13182</v>
      </c>
      <c r="T213" s="49" t="s">
        <v>13183</v>
      </c>
      <c r="U213" s="49" t="s">
        <v>13184</v>
      </c>
    </row>
    <row r="214" spans="1:21" x14ac:dyDescent="0.2">
      <c r="A214" s="49" t="s">
        <v>30</v>
      </c>
      <c r="D214" s="49" t="s">
        <v>954</v>
      </c>
      <c r="G214" s="49" t="s">
        <v>10389</v>
      </c>
      <c r="H214" s="49" t="s">
        <v>955</v>
      </c>
      <c r="I214" s="49" t="s">
        <v>956</v>
      </c>
      <c r="J214" s="49" t="s">
        <v>957</v>
      </c>
      <c r="K214" s="49" t="s">
        <v>958</v>
      </c>
      <c r="L214" s="49" t="s">
        <v>959</v>
      </c>
      <c r="M214" s="49" t="s">
        <v>960</v>
      </c>
      <c r="N214" s="49" t="s">
        <v>961</v>
      </c>
      <c r="O214" s="49" t="s">
        <v>10390</v>
      </c>
      <c r="P214" s="49" t="s">
        <v>10391</v>
      </c>
      <c r="Q214" s="49" t="s">
        <v>10392</v>
      </c>
      <c r="R214" s="49" t="s">
        <v>10393</v>
      </c>
      <c r="S214" s="49" t="s">
        <v>10394</v>
      </c>
      <c r="T214" s="49" t="s">
        <v>10395</v>
      </c>
    </row>
    <row r="215" spans="1:21" x14ac:dyDescent="0.2">
      <c r="A215" s="49" t="s">
        <v>30</v>
      </c>
    </row>
    <row r="216" spans="1:21" x14ac:dyDescent="0.2">
      <c r="A216" s="49" t="s">
        <v>30</v>
      </c>
      <c r="E216" s="49" t="s">
        <v>31</v>
      </c>
      <c r="F216" s="49" t="s">
        <v>31</v>
      </c>
      <c r="G216" s="49" t="s">
        <v>31</v>
      </c>
      <c r="J216" s="49" t="s">
        <v>31</v>
      </c>
      <c r="K216" s="49" t="s">
        <v>31</v>
      </c>
      <c r="L216" s="49" t="s">
        <v>31</v>
      </c>
      <c r="M216" s="49" t="s">
        <v>31</v>
      </c>
    </row>
    <row r="217" spans="1:21" x14ac:dyDescent="0.2">
      <c r="A217" s="49" t="s">
        <v>30</v>
      </c>
      <c r="D217" s="49" t="s">
        <v>13185</v>
      </c>
      <c r="E217" s="49" t="s">
        <v>4875</v>
      </c>
      <c r="F217" s="49" t="s">
        <v>13186</v>
      </c>
      <c r="H217" s="49" t="s">
        <v>13187</v>
      </c>
      <c r="O217" s="49" t="s">
        <v>13188</v>
      </c>
      <c r="P217" s="49" t="s">
        <v>13189</v>
      </c>
      <c r="Q217" s="49" t="s">
        <v>13190</v>
      </c>
      <c r="R217" s="49" t="s">
        <v>13191</v>
      </c>
      <c r="S217" s="49" t="s">
        <v>13192</v>
      </c>
      <c r="T217" s="49" t="s">
        <v>13193</v>
      </c>
      <c r="U217" s="49" t="s">
        <v>13194</v>
      </c>
    </row>
    <row r="218" spans="1:21" x14ac:dyDescent="0.2">
      <c r="A218" s="49" t="s">
        <v>30</v>
      </c>
      <c r="D218" s="49" t="s">
        <v>986</v>
      </c>
      <c r="G218" s="49" t="s">
        <v>13195</v>
      </c>
      <c r="H218" s="49" t="s">
        <v>987</v>
      </c>
      <c r="I218" s="49" t="s">
        <v>988</v>
      </c>
      <c r="J218" s="49" t="s">
        <v>989</v>
      </c>
      <c r="K218" s="49" t="s">
        <v>990</v>
      </c>
      <c r="L218" s="49" t="s">
        <v>991</v>
      </c>
      <c r="M218" s="49" t="s">
        <v>992</v>
      </c>
      <c r="N218" s="49" t="s">
        <v>993</v>
      </c>
      <c r="O218" s="49" t="s">
        <v>9525</v>
      </c>
      <c r="P218" s="49" t="s">
        <v>9526</v>
      </c>
      <c r="Q218" s="49" t="s">
        <v>9527</v>
      </c>
      <c r="R218" s="49" t="s">
        <v>9528</v>
      </c>
      <c r="S218" s="49" t="s">
        <v>9529</v>
      </c>
      <c r="T218" s="49" t="s">
        <v>9530</v>
      </c>
    </row>
    <row r="219" spans="1:21" x14ac:dyDescent="0.2">
      <c r="A219" s="49" t="s">
        <v>30</v>
      </c>
    </row>
    <row r="220" spans="1:21" x14ac:dyDescent="0.2">
      <c r="A220" s="49" t="s">
        <v>30</v>
      </c>
      <c r="E220" s="49" t="s">
        <v>31</v>
      </c>
      <c r="F220" s="49" t="s">
        <v>31</v>
      </c>
      <c r="G220" s="49" t="s">
        <v>31</v>
      </c>
      <c r="J220" s="49" t="s">
        <v>31</v>
      </c>
      <c r="K220" s="49" t="s">
        <v>31</v>
      </c>
      <c r="L220" s="49" t="s">
        <v>31</v>
      </c>
      <c r="M220" s="49" t="s">
        <v>31</v>
      </c>
    </row>
    <row r="221" spans="1:21" x14ac:dyDescent="0.2">
      <c r="A221" s="49" t="s">
        <v>30</v>
      </c>
      <c r="D221" s="49" t="s">
        <v>9531</v>
      </c>
      <c r="E221" s="49" t="s">
        <v>4881</v>
      </c>
      <c r="F221" s="49" t="s">
        <v>9532</v>
      </c>
      <c r="H221" s="49" t="s">
        <v>9533</v>
      </c>
      <c r="O221" s="49" t="s">
        <v>13196</v>
      </c>
      <c r="P221" s="49" t="s">
        <v>13197</v>
      </c>
      <c r="Q221" s="49" t="s">
        <v>13198</v>
      </c>
      <c r="R221" s="49" t="s">
        <v>13199</v>
      </c>
      <c r="S221" s="49" t="s">
        <v>13200</v>
      </c>
      <c r="T221" s="49" t="s">
        <v>13201</v>
      </c>
      <c r="U221" s="49" t="s">
        <v>13202</v>
      </c>
    </row>
    <row r="222" spans="1:21" x14ac:dyDescent="0.2">
      <c r="A222" s="49" t="s">
        <v>30</v>
      </c>
      <c r="D222" s="49" t="s">
        <v>9534</v>
      </c>
      <c r="G222" s="49" t="s">
        <v>9535</v>
      </c>
      <c r="H222" s="49" t="s">
        <v>9536</v>
      </c>
      <c r="I222" s="49" t="s">
        <v>9537</v>
      </c>
      <c r="J222" s="49" t="s">
        <v>9538</v>
      </c>
      <c r="K222" s="49" t="s">
        <v>9539</v>
      </c>
      <c r="L222" s="49" t="s">
        <v>9540</v>
      </c>
      <c r="M222" s="49" t="s">
        <v>9541</v>
      </c>
      <c r="N222" s="49" t="s">
        <v>9542</v>
      </c>
      <c r="O222" s="49" t="s">
        <v>9543</v>
      </c>
      <c r="P222" s="49" t="s">
        <v>9544</v>
      </c>
      <c r="Q222" s="49" t="s">
        <v>9545</v>
      </c>
      <c r="R222" s="49" t="s">
        <v>9546</v>
      </c>
      <c r="S222" s="49" t="s">
        <v>9547</v>
      </c>
      <c r="T222" s="49" t="s">
        <v>9548</v>
      </c>
    </row>
    <row r="223" spans="1:21" x14ac:dyDescent="0.2">
      <c r="A223" s="49" t="s">
        <v>30</v>
      </c>
    </row>
    <row r="224" spans="1:21" x14ac:dyDescent="0.2">
      <c r="A224" s="49" t="s">
        <v>30</v>
      </c>
      <c r="E224" s="49" t="s">
        <v>31</v>
      </c>
      <c r="F224" s="49" t="s">
        <v>31</v>
      </c>
      <c r="G224" s="49" t="s">
        <v>31</v>
      </c>
      <c r="J224" s="49" t="s">
        <v>31</v>
      </c>
      <c r="K224" s="49" t="s">
        <v>31</v>
      </c>
      <c r="L224" s="49" t="s">
        <v>31</v>
      </c>
      <c r="M224" s="49" t="s">
        <v>31</v>
      </c>
    </row>
    <row r="225" spans="1:21" x14ac:dyDescent="0.2">
      <c r="A225" s="49" t="s">
        <v>30</v>
      </c>
      <c r="D225" s="49" t="s">
        <v>10781</v>
      </c>
      <c r="E225" s="49" t="s">
        <v>4951</v>
      </c>
      <c r="F225" s="49" t="s">
        <v>10782</v>
      </c>
      <c r="H225" s="49" t="s">
        <v>10783</v>
      </c>
      <c r="O225" s="49" t="s">
        <v>36074</v>
      </c>
      <c r="P225" s="49" t="s">
        <v>36075</v>
      </c>
      <c r="Q225" s="49" t="s">
        <v>36076</v>
      </c>
      <c r="R225" s="49" t="s">
        <v>36077</v>
      </c>
      <c r="S225" s="49" t="s">
        <v>36078</v>
      </c>
      <c r="T225" s="49" t="s">
        <v>36079</v>
      </c>
      <c r="U225" s="49" t="s">
        <v>36080</v>
      </c>
    </row>
    <row r="226" spans="1:21" x14ac:dyDescent="0.2">
      <c r="A226" s="49" t="s">
        <v>30</v>
      </c>
      <c r="D226" s="49" t="s">
        <v>4687</v>
      </c>
      <c r="G226" s="49" t="s">
        <v>13203</v>
      </c>
      <c r="H226" s="49" t="s">
        <v>4688</v>
      </c>
      <c r="I226" s="49" t="s">
        <v>4689</v>
      </c>
      <c r="J226" s="49" t="s">
        <v>4690</v>
      </c>
      <c r="K226" s="49" t="s">
        <v>4691</v>
      </c>
      <c r="L226" s="49" t="s">
        <v>4692</v>
      </c>
      <c r="M226" s="49" t="s">
        <v>4693</v>
      </c>
      <c r="N226" s="49" t="s">
        <v>4694</v>
      </c>
      <c r="O226" s="49" t="s">
        <v>10409</v>
      </c>
      <c r="P226" s="49" t="s">
        <v>10410</v>
      </c>
      <c r="Q226" s="49" t="s">
        <v>10411</v>
      </c>
      <c r="R226" s="49" t="s">
        <v>10412</v>
      </c>
      <c r="S226" s="49" t="s">
        <v>10413</v>
      </c>
      <c r="T226" s="49" t="s">
        <v>10414</v>
      </c>
    </row>
    <row r="227" spans="1:21" x14ac:dyDescent="0.2">
      <c r="A227" s="49" t="s">
        <v>30</v>
      </c>
      <c r="D227" s="49" t="s">
        <v>4701</v>
      </c>
      <c r="G227" s="49" t="s">
        <v>15110</v>
      </c>
      <c r="H227" s="49" t="s">
        <v>4702</v>
      </c>
      <c r="I227" s="49" t="s">
        <v>4703</v>
      </c>
      <c r="J227" s="49" t="s">
        <v>4704</v>
      </c>
      <c r="K227" s="49" t="s">
        <v>4705</v>
      </c>
      <c r="L227" s="49" t="s">
        <v>4706</v>
      </c>
      <c r="M227" s="49" t="s">
        <v>4707</v>
      </c>
      <c r="N227" s="49" t="s">
        <v>4708</v>
      </c>
      <c r="O227" s="49" t="s">
        <v>9559</v>
      </c>
      <c r="P227" s="49" t="s">
        <v>9560</v>
      </c>
      <c r="Q227" s="49" t="s">
        <v>9561</v>
      </c>
      <c r="R227" s="49" t="s">
        <v>9562</v>
      </c>
      <c r="S227" s="49" t="s">
        <v>9563</v>
      </c>
      <c r="T227" s="49" t="s">
        <v>9564</v>
      </c>
    </row>
    <row r="228" spans="1:21" x14ac:dyDescent="0.2">
      <c r="A228" s="49" t="s">
        <v>30</v>
      </c>
      <c r="D228" s="49" t="s">
        <v>4715</v>
      </c>
      <c r="G228" s="49" t="s">
        <v>15113</v>
      </c>
      <c r="H228" s="49" t="s">
        <v>4716</v>
      </c>
      <c r="I228" s="49" t="s">
        <v>4717</v>
      </c>
      <c r="J228" s="49" t="s">
        <v>4718</v>
      </c>
      <c r="K228" s="49" t="s">
        <v>4719</v>
      </c>
      <c r="L228" s="49" t="s">
        <v>4720</v>
      </c>
      <c r="M228" s="49" t="s">
        <v>4721</v>
      </c>
      <c r="N228" s="49" t="s">
        <v>4722</v>
      </c>
      <c r="O228" s="49" t="s">
        <v>32509</v>
      </c>
      <c r="P228" s="49" t="s">
        <v>32510</v>
      </c>
      <c r="Q228" s="49" t="s">
        <v>32511</v>
      </c>
      <c r="R228" s="49" t="s">
        <v>32512</v>
      </c>
      <c r="S228" s="49" t="s">
        <v>32513</v>
      </c>
      <c r="T228" s="49" t="s">
        <v>32514</v>
      </c>
    </row>
    <row r="229" spans="1:21" x14ac:dyDescent="0.2">
      <c r="A229" s="49" t="s">
        <v>30</v>
      </c>
    </row>
    <row r="230" spans="1:21" x14ac:dyDescent="0.2">
      <c r="A230" s="49" t="s">
        <v>30</v>
      </c>
      <c r="E230" s="49" t="s">
        <v>31</v>
      </c>
      <c r="F230" s="49" t="s">
        <v>31</v>
      </c>
      <c r="G230" s="49" t="s">
        <v>31</v>
      </c>
      <c r="J230" s="49" t="s">
        <v>31</v>
      </c>
      <c r="K230" s="49" t="s">
        <v>31</v>
      </c>
      <c r="L230" s="49" t="s">
        <v>31</v>
      </c>
      <c r="M230" s="49" t="s">
        <v>31</v>
      </c>
    </row>
    <row r="231" spans="1:21" x14ac:dyDescent="0.2">
      <c r="A231" s="49" t="s">
        <v>30</v>
      </c>
      <c r="D231" s="49" t="s">
        <v>33271</v>
      </c>
      <c r="E231" s="49" t="s">
        <v>4968</v>
      </c>
      <c r="F231" s="49" t="s">
        <v>33272</v>
      </c>
      <c r="H231" s="49" t="s">
        <v>33273</v>
      </c>
      <c r="O231" s="49" t="s">
        <v>36081</v>
      </c>
      <c r="P231" s="49" t="s">
        <v>36082</v>
      </c>
      <c r="Q231" s="49" t="s">
        <v>36083</v>
      </c>
      <c r="R231" s="49" t="s">
        <v>36084</v>
      </c>
      <c r="S231" s="49" t="s">
        <v>36085</v>
      </c>
      <c r="T231" s="49" t="s">
        <v>36086</v>
      </c>
      <c r="U231" s="49" t="s">
        <v>36087</v>
      </c>
    </row>
    <row r="232" spans="1:21" x14ac:dyDescent="0.2">
      <c r="A232" s="49" t="s">
        <v>30</v>
      </c>
      <c r="D232" s="49" t="s">
        <v>4737</v>
      </c>
      <c r="G232" s="49" t="s">
        <v>33281</v>
      </c>
      <c r="H232" s="49" t="s">
        <v>4738</v>
      </c>
      <c r="I232" s="49" t="s">
        <v>4739</v>
      </c>
      <c r="J232" s="49" t="s">
        <v>4740</v>
      </c>
      <c r="K232" s="49" t="s">
        <v>4741</v>
      </c>
      <c r="L232" s="49" t="s">
        <v>4742</v>
      </c>
      <c r="M232" s="49" t="s">
        <v>4743</v>
      </c>
      <c r="N232" s="49" t="s">
        <v>4744</v>
      </c>
      <c r="O232" s="49" t="s">
        <v>10129</v>
      </c>
      <c r="P232" s="49" t="s">
        <v>10130</v>
      </c>
      <c r="Q232" s="49" t="s">
        <v>10131</v>
      </c>
      <c r="R232" s="49" t="s">
        <v>10132</v>
      </c>
      <c r="S232" s="49" t="s">
        <v>10133</v>
      </c>
      <c r="T232" s="49" t="s">
        <v>10134</v>
      </c>
    </row>
    <row r="233" spans="1:21" x14ac:dyDescent="0.2">
      <c r="A233" s="49" t="s">
        <v>30</v>
      </c>
    </row>
    <row r="234" spans="1:21" x14ac:dyDescent="0.2">
      <c r="A234" s="49" t="s">
        <v>30</v>
      </c>
      <c r="E234" s="49" t="s">
        <v>31</v>
      </c>
      <c r="F234" s="49" t="s">
        <v>31</v>
      </c>
      <c r="G234" s="49" t="s">
        <v>31</v>
      </c>
      <c r="J234" s="49" t="s">
        <v>31</v>
      </c>
      <c r="K234" s="49" t="s">
        <v>31</v>
      </c>
      <c r="L234" s="49" t="s">
        <v>31</v>
      </c>
      <c r="M234" s="49" t="s">
        <v>31</v>
      </c>
    </row>
    <row r="235" spans="1:21" x14ac:dyDescent="0.2">
      <c r="A235" s="49" t="s">
        <v>30</v>
      </c>
      <c r="D235" s="49" t="s">
        <v>4751</v>
      </c>
      <c r="E235" s="49" t="s">
        <v>4969</v>
      </c>
      <c r="F235" s="49" t="s">
        <v>4753</v>
      </c>
      <c r="H235" s="49" t="s">
        <v>4754</v>
      </c>
      <c r="O235" s="49" t="s">
        <v>13204</v>
      </c>
      <c r="P235" s="49" t="s">
        <v>13205</v>
      </c>
      <c r="Q235" s="49" t="s">
        <v>13206</v>
      </c>
      <c r="R235" s="49" t="s">
        <v>13207</v>
      </c>
      <c r="S235" s="49" t="s">
        <v>13208</v>
      </c>
      <c r="T235" s="49" t="s">
        <v>13209</v>
      </c>
      <c r="U235" s="49" t="s">
        <v>13210</v>
      </c>
    </row>
    <row r="236" spans="1:21" x14ac:dyDescent="0.2">
      <c r="A236" s="49" t="s">
        <v>30</v>
      </c>
      <c r="D236" s="49" t="s">
        <v>3124</v>
      </c>
      <c r="G236" s="49" t="s">
        <v>13211</v>
      </c>
      <c r="H236" s="49" t="s">
        <v>3125</v>
      </c>
      <c r="I236" s="49" t="s">
        <v>3126</v>
      </c>
      <c r="J236" s="49" t="s">
        <v>3127</v>
      </c>
      <c r="K236" s="49" t="s">
        <v>3128</v>
      </c>
      <c r="L236" s="49" t="s">
        <v>3129</v>
      </c>
      <c r="M236" s="49" t="s">
        <v>3130</v>
      </c>
      <c r="N236" s="49" t="s">
        <v>3131</v>
      </c>
      <c r="O236" s="49" t="s">
        <v>13212</v>
      </c>
      <c r="P236" s="49" t="s">
        <v>13213</v>
      </c>
      <c r="Q236" s="49" t="s">
        <v>13214</v>
      </c>
      <c r="R236" s="49" t="s">
        <v>13215</v>
      </c>
      <c r="S236" s="49" t="s">
        <v>13216</v>
      </c>
      <c r="T236" s="49" t="s">
        <v>13217</v>
      </c>
    </row>
    <row r="237" spans="1:21" x14ac:dyDescent="0.2">
      <c r="A237" s="49" t="s">
        <v>30</v>
      </c>
      <c r="D237" s="49" t="s">
        <v>2371</v>
      </c>
      <c r="G237" s="49" t="s">
        <v>15178</v>
      </c>
      <c r="H237" s="49" t="s">
        <v>2372</v>
      </c>
      <c r="I237" s="49" t="s">
        <v>2373</v>
      </c>
      <c r="J237" s="49" t="s">
        <v>2374</v>
      </c>
      <c r="K237" s="49" t="s">
        <v>2375</v>
      </c>
      <c r="L237" s="49" t="s">
        <v>2376</v>
      </c>
      <c r="M237" s="49" t="s">
        <v>2377</v>
      </c>
      <c r="N237" s="49" t="s">
        <v>2378</v>
      </c>
      <c r="O237" s="49" t="s">
        <v>9049</v>
      </c>
      <c r="P237" s="49" t="s">
        <v>9050</v>
      </c>
      <c r="Q237" s="49" t="s">
        <v>9051</v>
      </c>
      <c r="R237" s="49" t="s">
        <v>9052</v>
      </c>
      <c r="S237" s="49" t="s">
        <v>9053</v>
      </c>
      <c r="T237" s="49" t="s">
        <v>9054</v>
      </c>
    </row>
    <row r="238" spans="1:21" x14ac:dyDescent="0.2">
      <c r="A238" s="49" t="s">
        <v>30</v>
      </c>
    </row>
    <row r="239" spans="1:21" x14ac:dyDescent="0.2">
      <c r="A239" s="49" t="s">
        <v>30</v>
      </c>
      <c r="E239" s="49" t="s">
        <v>31</v>
      </c>
      <c r="F239" s="49" t="s">
        <v>31</v>
      </c>
      <c r="G239" s="49" t="s">
        <v>31</v>
      </c>
      <c r="J239" s="49" t="s">
        <v>31</v>
      </c>
      <c r="K239" s="49" t="s">
        <v>31</v>
      </c>
      <c r="L239" s="49" t="s">
        <v>31</v>
      </c>
      <c r="M239" s="49" t="s">
        <v>31</v>
      </c>
    </row>
    <row r="240" spans="1:21" x14ac:dyDescent="0.2">
      <c r="A240" s="49" t="s">
        <v>30</v>
      </c>
      <c r="D240" s="49" t="s">
        <v>13218</v>
      </c>
      <c r="E240" s="49" t="s">
        <v>4987</v>
      </c>
      <c r="F240" s="49" t="s">
        <v>13219</v>
      </c>
      <c r="H240" s="49" t="s">
        <v>13220</v>
      </c>
      <c r="O240" s="49" t="s">
        <v>13221</v>
      </c>
      <c r="P240" s="49" t="s">
        <v>13222</v>
      </c>
      <c r="Q240" s="49" t="s">
        <v>13223</v>
      </c>
      <c r="R240" s="49" t="s">
        <v>13224</v>
      </c>
      <c r="S240" s="49" t="s">
        <v>13225</v>
      </c>
      <c r="T240" s="49" t="s">
        <v>13226</v>
      </c>
      <c r="U240" s="49" t="s">
        <v>13227</v>
      </c>
    </row>
    <row r="241" spans="1:21" x14ac:dyDescent="0.2">
      <c r="A241" s="49" t="s">
        <v>30</v>
      </c>
      <c r="D241" s="49" t="s">
        <v>2073</v>
      </c>
      <c r="G241" s="49" t="s">
        <v>13228</v>
      </c>
      <c r="H241" s="49" t="s">
        <v>2074</v>
      </c>
      <c r="I241" s="49" t="s">
        <v>2075</v>
      </c>
      <c r="J241" s="49" t="s">
        <v>2076</v>
      </c>
      <c r="K241" s="49" t="s">
        <v>2077</v>
      </c>
      <c r="L241" s="49" t="s">
        <v>2078</v>
      </c>
      <c r="M241" s="49" t="s">
        <v>2079</v>
      </c>
      <c r="N241" s="49" t="s">
        <v>2080</v>
      </c>
      <c r="O241" s="49" t="s">
        <v>13229</v>
      </c>
      <c r="P241" s="49" t="s">
        <v>13230</v>
      </c>
      <c r="Q241" s="49" t="s">
        <v>13231</v>
      </c>
      <c r="R241" s="49" t="s">
        <v>13232</v>
      </c>
      <c r="S241" s="49" t="s">
        <v>13233</v>
      </c>
      <c r="T241" s="49" t="s">
        <v>13234</v>
      </c>
    </row>
    <row r="242" spans="1:21" x14ac:dyDescent="0.2">
      <c r="A242" s="49" t="s">
        <v>30</v>
      </c>
    </row>
    <row r="243" spans="1:21" x14ac:dyDescent="0.2">
      <c r="A243" s="49" t="s">
        <v>30</v>
      </c>
      <c r="E243" s="49" t="s">
        <v>31</v>
      </c>
      <c r="F243" s="49" t="s">
        <v>31</v>
      </c>
      <c r="G243" s="49" t="s">
        <v>31</v>
      </c>
      <c r="J243" s="49" t="s">
        <v>31</v>
      </c>
      <c r="K243" s="49" t="s">
        <v>31</v>
      </c>
      <c r="L243" s="49" t="s">
        <v>31</v>
      </c>
      <c r="M243" s="49" t="s">
        <v>31</v>
      </c>
    </row>
    <row r="244" spans="1:21" x14ac:dyDescent="0.2">
      <c r="A244" s="49" t="s">
        <v>30</v>
      </c>
      <c r="D244" s="49" t="s">
        <v>13235</v>
      </c>
      <c r="E244" s="49" t="s">
        <v>5040</v>
      </c>
      <c r="F244" s="49" t="s">
        <v>13236</v>
      </c>
      <c r="H244" s="49" t="s">
        <v>13237</v>
      </c>
      <c r="O244" s="49" t="s">
        <v>36088</v>
      </c>
      <c r="P244" s="49" t="s">
        <v>36089</v>
      </c>
      <c r="Q244" s="49" t="s">
        <v>36090</v>
      </c>
      <c r="R244" s="49" t="s">
        <v>36091</v>
      </c>
      <c r="S244" s="49" t="s">
        <v>36092</v>
      </c>
      <c r="T244" s="49" t="s">
        <v>36093</v>
      </c>
      <c r="U244" s="49" t="s">
        <v>36094</v>
      </c>
    </row>
    <row r="245" spans="1:21" x14ac:dyDescent="0.2">
      <c r="A245" s="49" t="s">
        <v>30</v>
      </c>
      <c r="D245" s="49" t="s">
        <v>2081</v>
      </c>
      <c r="G245" s="49" t="s">
        <v>13238</v>
      </c>
      <c r="H245" s="49" t="s">
        <v>2082</v>
      </c>
      <c r="I245" s="49" t="s">
        <v>2083</v>
      </c>
      <c r="J245" s="49" t="s">
        <v>2084</v>
      </c>
      <c r="K245" s="49" t="s">
        <v>2085</v>
      </c>
      <c r="L245" s="49" t="s">
        <v>2086</v>
      </c>
      <c r="M245" s="49" t="s">
        <v>2087</v>
      </c>
      <c r="N245" s="49" t="s">
        <v>2088</v>
      </c>
      <c r="O245" s="49" t="s">
        <v>9600</v>
      </c>
      <c r="P245" s="49" t="s">
        <v>9601</v>
      </c>
      <c r="Q245" s="49" t="s">
        <v>9602</v>
      </c>
      <c r="R245" s="49" t="s">
        <v>9603</v>
      </c>
      <c r="S245" s="49" t="s">
        <v>9604</v>
      </c>
      <c r="T245" s="49" t="s">
        <v>9605</v>
      </c>
    </row>
    <row r="246" spans="1:21" x14ac:dyDescent="0.2">
      <c r="A246" s="49" t="s">
        <v>30</v>
      </c>
    </row>
    <row r="247" spans="1:21" x14ac:dyDescent="0.2">
      <c r="A247" s="49" t="s">
        <v>30</v>
      </c>
      <c r="E247" s="49" t="s">
        <v>31</v>
      </c>
      <c r="F247" s="49" t="s">
        <v>31</v>
      </c>
      <c r="G247" s="49" t="s">
        <v>31</v>
      </c>
      <c r="J247" s="49" t="s">
        <v>31</v>
      </c>
      <c r="K247" s="49" t="s">
        <v>31</v>
      </c>
      <c r="L247" s="49" t="s">
        <v>31</v>
      </c>
      <c r="M247" s="49" t="s">
        <v>31</v>
      </c>
    </row>
    <row r="248" spans="1:21" x14ac:dyDescent="0.2">
      <c r="A248" s="49" t="s">
        <v>30</v>
      </c>
      <c r="D248" s="49" t="s">
        <v>4755</v>
      </c>
      <c r="E248" s="49" t="s">
        <v>5066</v>
      </c>
      <c r="F248" s="49" t="s">
        <v>4757</v>
      </c>
      <c r="H248" s="49" t="s">
        <v>4758</v>
      </c>
      <c r="O248" s="49" t="s">
        <v>36095</v>
      </c>
      <c r="P248" s="49" t="s">
        <v>36096</v>
      </c>
      <c r="Q248" s="49" t="s">
        <v>36097</v>
      </c>
      <c r="R248" s="49" t="s">
        <v>36098</v>
      </c>
      <c r="S248" s="49" t="s">
        <v>36099</v>
      </c>
      <c r="T248" s="49" t="s">
        <v>36100</v>
      </c>
      <c r="U248" s="49" t="s">
        <v>36101</v>
      </c>
    </row>
    <row r="249" spans="1:21" x14ac:dyDescent="0.2">
      <c r="A249" s="49" t="s">
        <v>30</v>
      </c>
      <c r="D249" s="49" t="s">
        <v>2089</v>
      </c>
      <c r="G249" s="49" t="s">
        <v>9613</v>
      </c>
      <c r="H249" s="49" t="s">
        <v>2090</v>
      </c>
      <c r="I249" s="49" t="s">
        <v>2091</v>
      </c>
      <c r="J249" s="49" t="s">
        <v>2092</v>
      </c>
      <c r="K249" s="49" t="s">
        <v>2093</v>
      </c>
      <c r="L249" s="49" t="s">
        <v>2094</v>
      </c>
      <c r="M249" s="49" t="s">
        <v>2095</v>
      </c>
      <c r="N249" s="49" t="s">
        <v>2096</v>
      </c>
      <c r="O249" s="49" t="s">
        <v>9614</v>
      </c>
      <c r="P249" s="49" t="s">
        <v>9615</v>
      </c>
      <c r="Q249" s="49" t="s">
        <v>9616</v>
      </c>
      <c r="R249" s="49" t="s">
        <v>9617</v>
      </c>
      <c r="S249" s="49" t="s">
        <v>9618</v>
      </c>
      <c r="T249" s="49" t="s">
        <v>9619</v>
      </c>
    </row>
    <row r="250" spans="1:21" x14ac:dyDescent="0.2">
      <c r="A250" s="49" t="s">
        <v>30</v>
      </c>
    </row>
    <row r="251" spans="1:21" x14ac:dyDescent="0.2">
      <c r="A251" s="49" t="s">
        <v>30</v>
      </c>
      <c r="E251" s="49" t="s">
        <v>31</v>
      </c>
      <c r="F251" s="49" t="s">
        <v>31</v>
      </c>
      <c r="G251" s="49" t="s">
        <v>31</v>
      </c>
      <c r="J251" s="49" t="s">
        <v>31</v>
      </c>
      <c r="K251" s="49" t="s">
        <v>31</v>
      </c>
      <c r="L251" s="49" t="s">
        <v>31</v>
      </c>
      <c r="M251" s="49" t="s">
        <v>31</v>
      </c>
    </row>
    <row r="252" spans="1:21" x14ac:dyDescent="0.2">
      <c r="A252" s="49" t="s">
        <v>30</v>
      </c>
      <c r="D252" s="49" t="s">
        <v>35004</v>
      </c>
      <c r="E252" s="49" t="s">
        <v>5115</v>
      </c>
      <c r="F252" s="49" t="s">
        <v>35005</v>
      </c>
      <c r="H252" s="49" t="s">
        <v>35006</v>
      </c>
      <c r="O252" s="49" t="s">
        <v>36102</v>
      </c>
      <c r="P252" s="49" t="s">
        <v>36103</v>
      </c>
      <c r="Q252" s="49" t="s">
        <v>36104</v>
      </c>
      <c r="R252" s="49" t="s">
        <v>36105</v>
      </c>
      <c r="S252" s="49" t="s">
        <v>36106</v>
      </c>
      <c r="T252" s="49" t="s">
        <v>36107</v>
      </c>
      <c r="U252" s="49" t="s">
        <v>36108</v>
      </c>
    </row>
    <row r="253" spans="1:21" x14ac:dyDescent="0.2">
      <c r="A253" s="49" t="s">
        <v>30</v>
      </c>
      <c r="D253" s="49" t="s">
        <v>1082</v>
      </c>
      <c r="G253" s="49" t="s">
        <v>35014</v>
      </c>
      <c r="H253" s="49" t="s">
        <v>1083</v>
      </c>
      <c r="I253" s="49" t="s">
        <v>1084</v>
      </c>
      <c r="J253" s="49" t="s">
        <v>1085</v>
      </c>
      <c r="K253" s="49" t="s">
        <v>1086</v>
      </c>
      <c r="L253" s="49" t="s">
        <v>1087</v>
      </c>
      <c r="M253" s="49" t="s">
        <v>1088</v>
      </c>
      <c r="N253" s="49" t="s">
        <v>1089</v>
      </c>
      <c r="O253" s="49" t="s">
        <v>33014</v>
      </c>
      <c r="P253" s="49" t="s">
        <v>33015</v>
      </c>
      <c r="Q253" s="49" t="s">
        <v>33016</v>
      </c>
      <c r="R253" s="49" t="s">
        <v>33017</v>
      </c>
      <c r="S253" s="49" t="s">
        <v>33018</v>
      </c>
      <c r="T253" s="49" t="s">
        <v>33019</v>
      </c>
    </row>
    <row r="254" spans="1:21" x14ac:dyDescent="0.2">
      <c r="A254" s="49" t="s">
        <v>30</v>
      </c>
    </row>
    <row r="255" spans="1:21" x14ac:dyDescent="0.2">
      <c r="A255" s="49" t="s">
        <v>30</v>
      </c>
      <c r="E255" s="49" t="s">
        <v>31</v>
      </c>
      <c r="F255" s="49" t="s">
        <v>31</v>
      </c>
      <c r="G255" s="49" t="s">
        <v>31</v>
      </c>
      <c r="J255" s="49" t="s">
        <v>31</v>
      </c>
      <c r="K255" s="49" t="s">
        <v>31</v>
      </c>
      <c r="L255" s="49" t="s">
        <v>31</v>
      </c>
      <c r="M255" s="49" t="s">
        <v>31</v>
      </c>
    </row>
    <row r="256" spans="1:21" x14ac:dyDescent="0.2">
      <c r="A256" s="49" t="s">
        <v>30</v>
      </c>
      <c r="D256" s="49" t="s">
        <v>36109</v>
      </c>
      <c r="E256" s="49" t="s">
        <v>5130</v>
      </c>
      <c r="F256" s="49" t="s">
        <v>36110</v>
      </c>
      <c r="H256" s="49" t="s">
        <v>36111</v>
      </c>
      <c r="O256" s="49" t="s">
        <v>36112</v>
      </c>
      <c r="P256" s="49" t="s">
        <v>36113</v>
      </c>
      <c r="Q256" s="49" t="s">
        <v>36114</v>
      </c>
      <c r="R256" s="49" t="s">
        <v>36115</v>
      </c>
      <c r="S256" s="49" t="s">
        <v>36116</v>
      </c>
      <c r="T256" s="49" t="s">
        <v>36117</v>
      </c>
      <c r="U256" s="49" t="s">
        <v>36118</v>
      </c>
    </row>
    <row r="257" spans="1:21" x14ac:dyDescent="0.2">
      <c r="A257" s="49" t="s">
        <v>30</v>
      </c>
      <c r="D257" s="49" t="s">
        <v>1090</v>
      </c>
      <c r="G257" s="49" t="s">
        <v>36119</v>
      </c>
      <c r="H257" s="49" t="s">
        <v>1091</v>
      </c>
      <c r="I257" s="49" t="s">
        <v>1092</v>
      </c>
      <c r="J257" s="49" t="s">
        <v>1093</v>
      </c>
      <c r="K257" s="49" t="s">
        <v>1094</v>
      </c>
      <c r="L257" s="49" t="s">
        <v>1095</v>
      </c>
      <c r="M257" s="49" t="s">
        <v>1096</v>
      </c>
      <c r="N257" s="49" t="s">
        <v>1097</v>
      </c>
      <c r="O257" s="49" t="s">
        <v>33318</v>
      </c>
      <c r="P257" s="49" t="s">
        <v>33319</v>
      </c>
      <c r="Q257" s="49" t="s">
        <v>33320</v>
      </c>
      <c r="R257" s="49" t="s">
        <v>33321</v>
      </c>
      <c r="S257" s="49" t="s">
        <v>33322</v>
      </c>
      <c r="T257" s="49" t="s">
        <v>33323</v>
      </c>
    </row>
    <row r="258" spans="1:21" x14ac:dyDescent="0.2">
      <c r="A258" s="49" t="s">
        <v>30</v>
      </c>
    </row>
    <row r="259" spans="1:21" x14ac:dyDescent="0.2">
      <c r="A259" s="49" t="s">
        <v>30</v>
      </c>
      <c r="E259" s="49" t="s">
        <v>31</v>
      </c>
      <c r="F259" s="49" t="s">
        <v>31</v>
      </c>
      <c r="G259" s="49" t="s">
        <v>31</v>
      </c>
      <c r="J259" s="49" t="s">
        <v>31</v>
      </c>
      <c r="K259" s="49" t="s">
        <v>31</v>
      </c>
      <c r="L259" s="49" t="s">
        <v>31</v>
      </c>
      <c r="M259" s="49" t="s">
        <v>31</v>
      </c>
    </row>
    <row r="260" spans="1:21" x14ac:dyDescent="0.2">
      <c r="A260" s="49" t="s">
        <v>30</v>
      </c>
      <c r="D260" s="49" t="s">
        <v>10164</v>
      </c>
      <c r="E260" s="49" t="s">
        <v>5159</v>
      </c>
      <c r="F260" s="49" t="s">
        <v>10165</v>
      </c>
      <c r="H260" s="49" t="s">
        <v>10166</v>
      </c>
      <c r="O260" s="49" t="s">
        <v>33324</v>
      </c>
      <c r="P260" s="49" t="s">
        <v>33325</v>
      </c>
      <c r="Q260" s="49" t="s">
        <v>33326</v>
      </c>
      <c r="R260" s="49" t="s">
        <v>33327</v>
      </c>
      <c r="S260" s="49" t="s">
        <v>33328</v>
      </c>
      <c r="T260" s="49" t="s">
        <v>33329</v>
      </c>
      <c r="U260" s="49" t="s">
        <v>33330</v>
      </c>
    </row>
    <row r="261" spans="1:21" x14ac:dyDescent="0.2">
      <c r="A261" s="49" t="s">
        <v>30</v>
      </c>
      <c r="D261" s="49" t="s">
        <v>2121</v>
      </c>
      <c r="G261" s="49" t="s">
        <v>33331</v>
      </c>
      <c r="H261" s="49" t="s">
        <v>2122</v>
      </c>
      <c r="I261" s="49" t="s">
        <v>2123</v>
      </c>
      <c r="J261" s="49" t="s">
        <v>2124</v>
      </c>
      <c r="K261" s="49" t="s">
        <v>2125</v>
      </c>
      <c r="L261" s="49" t="s">
        <v>2126</v>
      </c>
      <c r="M261" s="49" t="s">
        <v>2127</v>
      </c>
      <c r="N261" s="49" t="s">
        <v>2128</v>
      </c>
      <c r="O261" s="49" t="s">
        <v>10167</v>
      </c>
      <c r="P261" s="49" t="s">
        <v>10168</v>
      </c>
      <c r="Q261" s="49" t="s">
        <v>10169</v>
      </c>
      <c r="R261" s="49" t="s">
        <v>10170</v>
      </c>
      <c r="S261" s="49" t="s">
        <v>10171</v>
      </c>
      <c r="T261" s="49" t="s">
        <v>10172</v>
      </c>
    </row>
    <row r="262" spans="1:21" x14ac:dyDescent="0.2">
      <c r="A262" s="49" t="s">
        <v>30</v>
      </c>
    </row>
    <row r="263" spans="1:21" x14ac:dyDescent="0.2">
      <c r="A263" s="49" t="s">
        <v>30</v>
      </c>
      <c r="E263" s="49" t="s">
        <v>31</v>
      </c>
      <c r="F263" s="49" t="s">
        <v>31</v>
      </c>
      <c r="G263" s="49" t="s">
        <v>31</v>
      </c>
      <c r="J263" s="49" t="s">
        <v>31</v>
      </c>
      <c r="K263" s="49" t="s">
        <v>31</v>
      </c>
      <c r="L263" s="49" t="s">
        <v>31</v>
      </c>
      <c r="M263" s="49" t="s">
        <v>31</v>
      </c>
    </row>
    <row r="264" spans="1:21" x14ac:dyDescent="0.2">
      <c r="A264" s="49" t="s">
        <v>30</v>
      </c>
      <c r="D264" s="49" t="s">
        <v>13438</v>
      </c>
      <c r="E264" s="49" t="s">
        <v>5174</v>
      </c>
      <c r="F264" s="49" t="s">
        <v>13439</v>
      </c>
      <c r="H264" s="49" t="s">
        <v>13440</v>
      </c>
      <c r="O264" s="49" t="s">
        <v>36120</v>
      </c>
      <c r="P264" s="49" t="s">
        <v>36121</v>
      </c>
      <c r="Q264" s="49" t="s">
        <v>36122</v>
      </c>
      <c r="R264" s="49" t="s">
        <v>36123</v>
      </c>
      <c r="S264" s="49" t="s">
        <v>36124</v>
      </c>
      <c r="T264" s="49" t="s">
        <v>36125</v>
      </c>
      <c r="U264" s="49" t="s">
        <v>36126</v>
      </c>
    </row>
    <row r="265" spans="1:21" x14ac:dyDescent="0.2">
      <c r="A265" s="49" t="s">
        <v>30</v>
      </c>
      <c r="D265" s="49" t="s">
        <v>1130</v>
      </c>
      <c r="G265" s="49" t="s">
        <v>13441</v>
      </c>
      <c r="H265" s="49" t="s">
        <v>1131</v>
      </c>
      <c r="I265" s="49" t="s">
        <v>1132</v>
      </c>
      <c r="J265" s="49" t="s">
        <v>1133</v>
      </c>
      <c r="K265" s="49" t="s">
        <v>1134</v>
      </c>
      <c r="L265" s="49" t="s">
        <v>1135</v>
      </c>
      <c r="M265" s="49" t="s">
        <v>1136</v>
      </c>
      <c r="N265" s="49" t="s">
        <v>1137</v>
      </c>
      <c r="O265" s="49" t="s">
        <v>13442</v>
      </c>
      <c r="P265" s="49" t="s">
        <v>13443</v>
      </c>
      <c r="Q265" s="49" t="s">
        <v>13444</v>
      </c>
      <c r="R265" s="49" t="s">
        <v>13445</v>
      </c>
      <c r="S265" s="49" t="s">
        <v>13446</v>
      </c>
      <c r="T265" s="49" t="s">
        <v>13447</v>
      </c>
    </row>
    <row r="266" spans="1:21" x14ac:dyDescent="0.2">
      <c r="A266" s="49" t="s">
        <v>30</v>
      </c>
    </row>
    <row r="267" spans="1:21" x14ac:dyDescent="0.2">
      <c r="A267" s="49" t="s">
        <v>30</v>
      </c>
      <c r="E267" s="49" t="s">
        <v>31</v>
      </c>
      <c r="F267" s="49" t="s">
        <v>31</v>
      </c>
      <c r="G267" s="49" t="s">
        <v>31</v>
      </c>
      <c r="J267" s="49" t="s">
        <v>31</v>
      </c>
      <c r="K267" s="49" t="s">
        <v>31</v>
      </c>
      <c r="L267" s="49" t="s">
        <v>31</v>
      </c>
      <c r="M267" s="49" t="s">
        <v>31</v>
      </c>
    </row>
    <row r="268" spans="1:21" x14ac:dyDescent="0.2">
      <c r="A268" s="49" t="s">
        <v>30</v>
      </c>
      <c r="D268" s="49" t="s">
        <v>10785</v>
      </c>
      <c r="E268" s="49" t="s">
        <v>5189</v>
      </c>
      <c r="F268" s="49" t="s">
        <v>10786</v>
      </c>
      <c r="H268" s="49" t="s">
        <v>10787</v>
      </c>
      <c r="O268" s="49" t="s">
        <v>13837</v>
      </c>
      <c r="P268" s="49" t="s">
        <v>13838</v>
      </c>
      <c r="Q268" s="49" t="s">
        <v>13839</v>
      </c>
      <c r="R268" s="49" t="s">
        <v>13840</v>
      </c>
      <c r="S268" s="49" t="s">
        <v>13841</v>
      </c>
      <c r="T268" s="49" t="s">
        <v>13842</v>
      </c>
      <c r="U268" s="49" t="s">
        <v>13843</v>
      </c>
    </row>
    <row r="269" spans="1:21" x14ac:dyDescent="0.2">
      <c r="A269" s="49" t="s">
        <v>30</v>
      </c>
      <c r="D269" s="49" t="s">
        <v>4763</v>
      </c>
      <c r="G269" s="49" t="s">
        <v>13844</v>
      </c>
      <c r="H269" s="49" t="s">
        <v>4764</v>
      </c>
      <c r="I269" s="49" t="s">
        <v>4765</v>
      </c>
      <c r="J269" s="49" t="s">
        <v>4766</v>
      </c>
      <c r="K269" s="49" t="s">
        <v>4767</v>
      </c>
      <c r="L269" s="49" t="s">
        <v>4768</v>
      </c>
      <c r="M269" s="49" t="s">
        <v>4769</v>
      </c>
      <c r="N269" s="49" t="s">
        <v>4770</v>
      </c>
      <c r="O269" s="49" t="s">
        <v>13845</v>
      </c>
      <c r="P269" s="49" t="s">
        <v>13846</v>
      </c>
      <c r="Q269" s="49" t="s">
        <v>13847</v>
      </c>
      <c r="R269" s="49" t="s">
        <v>13848</v>
      </c>
      <c r="S269" s="49" t="s">
        <v>13849</v>
      </c>
      <c r="T269" s="49" t="s">
        <v>13850</v>
      </c>
    </row>
    <row r="270" spans="1:21" x14ac:dyDescent="0.2">
      <c r="A270" s="49" t="s">
        <v>30</v>
      </c>
      <c r="D270" s="49" t="s">
        <v>4777</v>
      </c>
      <c r="G270" s="49" t="s">
        <v>15544</v>
      </c>
      <c r="H270" s="49" t="s">
        <v>4778</v>
      </c>
      <c r="I270" s="49" t="s">
        <v>4779</v>
      </c>
      <c r="J270" s="49" t="s">
        <v>4780</v>
      </c>
      <c r="K270" s="49" t="s">
        <v>4781</v>
      </c>
      <c r="L270" s="49" t="s">
        <v>4782</v>
      </c>
      <c r="M270" s="49" t="s">
        <v>4783</v>
      </c>
      <c r="N270" s="49" t="s">
        <v>4784</v>
      </c>
      <c r="O270" s="49" t="s">
        <v>9128</v>
      </c>
      <c r="P270" s="49" t="s">
        <v>9129</v>
      </c>
      <c r="Q270" s="49" t="s">
        <v>9130</v>
      </c>
      <c r="R270" s="49" t="s">
        <v>9131</v>
      </c>
      <c r="S270" s="49" t="s">
        <v>9132</v>
      </c>
      <c r="T270" s="49" t="s">
        <v>9133</v>
      </c>
    </row>
    <row r="271" spans="1:21" x14ac:dyDescent="0.2">
      <c r="A271" s="49" t="s">
        <v>30</v>
      </c>
    </row>
    <row r="272" spans="1:21" x14ac:dyDescent="0.2">
      <c r="A272" s="49" t="s">
        <v>30</v>
      </c>
      <c r="E272" s="49" t="s">
        <v>31</v>
      </c>
      <c r="F272" s="49" t="s">
        <v>31</v>
      </c>
      <c r="G272" s="49" t="s">
        <v>31</v>
      </c>
      <c r="J272" s="49" t="s">
        <v>31</v>
      </c>
      <c r="K272" s="49" t="s">
        <v>31</v>
      </c>
      <c r="L272" s="49" t="s">
        <v>31</v>
      </c>
      <c r="M272" s="49" t="s">
        <v>31</v>
      </c>
    </row>
    <row r="273" spans="1:21" x14ac:dyDescent="0.2">
      <c r="A273" s="49" t="s">
        <v>30</v>
      </c>
      <c r="D273" s="49" t="s">
        <v>13851</v>
      </c>
      <c r="E273" s="49" t="s">
        <v>5226</v>
      </c>
      <c r="F273" s="49" t="s">
        <v>13852</v>
      </c>
      <c r="H273" s="49" t="s">
        <v>13853</v>
      </c>
      <c r="O273" s="49" t="s">
        <v>36127</v>
      </c>
      <c r="P273" s="49" t="s">
        <v>36128</v>
      </c>
      <c r="Q273" s="49" t="s">
        <v>36129</v>
      </c>
      <c r="R273" s="49" t="s">
        <v>36130</v>
      </c>
      <c r="S273" s="49" t="s">
        <v>36131</v>
      </c>
      <c r="T273" s="49" t="s">
        <v>36132</v>
      </c>
      <c r="U273" s="49" t="s">
        <v>36133</v>
      </c>
    </row>
    <row r="274" spans="1:21" x14ac:dyDescent="0.2">
      <c r="A274" s="49" t="s">
        <v>30</v>
      </c>
      <c r="D274" s="49" t="s">
        <v>10788</v>
      </c>
      <c r="G274" s="49" t="s">
        <v>13854</v>
      </c>
      <c r="H274" s="49" t="s">
        <v>12722</v>
      </c>
      <c r="I274" s="49" t="s">
        <v>12723</v>
      </c>
      <c r="J274" s="49" t="s">
        <v>12742</v>
      </c>
      <c r="K274" s="49" t="s">
        <v>12743</v>
      </c>
      <c r="L274" s="49" t="s">
        <v>10789</v>
      </c>
      <c r="M274" s="49" t="s">
        <v>10790</v>
      </c>
      <c r="N274" s="49" t="s">
        <v>10791</v>
      </c>
      <c r="O274" s="49" t="s">
        <v>13855</v>
      </c>
      <c r="P274" s="49" t="s">
        <v>13856</v>
      </c>
      <c r="Q274" s="49" t="s">
        <v>13857</v>
      </c>
      <c r="R274" s="49" t="s">
        <v>13858</v>
      </c>
      <c r="S274" s="49" t="s">
        <v>13859</v>
      </c>
      <c r="T274" s="49" t="s">
        <v>13860</v>
      </c>
    </row>
    <row r="275" spans="1:21" x14ac:dyDescent="0.2">
      <c r="A275" s="49" t="s">
        <v>30</v>
      </c>
      <c r="D275" s="49" t="s">
        <v>1154</v>
      </c>
      <c r="G275" s="49" t="s">
        <v>15563</v>
      </c>
      <c r="H275" s="49" t="s">
        <v>1155</v>
      </c>
      <c r="I275" s="49" t="s">
        <v>1156</v>
      </c>
      <c r="J275" s="49" t="s">
        <v>1157</v>
      </c>
      <c r="K275" s="49" t="s">
        <v>1158</v>
      </c>
      <c r="L275" s="49" t="s">
        <v>1159</v>
      </c>
      <c r="M275" s="49" t="s">
        <v>1160</v>
      </c>
      <c r="N275" s="49" t="s">
        <v>1161</v>
      </c>
      <c r="O275" s="49" t="s">
        <v>10691</v>
      </c>
      <c r="P275" s="49" t="s">
        <v>10692</v>
      </c>
      <c r="Q275" s="49" t="s">
        <v>10693</v>
      </c>
      <c r="R275" s="49" t="s">
        <v>10694</v>
      </c>
      <c r="S275" s="49" t="s">
        <v>10695</v>
      </c>
      <c r="T275" s="49" t="s">
        <v>10696</v>
      </c>
    </row>
    <row r="276" spans="1:21" x14ac:dyDescent="0.2">
      <c r="A276" s="49" t="s">
        <v>30</v>
      </c>
      <c r="D276" s="49" t="s">
        <v>1162</v>
      </c>
      <c r="G276" s="49" t="s">
        <v>15568</v>
      </c>
      <c r="H276" s="49" t="s">
        <v>1163</v>
      </c>
      <c r="I276" s="49" t="s">
        <v>1164</v>
      </c>
      <c r="J276" s="49" t="s">
        <v>1165</v>
      </c>
      <c r="K276" s="49" t="s">
        <v>1166</v>
      </c>
      <c r="L276" s="49" t="s">
        <v>1167</v>
      </c>
      <c r="M276" s="49" t="s">
        <v>1168</v>
      </c>
      <c r="N276" s="49" t="s">
        <v>1169</v>
      </c>
      <c r="O276" s="49" t="s">
        <v>9157</v>
      </c>
      <c r="P276" s="49" t="s">
        <v>9158</v>
      </c>
      <c r="Q276" s="49" t="s">
        <v>9159</v>
      </c>
      <c r="R276" s="49" t="s">
        <v>9160</v>
      </c>
      <c r="S276" s="49" t="s">
        <v>9161</v>
      </c>
      <c r="T276" s="49" t="s">
        <v>9162</v>
      </c>
    </row>
    <row r="277" spans="1:21" x14ac:dyDescent="0.2">
      <c r="A277" s="49" t="s">
        <v>30</v>
      </c>
      <c r="D277" s="49" t="s">
        <v>1170</v>
      </c>
      <c r="G277" s="49" t="s">
        <v>15573</v>
      </c>
      <c r="H277" s="49" t="s">
        <v>1171</v>
      </c>
      <c r="I277" s="49" t="s">
        <v>1172</v>
      </c>
      <c r="J277" s="49" t="s">
        <v>1173</v>
      </c>
      <c r="K277" s="49" t="s">
        <v>1174</v>
      </c>
      <c r="L277" s="49" t="s">
        <v>1175</v>
      </c>
      <c r="M277" s="49" t="s">
        <v>1176</v>
      </c>
      <c r="N277" s="49" t="s">
        <v>1177</v>
      </c>
      <c r="O277" s="49" t="s">
        <v>9660</v>
      </c>
      <c r="P277" s="49" t="s">
        <v>9661</v>
      </c>
      <c r="Q277" s="49" t="s">
        <v>9662</v>
      </c>
      <c r="R277" s="49" t="s">
        <v>9663</v>
      </c>
      <c r="S277" s="49" t="s">
        <v>9664</v>
      </c>
      <c r="T277" s="49" t="s">
        <v>9665</v>
      </c>
    </row>
    <row r="278" spans="1:21" x14ac:dyDescent="0.2">
      <c r="A278" s="49" t="s">
        <v>30</v>
      </c>
    </row>
    <row r="279" spans="1:21" x14ac:dyDescent="0.2">
      <c r="A279" s="49" t="s">
        <v>30</v>
      </c>
      <c r="E279" s="49" t="s">
        <v>31</v>
      </c>
      <c r="F279" s="49" t="s">
        <v>31</v>
      </c>
      <c r="G279" s="49" t="s">
        <v>31</v>
      </c>
      <c r="J279" s="49" t="s">
        <v>31</v>
      </c>
      <c r="K279" s="49" t="s">
        <v>31</v>
      </c>
      <c r="L279" s="49" t="s">
        <v>31</v>
      </c>
      <c r="M279" s="49" t="s">
        <v>31</v>
      </c>
    </row>
    <row r="280" spans="1:21" x14ac:dyDescent="0.2">
      <c r="A280" s="49" t="s">
        <v>30</v>
      </c>
      <c r="D280" s="49" t="s">
        <v>36134</v>
      </c>
      <c r="E280" s="49" t="s">
        <v>5256</v>
      </c>
      <c r="F280" s="49" t="s">
        <v>36135</v>
      </c>
      <c r="H280" s="49" t="s">
        <v>36136</v>
      </c>
      <c r="O280" s="49" t="s">
        <v>36137</v>
      </c>
      <c r="P280" s="49" t="s">
        <v>36138</v>
      </c>
      <c r="Q280" s="49" t="s">
        <v>36139</v>
      </c>
      <c r="R280" s="49" t="s">
        <v>36140</v>
      </c>
      <c r="S280" s="49" t="s">
        <v>36141</v>
      </c>
      <c r="T280" s="49" t="s">
        <v>36142</v>
      </c>
      <c r="U280" s="49" t="s">
        <v>36143</v>
      </c>
    </row>
    <row r="281" spans="1:21" x14ac:dyDescent="0.2">
      <c r="A281" s="49" t="s">
        <v>30</v>
      </c>
      <c r="D281" s="49" t="s">
        <v>4806</v>
      </c>
      <c r="G281" s="49" t="s">
        <v>36144</v>
      </c>
      <c r="H281" s="49" t="s">
        <v>4807</v>
      </c>
      <c r="I281" s="49" t="s">
        <v>4808</v>
      </c>
      <c r="J281" s="49" t="s">
        <v>4809</v>
      </c>
      <c r="K281" s="49" t="s">
        <v>4810</v>
      </c>
      <c r="L281" s="49" t="s">
        <v>4811</v>
      </c>
      <c r="M281" s="49" t="s">
        <v>4812</v>
      </c>
      <c r="N281" s="49" t="s">
        <v>4813</v>
      </c>
      <c r="O281" s="49" t="s">
        <v>10421</v>
      </c>
      <c r="P281" s="49" t="s">
        <v>10422</v>
      </c>
      <c r="Q281" s="49" t="s">
        <v>10423</v>
      </c>
      <c r="R281" s="49" t="s">
        <v>10424</v>
      </c>
      <c r="S281" s="49" t="s">
        <v>10425</v>
      </c>
      <c r="T281" s="49" t="s">
        <v>10426</v>
      </c>
    </row>
    <row r="282" spans="1:21" x14ac:dyDescent="0.2">
      <c r="A282" s="49" t="s">
        <v>30</v>
      </c>
    </row>
    <row r="283" spans="1:21" x14ac:dyDescent="0.2">
      <c r="A283" s="49" t="s">
        <v>30</v>
      </c>
      <c r="E283" s="49" t="s">
        <v>31</v>
      </c>
      <c r="F283" s="49" t="s">
        <v>31</v>
      </c>
      <c r="G283" s="49" t="s">
        <v>31</v>
      </c>
      <c r="J283" s="49" t="s">
        <v>31</v>
      </c>
      <c r="K283" s="49" t="s">
        <v>31</v>
      </c>
      <c r="L283" s="49" t="s">
        <v>31</v>
      </c>
      <c r="M283" s="49" t="s">
        <v>31</v>
      </c>
    </row>
    <row r="284" spans="1:21" x14ac:dyDescent="0.2">
      <c r="A284" s="49" t="s">
        <v>30</v>
      </c>
      <c r="D284" s="49" t="s">
        <v>35043</v>
      </c>
      <c r="E284" s="49" t="s">
        <v>5301</v>
      </c>
      <c r="F284" s="49" t="s">
        <v>35044</v>
      </c>
      <c r="H284" s="49" t="s">
        <v>35045</v>
      </c>
      <c r="O284" s="49" t="s">
        <v>36145</v>
      </c>
      <c r="P284" s="49" t="s">
        <v>36146</v>
      </c>
      <c r="Q284" s="49" t="s">
        <v>36147</v>
      </c>
      <c r="R284" s="49" t="s">
        <v>36148</v>
      </c>
      <c r="S284" s="49" t="s">
        <v>36149</v>
      </c>
      <c r="T284" s="49" t="s">
        <v>36150</v>
      </c>
      <c r="U284" s="49" t="s">
        <v>36151</v>
      </c>
    </row>
    <row r="285" spans="1:21" x14ac:dyDescent="0.2">
      <c r="A285" s="49" t="s">
        <v>30</v>
      </c>
      <c r="D285" s="49" t="s">
        <v>2731</v>
      </c>
      <c r="G285" s="49" t="s">
        <v>35053</v>
      </c>
      <c r="H285" s="49" t="s">
        <v>2732</v>
      </c>
      <c r="I285" s="49" t="s">
        <v>2733</v>
      </c>
      <c r="J285" s="49" t="s">
        <v>2734</v>
      </c>
      <c r="K285" s="49" t="s">
        <v>2735</v>
      </c>
      <c r="L285" s="49" t="s">
        <v>2736</v>
      </c>
      <c r="M285" s="49" t="s">
        <v>2737</v>
      </c>
      <c r="N285" s="49" t="s">
        <v>2738</v>
      </c>
      <c r="O285" s="49" t="s">
        <v>10183</v>
      </c>
      <c r="P285" s="49" t="s">
        <v>10184</v>
      </c>
      <c r="Q285" s="49" t="s">
        <v>10185</v>
      </c>
      <c r="R285" s="49" t="s">
        <v>10186</v>
      </c>
      <c r="S285" s="49" t="s">
        <v>10187</v>
      </c>
      <c r="T285" s="49" t="s">
        <v>10188</v>
      </c>
    </row>
    <row r="286" spans="1:21" x14ac:dyDescent="0.2">
      <c r="A286" s="49" t="s">
        <v>30</v>
      </c>
      <c r="D286" s="49" t="s">
        <v>13448</v>
      </c>
      <c r="G286" s="49" t="s">
        <v>15624</v>
      </c>
      <c r="H286" s="49" t="s">
        <v>13449</v>
      </c>
      <c r="I286" s="49" t="s">
        <v>13450</v>
      </c>
      <c r="J286" s="49" t="s">
        <v>13451</v>
      </c>
      <c r="K286" s="49" t="s">
        <v>13452</v>
      </c>
      <c r="L286" s="49" t="s">
        <v>13453</v>
      </c>
      <c r="M286" s="49" t="s">
        <v>13454</v>
      </c>
      <c r="N286" s="49" t="s">
        <v>13455</v>
      </c>
      <c r="O286" s="49" t="s">
        <v>13456</v>
      </c>
      <c r="P286" s="49" t="s">
        <v>13457</v>
      </c>
      <c r="Q286" s="49" t="s">
        <v>13458</v>
      </c>
      <c r="R286" s="49" t="s">
        <v>13459</v>
      </c>
      <c r="S286" s="49" t="s">
        <v>13460</v>
      </c>
      <c r="T286" s="49" t="s">
        <v>13461</v>
      </c>
    </row>
    <row r="287" spans="1:21" x14ac:dyDescent="0.2">
      <c r="A287" s="49" t="s">
        <v>30</v>
      </c>
    </row>
    <row r="288" spans="1:21" x14ac:dyDescent="0.2">
      <c r="A288" s="49" t="s">
        <v>30</v>
      </c>
      <c r="E288" s="49" t="s">
        <v>31</v>
      </c>
      <c r="F288" s="49" t="s">
        <v>31</v>
      </c>
      <c r="G288" s="49" t="s">
        <v>31</v>
      </c>
      <c r="J288" s="49" t="s">
        <v>31</v>
      </c>
      <c r="K288" s="49" t="s">
        <v>31</v>
      </c>
      <c r="L288" s="49" t="s">
        <v>31</v>
      </c>
      <c r="M288" s="49" t="s">
        <v>31</v>
      </c>
    </row>
    <row r="289" spans="1:21" x14ac:dyDescent="0.2">
      <c r="A289" s="49" t="s">
        <v>30</v>
      </c>
      <c r="D289" s="49" t="s">
        <v>13865</v>
      </c>
      <c r="E289" s="49" t="s">
        <v>5316</v>
      </c>
      <c r="F289" s="49" t="s">
        <v>13866</v>
      </c>
      <c r="H289" s="49" t="s">
        <v>13867</v>
      </c>
      <c r="O289" s="49" t="s">
        <v>36152</v>
      </c>
      <c r="P289" s="49" t="s">
        <v>36153</v>
      </c>
      <c r="Q289" s="49" t="s">
        <v>36154</v>
      </c>
      <c r="R289" s="49" t="s">
        <v>36155</v>
      </c>
      <c r="S289" s="49" t="s">
        <v>36156</v>
      </c>
      <c r="T289" s="49" t="s">
        <v>36157</v>
      </c>
      <c r="U289" s="49" t="s">
        <v>36158</v>
      </c>
    </row>
    <row r="290" spans="1:21" x14ac:dyDescent="0.2">
      <c r="A290" s="49" t="s">
        <v>30</v>
      </c>
      <c r="D290" s="49" t="s">
        <v>2129</v>
      </c>
      <c r="G290" s="49" t="s">
        <v>13868</v>
      </c>
      <c r="H290" s="49" t="s">
        <v>2130</v>
      </c>
      <c r="I290" s="49" t="s">
        <v>2131</v>
      </c>
      <c r="J290" s="49" t="s">
        <v>2132</v>
      </c>
      <c r="K290" s="49" t="s">
        <v>2133</v>
      </c>
      <c r="L290" s="49" t="s">
        <v>2134</v>
      </c>
      <c r="M290" s="49" t="s">
        <v>2135</v>
      </c>
      <c r="N290" s="49" t="s">
        <v>2136</v>
      </c>
      <c r="O290" s="49" t="s">
        <v>13869</v>
      </c>
      <c r="P290" s="49" t="s">
        <v>13870</v>
      </c>
      <c r="Q290" s="49" t="s">
        <v>13871</v>
      </c>
      <c r="R290" s="49" t="s">
        <v>13872</v>
      </c>
      <c r="S290" s="49" t="s">
        <v>13873</v>
      </c>
      <c r="T290" s="49" t="s">
        <v>13874</v>
      </c>
    </row>
    <row r="291" spans="1:21" x14ac:dyDescent="0.2">
      <c r="A291" s="49" t="s">
        <v>30</v>
      </c>
      <c r="D291" s="49" t="s">
        <v>2739</v>
      </c>
      <c r="G291" s="49" t="s">
        <v>15647</v>
      </c>
      <c r="H291" s="49" t="s">
        <v>2740</v>
      </c>
      <c r="I291" s="49" t="s">
        <v>2741</v>
      </c>
      <c r="J291" s="49" t="s">
        <v>2742</v>
      </c>
      <c r="K291" s="49" t="s">
        <v>2743</v>
      </c>
      <c r="L291" s="49" t="s">
        <v>2744</v>
      </c>
      <c r="M291" s="49" t="s">
        <v>2745</v>
      </c>
      <c r="N291" s="49" t="s">
        <v>2746</v>
      </c>
      <c r="O291" s="49" t="s">
        <v>13754</v>
      </c>
      <c r="P291" s="49" t="s">
        <v>13755</v>
      </c>
      <c r="Q291" s="49" t="s">
        <v>13756</v>
      </c>
      <c r="R291" s="49" t="s">
        <v>13757</v>
      </c>
      <c r="S291" s="49" t="s">
        <v>13758</v>
      </c>
      <c r="T291" s="49" t="s">
        <v>13759</v>
      </c>
    </row>
    <row r="292" spans="1:21" x14ac:dyDescent="0.2">
      <c r="A292" s="49" t="s">
        <v>30</v>
      </c>
      <c r="D292" s="49" t="s">
        <v>3817</v>
      </c>
      <c r="G292" s="49" t="s">
        <v>15650</v>
      </c>
      <c r="H292" s="49" t="s">
        <v>3818</v>
      </c>
      <c r="I292" s="49" t="s">
        <v>3819</v>
      </c>
      <c r="J292" s="49" t="s">
        <v>3820</v>
      </c>
      <c r="K292" s="49" t="s">
        <v>3821</v>
      </c>
      <c r="L292" s="49" t="s">
        <v>3822</v>
      </c>
      <c r="M292" s="49" t="s">
        <v>3823</v>
      </c>
      <c r="N292" s="49" t="s">
        <v>3824</v>
      </c>
      <c r="O292" s="49" t="s">
        <v>9208</v>
      </c>
      <c r="P292" s="49" t="s">
        <v>9209</v>
      </c>
      <c r="Q292" s="49" t="s">
        <v>9210</v>
      </c>
      <c r="R292" s="49" t="s">
        <v>9211</v>
      </c>
      <c r="S292" s="49" t="s">
        <v>9212</v>
      </c>
      <c r="T292" s="49" t="s">
        <v>9213</v>
      </c>
    </row>
    <row r="293" spans="1:21" x14ac:dyDescent="0.2">
      <c r="A293" s="49" t="s">
        <v>30</v>
      </c>
      <c r="D293" s="49" t="s">
        <v>1202</v>
      </c>
      <c r="G293" s="49" t="s">
        <v>15655</v>
      </c>
      <c r="H293" s="49" t="s">
        <v>1203</v>
      </c>
      <c r="I293" s="49" t="s">
        <v>1204</v>
      </c>
      <c r="J293" s="49" t="s">
        <v>1205</v>
      </c>
      <c r="K293" s="49" t="s">
        <v>1206</v>
      </c>
      <c r="L293" s="49" t="s">
        <v>1207</v>
      </c>
      <c r="M293" s="49" t="s">
        <v>1208</v>
      </c>
      <c r="N293" s="49" t="s">
        <v>1209</v>
      </c>
      <c r="O293" s="49" t="s">
        <v>9711</v>
      </c>
      <c r="P293" s="49" t="s">
        <v>9712</v>
      </c>
      <c r="Q293" s="49" t="s">
        <v>9713</v>
      </c>
      <c r="R293" s="49" t="s">
        <v>9714</v>
      </c>
      <c r="S293" s="49" t="s">
        <v>9715</v>
      </c>
      <c r="T293" s="49" t="s">
        <v>9716</v>
      </c>
    </row>
    <row r="294" spans="1:21" x14ac:dyDescent="0.2">
      <c r="A294" s="49" t="s">
        <v>30</v>
      </c>
    </row>
    <row r="295" spans="1:21" x14ac:dyDescent="0.2">
      <c r="A295" s="49" t="s">
        <v>30</v>
      </c>
      <c r="E295" s="49" t="s">
        <v>31</v>
      </c>
      <c r="F295" s="49" t="s">
        <v>31</v>
      </c>
      <c r="G295" s="49" t="s">
        <v>31</v>
      </c>
      <c r="J295" s="49" t="s">
        <v>31</v>
      </c>
      <c r="K295" s="49" t="s">
        <v>31</v>
      </c>
      <c r="L295" s="49" t="s">
        <v>31</v>
      </c>
      <c r="M295" s="49" t="s">
        <v>31</v>
      </c>
    </row>
    <row r="296" spans="1:21" x14ac:dyDescent="0.2">
      <c r="A296" s="49" t="s">
        <v>30</v>
      </c>
      <c r="D296" s="49" t="s">
        <v>4840</v>
      </c>
      <c r="E296" s="49" t="s">
        <v>15665</v>
      </c>
      <c r="F296" s="49" t="s">
        <v>4842</v>
      </c>
      <c r="H296" s="49" t="s">
        <v>4843</v>
      </c>
      <c r="O296" s="49" t="s">
        <v>10427</v>
      </c>
      <c r="P296" s="49" t="s">
        <v>10428</v>
      </c>
      <c r="Q296" s="49" t="s">
        <v>10429</v>
      </c>
      <c r="R296" s="49" t="s">
        <v>10430</v>
      </c>
      <c r="S296" s="49" t="s">
        <v>10431</v>
      </c>
      <c r="T296" s="49" t="s">
        <v>10432</v>
      </c>
      <c r="U296" s="49" t="s">
        <v>10433</v>
      </c>
    </row>
    <row r="297" spans="1:21" x14ac:dyDescent="0.2">
      <c r="A297" s="49" t="s">
        <v>30</v>
      </c>
      <c r="D297" s="49" t="s">
        <v>2430</v>
      </c>
      <c r="G297" s="49" t="s">
        <v>9717</v>
      </c>
      <c r="H297" s="49" t="s">
        <v>2431</v>
      </c>
      <c r="I297" s="49" t="s">
        <v>2432</v>
      </c>
      <c r="J297" s="49" t="s">
        <v>2433</v>
      </c>
      <c r="K297" s="49" t="s">
        <v>2434</v>
      </c>
      <c r="L297" s="49" t="s">
        <v>2435</v>
      </c>
      <c r="M297" s="49" t="s">
        <v>2436</v>
      </c>
      <c r="N297" s="49" t="s">
        <v>2437</v>
      </c>
      <c r="O297" s="49" t="s">
        <v>9718</v>
      </c>
      <c r="P297" s="49" t="s">
        <v>9719</v>
      </c>
      <c r="Q297" s="49" t="s">
        <v>9720</v>
      </c>
      <c r="R297" s="49" t="s">
        <v>9721</v>
      </c>
      <c r="S297" s="49" t="s">
        <v>9722</v>
      </c>
      <c r="T297" s="49" t="s">
        <v>9723</v>
      </c>
    </row>
    <row r="298" spans="1:21" x14ac:dyDescent="0.2">
      <c r="A298" s="49" t="s">
        <v>30</v>
      </c>
    </row>
    <row r="299" spans="1:21" x14ac:dyDescent="0.2">
      <c r="A299" s="49" t="s">
        <v>30</v>
      </c>
      <c r="E299" s="49" t="s">
        <v>31</v>
      </c>
      <c r="F299" s="49" t="s">
        <v>31</v>
      </c>
      <c r="G299" s="49" t="s">
        <v>31</v>
      </c>
      <c r="J299" s="49" t="s">
        <v>31</v>
      </c>
      <c r="K299" s="49" t="s">
        <v>31</v>
      </c>
      <c r="L299" s="49" t="s">
        <v>31</v>
      </c>
      <c r="M299" s="49" t="s">
        <v>31</v>
      </c>
    </row>
    <row r="300" spans="1:21" x14ac:dyDescent="0.2">
      <c r="A300" s="49" t="s">
        <v>30</v>
      </c>
      <c r="D300" s="49" t="s">
        <v>10434</v>
      </c>
      <c r="E300" s="49" t="s">
        <v>5331</v>
      </c>
      <c r="F300" s="49" t="s">
        <v>10435</v>
      </c>
      <c r="H300" s="49" t="s">
        <v>10436</v>
      </c>
      <c r="O300" s="49" t="s">
        <v>36159</v>
      </c>
      <c r="P300" s="49" t="s">
        <v>36160</v>
      </c>
      <c r="Q300" s="49" t="s">
        <v>36161</v>
      </c>
      <c r="R300" s="49" t="s">
        <v>36162</v>
      </c>
      <c r="S300" s="49" t="s">
        <v>36163</v>
      </c>
      <c r="T300" s="49" t="s">
        <v>36164</v>
      </c>
      <c r="U300" s="49" t="s">
        <v>36165</v>
      </c>
    </row>
    <row r="301" spans="1:21" x14ac:dyDescent="0.2">
      <c r="A301" s="49" t="s">
        <v>30</v>
      </c>
      <c r="D301" s="49" t="s">
        <v>2438</v>
      </c>
      <c r="G301" s="49" t="s">
        <v>10437</v>
      </c>
      <c r="H301" s="49" t="s">
        <v>2439</v>
      </c>
      <c r="I301" s="49" t="s">
        <v>2440</v>
      </c>
      <c r="J301" s="49" t="s">
        <v>2441</v>
      </c>
      <c r="K301" s="49" t="s">
        <v>2442</v>
      </c>
      <c r="L301" s="49" t="s">
        <v>2443</v>
      </c>
      <c r="M301" s="49" t="s">
        <v>2444</v>
      </c>
      <c r="N301" s="49" t="s">
        <v>2445</v>
      </c>
      <c r="O301" s="49" t="s">
        <v>10438</v>
      </c>
      <c r="P301" s="49" t="s">
        <v>10439</v>
      </c>
      <c r="Q301" s="49" t="s">
        <v>10440</v>
      </c>
      <c r="R301" s="49" t="s">
        <v>10441</v>
      </c>
      <c r="S301" s="49" t="s">
        <v>10442</v>
      </c>
      <c r="T301" s="49" t="s">
        <v>10443</v>
      </c>
    </row>
    <row r="302" spans="1:21" x14ac:dyDescent="0.2">
      <c r="A302" s="49" t="s">
        <v>30</v>
      </c>
      <c r="D302" s="49" t="s">
        <v>2137</v>
      </c>
      <c r="G302" s="49" t="s">
        <v>15705</v>
      </c>
      <c r="H302" s="49" t="s">
        <v>2138</v>
      </c>
      <c r="I302" s="49" t="s">
        <v>2139</v>
      </c>
      <c r="J302" s="49" t="s">
        <v>2140</v>
      </c>
      <c r="K302" s="49" t="s">
        <v>2141</v>
      </c>
      <c r="L302" s="49" t="s">
        <v>2142</v>
      </c>
      <c r="M302" s="49" t="s">
        <v>2143</v>
      </c>
      <c r="N302" s="49" t="s">
        <v>2144</v>
      </c>
      <c r="O302" s="49" t="s">
        <v>10444</v>
      </c>
      <c r="P302" s="49" t="s">
        <v>10445</v>
      </c>
      <c r="Q302" s="49" t="s">
        <v>10446</v>
      </c>
      <c r="R302" s="49" t="s">
        <v>10447</v>
      </c>
      <c r="S302" s="49" t="s">
        <v>10448</v>
      </c>
      <c r="T302" s="49" t="s">
        <v>10449</v>
      </c>
    </row>
    <row r="303" spans="1:21" x14ac:dyDescent="0.2">
      <c r="A303" s="49" t="s">
        <v>30</v>
      </c>
      <c r="D303" s="49" t="s">
        <v>1226</v>
      </c>
      <c r="G303" s="49" t="s">
        <v>15707</v>
      </c>
      <c r="H303" s="49" t="s">
        <v>1227</v>
      </c>
      <c r="I303" s="49" t="s">
        <v>1228</v>
      </c>
      <c r="J303" s="49" t="s">
        <v>1229</v>
      </c>
      <c r="K303" s="49" t="s">
        <v>1230</v>
      </c>
      <c r="L303" s="49" t="s">
        <v>1231</v>
      </c>
      <c r="M303" s="49" t="s">
        <v>1232</v>
      </c>
      <c r="N303" s="49" t="s">
        <v>1233</v>
      </c>
      <c r="O303" s="49" t="s">
        <v>32996</v>
      </c>
      <c r="P303" s="49" t="s">
        <v>32997</v>
      </c>
      <c r="Q303" s="49" t="s">
        <v>32998</v>
      </c>
      <c r="R303" s="49" t="s">
        <v>32999</v>
      </c>
      <c r="S303" s="49" t="s">
        <v>33000</v>
      </c>
      <c r="T303" s="49" t="s">
        <v>33001</v>
      </c>
    </row>
    <row r="304" spans="1:21" x14ac:dyDescent="0.2">
      <c r="A304" s="49" t="s">
        <v>30</v>
      </c>
      <c r="D304" s="49" t="s">
        <v>1234</v>
      </c>
      <c r="G304" s="49" t="s">
        <v>15719</v>
      </c>
      <c r="H304" s="49" t="s">
        <v>1235</v>
      </c>
      <c r="I304" s="49" t="s">
        <v>1236</v>
      </c>
      <c r="J304" s="49" t="s">
        <v>1237</v>
      </c>
      <c r="K304" s="49" t="s">
        <v>1238</v>
      </c>
      <c r="L304" s="49" t="s">
        <v>1239</v>
      </c>
      <c r="M304" s="49" t="s">
        <v>1240</v>
      </c>
      <c r="N304" s="49" t="s">
        <v>1241</v>
      </c>
      <c r="O304" s="49" t="s">
        <v>9230</v>
      </c>
      <c r="P304" s="49" t="s">
        <v>9231</v>
      </c>
      <c r="Q304" s="49" t="s">
        <v>9232</v>
      </c>
      <c r="R304" s="49" t="s">
        <v>9233</v>
      </c>
      <c r="S304" s="49" t="s">
        <v>9234</v>
      </c>
      <c r="T304" s="49" t="s">
        <v>9235</v>
      </c>
    </row>
    <row r="305" spans="1:21" x14ac:dyDescent="0.2">
      <c r="A305" s="49" t="s">
        <v>30</v>
      </c>
      <c r="D305" s="49" t="s">
        <v>1242</v>
      </c>
      <c r="G305" s="49" t="s">
        <v>15727</v>
      </c>
      <c r="H305" s="49" t="s">
        <v>1243</v>
      </c>
      <c r="I305" s="49" t="s">
        <v>1244</v>
      </c>
      <c r="J305" s="49" t="s">
        <v>1245</v>
      </c>
      <c r="K305" s="49" t="s">
        <v>1246</v>
      </c>
      <c r="L305" s="49" t="s">
        <v>1247</v>
      </c>
      <c r="M305" s="49" t="s">
        <v>1248</v>
      </c>
      <c r="N305" s="49" t="s">
        <v>1249</v>
      </c>
      <c r="O305" s="49" t="s">
        <v>9236</v>
      </c>
      <c r="P305" s="49" t="s">
        <v>9237</v>
      </c>
      <c r="Q305" s="49" t="s">
        <v>9238</v>
      </c>
      <c r="R305" s="49" t="s">
        <v>9239</v>
      </c>
      <c r="S305" s="49" t="s">
        <v>9240</v>
      </c>
      <c r="T305" s="49" t="s">
        <v>9241</v>
      </c>
    </row>
    <row r="306" spans="1:21" x14ac:dyDescent="0.2">
      <c r="A306" s="49" t="s">
        <v>30</v>
      </c>
      <c r="D306" s="49" t="s">
        <v>2145</v>
      </c>
      <c r="G306" s="49" t="s">
        <v>15728</v>
      </c>
      <c r="H306" s="49" t="s">
        <v>2146</v>
      </c>
      <c r="I306" s="49" t="s">
        <v>2147</v>
      </c>
      <c r="J306" s="49" t="s">
        <v>2148</v>
      </c>
      <c r="K306" s="49" t="s">
        <v>2149</v>
      </c>
      <c r="L306" s="49" t="s">
        <v>2150</v>
      </c>
      <c r="M306" s="49" t="s">
        <v>2151</v>
      </c>
      <c r="N306" s="49" t="s">
        <v>2152</v>
      </c>
      <c r="O306" s="49" t="s">
        <v>10705</v>
      </c>
      <c r="P306" s="49" t="s">
        <v>10706</v>
      </c>
      <c r="Q306" s="49" t="s">
        <v>10707</v>
      </c>
      <c r="R306" s="49" t="s">
        <v>10708</v>
      </c>
      <c r="S306" s="49" t="s">
        <v>10709</v>
      </c>
      <c r="T306" s="49" t="s">
        <v>10710</v>
      </c>
    </row>
    <row r="307" spans="1:21" x14ac:dyDescent="0.2">
      <c r="A307" s="49" t="s">
        <v>30</v>
      </c>
      <c r="D307" s="49" t="s">
        <v>2755</v>
      </c>
      <c r="G307" s="49" t="s">
        <v>15729</v>
      </c>
      <c r="H307" s="49" t="s">
        <v>2756</v>
      </c>
      <c r="I307" s="49" t="s">
        <v>2757</v>
      </c>
      <c r="J307" s="49" t="s">
        <v>2758</v>
      </c>
      <c r="K307" s="49" t="s">
        <v>2759</v>
      </c>
      <c r="L307" s="49" t="s">
        <v>2760</v>
      </c>
      <c r="M307" s="49" t="s">
        <v>2761</v>
      </c>
      <c r="N307" s="49" t="s">
        <v>2762</v>
      </c>
      <c r="O307" s="49" t="s">
        <v>32607</v>
      </c>
      <c r="P307" s="49" t="s">
        <v>32608</v>
      </c>
      <c r="Q307" s="49" t="s">
        <v>32609</v>
      </c>
      <c r="R307" s="49" t="s">
        <v>32610</v>
      </c>
      <c r="S307" s="49" t="s">
        <v>32611</v>
      </c>
      <c r="T307" s="49" t="s">
        <v>32612</v>
      </c>
    </row>
    <row r="308" spans="1:21" x14ac:dyDescent="0.2">
      <c r="A308" s="49" t="s">
        <v>30</v>
      </c>
      <c r="D308" s="49" t="s">
        <v>10816</v>
      </c>
      <c r="G308" s="49" t="s">
        <v>15730</v>
      </c>
      <c r="H308" s="49" t="s">
        <v>12706</v>
      </c>
      <c r="I308" s="49" t="s">
        <v>12707</v>
      </c>
      <c r="J308" s="49" t="s">
        <v>12720</v>
      </c>
      <c r="K308" s="49" t="s">
        <v>12721</v>
      </c>
      <c r="L308" s="49" t="s">
        <v>10817</v>
      </c>
      <c r="M308" s="49" t="s">
        <v>10818</v>
      </c>
      <c r="N308" s="49" t="s">
        <v>10819</v>
      </c>
      <c r="O308" s="49" t="s">
        <v>32613</v>
      </c>
      <c r="P308" s="49" t="s">
        <v>32614</v>
      </c>
      <c r="Q308" s="49" t="s">
        <v>32615</v>
      </c>
      <c r="R308" s="49" t="s">
        <v>32616</v>
      </c>
      <c r="S308" s="49" t="s">
        <v>32617</v>
      </c>
      <c r="T308" s="49" t="s">
        <v>32618</v>
      </c>
    </row>
    <row r="309" spans="1:21" x14ac:dyDescent="0.2">
      <c r="A309" s="49" t="s">
        <v>30</v>
      </c>
    </row>
    <row r="310" spans="1:21" x14ac:dyDescent="0.2">
      <c r="A310" s="49" t="s">
        <v>30</v>
      </c>
      <c r="E310" s="49" t="s">
        <v>31</v>
      </c>
      <c r="F310" s="49" t="s">
        <v>31</v>
      </c>
      <c r="G310" s="49" t="s">
        <v>31</v>
      </c>
      <c r="J310" s="49" t="s">
        <v>31</v>
      </c>
      <c r="K310" s="49" t="s">
        <v>31</v>
      </c>
      <c r="L310" s="49" t="s">
        <v>31</v>
      </c>
      <c r="M310" s="49" t="s">
        <v>31</v>
      </c>
    </row>
    <row r="311" spans="1:21" x14ac:dyDescent="0.2">
      <c r="A311" s="49" t="s">
        <v>30</v>
      </c>
      <c r="D311" s="49" t="s">
        <v>10820</v>
      </c>
      <c r="E311" s="49" t="s">
        <v>5416</v>
      </c>
      <c r="F311" s="49" t="s">
        <v>10821</v>
      </c>
      <c r="H311" s="49" t="s">
        <v>10822</v>
      </c>
      <c r="O311" s="49" t="s">
        <v>36166</v>
      </c>
      <c r="P311" s="49" t="s">
        <v>36167</v>
      </c>
      <c r="Q311" s="49" t="s">
        <v>36168</v>
      </c>
      <c r="R311" s="49" t="s">
        <v>36169</v>
      </c>
      <c r="S311" s="49" t="s">
        <v>36170</v>
      </c>
      <c r="T311" s="49" t="s">
        <v>36171</v>
      </c>
      <c r="U311" s="49" t="s">
        <v>36172</v>
      </c>
    </row>
    <row r="312" spans="1:21" x14ac:dyDescent="0.2">
      <c r="A312" s="49" t="s">
        <v>30</v>
      </c>
      <c r="D312" s="49" t="s">
        <v>4845</v>
      </c>
      <c r="G312" s="49" t="s">
        <v>32626</v>
      </c>
      <c r="H312" s="49" t="s">
        <v>4846</v>
      </c>
      <c r="I312" s="49" t="s">
        <v>4847</v>
      </c>
      <c r="J312" s="49" t="s">
        <v>4848</v>
      </c>
      <c r="K312" s="49" t="s">
        <v>4849</v>
      </c>
      <c r="L312" s="49" t="s">
        <v>4850</v>
      </c>
      <c r="M312" s="49" t="s">
        <v>4851</v>
      </c>
      <c r="N312" s="49" t="s">
        <v>4852</v>
      </c>
      <c r="O312" s="49" t="s">
        <v>32627</v>
      </c>
      <c r="P312" s="49" t="s">
        <v>32628</v>
      </c>
      <c r="Q312" s="49" t="s">
        <v>32629</v>
      </c>
      <c r="R312" s="49" t="s">
        <v>32630</v>
      </c>
      <c r="S312" s="49" t="s">
        <v>32631</v>
      </c>
      <c r="T312" s="49" t="s">
        <v>32632</v>
      </c>
    </row>
    <row r="313" spans="1:21" x14ac:dyDescent="0.2">
      <c r="A313" s="49" t="s">
        <v>30</v>
      </c>
      <c r="D313" s="49" t="s">
        <v>4859</v>
      </c>
      <c r="G313" s="49" t="s">
        <v>15752</v>
      </c>
      <c r="H313" s="49" t="s">
        <v>4860</v>
      </c>
      <c r="I313" s="49" t="s">
        <v>4861</v>
      </c>
      <c r="J313" s="49" t="s">
        <v>4862</v>
      </c>
      <c r="K313" s="49" t="s">
        <v>4863</v>
      </c>
      <c r="L313" s="49" t="s">
        <v>4864</v>
      </c>
      <c r="M313" s="49" t="s">
        <v>4865</v>
      </c>
      <c r="N313" s="49" t="s">
        <v>4866</v>
      </c>
      <c r="O313" s="49" t="s">
        <v>9263</v>
      </c>
      <c r="P313" s="49" t="s">
        <v>9264</v>
      </c>
      <c r="Q313" s="49" t="s">
        <v>9265</v>
      </c>
      <c r="R313" s="49" t="s">
        <v>9266</v>
      </c>
      <c r="S313" s="49" t="s">
        <v>9267</v>
      </c>
      <c r="T313" s="49" t="s">
        <v>9268</v>
      </c>
    </row>
    <row r="314" spans="1:21" x14ac:dyDescent="0.2">
      <c r="A314" s="49" t="s">
        <v>30</v>
      </c>
      <c r="D314" s="49" t="s">
        <v>4867</v>
      </c>
      <c r="G314" s="49" t="s">
        <v>15753</v>
      </c>
      <c r="H314" s="49" t="s">
        <v>4868</v>
      </c>
      <c r="I314" s="49" t="s">
        <v>4869</v>
      </c>
      <c r="J314" s="49" t="s">
        <v>4870</v>
      </c>
      <c r="K314" s="49" t="s">
        <v>4871</v>
      </c>
      <c r="L314" s="49" t="s">
        <v>4872</v>
      </c>
      <c r="M314" s="49" t="s">
        <v>4873</v>
      </c>
      <c r="N314" s="49" t="s">
        <v>4874</v>
      </c>
      <c r="O314" s="49" t="s">
        <v>9269</v>
      </c>
      <c r="P314" s="49" t="s">
        <v>9270</v>
      </c>
      <c r="Q314" s="49" t="s">
        <v>9271</v>
      </c>
      <c r="R314" s="49" t="s">
        <v>9272</v>
      </c>
      <c r="S314" s="49" t="s">
        <v>9273</v>
      </c>
      <c r="T314" s="49" t="s">
        <v>9274</v>
      </c>
    </row>
    <row r="315" spans="1:21" x14ac:dyDescent="0.2">
      <c r="A315" s="49" t="s">
        <v>30</v>
      </c>
    </row>
    <row r="316" spans="1:21" x14ac:dyDescent="0.2">
      <c r="A316" s="49" t="s">
        <v>30</v>
      </c>
      <c r="E316" s="49" t="s">
        <v>31</v>
      </c>
      <c r="F316" s="49" t="s">
        <v>31</v>
      </c>
      <c r="G316" s="49" t="s">
        <v>31</v>
      </c>
      <c r="J316" s="49" t="s">
        <v>31</v>
      </c>
      <c r="K316" s="49" t="s">
        <v>31</v>
      </c>
      <c r="L316" s="49" t="s">
        <v>31</v>
      </c>
      <c r="M316" s="49" t="s">
        <v>31</v>
      </c>
    </row>
    <row r="317" spans="1:21" x14ac:dyDescent="0.2">
      <c r="A317" s="49" t="s">
        <v>30</v>
      </c>
      <c r="D317" s="49" t="s">
        <v>33400</v>
      </c>
      <c r="E317" s="49" t="s">
        <v>5459</v>
      </c>
      <c r="F317" s="49" t="s">
        <v>33401</v>
      </c>
      <c r="H317" s="49" t="s">
        <v>33402</v>
      </c>
      <c r="O317" s="49" t="s">
        <v>33403</v>
      </c>
      <c r="P317" s="49" t="s">
        <v>33404</v>
      </c>
      <c r="Q317" s="49" t="s">
        <v>33405</v>
      </c>
      <c r="R317" s="49" t="s">
        <v>33406</v>
      </c>
      <c r="S317" s="49" t="s">
        <v>33407</v>
      </c>
      <c r="T317" s="49" t="s">
        <v>33408</v>
      </c>
      <c r="U317" s="49" t="s">
        <v>33409</v>
      </c>
    </row>
    <row r="318" spans="1:21" x14ac:dyDescent="0.2">
      <c r="A318" s="49" t="s">
        <v>30</v>
      </c>
      <c r="D318" s="49" t="s">
        <v>14442</v>
      </c>
      <c r="G318" s="49" t="s">
        <v>33410</v>
      </c>
      <c r="H318" s="49" t="s">
        <v>31588</v>
      </c>
      <c r="I318" s="49" t="s">
        <v>31590</v>
      </c>
      <c r="J318" s="49" t="s">
        <v>31646</v>
      </c>
      <c r="K318" s="49" t="s">
        <v>31648</v>
      </c>
      <c r="L318" s="49" t="s">
        <v>14444</v>
      </c>
      <c r="M318" s="49" t="s">
        <v>14445</v>
      </c>
      <c r="N318" s="49" t="s">
        <v>14446</v>
      </c>
      <c r="O318" s="49" t="s">
        <v>34672</v>
      </c>
      <c r="P318" s="49" t="s">
        <v>34673</v>
      </c>
      <c r="Q318" s="49" t="s">
        <v>34674</v>
      </c>
      <c r="R318" s="49" t="s">
        <v>34675</v>
      </c>
      <c r="S318" s="49" t="s">
        <v>34676</v>
      </c>
      <c r="T318" s="49" t="s">
        <v>34677</v>
      </c>
    </row>
    <row r="319" spans="1:21" x14ac:dyDescent="0.2">
      <c r="A319" s="49" t="s">
        <v>30</v>
      </c>
      <c r="D319" s="49" t="s">
        <v>2613</v>
      </c>
      <c r="G319" s="49" t="s">
        <v>15774</v>
      </c>
      <c r="H319" s="49" t="s">
        <v>2614</v>
      </c>
      <c r="I319" s="49" t="s">
        <v>2615</v>
      </c>
      <c r="J319" s="49" t="s">
        <v>2616</v>
      </c>
      <c r="K319" s="49" t="s">
        <v>2617</v>
      </c>
      <c r="L319" s="49" t="s">
        <v>2618</v>
      </c>
      <c r="M319" s="49" t="s">
        <v>2619</v>
      </c>
      <c r="N319" s="49" t="s">
        <v>2620</v>
      </c>
      <c r="O319" s="49" t="s">
        <v>10196</v>
      </c>
      <c r="P319" s="49" t="s">
        <v>10197</v>
      </c>
      <c r="Q319" s="49" t="s">
        <v>10198</v>
      </c>
      <c r="R319" s="49" t="s">
        <v>10199</v>
      </c>
      <c r="S319" s="49" t="s">
        <v>10200</v>
      </c>
      <c r="T319" s="49" t="s">
        <v>10201</v>
      </c>
    </row>
    <row r="320" spans="1:21" x14ac:dyDescent="0.2">
      <c r="A320" s="49" t="s">
        <v>30</v>
      </c>
      <c r="D320" s="49" t="s">
        <v>2446</v>
      </c>
      <c r="G320" s="49" t="s">
        <v>15784</v>
      </c>
      <c r="H320" s="49" t="s">
        <v>2447</v>
      </c>
      <c r="I320" s="49" t="s">
        <v>2448</v>
      </c>
      <c r="J320" s="49" t="s">
        <v>2449</v>
      </c>
      <c r="K320" s="49" t="s">
        <v>2450</v>
      </c>
      <c r="L320" s="49" t="s">
        <v>2451</v>
      </c>
      <c r="M320" s="49" t="s">
        <v>2452</v>
      </c>
      <c r="N320" s="49" t="s">
        <v>2453</v>
      </c>
      <c r="O320" s="49" t="s">
        <v>9752</v>
      </c>
      <c r="P320" s="49" t="s">
        <v>9753</v>
      </c>
      <c r="Q320" s="49" t="s">
        <v>9754</v>
      </c>
      <c r="R320" s="49" t="s">
        <v>9755</v>
      </c>
      <c r="S320" s="49" t="s">
        <v>9756</v>
      </c>
      <c r="T320" s="49" t="s">
        <v>9757</v>
      </c>
    </row>
    <row r="321" spans="1:21" x14ac:dyDescent="0.2">
      <c r="A321" s="49" t="s">
        <v>30</v>
      </c>
    </row>
    <row r="322" spans="1:21" x14ac:dyDescent="0.2">
      <c r="A322" s="49" t="s">
        <v>30</v>
      </c>
      <c r="E322" s="49" t="s">
        <v>31</v>
      </c>
      <c r="F322" s="49" t="s">
        <v>31</v>
      </c>
      <c r="G322" s="49" t="s">
        <v>31</v>
      </c>
      <c r="J322" s="49" t="s">
        <v>31</v>
      </c>
      <c r="K322" s="49" t="s">
        <v>31</v>
      </c>
      <c r="L322" s="49" t="s">
        <v>31</v>
      </c>
      <c r="M322" s="49" t="s">
        <v>31</v>
      </c>
    </row>
    <row r="323" spans="1:21" x14ac:dyDescent="0.2">
      <c r="A323" s="49" t="s">
        <v>30</v>
      </c>
      <c r="D323" s="49" t="s">
        <v>13879</v>
      </c>
      <c r="E323" s="49" t="s">
        <v>5498</v>
      </c>
      <c r="F323" s="49" t="s">
        <v>13880</v>
      </c>
      <c r="H323" s="49" t="s">
        <v>13881</v>
      </c>
      <c r="O323" s="49" t="s">
        <v>36173</v>
      </c>
      <c r="P323" s="49" t="s">
        <v>36174</v>
      </c>
      <c r="Q323" s="49" t="s">
        <v>36175</v>
      </c>
      <c r="R323" s="49" t="s">
        <v>36176</v>
      </c>
      <c r="S323" s="49" t="s">
        <v>36177</v>
      </c>
      <c r="T323" s="49" t="s">
        <v>36178</v>
      </c>
      <c r="U323" s="49" t="s">
        <v>36179</v>
      </c>
    </row>
    <row r="324" spans="1:21" x14ac:dyDescent="0.2">
      <c r="A324" s="49" t="s">
        <v>30</v>
      </c>
      <c r="D324" s="49" t="s">
        <v>2454</v>
      </c>
      <c r="G324" s="49" t="s">
        <v>13889</v>
      </c>
      <c r="H324" s="49" t="s">
        <v>2455</v>
      </c>
      <c r="I324" s="49" t="s">
        <v>2456</v>
      </c>
      <c r="J324" s="49" t="s">
        <v>2457</v>
      </c>
      <c r="K324" s="49" t="s">
        <v>2458</v>
      </c>
      <c r="L324" s="49" t="s">
        <v>2459</v>
      </c>
      <c r="M324" s="49" t="s">
        <v>2460</v>
      </c>
      <c r="N324" s="49" t="s">
        <v>2461</v>
      </c>
      <c r="O324" s="49" t="s">
        <v>10202</v>
      </c>
      <c r="P324" s="49" t="s">
        <v>10203</v>
      </c>
      <c r="Q324" s="49" t="s">
        <v>10204</v>
      </c>
      <c r="R324" s="49" t="s">
        <v>10205</v>
      </c>
      <c r="S324" s="49" t="s">
        <v>10206</v>
      </c>
      <c r="T324" s="49" t="s">
        <v>10207</v>
      </c>
    </row>
    <row r="325" spans="1:21" x14ac:dyDescent="0.2">
      <c r="A325" s="49" t="s">
        <v>30</v>
      </c>
      <c r="D325" s="49" t="s">
        <v>2161</v>
      </c>
      <c r="G325" s="49" t="s">
        <v>15805</v>
      </c>
      <c r="H325" s="49" t="s">
        <v>2162</v>
      </c>
      <c r="I325" s="49" t="s">
        <v>2163</v>
      </c>
      <c r="J325" s="49" t="s">
        <v>2164</v>
      </c>
      <c r="K325" s="49" t="s">
        <v>2165</v>
      </c>
      <c r="L325" s="49" t="s">
        <v>2166</v>
      </c>
      <c r="M325" s="49" t="s">
        <v>2167</v>
      </c>
      <c r="N325" s="49" t="s">
        <v>2168</v>
      </c>
      <c r="O325" s="49" t="s">
        <v>10208</v>
      </c>
      <c r="P325" s="49" t="s">
        <v>10209</v>
      </c>
      <c r="Q325" s="49" t="s">
        <v>10210</v>
      </c>
      <c r="R325" s="49" t="s">
        <v>10211</v>
      </c>
      <c r="S325" s="49" t="s">
        <v>10212</v>
      </c>
      <c r="T325" s="49" t="s">
        <v>10213</v>
      </c>
    </row>
    <row r="326" spans="1:21" x14ac:dyDescent="0.2">
      <c r="A326" s="49" t="s">
        <v>30</v>
      </c>
      <c r="D326" s="49" t="s">
        <v>1298</v>
      </c>
      <c r="G326" s="49" t="s">
        <v>15819</v>
      </c>
      <c r="H326" s="49" t="s">
        <v>1299</v>
      </c>
      <c r="I326" s="49" t="s">
        <v>1300</v>
      </c>
      <c r="J326" s="49" t="s">
        <v>1301</v>
      </c>
      <c r="K326" s="49" t="s">
        <v>1302</v>
      </c>
      <c r="L326" s="49" t="s">
        <v>1303</v>
      </c>
      <c r="M326" s="49" t="s">
        <v>1304</v>
      </c>
      <c r="N326" s="49" t="s">
        <v>1305</v>
      </c>
      <c r="O326" s="49" t="s">
        <v>9282</v>
      </c>
      <c r="P326" s="49" t="s">
        <v>9283</v>
      </c>
      <c r="Q326" s="49" t="s">
        <v>9284</v>
      </c>
      <c r="R326" s="49" t="s">
        <v>9285</v>
      </c>
      <c r="S326" s="49" t="s">
        <v>9286</v>
      </c>
      <c r="T326" s="49" t="s">
        <v>9287</v>
      </c>
    </row>
    <row r="327" spans="1:21" x14ac:dyDescent="0.2">
      <c r="A327" s="49" t="s">
        <v>30</v>
      </c>
      <c r="D327" s="49" t="s">
        <v>14455</v>
      </c>
      <c r="G327" s="49" t="s">
        <v>15821</v>
      </c>
      <c r="H327" s="49" t="s">
        <v>31589</v>
      </c>
      <c r="I327" s="49" t="s">
        <v>31591</v>
      </c>
      <c r="J327" s="49" t="s">
        <v>31647</v>
      </c>
      <c r="K327" s="49" t="s">
        <v>31649</v>
      </c>
      <c r="L327" s="49" t="s">
        <v>14457</v>
      </c>
      <c r="M327" s="49" t="s">
        <v>14458</v>
      </c>
      <c r="N327" s="49" t="s">
        <v>14459</v>
      </c>
      <c r="O327" s="49" t="s">
        <v>35863</v>
      </c>
      <c r="P327" s="49" t="s">
        <v>35864</v>
      </c>
      <c r="Q327" s="49" t="s">
        <v>35865</v>
      </c>
      <c r="R327" s="49" t="s">
        <v>35866</v>
      </c>
      <c r="S327" s="49" t="s">
        <v>35867</v>
      </c>
      <c r="T327" s="49" t="s">
        <v>35868</v>
      </c>
    </row>
    <row r="328" spans="1:21" x14ac:dyDescent="0.2">
      <c r="A328" s="49" t="s">
        <v>30</v>
      </c>
      <c r="D328" s="49" t="s">
        <v>2629</v>
      </c>
      <c r="G328" s="49" t="s">
        <v>15823</v>
      </c>
      <c r="H328" s="49" t="s">
        <v>2630</v>
      </c>
      <c r="I328" s="49" t="s">
        <v>2631</v>
      </c>
      <c r="J328" s="49" t="s">
        <v>2632</v>
      </c>
      <c r="K328" s="49" t="s">
        <v>2633</v>
      </c>
      <c r="L328" s="49" t="s">
        <v>2634</v>
      </c>
      <c r="M328" s="49" t="s">
        <v>2635</v>
      </c>
      <c r="N328" s="49" t="s">
        <v>2636</v>
      </c>
      <c r="O328" s="49" t="s">
        <v>9764</v>
      </c>
      <c r="P328" s="49" t="s">
        <v>9765</v>
      </c>
      <c r="Q328" s="49" t="s">
        <v>9766</v>
      </c>
      <c r="R328" s="49" t="s">
        <v>9767</v>
      </c>
      <c r="S328" s="49" t="s">
        <v>9768</v>
      </c>
      <c r="T328" s="49" t="s">
        <v>9769</v>
      </c>
    </row>
    <row r="329" spans="1:21" x14ac:dyDescent="0.2">
      <c r="A329" s="49" t="s">
        <v>30</v>
      </c>
    </row>
    <row r="330" spans="1:21" x14ac:dyDescent="0.2">
      <c r="A330" s="49" t="s">
        <v>30</v>
      </c>
      <c r="E330" s="49" t="s">
        <v>31</v>
      </c>
      <c r="F330" s="49" t="s">
        <v>31</v>
      </c>
      <c r="G330" s="49" t="s">
        <v>31</v>
      </c>
      <c r="J330" s="49" t="s">
        <v>31</v>
      </c>
      <c r="K330" s="49" t="s">
        <v>31</v>
      </c>
      <c r="L330" s="49" t="s">
        <v>31</v>
      </c>
      <c r="M330" s="49" t="s">
        <v>31</v>
      </c>
    </row>
    <row r="331" spans="1:21" x14ac:dyDescent="0.2">
      <c r="A331" s="49" t="s">
        <v>30</v>
      </c>
      <c r="D331" s="49" t="s">
        <v>32655</v>
      </c>
      <c r="E331" s="49" t="s">
        <v>5555</v>
      </c>
      <c r="F331" s="49" t="s">
        <v>32656</v>
      </c>
      <c r="H331" s="49" t="s">
        <v>32657</v>
      </c>
      <c r="O331" s="49" t="s">
        <v>36180</v>
      </c>
      <c r="P331" s="49" t="s">
        <v>36181</v>
      </c>
      <c r="Q331" s="49" t="s">
        <v>36182</v>
      </c>
      <c r="R331" s="49" t="s">
        <v>36183</v>
      </c>
      <c r="S331" s="49" t="s">
        <v>36184</v>
      </c>
      <c r="T331" s="49" t="s">
        <v>36185</v>
      </c>
      <c r="U331" s="49" t="s">
        <v>36186</v>
      </c>
    </row>
    <row r="332" spans="1:21" x14ac:dyDescent="0.2">
      <c r="A332" s="49" t="s">
        <v>30</v>
      </c>
      <c r="D332" s="49" t="s">
        <v>1322</v>
      </c>
      <c r="G332" s="49" t="s">
        <v>32665</v>
      </c>
      <c r="H332" s="49" t="s">
        <v>1323</v>
      </c>
      <c r="I332" s="49" t="s">
        <v>1324</v>
      </c>
      <c r="J332" s="49" t="s">
        <v>1325</v>
      </c>
      <c r="K332" s="49" t="s">
        <v>1326</v>
      </c>
      <c r="L332" s="49" t="s">
        <v>1327</v>
      </c>
      <c r="M332" s="49" t="s">
        <v>1328</v>
      </c>
      <c r="N332" s="49" t="s">
        <v>1329</v>
      </c>
      <c r="O332" s="49" t="s">
        <v>32666</v>
      </c>
      <c r="P332" s="49" t="s">
        <v>32667</v>
      </c>
      <c r="Q332" s="49" t="s">
        <v>32668</v>
      </c>
      <c r="R332" s="49" t="s">
        <v>32669</v>
      </c>
      <c r="S332" s="49" t="s">
        <v>32670</v>
      </c>
      <c r="T332" s="49" t="s">
        <v>32671</v>
      </c>
    </row>
    <row r="333" spans="1:21" x14ac:dyDescent="0.2">
      <c r="A333" s="49" t="s">
        <v>30</v>
      </c>
      <c r="D333" s="49" t="s">
        <v>1330</v>
      </c>
      <c r="G333" s="49" t="s">
        <v>15844</v>
      </c>
      <c r="H333" s="49" t="s">
        <v>1331</v>
      </c>
      <c r="I333" s="49" t="s">
        <v>1332</v>
      </c>
      <c r="J333" s="49" t="s">
        <v>1333</v>
      </c>
      <c r="K333" s="49" t="s">
        <v>1334</v>
      </c>
      <c r="L333" s="49" t="s">
        <v>1335</v>
      </c>
      <c r="M333" s="49" t="s">
        <v>1336</v>
      </c>
      <c r="N333" s="49" t="s">
        <v>1337</v>
      </c>
      <c r="O333" s="49" t="s">
        <v>13895</v>
      </c>
      <c r="P333" s="49" t="s">
        <v>13896</v>
      </c>
      <c r="Q333" s="49" t="s">
        <v>13897</v>
      </c>
      <c r="R333" s="49" t="s">
        <v>13898</v>
      </c>
      <c r="S333" s="49" t="s">
        <v>13899</v>
      </c>
      <c r="T333" s="49" t="s">
        <v>13900</v>
      </c>
    </row>
    <row r="334" spans="1:21" x14ac:dyDescent="0.2">
      <c r="A334" s="49" t="s">
        <v>30</v>
      </c>
      <c r="D334" s="49" t="s">
        <v>1338</v>
      </c>
      <c r="G334" s="49" t="s">
        <v>15845</v>
      </c>
      <c r="H334" s="49" t="s">
        <v>1339</v>
      </c>
      <c r="I334" s="49" t="s">
        <v>1340</v>
      </c>
      <c r="J334" s="49" t="s">
        <v>1341</v>
      </c>
      <c r="K334" s="49" t="s">
        <v>1342</v>
      </c>
      <c r="L334" s="49" t="s">
        <v>1343</v>
      </c>
      <c r="M334" s="49" t="s">
        <v>1344</v>
      </c>
      <c r="N334" s="49" t="s">
        <v>1345</v>
      </c>
      <c r="O334" s="49" t="s">
        <v>13293</v>
      </c>
      <c r="P334" s="49" t="s">
        <v>13294</v>
      </c>
      <c r="Q334" s="49" t="s">
        <v>13295</v>
      </c>
      <c r="R334" s="49" t="s">
        <v>13296</v>
      </c>
      <c r="S334" s="49" t="s">
        <v>13297</v>
      </c>
      <c r="T334" s="49" t="s">
        <v>13298</v>
      </c>
    </row>
    <row r="335" spans="1:21" x14ac:dyDescent="0.2">
      <c r="A335" s="49" t="s">
        <v>30</v>
      </c>
    </row>
    <row r="336" spans="1:21" x14ac:dyDescent="0.2">
      <c r="A336" s="49" t="s">
        <v>30</v>
      </c>
      <c r="E336" s="49" t="s">
        <v>31</v>
      </c>
      <c r="F336" s="49" t="s">
        <v>31</v>
      </c>
      <c r="G336" s="49" t="s">
        <v>31</v>
      </c>
      <c r="J336" s="49" t="s">
        <v>31</v>
      </c>
      <c r="K336" s="49" t="s">
        <v>31</v>
      </c>
      <c r="L336" s="49" t="s">
        <v>31</v>
      </c>
      <c r="M336" s="49" t="s">
        <v>31</v>
      </c>
    </row>
    <row r="337" spans="1:21" x14ac:dyDescent="0.2">
      <c r="A337" s="49" t="s">
        <v>30</v>
      </c>
      <c r="D337" s="49" t="s">
        <v>13509</v>
      </c>
      <c r="E337" s="49" t="s">
        <v>5584</v>
      </c>
      <c r="F337" s="49" t="s">
        <v>13510</v>
      </c>
      <c r="H337" s="49" t="s">
        <v>13511</v>
      </c>
      <c r="O337" s="49" t="s">
        <v>36187</v>
      </c>
      <c r="P337" s="49" t="s">
        <v>36188</v>
      </c>
      <c r="Q337" s="49" t="s">
        <v>36189</v>
      </c>
      <c r="R337" s="49" t="s">
        <v>36190</v>
      </c>
      <c r="S337" s="49" t="s">
        <v>36191</v>
      </c>
      <c r="T337" s="49" t="s">
        <v>36192</v>
      </c>
      <c r="U337" s="49" t="s">
        <v>36193</v>
      </c>
    </row>
    <row r="338" spans="1:21" x14ac:dyDescent="0.2">
      <c r="A338" s="49" t="s">
        <v>30</v>
      </c>
      <c r="D338" s="49" t="s">
        <v>2177</v>
      </c>
      <c r="G338" s="49" t="s">
        <v>13512</v>
      </c>
      <c r="H338" s="49" t="s">
        <v>2178</v>
      </c>
      <c r="I338" s="49" t="s">
        <v>2179</v>
      </c>
      <c r="J338" s="49" t="s">
        <v>2180</v>
      </c>
      <c r="K338" s="49" t="s">
        <v>2181</v>
      </c>
      <c r="L338" s="49" t="s">
        <v>2182</v>
      </c>
      <c r="M338" s="49" t="s">
        <v>2183</v>
      </c>
      <c r="N338" s="49" t="s">
        <v>2184</v>
      </c>
      <c r="O338" s="49" t="s">
        <v>9792</v>
      </c>
      <c r="P338" s="49" t="s">
        <v>9793</v>
      </c>
      <c r="Q338" s="49" t="s">
        <v>9794</v>
      </c>
      <c r="R338" s="49" t="s">
        <v>9795</v>
      </c>
      <c r="S338" s="49" t="s">
        <v>9796</v>
      </c>
      <c r="T338" s="49" t="s">
        <v>9797</v>
      </c>
    </row>
    <row r="339" spans="1:21" x14ac:dyDescent="0.2">
      <c r="A339" s="49" t="s">
        <v>30</v>
      </c>
      <c r="D339" s="49" t="s">
        <v>2462</v>
      </c>
      <c r="G339" s="49" t="s">
        <v>15866</v>
      </c>
      <c r="H339" s="49" t="s">
        <v>2463</v>
      </c>
      <c r="I339" s="49" t="s">
        <v>2464</v>
      </c>
      <c r="J339" s="49" t="s">
        <v>2465</v>
      </c>
      <c r="K339" s="49" t="s">
        <v>2466</v>
      </c>
      <c r="L339" s="49" t="s">
        <v>2467</v>
      </c>
      <c r="M339" s="49" t="s">
        <v>2468</v>
      </c>
      <c r="N339" s="49" t="s">
        <v>2469</v>
      </c>
      <c r="O339" s="49" t="s">
        <v>13303</v>
      </c>
      <c r="P339" s="49" t="s">
        <v>13304</v>
      </c>
      <c r="Q339" s="49" t="s">
        <v>13305</v>
      </c>
      <c r="R339" s="49" t="s">
        <v>13306</v>
      </c>
      <c r="S339" s="49" t="s">
        <v>13307</v>
      </c>
      <c r="T339" s="49" t="s">
        <v>13308</v>
      </c>
    </row>
    <row r="340" spans="1:21" x14ac:dyDescent="0.2">
      <c r="A340" s="49" t="s">
        <v>30</v>
      </c>
      <c r="D340" s="49" t="s">
        <v>1346</v>
      </c>
      <c r="G340" s="49" t="s">
        <v>15871</v>
      </c>
      <c r="H340" s="49" t="s">
        <v>1347</v>
      </c>
      <c r="I340" s="49" t="s">
        <v>1348</v>
      </c>
      <c r="J340" s="49" t="s">
        <v>1349</v>
      </c>
      <c r="K340" s="49" t="s">
        <v>1350</v>
      </c>
      <c r="L340" s="49" t="s">
        <v>1351</v>
      </c>
      <c r="M340" s="49" t="s">
        <v>1352</v>
      </c>
      <c r="N340" s="49" t="s">
        <v>1353</v>
      </c>
      <c r="O340" s="49" t="s">
        <v>10218</v>
      </c>
      <c r="P340" s="49" t="s">
        <v>10219</v>
      </c>
      <c r="Q340" s="49" t="s">
        <v>10220</v>
      </c>
      <c r="R340" s="49" t="s">
        <v>10221</v>
      </c>
      <c r="S340" s="49" t="s">
        <v>10222</v>
      </c>
      <c r="T340" s="49" t="s">
        <v>10223</v>
      </c>
    </row>
    <row r="341" spans="1:21" x14ac:dyDescent="0.2">
      <c r="A341" s="49" t="s">
        <v>30</v>
      </c>
      <c r="D341" s="49" t="s">
        <v>1354</v>
      </c>
      <c r="G341" s="49" t="s">
        <v>15881</v>
      </c>
      <c r="H341" s="49" t="s">
        <v>1355</v>
      </c>
      <c r="I341" s="49" t="s">
        <v>1356</v>
      </c>
      <c r="J341" s="49" t="s">
        <v>1357</v>
      </c>
      <c r="K341" s="49" t="s">
        <v>1358</v>
      </c>
      <c r="L341" s="49" t="s">
        <v>1359</v>
      </c>
      <c r="M341" s="49" t="s">
        <v>1360</v>
      </c>
      <c r="N341" s="49" t="s">
        <v>1361</v>
      </c>
      <c r="O341" s="49" t="s">
        <v>9303</v>
      </c>
      <c r="P341" s="49" t="s">
        <v>9304</v>
      </c>
      <c r="Q341" s="49" t="s">
        <v>9305</v>
      </c>
      <c r="R341" s="49" t="s">
        <v>9306</v>
      </c>
      <c r="S341" s="49" t="s">
        <v>9307</v>
      </c>
      <c r="T341" s="49" t="s">
        <v>9308</v>
      </c>
    </row>
    <row r="342" spans="1:21" x14ac:dyDescent="0.2">
      <c r="A342" s="49" t="s">
        <v>30</v>
      </c>
      <c r="D342" s="49" t="s">
        <v>1362</v>
      </c>
      <c r="G342" s="49" t="s">
        <v>15885</v>
      </c>
      <c r="H342" s="49" t="s">
        <v>1363</v>
      </c>
      <c r="I342" s="49" t="s">
        <v>1364</v>
      </c>
      <c r="J342" s="49" t="s">
        <v>1365</v>
      </c>
      <c r="K342" s="49" t="s">
        <v>1366</v>
      </c>
      <c r="L342" s="49" t="s">
        <v>1367</v>
      </c>
      <c r="M342" s="49" t="s">
        <v>1368</v>
      </c>
      <c r="N342" s="49" t="s">
        <v>1369</v>
      </c>
      <c r="O342" s="49" t="s">
        <v>9802</v>
      </c>
      <c r="P342" s="49" t="s">
        <v>9803</v>
      </c>
      <c r="Q342" s="49" t="s">
        <v>9804</v>
      </c>
      <c r="R342" s="49" t="s">
        <v>9805</v>
      </c>
      <c r="S342" s="49" t="s">
        <v>9806</v>
      </c>
      <c r="T342" s="49" t="s">
        <v>9807</v>
      </c>
    </row>
    <row r="343" spans="1:21" x14ac:dyDescent="0.2">
      <c r="A343" s="49" t="s">
        <v>30</v>
      </c>
    </row>
    <row r="344" spans="1:21" x14ac:dyDescent="0.2">
      <c r="A344" s="49" t="s">
        <v>30</v>
      </c>
      <c r="E344" s="49" t="s">
        <v>31</v>
      </c>
      <c r="F344" s="49" t="s">
        <v>31</v>
      </c>
      <c r="G344" s="49" t="s">
        <v>31</v>
      </c>
      <c r="J344" s="49" t="s">
        <v>31</v>
      </c>
      <c r="K344" s="49" t="s">
        <v>31</v>
      </c>
      <c r="L344" s="49" t="s">
        <v>31</v>
      </c>
      <c r="M344" s="49" t="s">
        <v>31</v>
      </c>
    </row>
    <row r="345" spans="1:21" x14ac:dyDescent="0.2">
      <c r="A345" s="49" t="s">
        <v>30</v>
      </c>
      <c r="D345" s="49" t="s">
        <v>10460</v>
      </c>
      <c r="E345" s="49" t="s">
        <v>5627</v>
      </c>
      <c r="F345" s="49" t="s">
        <v>10461</v>
      </c>
      <c r="H345" s="49" t="s">
        <v>10462</v>
      </c>
      <c r="O345" s="49" t="s">
        <v>36194</v>
      </c>
      <c r="P345" s="49" t="s">
        <v>36195</v>
      </c>
      <c r="Q345" s="49" t="s">
        <v>36196</v>
      </c>
      <c r="R345" s="49" t="s">
        <v>36197</v>
      </c>
      <c r="S345" s="49" t="s">
        <v>36198</v>
      </c>
      <c r="T345" s="49" t="s">
        <v>36199</v>
      </c>
      <c r="U345" s="49" t="s">
        <v>36200</v>
      </c>
    </row>
    <row r="346" spans="1:21" x14ac:dyDescent="0.2">
      <c r="A346" s="49" t="s">
        <v>30</v>
      </c>
      <c r="D346" s="49" t="s">
        <v>4302</v>
      </c>
      <c r="G346" s="49" t="s">
        <v>10463</v>
      </c>
      <c r="H346" s="49" t="s">
        <v>4303</v>
      </c>
      <c r="I346" s="49" t="s">
        <v>4304</v>
      </c>
      <c r="J346" s="49" t="s">
        <v>4305</v>
      </c>
      <c r="K346" s="49" t="s">
        <v>4306</v>
      </c>
      <c r="L346" s="49" t="s">
        <v>4307</v>
      </c>
      <c r="M346" s="49" t="s">
        <v>4308</v>
      </c>
      <c r="N346" s="49" t="s">
        <v>4309</v>
      </c>
      <c r="O346" s="49" t="s">
        <v>9315</v>
      </c>
      <c r="P346" s="49" t="s">
        <v>9316</v>
      </c>
      <c r="Q346" s="49" t="s">
        <v>9317</v>
      </c>
      <c r="R346" s="49" t="s">
        <v>9318</v>
      </c>
      <c r="S346" s="49" t="s">
        <v>9319</v>
      </c>
      <c r="T346" s="49" t="s">
        <v>9320</v>
      </c>
    </row>
    <row r="347" spans="1:21" x14ac:dyDescent="0.2">
      <c r="A347" s="49" t="s">
        <v>30</v>
      </c>
      <c r="D347" s="49" t="s">
        <v>4921</v>
      </c>
      <c r="G347" s="49" t="s">
        <v>15906</v>
      </c>
      <c r="H347" s="49" t="s">
        <v>4922</v>
      </c>
      <c r="I347" s="49" t="s">
        <v>4923</v>
      </c>
      <c r="J347" s="49" t="s">
        <v>4924</v>
      </c>
      <c r="K347" s="49" t="s">
        <v>4925</v>
      </c>
      <c r="L347" s="49" t="s">
        <v>4926</v>
      </c>
      <c r="M347" s="49" t="s">
        <v>4927</v>
      </c>
      <c r="N347" s="49" t="s">
        <v>4928</v>
      </c>
      <c r="O347" s="49" t="s">
        <v>9814</v>
      </c>
      <c r="P347" s="49" t="s">
        <v>9815</v>
      </c>
      <c r="Q347" s="49" t="s">
        <v>9816</v>
      </c>
      <c r="R347" s="49" t="s">
        <v>9817</v>
      </c>
      <c r="S347" s="49" t="s">
        <v>9818</v>
      </c>
      <c r="T347" s="49" t="s">
        <v>9819</v>
      </c>
    </row>
    <row r="348" spans="1:21" x14ac:dyDescent="0.2">
      <c r="A348" s="49" t="s">
        <v>30</v>
      </c>
      <c r="D348" s="49" t="s">
        <v>4935</v>
      </c>
      <c r="G348" s="49" t="s">
        <v>15912</v>
      </c>
      <c r="H348" s="49" t="s">
        <v>4936</v>
      </c>
      <c r="I348" s="49" t="s">
        <v>4937</v>
      </c>
      <c r="J348" s="49" t="s">
        <v>4938</v>
      </c>
      <c r="K348" s="49" t="s">
        <v>4939</v>
      </c>
      <c r="L348" s="49" t="s">
        <v>4940</v>
      </c>
      <c r="M348" s="49" t="s">
        <v>4941</v>
      </c>
      <c r="N348" s="49" t="s">
        <v>4942</v>
      </c>
      <c r="O348" s="49" t="s">
        <v>10464</v>
      </c>
      <c r="P348" s="49" t="s">
        <v>10465</v>
      </c>
      <c r="Q348" s="49" t="s">
        <v>10466</v>
      </c>
      <c r="R348" s="49" t="s">
        <v>10467</v>
      </c>
      <c r="S348" s="49" t="s">
        <v>10468</v>
      </c>
      <c r="T348" s="49" t="s">
        <v>10469</v>
      </c>
    </row>
    <row r="349" spans="1:21" x14ac:dyDescent="0.2">
      <c r="A349" s="49" t="s">
        <v>30</v>
      </c>
      <c r="D349" s="49" t="s">
        <v>10470</v>
      </c>
      <c r="G349" s="49" t="s">
        <v>15917</v>
      </c>
      <c r="H349" s="49" t="s">
        <v>10471</v>
      </c>
      <c r="I349" s="49" t="s">
        <v>10472</v>
      </c>
      <c r="J349" s="49" t="s">
        <v>10473</v>
      </c>
      <c r="K349" s="49" t="s">
        <v>10474</v>
      </c>
      <c r="L349" s="49" t="s">
        <v>10475</v>
      </c>
      <c r="M349" s="49" t="s">
        <v>10476</v>
      </c>
      <c r="N349" s="49" t="s">
        <v>10477</v>
      </c>
      <c r="O349" s="49" t="s">
        <v>10478</v>
      </c>
      <c r="P349" s="49" t="s">
        <v>10479</v>
      </c>
      <c r="Q349" s="49" t="s">
        <v>10480</v>
      </c>
      <c r="R349" s="49" t="s">
        <v>10481</v>
      </c>
      <c r="S349" s="49" t="s">
        <v>10482</v>
      </c>
      <c r="T349" s="49" t="s">
        <v>10483</v>
      </c>
    </row>
    <row r="350" spans="1:21" x14ac:dyDescent="0.2">
      <c r="A350" s="49" t="s">
        <v>30</v>
      </c>
      <c r="D350" s="49" t="s">
        <v>1386</v>
      </c>
      <c r="G350" s="49" t="s">
        <v>15922</v>
      </c>
      <c r="H350" s="49" t="s">
        <v>1387</v>
      </c>
      <c r="I350" s="49" t="s">
        <v>1388</v>
      </c>
      <c r="J350" s="49" t="s">
        <v>1389</v>
      </c>
      <c r="K350" s="49" t="s">
        <v>1390</v>
      </c>
      <c r="L350" s="49" t="s">
        <v>1391</v>
      </c>
      <c r="M350" s="49" t="s">
        <v>1392</v>
      </c>
      <c r="N350" s="49" t="s">
        <v>1393</v>
      </c>
      <c r="O350" s="49" t="s">
        <v>35857</v>
      </c>
      <c r="P350" s="49" t="s">
        <v>35858</v>
      </c>
      <c r="Q350" s="49" t="s">
        <v>35859</v>
      </c>
      <c r="R350" s="49" t="s">
        <v>35860</v>
      </c>
      <c r="S350" s="49" t="s">
        <v>35861</v>
      </c>
      <c r="T350" s="49" t="s">
        <v>35862</v>
      </c>
    </row>
    <row r="351" spans="1:21" x14ac:dyDescent="0.2">
      <c r="A351" s="49" t="s">
        <v>30</v>
      </c>
    </row>
    <row r="352" spans="1:21" x14ac:dyDescent="0.2">
      <c r="A352" s="49" t="s">
        <v>30</v>
      </c>
      <c r="E352" s="49" t="s">
        <v>31</v>
      </c>
      <c r="F352" s="49" t="s">
        <v>31</v>
      </c>
      <c r="G352" s="49" t="s">
        <v>31</v>
      </c>
      <c r="J352" s="49" t="s">
        <v>31</v>
      </c>
      <c r="K352" s="49" t="s">
        <v>31</v>
      </c>
      <c r="L352" s="49" t="s">
        <v>31</v>
      </c>
      <c r="M352" s="49" t="s">
        <v>31</v>
      </c>
    </row>
    <row r="353" spans="1:21" x14ac:dyDescent="0.2">
      <c r="A353" s="49" t="s">
        <v>30</v>
      </c>
      <c r="D353" s="49" t="s">
        <v>10841</v>
      </c>
      <c r="E353" s="49" t="s">
        <v>5698</v>
      </c>
      <c r="F353" s="49" t="s">
        <v>10842</v>
      </c>
      <c r="H353" s="49" t="s">
        <v>10843</v>
      </c>
      <c r="O353" s="49" t="s">
        <v>10844</v>
      </c>
      <c r="P353" s="49" t="s">
        <v>10845</v>
      </c>
      <c r="Q353" s="49" t="s">
        <v>10846</v>
      </c>
      <c r="R353" s="49" t="s">
        <v>10847</v>
      </c>
      <c r="S353" s="49" t="s">
        <v>10848</v>
      </c>
      <c r="T353" s="49" t="s">
        <v>10849</v>
      </c>
      <c r="U353" s="49" t="s">
        <v>10850</v>
      </c>
    </row>
    <row r="354" spans="1:21" x14ac:dyDescent="0.2">
      <c r="A354" s="49" t="s">
        <v>30</v>
      </c>
      <c r="D354" s="49" t="s">
        <v>2763</v>
      </c>
      <c r="G354" s="49" t="s">
        <v>36201</v>
      </c>
      <c r="H354" s="49" t="s">
        <v>2764</v>
      </c>
      <c r="I354" s="49" t="s">
        <v>2765</v>
      </c>
      <c r="J354" s="49" t="s">
        <v>2766</v>
      </c>
      <c r="K354" s="49" t="s">
        <v>2767</v>
      </c>
      <c r="L354" s="49" t="s">
        <v>2768</v>
      </c>
      <c r="M354" s="49" t="s">
        <v>2769</v>
      </c>
      <c r="N354" s="49" t="s">
        <v>2770</v>
      </c>
      <c r="O354" s="49" t="s">
        <v>10501</v>
      </c>
      <c r="P354" s="49" t="s">
        <v>10502</v>
      </c>
      <c r="Q354" s="49" t="s">
        <v>10503</v>
      </c>
      <c r="R354" s="49" t="s">
        <v>10504</v>
      </c>
      <c r="S354" s="49" t="s">
        <v>10505</v>
      </c>
      <c r="T354" s="49" t="s">
        <v>10506</v>
      </c>
    </row>
    <row r="355" spans="1:21" x14ac:dyDescent="0.2">
      <c r="A355" s="49" t="s">
        <v>30</v>
      </c>
      <c r="D355" s="49" t="s">
        <v>1402</v>
      </c>
      <c r="G355" s="49" t="s">
        <v>15954</v>
      </c>
      <c r="H355" s="49" t="s">
        <v>1403</v>
      </c>
      <c r="I355" s="49" t="s">
        <v>1404</v>
      </c>
      <c r="J355" s="49" t="s">
        <v>1405</v>
      </c>
      <c r="K355" s="49" t="s">
        <v>1406</v>
      </c>
      <c r="L355" s="49" t="s">
        <v>1407</v>
      </c>
      <c r="M355" s="49" t="s">
        <v>1408</v>
      </c>
      <c r="N355" s="49" t="s">
        <v>1409</v>
      </c>
      <c r="O355" s="49" t="s">
        <v>9331</v>
      </c>
      <c r="P355" s="49" t="s">
        <v>9332</v>
      </c>
      <c r="Q355" s="49" t="s">
        <v>9333</v>
      </c>
      <c r="R355" s="49" t="s">
        <v>9334</v>
      </c>
      <c r="S355" s="49" t="s">
        <v>9335</v>
      </c>
      <c r="T355" s="49" t="s">
        <v>9336</v>
      </c>
    </row>
    <row r="356" spans="1:21" x14ac:dyDescent="0.2">
      <c r="A356" s="49" t="s">
        <v>30</v>
      </c>
      <c r="D356" s="49" t="s">
        <v>1410</v>
      </c>
      <c r="G356" s="49" t="s">
        <v>15957</v>
      </c>
      <c r="H356" s="49" t="s">
        <v>1411</v>
      </c>
      <c r="I356" s="49" t="s">
        <v>1412</v>
      </c>
      <c r="J356" s="49" t="s">
        <v>1413</v>
      </c>
      <c r="K356" s="49" t="s">
        <v>1414</v>
      </c>
      <c r="L356" s="49" t="s">
        <v>1415</v>
      </c>
      <c r="M356" s="49" t="s">
        <v>1416</v>
      </c>
      <c r="N356" s="49" t="s">
        <v>1417</v>
      </c>
      <c r="O356" s="49" t="s">
        <v>34660</v>
      </c>
      <c r="P356" s="49" t="s">
        <v>34661</v>
      </c>
      <c r="Q356" s="49" t="s">
        <v>34662</v>
      </c>
      <c r="R356" s="49" t="s">
        <v>34663</v>
      </c>
      <c r="S356" s="49" t="s">
        <v>34664</v>
      </c>
      <c r="T356" s="49" t="s">
        <v>34665</v>
      </c>
    </row>
    <row r="357" spans="1:21" x14ac:dyDescent="0.2">
      <c r="A357" s="49" t="s">
        <v>30</v>
      </c>
      <c r="D357" s="49" t="s">
        <v>1418</v>
      </c>
      <c r="G357" s="49" t="s">
        <v>15958</v>
      </c>
      <c r="H357" s="49" t="s">
        <v>1419</v>
      </c>
      <c r="I357" s="49" t="s">
        <v>1420</v>
      </c>
      <c r="J357" s="49" t="s">
        <v>1421</v>
      </c>
      <c r="K357" s="49" t="s">
        <v>1422</v>
      </c>
      <c r="L357" s="49" t="s">
        <v>1423</v>
      </c>
      <c r="M357" s="49" t="s">
        <v>1424</v>
      </c>
      <c r="N357" s="49" t="s">
        <v>1425</v>
      </c>
      <c r="O357" s="49" t="s">
        <v>32705</v>
      </c>
      <c r="P357" s="49" t="s">
        <v>32706</v>
      </c>
      <c r="Q357" s="49" t="s">
        <v>32707</v>
      </c>
      <c r="R357" s="49" t="s">
        <v>32708</v>
      </c>
      <c r="S357" s="49" t="s">
        <v>32709</v>
      </c>
      <c r="T357" s="49" t="s">
        <v>32710</v>
      </c>
    </row>
    <row r="358" spans="1:21" x14ac:dyDescent="0.2">
      <c r="A358" s="49" t="s">
        <v>30</v>
      </c>
    </row>
    <row r="359" spans="1:21" x14ac:dyDescent="0.2">
      <c r="A359" s="49" t="s">
        <v>30</v>
      </c>
      <c r="E359" s="49" t="s">
        <v>31</v>
      </c>
      <c r="F359" s="49" t="s">
        <v>31</v>
      </c>
      <c r="G359" s="49" t="s">
        <v>31</v>
      </c>
      <c r="J359" s="49" t="s">
        <v>31</v>
      </c>
      <c r="K359" s="49" t="s">
        <v>31</v>
      </c>
      <c r="L359" s="49" t="s">
        <v>31</v>
      </c>
      <c r="M359" s="49" t="s">
        <v>31</v>
      </c>
    </row>
    <row r="360" spans="1:21" x14ac:dyDescent="0.2">
      <c r="A360" s="49" t="s">
        <v>30</v>
      </c>
      <c r="D360" s="49" t="s">
        <v>4950</v>
      </c>
      <c r="E360" s="49" t="s">
        <v>5805</v>
      </c>
      <c r="F360" s="49" t="s">
        <v>4952</v>
      </c>
      <c r="H360" s="49" t="s">
        <v>4953</v>
      </c>
      <c r="O360" s="49" t="s">
        <v>32711</v>
      </c>
      <c r="P360" s="49" t="s">
        <v>32712</v>
      </c>
      <c r="Q360" s="49" t="s">
        <v>32713</v>
      </c>
      <c r="R360" s="49" t="s">
        <v>32714</v>
      </c>
      <c r="S360" s="49" t="s">
        <v>32715</v>
      </c>
      <c r="T360" s="49" t="s">
        <v>32716</v>
      </c>
      <c r="U360" s="49" t="s">
        <v>32717</v>
      </c>
    </row>
    <row r="361" spans="1:21" x14ac:dyDescent="0.2">
      <c r="A361" s="49" t="s">
        <v>30</v>
      </c>
      <c r="D361" s="49" t="s">
        <v>4954</v>
      </c>
      <c r="G361" s="49" t="s">
        <v>32718</v>
      </c>
      <c r="H361" s="49" t="s">
        <v>4955</v>
      </c>
      <c r="I361" s="49" t="s">
        <v>4956</v>
      </c>
      <c r="J361" s="49" t="s">
        <v>4957</v>
      </c>
      <c r="K361" s="49" t="s">
        <v>4958</v>
      </c>
      <c r="L361" s="49" t="s">
        <v>4959</v>
      </c>
      <c r="M361" s="49" t="s">
        <v>4960</v>
      </c>
      <c r="N361" s="49" t="s">
        <v>4961</v>
      </c>
      <c r="O361" s="49" t="s">
        <v>10224</v>
      </c>
      <c r="P361" s="49" t="s">
        <v>10225</v>
      </c>
      <c r="Q361" s="49" t="s">
        <v>10226</v>
      </c>
      <c r="R361" s="49" t="s">
        <v>10227</v>
      </c>
      <c r="S361" s="49" t="s">
        <v>10228</v>
      </c>
      <c r="T361" s="49" t="s">
        <v>10229</v>
      </c>
    </row>
    <row r="362" spans="1:21" x14ac:dyDescent="0.2">
      <c r="A362" s="49" t="s">
        <v>30</v>
      </c>
      <c r="D362" s="49" t="s">
        <v>2478</v>
      </c>
      <c r="G362" s="49" t="s">
        <v>15999</v>
      </c>
      <c r="H362" s="49" t="s">
        <v>2479</v>
      </c>
      <c r="I362" s="49" t="s">
        <v>2480</v>
      </c>
      <c r="J362" s="49" t="s">
        <v>2481</v>
      </c>
      <c r="K362" s="49" t="s">
        <v>2482</v>
      </c>
      <c r="L362" s="49" t="s">
        <v>2483</v>
      </c>
      <c r="M362" s="49" t="s">
        <v>2484</v>
      </c>
      <c r="N362" s="49" t="s">
        <v>2485</v>
      </c>
      <c r="O362" s="49" t="s">
        <v>10230</v>
      </c>
      <c r="P362" s="49" t="s">
        <v>10231</v>
      </c>
      <c r="Q362" s="49" t="s">
        <v>10232</v>
      </c>
      <c r="R362" s="49" t="s">
        <v>10233</v>
      </c>
      <c r="S362" s="49" t="s">
        <v>10234</v>
      </c>
      <c r="T362" s="49" t="s">
        <v>10235</v>
      </c>
    </row>
    <row r="363" spans="1:21" x14ac:dyDescent="0.2">
      <c r="A363" s="49" t="s">
        <v>30</v>
      </c>
      <c r="D363" s="49" t="s">
        <v>1434</v>
      </c>
      <c r="G363" s="49" t="s">
        <v>16001</v>
      </c>
      <c r="H363" s="49" t="s">
        <v>1435</v>
      </c>
      <c r="I363" s="49" t="s">
        <v>1436</v>
      </c>
      <c r="J363" s="49" t="s">
        <v>1437</v>
      </c>
      <c r="K363" s="49" t="s">
        <v>1438</v>
      </c>
      <c r="L363" s="49" t="s">
        <v>1439</v>
      </c>
      <c r="M363" s="49" t="s">
        <v>1440</v>
      </c>
      <c r="N363" s="49" t="s">
        <v>1441</v>
      </c>
      <c r="O363" s="49" t="s">
        <v>10517</v>
      </c>
      <c r="P363" s="49" t="s">
        <v>10518</v>
      </c>
      <c r="Q363" s="49" t="s">
        <v>10519</v>
      </c>
      <c r="R363" s="49" t="s">
        <v>10520</v>
      </c>
      <c r="S363" s="49" t="s">
        <v>10521</v>
      </c>
      <c r="T363" s="49" t="s">
        <v>10522</v>
      </c>
    </row>
    <row r="364" spans="1:21" x14ac:dyDescent="0.2">
      <c r="A364" s="49" t="s">
        <v>30</v>
      </c>
      <c r="D364" s="49" t="s">
        <v>1442</v>
      </c>
      <c r="G364" s="49" t="s">
        <v>16018</v>
      </c>
      <c r="H364" s="49" t="s">
        <v>1443</v>
      </c>
      <c r="I364" s="49" t="s">
        <v>1444</v>
      </c>
      <c r="J364" s="49" t="s">
        <v>1445</v>
      </c>
      <c r="K364" s="49" t="s">
        <v>1446</v>
      </c>
      <c r="L364" s="49" t="s">
        <v>1447</v>
      </c>
      <c r="M364" s="49" t="s">
        <v>1448</v>
      </c>
      <c r="N364" s="49" t="s">
        <v>1449</v>
      </c>
      <c r="O364" s="49" t="s">
        <v>32990</v>
      </c>
      <c r="P364" s="49" t="s">
        <v>32991</v>
      </c>
      <c r="Q364" s="49" t="s">
        <v>32992</v>
      </c>
      <c r="R364" s="49" t="s">
        <v>32993</v>
      </c>
      <c r="S364" s="49" t="s">
        <v>32994</v>
      </c>
      <c r="T364" s="49" t="s">
        <v>32995</v>
      </c>
    </row>
    <row r="365" spans="1:21" x14ac:dyDescent="0.2">
      <c r="A365" s="49" t="s">
        <v>30</v>
      </c>
    </row>
    <row r="366" spans="1:21" x14ac:dyDescent="0.2">
      <c r="A366" s="49" t="s">
        <v>30</v>
      </c>
      <c r="E366" s="49" t="s">
        <v>31</v>
      </c>
      <c r="F366" s="49" t="s">
        <v>31</v>
      </c>
      <c r="G366" s="49" t="s">
        <v>31</v>
      </c>
      <c r="J366" s="49" t="s">
        <v>31</v>
      </c>
      <c r="K366" s="49" t="s">
        <v>31</v>
      </c>
      <c r="L366" s="49" t="s">
        <v>31</v>
      </c>
      <c r="M366" s="49" t="s">
        <v>31</v>
      </c>
    </row>
    <row r="367" spans="1:21" x14ac:dyDescent="0.2">
      <c r="A367" s="49" t="s">
        <v>30</v>
      </c>
      <c r="D367" s="49" t="s">
        <v>32719</v>
      </c>
      <c r="E367" s="49" t="s">
        <v>5890</v>
      </c>
      <c r="F367" s="49" t="s">
        <v>32720</v>
      </c>
      <c r="H367" s="49" t="s">
        <v>32721</v>
      </c>
      <c r="O367" s="49" t="s">
        <v>36202</v>
      </c>
      <c r="P367" s="49" t="s">
        <v>36203</v>
      </c>
      <c r="Q367" s="49" t="s">
        <v>36204</v>
      </c>
      <c r="R367" s="49" t="s">
        <v>36205</v>
      </c>
      <c r="S367" s="49" t="s">
        <v>36206</v>
      </c>
      <c r="T367" s="49" t="s">
        <v>36207</v>
      </c>
      <c r="U367" s="49" t="s">
        <v>36208</v>
      </c>
    </row>
    <row r="368" spans="1:21" x14ac:dyDescent="0.2">
      <c r="A368" s="49" t="s">
        <v>30</v>
      </c>
      <c r="D368" s="49" t="s">
        <v>32729</v>
      </c>
      <c r="G368" s="49" t="s">
        <v>32730</v>
      </c>
      <c r="H368" s="49" t="s">
        <v>32731</v>
      </c>
      <c r="I368" s="49" t="s">
        <v>32732</v>
      </c>
      <c r="J368" s="49" t="s">
        <v>32733</v>
      </c>
      <c r="K368" s="49" t="s">
        <v>32734</v>
      </c>
      <c r="L368" s="49" t="s">
        <v>32735</v>
      </c>
      <c r="M368" s="49" t="s">
        <v>32736</v>
      </c>
      <c r="N368" s="49" t="s">
        <v>32737</v>
      </c>
      <c r="O368" s="49" t="s">
        <v>32738</v>
      </c>
      <c r="P368" s="49" t="s">
        <v>32739</v>
      </c>
      <c r="Q368" s="49" t="s">
        <v>32740</v>
      </c>
      <c r="R368" s="49" t="s">
        <v>32741</v>
      </c>
      <c r="S368" s="49" t="s">
        <v>32742</v>
      </c>
      <c r="T368" s="49" t="s">
        <v>32743</v>
      </c>
    </row>
    <row r="369" spans="1:21" x14ac:dyDescent="0.2">
      <c r="A369" s="49" t="s">
        <v>30</v>
      </c>
      <c r="D369" s="49" t="s">
        <v>2185</v>
      </c>
      <c r="G369" s="49" t="s">
        <v>16044</v>
      </c>
      <c r="H369" s="49" t="s">
        <v>2186</v>
      </c>
      <c r="I369" s="49" t="s">
        <v>2187</v>
      </c>
      <c r="J369" s="49" t="s">
        <v>2188</v>
      </c>
      <c r="K369" s="49" t="s">
        <v>2189</v>
      </c>
      <c r="L369" s="49" t="s">
        <v>2190</v>
      </c>
      <c r="M369" s="49" t="s">
        <v>2191</v>
      </c>
      <c r="N369" s="49" t="s">
        <v>2192</v>
      </c>
      <c r="O369" s="49" t="s">
        <v>38135</v>
      </c>
      <c r="P369" s="49" t="s">
        <v>38136</v>
      </c>
      <c r="Q369" s="49" t="s">
        <v>38137</v>
      </c>
      <c r="R369" s="49" t="s">
        <v>38138</v>
      </c>
      <c r="S369" s="49" t="s">
        <v>38139</v>
      </c>
      <c r="T369" s="49" t="s">
        <v>38140</v>
      </c>
    </row>
    <row r="370" spans="1:21" x14ac:dyDescent="0.2">
      <c r="A370" s="49" t="s">
        <v>30</v>
      </c>
      <c r="D370" s="49" t="s">
        <v>2193</v>
      </c>
      <c r="G370" s="49" t="s">
        <v>16050</v>
      </c>
      <c r="H370" s="49" t="s">
        <v>2194</v>
      </c>
      <c r="I370" s="49" t="s">
        <v>2195</v>
      </c>
      <c r="J370" s="49" t="s">
        <v>2196</v>
      </c>
      <c r="K370" s="49" t="s">
        <v>2197</v>
      </c>
      <c r="L370" s="49" t="s">
        <v>2198</v>
      </c>
      <c r="M370" s="49" t="s">
        <v>2199</v>
      </c>
      <c r="N370" s="49" t="s">
        <v>2200</v>
      </c>
      <c r="O370" s="49" t="s">
        <v>9371</v>
      </c>
      <c r="P370" s="49" t="s">
        <v>9372</v>
      </c>
      <c r="Q370" s="49" t="s">
        <v>9373</v>
      </c>
      <c r="R370" s="49" t="s">
        <v>9374</v>
      </c>
      <c r="S370" s="49" t="s">
        <v>9375</v>
      </c>
      <c r="T370" s="49" t="s">
        <v>9376</v>
      </c>
    </row>
    <row r="371" spans="1:21" x14ac:dyDescent="0.2">
      <c r="A371" s="49" t="s">
        <v>30</v>
      </c>
      <c r="D371" s="49" t="s">
        <v>1474</v>
      </c>
      <c r="G371" s="49" t="s">
        <v>16051</v>
      </c>
      <c r="H371" s="49" t="s">
        <v>1475</v>
      </c>
      <c r="I371" s="49" t="s">
        <v>1476</v>
      </c>
      <c r="J371" s="49" t="s">
        <v>1477</v>
      </c>
      <c r="K371" s="49" t="s">
        <v>1478</v>
      </c>
      <c r="L371" s="49" t="s">
        <v>1479</v>
      </c>
      <c r="M371" s="49" t="s">
        <v>1480</v>
      </c>
      <c r="N371" s="49" t="s">
        <v>1481</v>
      </c>
      <c r="O371" s="49" t="s">
        <v>10248</v>
      </c>
      <c r="P371" s="49" t="s">
        <v>10249</v>
      </c>
      <c r="Q371" s="49" t="s">
        <v>10250</v>
      </c>
      <c r="R371" s="49" t="s">
        <v>10251</v>
      </c>
      <c r="S371" s="49" t="s">
        <v>10252</v>
      </c>
      <c r="T371" s="49" t="s">
        <v>10253</v>
      </c>
    </row>
    <row r="372" spans="1:21" x14ac:dyDescent="0.2">
      <c r="A372" s="49" t="s">
        <v>30</v>
      </c>
      <c r="D372" s="49" t="s">
        <v>14519</v>
      </c>
      <c r="G372" s="49" t="s">
        <v>16053</v>
      </c>
      <c r="H372" s="49" t="s">
        <v>31482</v>
      </c>
      <c r="I372" s="49" t="s">
        <v>31485</v>
      </c>
      <c r="J372" s="49" t="s">
        <v>31524</v>
      </c>
      <c r="K372" s="49" t="s">
        <v>31527</v>
      </c>
      <c r="L372" s="49" t="s">
        <v>14521</v>
      </c>
      <c r="M372" s="49" t="s">
        <v>14522</v>
      </c>
      <c r="N372" s="49" t="s">
        <v>14523</v>
      </c>
      <c r="O372" s="49" t="s">
        <v>32755</v>
      </c>
      <c r="P372" s="49" t="s">
        <v>32756</v>
      </c>
      <c r="Q372" s="49" t="s">
        <v>32757</v>
      </c>
      <c r="R372" s="49" t="s">
        <v>32758</v>
      </c>
      <c r="S372" s="49" t="s">
        <v>32759</v>
      </c>
      <c r="T372" s="49" t="s">
        <v>32760</v>
      </c>
    </row>
    <row r="373" spans="1:21" x14ac:dyDescent="0.2">
      <c r="A373" s="49" t="s">
        <v>30</v>
      </c>
    </row>
    <row r="374" spans="1:21" x14ac:dyDescent="0.2">
      <c r="A374" s="49" t="s">
        <v>30</v>
      </c>
      <c r="E374" s="49" t="s">
        <v>31</v>
      </c>
      <c r="F374" s="49" t="s">
        <v>31</v>
      </c>
      <c r="G374" s="49" t="s">
        <v>31</v>
      </c>
      <c r="J374" s="49" t="s">
        <v>31</v>
      </c>
      <c r="K374" s="49" t="s">
        <v>31</v>
      </c>
      <c r="L374" s="49" t="s">
        <v>31</v>
      </c>
      <c r="M374" s="49" t="s">
        <v>31</v>
      </c>
    </row>
    <row r="375" spans="1:21" x14ac:dyDescent="0.2">
      <c r="A375" s="49" t="s">
        <v>30</v>
      </c>
      <c r="D375" s="49" t="s">
        <v>32761</v>
      </c>
      <c r="E375" s="49" t="s">
        <v>5985</v>
      </c>
      <c r="F375" s="49" t="s">
        <v>32762</v>
      </c>
      <c r="H375" s="49" t="s">
        <v>32763</v>
      </c>
      <c r="O375" s="49" t="s">
        <v>36209</v>
      </c>
      <c r="P375" s="49" t="s">
        <v>36210</v>
      </c>
      <c r="Q375" s="49" t="s">
        <v>36211</v>
      </c>
      <c r="R375" s="49" t="s">
        <v>36212</v>
      </c>
      <c r="S375" s="49" t="s">
        <v>36213</v>
      </c>
      <c r="T375" s="49" t="s">
        <v>36214</v>
      </c>
      <c r="U375" s="49" t="s">
        <v>36215</v>
      </c>
    </row>
    <row r="376" spans="1:21" x14ac:dyDescent="0.2">
      <c r="A376" s="49" t="s">
        <v>30</v>
      </c>
      <c r="D376" s="49" t="s">
        <v>2494</v>
      </c>
      <c r="G376" s="49" t="s">
        <v>32771</v>
      </c>
      <c r="H376" s="49" t="s">
        <v>2495</v>
      </c>
      <c r="I376" s="49" t="s">
        <v>2496</v>
      </c>
      <c r="J376" s="49" t="s">
        <v>2497</v>
      </c>
      <c r="K376" s="49" t="s">
        <v>2498</v>
      </c>
      <c r="L376" s="49" t="s">
        <v>2499</v>
      </c>
      <c r="M376" s="49" t="s">
        <v>2500</v>
      </c>
      <c r="N376" s="49" t="s">
        <v>2501</v>
      </c>
      <c r="O376" s="49" t="s">
        <v>10523</v>
      </c>
      <c r="P376" s="49" t="s">
        <v>10524</v>
      </c>
      <c r="Q376" s="49" t="s">
        <v>10525</v>
      </c>
      <c r="R376" s="49" t="s">
        <v>10526</v>
      </c>
      <c r="S376" s="49" t="s">
        <v>10527</v>
      </c>
      <c r="T376" s="49" t="s">
        <v>10528</v>
      </c>
    </row>
    <row r="377" spans="1:21" x14ac:dyDescent="0.2">
      <c r="A377" s="49" t="s">
        <v>30</v>
      </c>
      <c r="D377" s="49" t="s">
        <v>10863</v>
      </c>
      <c r="G377" s="49" t="s">
        <v>16096</v>
      </c>
      <c r="H377" s="49" t="s">
        <v>10864</v>
      </c>
      <c r="I377" s="49" t="s">
        <v>10865</v>
      </c>
      <c r="J377" s="49" t="s">
        <v>10866</v>
      </c>
      <c r="K377" s="49" t="s">
        <v>10867</v>
      </c>
      <c r="L377" s="49" t="s">
        <v>10868</v>
      </c>
      <c r="M377" s="49" t="s">
        <v>10869</v>
      </c>
      <c r="N377" s="49" t="s">
        <v>10870</v>
      </c>
      <c r="O377" s="49" t="s">
        <v>13330</v>
      </c>
      <c r="P377" s="49" t="s">
        <v>13331</v>
      </c>
      <c r="Q377" s="49" t="s">
        <v>13332</v>
      </c>
      <c r="R377" s="49" t="s">
        <v>13333</v>
      </c>
      <c r="S377" s="49" t="s">
        <v>13334</v>
      </c>
      <c r="T377" s="49" t="s">
        <v>13335</v>
      </c>
    </row>
    <row r="378" spans="1:21" x14ac:dyDescent="0.2">
      <c r="A378" s="49" t="s">
        <v>30</v>
      </c>
      <c r="D378" s="49" t="s">
        <v>1482</v>
      </c>
      <c r="G378" s="49" t="s">
        <v>16099</v>
      </c>
      <c r="H378" s="49" t="s">
        <v>1483</v>
      </c>
      <c r="I378" s="49" t="s">
        <v>1484</v>
      </c>
      <c r="J378" s="49" t="s">
        <v>1485</v>
      </c>
      <c r="K378" s="49" t="s">
        <v>1486</v>
      </c>
      <c r="L378" s="49" t="s">
        <v>1487</v>
      </c>
      <c r="M378" s="49" t="s">
        <v>1488</v>
      </c>
      <c r="N378" s="49" t="s">
        <v>1489</v>
      </c>
      <c r="O378" s="49" t="s">
        <v>9820</v>
      </c>
      <c r="P378" s="49" t="s">
        <v>9821</v>
      </c>
      <c r="Q378" s="49" t="s">
        <v>9822</v>
      </c>
      <c r="R378" s="49" t="s">
        <v>9823</v>
      </c>
      <c r="S378" s="49" t="s">
        <v>9824</v>
      </c>
      <c r="T378" s="49" t="s">
        <v>9825</v>
      </c>
    </row>
    <row r="379" spans="1:21" x14ac:dyDescent="0.2">
      <c r="A379" s="49" t="s">
        <v>30</v>
      </c>
      <c r="D379" s="49" t="s">
        <v>1490</v>
      </c>
      <c r="G379" s="49" t="s">
        <v>16101</v>
      </c>
      <c r="H379" s="49" t="s">
        <v>1491</v>
      </c>
      <c r="I379" s="49" t="s">
        <v>1492</v>
      </c>
      <c r="J379" s="49" t="s">
        <v>1493</v>
      </c>
      <c r="K379" s="49" t="s">
        <v>1494</v>
      </c>
      <c r="L379" s="49" t="s">
        <v>1495</v>
      </c>
      <c r="M379" s="49" t="s">
        <v>1496</v>
      </c>
      <c r="N379" s="49" t="s">
        <v>1497</v>
      </c>
      <c r="O379" s="49" t="s">
        <v>9377</v>
      </c>
      <c r="P379" s="49" t="s">
        <v>9378</v>
      </c>
      <c r="Q379" s="49" t="s">
        <v>9379</v>
      </c>
      <c r="R379" s="49" t="s">
        <v>9380</v>
      </c>
      <c r="S379" s="49" t="s">
        <v>9381</v>
      </c>
      <c r="T379" s="49" t="s">
        <v>9382</v>
      </c>
    </row>
    <row r="380" spans="1:21" x14ac:dyDescent="0.2">
      <c r="A380" s="49" t="s">
        <v>30</v>
      </c>
      <c r="D380" s="49" t="s">
        <v>1498</v>
      </c>
      <c r="G380" s="49" t="s">
        <v>16104</v>
      </c>
      <c r="H380" s="49" t="s">
        <v>1499</v>
      </c>
      <c r="I380" s="49" t="s">
        <v>1500</v>
      </c>
      <c r="J380" s="49" t="s">
        <v>1501</v>
      </c>
      <c r="K380" s="49" t="s">
        <v>1502</v>
      </c>
      <c r="L380" s="49" t="s">
        <v>1503</v>
      </c>
      <c r="M380" s="49" t="s">
        <v>1504</v>
      </c>
      <c r="N380" s="49" t="s">
        <v>1505</v>
      </c>
      <c r="O380" s="49" t="s">
        <v>10529</v>
      </c>
      <c r="P380" s="49" t="s">
        <v>10530</v>
      </c>
      <c r="Q380" s="49" t="s">
        <v>10531</v>
      </c>
      <c r="R380" s="49" t="s">
        <v>10532</v>
      </c>
      <c r="S380" s="49" t="s">
        <v>10533</v>
      </c>
      <c r="T380" s="49" t="s">
        <v>10534</v>
      </c>
    </row>
    <row r="381" spans="1:21" x14ac:dyDescent="0.2">
      <c r="A381" s="49" t="s">
        <v>30</v>
      </c>
      <c r="D381" s="49" t="s">
        <v>1506</v>
      </c>
      <c r="G381" s="49" t="s">
        <v>16109</v>
      </c>
      <c r="H381" s="49" t="s">
        <v>1507</v>
      </c>
      <c r="I381" s="49" t="s">
        <v>1508</v>
      </c>
      <c r="J381" s="49" t="s">
        <v>1509</v>
      </c>
      <c r="K381" s="49" t="s">
        <v>1510</v>
      </c>
      <c r="L381" s="49" t="s">
        <v>1511</v>
      </c>
      <c r="M381" s="49" t="s">
        <v>1512</v>
      </c>
      <c r="N381" s="49" t="s">
        <v>1513</v>
      </c>
      <c r="O381" s="49" t="s">
        <v>10535</v>
      </c>
      <c r="P381" s="49" t="s">
        <v>10536</v>
      </c>
      <c r="Q381" s="49" t="s">
        <v>10537</v>
      </c>
      <c r="R381" s="49" t="s">
        <v>10538</v>
      </c>
      <c r="S381" s="49" t="s">
        <v>10539</v>
      </c>
      <c r="T381" s="49" t="s">
        <v>10540</v>
      </c>
    </row>
    <row r="382" spans="1:21" x14ac:dyDescent="0.2">
      <c r="A382" s="49" t="s">
        <v>30</v>
      </c>
      <c r="D382" s="49" t="s">
        <v>1514</v>
      </c>
      <c r="G382" s="49" t="s">
        <v>16120</v>
      </c>
      <c r="H382" s="49" t="s">
        <v>1515</v>
      </c>
      <c r="I382" s="49" t="s">
        <v>1516</v>
      </c>
      <c r="J382" s="49" t="s">
        <v>1517</v>
      </c>
      <c r="K382" s="49" t="s">
        <v>1518</v>
      </c>
      <c r="L382" s="49" t="s">
        <v>1519</v>
      </c>
      <c r="M382" s="49" t="s">
        <v>1520</v>
      </c>
      <c r="N382" s="49" t="s">
        <v>1521</v>
      </c>
      <c r="O382" s="49" t="s">
        <v>13336</v>
      </c>
      <c r="P382" s="49" t="s">
        <v>13337</v>
      </c>
      <c r="Q382" s="49" t="s">
        <v>13338</v>
      </c>
      <c r="R382" s="49" t="s">
        <v>13339</v>
      </c>
      <c r="S382" s="49" t="s">
        <v>13340</v>
      </c>
      <c r="T382" s="49" t="s">
        <v>13341</v>
      </c>
    </row>
    <row r="383" spans="1:21" x14ac:dyDescent="0.2">
      <c r="A383" s="49" t="s">
        <v>30</v>
      </c>
      <c r="D383" s="49" t="s">
        <v>1522</v>
      </c>
      <c r="G383" s="49" t="s">
        <v>16121</v>
      </c>
      <c r="H383" s="49" t="s">
        <v>1523</v>
      </c>
      <c r="I383" s="49" t="s">
        <v>1524</v>
      </c>
      <c r="J383" s="49" t="s">
        <v>1525</v>
      </c>
      <c r="K383" s="49" t="s">
        <v>1526</v>
      </c>
      <c r="L383" s="49" t="s">
        <v>1527</v>
      </c>
      <c r="M383" s="49" t="s">
        <v>1528</v>
      </c>
      <c r="N383" s="49" t="s">
        <v>1529</v>
      </c>
      <c r="O383" s="49" t="s">
        <v>34654</v>
      </c>
      <c r="P383" s="49" t="s">
        <v>34655</v>
      </c>
      <c r="Q383" s="49" t="s">
        <v>34656</v>
      </c>
      <c r="R383" s="49" t="s">
        <v>34657</v>
      </c>
      <c r="S383" s="49" t="s">
        <v>34658</v>
      </c>
      <c r="T383" s="49" t="s">
        <v>34659</v>
      </c>
    </row>
    <row r="384" spans="1:21" x14ac:dyDescent="0.2">
      <c r="A384" s="49" t="s">
        <v>30</v>
      </c>
      <c r="D384" s="49" t="s">
        <v>1530</v>
      </c>
      <c r="G384" s="49" t="s">
        <v>16125</v>
      </c>
      <c r="H384" s="49" t="s">
        <v>1531</v>
      </c>
      <c r="I384" s="49" t="s">
        <v>1532</v>
      </c>
      <c r="J384" s="49" t="s">
        <v>1533</v>
      </c>
      <c r="K384" s="49" t="s">
        <v>1534</v>
      </c>
      <c r="L384" s="49" t="s">
        <v>1535</v>
      </c>
      <c r="M384" s="49" t="s">
        <v>1536</v>
      </c>
      <c r="N384" s="49" t="s">
        <v>1537</v>
      </c>
      <c r="O384" s="49" t="s">
        <v>13916</v>
      </c>
      <c r="P384" s="49" t="s">
        <v>13917</v>
      </c>
      <c r="Q384" s="49" t="s">
        <v>13918</v>
      </c>
      <c r="R384" s="49" t="s">
        <v>13919</v>
      </c>
      <c r="S384" s="49" t="s">
        <v>13920</v>
      </c>
      <c r="T384" s="49" t="s">
        <v>13921</v>
      </c>
    </row>
    <row r="385" spans="1:21" x14ac:dyDescent="0.2">
      <c r="A385" s="49" t="s">
        <v>30</v>
      </c>
    </row>
    <row r="386" spans="1:21" x14ac:dyDescent="0.2">
      <c r="A386" s="49" t="s">
        <v>30</v>
      </c>
      <c r="E386" s="49" t="s">
        <v>31</v>
      </c>
      <c r="F386" s="49" t="s">
        <v>31</v>
      </c>
      <c r="G386" s="49" t="s">
        <v>31</v>
      </c>
      <c r="J386" s="49" t="s">
        <v>31</v>
      </c>
      <c r="K386" s="49" t="s">
        <v>31</v>
      </c>
      <c r="L386" s="49" t="s">
        <v>31</v>
      </c>
      <c r="M386" s="49" t="s">
        <v>31</v>
      </c>
    </row>
    <row r="387" spans="1:21" x14ac:dyDescent="0.2">
      <c r="A387" s="49" t="s">
        <v>30</v>
      </c>
      <c r="D387" s="49" t="s">
        <v>32790</v>
      </c>
      <c r="E387" s="49" t="s">
        <v>6114</v>
      </c>
      <c r="F387" s="49" t="s">
        <v>32791</v>
      </c>
      <c r="H387" s="49" t="s">
        <v>32792</v>
      </c>
      <c r="O387" s="49" t="s">
        <v>36216</v>
      </c>
      <c r="P387" s="49" t="s">
        <v>36217</v>
      </c>
      <c r="Q387" s="49" t="s">
        <v>36218</v>
      </c>
      <c r="R387" s="49" t="s">
        <v>36219</v>
      </c>
      <c r="S387" s="49" t="s">
        <v>36220</v>
      </c>
      <c r="T387" s="49" t="s">
        <v>36221</v>
      </c>
      <c r="U387" s="49" t="s">
        <v>36222</v>
      </c>
    </row>
    <row r="388" spans="1:21" x14ac:dyDescent="0.2">
      <c r="A388" s="49" t="s">
        <v>30</v>
      </c>
      <c r="D388" s="49" t="s">
        <v>14555</v>
      </c>
      <c r="G388" s="49" t="s">
        <v>32800</v>
      </c>
      <c r="H388" s="49" t="s">
        <v>31385</v>
      </c>
      <c r="I388" s="49" t="s">
        <v>31393</v>
      </c>
      <c r="J388" s="49" t="s">
        <v>31467</v>
      </c>
      <c r="K388" s="49" t="s">
        <v>31475</v>
      </c>
      <c r="L388" s="49" t="s">
        <v>14557</v>
      </c>
      <c r="M388" s="49" t="s">
        <v>14558</v>
      </c>
      <c r="N388" s="49" t="s">
        <v>14559</v>
      </c>
      <c r="O388" s="49" t="s">
        <v>32984</v>
      </c>
      <c r="P388" s="49" t="s">
        <v>32985</v>
      </c>
      <c r="Q388" s="49" t="s">
        <v>32986</v>
      </c>
      <c r="R388" s="49" t="s">
        <v>32987</v>
      </c>
      <c r="S388" s="49" t="s">
        <v>32988</v>
      </c>
      <c r="T388" s="49" t="s">
        <v>32989</v>
      </c>
    </row>
    <row r="389" spans="1:21" x14ac:dyDescent="0.2">
      <c r="A389" s="49" t="s">
        <v>30</v>
      </c>
      <c r="D389" s="49" t="s">
        <v>2201</v>
      </c>
      <c r="G389" s="49" t="s">
        <v>16153</v>
      </c>
      <c r="H389" s="49" t="s">
        <v>2202</v>
      </c>
      <c r="I389" s="49" t="s">
        <v>2203</v>
      </c>
      <c r="J389" s="49" t="s">
        <v>2204</v>
      </c>
      <c r="K389" s="49" t="s">
        <v>2205</v>
      </c>
      <c r="L389" s="49" t="s">
        <v>2206</v>
      </c>
      <c r="M389" s="49" t="s">
        <v>2207</v>
      </c>
      <c r="N389" s="49" t="s">
        <v>2208</v>
      </c>
      <c r="O389" s="49" t="s">
        <v>10547</v>
      </c>
      <c r="P389" s="49" t="s">
        <v>10548</v>
      </c>
      <c r="Q389" s="49" t="s">
        <v>10549</v>
      </c>
      <c r="R389" s="49" t="s">
        <v>10550</v>
      </c>
      <c r="S389" s="49" t="s">
        <v>10551</v>
      </c>
      <c r="T389" s="49" t="s">
        <v>10552</v>
      </c>
    </row>
    <row r="390" spans="1:21" x14ac:dyDescent="0.2">
      <c r="A390" s="49" t="s">
        <v>30</v>
      </c>
      <c r="D390" s="49" t="s">
        <v>2209</v>
      </c>
      <c r="G390" s="49" t="s">
        <v>16155</v>
      </c>
      <c r="H390" s="49" t="s">
        <v>2210</v>
      </c>
      <c r="I390" s="49" t="s">
        <v>2211</v>
      </c>
      <c r="J390" s="49" t="s">
        <v>2212</v>
      </c>
      <c r="K390" s="49" t="s">
        <v>2213</v>
      </c>
      <c r="L390" s="49" t="s">
        <v>2214</v>
      </c>
      <c r="M390" s="49" t="s">
        <v>2215</v>
      </c>
      <c r="N390" s="49" t="s">
        <v>2216</v>
      </c>
      <c r="O390" s="49" t="s">
        <v>10553</v>
      </c>
      <c r="P390" s="49" t="s">
        <v>10554</v>
      </c>
      <c r="Q390" s="49" t="s">
        <v>10555</v>
      </c>
      <c r="R390" s="49" t="s">
        <v>10556</v>
      </c>
      <c r="S390" s="49" t="s">
        <v>10557</v>
      </c>
      <c r="T390" s="49" t="s">
        <v>10558</v>
      </c>
    </row>
    <row r="391" spans="1:21" x14ac:dyDescent="0.2">
      <c r="A391" s="49" t="s">
        <v>30</v>
      </c>
      <c r="D391" s="49" t="s">
        <v>1554</v>
      </c>
      <c r="G391" s="49" t="s">
        <v>16156</v>
      </c>
      <c r="H391" s="49" t="s">
        <v>1555</v>
      </c>
      <c r="I391" s="49" t="s">
        <v>1556</v>
      </c>
      <c r="J391" s="49" t="s">
        <v>1557</v>
      </c>
      <c r="K391" s="49" t="s">
        <v>1558</v>
      </c>
      <c r="L391" s="49" t="s">
        <v>1559</v>
      </c>
      <c r="M391" s="49" t="s">
        <v>1560</v>
      </c>
      <c r="N391" s="49" t="s">
        <v>1561</v>
      </c>
      <c r="O391" s="49" t="s">
        <v>34642</v>
      </c>
      <c r="P391" s="49" t="s">
        <v>34644</v>
      </c>
      <c r="Q391" s="49" t="s">
        <v>34646</v>
      </c>
      <c r="R391" s="49" t="s">
        <v>34648</v>
      </c>
      <c r="S391" s="49" t="s">
        <v>34650</v>
      </c>
      <c r="T391" s="49" t="s">
        <v>34652</v>
      </c>
    </row>
    <row r="392" spans="1:21" x14ac:dyDescent="0.2">
      <c r="A392" s="49" t="s">
        <v>30</v>
      </c>
      <c r="D392" s="49" t="s">
        <v>14563</v>
      </c>
      <c r="G392" s="49" t="s">
        <v>16159</v>
      </c>
      <c r="H392" s="49" t="s">
        <v>31386</v>
      </c>
      <c r="I392" s="49" t="s">
        <v>31394</v>
      </c>
      <c r="J392" s="49" t="s">
        <v>31468</v>
      </c>
      <c r="K392" s="49" t="s">
        <v>31476</v>
      </c>
      <c r="L392" s="49" t="s">
        <v>14565</v>
      </c>
      <c r="M392" s="49" t="s">
        <v>14566</v>
      </c>
      <c r="N392" s="49" t="s">
        <v>14567</v>
      </c>
      <c r="O392" s="49" t="s">
        <v>34643</v>
      </c>
      <c r="P392" s="49" t="s">
        <v>34645</v>
      </c>
      <c r="Q392" s="49" t="s">
        <v>34647</v>
      </c>
      <c r="R392" s="49" t="s">
        <v>34649</v>
      </c>
      <c r="S392" s="49" t="s">
        <v>34651</v>
      </c>
      <c r="T392" s="49" t="s">
        <v>34653</v>
      </c>
    </row>
    <row r="393" spans="1:21" x14ac:dyDescent="0.2">
      <c r="A393" s="49" t="s">
        <v>30</v>
      </c>
      <c r="D393" s="49" t="s">
        <v>4971</v>
      </c>
      <c r="G393" s="49" t="s">
        <v>16175</v>
      </c>
      <c r="H393" s="49" t="s">
        <v>4972</v>
      </c>
      <c r="I393" s="49" t="s">
        <v>4973</v>
      </c>
      <c r="J393" s="49" t="s">
        <v>4974</v>
      </c>
      <c r="K393" s="49" t="s">
        <v>4975</v>
      </c>
      <c r="L393" s="49" t="s">
        <v>4976</v>
      </c>
      <c r="M393" s="49" t="s">
        <v>4977</v>
      </c>
      <c r="N393" s="49" t="s">
        <v>4978</v>
      </c>
      <c r="O393" s="49" t="s">
        <v>9383</v>
      </c>
      <c r="P393" s="49" t="s">
        <v>9384</v>
      </c>
      <c r="Q393" s="49" t="s">
        <v>9385</v>
      </c>
      <c r="R393" s="49" t="s">
        <v>9386</v>
      </c>
      <c r="S393" s="49" t="s">
        <v>9387</v>
      </c>
      <c r="T393" s="49" t="s">
        <v>9388</v>
      </c>
    </row>
    <row r="394" spans="1:21" x14ac:dyDescent="0.2">
      <c r="A394" s="49" t="s">
        <v>30</v>
      </c>
      <c r="D394" s="49" t="s">
        <v>4979</v>
      </c>
      <c r="G394" s="49" t="s">
        <v>16177</v>
      </c>
      <c r="H394" s="49" t="s">
        <v>4980</v>
      </c>
      <c r="I394" s="49" t="s">
        <v>4981</v>
      </c>
      <c r="J394" s="49" t="s">
        <v>4982</v>
      </c>
      <c r="K394" s="49" t="s">
        <v>4983</v>
      </c>
      <c r="L394" s="49" t="s">
        <v>4984</v>
      </c>
      <c r="M394" s="49" t="s">
        <v>4985</v>
      </c>
      <c r="N394" s="49" t="s">
        <v>4986</v>
      </c>
      <c r="O394" s="49" t="s">
        <v>9389</v>
      </c>
      <c r="P394" s="49" t="s">
        <v>9390</v>
      </c>
      <c r="Q394" s="49" t="s">
        <v>9391</v>
      </c>
      <c r="R394" s="49" t="s">
        <v>9392</v>
      </c>
      <c r="S394" s="49" t="s">
        <v>9393</v>
      </c>
      <c r="T394" s="49" t="s">
        <v>9394</v>
      </c>
    </row>
    <row r="395" spans="1:21" x14ac:dyDescent="0.2">
      <c r="A395" s="49" t="s">
        <v>30</v>
      </c>
      <c r="D395" s="49" t="s">
        <v>1565</v>
      </c>
      <c r="G395" s="49" t="s">
        <v>16182</v>
      </c>
      <c r="H395" s="49" t="s">
        <v>1566</v>
      </c>
      <c r="I395" s="49" t="s">
        <v>1567</v>
      </c>
      <c r="J395" s="49" t="s">
        <v>1568</v>
      </c>
      <c r="K395" s="49" t="s">
        <v>1569</v>
      </c>
      <c r="L395" s="49" t="s">
        <v>1570</v>
      </c>
      <c r="M395" s="49" t="s">
        <v>1571</v>
      </c>
      <c r="N395" s="49" t="s">
        <v>1572</v>
      </c>
      <c r="O395" s="49" t="s">
        <v>38129</v>
      </c>
      <c r="P395" s="49" t="s">
        <v>38130</v>
      </c>
      <c r="Q395" s="49" t="s">
        <v>38131</v>
      </c>
      <c r="R395" s="49" t="s">
        <v>38132</v>
      </c>
      <c r="S395" s="49" t="s">
        <v>38133</v>
      </c>
      <c r="T395" s="49" t="s">
        <v>38134</v>
      </c>
    </row>
    <row r="396" spans="1:21" x14ac:dyDescent="0.2">
      <c r="A396" s="49" t="s">
        <v>30</v>
      </c>
    </row>
    <row r="397" spans="1:21" x14ac:dyDescent="0.2">
      <c r="A397" s="49" t="s">
        <v>30</v>
      </c>
      <c r="E397" s="49" t="s">
        <v>31</v>
      </c>
      <c r="F397" s="49" t="s">
        <v>31</v>
      </c>
      <c r="G397" s="49" t="s">
        <v>31</v>
      </c>
      <c r="J397" s="49" t="s">
        <v>31</v>
      </c>
      <c r="K397" s="49" t="s">
        <v>31</v>
      </c>
      <c r="L397" s="49" t="s">
        <v>31</v>
      </c>
      <c r="M397" s="49" t="s">
        <v>31</v>
      </c>
    </row>
    <row r="398" spans="1:21" x14ac:dyDescent="0.2">
      <c r="A398" s="49" t="s">
        <v>30</v>
      </c>
      <c r="D398" s="49" t="s">
        <v>36223</v>
      </c>
      <c r="E398" s="49" t="s">
        <v>6242</v>
      </c>
      <c r="F398" s="49" t="s">
        <v>36224</v>
      </c>
      <c r="H398" s="49" t="s">
        <v>36225</v>
      </c>
      <c r="O398" s="49" t="s">
        <v>36226</v>
      </c>
      <c r="P398" s="49" t="s">
        <v>36227</v>
      </c>
      <c r="Q398" s="49" t="s">
        <v>36228</v>
      </c>
      <c r="R398" s="49" t="s">
        <v>36229</v>
      </c>
      <c r="S398" s="49" t="s">
        <v>36230</v>
      </c>
      <c r="T398" s="49" t="s">
        <v>36231</v>
      </c>
      <c r="U398" s="49" t="s">
        <v>36232</v>
      </c>
    </row>
    <row r="399" spans="1:21" x14ac:dyDescent="0.2">
      <c r="A399" s="49" t="s">
        <v>30</v>
      </c>
      <c r="D399" s="49" t="s">
        <v>14574</v>
      </c>
      <c r="G399" s="49" t="s">
        <v>36233</v>
      </c>
      <c r="H399" s="49" t="s">
        <v>31387</v>
      </c>
      <c r="I399" s="49" t="s">
        <v>31395</v>
      </c>
      <c r="J399" s="49" t="s">
        <v>31469</v>
      </c>
      <c r="K399" s="49" t="s">
        <v>31477</v>
      </c>
      <c r="L399" s="49" t="s">
        <v>14576</v>
      </c>
      <c r="M399" s="49" t="s">
        <v>14577</v>
      </c>
      <c r="N399" s="49" t="s">
        <v>14578</v>
      </c>
      <c r="O399" s="49" t="s">
        <v>32808</v>
      </c>
      <c r="P399" s="49" t="s">
        <v>32809</v>
      </c>
      <c r="Q399" s="49" t="s">
        <v>32810</v>
      </c>
      <c r="R399" s="49" t="s">
        <v>32811</v>
      </c>
      <c r="S399" s="49" t="s">
        <v>32812</v>
      </c>
      <c r="T399" s="49" t="s">
        <v>32813</v>
      </c>
    </row>
    <row r="400" spans="1:21" x14ac:dyDescent="0.2">
      <c r="A400" s="49" t="s">
        <v>30</v>
      </c>
      <c r="D400" s="49" t="s">
        <v>14579</v>
      </c>
      <c r="G400" s="49" t="s">
        <v>16231</v>
      </c>
      <c r="H400" s="49" t="s">
        <v>31388</v>
      </c>
      <c r="I400" s="49" t="s">
        <v>31396</v>
      </c>
      <c r="J400" s="49" t="s">
        <v>31470</v>
      </c>
      <c r="K400" s="49" t="s">
        <v>31478</v>
      </c>
      <c r="L400" s="49" t="s">
        <v>14581</v>
      </c>
      <c r="M400" s="49" t="s">
        <v>14582</v>
      </c>
      <c r="N400" s="49" t="s">
        <v>14583</v>
      </c>
      <c r="O400" s="49" t="s">
        <v>35839</v>
      </c>
      <c r="P400" s="49" t="s">
        <v>35840</v>
      </c>
      <c r="Q400" s="49" t="s">
        <v>35841</v>
      </c>
      <c r="R400" s="49" t="s">
        <v>35842</v>
      </c>
      <c r="S400" s="49" t="s">
        <v>35843</v>
      </c>
      <c r="T400" s="49" t="s">
        <v>35844</v>
      </c>
    </row>
    <row r="401" spans="1:21" x14ac:dyDescent="0.2">
      <c r="A401" s="49" t="s">
        <v>30</v>
      </c>
      <c r="D401" s="49" t="s">
        <v>14584</v>
      </c>
      <c r="G401" s="49" t="s">
        <v>16237</v>
      </c>
      <c r="H401" s="49" t="s">
        <v>31389</v>
      </c>
      <c r="I401" s="49" t="s">
        <v>31397</v>
      </c>
      <c r="J401" s="49" t="s">
        <v>31471</v>
      </c>
      <c r="K401" s="49" t="s">
        <v>31479</v>
      </c>
      <c r="L401" s="49" t="s">
        <v>14586</v>
      </c>
      <c r="M401" s="49" t="s">
        <v>14587</v>
      </c>
      <c r="N401" s="49" t="s">
        <v>14588</v>
      </c>
      <c r="O401" s="49" t="s">
        <v>38123</v>
      </c>
      <c r="P401" s="49" t="s">
        <v>38124</v>
      </c>
      <c r="Q401" s="49" t="s">
        <v>38125</v>
      </c>
      <c r="R401" s="49" t="s">
        <v>38126</v>
      </c>
      <c r="S401" s="49" t="s">
        <v>38127</v>
      </c>
      <c r="T401" s="49" t="s">
        <v>38128</v>
      </c>
    </row>
    <row r="402" spans="1:21" x14ac:dyDescent="0.2">
      <c r="A402" s="49" t="s">
        <v>30</v>
      </c>
    </row>
    <row r="403" spans="1:21" x14ac:dyDescent="0.2">
      <c r="A403" s="49" t="s">
        <v>30</v>
      </c>
      <c r="E403" s="49" t="s">
        <v>31</v>
      </c>
      <c r="F403" s="49" t="s">
        <v>31</v>
      </c>
      <c r="G403" s="49" t="s">
        <v>31</v>
      </c>
      <c r="J403" s="49" t="s">
        <v>31</v>
      </c>
      <c r="K403" s="49" t="s">
        <v>31</v>
      </c>
      <c r="L403" s="49" t="s">
        <v>31</v>
      </c>
      <c r="M403" s="49" t="s">
        <v>31</v>
      </c>
    </row>
    <row r="404" spans="1:21" x14ac:dyDescent="0.2">
      <c r="A404" s="49" t="s">
        <v>30</v>
      </c>
      <c r="D404" s="49" t="s">
        <v>36234</v>
      </c>
      <c r="E404" s="49" t="s">
        <v>6351</v>
      </c>
      <c r="F404" s="49" t="s">
        <v>36235</v>
      </c>
      <c r="H404" s="49" t="s">
        <v>36236</v>
      </c>
      <c r="O404" s="49" t="s">
        <v>36237</v>
      </c>
      <c r="P404" s="49" t="s">
        <v>36238</v>
      </c>
      <c r="Q404" s="49" t="s">
        <v>36239</v>
      </c>
      <c r="R404" s="49" t="s">
        <v>36240</v>
      </c>
      <c r="S404" s="49" t="s">
        <v>36241</v>
      </c>
      <c r="T404" s="49" t="s">
        <v>36242</v>
      </c>
      <c r="U404" s="49" t="s">
        <v>36243</v>
      </c>
    </row>
    <row r="405" spans="1:21" x14ac:dyDescent="0.2">
      <c r="A405" s="49" t="s">
        <v>30</v>
      </c>
      <c r="D405" s="49" t="s">
        <v>14596</v>
      </c>
      <c r="G405" s="49" t="s">
        <v>36244</v>
      </c>
      <c r="H405" s="49" t="s">
        <v>31391</v>
      </c>
      <c r="I405" s="49" t="s">
        <v>31399</v>
      </c>
      <c r="J405" s="49" t="s">
        <v>31473</v>
      </c>
      <c r="K405" s="49" t="s">
        <v>31481</v>
      </c>
      <c r="L405" s="49" t="s">
        <v>14598</v>
      </c>
      <c r="M405" s="49" t="s">
        <v>14599</v>
      </c>
      <c r="N405" s="49" t="s">
        <v>14600</v>
      </c>
      <c r="O405" s="49" t="s">
        <v>34624</v>
      </c>
      <c r="P405" s="49" t="s">
        <v>34626</v>
      </c>
      <c r="Q405" s="49" t="s">
        <v>34628</v>
      </c>
      <c r="R405" s="49" t="s">
        <v>34630</v>
      </c>
      <c r="S405" s="49" t="s">
        <v>34632</v>
      </c>
      <c r="T405" s="49" t="s">
        <v>34634</v>
      </c>
    </row>
    <row r="406" spans="1:21" x14ac:dyDescent="0.2">
      <c r="A406" s="49" t="s">
        <v>30</v>
      </c>
      <c r="D406" s="49" t="s">
        <v>13528</v>
      </c>
      <c r="G406" s="49" t="s">
        <v>16295</v>
      </c>
      <c r="H406" s="49" t="s">
        <v>13529</v>
      </c>
      <c r="I406" s="49" t="s">
        <v>13530</v>
      </c>
      <c r="J406" s="49" t="s">
        <v>13531</v>
      </c>
      <c r="K406" s="49" t="s">
        <v>13532</v>
      </c>
      <c r="L406" s="49" t="s">
        <v>13533</v>
      </c>
      <c r="M406" s="49" t="s">
        <v>13534</v>
      </c>
      <c r="N406" s="49" t="s">
        <v>13535</v>
      </c>
      <c r="O406" s="49" t="s">
        <v>13536</v>
      </c>
      <c r="P406" s="49" t="s">
        <v>13537</v>
      </c>
      <c r="Q406" s="49" t="s">
        <v>13538</v>
      </c>
      <c r="R406" s="49" t="s">
        <v>13539</v>
      </c>
      <c r="S406" s="49" t="s">
        <v>13540</v>
      </c>
      <c r="T406" s="49" t="s">
        <v>13541</v>
      </c>
    </row>
    <row r="407" spans="1:21" x14ac:dyDescent="0.2">
      <c r="A407" s="49" t="s">
        <v>30</v>
      </c>
      <c r="D407" s="49" t="s">
        <v>10910</v>
      </c>
      <c r="G407" s="49" t="s">
        <v>16320</v>
      </c>
      <c r="H407" s="49" t="s">
        <v>12638</v>
      </c>
      <c r="I407" s="49" t="s">
        <v>12640</v>
      </c>
      <c r="J407" s="49" t="s">
        <v>12660</v>
      </c>
      <c r="K407" s="49" t="s">
        <v>12662</v>
      </c>
      <c r="L407" s="49" t="s">
        <v>10911</v>
      </c>
      <c r="M407" s="49" t="s">
        <v>10912</v>
      </c>
      <c r="N407" s="49" t="s">
        <v>10913</v>
      </c>
      <c r="O407" s="49" t="s">
        <v>34625</v>
      </c>
      <c r="P407" s="49" t="s">
        <v>34627</v>
      </c>
      <c r="Q407" s="49" t="s">
        <v>34629</v>
      </c>
      <c r="R407" s="49" t="s">
        <v>34631</v>
      </c>
      <c r="S407" s="49" t="s">
        <v>34633</v>
      </c>
      <c r="T407" s="49" t="s">
        <v>34635</v>
      </c>
    </row>
    <row r="408" spans="1:21" x14ac:dyDescent="0.2">
      <c r="A408" s="49" t="s">
        <v>30</v>
      </c>
      <c r="D408" s="49" t="s">
        <v>5003</v>
      </c>
      <c r="G408" s="49" t="s">
        <v>16330</v>
      </c>
      <c r="H408" s="49" t="s">
        <v>5004</v>
      </c>
      <c r="I408" s="49" t="s">
        <v>5005</v>
      </c>
      <c r="J408" s="49" t="s">
        <v>5006</v>
      </c>
      <c r="K408" s="49" t="s">
        <v>5007</v>
      </c>
      <c r="L408" s="49" t="s">
        <v>5008</v>
      </c>
      <c r="M408" s="49" t="s">
        <v>5009</v>
      </c>
      <c r="N408" s="49" t="s">
        <v>5010</v>
      </c>
      <c r="O408" s="49" t="s">
        <v>32972</v>
      </c>
      <c r="P408" s="49" t="s">
        <v>32974</v>
      </c>
      <c r="Q408" s="49" t="s">
        <v>32976</v>
      </c>
      <c r="R408" s="49" t="s">
        <v>32978</v>
      </c>
      <c r="S408" s="49" t="s">
        <v>32980</v>
      </c>
      <c r="T408" s="49" t="s">
        <v>32982</v>
      </c>
    </row>
    <row r="409" spans="1:21" x14ac:dyDescent="0.2">
      <c r="A409" s="49" t="s">
        <v>30</v>
      </c>
      <c r="D409" s="49" t="s">
        <v>5011</v>
      </c>
      <c r="G409" s="49" t="s">
        <v>16335</v>
      </c>
      <c r="H409" s="49" t="s">
        <v>5012</v>
      </c>
      <c r="I409" s="49" t="s">
        <v>5013</v>
      </c>
      <c r="J409" s="49" t="s">
        <v>5014</v>
      </c>
      <c r="K409" s="49" t="s">
        <v>5015</v>
      </c>
      <c r="L409" s="49" t="s">
        <v>5016</v>
      </c>
      <c r="M409" s="49" t="s">
        <v>5017</v>
      </c>
      <c r="N409" s="49" t="s">
        <v>5018</v>
      </c>
      <c r="O409" s="49" t="s">
        <v>32973</v>
      </c>
      <c r="P409" s="49" t="s">
        <v>32975</v>
      </c>
      <c r="Q409" s="49" t="s">
        <v>32977</v>
      </c>
      <c r="R409" s="49" t="s">
        <v>32979</v>
      </c>
      <c r="S409" s="49" t="s">
        <v>32981</v>
      </c>
      <c r="T409" s="49" t="s">
        <v>32983</v>
      </c>
    </row>
    <row r="410" spans="1:21" x14ac:dyDescent="0.2">
      <c r="A410" s="49" t="s">
        <v>30</v>
      </c>
      <c r="D410" s="49" t="s">
        <v>5025</v>
      </c>
      <c r="G410" s="49" t="s">
        <v>16350</v>
      </c>
      <c r="H410" s="49" t="s">
        <v>5026</v>
      </c>
      <c r="I410" s="49" t="s">
        <v>5027</v>
      </c>
      <c r="J410" s="49" t="s">
        <v>5028</v>
      </c>
      <c r="K410" s="49" t="s">
        <v>5029</v>
      </c>
      <c r="L410" s="49" t="s">
        <v>5030</v>
      </c>
      <c r="M410" s="49" t="s">
        <v>5031</v>
      </c>
      <c r="N410" s="49" t="s">
        <v>5032</v>
      </c>
      <c r="O410" s="49" t="s">
        <v>9832</v>
      </c>
      <c r="P410" s="49" t="s">
        <v>9833</v>
      </c>
      <c r="Q410" s="49" t="s">
        <v>9834</v>
      </c>
      <c r="R410" s="49" t="s">
        <v>9835</v>
      </c>
      <c r="S410" s="49" t="s">
        <v>9836</v>
      </c>
      <c r="T410" s="49" t="s">
        <v>9837</v>
      </c>
    </row>
    <row r="411" spans="1:21" x14ac:dyDescent="0.2">
      <c r="A411" s="49" t="s">
        <v>30</v>
      </c>
    </row>
    <row r="412" spans="1:21" x14ac:dyDescent="0.2">
      <c r="A412" s="49" t="s">
        <v>30</v>
      </c>
      <c r="E412" s="49" t="s">
        <v>31</v>
      </c>
      <c r="F412" s="49" t="s">
        <v>31</v>
      </c>
      <c r="G412" s="49" t="s">
        <v>31</v>
      </c>
      <c r="J412" s="49" t="s">
        <v>31</v>
      </c>
      <c r="K412" s="49" t="s">
        <v>31</v>
      </c>
      <c r="L412" s="49" t="s">
        <v>31</v>
      </c>
      <c r="M412" s="49" t="s">
        <v>31</v>
      </c>
    </row>
    <row r="413" spans="1:21" x14ac:dyDescent="0.2">
      <c r="A413" s="49" t="s">
        <v>30</v>
      </c>
      <c r="D413" s="49" t="s">
        <v>5039</v>
      </c>
      <c r="E413" s="49" t="s">
        <v>6446</v>
      </c>
      <c r="F413" s="49" t="s">
        <v>5041</v>
      </c>
      <c r="H413" s="49" t="s">
        <v>5042</v>
      </c>
      <c r="O413" s="49" t="s">
        <v>36245</v>
      </c>
      <c r="P413" s="49" t="s">
        <v>36246</v>
      </c>
      <c r="Q413" s="49" t="s">
        <v>36247</v>
      </c>
      <c r="R413" s="49" t="s">
        <v>36248</v>
      </c>
      <c r="S413" s="49" t="s">
        <v>36249</v>
      </c>
      <c r="T413" s="49" t="s">
        <v>36250</v>
      </c>
      <c r="U413" s="49" t="s">
        <v>36251</v>
      </c>
    </row>
    <row r="414" spans="1:21" x14ac:dyDescent="0.2">
      <c r="A414" s="49" t="s">
        <v>30</v>
      </c>
      <c r="D414" s="49" t="s">
        <v>5043</v>
      </c>
      <c r="G414" s="49" t="s">
        <v>13542</v>
      </c>
      <c r="H414" s="49" t="s">
        <v>5044</v>
      </c>
      <c r="I414" s="49" t="s">
        <v>5045</v>
      </c>
      <c r="J414" s="49" t="s">
        <v>5046</v>
      </c>
      <c r="K414" s="49" t="s">
        <v>5047</v>
      </c>
      <c r="L414" s="49" t="s">
        <v>5048</v>
      </c>
      <c r="M414" s="49" t="s">
        <v>5049</v>
      </c>
      <c r="N414" s="49" t="s">
        <v>5050</v>
      </c>
      <c r="O414" s="49" t="s">
        <v>13543</v>
      </c>
      <c r="P414" s="49" t="s">
        <v>13544</v>
      </c>
      <c r="Q414" s="49" t="s">
        <v>13545</v>
      </c>
      <c r="R414" s="49" t="s">
        <v>13546</v>
      </c>
      <c r="S414" s="49" t="s">
        <v>13547</v>
      </c>
      <c r="T414" s="49" t="s">
        <v>13548</v>
      </c>
    </row>
    <row r="415" spans="1:21" x14ac:dyDescent="0.2">
      <c r="A415" s="49" t="s">
        <v>30</v>
      </c>
      <c r="D415" s="49" t="s">
        <v>1589</v>
      </c>
      <c r="G415" s="49" t="s">
        <v>16395</v>
      </c>
      <c r="H415" s="49" t="s">
        <v>1590</v>
      </c>
      <c r="I415" s="49" t="s">
        <v>1591</v>
      </c>
      <c r="J415" s="49" t="s">
        <v>1592</v>
      </c>
      <c r="K415" s="49" t="s">
        <v>1593</v>
      </c>
      <c r="L415" s="49" t="s">
        <v>1594</v>
      </c>
      <c r="M415" s="49" t="s">
        <v>1595</v>
      </c>
      <c r="N415" s="49" t="s">
        <v>1596</v>
      </c>
      <c r="O415" s="49" t="s">
        <v>13549</v>
      </c>
      <c r="P415" s="49" t="s">
        <v>13550</v>
      </c>
      <c r="Q415" s="49" t="s">
        <v>13551</v>
      </c>
      <c r="R415" s="49" t="s">
        <v>13552</v>
      </c>
      <c r="S415" s="49" t="s">
        <v>13553</v>
      </c>
      <c r="T415" s="49" t="s">
        <v>13554</v>
      </c>
    </row>
    <row r="416" spans="1:21" x14ac:dyDescent="0.2">
      <c r="A416" s="49" t="s">
        <v>30</v>
      </c>
      <c r="D416" s="49" t="s">
        <v>14618</v>
      </c>
      <c r="G416" s="49" t="s">
        <v>16405</v>
      </c>
      <c r="H416" s="49" t="s">
        <v>31310</v>
      </c>
      <c r="I416" s="49" t="s">
        <v>31315</v>
      </c>
      <c r="J416" s="49" t="s">
        <v>31374</v>
      </c>
      <c r="K416" s="49" t="s">
        <v>31379</v>
      </c>
      <c r="L416" s="49" t="s">
        <v>14620</v>
      </c>
      <c r="M416" s="49" t="s">
        <v>14621</v>
      </c>
      <c r="N416" s="49" t="s">
        <v>14622</v>
      </c>
      <c r="O416" s="49" t="s">
        <v>35827</v>
      </c>
      <c r="P416" s="49" t="s">
        <v>35829</v>
      </c>
      <c r="Q416" s="49" t="s">
        <v>35831</v>
      </c>
      <c r="R416" s="49" t="s">
        <v>35833</v>
      </c>
      <c r="S416" s="49" t="s">
        <v>35835</v>
      </c>
      <c r="T416" s="49" t="s">
        <v>35837</v>
      </c>
    </row>
    <row r="417" spans="1:21" x14ac:dyDescent="0.2">
      <c r="A417" s="49" t="s">
        <v>30</v>
      </c>
      <c r="D417" s="49" t="s">
        <v>5051</v>
      </c>
      <c r="G417" s="49" t="s">
        <v>16430</v>
      </c>
      <c r="H417" s="49" t="s">
        <v>5052</v>
      </c>
      <c r="I417" s="49" t="s">
        <v>5053</v>
      </c>
      <c r="J417" s="49" t="s">
        <v>5054</v>
      </c>
      <c r="K417" s="49" t="s">
        <v>5055</v>
      </c>
      <c r="L417" s="49" t="s">
        <v>5056</v>
      </c>
      <c r="M417" s="49" t="s">
        <v>5057</v>
      </c>
      <c r="N417" s="49" t="s">
        <v>5058</v>
      </c>
      <c r="O417" s="49" t="s">
        <v>35828</v>
      </c>
      <c r="P417" s="49" t="s">
        <v>35830</v>
      </c>
      <c r="Q417" s="49" t="s">
        <v>35832</v>
      </c>
      <c r="R417" s="49" t="s">
        <v>35834</v>
      </c>
      <c r="S417" s="49" t="s">
        <v>35836</v>
      </c>
      <c r="T417" s="49" t="s">
        <v>35838</v>
      </c>
    </row>
    <row r="418" spans="1:21" x14ac:dyDescent="0.2">
      <c r="A418" s="49" t="s">
        <v>30</v>
      </c>
      <c r="D418" s="49" t="s">
        <v>14624</v>
      </c>
      <c r="G418" s="49" t="s">
        <v>16450</v>
      </c>
      <c r="H418" s="49" t="s">
        <v>31311</v>
      </c>
      <c r="I418" s="49" t="s">
        <v>31316</v>
      </c>
      <c r="J418" s="49" t="s">
        <v>31375</v>
      </c>
      <c r="K418" s="49" t="s">
        <v>31380</v>
      </c>
      <c r="L418" s="49" t="s">
        <v>14626</v>
      </c>
      <c r="M418" s="49" t="s">
        <v>14627</v>
      </c>
      <c r="N418" s="49" t="s">
        <v>14628</v>
      </c>
      <c r="O418" s="49" t="s">
        <v>32866</v>
      </c>
      <c r="P418" s="49" t="s">
        <v>32867</v>
      </c>
      <c r="Q418" s="49" t="s">
        <v>32868</v>
      </c>
      <c r="R418" s="49" t="s">
        <v>32869</v>
      </c>
      <c r="S418" s="49" t="s">
        <v>32870</v>
      </c>
      <c r="T418" s="49" t="s">
        <v>32871</v>
      </c>
    </row>
    <row r="419" spans="1:21" x14ac:dyDescent="0.2">
      <c r="A419" s="49" t="s">
        <v>30</v>
      </c>
    </row>
    <row r="420" spans="1:21" x14ac:dyDescent="0.2">
      <c r="A420" s="49" t="s">
        <v>30</v>
      </c>
      <c r="E420" s="49" t="s">
        <v>31</v>
      </c>
      <c r="F420" s="49" t="s">
        <v>31</v>
      </c>
      <c r="G420" s="49" t="s">
        <v>31</v>
      </c>
      <c r="J420" s="49" t="s">
        <v>31</v>
      </c>
      <c r="K420" s="49" t="s">
        <v>31</v>
      </c>
      <c r="L420" s="49" t="s">
        <v>31</v>
      </c>
      <c r="M420" s="49" t="s">
        <v>31</v>
      </c>
    </row>
    <row r="421" spans="1:21" x14ac:dyDescent="0.2">
      <c r="A421" s="49" t="s">
        <v>30</v>
      </c>
      <c r="D421" s="49" t="s">
        <v>36252</v>
      </c>
      <c r="E421" s="49" t="s">
        <v>6601</v>
      </c>
      <c r="F421" s="49" t="s">
        <v>36253</v>
      </c>
      <c r="H421" s="49" t="s">
        <v>36254</v>
      </c>
      <c r="O421" s="49" t="s">
        <v>36255</v>
      </c>
      <c r="P421" s="49" t="s">
        <v>36256</v>
      </c>
      <c r="Q421" s="49" t="s">
        <v>36257</v>
      </c>
      <c r="R421" s="49" t="s">
        <v>36258</v>
      </c>
      <c r="S421" s="49" t="s">
        <v>36259</v>
      </c>
      <c r="T421" s="49" t="s">
        <v>36260</v>
      </c>
      <c r="U421" s="49" t="s">
        <v>36261</v>
      </c>
    </row>
    <row r="422" spans="1:21" x14ac:dyDescent="0.2">
      <c r="A422" s="49" t="s">
        <v>30</v>
      </c>
      <c r="D422" s="49" t="s">
        <v>14636</v>
      </c>
      <c r="G422" s="49" t="s">
        <v>36262</v>
      </c>
      <c r="H422" s="49" t="s">
        <v>31313</v>
      </c>
      <c r="I422" s="49" t="s">
        <v>31318</v>
      </c>
      <c r="J422" s="49" t="s">
        <v>31377</v>
      </c>
      <c r="K422" s="49" t="s">
        <v>31382</v>
      </c>
      <c r="L422" s="49" t="s">
        <v>14638</v>
      </c>
      <c r="M422" s="49" t="s">
        <v>14639</v>
      </c>
      <c r="N422" s="49" t="s">
        <v>14640</v>
      </c>
      <c r="O422" s="49" t="s">
        <v>35816</v>
      </c>
      <c r="P422" s="49" t="s">
        <v>35818</v>
      </c>
      <c r="Q422" s="49" t="s">
        <v>35820</v>
      </c>
      <c r="R422" s="49" t="s">
        <v>35822</v>
      </c>
      <c r="S422" s="49" t="s">
        <v>35824</v>
      </c>
      <c r="T422" s="49" t="s">
        <v>35826</v>
      </c>
    </row>
    <row r="423" spans="1:21" x14ac:dyDescent="0.2">
      <c r="A423" s="49" t="s">
        <v>30</v>
      </c>
      <c r="D423" s="49" t="s">
        <v>5083</v>
      </c>
      <c r="G423" s="49" t="s">
        <v>16520</v>
      </c>
      <c r="H423" s="49" t="s">
        <v>5084</v>
      </c>
      <c r="I423" s="49" t="s">
        <v>5085</v>
      </c>
      <c r="J423" s="49" t="s">
        <v>5086</v>
      </c>
      <c r="K423" s="49" t="s">
        <v>5087</v>
      </c>
      <c r="L423" s="49" t="s">
        <v>5088</v>
      </c>
      <c r="M423" s="49" t="s">
        <v>5089</v>
      </c>
      <c r="N423" s="49" t="s">
        <v>5090</v>
      </c>
      <c r="O423" s="49" t="s">
        <v>13573</v>
      </c>
      <c r="P423" s="49" t="s">
        <v>13574</v>
      </c>
      <c r="Q423" s="49" t="s">
        <v>13575</v>
      </c>
      <c r="R423" s="49" t="s">
        <v>13576</v>
      </c>
      <c r="S423" s="49" t="s">
        <v>13577</v>
      </c>
      <c r="T423" s="49" t="s">
        <v>13578</v>
      </c>
    </row>
    <row r="424" spans="1:21" x14ac:dyDescent="0.2">
      <c r="A424" s="49" t="s">
        <v>30</v>
      </c>
      <c r="D424" s="49" t="s">
        <v>14642</v>
      </c>
      <c r="G424" s="49" t="s">
        <v>16530</v>
      </c>
      <c r="H424" s="49" t="s">
        <v>31314</v>
      </c>
      <c r="I424" s="49" t="s">
        <v>31319</v>
      </c>
      <c r="J424" s="49" t="s">
        <v>31378</v>
      </c>
      <c r="K424" s="49" t="s">
        <v>31383</v>
      </c>
      <c r="L424" s="49" t="s">
        <v>14644</v>
      </c>
      <c r="M424" s="49" t="s">
        <v>14645</v>
      </c>
      <c r="N424" s="49" t="s">
        <v>14646</v>
      </c>
      <c r="O424" s="49" t="s">
        <v>32960</v>
      </c>
      <c r="P424" s="49" t="s">
        <v>32962</v>
      </c>
      <c r="Q424" s="49" t="s">
        <v>32964</v>
      </c>
      <c r="R424" s="49" t="s">
        <v>32966</v>
      </c>
      <c r="S424" s="49" t="s">
        <v>32968</v>
      </c>
      <c r="T424" s="49" t="s">
        <v>32970</v>
      </c>
    </row>
    <row r="425" spans="1:21" x14ac:dyDescent="0.2">
      <c r="A425" s="49" t="s">
        <v>30</v>
      </c>
      <c r="D425" s="49" t="s">
        <v>1597</v>
      </c>
      <c r="G425" s="49" t="s">
        <v>16535</v>
      </c>
      <c r="H425" s="49" t="s">
        <v>1598</v>
      </c>
      <c r="I425" s="49" t="s">
        <v>1599</v>
      </c>
      <c r="J425" s="49" t="s">
        <v>1600</v>
      </c>
      <c r="K425" s="49" t="s">
        <v>1601</v>
      </c>
      <c r="L425" s="49" t="s">
        <v>1602</v>
      </c>
      <c r="M425" s="49" t="s">
        <v>1603</v>
      </c>
      <c r="N425" s="49" t="s">
        <v>1604</v>
      </c>
      <c r="O425" s="49" t="s">
        <v>32961</v>
      </c>
      <c r="P425" s="49" t="s">
        <v>32963</v>
      </c>
      <c r="Q425" s="49" t="s">
        <v>32965</v>
      </c>
      <c r="R425" s="49" t="s">
        <v>32967</v>
      </c>
      <c r="S425" s="49" t="s">
        <v>32969</v>
      </c>
      <c r="T425" s="49" t="s">
        <v>32971</v>
      </c>
    </row>
    <row r="426" spans="1:21" x14ac:dyDescent="0.2">
      <c r="A426" s="49" t="s">
        <v>30</v>
      </c>
      <c r="D426" s="49" t="s">
        <v>1605</v>
      </c>
      <c r="G426" s="49" t="s">
        <v>16540</v>
      </c>
      <c r="H426" s="49" t="s">
        <v>1606</v>
      </c>
      <c r="I426" s="49" t="s">
        <v>1607</v>
      </c>
      <c r="J426" s="49" t="s">
        <v>1608</v>
      </c>
      <c r="K426" s="49" t="s">
        <v>1609</v>
      </c>
      <c r="L426" s="49" t="s">
        <v>1610</v>
      </c>
      <c r="M426" s="49" t="s">
        <v>1611</v>
      </c>
      <c r="N426" s="49" t="s">
        <v>1612</v>
      </c>
      <c r="O426" s="49" t="s">
        <v>34594</v>
      </c>
      <c r="P426" s="49" t="s">
        <v>34595</v>
      </c>
      <c r="Q426" s="49" t="s">
        <v>34596</v>
      </c>
      <c r="R426" s="49" t="s">
        <v>34597</v>
      </c>
      <c r="S426" s="49" t="s">
        <v>34598</v>
      </c>
      <c r="T426" s="49" t="s">
        <v>34599</v>
      </c>
    </row>
    <row r="427" spans="1:21" x14ac:dyDescent="0.2">
      <c r="A427" s="49" t="s">
        <v>30</v>
      </c>
      <c r="D427" s="49" t="s">
        <v>1613</v>
      </c>
      <c r="G427" s="49" t="s">
        <v>16555</v>
      </c>
      <c r="H427" s="49" t="s">
        <v>1614</v>
      </c>
      <c r="I427" s="49" t="s">
        <v>1615</v>
      </c>
      <c r="J427" s="49" t="s">
        <v>1616</v>
      </c>
      <c r="K427" s="49" t="s">
        <v>1617</v>
      </c>
      <c r="L427" s="49" t="s">
        <v>1618</v>
      </c>
      <c r="M427" s="49" t="s">
        <v>1619</v>
      </c>
      <c r="N427" s="49" t="s">
        <v>1620</v>
      </c>
      <c r="O427" s="49" t="s">
        <v>9846</v>
      </c>
      <c r="P427" s="49" t="s">
        <v>9847</v>
      </c>
      <c r="Q427" s="49" t="s">
        <v>9848</v>
      </c>
      <c r="R427" s="49" t="s">
        <v>9849</v>
      </c>
      <c r="S427" s="49" t="s">
        <v>9850</v>
      </c>
      <c r="T427" s="49" t="s">
        <v>9851</v>
      </c>
    </row>
    <row r="428" spans="1:21" x14ac:dyDescent="0.2">
      <c r="A428" s="49" t="s">
        <v>30</v>
      </c>
      <c r="D428" s="49" t="s">
        <v>9852</v>
      </c>
      <c r="G428" s="49" t="s">
        <v>16565</v>
      </c>
      <c r="H428" s="49" t="s">
        <v>9853</v>
      </c>
      <c r="I428" s="49" t="s">
        <v>9854</v>
      </c>
      <c r="J428" s="49" t="s">
        <v>9855</v>
      </c>
      <c r="K428" s="49" t="s">
        <v>9856</v>
      </c>
      <c r="L428" s="49" t="s">
        <v>9857</v>
      </c>
      <c r="M428" s="49" t="s">
        <v>9858</v>
      </c>
      <c r="N428" s="49" t="s">
        <v>9859</v>
      </c>
      <c r="O428" s="49" t="s">
        <v>9860</v>
      </c>
      <c r="P428" s="49" t="s">
        <v>9861</v>
      </c>
      <c r="Q428" s="49" t="s">
        <v>9862</v>
      </c>
      <c r="R428" s="49" t="s">
        <v>9863</v>
      </c>
      <c r="S428" s="49" t="s">
        <v>9864</v>
      </c>
      <c r="T428" s="49" t="s">
        <v>9865</v>
      </c>
    </row>
    <row r="429" spans="1:21" x14ac:dyDescent="0.2">
      <c r="A429" s="49" t="s">
        <v>30</v>
      </c>
    </row>
    <row r="430" spans="1:21" x14ac:dyDescent="0.2">
      <c r="A430" s="49" t="s">
        <v>30</v>
      </c>
      <c r="E430" s="49" t="s">
        <v>31</v>
      </c>
      <c r="F430" s="49" t="s">
        <v>31</v>
      </c>
      <c r="G430" s="49" t="s">
        <v>31</v>
      </c>
      <c r="J430" s="49" t="s">
        <v>31</v>
      </c>
      <c r="K430" s="49" t="s">
        <v>31</v>
      </c>
      <c r="L430" s="49" t="s">
        <v>31</v>
      </c>
      <c r="M430" s="49" t="s">
        <v>31</v>
      </c>
    </row>
    <row r="431" spans="1:21" x14ac:dyDescent="0.2">
      <c r="A431" s="49" t="s">
        <v>30</v>
      </c>
      <c r="D431" s="49" t="s">
        <v>13579</v>
      </c>
      <c r="E431" s="49" t="s">
        <v>6666</v>
      </c>
      <c r="F431" s="49" t="s">
        <v>13580</v>
      </c>
      <c r="H431" s="49" t="s">
        <v>13581</v>
      </c>
      <c r="O431" s="49" t="s">
        <v>36263</v>
      </c>
      <c r="P431" s="49" t="s">
        <v>36264</v>
      </c>
      <c r="Q431" s="49" t="s">
        <v>36265</v>
      </c>
      <c r="R431" s="49" t="s">
        <v>36266</v>
      </c>
      <c r="S431" s="49" t="s">
        <v>36267</v>
      </c>
      <c r="T431" s="49" t="s">
        <v>36268</v>
      </c>
      <c r="U431" s="49" t="s">
        <v>36269</v>
      </c>
    </row>
    <row r="432" spans="1:21" x14ac:dyDescent="0.2">
      <c r="A432" s="49" t="s">
        <v>30</v>
      </c>
      <c r="D432" s="49" t="s">
        <v>13589</v>
      </c>
      <c r="G432" s="49" t="s">
        <v>13590</v>
      </c>
      <c r="H432" s="49" t="s">
        <v>13591</v>
      </c>
      <c r="I432" s="49" t="s">
        <v>13592</v>
      </c>
      <c r="J432" s="49" t="s">
        <v>13593</v>
      </c>
      <c r="K432" s="49" t="s">
        <v>13594</v>
      </c>
      <c r="L432" s="49" t="s">
        <v>13595</v>
      </c>
      <c r="M432" s="49" t="s">
        <v>13596</v>
      </c>
      <c r="N432" s="49" t="s">
        <v>13597</v>
      </c>
      <c r="O432" s="49" t="s">
        <v>13598</v>
      </c>
      <c r="P432" s="49" t="s">
        <v>13599</v>
      </c>
      <c r="Q432" s="49" t="s">
        <v>13600</v>
      </c>
      <c r="R432" s="49" t="s">
        <v>13601</v>
      </c>
      <c r="S432" s="49" t="s">
        <v>13602</v>
      </c>
      <c r="T432" s="49" t="s">
        <v>13603</v>
      </c>
    </row>
    <row r="433" spans="1:21" x14ac:dyDescent="0.2">
      <c r="A433" s="49" t="s">
        <v>30</v>
      </c>
      <c r="D433" s="49" t="s">
        <v>14659</v>
      </c>
      <c r="G433" s="49" t="s">
        <v>16665</v>
      </c>
      <c r="H433" s="49" t="s">
        <v>31242</v>
      </c>
      <c r="I433" s="49" t="s">
        <v>31247</v>
      </c>
      <c r="J433" s="49" t="s">
        <v>31300</v>
      </c>
      <c r="K433" s="49" t="s">
        <v>31305</v>
      </c>
      <c r="L433" s="49" t="s">
        <v>14661</v>
      </c>
      <c r="M433" s="49" t="s">
        <v>14662</v>
      </c>
      <c r="N433" s="49" t="s">
        <v>14663</v>
      </c>
      <c r="O433" s="49" t="s">
        <v>32907</v>
      </c>
      <c r="P433" s="49" t="s">
        <v>32908</v>
      </c>
      <c r="Q433" s="49" t="s">
        <v>32909</v>
      </c>
      <c r="R433" s="49" t="s">
        <v>32910</v>
      </c>
      <c r="S433" s="49" t="s">
        <v>32911</v>
      </c>
      <c r="T433" s="49" t="s">
        <v>32912</v>
      </c>
    </row>
    <row r="434" spans="1:21" x14ac:dyDescent="0.2">
      <c r="A434" s="49" t="s">
        <v>30</v>
      </c>
      <c r="D434" s="49" t="s">
        <v>10918</v>
      </c>
      <c r="G434" s="49" t="s">
        <v>16680</v>
      </c>
      <c r="H434" s="49" t="s">
        <v>10919</v>
      </c>
      <c r="I434" s="49" t="s">
        <v>10920</v>
      </c>
      <c r="J434" s="49" t="s">
        <v>10921</v>
      </c>
      <c r="K434" s="49" t="s">
        <v>10922</v>
      </c>
      <c r="L434" s="49" t="s">
        <v>10923</v>
      </c>
      <c r="M434" s="49" t="s">
        <v>10924</v>
      </c>
      <c r="N434" s="49" t="s">
        <v>10925</v>
      </c>
      <c r="O434" s="49" t="s">
        <v>32913</v>
      </c>
      <c r="P434" s="49" t="s">
        <v>32914</v>
      </c>
      <c r="Q434" s="49" t="s">
        <v>32915</v>
      </c>
      <c r="R434" s="49" t="s">
        <v>32916</v>
      </c>
      <c r="S434" s="49" t="s">
        <v>32917</v>
      </c>
      <c r="T434" s="49" t="s">
        <v>32918</v>
      </c>
    </row>
    <row r="435" spans="1:21" x14ac:dyDescent="0.2">
      <c r="A435" s="49" t="s">
        <v>30</v>
      </c>
      <c r="D435" s="49" t="s">
        <v>5101</v>
      </c>
      <c r="G435" s="49" t="s">
        <v>16700</v>
      </c>
      <c r="H435" s="49" t="s">
        <v>5102</v>
      </c>
      <c r="I435" s="49" t="s">
        <v>5103</v>
      </c>
      <c r="J435" s="49" t="s">
        <v>5104</v>
      </c>
      <c r="K435" s="49" t="s">
        <v>5105</v>
      </c>
      <c r="L435" s="49" t="s">
        <v>5106</v>
      </c>
      <c r="M435" s="49" t="s">
        <v>5107</v>
      </c>
      <c r="N435" s="49" t="s">
        <v>5108</v>
      </c>
      <c r="O435" s="49" t="s">
        <v>38117</v>
      </c>
      <c r="P435" s="49" t="s">
        <v>38118</v>
      </c>
      <c r="Q435" s="49" t="s">
        <v>38119</v>
      </c>
      <c r="R435" s="49" t="s">
        <v>38120</v>
      </c>
      <c r="S435" s="49" t="s">
        <v>38121</v>
      </c>
      <c r="T435" s="49" t="s">
        <v>38122</v>
      </c>
    </row>
    <row r="436" spans="1:21" x14ac:dyDescent="0.2">
      <c r="A436" s="49" t="s">
        <v>30</v>
      </c>
    </row>
    <row r="437" spans="1:21" x14ac:dyDescent="0.2">
      <c r="A437" s="49" t="s">
        <v>30</v>
      </c>
      <c r="E437" s="49" t="s">
        <v>31</v>
      </c>
      <c r="F437" s="49" t="s">
        <v>31</v>
      </c>
      <c r="G437" s="49" t="s">
        <v>31</v>
      </c>
      <c r="J437" s="49" t="s">
        <v>31</v>
      </c>
      <c r="K437" s="49" t="s">
        <v>31</v>
      </c>
      <c r="L437" s="49" t="s">
        <v>31</v>
      </c>
      <c r="M437" s="49" t="s">
        <v>31</v>
      </c>
    </row>
    <row r="438" spans="1:21" x14ac:dyDescent="0.2">
      <c r="A438" s="49" t="s">
        <v>30</v>
      </c>
      <c r="D438" s="49" t="s">
        <v>10932</v>
      </c>
      <c r="E438" s="49" t="s">
        <v>6803</v>
      </c>
      <c r="F438" s="49" t="s">
        <v>10933</v>
      </c>
      <c r="H438" s="49" t="s">
        <v>10934</v>
      </c>
      <c r="O438" s="49" t="s">
        <v>36270</v>
      </c>
      <c r="P438" s="49" t="s">
        <v>36271</v>
      </c>
      <c r="Q438" s="49" t="s">
        <v>36272</v>
      </c>
      <c r="R438" s="49" t="s">
        <v>36273</v>
      </c>
      <c r="S438" s="49" t="s">
        <v>36274</v>
      </c>
      <c r="T438" s="49" t="s">
        <v>36275</v>
      </c>
      <c r="U438" s="49" t="s">
        <v>36276</v>
      </c>
    </row>
    <row r="439" spans="1:21" x14ac:dyDescent="0.2">
      <c r="A439" s="49" t="s">
        <v>30</v>
      </c>
      <c r="D439" s="49" t="s">
        <v>1629</v>
      </c>
      <c r="G439" s="49" t="s">
        <v>36277</v>
      </c>
      <c r="H439" s="49" t="s">
        <v>1630</v>
      </c>
      <c r="I439" s="49" t="s">
        <v>1631</v>
      </c>
      <c r="J439" s="49" t="s">
        <v>1632</v>
      </c>
      <c r="K439" s="49" t="s">
        <v>1633</v>
      </c>
      <c r="L439" s="49" t="s">
        <v>1634</v>
      </c>
      <c r="M439" s="49" t="s">
        <v>1635</v>
      </c>
      <c r="N439" s="49" t="s">
        <v>1636</v>
      </c>
      <c r="O439" s="49" t="s">
        <v>38105</v>
      </c>
      <c r="P439" s="49" t="s">
        <v>38107</v>
      </c>
      <c r="Q439" s="49" t="s">
        <v>38109</v>
      </c>
      <c r="R439" s="49" t="s">
        <v>38111</v>
      </c>
      <c r="S439" s="49" t="s">
        <v>38113</v>
      </c>
      <c r="T439" s="49" t="s">
        <v>38115</v>
      </c>
    </row>
    <row r="440" spans="1:21" x14ac:dyDescent="0.2">
      <c r="A440" s="49" t="s">
        <v>30</v>
      </c>
      <c r="D440" s="49" t="s">
        <v>10935</v>
      </c>
      <c r="G440" s="49" t="s">
        <v>16775</v>
      </c>
      <c r="H440" s="49" t="s">
        <v>10936</v>
      </c>
      <c r="I440" s="49" t="s">
        <v>10937</v>
      </c>
      <c r="J440" s="49" t="s">
        <v>10938</v>
      </c>
      <c r="K440" s="49" t="s">
        <v>10939</v>
      </c>
      <c r="L440" s="49" t="s">
        <v>10940</v>
      </c>
      <c r="M440" s="49" t="s">
        <v>10941</v>
      </c>
      <c r="N440" s="49" t="s">
        <v>10942</v>
      </c>
      <c r="O440" s="49" t="s">
        <v>13632</v>
      </c>
      <c r="P440" s="49" t="s">
        <v>13633</v>
      </c>
      <c r="Q440" s="49" t="s">
        <v>13634</v>
      </c>
      <c r="R440" s="49" t="s">
        <v>13635</v>
      </c>
      <c r="S440" s="49" t="s">
        <v>13636</v>
      </c>
      <c r="T440" s="49" t="s">
        <v>13637</v>
      </c>
    </row>
    <row r="441" spans="1:21" x14ac:dyDescent="0.2">
      <c r="A441" s="49" t="s">
        <v>30</v>
      </c>
      <c r="D441" s="49" t="s">
        <v>9874</v>
      </c>
      <c r="G441" s="49" t="s">
        <v>16790</v>
      </c>
      <c r="H441" s="49" t="s">
        <v>9875</v>
      </c>
      <c r="I441" s="49" t="s">
        <v>9876</v>
      </c>
      <c r="J441" s="49" t="s">
        <v>9877</v>
      </c>
      <c r="K441" s="49" t="s">
        <v>9878</v>
      </c>
      <c r="L441" s="49" t="s">
        <v>9879</v>
      </c>
      <c r="M441" s="49" t="s">
        <v>9880</v>
      </c>
      <c r="N441" s="49" t="s">
        <v>9881</v>
      </c>
      <c r="O441" s="49" t="s">
        <v>34566</v>
      </c>
      <c r="P441" s="49" t="s">
        <v>34568</v>
      </c>
      <c r="Q441" s="49" t="s">
        <v>34570</v>
      </c>
      <c r="R441" s="49" t="s">
        <v>34572</v>
      </c>
      <c r="S441" s="49" t="s">
        <v>34574</v>
      </c>
      <c r="T441" s="49" t="s">
        <v>34576</v>
      </c>
    </row>
    <row r="442" spans="1:21" x14ac:dyDescent="0.2">
      <c r="A442" s="49" t="s">
        <v>30</v>
      </c>
      <c r="D442" s="49" t="s">
        <v>14680</v>
      </c>
      <c r="G442" s="49" t="s">
        <v>16800</v>
      </c>
      <c r="H442" s="49" t="s">
        <v>31245</v>
      </c>
      <c r="I442" s="49" t="s">
        <v>31250</v>
      </c>
      <c r="J442" s="49" t="s">
        <v>31303</v>
      </c>
      <c r="K442" s="49" t="s">
        <v>31308</v>
      </c>
      <c r="L442" s="49" t="s">
        <v>14682</v>
      </c>
      <c r="M442" s="49" t="s">
        <v>14683</v>
      </c>
      <c r="N442" s="49" t="s">
        <v>14684</v>
      </c>
      <c r="O442" s="49" t="s">
        <v>32947</v>
      </c>
      <c r="P442" s="49" t="s">
        <v>32948</v>
      </c>
      <c r="Q442" s="49" t="s">
        <v>32949</v>
      </c>
      <c r="R442" s="49" t="s">
        <v>32950</v>
      </c>
      <c r="S442" s="49" t="s">
        <v>32951</v>
      </c>
      <c r="T442" s="49" t="s">
        <v>32952</v>
      </c>
    </row>
    <row r="443" spans="1:21" x14ac:dyDescent="0.2">
      <c r="A443" s="49" t="s">
        <v>30</v>
      </c>
      <c r="D443" s="49" t="s">
        <v>14685</v>
      </c>
      <c r="G443" s="49" t="s">
        <v>16815</v>
      </c>
      <c r="H443" s="49" t="s">
        <v>31246</v>
      </c>
      <c r="I443" s="49" t="s">
        <v>31251</v>
      </c>
      <c r="J443" s="49" t="s">
        <v>31304</v>
      </c>
      <c r="K443" s="49" t="s">
        <v>31309</v>
      </c>
      <c r="L443" s="49" t="s">
        <v>14687</v>
      </c>
      <c r="M443" s="49" t="s">
        <v>14688</v>
      </c>
      <c r="N443" s="49" t="s">
        <v>14689</v>
      </c>
      <c r="O443" s="49" t="s">
        <v>34567</v>
      </c>
      <c r="P443" s="49" t="s">
        <v>34569</v>
      </c>
      <c r="Q443" s="49" t="s">
        <v>34571</v>
      </c>
      <c r="R443" s="49" t="s">
        <v>34573</v>
      </c>
      <c r="S443" s="49" t="s">
        <v>34575</v>
      </c>
      <c r="T443" s="49" t="s">
        <v>34577</v>
      </c>
    </row>
    <row r="444" spans="1:21" x14ac:dyDescent="0.2">
      <c r="A444" s="49" t="s">
        <v>30</v>
      </c>
      <c r="D444" s="49" t="s">
        <v>2510</v>
      </c>
      <c r="G444" s="49" t="s">
        <v>16835</v>
      </c>
      <c r="H444" s="49" t="s">
        <v>2511</v>
      </c>
      <c r="I444" s="49" t="s">
        <v>2512</v>
      </c>
      <c r="J444" s="49" t="s">
        <v>2513</v>
      </c>
      <c r="K444" s="49" t="s">
        <v>2514</v>
      </c>
      <c r="L444" s="49" t="s">
        <v>2515</v>
      </c>
      <c r="M444" s="49" t="s">
        <v>2516</v>
      </c>
      <c r="N444" s="49" t="s">
        <v>2517</v>
      </c>
      <c r="O444" s="49" t="s">
        <v>13642</v>
      </c>
      <c r="P444" s="49" t="s">
        <v>13643</v>
      </c>
      <c r="Q444" s="49" t="s">
        <v>13644</v>
      </c>
      <c r="R444" s="49" t="s">
        <v>13645</v>
      </c>
      <c r="S444" s="49" t="s">
        <v>13646</v>
      </c>
      <c r="T444" s="49" t="s">
        <v>13647</v>
      </c>
    </row>
    <row r="445" spans="1:21" x14ac:dyDescent="0.2">
      <c r="A445" s="49" t="s">
        <v>30</v>
      </c>
      <c r="D445" s="49" t="s">
        <v>5116</v>
      </c>
      <c r="G445" s="49" t="s">
        <v>16845</v>
      </c>
      <c r="H445" s="49" t="s">
        <v>5117</v>
      </c>
      <c r="I445" s="49" t="s">
        <v>5118</v>
      </c>
      <c r="J445" s="49" t="s">
        <v>5119</v>
      </c>
      <c r="K445" s="49" t="s">
        <v>5120</v>
      </c>
      <c r="L445" s="49" t="s">
        <v>5121</v>
      </c>
      <c r="M445" s="49" t="s">
        <v>5122</v>
      </c>
      <c r="N445" s="49" t="s">
        <v>5123</v>
      </c>
      <c r="O445" s="49" t="s">
        <v>13648</v>
      </c>
      <c r="P445" s="49" t="s">
        <v>13649</v>
      </c>
      <c r="Q445" s="49" t="s">
        <v>13650</v>
      </c>
      <c r="R445" s="49" t="s">
        <v>13651</v>
      </c>
      <c r="S445" s="49" t="s">
        <v>13652</v>
      </c>
      <c r="T445" s="49" t="s">
        <v>13653</v>
      </c>
    </row>
    <row r="446" spans="1:21" x14ac:dyDescent="0.2">
      <c r="A446" s="49" t="s">
        <v>30</v>
      </c>
      <c r="D446" s="49" t="s">
        <v>9882</v>
      </c>
      <c r="G446" s="49" t="s">
        <v>16865</v>
      </c>
      <c r="H446" s="49" t="s">
        <v>9883</v>
      </c>
      <c r="I446" s="49" t="s">
        <v>9884</v>
      </c>
      <c r="J446" s="49" t="s">
        <v>9885</v>
      </c>
      <c r="K446" s="49" t="s">
        <v>9886</v>
      </c>
      <c r="L446" s="49" t="s">
        <v>9887</v>
      </c>
      <c r="M446" s="49" t="s">
        <v>9888</v>
      </c>
      <c r="N446" s="49" t="s">
        <v>9889</v>
      </c>
      <c r="O446" s="49" t="s">
        <v>38106</v>
      </c>
      <c r="P446" s="49" t="s">
        <v>38108</v>
      </c>
      <c r="Q446" s="49" t="s">
        <v>38110</v>
      </c>
      <c r="R446" s="49" t="s">
        <v>38112</v>
      </c>
      <c r="S446" s="49" t="s">
        <v>38114</v>
      </c>
      <c r="T446" s="49" t="s">
        <v>38116</v>
      </c>
    </row>
    <row r="447" spans="1:21" x14ac:dyDescent="0.2">
      <c r="A447" s="49" t="s">
        <v>30</v>
      </c>
      <c r="D447" s="49" t="s">
        <v>10961</v>
      </c>
      <c r="G447" s="49" t="s">
        <v>16890</v>
      </c>
      <c r="H447" s="49" t="s">
        <v>10962</v>
      </c>
      <c r="I447" s="49" t="s">
        <v>10963</v>
      </c>
      <c r="J447" s="49" t="s">
        <v>10964</v>
      </c>
      <c r="K447" s="49" t="s">
        <v>10965</v>
      </c>
      <c r="L447" s="49" t="s">
        <v>10966</v>
      </c>
      <c r="M447" s="49" t="s">
        <v>10967</v>
      </c>
      <c r="N447" s="49" t="s">
        <v>10968</v>
      </c>
      <c r="O447" s="49" t="s">
        <v>33595</v>
      </c>
      <c r="P447" s="49" t="s">
        <v>33596</v>
      </c>
      <c r="Q447" s="49" t="s">
        <v>33597</v>
      </c>
      <c r="R447" s="49" t="s">
        <v>33598</v>
      </c>
      <c r="S447" s="49" t="s">
        <v>33599</v>
      </c>
      <c r="T447" s="49" t="s">
        <v>33600</v>
      </c>
    </row>
    <row r="448" spans="1:21" x14ac:dyDescent="0.2">
      <c r="A448" s="49" t="s">
        <v>30</v>
      </c>
      <c r="D448" s="49" t="s">
        <v>10975</v>
      </c>
      <c r="G448" s="49" t="s">
        <v>16915</v>
      </c>
      <c r="H448" s="49" t="s">
        <v>10976</v>
      </c>
      <c r="I448" s="49" t="s">
        <v>10977</v>
      </c>
      <c r="J448" s="49" t="s">
        <v>10978</v>
      </c>
      <c r="K448" s="49" t="s">
        <v>10979</v>
      </c>
      <c r="L448" s="49" t="s">
        <v>10980</v>
      </c>
      <c r="M448" s="49" t="s">
        <v>10981</v>
      </c>
      <c r="N448" s="49" t="s">
        <v>10982</v>
      </c>
      <c r="O448" s="49" t="s">
        <v>35244</v>
      </c>
      <c r="P448" s="49" t="s">
        <v>35245</v>
      </c>
      <c r="Q448" s="49" t="s">
        <v>35246</v>
      </c>
      <c r="R448" s="49" t="s">
        <v>35247</v>
      </c>
      <c r="S448" s="49" t="s">
        <v>35248</v>
      </c>
      <c r="T448" s="49" t="s">
        <v>35249</v>
      </c>
    </row>
    <row r="449" spans="1:21" x14ac:dyDescent="0.2">
      <c r="A449" s="49" t="s">
        <v>30</v>
      </c>
    </row>
    <row r="450" spans="1:21" x14ac:dyDescent="0.2">
      <c r="A450" s="49" t="s">
        <v>30</v>
      </c>
      <c r="E450" s="49" t="s">
        <v>31</v>
      </c>
      <c r="F450" s="49" t="s">
        <v>31</v>
      </c>
      <c r="G450" s="49" t="s">
        <v>31</v>
      </c>
      <c r="J450" s="49" t="s">
        <v>31</v>
      </c>
      <c r="K450" s="49" t="s">
        <v>31</v>
      </c>
      <c r="L450" s="49" t="s">
        <v>31</v>
      </c>
      <c r="M450" s="49" t="s">
        <v>31</v>
      </c>
    </row>
    <row r="451" spans="1:21" x14ac:dyDescent="0.2">
      <c r="A451" s="49" t="s">
        <v>30</v>
      </c>
      <c r="D451" s="49" t="s">
        <v>10983</v>
      </c>
      <c r="E451" s="49" t="s">
        <v>6962</v>
      </c>
      <c r="F451" s="49" t="s">
        <v>10984</v>
      </c>
      <c r="H451" s="49" t="s">
        <v>10985</v>
      </c>
      <c r="O451" s="49" t="s">
        <v>36278</v>
      </c>
      <c r="P451" s="49" t="s">
        <v>36279</v>
      </c>
      <c r="Q451" s="49" t="s">
        <v>36280</v>
      </c>
      <c r="R451" s="49" t="s">
        <v>36281</v>
      </c>
      <c r="S451" s="49" t="s">
        <v>36282</v>
      </c>
      <c r="T451" s="49" t="s">
        <v>36283</v>
      </c>
      <c r="U451" s="49" t="s">
        <v>36284</v>
      </c>
    </row>
    <row r="452" spans="1:21" x14ac:dyDescent="0.2">
      <c r="A452" s="49" t="s">
        <v>30</v>
      </c>
      <c r="D452" s="49" t="s">
        <v>1637</v>
      </c>
      <c r="G452" s="49" t="s">
        <v>35257</v>
      </c>
      <c r="H452" s="49" t="s">
        <v>1638</v>
      </c>
      <c r="I452" s="49" t="s">
        <v>1639</v>
      </c>
      <c r="J452" s="49" t="s">
        <v>1640</v>
      </c>
      <c r="K452" s="49" t="s">
        <v>1641</v>
      </c>
      <c r="L452" s="49" t="s">
        <v>1642</v>
      </c>
      <c r="M452" s="49" t="s">
        <v>1643</v>
      </c>
      <c r="N452" s="49" t="s">
        <v>1644</v>
      </c>
      <c r="O452" s="49" t="s">
        <v>33615</v>
      </c>
      <c r="P452" s="49" t="s">
        <v>33616</v>
      </c>
      <c r="Q452" s="49" t="s">
        <v>33617</v>
      </c>
      <c r="R452" s="49" t="s">
        <v>33618</v>
      </c>
      <c r="S452" s="49" t="s">
        <v>33619</v>
      </c>
      <c r="T452" s="49" t="s">
        <v>33620</v>
      </c>
    </row>
    <row r="453" spans="1:21" x14ac:dyDescent="0.2">
      <c r="A453" s="49" t="s">
        <v>30</v>
      </c>
      <c r="D453" s="49" t="s">
        <v>5131</v>
      </c>
      <c r="G453" s="49" t="s">
        <v>16985</v>
      </c>
      <c r="H453" s="49" t="s">
        <v>5132</v>
      </c>
      <c r="I453" s="49" t="s">
        <v>5133</v>
      </c>
      <c r="J453" s="49" t="s">
        <v>5134</v>
      </c>
      <c r="K453" s="49" t="s">
        <v>5135</v>
      </c>
      <c r="L453" s="49" t="s">
        <v>5136</v>
      </c>
      <c r="M453" s="49" t="s">
        <v>5137</v>
      </c>
      <c r="N453" s="49" t="s">
        <v>5138</v>
      </c>
      <c r="O453" s="49" t="s">
        <v>13654</v>
      </c>
      <c r="P453" s="49" t="s">
        <v>13655</v>
      </c>
      <c r="Q453" s="49" t="s">
        <v>13656</v>
      </c>
      <c r="R453" s="49" t="s">
        <v>13657</v>
      </c>
      <c r="S453" s="49" t="s">
        <v>13658</v>
      </c>
      <c r="T453" s="49" t="s">
        <v>13659</v>
      </c>
    </row>
    <row r="454" spans="1:21" x14ac:dyDescent="0.2">
      <c r="A454" s="49" t="s">
        <v>30</v>
      </c>
      <c r="D454" s="49" t="s">
        <v>5145</v>
      </c>
      <c r="G454" s="49" t="s">
        <v>16990</v>
      </c>
      <c r="H454" s="49" t="s">
        <v>5146</v>
      </c>
      <c r="I454" s="49" t="s">
        <v>5147</v>
      </c>
      <c r="J454" s="49" t="s">
        <v>5148</v>
      </c>
      <c r="K454" s="49" t="s">
        <v>5149</v>
      </c>
      <c r="L454" s="49" t="s">
        <v>5150</v>
      </c>
      <c r="M454" s="49" t="s">
        <v>5151</v>
      </c>
      <c r="N454" s="49" t="s">
        <v>5152</v>
      </c>
      <c r="O454" s="49" t="s">
        <v>38093</v>
      </c>
      <c r="P454" s="49" t="s">
        <v>38095</v>
      </c>
      <c r="Q454" s="49" t="s">
        <v>38097</v>
      </c>
      <c r="R454" s="49" t="s">
        <v>38099</v>
      </c>
      <c r="S454" s="49" t="s">
        <v>38101</v>
      </c>
      <c r="T454" s="49" t="s">
        <v>38103</v>
      </c>
    </row>
    <row r="455" spans="1:21" x14ac:dyDescent="0.2">
      <c r="A455" s="49" t="s">
        <v>30</v>
      </c>
      <c r="D455" s="49" t="s">
        <v>14712</v>
      </c>
      <c r="G455" s="49" t="s">
        <v>17005</v>
      </c>
      <c r="H455" s="49" t="s">
        <v>31207</v>
      </c>
      <c r="I455" s="49" t="s">
        <v>31210</v>
      </c>
      <c r="J455" s="49" t="s">
        <v>31237</v>
      </c>
      <c r="K455" s="49" t="s">
        <v>31240</v>
      </c>
      <c r="L455" s="49" t="s">
        <v>14714</v>
      </c>
      <c r="M455" s="49" t="s">
        <v>14715</v>
      </c>
      <c r="N455" s="49" t="s">
        <v>14716</v>
      </c>
      <c r="O455" s="49" t="s">
        <v>38094</v>
      </c>
      <c r="P455" s="49" t="s">
        <v>38096</v>
      </c>
      <c r="Q455" s="49" t="s">
        <v>38098</v>
      </c>
      <c r="R455" s="49" t="s">
        <v>38100</v>
      </c>
      <c r="S455" s="49" t="s">
        <v>38102</v>
      </c>
      <c r="T455" s="49" t="s">
        <v>38104</v>
      </c>
    </row>
    <row r="456" spans="1:21" x14ac:dyDescent="0.2">
      <c r="A456" s="49" t="s">
        <v>30</v>
      </c>
      <c r="D456" s="49" t="s">
        <v>14717</v>
      </c>
      <c r="G456" s="49" t="s">
        <v>17010</v>
      </c>
      <c r="H456" s="49" t="s">
        <v>31208</v>
      </c>
      <c r="I456" s="49" t="s">
        <v>31211</v>
      </c>
      <c r="J456" s="49" t="s">
        <v>31238</v>
      </c>
      <c r="K456" s="49" t="s">
        <v>31241</v>
      </c>
      <c r="L456" s="49" t="s">
        <v>14719</v>
      </c>
      <c r="M456" s="49" t="s">
        <v>14720</v>
      </c>
      <c r="N456" s="49" t="s">
        <v>14721</v>
      </c>
      <c r="O456" s="49" t="s">
        <v>33632</v>
      </c>
      <c r="P456" s="49" t="s">
        <v>33633</v>
      </c>
      <c r="Q456" s="49" t="s">
        <v>33634</v>
      </c>
      <c r="R456" s="49" t="s">
        <v>33635</v>
      </c>
      <c r="S456" s="49" t="s">
        <v>33636</v>
      </c>
      <c r="T456" s="49" t="s">
        <v>33637</v>
      </c>
    </row>
    <row r="457" spans="1:21" x14ac:dyDescent="0.2">
      <c r="A457" s="49" t="s">
        <v>30</v>
      </c>
    </row>
    <row r="458" spans="1:21" x14ac:dyDescent="0.2">
      <c r="A458" s="49" t="s">
        <v>30</v>
      </c>
      <c r="E458" s="49" t="s">
        <v>31</v>
      </c>
      <c r="F458" s="49" t="s">
        <v>31</v>
      </c>
      <c r="G458" s="49" t="s">
        <v>31</v>
      </c>
      <c r="J458" s="49" t="s">
        <v>31</v>
      </c>
      <c r="K458" s="49" t="s">
        <v>31</v>
      </c>
      <c r="L458" s="49" t="s">
        <v>31</v>
      </c>
      <c r="M458" s="49" t="s">
        <v>31</v>
      </c>
    </row>
    <row r="459" spans="1:21" x14ac:dyDescent="0.2">
      <c r="A459" s="49" t="s">
        <v>30</v>
      </c>
      <c r="D459" s="49" t="s">
        <v>35265</v>
      </c>
      <c r="E459" s="49" t="s">
        <v>7084</v>
      </c>
      <c r="F459" s="49" t="s">
        <v>35266</v>
      </c>
      <c r="H459" s="49" t="s">
        <v>35267</v>
      </c>
      <c r="O459" s="49" t="s">
        <v>36285</v>
      </c>
      <c r="P459" s="49" t="s">
        <v>36286</v>
      </c>
      <c r="Q459" s="49" t="s">
        <v>36287</v>
      </c>
      <c r="R459" s="49" t="s">
        <v>36288</v>
      </c>
      <c r="S459" s="49" t="s">
        <v>36289</v>
      </c>
      <c r="T459" s="49" t="s">
        <v>36290</v>
      </c>
      <c r="U459" s="49" t="s">
        <v>36291</v>
      </c>
    </row>
    <row r="460" spans="1:21" x14ac:dyDescent="0.2">
      <c r="A460" s="49" t="s">
        <v>30</v>
      </c>
      <c r="D460" s="49" t="s">
        <v>9890</v>
      </c>
      <c r="G460" s="49" t="s">
        <v>35275</v>
      </c>
      <c r="H460" s="49" t="s">
        <v>9891</v>
      </c>
      <c r="I460" s="49" t="s">
        <v>9892</v>
      </c>
      <c r="J460" s="49" t="s">
        <v>9893</v>
      </c>
      <c r="K460" s="49" t="s">
        <v>9894</v>
      </c>
      <c r="L460" s="49" t="s">
        <v>9895</v>
      </c>
      <c r="M460" s="49" t="s">
        <v>9896</v>
      </c>
      <c r="N460" s="49" t="s">
        <v>9897</v>
      </c>
      <c r="O460" s="49" t="s">
        <v>35276</v>
      </c>
      <c r="P460" s="49" t="s">
        <v>35277</v>
      </c>
      <c r="Q460" s="49" t="s">
        <v>35278</v>
      </c>
      <c r="R460" s="49" t="s">
        <v>35279</v>
      </c>
      <c r="S460" s="49" t="s">
        <v>35280</v>
      </c>
      <c r="T460" s="49" t="s">
        <v>35281</v>
      </c>
    </row>
    <row r="461" spans="1:21" x14ac:dyDescent="0.2">
      <c r="A461" s="49" t="s">
        <v>30</v>
      </c>
      <c r="D461" s="49" t="s">
        <v>9898</v>
      </c>
      <c r="G461" s="49" t="s">
        <v>17130</v>
      </c>
      <c r="H461" s="49" t="s">
        <v>9899</v>
      </c>
      <c r="I461" s="49" t="s">
        <v>9900</v>
      </c>
      <c r="J461" s="49" t="s">
        <v>9901</v>
      </c>
      <c r="K461" s="49" t="s">
        <v>9902</v>
      </c>
      <c r="L461" s="49" t="s">
        <v>9903</v>
      </c>
      <c r="M461" s="49" t="s">
        <v>9904</v>
      </c>
      <c r="N461" s="49" t="s">
        <v>9905</v>
      </c>
      <c r="O461" s="49" t="s">
        <v>33649</v>
      </c>
      <c r="P461" s="49" t="s">
        <v>33650</v>
      </c>
      <c r="Q461" s="49" t="s">
        <v>33651</v>
      </c>
      <c r="R461" s="49" t="s">
        <v>33652</v>
      </c>
      <c r="S461" s="49" t="s">
        <v>33653</v>
      </c>
      <c r="T461" s="49" t="s">
        <v>33654</v>
      </c>
    </row>
    <row r="462" spans="1:21" x14ac:dyDescent="0.2">
      <c r="A462" s="49" t="s">
        <v>30</v>
      </c>
      <c r="D462" s="49" t="s">
        <v>10993</v>
      </c>
      <c r="G462" s="49" t="s">
        <v>17135</v>
      </c>
      <c r="H462" s="49" t="s">
        <v>12581</v>
      </c>
      <c r="I462" s="49" t="s">
        <v>12585</v>
      </c>
      <c r="J462" s="49" t="s">
        <v>12619</v>
      </c>
      <c r="K462" s="49" t="s">
        <v>12623</v>
      </c>
      <c r="L462" s="49" t="s">
        <v>10994</v>
      </c>
      <c r="M462" s="49" t="s">
        <v>10995</v>
      </c>
      <c r="N462" s="49" t="s">
        <v>10996</v>
      </c>
      <c r="O462" s="49" t="s">
        <v>38075</v>
      </c>
      <c r="P462" s="49" t="s">
        <v>38078</v>
      </c>
      <c r="Q462" s="49" t="s">
        <v>38081</v>
      </c>
      <c r="R462" s="49" t="s">
        <v>38084</v>
      </c>
      <c r="S462" s="49" t="s">
        <v>38087</v>
      </c>
      <c r="T462" s="49" t="s">
        <v>38090</v>
      </c>
    </row>
    <row r="463" spans="1:21" x14ac:dyDescent="0.2">
      <c r="A463" s="49" t="s">
        <v>30</v>
      </c>
      <c r="D463" s="49" t="s">
        <v>5175</v>
      </c>
      <c r="G463" s="49" t="s">
        <v>17155</v>
      </c>
      <c r="H463" s="49" t="s">
        <v>5176</v>
      </c>
      <c r="I463" s="49" t="s">
        <v>5177</v>
      </c>
      <c r="J463" s="49" t="s">
        <v>5178</v>
      </c>
      <c r="K463" s="49" t="s">
        <v>5179</v>
      </c>
      <c r="L463" s="49" t="s">
        <v>5180</v>
      </c>
      <c r="M463" s="49" t="s">
        <v>5181</v>
      </c>
      <c r="N463" s="49" t="s">
        <v>5182</v>
      </c>
      <c r="O463" s="49" t="s">
        <v>38076</v>
      </c>
      <c r="P463" s="49" t="s">
        <v>38079</v>
      </c>
      <c r="Q463" s="49" t="s">
        <v>38082</v>
      </c>
      <c r="R463" s="49" t="s">
        <v>38085</v>
      </c>
      <c r="S463" s="49" t="s">
        <v>38088</v>
      </c>
      <c r="T463" s="49" t="s">
        <v>38091</v>
      </c>
    </row>
    <row r="464" spans="1:21" x14ac:dyDescent="0.2">
      <c r="A464" s="49" t="s">
        <v>30</v>
      </c>
      <c r="D464" s="49" t="s">
        <v>10997</v>
      </c>
      <c r="G464" s="49" t="s">
        <v>17175</v>
      </c>
      <c r="H464" s="49" t="s">
        <v>12582</v>
      </c>
      <c r="I464" s="49" t="s">
        <v>12586</v>
      </c>
      <c r="J464" s="49" t="s">
        <v>12620</v>
      </c>
      <c r="K464" s="49" t="s">
        <v>12624</v>
      </c>
      <c r="L464" s="49" t="s">
        <v>10998</v>
      </c>
      <c r="M464" s="49" t="s">
        <v>10999</v>
      </c>
      <c r="N464" s="49" t="s">
        <v>11000</v>
      </c>
      <c r="O464" s="49" t="s">
        <v>38077</v>
      </c>
      <c r="P464" s="49" t="s">
        <v>38080</v>
      </c>
      <c r="Q464" s="49" t="s">
        <v>38083</v>
      </c>
      <c r="R464" s="49" t="s">
        <v>38086</v>
      </c>
      <c r="S464" s="49" t="s">
        <v>38089</v>
      </c>
      <c r="T464" s="49" t="s">
        <v>38092</v>
      </c>
    </row>
    <row r="465" spans="1:21" x14ac:dyDescent="0.2">
      <c r="A465" s="49" t="s">
        <v>30</v>
      </c>
      <c r="D465" s="49" t="s">
        <v>9906</v>
      </c>
      <c r="G465" s="49" t="s">
        <v>17185</v>
      </c>
      <c r="H465" s="49" t="s">
        <v>9907</v>
      </c>
      <c r="I465" s="49" t="s">
        <v>9908</v>
      </c>
      <c r="J465" s="49" t="s">
        <v>9909</v>
      </c>
      <c r="K465" s="49" t="s">
        <v>9910</v>
      </c>
      <c r="L465" s="49" t="s">
        <v>9911</v>
      </c>
      <c r="M465" s="49" t="s">
        <v>9912</v>
      </c>
      <c r="N465" s="49" t="s">
        <v>9913</v>
      </c>
      <c r="O465" s="49" t="s">
        <v>34548</v>
      </c>
      <c r="P465" s="49" t="s">
        <v>34551</v>
      </c>
      <c r="Q465" s="49" t="s">
        <v>34554</v>
      </c>
      <c r="R465" s="49" t="s">
        <v>34557</v>
      </c>
      <c r="S465" s="49" t="s">
        <v>34560</v>
      </c>
      <c r="T465" s="49" t="s">
        <v>34563</v>
      </c>
    </row>
    <row r="466" spans="1:21" x14ac:dyDescent="0.2">
      <c r="A466" s="49" t="s">
        <v>30</v>
      </c>
    </row>
    <row r="467" spans="1:21" x14ac:dyDescent="0.2">
      <c r="A467" s="49" t="s">
        <v>30</v>
      </c>
      <c r="E467" s="49" t="s">
        <v>31</v>
      </c>
      <c r="F467" s="49" t="s">
        <v>31</v>
      </c>
      <c r="G467" s="49" t="s">
        <v>31</v>
      </c>
      <c r="J467" s="49" t="s">
        <v>31</v>
      </c>
      <c r="K467" s="49" t="s">
        <v>31</v>
      </c>
      <c r="L467" s="49" t="s">
        <v>31</v>
      </c>
      <c r="M467" s="49" t="s">
        <v>31</v>
      </c>
    </row>
    <row r="468" spans="1:21" x14ac:dyDescent="0.2">
      <c r="A468" s="49" t="s">
        <v>30</v>
      </c>
      <c r="D468" s="49" t="s">
        <v>35289</v>
      </c>
      <c r="E468" s="49" t="s">
        <v>7180</v>
      </c>
      <c r="F468" s="49" t="s">
        <v>35290</v>
      </c>
      <c r="H468" s="49" t="s">
        <v>35291</v>
      </c>
      <c r="O468" s="49" t="s">
        <v>36292</v>
      </c>
      <c r="P468" s="49" t="s">
        <v>36293</v>
      </c>
      <c r="Q468" s="49" t="s">
        <v>36294</v>
      </c>
      <c r="R468" s="49" t="s">
        <v>36295</v>
      </c>
      <c r="S468" s="49" t="s">
        <v>36296</v>
      </c>
      <c r="T468" s="49" t="s">
        <v>36297</v>
      </c>
      <c r="U468" s="49" t="s">
        <v>36298</v>
      </c>
    </row>
    <row r="469" spans="1:21" x14ac:dyDescent="0.2">
      <c r="A469" s="49" t="s">
        <v>30</v>
      </c>
      <c r="D469" s="49" t="s">
        <v>5212</v>
      </c>
      <c r="G469" s="49" t="s">
        <v>35299</v>
      </c>
      <c r="H469" s="49" t="s">
        <v>5213</v>
      </c>
      <c r="I469" s="49" t="s">
        <v>5214</v>
      </c>
      <c r="J469" s="49" t="s">
        <v>5215</v>
      </c>
      <c r="K469" s="49" t="s">
        <v>5216</v>
      </c>
      <c r="L469" s="49" t="s">
        <v>5217</v>
      </c>
      <c r="M469" s="49" t="s">
        <v>5218</v>
      </c>
      <c r="N469" s="49" t="s">
        <v>5219</v>
      </c>
      <c r="O469" s="49" t="s">
        <v>35803</v>
      </c>
      <c r="P469" s="49" t="s">
        <v>35805</v>
      </c>
      <c r="Q469" s="49" t="s">
        <v>35807</v>
      </c>
      <c r="R469" s="49" t="s">
        <v>35809</v>
      </c>
      <c r="S469" s="49" t="s">
        <v>35811</v>
      </c>
      <c r="T469" s="49" t="s">
        <v>35813</v>
      </c>
    </row>
    <row r="470" spans="1:21" x14ac:dyDescent="0.2">
      <c r="A470" s="49" t="s">
        <v>30</v>
      </c>
      <c r="D470" s="49" t="s">
        <v>14742</v>
      </c>
      <c r="G470" s="49" t="s">
        <v>17270</v>
      </c>
      <c r="H470" s="49" t="s">
        <v>31116</v>
      </c>
      <c r="I470" s="49" t="s">
        <v>31125</v>
      </c>
      <c r="J470" s="49" t="s">
        <v>31188</v>
      </c>
      <c r="K470" s="49" t="s">
        <v>31197</v>
      </c>
      <c r="L470" s="49" t="s">
        <v>14744</v>
      </c>
      <c r="M470" s="49" t="s">
        <v>14745</v>
      </c>
      <c r="N470" s="49" t="s">
        <v>14746</v>
      </c>
      <c r="O470" s="49" t="s">
        <v>35804</v>
      </c>
      <c r="P470" s="49" t="s">
        <v>35806</v>
      </c>
      <c r="Q470" s="49" t="s">
        <v>35808</v>
      </c>
      <c r="R470" s="49" t="s">
        <v>35810</v>
      </c>
      <c r="S470" s="49" t="s">
        <v>35812</v>
      </c>
      <c r="T470" s="49" t="s">
        <v>35814</v>
      </c>
    </row>
    <row r="471" spans="1:21" x14ac:dyDescent="0.2">
      <c r="A471" s="49" t="s">
        <v>30</v>
      </c>
      <c r="D471" s="49" t="s">
        <v>14747</v>
      </c>
      <c r="G471" s="49" t="s">
        <v>17285</v>
      </c>
      <c r="H471" s="49" t="s">
        <v>31117</v>
      </c>
      <c r="I471" s="49" t="s">
        <v>31126</v>
      </c>
      <c r="J471" s="49" t="s">
        <v>31189</v>
      </c>
      <c r="K471" s="49" t="s">
        <v>31198</v>
      </c>
      <c r="L471" s="49" t="s">
        <v>14749</v>
      </c>
      <c r="M471" s="49" t="s">
        <v>14750</v>
      </c>
      <c r="N471" s="49" t="s">
        <v>14751</v>
      </c>
      <c r="O471" s="49" t="s">
        <v>33677</v>
      </c>
      <c r="P471" s="49" t="s">
        <v>33678</v>
      </c>
      <c r="Q471" s="49" t="s">
        <v>33679</v>
      </c>
      <c r="R471" s="49" t="s">
        <v>33680</v>
      </c>
      <c r="S471" s="49" t="s">
        <v>33681</v>
      </c>
      <c r="T471" s="49" t="s">
        <v>33682</v>
      </c>
    </row>
    <row r="472" spans="1:21" x14ac:dyDescent="0.2">
      <c r="A472" s="49" t="s">
        <v>30</v>
      </c>
      <c r="D472" s="49" t="s">
        <v>14752</v>
      </c>
      <c r="G472" s="49" t="s">
        <v>17300</v>
      </c>
      <c r="H472" s="49" t="s">
        <v>31118</v>
      </c>
      <c r="I472" s="49" t="s">
        <v>31127</v>
      </c>
      <c r="J472" s="49" t="s">
        <v>31190</v>
      </c>
      <c r="K472" s="49" t="s">
        <v>31199</v>
      </c>
      <c r="L472" s="49" t="s">
        <v>14754</v>
      </c>
      <c r="M472" s="49" t="s">
        <v>14755</v>
      </c>
      <c r="N472" s="49" t="s">
        <v>14756</v>
      </c>
      <c r="O472" s="49" t="s">
        <v>38057</v>
      </c>
      <c r="P472" s="49" t="s">
        <v>38060</v>
      </c>
      <c r="Q472" s="49" t="s">
        <v>38063</v>
      </c>
      <c r="R472" s="49" t="s">
        <v>38066</v>
      </c>
      <c r="S472" s="49" t="s">
        <v>38069</v>
      </c>
      <c r="T472" s="49" t="s">
        <v>38072</v>
      </c>
    </row>
    <row r="473" spans="1:21" x14ac:dyDescent="0.2">
      <c r="A473" s="49" t="s">
        <v>30</v>
      </c>
      <c r="D473" s="49" t="s">
        <v>11005</v>
      </c>
      <c r="G473" s="49" t="s">
        <v>17315</v>
      </c>
      <c r="H473" s="49" t="s">
        <v>12558</v>
      </c>
      <c r="I473" s="49" t="s">
        <v>12559</v>
      </c>
      <c r="J473" s="49" t="s">
        <v>12578</v>
      </c>
      <c r="K473" s="49" t="s">
        <v>12579</v>
      </c>
      <c r="L473" s="49" t="s">
        <v>11006</v>
      </c>
      <c r="M473" s="49" t="s">
        <v>11007</v>
      </c>
      <c r="N473" s="49" t="s">
        <v>11008</v>
      </c>
      <c r="O473" s="49" t="s">
        <v>38058</v>
      </c>
      <c r="P473" s="49" t="s">
        <v>38061</v>
      </c>
      <c r="Q473" s="49" t="s">
        <v>38064</v>
      </c>
      <c r="R473" s="49" t="s">
        <v>38067</v>
      </c>
      <c r="S473" s="49" t="s">
        <v>38070</v>
      </c>
      <c r="T473" s="49" t="s">
        <v>38073</v>
      </c>
    </row>
    <row r="474" spans="1:21" x14ac:dyDescent="0.2">
      <c r="A474" s="49" t="s">
        <v>30</v>
      </c>
      <c r="D474" s="49" t="s">
        <v>9914</v>
      </c>
      <c r="G474" s="49" t="s">
        <v>17320</v>
      </c>
      <c r="H474" s="49" t="s">
        <v>9915</v>
      </c>
      <c r="I474" s="49" t="s">
        <v>9916</v>
      </c>
      <c r="J474" s="49" t="s">
        <v>9917</v>
      </c>
      <c r="K474" s="49" t="s">
        <v>9918</v>
      </c>
      <c r="L474" s="49" t="s">
        <v>9919</v>
      </c>
      <c r="M474" s="49" t="s">
        <v>9920</v>
      </c>
      <c r="N474" s="49" t="s">
        <v>9921</v>
      </c>
      <c r="O474" s="49" t="s">
        <v>38059</v>
      </c>
      <c r="P474" s="49" t="s">
        <v>38062</v>
      </c>
      <c r="Q474" s="49" t="s">
        <v>38065</v>
      </c>
      <c r="R474" s="49" t="s">
        <v>38068</v>
      </c>
      <c r="S474" s="49" t="s">
        <v>38071</v>
      </c>
      <c r="T474" s="49" t="s">
        <v>38074</v>
      </c>
    </row>
    <row r="475" spans="1:21" x14ac:dyDescent="0.2">
      <c r="A475" s="49" t="s">
        <v>30</v>
      </c>
    </row>
    <row r="476" spans="1:21" x14ac:dyDescent="0.2">
      <c r="A476" s="49" t="s">
        <v>30</v>
      </c>
      <c r="E476" s="49" t="s">
        <v>31</v>
      </c>
      <c r="F476" s="49" t="s">
        <v>31</v>
      </c>
      <c r="G476" s="49" t="s">
        <v>31</v>
      </c>
      <c r="J476" s="49" t="s">
        <v>31</v>
      </c>
      <c r="K476" s="49" t="s">
        <v>31</v>
      </c>
      <c r="L476" s="49" t="s">
        <v>31</v>
      </c>
      <c r="M476" s="49" t="s">
        <v>31</v>
      </c>
    </row>
    <row r="477" spans="1:21" x14ac:dyDescent="0.2">
      <c r="A477" s="49" t="s">
        <v>30</v>
      </c>
      <c r="D477" s="49" t="s">
        <v>36299</v>
      </c>
      <c r="E477" s="49" t="s">
        <v>7291</v>
      </c>
      <c r="F477" s="49" t="s">
        <v>36300</v>
      </c>
      <c r="H477" s="49" t="s">
        <v>36301</v>
      </c>
      <c r="O477" s="49" t="s">
        <v>36302</v>
      </c>
      <c r="P477" s="49" t="s">
        <v>36303</v>
      </c>
      <c r="Q477" s="49" t="s">
        <v>36304</v>
      </c>
      <c r="R477" s="49" t="s">
        <v>36305</v>
      </c>
      <c r="S477" s="49" t="s">
        <v>36306</v>
      </c>
      <c r="T477" s="49" t="s">
        <v>36307</v>
      </c>
      <c r="U477" s="49" t="s">
        <v>36308</v>
      </c>
    </row>
    <row r="478" spans="1:21" x14ac:dyDescent="0.2">
      <c r="A478" s="49" t="s">
        <v>30</v>
      </c>
      <c r="D478" s="49" t="s">
        <v>14762</v>
      </c>
      <c r="G478" s="49" t="s">
        <v>36309</v>
      </c>
      <c r="H478" s="49" t="s">
        <v>31119</v>
      </c>
      <c r="I478" s="49" t="s">
        <v>31128</v>
      </c>
      <c r="J478" s="49" t="s">
        <v>31191</v>
      </c>
      <c r="K478" s="49" t="s">
        <v>31200</v>
      </c>
      <c r="L478" s="49" t="s">
        <v>14764</v>
      </c>
      <c r="M478" s="49" t="s">
        <v>14765</v>
      </c>
      <c r="N478" s="49" t="s">
        <v>14766</v>
      </c>
      <c r="O478" s="49" t="s">
        <v>38045</v>
      </c>
      <c r="P478" s="49" t="s">
        <v>38047</v>
      </c>
      <c r="Q478" s="49" t="s">
        <v>38049</v>
      </c>
      <c r="R478" s="49" t="s">
        <v>38051</v>
      </c>
      <c r="S478" s="49" t="s">
        <v>38053</v>
      </c>
      <c r="T478" s="49" t="s">
        <v>38055</v>
      </c>
    </row>
    <row r="479" spans="1:21" x14ac:dyDescent="0.2">
      <c r="A479" s="49" t="s">
        <v>30</v>
      </c>
      <c r="D479" s="49" t="s">
        <v>14767</v>
      </c>
      <c r="G479" s="49" t="s">
        <v>17385</v>
      </c>
      <c r="H479" s="49" t="s">
        <v>31120</v>
      </c>
      <c r="I479" s="49" t="s">
        <v>31129</v>
      </c>
      <c r="J479" s="49" t="s">
        <v>31192</v>
      </c>
      <c r="K479" s="49" t="s">
        <v>31201</v>
      </c>
      <c r="L479" s="49" t="s">
        <v>14769</v>
      </c>
      <c r="M479" s="49" t="s">
        <v>14770</v>
      </c>
      <c r="N479" s="49" t="s">
        <v>14771</v>
      </c>
      <c r="O479" s="49" t="s">
        <v>38046</v>
      </c>
      <c r="P479" s="49" t="s">
        <v>38048</v>
      </c>
      <c r="Q479" s="49" t="s">
        <v>38050</v>
      </c>
      <c r="R479" s="49" t="s">
        <v>38052</v>
      </c>
      <c r="S479" s="49" t="s">
        <v>38054</v>
      </c>
      <c r="T479" s="49" t="s">
        <v>38056</v>
      </c>
    </row>
    <row r="480" spans="1:21" x14ac:dyDescent="0.2">
      <c r="A480" s="49" t="s">
        <v>30</v>
      </c>
      <c r="D480" s="49" t="s">
        <v>14772</v>
      </c>
      <c r="G480" s="49" t="s">
        <v>17390</v>
      </c>
      <c r="H480" s="49" t="s">
        <v>31121</v>
      </c>
      <c r="I480" s="49" t="s">
        <v>31130</v>
      </c>
      <c r="J480" s="49" t="s">
        <v>31193</v>
      </c>
      <c r="K480" s="49" t="s">
        <v>31202</v>
      </c>
      <c r="L480" s="49" t="s">
        <v>14774</v>
      </c>
      <c r="M480" s="49" t="s">
        <v>14775</v>
      </c>
      <c r="N480" s="49" t="s">
        <v>14776</v>
      </c>
      <c r="O480" s="49" t="s">
        <v>35797</v>
      </c>
      <c r="P480" s="49" t="s">
        <v>35798</v>
      </c>
      <c r="Q480" s="49" t="s">
        <v>35799</v>
      </c>
      <c r="R480" s="49" t="s">
        <v>35800</v>
      </c>
      <c r="S480" s="49" t="s">
        <v>35801</v>
      </c>
      <c r="T480" s="49" t="s">
        <v>35802</v>
      </c>
    </row>
    <row r="481" spans="1:21" x14ac:dyDescent="0.2">
      <c r="A481" s="49" t="s">
        <v>30</v>
      </c>
      <c r="D481" s="49" t="s">
        <v>5259</v>
      </c>
      <c r="G481" s="49" t="s">
        <v>17395</v>
      </c>
      <c r="H481" s="49" t="s">
        <v>5260</v>
      </c>
      <c r="I481" s="49" t="s">
        <v>5261</v>
      </c>
      <c r="J481" s="49" t="s">
        <v>5262</v>
      </c>
      <c r="K481" s="49" t="s">
        <v>5263</v>
      </c>
      <c r="L481" s="49" t="s">
        <v>5264</v>
      </c>
      <c r="M481" s="49" t="s">
        <v>5265</v>
      </c>
      <c r="N481" s="49" t="s">
        <v>5266</v>
      </c>
      <c r="O481" s="49" t="s">
        <v>34512</v>
      </c>
      <c r="P481" s="49" t="s">
        <v>34515</v>
      </c>
      <c r="Q481" s="49" t="s">
        <v>34518</v>
      </c>
      <c r="R481" s="49" t="s">
        <v>34521</v>
      </c>
      <c r="S481" s="49" t="s">
        <v>34524</v>
      </c>
      <c r="T481" s="49" t="s">
        <v>34527</v>
      </c>
    </row>
    <row r="482" spans="1:21" x14ac:dyDescent="0.2">
      <c r="A482" s="49" t="s">
        <v>30</v>
      </c>
    </row>
    <row r="483" spans="1:21" x14ac:dyDescent="0.2">
      <c r="A483" s="49" t="s">
        <v>30</v>
      </c>
      <c r="E483" s="49" t="s">
        <v>31</v>
      </c>
      <c r="F483" s="49" t="s">
        <v>31</v>
      </c>
      <c r="G483" s="49" t="s">
        <v>31</v>
      </c>
      <c r="J483" s="49" t="s">
        <v>31</v>
      </c>
      <c r="K483" s="49" t="s">
        <v>31</v>
      </c>
      <c r="L483" s="49" t="s">
        <v>31</v>
      </c>
      <c r="M483" s="49" t="s">
        <v>31</v>
      </c>
    </row>
    <row r="484" spans="1:21" x14ac:dyDescent="0.2">
      <c r="A484" s="49" t="s">
        <v>30</v>
      </c>
      <c r="D484" s="49" t="s">
        <v>36310</v>
      </c>
      <c r="E484" s="49" t="s">
        <v>7328</v>
      </c>
      <c r="F484" s="49" t="s">
        <v>36311</v>
      </c>
      <c r="H484" s="49" t="s">
        <v>36312</v>
      </c>
      <c r="O484" s="49" t="s">
        <v>36313</v>
      </c>
      <c r="P484" s="49" t="s">
        <v>36314</v>
      </c>
      <c r="Q484" s="49" t="s">
        <v>36315</v>
      </c>
      <c r="R484" s="49" t="s">
        <v>36316</v>
      </c>
      <c r="S484" s="49" t="s">
        <v>36317</v>
      </c>
      <c r="T484" s="49" t="s">
        <v>36318</v>
      </c>
      <c r="U484" s="49" t="s">
        <v>36319</v>
      </c>
    </row>
    <row r="485" spans="1:21" x14ac:dyDescent="0.2">
      <c r="A485" s="49" t="s">
        <v>30</v>
      </c>
      <c r="D485" s="49" t="s">
        <v>9938</v>
      </c>
      <c r="G485" s="49" t="s">
        <v>36320</v>
      </c>
      <c r="H485" s="49" t="s">
        <v>9939</v>
      </c>
      <c r="I485" s="49" t="s">
        <v>9940</v>
      </c>
      <c r="J485" s="49" t="s">
        <v>9941</v>
      </c>
      <c r="K485" s="49" t="s">
        <v>9942</v>
      </c>
      <c r="L485" s="49" t="s">
        <v>9943</v>
      </c>
      <c r="M485" s="49" t="s">
        <v>9944</v>
      </c>
      <c r="N485" s="49" t="s">
        <v>9945</v>
      </c>
      <c r="O485" s="49" t="s">
        <v>38039</v>
      </c>
      <c r="P485" s="49" t="s">
        <v>38040</v>
      </c>
      <c r="Q485" s="49" t="s">
        <v>38041</v>
      </c>
      <c r="R485" s="49" t="s">
        <v>38042</v>
      </c>
      <c r="S485" s="49" t="s">
        <v>38043</v>
      </c>
      <c r="T485" s="49" t="s">
        <v>38044</v>
      </c>
    </row>
    <row r="486" spans="1:21" x14ac:dyDescent="0.2">
      <c r="A486" s="49" t="s">
        <v>30</v>
      </c>
      <c r="D486" s="49" t="s">
        <v>11009</v>
      </c>
      <c r="G486" s="49" t="s">
        <v>17460</v>
      </c>
      <c r="H486" s="49" t="s">
        <v>12536</v>
      </c>
      <c r="I486" s="49" t="s">
        <v>12537</v>
      </c>
      <c r="J486" s="49" t="s">
        <v>12556</v>
      </c>
      <c r="K486" s="49" t="s">
        <v>12557</v>
      </c>
      <c r="L486" s="49" t="s">
        <v>11010</v>
      </c>
      <c r="M486" s="49" t="s">
        <v>11011</v>
      </c>
      <c r="N486" s="49" t="s">
        <v>11012</v>
      </c>
      <c r="O486" s="49" t="s">
        <v>35329</v>
      </c>
      <c r="P486" s="49" t="s">
        <v>35330</v>
      </c>
      <c r="Q486" s="49" t="s">
        <v>35331</v>
      </c>
      <c r="R486" s="49" t="s">
        <v>35332</v>
      </c>
      <c r="S486" s="49" t="s">
        <v>35333</v>
      </c>
      <c r="T486" s="49" t="s">
        <v>35334</v>
      </c>
    </row>
    <row r="487" spans="1:21" x14ac:dyDescent="0.2">
      <c r="A487" s="49" t="s">
        <v>30</v>
      </c>
      <c r="D487" s="49" t="s">
        <v>14783</v>
      </c>
      <c r="G487" s="49" t="s">
        <v>17475</v>
      </c>
      <c r="H487" s="49" t="s">
        <v>31122</v>
      </c>
      <c r="I487" s="49" t="s">
        <v>31131</v>
      </c>
      <c r="J487" s="49" t="s">
        <v>31194</v>
      </c>
      <c r="K487" s="49" t="s">
        <v>31203</v>
      </c>
      <c r="L487" s="49" t="s">
        <v>14785</v>
      </c>
      <c r="M487" s="49" t="s">
        <v>14786</v>
      </c>
      <c r="N487" s="49" t="s">
        <v>14787</v>
      </c>
      <c r="O487" s="49" t="s">
        <v>33713</v>
      </c>
      <c r="P487" s="49" t="s">
        <v>33714</v>
      </c>
      <c r="Q487" s="49" t="s">
        <v>33715</v>
      </c>
      <c r="R487" s="49" t="s">
        <v>33716</v>
      </c>
      <c r="S487" s="49" t="s">
        <v>33717</v>
      </c>
      <c r="T487" s="49" t="s">
        <v>33718</v>
      </c>
    </row>
    <row r="488" spans="1:21" x14ac:dyDescent="0.2">
      <c r="A488" s="49" t="s">
        <v>30</v>
      </c>
    </row>
    <row r="489" spans="1:21" x14ac:dyDescent="0.2">
      <c r="A489" s="49" t="s">
        <v>30</v>
      </c>
      <c r="E489" s="49" t="s">
        <v>31</v>
      </c>
      <c r="F489" s="49" t="s">
        <v>31</v>
      </c>
      <c r="G489" s="49" t="s">
        <v>31</v>
      </c>
      <c r="J489" s="49" t="s">
        <v>31</v>
      </c>
      <c r="K489" s="49" t="s">
        <v>31</v>
      </c>
      <c r="L489" s="49" t="s">
        <v>31</v>
      </c>
      <c r="M489" s="49" t="s">
        <v>31</v>
      </c>
    </row>
    <row r="490" spans="1:21" x14ac:dyDescent="0.2">
      <c r="A490" s="49" t="s">
        <v>30</v>
      </c>
      <c r="D490" s="49" t="s">
        <v>33719</v>
      </c>
      <c r="E490" s="49" t="s">
        <v>7357</v>
      </c>
      <c r="F490" s="49" t="s">
        <v>33720</v>
      </c>
      <c r="H490" s="49" t="s">
        <v>33721</v>
      </c>
      <c r="O490" s="49" t="s">
        <v>33722</v>
      </c>
      <c r="P490" s="49" t="s">
        <v>33723</v>
      </c>
      <c r="Q490" s="49" t="s">
        <v>33724</v>
      </c>
      <c r="R490" s="49" t="s">
        <v>33725</v>
      </c>
      <c r="S490" s="49" t="s">
        <v>33726</v>
      </c>
      <c r="T490" s="49" t="s">
        <v>33727</v>
      </c>
      <c r="U490" s="49" t="s">
        <v>33728</v>
      </c>
    </row>
    <row r="491" spans="1:21" x14ac:dyDescent="0.2">
      <c r="A491" s="49" t="s">
        <v>30</v>
      </c>
      <c r="D491" s="49" t="s">
        <v>11016</v>
      </c>
      <c r="G491" s="49" t="s">
        <v>33729</v>
      </c>
      <c r="H491" s="49" t="s">
        <v>11017</v>
      </c>
      <c r="I491" s="49" t="s">
        <v>11018</v>
      </c>
      <c r="J491" s="49" t="s">
        <v>11019</v>
      </c>
      <c r="K491" s="49" t="s">
        <v>11020</v>
      </c>
      <c r="L491" s="49" t="s">
        <v>11021</v>
      </c>
      <c r="M491" s="49" t="s">
        <v>11022</v>
      </c>
      <c r="N491" s="49" t="s">
        <v>11023</v>
      </c>
      <c r="O491" s="49" t="s">
        <v>33730</v>
      </c>
      <c r="P491" s="49" t="s">
        <v>33731</v>
      </c>
      <c r="Q491" s="49" t="s">
        <v>33732</v>
      </c>
      <c r="R491" s="49" t="s">
        <v>33733</v>
      </c>
      <c r="S491" s="49" t="s">
        <v>33734</v>
      </c>
      <c r="T491" s="49" t="s">
        <v>33735</v>
      </c>
    </row>
    <row r="492" spans="1:21" x14ac:dyDescent="0.2">
      <c r="A492" s="49" t="s">
        <v>30</v>
      </c>
      <c r="D492" s="49" t="s">
        <v>11030</v>
      </c>
      <c r="G492" s="49" t="s">
        <v>17530</v>
      </c>
      <c r="H492" s="49" t="s">
        <v>11031</v>
      </c>
      <c r="I492" s="49" t="s">
        <v>11032</v>
      </c>
      <c r="J492" s="49" t="s">
        <v>11033</v>
      </c>
      <c r="K492" s="49" t="s">
        <v>11034</v>
      </c>
      <c r="L492" s="49" t="s">
        <v>11035</v>
      </c>
      <c r="M492" s="49" t="s">
        <v>11036</v>
      </c>
      <c r="N492" s="49" t="s">
        <v>11037</v>
      </c>
      <c r="O492" s="49" t="s">
        <v>33736</v>
      </c>
      <c r="P492" s="49" t="s">
        <v>33737</v>
      </c>
      <c r="Q492" s="49" t="s">
        <v>33738</v>
      </c>
      <c r="R492" s="49" t="s">
        <v>33739</v>
      </c>
      <c r="S492" s="49" t="s">
        <v>33740</v>
      </c>
      <c r="T492" s="49" t="s">
        <v>33741</v>
      </c>
    </row>
    <row r="493" spans="1:21" x14ac:dyDescent="0.2">
      <c r="A493" s="49" t="s">
        <v>30</v>
      </c>
    </row>
    <row r="494" spans="1:21" x14ac:dyDescent="0.2">
      <c r="A494" s="49" t="s">
        <v>30</v>
      </c>
      <c r="E494" s="49" t="s">
        <v>31</v>
      </c>
      <c r="F494" s="49" t="s">
        <v>31</v>
      </c>
      <c r="G494" s="49" t="s">
        <v>31</v>
      </c>
      <c r="J494" s="49" t="s">
        <v>31</v>
      </c>
      <c r="K494" s="49" t="s">
        <v>31</v>
      </c>
      <c r="L494" s="49" t="s">
        <v>31</v>
      </c>
      <c r="M494" s="49" t="s">
        <v>31</v>
      </c>
    </row>
    <row r="495" spans="1:21" x14ac:dyDescent="0.2">
      <c r="A495" s="49" t="s">
        <v>30</v>
      </c>
      <c r="D495" s="49" t="s">
        <v>33742</v>
      </c>
      <c r="E495" s="49" t="s">
        <v>7358</v>
      </c>
      <c r="F495" s="49" t="s">
        <v>33743</v>
      </c>
      <c r="H495" s="49" t="s">
        <v>33744</v>
      </c>
      <c r="O495" s="49" t="s">
        <v>36321</v>
      </c>
      <c r="P495" s="49" t="s">
        <v>36322</v>
      </c>
      <c r="Q495" s="49" t="s">
        <v>36323</v>
      </c>
      <c r="R495" s="49" t="s">
        <v>36324</v>
      </c>
      <c r="S495" s="49" t="s">
        <v>36325</v>
      </c>
      <c r="T495" s="49" t="s">
        <v>36326</v>
      </c>
      <c r="U495" s="49" t="s">
        <v>36327</v>
      </c>
    </row>
    <row r="496" spans="1:21" x14ac:dyDescent="0.2">
      <c r="A496" s="49" t="s">
        <v>30</v>
      </c>
      <c r="D496" s="49" t="s">
        <v>14815</v>
      </c>
      <c r="G496" s="49" t="s">
        <v>33752</v>
      </c>
      <c r="H496" s="49" t="s">
        <v>31037</v>
      </c>
      <c r="I496" s="49" t="s">
        <v>31045</v>
      </c>
      <c r="J496" s="49" t="s">
        <v>31101</v>
      </c>
      <c r="K496" s="49" t="s">
        <v>31109</v>
      </c>
      <c r="L496" s="49" t="s">
        <v>14817</v>
      </c>
      <c r="M496" s="49" t="s">
        <v>14818</v>
      </c>
      <c r="N496" s="49" t="s">
        <v>14819</v>
      </c>
      <c r="O496" s="49" t="s">
        <v>33753</v>
      </c>
      <c r="P496" s="49" t="s">
        <v>33754</v>
      </c>
      <c r="Q496" s="49" t="s">
        <v>33755</v>
      </c>
      <c r="R496" s="49" t="s">
        <v>33756</v>
      </c>
      <c r="S496" s="49" t="s">
        <v>33757</v>
      </c>
      <c r="T496" s="49" t="s">
        <v>33758</v>
      </c>
    </row>
    <row r="497" spans="1:21" x14ac:dyDescent="0.2">
      <c r="A497" s="49" t="s">
        <v>30</v>
      </c>
      <c r="D497" s="49" t="s">
        <v>5317</v>
      </c>
      <c r="G497" s="49" t="s">
        <v>17585</v>
      </c>
      <c r="H497" s="49" t="s">
        <v>5318</v>
      </c>
      <c r="I497" s="49" t="s">
        <v>5319</v>
      </c>
      <c r="J497" s="49" t="s">
        <v>5320</v>
      </c>
      <c r="K497" s="49" t="s">
        <v>5321</v>
      </c>
      <c r="L497" s="49" t="s">
        <v>5322</v>
      </c>
      <c r="M497" s="49" t="s">
        <v>5323</v>
      </c>
      <c r="N497" s="49" t="s">
        <v>5324</v>
      </c>
      <c r="O497" s="49" t="s">
        <v>35786</v>
      </c>
      <c r="P497" s="49" t="s">
        <v>35788</v>
      </c>
      <c r="Q497" s="49" t="s">
        <v>35790</v>
      </c>
      <c r="R497" s="49" t="s">
        <v>35792</v>
      </c>
      <c r="S497" s="49" t="s">
        <v>35794</v>
      </c>
      <c r="T497" s="49" t="s">
        <v>35796</v>
      </c>
    </row>
    <row r="498" spans="1:21" x14ac:dyDescent="0.2">
      <c r="A498" s="49" t="s">
        <v>30</v>
      </c>
    </row>
    <row r="499" spans="1:21" x14ac:dyDescent="0.2">
      <c r="A499" s="49" t="s">
        <v>30</v>
      </c>
      <c r="E499" s="49" t="s">
        <v>31</v>
      </c>
      <c r="F499" s="49" t="s">
        <v>31</v>
      </c>
      <c r="G499" s="49" t="s">
        <v>31</v>
      </c>
      <c r="J499" s="49" t="s">
        <v>31</v>
      </c>
      <c r="K499" s="49" t="s">
        <v>31</v>
      </c>
      <c r="L499" s="49" t="s">
        <v>31</v>
      </c>
      <c r="M499" s="49" t="s">
        <v>31</v>
      </c>
    </row>
    <row r="500" spans="1:21" x14ac:dyDescent="0.2">
      <c r="A500" s="49" t="s">
        <v>30</v>
      </c>
      <c r="D500" s="49" t="s">
        <v>35350</v>
      </c>
      <c r="E500" s="49" t="s">
        <v>7373</v>
      </c>
      <c r="F500" s="49" t="s">
        <v>35351</v>
      </c>
      <c r="H500" s="49" t="s">
        <v>35352</v>
      </c>
      <c r="O500" s="49" t="s">
        <v>36328</v>
      </c>
      <c r="P500" s="49" t="s">
        <v>36329</v>
      </c>
      <c r="Q500" s="49" t="s">
        <v>36330</v>
      </c>
      <c r="R500" s="49" t="s">
        <v>36331</v>
      </c>
      <c r="S500" s="49" t="s">
        <v>36332</v>
      </c>
      <c r="T500" s="49" t="s">
        <v>36333</v>
      </c>
      <c r="U500" s="49" t="s">
        <v>36334</v>
      </c>
    </row>
    <row r="501" spans="1:21" x14ac:dyDescent="0.2">
      <c r="A501" s="49" t="s">
        <v>30</v>
      </c>
      <c r="D501" s="49" t="s">
        <v>14824</v>
      </c>
      <c r="G501" s="49" t="s">
        <v>35360</v>
      </c>
      <c r="H501" s="49" t="s">
        <v>31038</v>
      </c>
      <c r="I501" s="49" t="s">
        <v>31046</v>
      </c>
      <c r="J501" s="49" t="s">
        <v>31102</v>
      </c>
      <c r="K501" s="49" t="s">
        <v>31110</v>
      </c>
      <c r="L501" s="49" t="s">
        <v>14826</v>
      </c>
      <c r="M501" s="49" t="s">
        <v>14827</v>
      </c>
      <c r="N501" s="49" t="s">
        <v>14828</v>
      </c>
      <c r="O501" s="49" t="s">
        <v>35767</v>
      </c>
      <c r="P501" s="49" t="s">
        <v>35770</v>
      </c>
      <c r="Q501" s="49" t="s">
        <v>35773</v>
      </c>
      <c r="R501" s="49" t="s">
        <v>35776</v>
      </c>
      <c r="S501" s="49" t="s">
        <v>35779</v>
      </c>
      <c r="T501" s="49" t="s">
        <v>35782</v>
      </c>
    </row>
    <row r="502" spans="1:21" x14ac:dyDescent="0.2">
      <c r="A502" s="49" t="s">
        <v>30</v>
      </c>
    </row>
    <row r="503" spans="1:21" x14ac:dyDescent="0.2">
      <c r="A503" s="49" t="s">
        <v>30</v>
      </c>
      <c r="E503" s="49" t="s">
        <v>31</v>
      </c>
      <c r="F503" s="49" t="s">
        <v>31</v>
      </c>
      <c r="G503" s="49" t="s">
        <v>31</v>
      </c>
      <c r="J503" s="49" t="s">
        <v>31</v>
      </c>
      <c r="K503" s="49" t="s">
        <v>31</v>
      </c>
      <c r="L503" s="49" t="s">
        <v>31</v>
      </c>
      <c r="M503" s="49" t="s">
        <v>31</v>
      </c>
    </row>
    <row r="504" spans="1:21" x14ac:dyDescent="0.2">
      <c r="A504" s="49" t="s">
        <v>30</v>
      </c>
      <c r="D504" s="49" t="s">
        <v>36335</v>
      </c>
      <c r="E504" s="49" t="s">
        <v>7374</v>
      </c>
      <c r="F504" s="49" t="s">
        <v>36336</v>
      </c>
      <c r="H504" s="49" t="s">
        <v>36337</v>
      </c>
      <c r="O504" s="49" t="s">
        <v>36338</v>
      </c>
      <c r="P504" s="49" t="s">
        <v>36339</v>
      </c>
      <c r="Q504" s="49" t="s">
        <v>36340</v>
      </c>
      <c r="R504" s="49" t="s">
        <v>36341</v>
      </c>
      <c r="S504" s="49" t="s">
        <v>36342</v>
      </c>
      <c r="T504" s="49" t="s">
        <v>36343</v>
      </c>
      <c r="U504" s="49" t="s">
        <v>36344</v>
      </c>
    </row>
    <row r="505" spans="1:21" x14ac:dyDescent="0.2">
      <c r="A505" s="49" t="s">
        <v>30</v>
      </c>
      <c r="D505" s="49" t="s">
        <v>5346</v>
      </c>
      <c r="G505" s="49" t="s">
        <v>36345</v>
      </c>
      <c r="H505" s="49" t="s">
        <v>5347</v>
      </c>
      <c r="I505" s="49" t="s">
        <v>5348</v>
      </c>
      <c r="J505" s="49" t="s">
        <v>5349</v>
      </c>
      <c r="K505" s="49" t="s">
        <v>5350</v>
      </c>
      <c r="L505" s="49" t="s">
        <v>5351</v>
      </c>
      <c r="M505" s="49" t="s">
        <v>5352</v>
      </c>
      <c r="N505" s="49" t="s">
        <v>5353</v>
      </c>
      <c r="O505" s="49" t="s">
        <v>34495</v>
      </c>
      <c r="P505" s="49" t="s">
        <v>34498</v>
      </c>
      <c r="Q505" s="49" t="s">
        <v>34501</v>
      </c>
      <c r="R505" s="49" t="s">
        <v>34504</v>
      </c>
      <c r="S505" s="49" t="s">
        <v>34507</v>
      </c>
      <c r="T505" s="49" t="s">
        <v>34510</v>
      </c>
    </row>
    <row r="506" spans="1:21" x14ac:dyDescent="0.2">
      <c r="A506" s="49" t="s">
        <v>30</v>
      </c>
      <c r="D506" s="49" t="s">
        <v>5360</v>
      </c>
      <c r="G506" s="49" t="s">
        <v>17695</v>
      </c>
      <c r="H506" s="49" t="s">
        <v>5361</v>
      </c>
      <c r="I506" s="49" t="s">
        <v>5362</v>
      </c>
      <c r="J506" s="49" t="s">
        <v>5363</v>
      </c>
      <c r="K506" s="49" t="s">
        <v>5364</v>
      </c>
      <c r="L506" s="49" t="s">
        <v>5365</v>
      </c>
      <c r="M506" s="49" t="s">
        <v>5366</v>
      </c>
      <c r="N506" s="49" t="s">
        <v>5367</v>
      </c>
      <c r="O506" s="49" t="s">
        <v>34496</v>
      </c>
      <c r="P506" s="49" t="s">
        <v>34499</v>
      </c>
      <c r="Q506" s="49" t="s">
        <v>34502</v>
      </c>
      <c r="R506" s="49" t="s">
        <v>34505</v>
      </c>
      <c r="S506" s="49" t="s">
        <v>34508</v>
      </c>
      <c r="T506" s="49" t="s">
        <v>34511</v>
      </c>
    </row>
    <row r="507" spans="1:21" x14ac:dyDescent="0.2">
      <c r="A507" s="49" t="s">
        <v>30</v>
      </c>
    </row>
    <row r="508" spans="1:21" x14ac:dyDescent="0.2">
      <c r="A508" s="49" t="s">
        <v>30</v>
      </c>
      <c r="E508" s="49" t="s">
        <v>31</v>
      </c>
      <c r="F508" s="49" t="s">
        <v>31</v>
      </c>
      <c r="G508" s="49" t="s">
        <v>31</v>
      </c>
      <c r="J508" s="49" t="s">
        <v>31</v>
      </c>
      <c r="K508" s="49" t="s">
        <v>31</v>
      </c>
      <c r="L508" s="49" t="s">
        <v>31</v>
      </c>
      <c r="M508" s="49" t="s">
        <v>31</v>
      </c>
    </row>
    <row r="509" spans="1:21" x14ac:dyDescent="0.2">
      <c r="A509" s="49" t="s">
        <v>30</v>
      </c>
      <c r="D509" s="49" t="s">
        <v>11090</v>
      </c>
      <c r="E509" s="49" t="s">
        <v>7417</v>
      </c>
      <c r="F509" s="49" t="s">
        <v>11091</v>
      </c>
      <c r="H509" s="49" t="s">
        <v>11092</v>
      </c>
      <c r="O509" s="49" t="s">
        <v>36346</v>
      </c>
      <c r="P509" s="49" t="s">
        <v>36347</v>
      </c>
      <c r="Q509" s="49" t="s">
        <v>36348</v>
      </c>
      <c r="R509" s="49" t="s">
        <v>36349</v>
      </c>
      <c r="S509" s="49" t="s">
        <v>36350</v>
      </c>
      <c r="T509" s="49" t="s">
        <v>36351</v>
      </c>
      <c r="U509" s="49" t="s">
        <v>36352</v>
      </c>
    </row>
    <row r="510" spans="1:21" x14ac:dyDescent="0.2">
      <c r="A510" s="49" t="s">
        <v>30</v>
      </c>
      <c r="D510" s="49" t="s">
        <v>5374</v>
      </c>
      <c r="G510" s="49" t="s">
        <v>33784</v>
      </c>
      <c r="H510" s="49" t="s">
        <v>5375</v>
      </c>
      <c r="I510" s="49" t="s">
        <v>5376</v>
      </c>
      <c r="J510" s="49" t="s">
        <v>5377</v>
      </c>
      <c r="K510" s="49" t="s">
        <v>5378</v>
      </c>
      <c r="L510" s="49" t="s">
        <v>5379</v>
      </c>
      <c r="M510" s="49" t="s">
        <v>5380</v>
      </c>
      <c r="N510" s="49" t="s">
        <v>5381</v>
      </c>
      <c r="O510" s="49" t="s">
        <v>34476</v>
      </c>
      <c r="P510" s="49" t="s">
        <v>34479</v>
      </c>
      <c r="Q510" s="49" t="s">
        <v>34482</v>
      </c>
      <c r="R510" s="49" t="s">
        <v>34485</v>
      </c>
      <c r="S510" s="49" t="s">
        <v>34488</v>
      </c>
      <c r="T510" s="49" t="s">
        <v>34491</v>
      </c>
    </row>
    <row r="511" spans="1:21" x14ac:dyDescent="0.2">
      <c r="A511" s="49" t="s">
        <v>30</v>
      </c>
    </row>
    <row r="512" spans="1:21" x14ac:dyDescent="0.2">
      <c r="A512" s="49" t="s">
        <v>30</v>
      </c>
      <c r="E512" s="49" t="s">
        <v>31</v>
      </c>
      <c r="F512" s="49" t="s">
        <v>31</v>
      </c>
      <c r="G512" s="49" t="s">
        <v>31</v>
      </c>
      <c r="J512" s="49" t="s">
        <v>31</v>
      </c>
      <c r="K512" s="49" t="s">
        <v>31</v>
      </c>
      <c r="L512" s="49" t="s">
        <v>31</v>
      </c>
      <c r="M512" s="49" t="s">
        <v>31</v>
      </c>
    </row>
    <row r="513" spans="1:21" x14ac:dyDescent="0.2">
      <c r="A513" s="49" t="s">
        <v>30</v>
      </c>
      <c r="D513" s="49" t="s">
        <v>35372</v>
      </c>
      <c r="E513" s="49" t="s">
        <v>7447</v>
      </c>
      <c r="F513" s="49" t="s">
        <v>35373</v>
      </c>
      <c r="H513" s="49" t="s">
        <v>35374</v>
      </c>
      <c r="O513" s="49" t="s">
        <v>36353</v>
      </c>
      <c r="P513" s="49" t="s">
        <v>36354</v>
      </c>
      <c r="Q513" s="49" t="s">
        <v>36355</v>
      </c>
      <c r="R513" s="49" t="s">
        <v>36356</v>
      </c>
      <c r="S513" s="49" t="s">
        <v>36357</v>
      </c>
      <c r="T513" s="49" t="s">
        <v>36358</v>
      </c>
      <c r="U513" s="49" t="s">
        <v>36359</v>
      </c>
    </row>
    <row r="514" spans="1:21" x14ac:dyDescent="0.2">
      <c r="A514" s="49" t="s">
        <v>30</v>
      </c>
      <c r="D514" s="49" t="s">
        <v>11093</v>
      </c>
      <c r="G514" s="49" t="s">
        <v>35382</v>
      </c>
      <c r="H514" s="49" t="s">
        <v>12526</v>
      </c>
      <c r="I514" s="49" t="s">
        <v>12527</v>
      </c>
      <c r="J514" s="49" t="s">
        <v>12534</v>
      </c>
      <c r="K514" s="49" t="s">
        <v>12535</v>
      </c>
      <c r="L514" s="49" t="s">
        <v>11094</v>
      </c>
      <c r="M514" s="49" t="s">
        <v>11095</v>
      </c>
      <c r="N514" s="49" t="s">
        <v>11096</v>
      </c>
      <c r="O514" s="49" t="s">
        <v>35729</v>
      </c>
      <c r="P514" s="49" t="s">
        <v>35732</v>
      </c>
      <c r="Q514" s="49" t="s">
        <v>35735</v>
      </c>
      <c r="R514" s="49" t="s">
        <v>35738</v>
      </c>
      <c r="S514" s="49" t="s">
        <v>35741</v>
      </c>
      <c r="T514" s="49" t="s">
        <v>35744</v>
      </c>
    </row>
    <row r="515" spans="1:21" x14ac:dyDescent="0.2">
      <c r="A515" s="49" t="s">
        <v>30</v>
      </c>
      <c r="D515" s="49" t="s">
        <v>35383</v>
      </c>
      <c r="G515" s="49" t="s">
        <v>17770</v>
      </c>
      <c r="H515" s="49" t="s">
        <v>35727</v>
      </c>
      <c r="I515" s="49" t="s">
        <v>35728</v>
      </c>
      <c r="J515" s="49" t="s">
        <v>35747</v>
      </c>
      <c r="K515" s="49" t="s">
        <v>35748</v>
      </c>
      <c r="L515" s="49" t="s">
        <v>35384</v>
      </c>
      <c r="M515" s="49" t="s">
        <v>35385</v>
      </c>
      <c r="N515" s="49" t="s">
        <v>35386</v>
      </c>
      <c r="O515" s="49" t="s">
        <v>35730</v>
      </c>
      <c r="P515" s="49" t="s">
        <v>35733</v>
      </c>
      <c r="Q515" s="49" t="s">
        <v>35736</v>
      </c>
      <c r="R515" s="49" t="s">
        <v>35739</v>
      </c>
      <c r="S515" s="49" t="s">
        <v>35742</v>
      </c>
      <c r="T515" s="49" t="s">
        <v>35745</v>
      </c>
    </row>
    <row r="516" spans="1:21" x14ac:dyDescent="0.2">
      <c r="A516" s="49" t="s">
        <v>30</v>
      </c>
      <c r="D516" s="49" t="s">
        <v>33795</v>
      </c>
      <c r="G516" s="49" t="s">
        <v>17780</v>
      </c>
      <c r="H516" s="49" t="s">
        <v>33797</v>
      </c>
      <c r="I516" s="49" t="s">
        <v>33798</v>
      </c>
      <c r="J516" s="49" t="s">
        <v>33799</v>
      </c>
      <c r="K516" s="49" t="s">
        <v>33800</v>
      </c>
      <c r="L516" s="49" t="s">
        <v>33801</v>
      </c>
      <c r="M516" s="49" t="s">
        <v>33802</v>
      </c>
      <c r="N516" s="49" t="s">
        <v>33803</v>
      </c>
      <c r="O516" s="49" t="s">
        <v>33804</v>
      </c>
      <c r="P516" s="49" t="s">
        <v>33805</v>
      </c>
      <c r="Q516" s="49" t="s">
        <v>33806</v>
      </c>
      <c r="R516" s="49" t="s">
        <v>33807</v>
      </c>
      <c r="S516" s="49" t="s">
        <v>33808</v>
      </c>
      <c r="T516" s="49" t="s">
        <v>33809</v>
      </c>
    </row>
    <row r="517" spans="1:21" x14ac:dyDescent="0.2">
      <c r="A517" s="49" t="s">
        <v>30</v>
      </c>
    </row>
    <row r="518" spans="1:21" x14ac:dyDescent="0.2">
      <c r="A518" s="49" t="s">
        <v>30</v>
      </c>
      <c r="E518" s="49" t="s">
        <v>31</v>
      </c>
      <c r="F518" s="49" t="s">
        <v>31</v>
      </c>
      <c r="G518" s="49" t="s">
        <v>31</v>
      </c>
      <c r="J518" s="49" t="s">
        <v>31</v>
      </c>
      <c r="K518" s="49" t="s">
        <v>31</v>
      </c>
      <c r="L518" s="49" t="s">
        <v>31</v>
      </c>
      <c r="M518" s="49" t="s">
        <v>31</v>
      </c>
    </row>
    <row r="519" spans="1:21" x14ac:dyDescent="0.2">
      <c r="A519" s="49" t="s">
        <v>30</v>
      </c>
      <c r="D519" s="49" t="s">
        <v>36360</v>
      </c>
      <c r="E519" s="49" t="s">
        <v>7479</v>
      </c>
      <c r="F519" s="49" t="s">
        <v>36361</v>
      </c>
      <c r="H519" s="49" t="s">
        <v>36362</v>
      </c>
      <c r="O519" s="49" t="s">
        <v>36363</v>
      </c>
      <c r="P519" s="49" t="s">
        <v>36364</v>
      </c>
      <c r="Q519" s="49" t="s">
        <v>36365</v>
      </c>
      <c r="R519" s="49" t="s">
        <v>36366</v>
      </c>
      <c r="S519" s="49" t="s">
        <v>36367</v>
      </c>
      <c r="T519" s="49" t="s">
        <v>36368</v>
      </c>
      <c r="U519" s="49" t="s">
        <v>36369</v>
      </c>
    </row>
    <row r="520" spans="1:21" x14ac:dyDescent="0.2">
      <c r="A520" s="49" t="s">
        <v>30</v>
      </c>
      <c r="D520" s="49" t="s">
        <v>5445</v>
      </c>
      <c r="G520" s="49" t="s">
        <v>36370</v>
      </c>
      <c r="H520" s="49" t="s">
        <v>5446</v>
      </c>
      <c r="I520" s="49" t="s">
        <v>5447</v>
      </c>
      <c r="J520" s="49" t="s">
        <v>5448</v>
      </c>
      <c r="K520" s="49" t="s">
        <v>5449</v>
      </c>
      <c r="L520" s="49" t="s">
        <v>5450</v>
      </c>
      <c r="M520" s="49" t="s">
        <v>5451</v>
      </c>
      <c r="N520" s="49" t="s">
        <v>5452</v>
      </c>
      <c r="O520" s="49" t="s">
        <v>36371</v>
      </c>
      <c r="P520" s="49" t="s">
        <v>36372</v>
      </c>
      <c r="Q520" s="49" t="s">
        <v>36373</v>
      </c>
      <c r="R520" s="49" t="s">
        <v>36374</v>
      </c>
      <c r="S520" s="49" t="s">
        <v>36375</v>
      </c>
      <c r="T520" s="49" t="s">
        <v>36376</v>
      </c>
    </row>
    <row r="521" spans="1:21" x14ac:dyDescent="0.2">
      <c r="A521" s="49" t="s">
        <v>30</v>
      </c>
      <c r="D521" s="49" t="s">
        <v>11100</v>
      </c>
      <c r="G521" s="49" t="s">
        <v>17805</v>
      </c>
      <c r="H521" s="49" t="s">
        <v>12496</v>
      </c>
      <c r="I521" s="49" t="s">
        <v>12499</v>
      </c>
      <c r="J521" s="49" t="s">
        <v>12520</v>
      </c>
      <c r="K521" s="49" t="s">
        <v>12523</v>
      </c>
      <c r="L521" s="49" t="s">
        <v>11101</v>
      </c>
      <c r="M521" s="49" t="s">
        <v>11102</v>
      </c>
      <c r="N521" s="49" t="s">
        <v>11103</v>
      </c>
      <c r="O521" s="49" t="s">
        <v>34458</v>
      </c>
      <c r="P521" s="49" t="s">
        <v>34461</v>
      </c>
      <c r="Q521" s="49" t="s">
        <v>34464</v>
      </c>
      <c r="R521" s="49" t="s">
        <v>34467</v>
      </c>
      <c r="S521" s="49" t="s">
        <v>34470</v>
      </c>
      <c r="T521" s="49" t="s">
        <v>34473</v>
      </c>
    </row>
    <row r="522" spans="1:21" x14ac:dyDescent="0.2">
      <c r="A522" s="49" t="s">
        <v>30</v>
      </c>
    </row>
    <row r="523" spans="1:21" x14ac:dyDescent="0.2">
      <c r="A523" s="49" t="s">
        <v>30</v>
      </c>
      <c r="E523" s="49" t="s">
        <v>31</v>
      </c>
      <c r="F523" s="49" t="s">
        <v>31</v>
      </c>
      <c r="G523" s="49" t="s">
        <v>31</v>
      </c>
      <c r="J523" s="49" t="s">
        <v>31</v>
      </c>
      <c r="K523" s="49" t="s">
        <v>31</v>
      </c>
      <c r="L523" s="49" t="s">
        <v>31</v>
      </c>
      <c r="M523" s="49" t="s">
        <v>31</v>
      </c>
    </row>
    <row r="524" spans="1:21" x14ac:dyDescent="0.2">
      <c r="A524" s="49" t="s">
        <v>30</v>
      </c>
      <c r="D524" s="49" t="s">
        <v>36377</v>
      </c>
      <c r="E524" s="49" t="s">
        <v>7530</v>
      </c>
      <c r="F524" s="49" t="s">
        <v>36378</v>
      </c>
      <c r="H524" s="49" t="s">
        <v>36379</v>
      </c>
      <c r="O524" s="49" t="s">
        <v>36380</v>
      </c>
      <c r="P524" s="49" t="s">
        <v>36381</v>
      </c>
      <c r="Q524" s="49" t="s">
        <v>36382</v>
      </c>
      <c r="R524" s="49" t="s">
        <v>36383</v>
      </c>
      <c r="S524" s="49" t="s">
        <v>36384</v>
      </c>
      <c r="T524" s="49" t="s">
        <v>36385</v>
      </c>
      <c r="U524" s="49" t="s">
        <v>36386</v>
      </c>
    </row>
    <row r="525" spans="1:21" x14ac:dyDescent="0.2">
      <c r="A525" s="49" t="s">
        <v>30</v>
      </c>
      <c r="D525" s="49" t="s">
        <v>5474</v>
      </c>
      <c r="G525" s="49" t="s">
        <v>36387</v>
      </c>
      <c r="H525" s="49" t="s">
        <v>5475</v>
      </c>
      <c r="I525" s="49" t="s">
        <v>5476</v>
      </c>
      <c r="J525" s="49" t="s">
        <v>5477</v>
      </c>
      <c r="K525" s="49" t="s">
        <v>5478</v>
      </c>
      <c r="L525" s="49" t="s">
        <v>5479</v>
      </c>
      <c r="M525" s="49" t="s">
        <v>5480</v>
      </c>
      <c r="N525" s="49" t="s">
        <v>5481</v>
      </c>
      <c r="O525" s="49" t="s">
        <v>38027</v>
      </c>
      <c r="P525" s="49" t="s">
        <v>38029</v>
      </c>
      <c r="Q525" s="49" t="s">
        <v>38031</v>
      </c>
      <c r="R525" s="49" t="s">
        <v>38033</v>
      </c>
      <c r="S525" s="49" t="s">
        <v>38035</v>
      </c>
      <c r="T525" s="49" t="s">
        <v>38037</v>
      </c>
    </row>
    <row r="526" spans="1:21" x14ac:dyDescent="0.2">
      <c r="A526" s="49" t="s">
        <v>30</v>
      </c>
      <c r="D526" s="49" t="s">
        <v>5482</v>
      </c>
      <c r="G526" s="49" t="s">
        <v>17835</v>
      </c>
      <c r="H526" s="49" t="s">
        <v>5483</v>
      </c>
      <c r="I526" s="49" t="s">
        <v>5484</v>
      </c>
      <c r="J526" s="49" t="s">
        <v>5485</v>
      </c>
      <c r="K526" s="49" t="s">
        <v>5486</v>
      </c>
      <c r="L526" s="49" t="s">
        <v>5487</v>
      </c>
      <c r="M526" s="49" t="s">
        <v>5488</v>
      </c>
      <c r="N526" s="49" t="s">
        <v>5489</v>
      </c>
      <c r="O526" s="49" t="s">
        <v>38028</v>
      </c>
      <c r="P526" s="49" t="s">
        <v>38030</v>
      </c>
      <c r="Q526" s="49" t="s">
        <v>38032</v>
      </c>
      <c r="R526" s="49" t="s">
        <v>38034</v>
      </c>
      <c r="S526" s="49" t="s">
        <v>38036</v>
      </c>
      <c r="T526" s="49" t="s">
        <v>38038</v>
      </c>
    </row>
    <row r="527" spans="1:21" x14ac:dyDescent="0.2">
      <c r="A527" s="49" t="s">
        <v>30</v>
      </c>
      <c r="D527" s="49" t="s">
        <v>5490</v>
      </c>
      <c r="G527" s="49" t="s">
        <v>17850</v>
      </c>
      <c r="H527" s="49" t="s">
        <v>5491</v>
      </c>
      <c r="I527" s="49" t="s">
        <v>5492</v>
      </c>
      <c r="J527" s="49" t="s">
        <v>5493</v>
      </c>
      <c r="K527" s="49" t="s">
        <v>5494</v>
      </c>
      <c r="L527" s="49" t="s">
        <v>5495</v>
      </c>
      <c r="M527" s="49" t="s">
        <v>5496</v>
      </c>
      <c r="N527" s="49" t="s">
        <v>5497</v>
      </c>
      <c r="O527" s="49" t="s">
        <v>34434</v>
      </c>
      <c r="P527" s="49" t="s">
        <v>34438</v>
      </c>
      <c r="Q527" s="49" t="s">
        <v>34442</v>
      </c>
      <c r="R527" s="49" t="s">
        <v>34446</v>
      </c>
      <c r="S527" s="49" t="s">
        <v>34450</v>
      </c>
      <c r="T527" s="49" t="s">
        <v>34454</v>
      </c>
    </row>
    <row r="528" spans="1:21" x14ac:dyDescent="0.2">
      <c r="A528" s="49" t="s">
        <v>30</v>
      </c>
      <c r="D528" s="49" t="s">
        <v>14893</v>
      </c>
      <c r="G528" s="49" t="s">
        <v>17860</v>
      </c>
      <c r="H528" s="49" t="s">
        <v>30966</v>
      </c>
      <c r="I528" s="49" t="s">
        <v>30972</v>
      </c>
      <c r="J528" s="49" t="s">
        <v>31014</v>
      </c>
      <c r="K528" s="49" t="s">
        <v>31020</v>
      </c>
      <c r="L528" s="49" t="s">
        <v>14895</v>
      </c>
      <c r="M528" s="49" t="s">
        <v>14896</v>
      </c>
      <c r="N528" s="49" t="s">
        <v>14897</v>
      </c>
      <c r="O528" s="49" t="s">
        <v>34435</v>
      </c>
      <c r="P528" s="49" t="s">
        <v>34439</v>
      </c>
      <c r="Q528" s="49" t="s">
        <v>34443</v>
      </c>
      <c r="R528" s="49" t="s">
        <v>34447</v>
      </c>
      <c r="S528" s="49" t="s">
        <v>34451</v>
      </c>
      <c r="T528" s="49" t="s">
        <v>34455</v>
      </c>
    </row>
    <row r="529" spans="1:21" x14ac:dyDescent="0.2">
      <c r="A529" s="49" t="s">
        <v>30</v>
      </c>
      <c r="D529" s="49" t="s">
        <v>14898</v>
      </c>
      <c r="G529" s="49" t="s">
        <v>17865</v>
      </c>
      <c r="H529" s="49" t="s">
        <v>30967</v>
      </c>
      <c r="I529" s="49" t="s">
        <v>30973</v>
      </c>
      <c r="J529" s="49" t="s">
        <v>31015</v>
      </c>
      <c r="K529" s="49" t="s">
        <v>31021</v>
      </c>
      <c r="L529" s="49" t="s">
        <v>14900</v>
      </c>
      <c r="M529" s="49" t="s">
        <v>14901</v>
      </c>
      <c r="N529" s="49" t="s">
        <v>14902</v>
      </c>
      <c r="O529" s="49" t="s">
        <v>34436</v>
      </c>
      <c r="P529" s="49" t="s">
        <v>34440</v>
      </c>
      <c r="Q529" s="49" t="s">
        <v>34444</v>
      </c>
      <c r="R529" s="49" t="s">
        <v>34448</v>
      </c>
      <c r="S529" s="49" t="s">
        <v>34452</v>
      </c>
      <c r="T529" s="49" t="s">
        <v>34456</v>
      </c>
    </row>
    <row r="530" spans="1:21" x14ac:dyDescent="0.2">
      <c r="A530" s="49" t="s">
        <v>30</v>
      </c>
    </row>
    <row r="531" spans="1:21" x14ac:dyDescent="0.2">
      <c r="A531" s="49" t="s">
        <v>30</v>
      </c>
      <c r="E531" s="49" t="s">
        <v>31</v>
      </c>
      <c r="F531" s="49" t="s">
        <v>31</v>
      </c>
      <c r="G531" s="49" t="s">
        <v>31</v>
      </c>
      <c r="J531" s="49" t="s">
        <v>31</v>
      </c>
      <c r="K531" s="49" t="s">
        <v>31</v>
      </c>
      <c r="L531" s="49" t="s">
        <v>31</v>
      </c>
      <c r="M531" s="49" t="s">
        <v>31</v>
      </c>
    </row>
    <row r="532" spans="1:21" x14ac:dyDescent="0.2">
      <c r="A532" s="49" t="s">
        <v>30</v>
      </c>
      <c r="D532" s="49" t="s">
        <v>36388</v>
      </c>
      <c r="E532" s="49" t="s">
        <v>7545</v>
      </c>
      <c r="F532" s="49" t="s">
        <v>36389</v>
      </c>
      <c r="H532" s="49" t="s">
        <v>36390</v>
      </c>
      <c r="O532" s="49" t="s">
        <v>36391</v>
      </c>
      <c r="P532" s="49" t="s">
        <v>36392</v>
      </c>
      <c r="Q532" s="49" t="s">
        <v>36393</v>
      </c>
      <c r="R532" s="49" t="s">
        <v>36394</v>
      </c>
      <c r="S532" s="49" t="s">
        <v>36395</v>
      </c>
      <c r="T532" s="49" t="s">
        <v>36396</v>
      </c>
      <c r="U532" s="49" t="s">
        <v>36397</v>
      </c>
    </row>
    <row r="533" spans="1:21" x14ac:dyDescent="0.2">
      <c r="A533" s="49" t="s">
        <v>30</v>
      </c>
      <c r="D533" s="49" t="s">
        <v>5499</v>
      </c>
      <c r="G533" s="49" t="s">
        <v>36398</v>
      </c>
      <c r="H533" s="49" t="s">
        <v>5500</v>
      </c>
      <c r="I533" s="49" t="s">
        <v>5501</v>
      </c>
      <c r="J533" s="49" t="s">
        <v>5502</v>
      </c>
      <c r="K533" s="49" t="s">
        <v>5503</v>
      </c>
      <c r="L533" s="49" t="s">
        <v>5504</v>
      </c>
      <c r="M533" s="49" t="s">
        <v>5505</v>
      </c>
      <c r="N533" s="49" t="s">
        <v>5506</v>
      </c>
      <c r="O533" s="49" t="s">
        <v>36399</v>
      </c>
      <c r="P533" s="49" t="s">
        <v>36400</v>
      </c>
      <c r="Q533" s="49" t="s">
        <v>36401</v>
      </c>
      <c r="R533" s="49" t="s">
        <v>36402</v>
      </c>
      <c r="S533" s="49" t="s">
        <v>36403</v>
      </c>
      <c r="T533" s="49" t="s">
        <v>36404</v>
      </c>
    </row>
    <row r="534" spans="1:21" x14ac:dyDescent="0.2">
      <c r="A534" s="49" t="s">
        <v>30</v>
      </c>
      <c r="D534" s="49" t="s">
        <v>5513</v>
      </c>
      <c r="G534" s="49" t="s">
        <v>17930</v>
      </c>
      <c r="H534" s="49" t="s">
        <v>5514</v>
      </c>
      <c r="I534" s="49" t="s">
        <v>5515</v>
      </c>
      <c r="J534" s="49" t="s">
        <v>5516</v>
      </c>
      <c r="K534" s="49" t="s">
        <v>5517</v>
      </c>
      <c r="L534" s="49" t="s">
        <v>5518</v>
      </c>
      <c r="M534" s="49" t="s">
        <v>5519</v>
      </c>
      <c r="N534" s="49" t="s">
        <v>5520</v>
      </c>
      <c r="O534" s="49" t="s">
        <v>34416</v>
      </c>
      <c r="P534" s="49" t="s">
        <v>34419</v>
      </c>
      <c r="Q534" s="49" t="s">
        <v>34422</v>
      </c>
      <c r="R534" s="49" t="s">
        <v>34425</v>
      </c>
      <c r="S534" s="49" t="s">
        <v>34428</v>
      </c>
      <c r="T534" s="49" t="s">
        <v>34431</v>
      </c>
    </row>
    <row r="535" spans="1:21" x14ac:dyDescent="0.2">
      <c r="A535" s="49" t="s">
        <v>30</v>
      </c>
    </row>
    <row r="536" spans="1:21" x14ac:dyDescent="0.2">
      <c r="A536" s="49" t="s">
        <v>30</v>
      </c>
      <c r="E536" s="49" t="s">
        <v>31</v>
      </c>
      <c r="F536" s="49" t="s">
        <v>31</v>
      </c>
      <c r="G536" s="49" t="s">
        <v>31</v>
      </c>
      <c r="J536" s="49" t="s">
        <v>31</v>
      </c>
      <c r="K536" s="49" t="s">
        <v>31</v>
      </c>
      <c r="L536" s="49" t="s">
        <v>31</v>
      </c>
      <c r="M536" s="49" t="s">
        <v>31</v>
      </c>
    </row>
    <row r="537" spans="1:21" x14ac:dyDescent="0.2">
      <c r="A537" s="49" t="s">
        <v>30</v>
      </c>
      <c r="D537" s="49" t="s">
        <v>36405</v>
      </c>
      <c r="E537" s="49" t="s">
        <v>17950</v>
      </c>
      <c r="F537" s="49" t="s">
        <v>36406</v>
      </c>
      <c r="H537" s="49" t="s">
        <v>36407</v>
      </c>
      <c r="O537" s="49" t="s">
        <v>36408</v>
      </c>
      <c r="P537" s="49" t="s">
        <v>36409</v>
      </c>
      <c r="Q537" s="49" t="s">
        <v>36410</v>
      </c>
      <c r="R537" s="49" t="s">
        <v>36411</v>
      </c>
      <c r="S537" s="49" t="s">
        <v>36412</v>
      </c>
      <c r="T537" s="49" t="s">
        <v>36413</v>
      </c>
      <c r="U537" s="49" t="s">
        <v>36414</v>
      </c>
    </row>
    <row r="538" spans="1:21" x14ac:dyDescent="0.2">
      <c r="A538" s="49" t="s">
        <v>30</v>
      </c>
      <c r="D538" s="49" t="s">
        <v>11127</v>
      </c>
      <c r="G538" s="49" t="s">
        <v>36415</v>
      </c>
      <c r="H538" s="49" t="s">
        <v>12449</v>
      </c>
      <c r="I538" s="49" t="s">
        <v>12454</v>
      </c>
      <c r="J538" s="49" t="s">
        <v>12489</v>
      </c>
      <c r="K538" s="49" t="s">
        <v>12494</v>
      </c>
      <c r="L538" s="49" t="s">
        <v>11128</v>
      </c>
      <c r="M538" s="49" t="s">
        <v>11129</v>
      </c>
      <c r="N538" s="49" t="s">
        <v>11130</v>
      </c>
      <c r="O538" s="49" t="s">
        <v>35716</v>
      </c>
      <c r="P538" s="49" t="s">
        <v>35718</v>
      </c>
      <c r="Q538" s="49" t="s">
        <v>35720</v>
      </c>
      <c r="R538" s="49" t="s">
        <v>35722</v>
      </c>
      <c r="S538" s="49" t="s">
        <v>35724</v>
      </c>
      <c r="T538" s="49" t="s">
        <v>35726</v>
      </c>
    </row>
    <row r="539" spans="1:21" x14ac:dyDescent="0.2">
      <c r="A539" s="49" t="s">
        <v>30</v>
      </c>
      <c r="D539" s="49" t="s">
        <v>11131</v>
      </c>
      <c r="G539" s="49" t="s">
        <v>18006</v>
      </c>
      <c r="H539" s="49" t="s">
        <v>12450</v>
      </c>
      <c r="I539" s="49" t="s">
        <v>12455</v>
      </c>
      <c r="J539" s="49" t="s">
        <v>12490</v>
      </c>
      <c r="K539" s="49" t="s">
        <v>12495</v>
      </c>
      <c r="L539" s="49" t="s">
        <v>11132</v>
      </c>
      <c r="M539" s="49" t="s">
        <v>11133</v>
      </c>
      <c r="N539" s="49" t="s">
        <v>11134</v>
      </c>
      <c r="O539" s="49" t="s">
        <v>36416</v>
      </c>
      <c r="P539" s="49" t="s">
        <v>36417</v>
      </c>
      <c r="Q539" s="49" t="s">
        <v>36418</v>
      </c>
      <c r="R539" s="49" t="s">
        <v>36419</v>
      </c>
      <c r="S539" s="49" t="s">
        <v>36420</v>
      </c>
      <c r="T539" s="49" t="s">
        <v>36421</v>
      </c>
    </row>
    <row r="540" spans="1:21" x14ac:dyDescent="0.2">
      <c r="A540" s="49" t="s">
        <v>30</v>
      </c>
    </row>
    <row r="541" spans="1:21" x14ac:dyDescent="0.2">
      <c r="A541" s="49" t="s">
        <v>30</v>
      </c>
      <c r="E541" s="49" t="s">
        <v>31</v>
      </c>
      <c r="F541" s="49" t="s">
        <v>31</v>
      </c>
      <c r="G541" s="49" t="s">
        <v>31</v>
      </c>
      <c r="J541" s="49" t="s">
        <v>31</v>
      </c>
      <c r="K541" s="49" t="s">
        <v>31</v>
      </c>
      <c r="L541" s="49" t="s">
        <v>31</v>
      </c>
      <c r="M541" s="49" t="s">
        <v>31</v>
      </c>
    </row>
    <row r="542" spans="1:21" x14ac:dyDescent="0.2">
      <c r="A542" s="49" t="s">
        <v>30</v>
      </c>
      <c r="D542" s="49" t="s">
        <v>11135</v>
      </c>
      <c r="E542" s="49" t="s">
        <v>7574</v>
      </c>
      <c r="F542" s="49" t="s">
        <v>11136</v>
      </c>
      <c r="H542" s="49" t="s">
        <v>11137</v>
      </c>
      <c r="O542" s="49" t="s">
        <v>36422</v>
      </c>
      <c r="P542" s="49" t="s">
        <v>36423</v>
      </c>
      <c r="Q542" s="49" t="s">
        <v>36424</v>
      </c>
      <c r="R542" s="49" t="s">
        <v>36425</v>
      </c>
      <c r="S542" s="49" t="s">
        <v>36426</v>
      </c>
      <c r="T542" s="49" t="s">
        <v>36427</v>
      </c>
      <c r="U542" s="49" t="s">
        <v>36428</v>
      </c>
    </row>
    <row r="543" spans="1:21" x14ac:dyDescent="0.2">
      <c r="A543" s="49" t="s">
        <v>30</v>
      </c>
      <c r="D543" s="49" t="s">
        <v>5556</v>
      </c>
      <c r="G543" s="49" t="s">
        <v>36429</v>
      </c>
      <c r="H543" s="49" t="s">
        <v>5557</v>
      </c>
      <c r="I543" s="49" t="s">
        <v>5558</v>
      </c>
      <c r="J543" s="49" t="s">
        <v>5559</v>
      </c>
      <c r="K543" s="49" t="s">
        <v>5560</v>
      </c>
      <c r="L543" s="49" t="s">
        <v>5561</v>
      </c>
      <c r="M543" s="49" t="s">
        <v>5562</v>
      </c>
      <c r="N543" s="49" t="s">
        <v>5563</v>
      </c>
      <c r="O543" s="49" t="s">
        <v>34395</v>
      </c>
      <c r="P543" s="49" t="s">
        <v>34399</v>
      </c>
      <c r="Q543" s="49" t="s">
        <v>34403</v>
      </c>
      <c r="R543" s="49" t="s">
        <v>34407</v>
      </c>
      <c r="S543" s="49" t="s">
        <v>34411</v>
      </c>
      <c r="T543" s="49" t="s">
        <v>34415</v>
      </c>
    </row>
    <row r="544" spans="1:21" x14ac:dyDescent="0.2">
      <c r="A544" s="49" t="s">
        <v>30</v>
      </c>
      <c r="D544" s="49" t="s">
        <v>5570</v>
      </c>
      <c r="G544" s="49" t="s">
        <v>18041</v>
      </c>
      <c r="H544" s="49" t="s">
        <v>5571</v>
      </c>
      <c r="I544" s="49" t="s">
        <v>5572</v>
      </c>
      <c r="J544" s="49" t="s">
        <v>5573</v>
      </c>
      <c r="K544" s="49" t="s">
        <v>5574</v>
      </c>
      <c r="L544" s="49" t="s">
        <v>5575</v>
      </c>
      <c r="M544" s="49" t="s">
        <v>5576</v>
      </c>
      <c r="N544" s="49" t="s">
        <v>5577</v>
      </c>
      <c r="O544" s="49" t="s">
        <v>38015</v>
      </c>
      <c r="P544" s="49" t="s">
        <v>38017</v>
      </c>
      <c r="Q544" s="49" t="s">
        <v>38019</v>
      </c>
      <c r="R544" s="49" t="s">
        <v>38021</v>
      </c>
      <c r="S544" s="49" t="s">
        <v>38023</v>
      </c>
      <c r="T544" s="49" t="s">
        <v>38025</v>
      </c>
    </row>
    <row r="545" spans="1:21" x14ac:dyDescent="0.2">
      <c r="A545" s="49" t="s">
        <v>30</v>
      </c>
      <c r="D545" s="49" t="s">
        <v>11138</v>
      </c>
      <c r="G545" s="49" t="s">
        <v>18051</v>
      </c>
      <c r="H545" s="49" t="s">
        <v>12416</v>
      </c>
      <c r="I545" s="49" t="s">
        <v>12419</v>
      </c>
      <c r="J545" s="49" t="s">
        <v>12440</v>
      </c>
      <c r="K545" s="49" t="s">
        <v>12443</v>
      </c>
      <c r="L545" s="49" t="s">
        <v>11139</v>
      </c>
      <c r="M545" s="49" t="s">
        <v>11140</v>
      </c>
      <c r="N545" s="49" t="s">
        <v>11141</v>
      </c>
      <c r="O545" s="49" t="s">
        <v>38016</v>
      </c>
      <c r="P545" s="49" t="s">
        <v>38018</v>
      </c>
      <c r="Q545" s="49" t="s">
        <v>38020</v>
      </c>
      <c r="R545" s="49" t="s">
        <v>38022</v>
      </c>
      <c r="S545" s="49" t="s">
        <v>38024</v>
      </c>
      <c r="T545" s="49" t="s">
        <v>38026</v>
      </c>
    </row>
    <row r="546" spans="1:21" x14ac:dyDescent="0.2">
      <c r="A546" s="49" t="s">
        <v>30</v>
      </c>
    </row>
    <row r="547" spans="1:21" x14ac:dyDescent="0.2">
      <c r="A547" s="49" t="s">
        <v>30</v>
      </c>
      <c r="E547" s="49" t="s">
        <v>31</v>
      </c>
      <c r="F547" s="49" t="s">
        <v>31</v>
      </c>
      <c r="G547" s="49" t="s">
        <v>31</v>
      </c>
      <c r="J547" s="49" t="s">
        <v>31</v>
      </c>
      <c r="K547" s="49" t="s">
        <v>31</v>
      </c>
      <c r="L547" s="49" t="s">
        <v>31</v>
      </c>
      <c r="M547" s="49" t="s">
        <v>31</v>
      </c>
    </row>
    <row r="548" spans="1:21" x14ac:dyDescent="0.2">
      <c r="A548" s="49" t="s">
        <v>30</v>
      </c>
      <c r="D548" s="49" t="s">
        <v>36430</v>
      </c>
      <c r="E548" s="49" t="s">
        <v>7617</v>
      </c>
      <c r="F548" s="49" t="s">
        <v>36431</v>
      </c>
      <c r="H548" s="49" t="s">
        <v>36432</v>
      </c>
      <c r="O548" s="49" t="s">
        <v>36433</v>
      </c>
      <c r="P548" s="49" t="s">
        <v>36434</v>
      </c>
      <c r="Q548" s="49" t="s">
        <v>36435</v>
      </c>
      <c r="R548" s="49" t="s">
        <v>36436</v>
      </c>
      <c r="S548" s="49" t="s">
        <v>36437</v>
      </c>
      <c r="T548" s="49" t="s">
        <v>36438</v>
      </c>
      <c r="U548" s="49" t="s">
        <v>36439</v>
      </c>
    </row>
    <row r="549" spans="1:21" x14ac:dyDescent="0.2">
      <c r="A549" s="49" t="s">
        <v>30</v>
      </c>
      <c r="D549" s="49" t="s">
        <v>5599</v>
      </c>
      <c r="G549" s="49" t="s">
        <v>36440</v>
      </c>
      <c r="H549" s="49" t="s">
        <v>5600</v>
      </c>
      <c r="I549" s="49" t="s">
        <v>5601</v>
      </c>
      <c r="J549" s="49" t="s">
        <v>5602</v>
      </c>
      <c r="K549" s="49" t="s">
        <v>5603</v>
      </c>
      <c r="L549" s="49" t="s">
        <v>5604</v>
      </c>
      <c r="M549" s="49" t="s">
        <v>5605</v>
      </c>
      <c r="N549" s="49" t="s">
        <v>5606</v>
      </c>
      <c r="O549" s="49" t="s">
        <v>35709</v>
      </c>
      <c r="P549" s="49" t="s">
        <v>35710</v>
      </c>
      <c r="Q549" s="49" t="s">
        <v>35711</v>
      </c>
      <c r="R549" s="49" t="s">
        <v>35712</v>
      </c>
      <c r="S549" s="49" t="s">
        <v>35713</v>
      </c>
      <c r="T549" s="49" t="s">
        <v>35714</v>
      </c>
    </row>
    <row r="550" spans="1:21" x14ac:dyDescent="0.2">
      <c r="A550" s="49" t="s">
        <v>30</v>
      </c>
      <c r="D550" s="49" t="s">
        <v>5613</v>
      </c>
      <c r="G550" s="49" t="s">
        <v>18096</v>
      </c>
      <c r="H550" s="49" t="s">
        <v>5614</v>
      </c>
      <c r="I550" s="49" t="s">
        <v>5615</v>
      </c>
      <c r="J550" s="49" t="s">
        <v>5616</v>
      </c>
      <c r="K550" s="49" t="s">
        <v>5617</v>
      </c>
      <c r="L550" s="49" t="s">
        <v>5618</v>
      </c>
      <c r="M550" s="49" t="s">
        <v>5619</v>
      </c>
      <c r="N550" s="49" t="s">
        <v>5620</v>
      </c>
      <c r="O550" s="49" t="s">
        <v>38001</v>
      </c>
      <c r="P550" s="49" t="s">
        <v>38003</v>
      </c>
      <c r="Q550" s="49" t="s">
        <v>38005</v>
      </c>
      <c r="R550" s="49" t="s">
        <v>38007</v>
      </c>
      <c r="S550" s="49" t="s">
        <v>38009</v>
      </c>
      <c r="T550" s="49" t="s">
        <v>38011</v>
      </c>
    </row>
    <row r="551" spans="1:21" x14ac:dyDescent="0.2">
      <c r="A551" s="49" t="s">
        <v>30</v>
      </c>
      <c r="D551" s="49" t="s">
        <v>36441</v>
      </c>
      <c r="G551" s="49" t="s">
        <v>18101</v>
      </c>
      <c r="H551" s="49" t="s">
        <v>37999</v>
      </c>
      <c r="I551" s="49" t="s">
        <v>38000</v>
      </c>
      <c r="J551" s="49" t="s">
        <v>38013</v>
      </c>
      <c r="K551" s="49" t="s">
        <v>38014</v>
      </c>
      <c r="L551" s="49" t="s">
        <v>36442</v>
      </c>
      <c r="M551" s="49" t="s">
        <v>36443</v>
      </c>
      <c r="N551" s="49" t="s">
        <v>36444</v>
      </c>
      <c r="O551" s="49" t="s">
        <v>38002</v>
      </c>
      <c r="P551" s="49" t="s">
        <v>38004</v>
      </c>
      <c r="Q551" s="49" t="s">
        <v>38006</v>
      </c>
      <c r="R551" s="49" t="s">
        <v>38008</v>
      </c>
      <c r="S551" s="49" t="s">
        <v>38010</v>
      </c>
      <c r="T551" s="49" t="s">
        <v>38012</v>
      </c>
    </row>
    <row r="552" spans="1:21" x14ac:dyDescent="0.2">
      <c r="A552" s="49" t="s">
        <v>30</v>
      </c>
    </row>
    <row r="553" spans="1:21" x14ac:dyDescent="0.2">
      <c r="A553" s="49" t="s">
        <v>30</v>
      </c>
      <c r="E553" s="49" t="s">
        <v>31</v>
      </c>
      <c r="F553" s="49" t="s">
        <v>31</v>
      </c>
      <c r="G553" s="49" t="s">
        <v>31</v>
      </c>
      <c r="J553" s="49" t="s">
        <v>31</v>
      </c>
      <c r="K553" s="49" t="s">
        <v>31</v>
      </c>
      <c r="L553" s="49" t="s">
        <v>31</v>
      </c>
      <c r="M553" s="49" t="s">
        <v>31</v>
      </c>
    </row>
    <row r="554" spans="1:21" x14ac:dyDescent="0.2">
      <c r="A554" s="49" t="s">
        <v>30</v>
      </c>
      <c r="D554" s="49" t="s">
        <v>36445</v>
      </c>
      <c r="E554" s="49" t="s">
        <v>7632</v>
      </c>
      <c r="F554" s="49" t="s">
        <v>36446</v>
      </c>
      <c r="H554" s="49" t="s">
        <v>36447</v>
      </c>
      <c r="O554" s="49" t="s">
        <v>36448</v>
      </c>
      <c r="P554" s="49" t="s">
        <v>36449</v>
      </c>
      <c r="Q554" s="49" t="s">
        <v>36450</v>
      </c>
      <c r="R554" s="49" t="s">
        <v>36451</v>
      </c>
      <c r="S554" s="49" t="s">
        <v>36452</v>
      </c>
      <c r="T554" s="49" t="s">
        <v>36453</v>
      </c>
      <c r="U554" s="49" t="s">
        <v>36454</v>
      </c>
    </row>
    <row r="555" spans="1:21" x14ac:dyDescent="0.2">
      <c r="A555" s="49" t="s">
        <v>30</v>
      </c>
      <c r="D555" s="49" t="s">
        <v>5628</v>
      </c>
      <c r="G555" s="49" t="s">
        <v>36455</v>
      </c>
      <c r="H555" s="49" t="s">
        <v>5629</v>
      </c>
      <c r="I555" s="49" t="s">
        <v>5630</v>
      </c>
      <c r="J555" s="49" t="s">
        <v>5631</v>
      </c>
      <c r="K555" s="49" t="s">
        <v>5632</v>
      </c>
      <c r="L555" s="49" t="s">
        <v>5633</v>
      </c>
      <c r="M555" s="49" t="s">
        <v>5634</v>
      </c>
      <c r="N555" s="49" t="s">
        <v>5635</v>
      </c>
      <c r="O555" s="49" t="s">
        <v>35691</v>
      </c>
      <c r="P555" s="49" t="s">
        <v>35694</v>
      </c>
      <c r="Q555" s="49" t="s">
        <v>35697</v>
      </c>
      <c r="R555" s="49" t="s">
        <v>35700</v>
      </c>
      <c r="S555" s="49" t="s">
        <v>35703</v>
      </c>
      <c r="T555" s="49" t="s">
        <v>35706</v>
      </c>
    </row>
    <row r="556" spans="1:21" x14ac:dyDescent="0.2">
      <c r="A556" s="49" t="s">
        <v>30</v>
      </c>
      <c r="D556" s="49" t="s">
        <v>5642</v>
      </c>
      <c r="G556" s="49" t="s">
        <v>18136</v>
      </c>
      <c r="H556" s="49" t="s">
        <v>5643</v>
      </c>
      <c r="I556" s="49" t="s">
        <v>5644</v>
      </c>
      <c r="J556" s="49" t="s">
        <v>5645</v>
      </c>
      <c r="K556" s="49" t="s">
        <v>5646</v>
      </c>
      <c r="L556" s="49" t="s">
        <v>5647</v>
      </c>
      <c r="M556" s="49" t="s">
        <v>5648</v>
      </c>
      <c r="N556" s="49" t="s">
        <v>5649</v>
      </c>
      <c r="O556" s="49" t="s">
        <v>34368</v>
      </c>
      <c r="P556" s="49" t="s">
        <v>34372</v>
      </c>
      <c r="Q556" s="49" t="s">
        <v>34376</v>
      </c>
      <c r="R556" s="49" t="s">
        <v>34380</v>
      </c>
      <c r="S556" s="49" t="s">
        <v>34384</v>
      </c>
      <c r="T556" s="49" t="s">
        <v>34388</v>
      </c>
    </row>
    <row r="557" spans="1:21" x14ac:dyDescent="0.2">
      <c r="A557" s="49" t="s">
        <v>30</v>
      </c>
      <c r="D557" s="49" t="s">
        <v>5656</v>
      </c>
      <c r="G557" s="49" t="s">
        <v>18141</v>
      </c>
      <c r="H557" s="49" t="s">
        <v>5657</v>
      </c>
      <c r="I557" s="49" t="s">
        <v>5658</v>
      </c>
      <c r="J557" s="49" t="s">
        <v>5659</v>
      </c>
      <c r="K557" s="49" t="s">
        <v>5660</v>
      </c>
      <c r="L557" s="49" t="s">
        <v>5661</v>
      </c>
      <c r="M557" s="49" t="s">
        <v>5662</v>
      </c>
      <c r="N557" s="49" t="s">
        <v>5663</v>
      </c>
      <c r="O557" s="49" t="s">
        <v>34369</v>
      </c>
      <c r="P557" s="49" t="s">
        <v>34373</v>
      </c>
      <c r="Q557" s="49" t="s">
        <v>34377</v>
      </c>
      <c r="R557" s="49" t="s">
        <v>34381</v>
      </c>
      <c r="S557" s="49" t="s">
        <v>34385</v>
      </c>
      <c r="T557" s="49" t="s">
        <v>34389</v>
      </c>
    </row>
    <row r="558" spans="1:21" x14ac:dyDescent="0.2">
      <c r="A558" s="49" t="s">
        <v>30</v>
      </c>
      <c r="D558" s="49" t="s">
        <v>5670</v>
      </c>
      <c r="G558" s="49" t="s">
        <v>18146</v>
      </c>
      <c r="H558" s="49" t="s">
        <v>5671</v>
      </c>
      <c r="I558" s="49" t="s">
        <v>5672</v>
      </c>
      <c r="J558" s="49" t="s">
        <v>5673</v>
      </c>
      <c r="K558" s="49" t="s">
        <v>5674</v>
      </c>
      <c r="L558" s="49" t="s">
        <v>5675</v>
      </c>
      <c r="M558" s="49" t="s">
        <v>5676</v>
      </c>
      <c r="N558" s="49" t="s">
        <v>5677</v>
      </c>
      <c r="O558" s="49" t="s">
        <v>34370</v>
      </c>
      <c r="P558" s="49" t="s">
        <v>34374</v>
      </c>
      <c r="Q558" s="49" t="s">
        <v>34378</v>
      </c>
      <c r="R558" s="49" t="s">
        <v>34382</v>
      </c>
      <c r="S558" s="49" t="s">
        <v>34386</v>
      </c>
      <c r="T558" s="49" t="s">
        <v>34390</v>
      </c>
    </row>
    <row r="559" spans="1:21" x14ac:dyDescent="0.2">
      <c r="A559" s="49" t="s">
        <v>30</v>
      </c>
      <c r="D559" s="49" t="s">
        <v>5684</v>
      </c>
      <c r="G559" s="49" t="s">
        <v>18151</v>
      </c>
      <c r="H559" s="49" t="s">
        <v>5685</v>
      </c>
      <c r="I559" s="49" t="s">
        <v>5686</v>
      </c>
      <c r="J559" s="49" t="s">
        <v>5687</v>
      </c>
      <c r="K559" s="49" t="s">
        <v>5688</v>
      </c>
      <c r="L559" s="49" t="s">
        <v>5689</v>
      </c>
      <c r="M559" s="49" t="s">
        <v>5690</v>
      </c>
      <c r="N559" s="49" t="s">
        <v>5691</v>
      </c>
      <c r="O559" s="49" t="s">
        <v>34371</v>
      </c>
      <c r="P559" s="49" t="s">
        <v>34375</v>
      </c>
      <c r="Q559" s="49" t="s">
        <v>34379</v>
      </c>
      <c r="R559" s="49" t="s">
        <v>34383</v>
      </c>
      <c r="S559" s="49" t="s">
        <v>34387</v>
      </c>
      <c r="T559" s="49" t="s">
        <v>34391</v>
      </c>
    </row>
    <row r="560" spans="1:21" x14ac:dyDescent="0.2">
      <c r="A560" s="49" t="s">
        <v>30</v>
      </c>
      <c r="D560" s="49" t="s">
        <v>11158</v>
      </c>
      <c r="G560" s="49" t="s">
        <v>18156</v>
      </c>
      <c r="H560" s="49" t="s">
        <v>12383</v>
      </c>
      <c r="I560" s="49" t="s">
        <v>12387</v>
      </c>
      <c r="J560" s="49" t="s">
        <v>12409</v>
      </c>
      <c r="K560" s="49" t="s">
        <v>12413</v>
      </c>
      <c r="L560" s="49" t="s">
        <v>11159</v>
      </c>
      <c r="M560" s="49" t="s">
        <v>11160</v>
      </c>
      <c r="N560" s="49" t="s">
        <v>11161</v>
      </c>
      <c r="O560" s="49" t="s">
        <v>35661</v>
      </c>
      <c r="P560" s="49" t="s">
        <v>35665</v>
      </c>
      <c r="Q560" s="49" t="s">
        <v>35669</v>
      </c>
      <c r="R560" s="49" t="s">
        <v>35673</v>
      </c>
      <c r="S560" s="49" t="s">
        <v>35677</v>
      </c>
      <c r="T560" s="49" t="s">
        <v>35681</v>
      </c>
    </row>
    <row r="561" spans="1:21" x14ac:dyDescent="0.2">
      <c r="A561" s="49" t="s">
        <v>30</v>
      </c>
    </row>
    <row r="562" spans="1:21" x14ac:dyDescent="0.2">
      <c r="A562" s="49" t="s">
        <v>30</v>
      </c>
      <c r="E562" s="49" t="s">
        <v>31</v>
      </c>
      <c r="F562" s="49" t="s">
        <v>31</v>
      </c>
      <c r="G562" s="49" t="s">
        <v>31</v>
      </c>
      <c r="J562" s="49" t="s">
        <v>31</v>
      </c>
      <c r="K562" s="49" t="s">
        <v>31</v>
      </c>
      <c r="L562" s="49" t="s">
        <v>31</v>
      </c>
      <c r="M562" s="49" t="s">
        <v>31</v>
      </c>
    </row>
    <row r="563" spans="1:21" x14ac:dyDescent="0.2">
      <c r="A563" s="49" t="s">
        <v>30</v>
      </c>
      <c r="D563" s="49" t="s">
        <v>36456</v>
      </c>
      <c r="E563" s="49" t="s">
        <v>7745</v>
      </c>
      <c r="F563" s="49" t="s">
        <v>36457</v>
      </c>
      <c r="H563" s="49" t="s">
        <v>36458</v>
      </c>
      <c r="O563" s="49" t="s">
        <v>36459</v>
      </c>
      <c r="P563" s="49" t="s">
        <v>36460</v>
      </c>
      <c r="Q563" s="49" t="s">
        <v>36461</v>
      </c>
      <c r="R563" s="49" t="s">
        <v>36462</v>
      </c>
      <c r="S563" s="49" t="s">
        <v>36463</v>
      </c>
      <c r="T563" s="49" t="s">
        <v>36464</v>
      </c>
      <c r="U563" s="49" t="s">
        <v>36465</v>
      </c>
    </row>
    <row r="564" spans="1:21" x14ac:dyDescent="0.2">
      <c r="A564" s="49" t="s">
        <v>30</v>
      </c>
      <c r="D564" s="49" t="s">
        <v>35449</v>
      </c>
      <c r="G564" s="49" t="s">
        <v>36466</v>
      </c>
      <c r="H564" s="49" t="s">
        <v>35659</v>
      </c>
      <c r="I564" s="49" t="s">
        <v>35660</v>
      </c>
      <c r="J564" s="49" t="s">
        <v>35685</v>
      </c>
      <c r="K564" s="49" t="s">
        <v>35686</v>
      </c>
      <c r="L564" s="49" t="s">
        <v>35450</v>
      </c>
      <c r="M564" s="49" t="s">
        <v>35451</v>
      </c>
      <c r="N564" s="49" t="s">
        <v>35452</v>
      </c>
      <c r="O564" s="49" t="s">
        <v>35664</v>
      </c>
      <c r="P564" s="49" t="s">
        <v>35668</v>
      </c>
      <c r="Q564" s="49" t="s">
        <v>35672</v>
      </c>
      <c r="R564" s="49" t="s">
        <v>35676</v>
      </c>
      <c r="S564" s="49" t="s">
        <v>35680</v>
      </c>
      <c r="T564" s="49" t="s">
        <v>35684</v>
      </c>
    </row>
    <row r="565" spans="1:21" x14ac:dyDescent="0.2">
      <c r="A565" s="49" t="s">
        <v>30</v>
      </c>
      <c r="D565" s="49" t="s">
        <v>14964</v>
      </c>
      <c r="G565" s="49" t="s">
        <v>18206</v>
      </c>
      <c r="H565" s="49" t="s">
        <v>30946</v>
      </c>
      <c r="I565" s="49" t="s">
        <v>30948</v>
      </c>
      <c r="J565" s="49" t="s">
        <v>30962</v>
      </c>
      <c r="K565" s="49" t="s">
        <v>30964</v>
      </c>
      <c r="L565" s="49" t="s">
        <v>14966</v>
      </c>
      <c r="M565" s="49" t="s">
        <v>14967</v>
      </c>
      <c r="N565" s="49" t="s">
        <v>14968</v>
      </c>
      <c r="O565" s="49" t="s">
        <v>36467</v>
      </c>
      <c r="P565" s="49" t="s">
        <v>36468</v>
      </c>
      <c r="Q565" s="49" t="s">
        <v>36469</v>
      </c>
      <c r="R565" s="49" t="s">
        <v>36470</v>
      </c>
      <c r="S565" s="49" t="s">
        <v>36471</v>
      </c>
      <c r="T565" s="49" t="s">
        <v>36472</v>
      </c>
    </row>
    <row r="566" spans="1:21" x14ac:dyDescent="0.2">
      <c r="A566" s="49" t="s">
        <v>30</v>
      </c>
    </row>
    <row r="567" spans="1:21" x14ac:dyDescent="0.2">
      <c r="A567" s="49" t="s">
        <v>30</v>
      </c>
      <c r="E567" s="49" t="s">
        <v>31</v>
      </c>
      <c r="F567" s="49" t="s">
        <v>31</v>
      </c>
      <c r="G567" s="49" t="s">
        <v>31</v>
      </c>
      <c r="J567" s="49" t="s">
        <v>31</v>
      </c>
      <c r="K567" s="49" t="s">
        <v>31</v>
      </c>
      <c r="L567" s="49" t="s">
        <v>31</v>
      </c>
      <c r="M567" s="49" t="s">
        <v>31</v>
      </c>
    </row>
    <row r="568" spans="1:21" x14ac:dyDescent="0.2">
      <c r="A568" s="49" t="s">
        <v>30</v>
      </c>
      <c r="D568" s="49" t="s">
        <v>36473</v>
      </c>
      <c r="E568" s="49" t="s">
        <v>7760</v>
      </c>
      <c r="F568" s="49" t="s">
        <v>36474</v>
      </c>
      <c r="H568" s="49" t="s">
        <v>36475</v>
      </c>
      <c r="O568" s="49" t="s">
        <v>36476</v>
      </c>
      <c r="P568" s="49" t="s">
        <v>36477</v>
      </c>
      <c r="Q568" s="49" t="s">
        <v>36478</v>
      </c>
      <c r="R568" s="49" t="s">
        <v>36479</v>
      </c>
      <c r="S568" s="49" t="s">
        <v>36480</v>
      </c>
      <c r="T568" s="49" t="s">
        <v>36481</v>
      </c>
      <c r="U568" s="49" t="s">
        <v>36482</v>
      </c>
    </row>
    <row r="569" spans="1:21" x14ac:dyDescent="0.2">
      <c r="A569" s="49" t="s">
        <v>30</v>
      </c>
      <c r="D569" s="49" t="s">
        <v>5735</v>
      </c>
      <c r="G569" s="49" t="s">
        <v>36483</v>
      </c>
      <c r="H569" s="49" t="s">
        <v>5736</v>
      </c>
      <c r="I569" s="49" t="s">
        <v>5737</v>
      </c>
      <c r="J569" s="49" t="s">
        <v>5738</v>
      </c>
      <c r="K569" s="49" t="s">
        <v>5739</v>
      </c>
      <c r="L569" s="49" t="s">
        <v>5740</v>
      </c>
      <c r="M569" s="49" t="s">
        <v>5741</v>
      </c>
      <c r="N569" s="49" t="s">
        <v>5742</v>
      </c>
      <c r="O569" s="49" t="s">
        <v>35647</v>
      </c>
      <c r="P569" s="49" t="s">
        <v>35649</v>
      </c>
      <c r="Q569" s="49" t="s">
        <v>35651</v>
      </c>
      <c r="R569" s="49" t="s">
        <v>35653</v>
      </c>
      <c r="S569" s="49" t="s">
        <v>35655</v>
      </c>
      <c r="T569" s="49" t="s">
        <v>35657</v>
      </c>
    </row>
    <row r="570" spans="1:21" x14ac:dyDescent="0.2">
      <c r="A570" s="49" t="s">
        <v>30</v>
      </c>
      <c r="D570" s="49" t="s">
        <v>5749</v>
      </c>
      <c r="G570" s="49" t="s">
        <v>18246</v>
      </c>
      <c r="H570" s="49" t="s">
        <v>5750</v>
      </c>
      <c r="I570" s="49" t="s">
        <v>5751</v>
      </c>
      <c r="J570" s="49" t="s">
        <v>5752</v>
      </c>
      <c r="K570" s="49" t="s">
        <v>5753</v>
      </c>
      <c r="L570" s="49" t="s">
        <v>5754</v>
      </c>
      <c r="M570" s="49" t="s">
        <v>5755</v>
      </c>
      <c r="N570" s="49" t="s">
        <v>5756</v>
      </c>
      <c r="O570" s="49" t="s">
        <v>35648</v>
      </c>
      <c r="P570" s="49" t="s">
        <v>35650</v>
      </c>
      <c r="Q570" s="49" t="s">
        <v>35652</v>
      </c>
      <c r="R570" s="49" t="s">
        <v>35654</v>
      </c>
      <c r="S570" s="49" t="s">
        <v>35656</v>
      </c>
      <c r="T570" s="49" t="s">
        <v>35658</v>
      </c>
    </row>
    <row r="571" spans="1:21" x14ac:dyDescent="0.2">
      <c r="A571" s="49" t="s">
        <v>30</v>
      </c>
      <c r="D571" s="49" t="s">
        <v>5763</v>
      </c>
      <c r="G571" s="49" t="s">
        <v>18256</v>
      </c>
      <c r="H571" s="49" t="s">
        <v>5764</v>
      </c>
      <c r="I571" s="49" t="s">
        <v>5765</v>
      </c>
      <c r="J571" s="49" t="s">
        <v>5766</v>
      </c>
      <c r="K571" s="49" t="s">
        <v>5767</v>
      </c>
      <c r="L571" s="49" t="s">
        <v>5768</v>
      </c>
      <c r="M571" s="49" t="s">
        <v>5769</v>
      </c>
      <c r="N571" s="49" t="s">
        <v>5770</v>
      </c>
      <c r="O571" s="49" t="s">
        <v>37987</v>
      </c>
      <c r="P571" s="49" t="s">
        <v>37989</v>
      </c>
      <c r="Q571" s="49" t="s">
        <v>37991</v>
      </c>
      <c r="R571" s="49" t="s">
        <v>37993</v>
      </c>
      <c r="S571" s="49" t="s">
        <v>37995</v>
      </c>
      <c r="T571" s="49" t="s">
        <v>37997</v>
      </c>
    </row>
    <row r="572" spans="1:21" x14ac:dyDescent="0.2">
      <c r="A572" s="49" t="s">
        <v>30</v>
      </c>
      <c r="D572" s="49" t="s">
        <v>5777</v>
      </c>
      <c r="G572" s="49" t="s">
        <v>18266</v>
      </c>
      <c r="H572" s="49" t="s">
        <v>5778</v>
      </c>
      <c r="I572" s="49" t="s">
        <v>5779</v>
      </c>
      <c r="J572" s="49" t="s">
        <v>5780</v>
      </c>
      <c r="K572" s="49" t="s">
        <v>5781</v>
      </c>
      <c r="L572" s="49" t="s">
        <v>5782</v>
      </c>
      <c r="M572" s="49" t="s">
        <v>5783</v>
      </c>
      <c r="N572" s="49" t="s">
        <v>5784</v>
      </c>
      <c r="O572" s="49" t="s">
        <v>33967</v>
      </c>
      <c r="P572" s="49" t="s">
        <v>33968</v>
      </c>
      <c r="Q572" s="49" t="s">
        <v>33969</v>
      </c>
      <c r="R572" s="49" t="s">
        <v>33970</v>
      </c>
      <c r="S572" s="49" t="s">
        <v>33971</v>
      </c>
      <c r="T572" s="49" t="s">
        <v>33972</v>
      </c>
    </row>
    <row r="573" spans="1:21" x14ac:dyDescent="0.2">
      <c r="A573" s="49" t="s">
        <v>30</v>
      </c>
      <c r="D573" s="49" t="s">
        <v>5791</v>
      </c>
      <c r="G573" s="49" t="s">
        <v>18271</v>
      </c>
      <c r="H573" s="49" t="s">
        <v>5792</v>
      </c>
      <c r="I573" s="49" t="s">
        <v>5793</v>
      </c>
      <c r="J573" s="49" t="s">
        <v>5794</v>
      </c>
      <c r="K573" s="49" t="s">
        <v>5795</v>
      </c>
      <c r="L573" s="49" t="s">
        <v>5796</v>
      </c>
      <c r="M573" s="49" t="s">
        <v>5797</v>
      </c>
      <c r="N573" s="49" t="s">
        <v>5798</v>
      </c>
      <c r="O573" s="49" t="s">
        <v>37988</v>
      </c>
      <c r="P573" s="49" t="s">
        <v>37990</v>
      </c>
      <c r="Q573" s="49" t="s">
        <v>37992</v>
      </c>
      <c r="R573" s="49" t="s">
        <v>37994</v>
      </c>
      <c r="S573" s="49" t="s">
        <v>37996</v>
      </c>
      <c r="T573" s="49" t="s">
        <v>37998</v>
      </c>
    </row>
    <row r="574" spans="1:21" x14ac:dyDescent="0.2">
      <c r="A574" s="49" t="s">
        <v>30</v>
      </c>
    </row>
    <row r="575" spans="1:21" x14ac:dyDescent="0.2">
      <c r="A575" s="49" t="s">
        <v>30</v>
      </c>
      <c r="E575" s="49" t="s">
        <v>31</v>
      </c>
      <c r="F575" s="49" t="s">
        <v>31</v>
      </c>
      <c r="G575" s="49" t="s">
        <v>31</v>
      </c>
      <c r="J575" s="49" t="s">
        <v>31</v>
      </c>
      <c r="K575" s="49" t="s">
        <v>31</v>
      </c>
      <c r="L575" s="49" t="s">
        <v>31</v>
      </c>
      <c r="M575" s="49" t="s">
        <v>31</v>
      </c>
    </row>
    <row r="576" spans="1:21" x14ac:dyDescent="0.2">
      <c r="A576" s="49" t="s">
        <v>30</v>
      </c>
      <c r="D576" s="49" t="s">
        <v>36484</v>
      </c>
      <c r="E576" s="49" t="s">
        <v>7803</v>
      </c>
      <c r="F576" s="49" t="s">
        <v>36485</v>
      </c>
      <c r="H576" s="49" t="s">
        <v>36486</v>
      </c>
      <c r="O576" s="49" t="s">
        <v>36487</v>
      </c>
      <c r="P576" s="49" t="s">
        <v>36488</v>
      </c>
      <c r="Q576" s="49" t="s">
        <v>36489</v>
      </c>
      <c r="R576" s="49" t="s">
        <v>36490</v>
      </c>
      <c r="S576" s="49" t="s">
        <v>36491</v>
      </c>
      <c r="T576" s="49" t="s">
        <v>36492</v>
      </c>
      <c r="U576" s="49" t="s">
        <v>36493</v>
      </c>
    </row>
    <row r="577" spans="1:21" x14ac:dyDescent="0.2">
      <c r="A577" s="49" t="s">
        <v>30</v>
      </c>
      <c r="D577" s="49" t="s">
        <v>33990</v>
      </c>
      <c r="G577" s="49" t="s">
        <v>36494</v>
      </c>
      <c r="H577" s="49" t="s">
        <v>33991</v>
      </c>
      <c r="I577" s="49" t="s">
        <v>33992</v>
      </c>
      <c r="J577" s="49" t="s">
        <v>33993</v>
      </c>
      <c r="K577" s="49" t="s">
        <v>33994</v>
      </c>
      <c r="L577" s="49" t="s">
        <v>33995</v>
      </c>
      <c r="M577" s="49" t="s">
        <v>33996</v>
      </c>
      <c r="N577" s="49" t="s">
        <v>33997</v>
      </c>
      <c r="O577" s="49" t="s">
        <v>33998</v>
      </c>
      <c r="P577" s="49" t="s">
        <v>33999</v>
      </c>
      <c r="Q577" s="49" t="s">
        <v>34000</v>
      </c>
      <c r="R577" s="49" t="s">
        <v>34001</v>
      </c>
      <c r="S577" s="49" t="s">
        <v>34002</v>
      </c>
      <c r="T577" s="49" t="s">
        <v>34003</v>
      </c>
    </row>
    <row r="578" spans="1:21" x14ac:dyDescent="0.2">
      <c r="A578" s="49" t="s">
        <v>30</v>
      </c>
      <c r="D578" s="49" t="s">
        <v>35475</v>
      </c>
      <c r="G578" s="49" t="s">
        <v>18326</v>
      </c>
      <c r="H578" s="49" t="s">
        <v>35619</v>
      </c>
      <c r="I578" s="49" t="s">
        <v>35620</v>
      </c>
      <c r="J578" s="49" t="s">
        <v>35645</v>
      </c>
      <c r="K578" s="49" t="s">
        <v>35646</v>
      </c>
      <c r="L578" s="49" t="s">
        <v>35476</v>
      </c>
      <c r="M578" s="49" t="s">
        <v>35477</v>
      </c>
      <c r="N578" s="49" t="s">
        <v>35478</v>
      </c>
      <c r="O578" s="49" t="s">
        <v>35623</v>
      </c>
      <c r="P578" s="49" t="s">
        <v>35627</v>
      </c>
      <c r="Q578" s="49" t="s">
        <v>35631</v>
      </c>
      <c r="R578" s="49" t="s">
        <v>35635</v>
      </c>
      <c r="S578" s="49" t="s">
        <v>35639</v>
      </c>
      <c r="T578" s="49" t="s">
        <v>35643</v>
      </c>
    </row>
    <row r="579" spans="1:21" x14ac:dyDescent="0.2">
      <c r="A579" s="49" t="s">
        <v>30</v>
      </c>
    </row>
    <row r="580" spans="1:21" x14ac:dyDescent="0.2">
      <c r="A580" s="49" t="s">
        <v>30</v>
      </c>
      <c r="E580" s="49" t="s">
        <v>31</v>
      </c>
      <c r="F580" s="49" t="s">
        <v>31</v>
      </c>
      <c r="G580" s="49" t="s">
        <v>31</v>
      </c>
      <c r="J580" s="49" t="s">
        <v>31</v>
      </c>
      <c r="K580" s="49" t="s">
        <v>31</v>
      </c>
      <c r="L580" s="49" t="s">
        <v>31</v>
      </c>
      <c r="M580" s="49" t="s">
        <v>31</v>
      </c>
    </row>
    <row r="581" spans="1:21" x14ac:dyDescent="0.2">
      <c r="A581" s="49" t="s">
        <v>30</v>
      </c>
      <c r="D581" s="49" t="s">
        <v>36495</v>
      </c>
      <c r="E581" s="49" t="s">
        <v>18336</v>
      </c>
      <c r="F581" s="49" t="s">
        <v>36496</v>
      </c>
      <c r="H581" s="49" t="s">
        <v>36497</v>
      </c>
      <c r="O581" s="49" t="s">
        <v>36498</v>
      </c>
      <c r="P581" s="49" t="s">
        <v>36499</v>
      </c>
      <c r="Q581" s="49" t="s">
        <v>36500</v>
      </c>
      <c r="R581" s="49" t="s">
        <v>36501</v>
      </c>
      <c r="S581" s="49" t="s">
        <v>36502</v>
      </c>
      <c r="T581" s="49" t="s">
        <v>36503</v>
      </c>
      <c r="U581" s="49" t="s">
        <v>36504</v>
      </c>
    </row>
    <row r="582" spans="1:21" x14ac:dyDescent="0.2">
      <c r="A582" s="49" t="s">
        <v>30</v>
      </c>
      <c r="D582" s="49" t="s">
        <v>5834</v>
      </c>
      <c r="G582" s="49" t="s">
        <v>36505</v>
      </c>
      <c r="H582" s="49" t="s">
        <v>5835</v>
      </c>
      <c r="I582" s="49" t="s">
        <v>5836</v>
      </c>
      <c r="J582" s="49" t="s">
        <v>5837</v>
      </c>
      <c r="K582" s="49" t="s">
        <v>5838</v>
      </c>
      <c r="L582" s="49" t="s">
        <v>5839</v>
      </c>
      <c r="M582" s="49" t="s">
        <v>5840</v>
      </c>
      <c r="N582" s="49" t="s">
        <v>5841</v>
      </c>
      <c r="O582" s="49" t="s">
        <v>34021</v>
      </c>
      <c r="P582" s="49" t="s">
        <v>34022</v>
      </c>
      <c r="Q582" s="49" t="s">
        <v>34023</v>
      </c>
      <c r="R582" s="49" t="s">
        <v>34024</v>
      </c>
      <c r="S582" s="49" t="s">
        <v>34025</v>
      </c>
      <c r="T582" s="49" t="s">
        <v>34026</v>
      </c>
    </row>
    <row r="583" spans="1:21" x14ac:dyDescent="0.2">
      <c r="A583" s="49" t="s">
        <v>30</v>
      </c>
      <c r="D583" s="49" t="s">
        <v>5848</v>
      </c>
      <c r="G583" s="49" t="s">
        <v>18377</v>
      </c>
      <c r="H583" s="49" t="s">
        <v>5849</v>
      </c>
      <c r="I583" s="49" t="s">
        <v>5850</v>
      </c>
      <c r="J583" s="49" t="s">
        <v>5851</v>
      </c>
      <c r="K583" s="49" t="s">
        <v>5852</v>
      </c>
      <c r="L583" s="49" t="s">
        <v>5853</v>
      </c>
      <c r="M583" s="49" t="s">
        <v>5854</v>
      </c>
      <c r="N583" s="49" t="s">
        <v>5855</v>
      </c>
      <c r="O583" s="49" t="s">
        <v>35595</v>
      </c>
      <c r="P583" s="49" t="s">
        <v>35599</v>
      </c>
      <c r="Q583" s="49" t="s">
        <v>35603</v>
      </c>
      <c r="R583" s="49" t="s">
        <v>35607</v>
      </c>
      <c r="S583" s="49" t="s">
        <v>35611</v>
      </c>
      <c r="T583" s="49" t="s">
        <v>35615</v>
      </c>
    </row>
    <row r="584" spans="1:21" x14ac:dyDescent="0.2">
      <c r="A584" s="49" t="s">
        <v>30</v>
      </c>
      <c r="D584" s="49" t="s">
        <v>5862</v>
      </c>
      <c r="G584" s="49" t="s">
        <v>18397</v>
      </c>
      <c r="H584" s="49" t="s">
        <v>5863</v>
      </c>
      <c r="I584" s="49" t="s">
        <v>5864</v>
      </c>
      <c r="J584" s="49" t="s">
        <v>5865</v>
      </c>
      <c r="K584" s="49" t="s">
        <v>5866</v>
      </c>
      <c r="L584" s="49" t="s">
        <v>5867</v>
      </c>
      <c r="M584" s="49" t="s">
        <v>5868</v>
      </c>
      <c r="N584" s="49" t="s">
        <v>5869</v>
      </c>
      <c r="O584" s="49" t="s">
        <v>35596</v>
      </c>
      <c r="P584" s="49" t="s">
        <v>35600</v>
      </c>
      <c r="Q584" s="49" t="s">
        <v>35604</v>
      </c>
      <c r="R584" s="49" t="s">
        <v>35608</v>
      </c>
      <c r="S584" s="49" t="s">
        <v>35612</v>
      </c>
      <c r="T584" s="49" t="s">
        <v>35616</v>
      </c>
    </row>
    <row r="585" spans="1:21" x14ac:dyDescent="0.2">
      <c r="A585" s="49" t="s">
        <v>30</v>
      </c>
    </row>
    <row r="586" spans="1:21" x14ac:dyDescent="0.2">
      <c r="A586" s="49" t="s">
        <v>30</v>
      </c>
      <c r="E586" s="49" t="s">
        <v>31</v>
      </c>
      <c r="F586" s="49" t="s">
        <v>31</v>
      </c>
      <c r="G586" s="49" t="s">
        <v>31</v>
      </c>
      <c r="J586" s="49" t="s">
        <v>31</v>
      </c>
      <c r="K586" s="49" t="s">
        <v>31</v>
      </c>
      <c r="L586" s="49" t="s">
        <v>31</v>
      </c>
      <c r="M586" s="49" t="s">
        <v>31</v>
      </c>
    </row>
    <row r="587" spans="1:21" x14ac:dyDescent="0.2">
      <c r="A587" s="49" t="s">
        <v>30</v>
      </c>
      <c r="D587" s="49" t="s">
        <v>36506</v>
      </c>
      <c r="E587" s="49" t="s">
        <v>7818</v>
      </c>
      <c r="F587" s="49" t="s">
        <v>36507</v>
      </c>
      <c r="H587" s="49" t="s">
        <v>36508</v>
      </c>
      <c r="O587" s="49" t="s">
        <v>36509</v>
      </c>
      <c r="P587" s="49" t="s">
        <v>36510</v>
      </c>
      <c r="Q587" s="49" t="s">
        <v>36511</v>
      </c>
      <c r="R587" s="49" t="s">
        <v>36512</v>
      </c>
      <c r="S587" s="49" t="s">
        <v>36513</v>
      </c>
      <c r="T587" s="49" t="s">
        <v>36514</v>
      </c>
      <c r="U587" s="49" t="s">
        <v>36515</v>
      </c>
    </row>
    <row r="588" spans="1:21" x14ac:dyDescent="0.2">
      <c r="A588" s="49" t="s">
        <v>30</v>
      </c>
      <c r="D588" s="49" t="s">
        <v>15010</v>
      </c>
      <c r="G588" s="49" t="s">
        <v>36516</v>
      </c>
      <c r="H588" s="49" t="s">
        <v>30908</v>
      </c>
      <c r="I588" s="49" t="s">
        <v>30912</v>
      </c>
      <c r="J588" s="49" t="s">
        <v>30940</v>
      </c>
      <c r="K588" s="49" t="s">
        <v>30944</v>
      </c>
      <c r="L588" s="49" t="s">
        <v>15012</v>
      </c>
      <c r="M588" s="49" t="s">
        <v>15013</v>
      </c>
      <c r="N588" s="49" t="s">
        <v>15014</v>
      </c>
      <c r="O588" s="49" t="s">
        <v>35598</v>
      </c>
      <c r="P588" s="49" t="s">
        <v>35602</v>
      </c>
      <c r="Q588" s="49" t="s">
        <v>35606</v>
      </c>
      <c r="R588" s="49" t="s">
        <v>35610</v>
      </c>
      <c r="S588" s="49" t="s">
        <v>35614</v>
      </c>
      <c r="T588" s="49" t="s">
        <v>35618</v>
      </c>
    </row>
    <row r="589" spans="1:21" x14ac:dyDescent="0.2">
      <c r="A589" s="49" t="s">
        <v>30</v>
      </c>
      <c r="D589" s="49" t="s">
        <v>15015</v>
      </c>
      <c r="G589" s="49" t="s">
        <v>18452</v>
      </c>
      <c r="H589" s="49" t="s">
        <v>30909</v>
      </c>
      <c r="I589" s="49" t="s">
        <v>30913</v>
      </c>
      <c r="J589" s="49" t="s">
        <v>30941</v>
      </c>
      <c r="K589" s="49" t="s">
        <v>30945</v>
      </c>
      <c r="L589" s="49" t="s">
        <v>15017</v>
      </c>
      <c r="M589" s="49" t="s">
        <v>15018</v>
      </c>
      <c r="N589" s="49" t="s">
        <v>15019</v>
      </c>
      <c r="O589" s="49" t="s">
        <v>37975</v>
      </c>
      <c r="P589" s="49" t="s">
        <v>37977</v>
      </c>
      <c r="Q589" s="49" t="s">
        <v>37979</v>
      </c>
      <c r="R589" s="49" t="s">
        <v>37981</v>
      </c>
      <c r="S589" s="49" t="s">
        <v>37983</v>
      </c>
      <c r="T589" s="49" t="s">
        <v>37985</v>
      </c>
    </row>
    <row r="590" spans="1:21" x14ac:dyDescent="0.2">
      <c r="A590" s="49" t="s">
        <v>30</v>
      </c>
      <c r="D590" s="49" t="s">
        <v>5891</v>
      </c>
      <c r="G590" s="49" t="s">
        <v>18457</v>
      </c>
      <c r="H590" s="49" t="s">
        <v>5892</v>
      </c>
      <c r="I590" s="49" t="s">
        <v>5893</v>
      </c>
      <c r="J590" s="49" t="s">
        <v>5894</v>
      </c>
      <c r="K590" s="49" t="s">
        <v>5895</v>
      </c>
      <c r="L590" s="49" t="s">
        <v>5896</v>
      </c>
      <c r="M590" s="49" t="s">
        <v>5897</v>
      </c>
      <c r="N590" s="49" t="s">
        <v>5898</v>
      </c>
      <c r="O590" s="49" t="s">
        <v>37976</v>
      </c>
      <c r="P590" s="49" t="s">
        <v>37978</v>
      </c>
      <c r="Q590" s="49" t="s">
        <v>37980</v>
      </c>
      <c r="R590" s="49" t="s">
        <v>37982</v>
      </c>
      <c r="S590" s="49" t="s">
        <v>37984</v>
      </c>
      <c r="T590" s="49" t="s">
        <v>37986</v>
      </c>
    </row>
    <row r="591" spans="1:21" x14ac:dyDescent="0.2">
      <c r="A591" s="49" t="s">
        <v>30</v>
      </c>
      <c r="D591" s="49" t="s">
        <v>5899</v>
      </c>
      <c r="G591" s="49" t="s">
        <v>18462</v>
      </c>
      <c r="H591" s="49" t="s">
        <v>5900</v>
      </c>
      <c r="I591" s="49" t="s">
        <v>5901</v>
      </c>
      <c r="J591" s="49" t="s">
        <v>5902</v>
      </c>
      <c r="K591" s="49" t="s">
        <v>5903</v>
      </c>
      <c r="L591" s="49" t="s">
        <v>5904</v>
      </c>
      <c r="M591" s="49" t="s">
        <v>5905</v>
      </c>
      <c r="N591" s="49" t="s">
        <v>5906</v>
      </c>
      <c r="O591" s="49" t="s">
        <v>34338</v>
      </c>
      <c r="P591" s="49" t="s">
        <v>34343</v>
      </c>
      <c r="Q591" s="49" t="s">
        <v>34348</v>
      </c>
      <c r="R591" s="49" t="s">
        <v>34353</v>
      </c>
      <c r="S591" s="49" t="s">
        <v>34358</v>
      </c>
      <c r="T591" s="49" t="s">
        <v>34363</v>
      </c>
    </row>
    <row r="592" spans="1:21" x14ac:dyDescent="0.2">
      <c r="A592" s="49" t="s">
        <v>30</v>
      </c>
    </row>
    <row r="593" spans="1:21" x14ac:dyDescent="0.2">
      <c r="A593" s="49" t="s">
        <v>30</v>
      </c>
      <c r="E593" s="49" t="s">
        <v>31</v>
      </c>
      <c r="F593" s="49" t="s">
        <v>31</v>
      </c>
      <c r="G593" s="49" t="s">
        <v>31</v>
      </c>
      <c r="J593" s="49" t="s">
        <v>31</v>
      </c>
      <c r="K593" s="49" t="s">
        <v>31</v>
      </c>
      <c r="L593" s="49" t="s">
        <v>31</v>
      </c>
      <c r="M593" s="49" t="s">
        <v>31</v>
      </c>
    </row>
    <row r="594" spans="1:21" x14ac:dyDescent="0.2">
      <c r="A594" s="49" t="s">
        <v>30</v>
      </c>
      <c r="D594" s="49" t="s">
        <v>36517</v>
      </c>
      <c r="E594" s="49" t="s">
        <v>7819</v>
      </c>
      <c r="F594" s="49" t="s">
        <v>36518</v>
      </c>
      <c r="H594" s="49" t="s">
        <v>36519</v>
      </c>
      <c r="O594" s="49" t="s">
        <v>36520</v>
      </c>
      <c r="P594" s="49" t="s">
        <v>36521</v>
      </c>
      <c r="Q594" s="49" t="s">
        <v>36522</v>
      </c>
      <c r="R594" s="49" t="s">
        <v>36523</v>
      </c>
      <c r="S594" s="49" t="s">
        <v>36524</v>
      </c>
      <c r="T594" s="49" t="s">
        <v>36525</v>
      </c>
      <c r="U594" s="49" t="s">
        <v>36526</v>
      </c>
    </row>
    <row r="595" spans="1:21" x14ac:dyDescent="0.2">
      <c r="A595" s="49" t="s">
        <v>30</v>
      </c>
      <c r="D595" s="49" t="s">
        <v>5943</v>
      </c>
      <c r="G595" s="49" t="s">
        <v>36527</v>
      </c>
      <c r="H595" s="49" t="s">
        <v>5944</v>
      </c>
      <c r="I595" s="49" t="s">
        <v>5945</v>
      </c>
      <c r="J595" s="49" t="s">
        <v>5946</v>
      </c>
      <c r="K595" s="49" t="s">
        <v>5947</v>
      </c>
      <c r="L595" s="49" t="s">
        <v>5948</v>
      </c>
      <c r="M595" s="49" t="s">
        <v>5949</v>
      </c>
      <c r="N595" s="49" t="s">
        <v>5950</v>
      </c>
      <c r="O595" s="49" t="s">
        <v>34342</v>
      </c>
      <c r="P595" s="49" t="s">
        <v>34347</v>
      </c>
      <c r="Q595" s="49" t="s">
        <v>34352</v>
      </c>
      <c r="R595" s="49" t="s">
        <v>34357</v>
      </c>
      <c r="S595" s="49" t="s">
        <v>34362</v>
      </c>
      <c r="T595" s="49" t="s">
        <v>34367</v>
      </c>
    </row>
    <row r="596" spans="1:21" x14ac:dyDescent="0.2">
      <c r="A596" s="49" t="s">
        <v>30</v>
      </c>
      <c r="D596" s="49" t="s">
        <v>5957</v>
      </c>
      <c r="G596" s="49" t="s">
        <v>18507</v>
      </c>
      <c r="H596" s="49" t="s">
        <v>5958</v>
      </c>
      <c r="I596" s="49" t="s">
        <v>5959</v>
      </c>
      <c r="J596" s="49" t="s">
        <v>5960</v>
      </c>
      <c r="K596" s="49" t="s">
        <v>5961</v>
      </c>
      <c r="L596" s="49" t="s">
        <v>5962</v>
      </c>
      <c r="M596" s="49" t="s">
        <v>5963</v>
      </c>
      <c r="N596" s="49" t="s">
        <v>5964</v>
      </c>
      <c r="O596" s="49" t="s">
        <v>35512</v>
      </c>
      <c r="P596" s="49" t="s">
        <v>35513</v>
      </c>
      <c r="Q596" s="49" t="s">
        <v>35514</v>
      </c>
      <c r="R596" s="49" t="s">
        <v>35515</v>
      </c>
      <c r="S596" s="49" t="s">
        <v>35516</v>
      </c>
      <c r="T596" s="49" t="s">
        <v>35517</v>
      </c>
    </row>
    <row r="597" spans="1:21" x14ac:dyDescent="0.2">
      <c r="A597" s="49" t="s">
        <v>30</v>
      </c>
      <c r="D597" s="49" t="s">
        <v>5971</v>
      </c>
      <c r="G597" s="49" t="s">
        <v>18512</v>
      </c>
      <c r="H597" s="49" t="s">
        <v>5972</v>
      </c>
      <c r="I597" s="49" t="s">
        <v>5973</v>
      </c>
      <c r="J597" s="49" t="s">
        <v>5974</v>
      </c>
      <c r="K597" s="49" t="s">
        <v>5975</v>
      </c>
      <c r="L597" s="49" t="s">
        <v>5976</v>
      </c>
      <c r="M597" s="49" t="s">
        <v>5977</v>
      </c>
      <c r="N597" s="49" t="s">
        <v>5978</v>
      </c>
      <c r="O597" s="49" t="s">
        <v>37969</v>
      </c>
      <c r="P597" s="49" t="s">
        <v>37970</v>
      </c>
      <c r="Q597" s="49" t="s">
        <v>37971</v>
      </c>
      <c r="R597" s="49" t="s">
        <v>37972</v>
      </c>
      <c r="S597" s="49" t="s">
        <v>37973</v>
      </c>
      <c r="T597" s="49" t="s">
        <v>37974</v>
      </c>
    </row>
    <row r="598" spans="1:21" x14ac:dyDescent="0.2">
      <c r="A598" s="49" t="s">
        <v>30</v>
      </c>
    </row>
    <row r="599" spans="1:21" x14ac:dyDescent="0.2">
      <c r="A599" s="49" t="s">
        <v>30</v>
      </c>
      <c r="E599" s="49" t="s">
        <v>31</v>
      </c>
      <c r="F599" s="49" t="s">
        <v>31</v>
      </c>
      <c r="G599" s="49" t="s">
        <v>31</v>
      </c>
      <c r="J599" s="49" t="s">
        <v>31</v>
      </c>
      <c r="K599" s="49" t="s">
        <v>31</v>
      </c>
      <c r="L599" s="49" t="s">
        <v>31</v>
      </c>
      <c r="M599" s="49" t="s">
        <v>31</v>
      </c>
    </row>
    <row r="600" spans="1:21" x14ac:dyDescent="0.2">
      <c r="A600" s="49" t="s">
        <v>30</v>
      </c>
      <c r="D600" s="49" t="s">
        <v>36528</v>
      </c>
      <c r="E600" s="49" t="s">
        <v>7820</v>
      </c>
      <c r="F600" s="49" t="s">
        <v>36529</v>
      </c>
      <c r="H600" s="49" t="s">
        <v>36530</v>
      </c>
      <c r="O600" s="49" t="s">
        <v>36531</v>
      </c>
      <c r="P600" s="49" t="s">
        <v>36532</v>
      </c>
      <c r="Q600" s="49" t="s">
        <v>36533</v>
      </c>
      <c r="R600" s="49" t="s">
        <v>36534</v>
      </c>
      <c r="S600" s="49" t="s">
        <v>36535</v>
      </c>
      <c r="T600" s="49" t="s">
        <v>36536</v>
      </c>
      <c r="U600" s="49" t="s">
        <v>36537</v>
      </c>
    </row>
    <row r="601" spans="1:21" x14ac:dyDescent="0.2">
      <c r="A601" s="49" t="s">
        <v>30</v>
      </c>
      <c r="D601" s="49" t="s">
        <v>15042</v>
      </c>
      <c r="G601" s="49" t="s">
        <v>36538</v>
      </c>
      <c r="H601" s="49" t="s">
        <v>30887</v>
      </c>
      <c r="I601" s="49" t="s">
        <v>30889</v>
      </c>
      <c r="J601" s="49" t="s">
        <v>30903</v>
      </c>
      <c r="K601" s="49" t="s">
        <v>30905</v>
      </c>
      <c r="L601" s="49" t="s">
        <v>15044</v>
      </c>
      <c r="M601" s="49" t="s">
        <v>15045</v>
      </c>
      <c r="N601" s="49" t="s">
        <v>15046</v>
      </c>
      <c r="O601" s="49" t="s">
        <v>37955</v>
      </c>
      <c r="P601" s="49" t="s">
        <v>37957</v>
      </c>
      <c r="Q601" s="49" t="s">
        <v>37959</v>
      </c>
      <c r="R601" s="49" t="s">
        <v>37961</v>
      </c>
      <c r="S601" s="49" t="s">
        <v>37963</v>
      </c>
      <c r="T601" s="49" t="s">
        <v>37965</v>
      </c>
    </row>
    <row r="602" spans="1:21" x14ac:dyDescent="0.2">
      <c r="A602" s="49" t="s">
        <v>30</v>
      </c>
      <c r="D602" s="49" t="s">
        <v>36539</v>
      </c>
      <c r="G602" s="49" t="s">
        <v>18547</v>
      </c>
      <c r="H602" s="49" t="s">
        <v>37953</v>
      </c>
      <c r="I602" s="49" t="s">
        <v>37954</v>
      </c>
      <c r="J602" s="49" t="s">
        <v>37967</v>
      </c>
      <c r="K602" s="49" t="s">
        <v>37968</v>
      </c>
      <c r="L602" s="49" t="s">
        <v>36540</v>
      </c>
      <c r="M602" s="49" t="s">
        <v>36541</v>
      </c>
      <c r="N602" s="49" t="s">
        <v>36542</v>
      </c>
      <c r="O602" s="49" t="s">
        <v>37956</v>
      </c>
      <c r="P602" s="49" t="s">
        <v>37958</v>
      </c>
      <c r="Q602" s="49" t="s">
        <v>37960</v>
      </c>
      <c r="R602" s="49" t="s">
        <v>37962</v>
      </c>
      <c r="S602" s="49" t="s">
        <v>37964</v>
      </c>
      <c r="T602" s="49" t="s">
        <v>37966</v>
      </c>
    </row>
    <row r="603" spans="1:21" x14ac:dyDescent="0.2">
      <c r="A603" s="49" t="s">
        <v>30</v>
      </c>
      <c r="D603" s="49" t="s">
        <v>5986</v>
      </c>
      <c r="G603" s="49" t="s">
        <v>18552</v>
      </c>
      <c r="H603" s="49" t="s">
        <v>5987</v>
      </c>
      <c r="I603" s="49" t="s">
        <v>5988</v>
      </c>
      <c r="J603" s="49" t="s">
        <v>5989</v>
      </c>
      <c r="K603" s="49" t="s">
        <v>5990</v>
      </c>
      <c r="L603" s="49" t="s">
        <v>5991</v>
      </c>
      <c r="M603" s="49" t="s">
        <v>5992</v>
      </c>
      <c r="N603" s="49" t="s">
        <v>5993</v>
      </c>
      <c r="O603" s="49" t="s">
        <v>34086</v>
      </c>
      <c r="P603" s="49" t="s">
        <v>34087</v>
      </c>
      <c r="Q603" s="49" t="s">
        <v>34088</v>
      </c>
      <c r="R603" s="49" t="s">
        <v>34089</v>
      </c>
      <c r="S603" s="49" t="s">
        <v>34090</v>
      </c>
      <c r="T603" s="49" t="s">
        <v>34091</v>
      </c>
    </row>
    <row r="604" spans="1:21" x14ac:dyDescent="0.2">
      <c r="A604" s="49" t="s">
        <v>30</v>
      </c>
    </row>
    <row r="605" spans="1:21" x14ac:dyDescent="0.2">
      <c r="A605" s="49" t="s">
        <v>30</v>
      </c>
      <c r="E605" s="49" t="s">
        <v>31</v>
      </c>
      <c r="F605" s="49" t="s">
        <v>31</v>
      </c>
      <c r="G605" s="49" t="s">
        <v>31</v>
      </c>
      <c r="J605" s="49" t="s">
        <v>31</v>
      </c>
      <c r="K605" s="49" t="s">
        <v>31</v>
      </c>
      <c r="L605" s="49" t="s">
        <v>31</v>
      </c>
      <c r="M605" s="49" t="s">
        <v>31</v>
      </c>
    </row>
    <row r="606" spans="1:21" x14ac:dyDescent="0.2">
      <c r="A606" s="49" t="s">
        <v>30</v>
      </c>
      <c r="D606" s="49" t="s">
        <v>36543</v>
      </c>
      <c r="E606" s="49" t="s">
        <v>7849</v>
      </c>
      <c r="F606" s="49" t="s">
        <v>36544</v>
      </c>
      <c r="H606" s="49" t="s">
        <v>36545</v>
      </c>
      <c r="O606" s="49" t="s">
        <v>36546</v>
      </c>
      <c r="P606" s="49" t="s">
        <v>36547</v>
      </c>
      <c r="Q606" s="49" t="s">
        <v>36548</v>
      </c>
      <c r="R606" s="49" t="s">
        <v>36549</v>
      </c>
      <c r="S606" s="49" t="s">
        <v>36550</v>
      </c>
      <c r="T606" s="49" t="s">
        <v>36551</v>
      </c>
      <c r="U606" s="49" t="s">
        <v>36552</v>
      </c>
    </row>
    <row r="607" spans="1:21" x14ac:dyDescent="0.2">
      <c r="A607" s="49" t="s">
        <v>30</v>
      </c>
      <c r="D607" s="49" t="s">
        <v>6030</v>
      </c>
      <c r="G607" s="49" t="s">
        <v>36553</v>
      </c>
      <c r="H607" s="49" t="s">
        <v>6031</v>
      </c>
      <c r="I607" s="49" t="s">
        <v>6032</v>
      </c>
      <c r="J607" s="49" t="s">
        <v>6033</v>
      </c>
      <c r="K607" s="49" t="s">
        <v>6034</v>
      </c>
      <c r="L607" s="49" t="s">
        <v>6035</v>
      </c>
      <c r="M607" s="49" t="s">
        <v>6036</v>
      </c>
      <c r="N607" s="49" t="s">
        <v>6037</v>
      </c>
      <c r="O607" s="49" t="s">
        <v>37941</v>
      </c>
      <c r="P607" s="49" t="s">
        <v>37943</v>
      </c>
      <c r="Q607" s="49" t="s">
        <v>37945</v>
      </c>
      <c r="R607" s="49" t="s">
        <v>37947</v>
      </c>
      <c r="S607" s="49" t="s">
        <v>37949</v>
      </c>
      <c r="T607" s="49" t="s">
        <v>37951</v>
      </c>
    </row>
    <row r="608" spans="1:21" x14ac:dyDescent="0.2">
      <c r="A608" s="49" t="s">
        <v>30</v>
      </c>
      <c r="D608" s="49" t="s">
        <v>6044</v>
      </c>
      <c r="G608" s="49" t="s">
        <v>18617</v>
      </c>
      <c r="H608" s="49" t="s">
        <v>6045</v>
      </c>
      <c r="I608" s="49" t="s">
        <v>6046</v>
      </c>
      <c r="J608" s="49" t="s">
        <v>6047</v>
      </c>
      <c r="K608" s="49" t="s">
        <v>6048</v>
      </c>
      <c r="L608" s="49" t="s">
        <v>6049</v>
      </c>
      <c r="M608" s="49" t="s">
        <v>6050</v>
      </c>
      <c r="N608" s="49" t="s">
        <v>6051</v>
      </c>
      <c r="O608" s="49" t="s">
        <v>34109</v>
      </c>
      <c r="P608" s="49" t="s">
        <v>34110</v>
      </c>
      <c r="Q608" s="49" t="s">
        <v>34111</v>
      </c>
      <c r="R608" s="49" t="s">
        <v>34112</v>
      </c>
      <c r="S608" s="49" t="s">
        <v>34113</v>
      </c>
      <c r="T608" s="49" t="s">
        <v>34114</v>
      </c>
    </row>
    <row r="609" spans="1:21" x14ac:dyDescent="0.2">
      <c r="A609" s="49" t="s">
        <v>30</v>
      </c>
      <c r="D609" s="49" t="s">
        <v>6058</v>
      </c>
      <c r="G609" s="49" t="s">
        <v>18627</v>
      </c>
      <c r="H609" s="49" t="s">
        <v>6059</v>
      </c>
      <c r="I609" s="49" t="s">
        <v>6060</v>
      </c>
      <c r="J609" s="49" t="s">
        <v>6061</v>
      </c>
      <c r="K609" s="49" t="s">
        <v>6062</v>
      </c>
      <c r="L609" s="49" t="s">
        <v>6063</v>
      </c>
      <c r="M609" s="49" t="s">
        <v>6064</v>
      </c>
      <c r="N609" s="49" t="s">
        <v>6065</v>
      </c>
      <c r="O609" s="49" t="s">
        <v>34115</v>
      </c>
      <c r="P609" s="49" t="s">
        <v>34116</v>
      </c>
      <c r="Q609" s="49" t="s">
        <v>34117</v>
      </c>
      <c r="R609" s="49" t="s">
        <v>34118</v>
      </c>
      <c r="S609" s="49" t="s">
        <v>34119</v>
      </c>
      <c r="T609" s="49" t="s">
        <v>34120</v>
      </c>
    </row>
    <row r="610" spans="1:21" x14ac:dyDescent="0.2">
      <c r="A610" s="49" t="s">
        <v>30</v>
      </c>
      <c r="D610" s="49" t="s">
        <v>6072</v>
      </c>
      <c r="G610" s="49" t="s">
        <v>18632</v>
      </c>
      <c r="H610" s="49" t="s">
        <v>6073</v>
      </c>
      <c r="I610" s="49" t="s">
        <v>6074</v>
      </c>
      <c r="J610" s="49" t="s">
        <v>6075</v>
      </c>
      <c r="K610" s="49" t="s">
        <v>6076</v>
      </c>
      <c r="L610" s="49" t="s">
        <v>6077</v>
      </c>
      <c r="M610" s="49" t="s">
        <v>6078</v>
      </c>
      <c r="N610" s="49" t="s">
        <v>6079</v>
      </c>
      <c r="O610" s="49" t="s">
        <v>37942</v>
      </c>
      <c r="P610" s="49" t="s">
        <v>37944</v>
      </c>
      <c r="Q610" s="49" t="s">
        <v>37946</v>
      </c>
      <c r="R610" s="49" t="s">
        <v>37948</v>
      </c>
      <c r="S610" s="49" t="s">
        <v>37950</v>
      </c>
      <c r="T610" s="49" t="s">
        <v>37952</v>
      </c>
    </row>
    <row r="611" spans="1:21" x14ac:dyDescent="0.2">
      <c r="A611" s="49" t="s">
        <v>30</v>
      </c>
    </row>
    <row r="612" spans="1:21" x14ac:dyDescent="0.2">
      <c r="A612" s="49" t="s">
        <v>30</v>
      </c>
      <c r="E612" s="49" t="s">
        <v>31</v>
      </c>
      <c r="F612" s="49" t="s">
        <v>31</v>
      </c>
      <c r="G612" s="49" t="s">
        <v>31</v>
      </c>
      <c r="J612" s="49" t="s">
        <v>31</v>
      </c>
      <c r="K612" s="49" t="s">
        <v>31</v>
      </c>
      <c r="L612" s="49" t="s">
        <v>31</v>
      </c>
      <c r="M612" s="49" t="s">
        <v>31</v>
      </c>
    </row>
    <row r="613" spans="1:21" x14ac:dyDescent="0.2">
      <c r="A613" s="49" t="s">
        <v>30</v>
      </c>
      <c r="D613" s="49" t="s">
        <v>36554</v>
      </c>
      <c r="E613" s="49" t="s">
        <v>7864</v>
      </c>
      <c r="F613" s="49" t="s">
        <v>36555</v>
      </c>
      <c r="H613" s="49" t="s">
        <v>36556</v>
      </c>
      <c r="O613" s="49" t="s">
        <v>36557</v>
      </c>
      <c r="P613" s="49" t="s">
        <v>36558</v>
      </c>
      <c r="Q613" s="49" t="s">
        <v>36559</v>
      </c>
      <c r="R613" s="49" t="s">
        <v>36560</v>
      </c>
      <c r="S613" s="49" t="s">
        <v>36561</v>
      </c>
      <c r="T613" s="49" t="s">
        <v>36562</v>
      </c>
      <c r="U613" s="49" t="s">
        <v>36563</v>
      </c>
    </row>
    <row r="614" spans="1:21" x14ac:dyDescent="0.2">
      <c r="A614" s="49" t="s">
        <v>30</v>
      </c>
      <c r="D614" s="49" t="s">
        <v>11204</v>
      </c>
      <c r="G614" s="49" t="s">
        <v>36564</v>
      </c>
      <c r="H614" s="49" t="s">
        <v>12315</v>
      </c>
      <c r="I614" s="49" t="s">
        <v>12317</v>
      </c>
      <c r="J614" s="49" t="s">
        <v>12325</v>
      </c>
      <c r="K614" s="49" t="s">
        <v>12327</v>
      </c>
      <c r="L614" s="49" t="s">
        <v>11205</v>
      </c>
      <c r="M614" s="49" t="s">
        <v>11206</v>
      </c>
      <c r="N614" s="49" t="s">
        <v>11207</v>
      </c>
      <c r="O614" s="49" t="s">
        <v>34311</v>
      </c>
      <c r="P614" s="49" t="s">
        <v>34315</v>
      </c>
      <c r="Q614" s="49" t="s">
        <v>34319</v>
      </c>
      <c r="R614" s="49" t="s">
        <v>34323</v>
      </c>
      <c r="S614" s="49" t="s">
        <v>34327</v>
      </c>
      <c r="T614" s="49" t="s">
        <v>34331</v>
      </c>
    </row>
    <row r="615" spans="1:21" x14ac:dyDescent="0.2">
      <c r="A615" s="49" t="s">
        <v>30</v>
      </c>
      <c r="D615" s="49" t="s">
        <v>34132</v>
      </c>
      <c r="G615" s="49" t="s">
        <v>18692</v>
      </c>
      <c r="H615" s="49" t="s">
        <v>34306</v>
      </c>
      <c r="I615" s="49" t="s">
        <v>34308</v>
      </c>
      <c r="J615" s="49" t="s">
        <v>34334</v>
      </c>
      <c r="K615" s="49" t="s">
        <v>34336</v>
      </c>
      <c r="L615" s="49" t="s">
        <v>34133</v>
      </c>
      <c r="M615" s="49" t="s">
        <v>34134</v>
      </c>
      <c r="N615" s="49" t="s">
        <v>34135</v>
      </c>
      <c r="O615" s="49" t="s">
        <v>34312</v>
      </c>
      <c r="P615" s="49" t="s">
        <v>34316</v>
      </c>
      <c r="Q615" s="49" t="s">
        <v>34320</v>
      </c>
      <c r="R615" s="49" t="s">
        <v>34324</v>
      </c>
      <c r="S615" s="49" t="s">
        <v>34328</v>
      </c>
      <c r="T615" s="49" t="s">
        <v>34332</v>
      </c>
    </row>
    <row r="616" spans="1:21" x14ac:dyDescent="0.2">
      <c r="A616" s="49" t="s">
        <v>30</v>
      </c>
      <c r="D616" s="49" t="s">
        <v>34136</v>
      </c>
      <c r="G616" s="49" t="s">
        <v>18717</v>
      </c>
      <c r="H616" s="49" t="s">
        <v>34307</v>
      </c>
      <c r="I616" s="49" t="s">
        <v>34309</v>
      </c>
      <c r="J616" s="49" t="s">
        <v>34335</v>
      </c>
      <c r="K616" s="49" t="s">
        <v>34337</v>
      </c>
      <c r="L616" s="49" t="s">
        <v>34137</v>
      </c>
      <c r="M616" s="49" t="s">
        <v>34138</v>
      </c>
      <c r="N616" s="49" t="s">
        <v>34139</v>
      </c>
      <c r="O616" s="49" t="s">
        <v>34313</v>
      </c>
      <c r="P616" s="49" t="s">
        <v>34317</v>
      </c>
      <c r="Q616" s="49" t="s">
        <v>34321</v>
      </c>
      <c r="R616" s="49" t="s">
        <v>34325</v>
      </c>
      <c r="S616" s="49" t="s">
        <v>34329</v>
      </c>
      <c r="T616" s="49" t="s">
        <v>34333</v>
      </c>
    </row>
    <row r="617" spans="1:21" x14ac:dyDescent="0.2">
      <c r="A617" s="49" t="s">
        <v>30</v>
      </c>
    </row>
    <row r="618" spans="1:21" x14ac:dyDescent="0.2">
      <c r="A618" s="49" t="s">
        <v>30</v>
      </c>
      <c r="E618" s="49" t="s">
        <v>31</v>
      </c>
      <c r="F618" s="49" t="s">
        <v>31</v>
      </c>
      <c r="G618" s="49" t="s">
        <v>31</v>
      </c>
      <c r="J618" s="49" t="s">
        <v>31</v>
      </c>
      <c r="K618" s="49" t="s">
        <v>31</v>
      </c>
      <c r="L618" s="49" t="s">
        <v>31</v>
      </c>
      <c r="M618" s="49" t="s">
        <v>31</v>
      </c>
    </row>
    <row r="619" spans="1:21" x14ac:dyDescent="0.2">
      <c r="A619" s="49" t="s">
        <v>30</v>
      </c>
      <c r="D619" s="49" t="s">
        <v>34140</v>
      </c>
      <c r="E619" s="49" t="s">
        <v>7949</v>
      </c>
      <c r="F619" s="49" t="s">
        <v>34141</v>
      </c>
      <c r="H619" s="49" t="s">
        <v>34142</v>
      </c>
      <c r="O619" s="49" t="s">
        <v>36565</v>
      </c>
      <c r="P619" s="49" t="s">
        <v>36566</v>
      </c>
      <c r="Q619" s="49" t="s">
        <v>36567</v>
      </c>
      <c r="R619" s="49" t="s">
        <v>36568</v>
      </c>
      <c r="S619" s="49" t="s">
        <v>36569</v>
      </c>
      <c r="T619" s="49" t="s">
        <v>36570</v>
      </c>
      <c r="U619" s="49" t="s">
        <v>36571</v>
      </c>
    </row>
    <row r="620" spans="1:21" x14ac:dyDescent="0.2">
      <c r="A620" s="49" t="s">
        <v>30</v>
      </c>
      <c r="D620" s="49" t="s">
        <v>6143</v>
      </c>
      <c r="G620" s="49" t="s">
        <v>34150</v>
      </c>
      <c r="H620" s="49" t="s">
        <v>6144</v>
      </c>
      <c r="I620" s="49" t="s">
        <v>6145</v>
      </c>
      <c r="J620" s="49" t="s">
        <v>6146</v>
      </c>
      <c r="K620" s="49" t="s">
        <v>6147</v>
      </c>
      <c r="L620" s="49" t="s">
        <v>6148</v>
      </c>
      <c r="M620" s="49" t="s">
        <v>6149</v>
      </c>
      <c r="N620" s="49" t="s">
        <v>6150</v>
      </c>
      <c r="O620" s="49" t="s">
        <v>34288</v>
      </c>
      <c r="P620" s="49" t="s">
        <v>34291</v>
      </c>
      <c r="Q620" s="49" t="s">
        <v>34294</v>
      </c>
      <c r="R620" s="49" t="s">
        <v>34297</v>
      </c>
      <c r="S620" s="49" t="s">
        <v>34300</v>
      </c>
      <c r="T620" s="49" t="s">
        <v>34303</v>
      </c>
    </row>
    <row r="621" spans="1:21" x14ac:dyDescent="0.2">
      <c r="A621" s="49" t="s">
        <v>30</v>
      </c>
      <c r="D621" s="49" t="s">
        <v>6157</v>
      </c>
      <c r="G621" s="49" t="s">
        <v>18757</v>
      </c>
      <c r="H621" s="49" t="s">
        <v>6158</v>
      </c>
      <c r="I621" s="49" t="s">
        <v>6159</v>
      </c>
      <c r="J621" s="49" t="s">
        <v>6160</v>
      </c>
      <c r="K621" s="49" t="s">
        <v>6161</v>
      </c>
      <c r="L621" s="49" t="s">
        <v>6162</v>
      </c>
      <c r="M621" s="49" t="s">
        <v>6163</v>
      </c>
      <c r="N621" s="49" t="s">
        <v>6164</v>
      </c>
      <c r="O621" s="49" t="s">
        <v>34289</v>
      </c>
      <c r="P621" s="49" t="s">
        <v>34292</v>
      </c>
      <c r="Q621" s="49" t="s">
        <v>34295</v>
      </c>
      <c r="R621" s="49" t="s">
        <v>34298</v>
      </c>
      <c r="S621" s="49" t="s">
        <v>34301</v>
      </c>
      <c r="T621" s="49" t="s">
        <v>34304</v>
      </c>
    </row>
    <row r="622" spans="1:21" x14ac:dyDescent="0.2">
      <c r="A622" s="49" t="s">
        <v>30</v>
      </c>
    </row>
    <row r="623" spans="1:21" x14ac:dyDescent="0.2">
      <c r="A623" s="49" t="s">
        <v>30</v>
      </c>
      <c r="E623" s="49" t="s">
        <v>31</v>
      </c>
      <c r="F623" s="49" t="s">
        <v>31</v>
      </c>
      <c r="G623" s="49" t="s">
        <v>31</v>
      </c>
      <c r="J623" s="49" t="s">
        <v>31</v>
      </c>
      <c r="K623" s="49" t="s">
        <v>31</v>
      </c>
      <c r="L623" s="49" t="s">
        <v>31</v>
      </c>
      <c r="M623" s="49" t="s">
        <v>31</v>
      </c>
    </row>
    <row r="624" spans="1:21" x14ac:dyDescent="0.2">
      <c r="A624" s="49" t="s">
        <v>30</v>
      </c>
      <c r="D624" s="49" t="s">
        <v>36572</v>
      </c>
      <c r="E624" s="49" t="s">
        <v>8020</v>
      </c>
      <c r="F624" s="49" t="s">
        <v>36573</v>
      </c>
      <c r="H624" s="49" t="s">
        <v>36574</v>
      </c>
      <c r="O624" s="49" t="s">
        <v>36575</v>
      </c>
      <c r="P624" s="49" t="s">
        <v>36576</v>
      </c>
      <c r="Q624" s="49" t="s">
        <v>36577</v>
      </c>
      <c r="R624" s="49" t="s">
        <v>36578</v>
      </c>
      <c r="S624" s="49" t="s">
        <v>36579</v>
      </c>
      <c r="T624" s="49" t="s">
        <v>36580</v>
      </c>
      <c r="U624" s="49" t="s">
        <v>36581</v>
      </c>
    </row>
    <row r="625" spans="1:21" x14ac:dyDescent="0.2">
      <c r="A625" s="49" t="s">
        <v>30</v>
      </c>
      <c r="D625" s="49" t="s">
        <v>6213</v>
      </c>
      <c r="G625" s="49" t="s">
        <v>36582</v>
      </c>
      <c r="H625" s="49" t="s">
        <v>6214</v>
      </c>
      <c r="I625" s="49" t="s">
        <v>6215</v>
      </c>
      <c r="J625" s="49" t="s">
        <v>6216</v>
      </c>
      <c r="K625" s="49" t="s">
        <v>6217</v>
      </c>
      <c r="L625" s="49" t="s">
        <v>6218</v>
      </c>
      <c r="M625" s="49" t="s">
        <v>6219</v>
      </c>
      <c r="N625" s="49" t="s">
        <v>6220</v>
      </c>
      <c r="O625" s="49" t="s">
        <v>37913</v>
      </c>
      <c r="P625" s="49" t="s">
        <v>37917</v>
      </c>
      <c r="Q625" s="49" t="s">
        <v>37921</v>
      </c>
      <c r="R625" s="49" t="s">
        <v>37925</v>
      </c>
      <c r="S625" s="49" t="s">
        <v>37929</v>
      </c>
      <c r="T625" s="49" t="s">
        <v>37933</v>
      </c>
    </row>
    <row r="626" spans="1:21" x14ac:dyDescent="0.2">
      <c r="A626" s="49" t="s">
        <v>30</v>
      </c>
      <c r="D626" s="49" t="s">
        <v>6227</v>
      </c>
      <c r="G626" s="49" t="s">
        <v>18827</v>
      </c>
      <c r="H626" s="49" t="s">
        <v>6228</v>
      </c>
      <c r="I626" s="49" t="s">
        <v>6229</v>
      </c>
      <c r="J626" s="49" t="s">
        <v>6230</v>
      </c>
      <c r="K626" s="49" t="s">
        <v>6231</v>
      </c>
      <c r="L626" s="49" t="s">
        <v>6232</v>
      </c>
      <c r="M626" s="49" t="s">
        <v>6233</v>
      </c>
      <c r="N626" s="49" t="s">
        <v>6234</v>
      </c>
      <c r="O626" s="49" t="s">
        <v>34162</v>
      </c>
      <c r="P626" s="49" t="s">
        <v>34163</v>
      </c>
      <c r="Q626" s="49" t="s">
        <v>34164</v>
      </c>
      <c r="R626" s="49" t="s">
        <v>34165</v>
      </c>
      <c r="S626" s="49" t="s">
        <v>34166</v>
      </c>
      <c r="T626" s="49" t="s">
        <v>34167</v>
      </c>
    </row>
    <row r="627" spans="1:21" x14ac:dyDescent="0.2">
      <c r="A627" s="49" t="s">
        <v>30</v>
      </c>
      <c r="D627" s="49" t="s">
        <v>15090</v>
      </c>
      <c r="G627" s="49" t="s">
        <v>18832</v>
      </c>
      <c r="H627" s="49" t="s">
        <v>30867</v>
      </c>
      <c r="I627" s="49" t="s">
        <v>30869</v>
      </c>
      <c r="J627" s="49" t="s">
        <v>30883</v>
      </c>
      <c r="K627" s="49" t="s">
        <v>30885</v>
      </c>
      <c r="L627" s="49" t="s">
        <v>15092</v>
      </c>
      <c r="M627" s="49" t="s">
        <v>15093</v>
      </c>
      <c r="N627" s="49" t="s">
        <v>15094</v>
      </c>
      <c r="O627" s="49" t="s">
        <v>37914</v>
      </c>
      <c r="P627" s="49" t="s">
        <v>37918</v>
      </c>
      <c r="Q627" s="49" t="s">
        <v>37922</v>
      </c>
      <c r="R627" s="49" t="s">
        <v>37926</v>
      </c>
      <c r="S627" s="49" t="s">
        <v>37930</v>
      </c>
      <c r="T627" s="49" t="s">
        <v>37934</v>
      </c>
    </row>
    <row r="628" spans="1:21" x14ac:dyDescent="0.2">
      <c r="A628" s="49" t="s">
        <v>30</v>
      </c>
      <c r="D628" s="49" t="s">
        <v>36583</v>
      </c>
      <c r="G628" s="49" t="s">
        <v>18837</v>
      </c>
      <c r="H628" s="49" t="s">
        <v>37909</v>
      </c>
      <c r="I628" s="49" t="s">
        <v>37911</v>
      </c>
      <c r="J628" s="49" t="s">
        <v>37937</v>
      </c>
      <c r="K628" s="49" t="s">
        <v>37939</v>
      </c>
      <c r="L628" s="49" t="s">
        <v>36584</v>
      </c>
      <c r="M628" s="49" t="s">
        <v>36585</v>
      </c>
      <c r="N628" s="49" t="s">
        <v>36586</v>
      </c>
      <c r="O628" s="49" t="s">
        <v>37915</v>
      </c>
      <c r="P628" s="49" t="s">
        <v>37919</v>
      </c>
      <c r="Q628" s="49" t="s">
        <v>37923</v>
      </c>
      <c r="R628" s="49" t="s">
        <v>37927</v>
      </c>
      <c r="S628" s="49" t="s">
        <v>37931</v>
      </c>
      <c r="T628" s="49" t="s">
        <v>37935</v>
      </c>
    </row>
    <row r="629" spans="1:21" x14ac:dyDescent="0.2">
      <c r="A629" s="49" t="s">
        <v>30</v>
      </c>
      <c r="D629" s="49" t="s">
        <v>36587</v>
      </c>
      <c r="G629" s="49" t="s">
        <v>18842</v>
      </c>
      <c r="H629" s="49" t="s">
        <v>37910</v>
      </c>
      <c r="I629" s="49" t="s">
        <v>37912</v>
      </c>
      <c r="J629" s="49" t="s">
        <v>37938</v>
      </c>
      <c r="K629" s="49" t="s">
        <v>37940</v>
      </c>
      <c r="L629" s="49" t="s">
        <v>36588</v>
      </c>
      <c r="M629" s="49" t="s">
        <v>36589</v>
      </c>
      <c r="N629" s="49" t="s">
        <v>36590</v>
      </c>
      <c r="O629" s="49" t="s">
        <v>37916</v>
      </c>
      <c r="P629" s="49" t="s">
        <v>37920</v>
      </c>
      <c r="Q629" s="49" t="s">
        <v>37924</v>
      </c>
      <c r="R629" s="49" t="s">
        <v>37928</v>
      </c>
      <c r="S629" s="49" t="s">
        <v>37932</v>
      </c>
      <c r="T629" s="49" t="s">
        <v>37936</v>
      </c>
    </row>
    <row r="630" spans="1:21" x14ac:dyDescent="0.2">
      <c r="A630" s="49" t="s">
        <v>30</v>
      </c>
      <c r="D630" s="49" t="s">
        <v>6245</v>
      </c>
      <c r="G630" s="49" t="s">
        <v>18852</v>
      </c>
      <c r="H630" s="49" t="s">
        <v>6246</v>
      </c>
      <c r="I630" s="49" t="s">
        <v>6247</v>
      </c>
      <c r="J630" s="49" t="s">
        <v>6248</v>
      </c>
      <c r="K630" s="49" t="s">
        <v>6249</v>
      </c>
      <c r="L630" s="49" t="s">
        <v>6250</v>
      </c>
      <c r="M630" s="49" t="s">
        <v>6251</v>
      </c>
      <c r="N630" s="49" t="s">
        <v>6252</v>
      </c>
      <c r="O630" s="49" t="s">
        <v>34176</v>
      </c>
      <c r="P630" s="49" t="s">
        <v>34177</v>
      </c>
      <c r="Q630" s="49" t="s">
        <v>34178</v>
      </c>
      <c r="R630" s="49" t="s">
        <v>34179</v>
      </c>
      <c r="S630" s="49" t="s">
        <v>34180</v>
      </c>
      <c r="T630" s="49" t="s">
        <v>34181</v>
      </c>
    </row>
    <row r="631" spans="1:21" x14ac:dyDescent="0.2">
      <c r="A631" s="49" t="s">
        <v>30</v>
      </c>
      <c r="D631" s="49" t="s">
        <v>6253</v>
      </c>
      <c r="G631" s="49" t="s">
        <v>18867</v>
      </c>
      <c r="H631" s="49" t="s">
        <v>6254</v>
      </c>
      <c r="I631" s="49" t="s">
        <v>6255</v>
      </c>
      <c r="J631" s="49" t="s">
        <v>6256</v>
      </c>
      <c r="K631" s="49" t="s">
        <v>6257</v>
      </c>
      <c r="L631" s="49" t="s">
        <v>6258</v>
      </c>
      <c r="M631" s="49" t="s">
        <v>6259</v>
      </c>
      <c r="N631" s="49" t="s">
        <v>6260</v>
      </c>
      <c r="O631" s="49" t="s">
        <v>34182</v>
      </c>
      <c r="P631" s="49" t="s">
        <v>34183</v>
      </c>
      <c r="Q631" s="49" t="s">
        <v>34184</v>
      </c>
      <c r="R631" s="49" t="s">
        <v>34185</v>
      </c>
      <c r="S631" s="49" t="s">
        <v>34186</v>
      </c>
      <c r="T631" s="49" t="s">
        <v>34187</v>
      </c>
    </row>
    <row r="632" spans="1:21" x14ac:dyDescent="0.2">
      <c r="A632" s="49" t="s">
        <v>30</v>
      </c>
    </row>
    <row r="633" spans="1:21" x14ac:dyDescent="0.2">
      <c r="A633" s="49" t="s">
        <v>30</v>
      </c>
      <c r="E633" s="49" t="s">
        <v>31</v>
      </c>
      <c r="F633" s="49" t="s">
        <v>31</v>
      </c>
      <c r="G633" s="49" t="s">
        <v>31</v>
      </c>
      <c r="J633" s="49" t="s">
        <v>31</v>
      </c>
      <c r="K633" s="49" t="s">
        <v>31</v>
      </c>
      <c r="L633" s="49" t="s">
        <v>31</v>
      </c>
      <c r="M633" s="49" t="s">
        <v>31</v>
      </c>
    </row>
    <row r="634" spans="1:21" x14ac:dyDescent="0.2">
      <c r="A634" s="49" t="s">
        <v>30</v>
      </c>
      <c r="D634" s="49" t="s">
        <v>34188</v>
      </c>
      <c r="E634" s="49" t="s">
        <v>8077</v>
      </c>
      <c r="F634" s="49" t="s">
        <v>34189</v>
      </c>
      <c r="H634" s="49" t="s">
        <v>34190</v>
      </c>
      <c r="O634" s="49" t="s">
        <v>36591</v>
      </c>
      <c r="P634" s="49" t="s">
        <v>36592</v>
      </c>
      <c r="Q634" s="49" t="s">
        <v>36593</v>
      </c>
      <c r="R634" s="49" t="s">
        <v>36594</v>
      </c>
      <c r="S634" s="49" t="s">
        <v>36595</v>
      </c>
      <c r="T634" s="49" t="s">
        <v>36596</v>
      </c>
      <c r="U634" s="49" t="s">
        <v>36597</v>
      </c>
    </row>
    <row r="635" spans="1:21" x14ac:dyDescent="0.2">
      <c r="A635" s="49" t="s">
        <v>30</v>
      </c>
      <c r="D635" s="49" t="s">
        <v>6309</v>
      </c>
      <c r="G635" s="49" t="s">
        <v>34198</v>
      </c>
      <c r="H635" s="49" t="s">
        <v>6310</v>
      </c>
      <c r="I635" s="49" t="s">
        <v>6311</v>
      </c>
      <c r="J635" s="49" t="s">
        <v>6312</v>
      </c>
      <c r="K635" s="49" t="s">
        <v>6313</v>
      </c>
      <c r="L635" s="49" t="s">
        <v>6314</v>
      </c>
      <c r="M635" s="49" t="s">
        <v>6315</v>
      </c>
      <c r="N635" s="49" t="s">
        <v>6316</v>
      </c>
      <c r="O635" s="49" t="s">
        <v>34270</v>
      </c>
      <c r="P635" s="49" t="s">
        <v>34273</v>
      </c>
      <c r="Q635" s="49" t="s">
        <v>34276</v>
      </c>
      <c r="R635" s="49" t="s">
        <v>34279</v>
      </c>
      <c r="S635" s="49" t="s">
        <v>34282</v>
      </c>
      <c r="T635" s="49" t="s">
        <v>34285</v>
      </c>
    </row>
    <row r="636" spans="1:21" x14ac:dyDescent="0.2">
      <c r="A636" s="49" t="s">
        <v>30</v>
      </c>
      <c r="D636" s="49" t="s">
        <v>6323</v>
      </c>
      <c r="G636" s="49" t="s">
        <v>18947</v>
      </c>
      <c r="H636" s="49" t="s">
        <v>6324</v>
      </c>
      <c r="I636" s="49" t="s">
        <v>6325</v>
      </c>
      <c r="J636" s="49" t="s">
        <v>6326</v>
      </c>
      <c r="K636" s="49" t="s">
        <v>6327</v>
      </c>
      <c r="L636" s="49" t="s">
        <v>6328</v>
      </c>
      <c r="M636" s="49" t="s">
        <v>6329</v>
      </c>
      <c r="N636" s="49" t="s">
        <v>6330</v>
      </c>
      <c r="O636" s="49" t="s">
        <v>34271</v>
      </c>
      <c r="P636" s="49" t="s">
        <v>34274</v>
      </c>
      <c r="Q636" s="49" t="s">
        <v>34277</v>
      </c>
      <c r="R636" s="49" t="s">
        <v>34280</v>
      </c>
      <c r="S636" s="49" t="s">
        <v>34283</v>
      </c>
      <c r="T636" s="49" t="s">
        <v>34286</v>
      </c>
    </row>
    <row r="637" spans="1:21" x14ac:dyDescent="0.2">
      <c r="A637" s="49" t="s">
        <v>30</v>
      </c>
      <c r="D637" s="49" t="s">
        <v>6337</v>
      </c>
      <c r="G637" s="49" t="s">
        <v>18952</v>
      </c>
      <c r="H637" s="49" t="s">
        <v>6338</v>
      </c>
      <c r="I637" s="49" t="s">
        <v>6339</v>
      </c>
      <c r="J637" s="49" t="s">
        <v>6340</v>
      </c>
      <c r="K637" s="49" t="s">
        <v>6341</v>
      </c>
      <c r="L637" s="49" t="s">
        <v>6342</v>
      </c>
      <c r="M637" s="49" t="s">
        <v>6343</v>
      </c>
      <c r="N637" s="49" t="s">
        <v>6344</v>
      </c>
      <c r="O637" s="49" t="s">
        <v>34272</v>
      </c>
      <c r="P637" s="49" t="s">
        <v>34275</v>
      </c>
      <c r="Q637" s="49" t="s">
        <v>34278</v>
      </c>
      <c r="R637" s="49" t="s">
        <v>34281</v>
      </c>
      <c r="S637" s="49" t="s">
        <v>34284</v>
      </c>
      <c r="T637" s="49" t="s">
        <v>34287</v>
      </c>
    </row>
    <row r="638" spans="1:21" x14ac:dyDescent="0.2">
      <c r="A638" s="49" t="s">
        <v>30</v>
      </c>
      <c r="D638" s="49" t="s">
        <v>11208</v>
      </c>
      <c r="G638" s="49" t="s">
        <v>18962</v>
      </c>
      <c r="H638" s="49" t="s">
        <v>12290</v>
      </c>
      <c r="I638" s="49" t="s">
        <v>12293</v>
      </c>
      <c r="J638" s="49" t="s">
        <v>12308</v>
      </c>
      <c r="K638" s="49" t="s">
        <v>12311</v>
      </c>
      <c r="L638" s="49" t="s">
        <v>11209</v>
      </c>
      <c r="M638" s="49" t="s">
        <v>11210</v>
      </c>
      <c r="N638" s="49" t="s">
        <v>11211</v>
      </c>
      <c r="O638" s="49" t="s">
        <v>37891</v>
      </c>
      <c r="P638" s="49" t="s">
        <v>37894</v>
      </c>
      <c r="Q638" s="49" t="s">
        <v>37897</v>
      </c>
      <c r="R638" s="49" t="s">
        <v>37900</v>
      </c>
      <c r="S638" s="49" t="s">
        <v>37903</v>
      </c>
      <c r="T638" s="49" t="s">
        <v>37906</v>
      </c>
    </row>
    <row r="639" spans="1:21" x14ac:dyDescent="0.2">
      <c r="A639" s="49" t="s">
        <v>30</v>
      </c>
      <c r="D639" s="49" t="s">
        <v>11212</v>
      </c>
      <c r="G639" s="49" t="s">
        <v>18977</v>
      </c>
      <c r="H639" s="49" t="s">
        <v>12291</v>
      </c>
      <c r="I639" s="49" t="s">
        <v>12294</v>
      </c>
      <c r="J639" s="49" t="s">
        <v>12309</v>
      </c>
      <c r="K639" s="49" t="s">
        <v>12312</v>
      </c>
      <c r="L639" s="49" t="s">
        <v>11213</v>
      </c>
      <c r="M639" s="49" t="s">
        <v>11214</v>
      </c>
      <c r="N639" s="49" t="s">
        <v>11215</v>
      </c>
      <c r="O639" s="49" t="s">
        <v>37892</v>
      </c>
      <c r="P639" s="49" t="s">
        <v>37895</v>
      </c>
      <c r="Q639" s="49" t="s">
        <v>37898</v>
      </c>
      <c r="R639" s="49" t="s">
        <v>37901</v>
      </c>
      <c r="S639" s="49" t="s">
        <v>37904</v>
      </c>
      <c r="T639" s="49" t="s">
        <v>37907</v>
      </c>
    </row>
    <row r="640" spans="1:21" x14ac:dyDescent="0.2">
      <c r="A640" s="49" t="s">
        <v>30</v>
      </c>
      <c r="D640" s="49" t="s">
        <v>11216</v>
      </c>
      <c r="G640" s="49" t="s">
        <v>18982</v>
      </c>
      <c r="H640" s="49" t="s">
        <v>12292</v>
      </c>
      <c r="I640" s="49" t="s">
        <v>12295</v>
      </c>
      <c r="J640" s="49" t="s">
        <v>12310</v>
      </c>
      <c r="K640" s="49" t="s">
        <v>12313</v>
      </c>
      <c r="L640" s="49" t="s">
        <v>11217</v>
      </c>
      <c r="M640" s="49" t="s">
        <v>11218</v>
      </c>
      <c r="N640" s="49" t="s">
        <v>11219</v>
      </c>
      <c r="O640" s="49" t="s">
        <v>37893</v>
      </c>
      <c r="P640" s="49" t="s">
        <v>37896</v>
      </c>
      <c r="Q640" s="49" t="s">
        <v>37899</v>
      </c>
      <c r="R640" s="49" t="s">
        <v>37902</v>
      </c>
      <c r="S640" s="49" t="s">
        <v>37905</v>
      </c>
      <c r="T640" s="49" t="s">
        <v>37908</v>
      </c>
    </row>
    <row r="641" spans="1:21" x14ac:dyDescent="0.2">
      <c r="A641" s="49" t="s">
        <v>30</v>
      </c>
    </row>
    <row r="642" spans="1:21" x14ac:dyDescent="0.2">
      <c r="A642" s="49" t="s">
        <v>30</v>
      </c>
      <c r="E642" s="49" t="s">
        <v>31</v>
      </c>
      <c r="F642" s="49" t="s">
        <v>31</v>
      </c>
      <c r="G642" s="49" t="s">
        <v>31</v>
      </c>
      <c r="J642" s="49" t="s">
        <v>31</v>
      </c>
      <c r="K642" s="49" t="s">
        <v>31</v>
      </c>
      <c r="L642" s="49" t="s">
        <v>31</v>
      </c>
      <c r="M642" s="49" t="s">
        <v>31</v>
      </c>
    </row>
    <row r="643" spans="1:21" x14ac:dyDescent="0.2">
      <c r="A643" s="49" t="s">
        <v>30</v>
      </c>
      <c r="D643" s="49" t="s">
        <v>36598</v>
      </c>
      <c r="E643" s="49" t="s">
        <v>8162</v>
      </c>
      <c r="F643" s="49" t="s">
        <v>36599</v>
      </c>
      <c r="H643" s="49" t="s">
        <v>36600</v>
      </c>
      <c r="O643" s="49" t="s">
        <v>36601</v>
      </c>
      <c r="P643" s="49" t="s">
        <v>36602</v>
      </c>
      <c r="Q643" s="49" t="s">
        <v>36603</v>
      </c>
      <c r="R643" s="49" t="s">
        <v>36604</v>
      </c>
      <c r="S643" s="49" t="s">
        <v>36605</v>
      </c>
      <c r="T643" s="49" t="s">
        <v>36606</v>
      </c>
      <c r="U643" s="49" t="s">
        <v>36607</v>
      </c>
    </row>
    <row r="644" spans="1:21" x14ac:dyDescent="0.2">
      <c r="A644" s="49" t="s">
        <v>30</v>
      </c>
      <c r="D644" s="49" t="s">
        <v>15129</v>
      </c>
      <c r="G644" s="49" t="s">
        <v>36608</v>
      </c>
      <c r="H644" s="49" t="s">
        <v>30837</v>
      </c>
      <c r="I644" s="49" t="s">
        <v>30840</v>
      </c>
      <c r="J644" s="49" t="s">
        <v>30861</v>
      </c>
      <c r="K644" s="49" t="s">
        <v>30864</v>
      </c>
      <c r="L644" s="49" t="s">
        <v>15131</v>
      </c>
      <c r="M644" s="49" t="s">
        <v>15132</v>
      </c>
      <c r="N644" s="49" t="s">
        <v>15133</v>
      </c>
      <c r="O644" s="49" t="s">
        <v>37873</v>
      </c>
      <c r="P644" s="49" t="s">
        <v>37876</v>
      </c>
      <c r="Q644" s="49" t="s">
        <v>37879</v>
      </c>
      <c r="R644" s="49" t="s">
        <v>37882</v>
      </c>
      <c r="S644" s="49" t="s">
        <v>37885</v>
      </c>
      <c r="T644" s="49" t="s">
        <v>37888</v>
      </c>
    </row>
    <row r="645" spans="1:21" x14ac:dyDescent="0.2">
      <c r="A645" s="49" t="s">
        <v>30</v>
      </c>
      <c r="D645" s="49" t="s">
        <v>15134</v>
      </c>
      <c r="G645" s="49" t="s">
        <v>19047</v>
      </c>
      <c r="H645" s="49" t="s">
        <v>30838</v>
      </c>
      <c r="I645" s="49" t="s">
        <v>30841</v>
      </c>
      <c r="J645" s="49" t="s">
        <v>30862</v>
      </c>
      <c r="K645" s="49" t="s">
        <v>30865</v>
      </c>
      <c r="L645" s="49" t="s">
        <v>15136</v>
      </c>
      <c r="M645" s="49" t="s">
        <v>15137</v>
      </c>
      <c r="N645" s="49" t="s">
        <v>15138</v>
      </c>
      <c r="O645" s="49" t="s">
        <v>37874</v>
      </c>
      <c r="P645" s="49" t="s">
        <v>37877</v>
      </c>
      <c r="Q645" s="49" t="s">
        <v>37880</v>
      </c>
      <c r="R645" s="49" t="s">
        <v>37883</v>
      </c>
      <c r="S645" s="49" t="s">
        <v>37886</v>
      </c>
      <c r="T645" s="49" t="s">
        <v>37889</v>
      </c>
    </row>
    <row r="646" spans="1:21" x14ac:dyDescent="0.2">
      <c r="A646" s="49" t="s">
        <v>30</v>
      </c>
      <c r="D646" s="49" t="s">
        <v>6368</v>
      </c>
      <c r="G646" s="49" t="s">
        <v>19052</v>
      </c>
      <c r="H646" s="49" t="s">
        <v>6369</v>
      </c>
      <c r="I646" s="49" t="s">
        <v>6370</v>
      </c>
      <c r="J646" s="49" t="s">
        <v>6371</v>
      </c>
      <c r="K646" s="49" t="s">
        <v>6372</v>
      </c>
      <c r="L646" s="49" t="s">
        <v>6373</v>
      </c>
      <c r="M646" s="49" t="s">
        <v>6374</v>
      </c>
      <c r="N646" s="49" t="s">
        <v>6375</v>
      </c>
      <c r="O646" s="49" t="s">
        <v>37875</v>
      </c>
      <c r="P646" s="49" t="s">
        <v>37878</v>
      </c>
      <c r="Q646" s="49" t="s">
        <v>37881</v>
      </c>
      <c r="R646" s="49" t="s">
        <v>37884</v>
      </c>
      <c r="S646" s="49" t="s">
        <v>37887</v>
      </c>
      <c r="T646" s="49" t="s">
        <v>37890</v>
      </c>
    </row>
    <row r="647" spans="1:21" x14ac:dyDescent="0.2">
      <c r="A647" s="49" t="s">
        <v>30</v>
      </c>
      <c r="D647" s="49" t="s">
        <v>6382</v>
      </c>
      <c r="G647" s="49" t="s">
        <v>19062</v>
      </c>
      <c r="H647" s="49" t="s">
        <v>6383</v>
      </c>
      <c r="I647" s="49" t="s">
        <v>6384</v>
      </c>
      <c r="J647" s="49" t="s">
        <v>6385</v>
      </c>
      <c r="K647" s="49" t="s">
        <v>6386</v>
      </c>
      <c r="L647" s="49" t="s">
        <v>6387</v>
      </c>
      <c r="M647" s="49" t="s">
        <v>6388</v>
      </c>
      <c r="N647" s="49" t="s">
        <v>6389</v>
      </c>
      <c r="O647" s="49" t="s">
        <v>34228</v>
      </c>
      <c r="P647" s="49" t="s">
        <v>34232</v>
      </c>
      <c r="Q647" s="49" t="s">
        <v>34236</v>
      </c>
      <c r="R647" s="49" t="s">
        <v>34240</v>
      </c>
      <c r="S647" s="49" t="s">
        <v>34244</v>
      </c>
      <c r="T647" s="49" t="s">
        <v>34248</v>
      </c>
    </row>
    <row r="648" spans="1:21" x14ac:dyDescent="0.2">
      <c r="A648" s="49" t="s">
        <v>30</v>
      </c>
    </row>
    <row r="649" spans="1:21" x14ac:dyDescent="0.2">
      <c r="A649" s="49" t="s">
        <v>30</v>
      </c>
      <c r="E649" s="49" t="s">
        <v>31</v>
      </c>
      <c r="F649" s="49" t="s">
        <v>31</v>
      </c>
      <c r="G649" s="49" t="s">
        <v>31</v>
      </c>
      <c r="J649" s="49" t="s">
        <v>31</v>
      </c>
      <c r="K649" s="49" t="s">
        <v>31</v>
      </c>
      <c r="L649" s="49" t="s">
        <v>31</v>
      </c>
      <c r="M649" s="49" t="s">
        <v>31</v>
      </c>
    </row>
    <row r="650" spans="1:21" x14ac:dyDescent="0.2">
      <c r="A650" s="49" t="s">
        <v>30</v>
      </c>
      <c r="D650" s="49" t="s">
        <v>36609</v>
      </c>
      <c r="E650" s="49" t="s">
        <v>8205</v>
      </c>
      <c r="F650" s="49" t="s">
        <v>36610</v>
      </c>
      <c r="H650" s="49" t="s">
        <v>36611</v>
      </c>
      <c r="O650" s="49" t="s">
        <v>36612</v>
      </c>
      <c r="P650" s="49" t="s">
        <v>36613</v>
      </c>
      <c r="Q650" s="49" t="s">
        <v>36614</v>
      </c>
      <c r="R650" s="49" t="s">
        <v>36615</v>
      </c>
      <c r="S650" s="49" t="s">
        <v>36616</v>
      </c>
      <c r="T650" s="49" t="s">
        <v>36617</v>
      </c>
      <c r="U650" s="49" t="s">
        <v>36618</v>
      </c>
    </row>
    <row r="651" spans="1:21" x14ac:dyDescent="0.2">
      <c r="A651" s="49" t="s">
        <v>30</v>
      </c>
      <c r="D651" s="49" t="s">
        <v>6438</v>
      </c>
      <c r="G651" s="49" t="s">
        <v>36619</v>
      </c>
      <c r="H651" s="49" t="s">
        <v>6439</v>
      </c>
      <c r="I651" s="49" t="s">
        <v>6440</v>
      </c>
      <c r="J651" s="49" t="s">
        <v>6441</v>
      </c>
      <c r="K651" s="49" t="s">
        <v>6442</v>
      </c>
      <c r="L651" s="49" t="s">
        <v>6443</v>
      </c>
      <c r="M651" s="49" t="s">
        <v>6444</v>
      </c>
      <c r="N651" s="49" t="s">
        <v>6445</v>
      </c>
      <c r="O651" s="49" t="s">
        <v>37837</v>
      </c>
      <c r="P651" s="49" t="s">
        <v>37843</v>
      </c>
      <c r="Q651" s="49" t="s">
        <v>37849</v>
      </c>
      <c r="R651" s="49" t="s">
        <v>37855</v>
      </c>
      <c r="S651" s="49" t="s">
        <v>37861</v>
      </c>
      <c r="T651" s="49" t="s">
        <v>37867</v>
      </c>
    </row>
    <row r="652" spans="1:21" x14ac:dyDescent="0.2">
      <c r="A652" s="49" t="s">
        <v>30</v>
      </c>
      <c r="D652" s="49" t="s">
        <v>11220</v>
      </c>
      <c r="G652" s="49" t="s">
        <v>19112</v>
      </c>
      <c r="H652" s="49" t="s">
        <v>12272</v>
      </c>
      <c r="I652" s="49" t="s">
        <v>12275</v>
      </c>
      <c r="J652" s="49" t="s">
        <v>12284</v>
      </c>
      <c r="K652" s="49" t="s">
        <v>12287</v>
      </c>
      <c r="L652" s="49" t="s">
        <v>11221</v>
      </c>
      <c r="M652" s="49" t="s">
        <v>11222</v>
      </c>
      <c r="N652" s="49" t="s">
        <v>11223</v>
      </c>
      <c r="O652" s="49" t="s">
        <v>37838</v>
      </c>
      <c r="P652" s="49" t="s">
        <v>37844</v>
      </c>
      <c r="Q652" s="49" t="s">
        <v>37850</v>
      </c>
      <c r="R652" s="49" t="s">
        <v>37856</v>
      </c>
      <c r="S652" s="49" t="s">
        <v>37862</v>
      </c>
      <c r="T652" s="49" t="s">
        <v>37868</v>
      </c>
    </row>
    <row r="653" spans="1:21" x14ac:dyDescent="0.2">
      <c r="A653" s="49" t="s">
        <v>30</v>
      </c>
      <c r="D653" s="49" t="s">
        <v>11224</v>
      </c>
      <c r="G653" s="49" t="s">
        <v>19117</v>
      </c>
      <c r="H653" s="49" t="s">
        <v>12273</v>
      </c>
      <c r="I653" s="49" t="s">
        <v>12276</v>
      </c>
      <c r="J653" s="49" t="s">
        <v>12285</v>
      </c>
      <c r="K653" s="49" t="s">
        <v>12288</v>
      </c>
      <c r="L653" s="49" t="s">
        <v>11225</v>
      </c>
      <c r="M653" s="49" t="s">
        <v>11226</v>
      </c>
      <c r="N653" s="49" t="s">
        <v>11227</v>
      </c>
      <c r="O653" s="49" t="s">
        <v>37839</v>
      </c>
      <c r="P653" s="49" t="s">
        <v>37845</v>
      </c>
      <c r="Q653" s="49" t="s">
        <v>37851</v>
      </c>
      <c r="R653" s="49" t="s">
        <v>37857</v>
      </c>
      <c r="S653" s="49" t="s">
        <v>37863</v>
      </c>
      <c r="T653" s="49" t="s">
        <v>37869</v>
      </c>
    </row>
    <row r="654" spans="1:21" x14ac:dyDescent="0.2">
      <c r="A654" s="49" t="s">
        <v>30</v>
      </c>
      <c r="D654" s="49" t="s">
        <v>11228</v>
      </c>
      <c r="G654" s="49" t="s">
        <v>19122</v>
      </c>
      <c r="H654" s="49" t="s">
        <v>12274</v>
      </c>
      <c r="I654" s="49" t="s">
        <v>12277</v>
      </c>
      <c r="J654" s="49" t="s">
        <v>12286</v>
      </c>
      <c r="K654" s="49" t="s">
        <v>12289</v>
      </c>
      <c r="L654" s="49" t="s">
        <v>11229</v>
      </c>
      <c r="M654" s="49" t="s">
        <v>11230</v>
      </c>
      <c r="N654" s="49" t="s">
        <v>11231</v>
      </c>
      <c r="O654" s="49" t="s">
        <v>37840</v>
      </c>
      <c r="P654" s="49" t="s">
        <v>37846</v>
      </c>
      <c r="Q654" s="49" t="s">
        <v>37852</v>
      </c>
      <c r="R654" s="49" t="s">
        <v>37858</v>
      </c>
      <c r="S654" s="49" t="s">
        <v>37864</v>
      </c>
      <c r="T654" s="49" t="s">
        <v>37870</v>
      </c>
    </row>
    <row r="655" spans="1:21" x14ac:dyDescent="0.2">
      <c r="A655" s="49" t="s">
        <v>30</v>
      </c>
      <c r="D655" s="49" t="s">
        <v>6447</v>
      </c>
      <c r="G655" s="49" t="s">
        <v>19127</v>
      </c>
      <c r="H655" s="49" t="s">
        <v>6448</v>
      </c>
      <c r="I655" s="49" t="s">
        <v>6449</v>
      </c>
      <c r="J655" s="49" t="s">
        <v>6450</v>
      </c>
      <c r="K655" s="49" t="s">
        <v>6451</v>
      </c>
      <c r="L655" s="49" t="s">
        <v>6452</v>
      </c>
      <c r="M655" s="49" t="s">
        <v>6453</v>
      </c>
      <c r="N655" s="49" t="s">
        <v>6454</v>
      </c>
      <c r="O655" s="49" t="s">
        <v>37841</v>
      </c>
      <c r="P655" s="49" t="s">
        <v>37847</v>
      </c>
      <c r="Q655" s="49" t="s">
        <v>37853</v>
      </c>
      <c r="R655" s="49" t="s">
        <v>37859</v>
      </c>
      <c r="S655" s="49" t="s">
        <v>37865</v>
      </c>
      <c r="T655" s="49" t="s">
        <v>37871</v>
      </c>
    </row>
    <row r="656" spans="1:21" x14ac:dyDescent="0.2">
      <c r="A656" s="49" t="s">
        <v>30</v>
      </c>
      <c r="D656" s="49" t="s">
        <v>6461</v>
      </c>
      <c r="G656" s="49" t="s">
        <v>19132</v>
      </c>
      <c r="H656" s="49" t="s">
        <v>6462</v>
      </c>
      <c r="I656" s="49" t="s">
        <v>6463</v>
      </c>
      <c r="J656" s="49" t="s">
        <v>6464</v>
      </c>
      <c r="K656" s="49" t="s">
        <v>6465</v>
      </c>
      <c r="L656" s="49" t="s">
        <v>6466</v>
      </c>
      <c r="M656" s="49" t="s">
        <v>6467</v>
      </c>
      <c r="N656" s="49" t="s">
        <v>6468</v>
      </c>
      <c r="O656" s="49" t="s">
        <v>37842</v>
      </c>
      <c r="P656" s="49" t="s">
        <v>37848</v>
      </c>
      <c r="Q656" s="49" t="s">
        <v>37854</v>
      </c>
      <c r="R656" s="49" t="s">
        <v>37860</v>
      </c>
      <c r="S656" s="49" t="s">
        <v>37866</v>
      </c>
      <c r="T656" s="49" t="s">
        <v>37872</v>
      </c>
    </row>
    <row r="657" spans="1:21" x14ac:dyDescent="0.2">
      <c r="A657" s="49" t="s">
        <v>30</v>
      </c>
    </row>
    <row r="658" spans="1:21" x14ac:dyDescent="0.2">
      <c r="A658" s="49" t="s">
        <v>30</v>
      </c>
      <c r="E658" s="49" t="s">
        <v>31</v>
      </c>
      <c r="F658" s="49" t="s">
        <v>31</v>
      </c>
      <c r="G658" s="49" t="s">
        <v>31</v>
      </c>
      <c r="J658" s="49" t="s">
        <v>31</v>
      </c>
      <c r="K658" s="49" t="s">
        <v>31</v>
      </c>
      <c r="L658" s="49" t="s">
        <v>31</v>
      </c>
      <c r="M658" s="49" t="s">
        <v>31</v>
      </c>
    </row>
    <row r="659" spans="1:21" x14ac:dyDescent="0.2">
      <c r="A659" s="49" t="s">
        <v>30</v>
      </c>
      <c r="D659" s="49" t="s">
        <v>36620</v>
      </c>
      <c r="E659" s="49" t="s">
        <v>8262</v>
      </c>
      <c r="F659" s="49" t="s">
        <v>36621</v>
      </c>
      <c r="H659" s="49" t="s">
        <v>36622</v>
      </c>
      <c r="O659" s="49" t="s">
        <v>36623</v>
      </c>
      <c r="P659" s="49" t="s">
        <v>36624</v>
      </c>
      <c r="Q659" s="49" t="s">
        <v>36625</v>
      </c>
      <c r="R659" s="49" t="s">
        <v>36626</v>
      </c>
      <c r="S659" s="49" t="s">
        <v>36627</v>
      </c>
      <c r="T659" s="49" t="s">
        <v>36628</v>
      </c>
      <c r="U659" s="49" t="s">
        <v>36629</v>
      </c>
    </row>
    <row r="660" spans="1:21" x14ac:dyDescent="0.2">
      <c r="A660" s="49" t="s">
        <v>30</v>
      </c>
      <c r="D660" s="49" t="s">
        <v>6517</v>
      </c>
      <c r="G660" s="49" t="s">
        <v>36630</v>
      </c>
      <c r="H660" s="49" t="s">
        <v>6518</v>
      </c>
      <c r="I660" s="49" t="s">
        <v>6519</v>
      </c>
      <c r="J660" s="49" t="s">
        <v>6520</v>
      </c>
      <c r="K660" s="49" t="s">
        <v>6521</v>
      </c>
      <c r="L660" s="49" t="s">
        <v>6522</v>
      </c>
      <c r="M660" s="49" t="s">
        <v>6523</v>
      </c>
      <c r="N660" s="49" t="s">
        <v>6524</v>
      </c>
      <c r="O660" s="49" t="s">
        <v>37795</v>
      </c>
      <c r="P660" s="49" t="s">
        <v>37802</v>
      </c>
      <c r="Q660" s="49" t="s">
        <v>37809</v>
      </c>
      <c r="R660" s="49" t="s">
        <v>37816</v>
      </c>
      <c r="S660" s="49" t="s">
        <v>37823</v>
      </c>
      <c r="T660" s="49" t="s">
        <v>37830</v>
      </c>
    </row>
    <row r="661" spans="1:21" x14ac:dyDescent="0.2">
      <c r="A661" s="49" t="s">
        <v>30</v>
      </c>
      <c r="D661" s="49" t="s">
        <v>15161</v>
      </c>
      <c r="G661" s="49" t="s">
        <v>19182</v>
      </c>
      <c r="H661" s="49" t="s">
        <v>30806</v>
      </c>
      <c r="I661" s="49" t="s">
        <v>30809</v>
      </c>
      <c r="J661" s="49" t="s">
        <v>30830</v>
      </c>
      <c r="K661" s="49" t="s">
        <v>30833</v>
      </c>
      <c r="L661" s="49" t="s">
        <v>15163</v>
      </c>
      <c r="M661" s="49" t="s">
        <v>15164</v>
      </c>
      <c r="N661" s="49" t="s">
        <v>15165</v>
      </c>
      <c r="O661" s="49" t="s">
        <v>37796</v>
      </c>
      <c r="P661" s="49" t="s">
        <v>37803</v>
      </c>
      <c r="Q661" s="49" t="s">
        <v>37810</v>
      </c>
      <c r="R661" s="49" t="s">
        <v>37817</v>
      </c>
      <c r="S661" s="49" t="s">
        <v>37824</v>
      </c>
      <c r="T661" s="49" t="s">
        <v>37831</v>
      </c>
    </row>
    <row r="662" spans="1:21" x14ac:dyDescent="0.2">
      <c r="A662" s="49" t="s">
        <v>30</v>
      </c>
      <c r="D662" s="49" t="s">
        <v>15166</v>
      </c>
      <c r="G662" s="49" t="s">
        <v>19187</v>
      </c>
      <c r="H662" s="49" t="s">
        <v>30807</v>
      </c>
      <c r="I662" s="49" t="s">
        <v>30810</v>
      </c>
      <c r="J662" s="49" t="s">
        <v>30831</v>
      </c>
      <c r="K662" s="49" t="s">
        <v>30834</v>
      </c>
      <c r="L662" s="49" t="s">
        <v>15168</v>
      </c>
      <c r="M662" s="49" t="s">
        <v>15169</v>
      </c>
      <c r="N662" s="49" t="s">
        <v>15170</v>
      </c>
      <c r="O662" s="49" t="s">
        <v>37797</v>
      </c>
      <c r="P662" s="49" t="s">
        <v>37804</v>
      </c>
      <c r="Q662" s="49" t="s">
        <v>37811</v>
      </c>
      <c r="R662" s="49" t="s">
        <v>37818</v>
      </c>
      <c r="S662" s="49" t="s">
        <v>37825</v>
      </c>
      <c r="T662" s="49" t="s">
        <v>37832</v>
      </c>
    </row>
    <row r="663" spans="1:21" x14ac:dyDescent="0.2">
      <c r="A663" s="49" t="s">
        <v>30</v>
      </c>
      <c r="D663" s="49" t="s">
        <v>15171</v>
      </c>
      <c r="G663" s="49" t="s">
        <v>19192</v>
      </c>
      <c r="H663" s="49" t="s">
        <v>30808</v>
      </c>
      <c r="I663" s="49" t="s">
        <v>30811</v>
      </c>
      <c r="J663" s="49" t="s">
        <v>30832</v>
      </c>
      <c r="K663" s="49" t="s">
        <v>30835</v>
      </c>
      <c r="L663" s="49" t="s">
        <v>15173</v>
      </c>
      <c r="M663" s="49" t="s">
        <v>15174</v>
      </c>
      <c r="N663" s="49" t="s">
        <v>15175</v>
      </c>
      <c r="O663" s="49" t="s">
        <v>37798</v>
      </c>
      <c r="P663" s="49" t="s">
        <v>37805</v>
      </c>
      <c r="Q663" s="49" t="s">
        <v>37812</v>
      </c>
      <c r="R663" s="49" t="s">
        <v>37819</v>
      </c>
      <c r="S663" s="49" t="s">
        <v>37826</v>
      </c>
      <c r="T663" s="49" t="s">
        <v>37833</v>
      </c>
    </row>
    <row r="664" spans="1:21" x14ac:dyDescent="0.2">
      <c r="A664" s="49" t="s">
        <v>30</v>
      </c>
      <c r="D664" s="49" t="s">
        <v>6531</v>
      </c>
      <c r="G664" s="49" t="s">
        <v>19207</v>
      </c>
      <c r="H664" s="49" t="s">
        <v>6532</v>
      </c>
      <c r="I664" s="49" t="s">
        <v>6533</v>
      </c>
      <c r="J664" s="49" t="s">
        <v>6534</v>
      </c>
      <c r="K664" s="49" t="s">
        <v>6535</v>
      </c>
      <c r="L664" s="49" t="s">
        <v>6536</v>
      </c>
      <c r="M664" s="49" t="s">
        <v>6537</v>
      </c>
      <c r="N664" s="49" t="s">
        <v>6538</v>
      </c>
      <c r="O664" s="49" t="s">
        <v>37799</v>
      </c>
      <c r="P664" s="49" t="s">
        <v>37806</v>
      </c>
      <c r="Q664" s="49" t="s">
        <v>37813</v>
      </c>
      <c r="R664" s="49" t="s">
        <v>37820</v>
      </c>
      <c r="S664" s="49" t="s">
        <v>37827</v>
      </c>
      <c r="T664" s="49" t="s">
        <v>37834</v>
      </c>
    </row>
    <row r="665" spans="1:21" x14ac:dyDescent="0.2">
      <c r="A665" s="49" t="s">
        <v>30</v>
      </c>
      <c r="D665" s="49" t="s">
        <v>6545</v>
      </c>
      <c r="G665" s="49" t="s">
        <v>19217</v>
      </c>
      <c r="H665" s="49" t="s">
        <v>6546</v>
      </c>
      <c r="I665" s="49" t="s">
        <v>6547</v>
      </c>
      <c r="J665" s="49" t="s">
        <v>6548</v>
      </c>
      <c r="K665" s="49" t="s">
        <v>6549</v>
      </c>
      <c r="L665" s="49" t="s">
        <v>6550</v>
      </c>
      <c r="M665" s="49" t="s">
        <v>6551</v>
      </c>
      <c r="N665" s="49" t="s">
        <v>6552</v>
      </c>
      <c r="O665" s="49" t="s">
        <v>37800</v>
      </c>
      <c r="P665" s="49" t="s">
        <v>37807</v>
      </c>
      <c r="Q665" s="49" t="s">
        <v>37814</v>
      </c>
      <c r="R665" s="49" t="s">
        <v>37821</v>
      </c>
      <c r="S665" s="49" t="s">
        <v>37828</v>
      </c>
      <c r="T665" s="49" t="s">
        <v>37835</v>
      </c>
    </row>
    <row r="666" spans="1:21" x14ac:dyDescent="0.2">
      <c r="A666" s="49" t="s">
        <v>30</v>
      </c>
      <c r="D666" s="49" t="s">
        <v>6559</v>
      </c>
      <c r="G666" s="49" t="s">
        <v>19222</v>
      </c>
      <c r="H666" s="49" t="s">
        <v>6560</v>
      </c>
      <c r="I666" s="49" t="s">
        <v>6561</v>
      </c>
      <c r="J666" s="49" t="s">
        <v>6562</v>
      </c>
      <c r="K666" s="49" t="s">
        <v>6563</v>
      </c>
      <c r="L666" s="49" t="s">
        <v>6564</v>
      </c>
      <c r="M666" s="49" t="s">
        <v>6565</v>
      </c>
      <c r="N666" s="49" t="s">
        <v>6566</v>
      </c>
      <c r="O666" s="49" t="s">
        <v>37801</v>
      </c>
      <c r="P666" s="49" t="s">
        <v>37808</v>
      </c>
      <c r="Q666" s="49" t="s">
        <v>37815</v>
      </c>
      <c r="R666" s="49" t="s">
        <v>37822</v>
      </c>
      <c r="S666" s="49" t="s">
        <v>37829</v>
      </c>
      <c r="T666" s="49" t="s">
        <v>37836</v>
      </c>
    </row>
    <row r="667" spans="1:21" x14ac:dyDescent="0.2">
      <c r="A667" s="49" t="s">
        <v>30</v>
      </c>
    </row>
    <row r="668" spans="1:21" x14ac:dyDescent="0.2">
      <c r="A668" s="49" t="s">
        <v>30</v>
      </c>
      <c r="E668" s="49" t="s">
        <v>31</v>
      </c>
      <c r="F668" s="49" t="s">
        <v>31</v>
      </c>
      <c r="G668" s="49" t="s">
        <v>31</v>
      </c>
      <c r="J668" s="49" t="s">
        <v>31</v>
      </c>
      <c r="K668" s="49" t="s">
        <v>31</v>
      </c>
      <c r="L668" s="49" t="s">
        <v>31</v>
      </c>
      <c r="M668" s="49" t="s">
        <v>31</v>
      </c>
    </row>
    <row r="669" spans="1:21" x14ac:dyDescent="0.2">
      <c r="A669" s="49" t="s">
        <v>30</v>
      </c>
      <c r="D669" s="49" t="s">
        <v>36631</v>
      </c>
      <c r="E669" s="49" t="s">
        <v>8333</v>
      </c>
      <c r="F669" s="49" t="s">
        <v>36632</v>
      </c>
      <c r="H669" s="49" t="s">
        <v>36633</v>
      </c>
      <c r="O669" s="49" t="s">
        <v>36634</v>
      </c>
      <c r="P669" s="49" t="s">
        <v>36635</v>
      </c>
      <c r="Q669" s="49" t="s">
        <v>36636</v>
      </c>
      <c r="R669" s="49" t="s">
        <v>36637</v>
      </c>
      <c r="S669" s="49" t="s">
        <v>36638</v>
      </c>
      <c r="T669" s="49" t="s">
        <v>36639</v>
      </c>
      <c r="U669" s="49" t="s">
        <v>36640</v>
      </c>
    </row>
    <row r="670" spans="1:21" x14ac:dyDescent="0.2">
      <c r="A670" s="49" t="s">
        <v>30</v>
      </c>
      <c r="D670" s="49" t="s">
        <v>11236</v>
      </c>
      <c r="G670" s="49" t="s">
        <v>36641</v>
      </c>
      <c r="H670" s="49" t="s">
        <v>12255</v>
      </c>
      <c r="I670" s="49" t="s">
        <v>12258</v>
      </c>
      <c r="J670" s="49" t="s">
        <v>12267</v>
      </c>
      <c r="K670" s="49" t="s">
        <v>12270</v>
      </c>
      <c r="L670" s="49" t="s">
        <v>11237</v>
      </c>
      <c r="M670" s="49" t="s">
        <v>11238</v>
      </c>
      <c r="N670" s="49" t="s">
        <v>11239</v>
      </c>
      <c r="O670" s="49" t="s">
        <v>37747</v>
      </c>
      <c r="P670" s="49" t="s">
        <v>37755</v>
      </c>
      <c r="Q670" s="49" t="s">
        <v>37763</v>
      </c>
      <c r="R670" s="49" t="s">
        <v>37771</v>
      </c>
      <c r="S670" s="49" t="s">
        <v>37779</v>
      </c>
      <c r="T670" s="49" t="s">
        <v>37787</v>
      </c>
    </row>
    <row r="671" spans="1:21" x14ac:dyDescent="0.2">
      <c r="A671" s="49" t="s">
        <v>30</v>
      </c>
      <c r="D671" s="49" t="s">
        <v>11240</v>
      </c>
      <c r="G671" s="49" t="s">
        <v>19287</v>
      </c>
      <c r="H671" s="49" t="s">
        <v>12256</v>
      </c>
      <c r="I671" s="49" t="s">
        <v>12259</v>
      </c>
      <c r="J671" s="49" t="s">
        <v>12268</v>
      </c>
      <c r="K671" s="49" t="s">
        <v>12271</v>
      </c>
      <c r="L671" s="49" t="s">
        <v>11241</v>
      </c>
      <c r="M671" s="49" t="s">
        <v>11242</v>
      </c>
      <c r="N671" s="49" t="s">
        <v>11243</v>
      </c>
      <c r="O671" s="49" t="s">
        <v>37748</v>
      </c>
      <c r="P671" s="49" t="s">
        <v>37756</v>
      </c>
      <c r="Q671" s="49" t="s">
        <v>37764</v>
      </c>
      <c r="R671" s="49" t="s">
        <v>37772</v>
      </c>
      <c r="S671" s="49" t="s">
        <v>37780</v>
      </c>
      <c r="T671" s="49" t="s">
        <v>37788</v>
      </c>
    </row>
    <row r="672" spans="1:21" x14ac:dyDescent="0.2">
      <c r="A672" s="49" t="s">
        <v>30</v>
      </c>
      <c r="D672" s="49" t="s">
        <v>6602</v>
      </c>
      <c r="G672" s="49" t="s">
        <v>19292</v>
      </c>
      <c r="H672" s="49" t="s">
        <v>6603</v>
      </c>
      <c r="I672" s="49" t="s">
        <v>6604</v>
      </c>
      <c r="J672" s="49" t="s">
        <v>6605</v>
      </c>
      <c r="K672" s="49" t="s">
        <v>6606</v>
      </c>
      <c r="L672" s="49" t="s">
        <v>6607</v>
      </c>
      <c r="M672" s="49" t="s">
        <v>6608</v>
      </c>
      <c r="N672" s="49" t="s">
        <v>6609</v>
      </c>
      <c r="O672" s="49" t="s">
        <v>37749</v>
      </c>
      <c r="P672" s="49" t="s">
        <v>37757</v>
      </c>
      <c r="Q672" s="49" t="s">
        <v>37765</v>
      </c>
      <c r="R672" s="49" t="s">
        <v>37773</v>
      </c>
      <c r="S672" s="49" t="s">
        <v>37781</v>
      </c>
      <c r="T672" s="49" t="s">
        <v>37789</v>
      </c>
    </row>
    <row r="673" spans="1:21" x14ac:dyDescent="0.2">
      <c r="A673" s="49" t="s">
        <v>30</v>
      </c>
      <c r="D673" s="49" t="s">
        <v>6610</v>
      </c>
      <c r="G673" s="49" t="s">
        <v>19302</v>
      </c>
      <c r="H673" s="49" t="s">
        <v>6611</v>
      </c>
      <c r="I673" s="49" t="s">
        <v>6612</v>
      </c>
      <c r="J673" s="49" t="s">
        <v>6613</v>
      </c>
      <c r="K673" s="49" t="s">
        <v>6614</v>
      </c>
      <c r="L673" s="49" t="s">
        <v>6615</v>
      </c>
      <c r="M673" s="49" t="s">
        <v>6616</v>
      </c>
      <c r="N673" s="49" t="s">
        <v>6617</v>
      </c>
      <c r="O673" s="49" t="s">
        <v>37750</v>
      </c>
      <c r="P673" s="49" t="s">
        <v>37758</v>
      </c>
      <c r="Q673" s="49" t="s">
        <v>37766</v>
      </c>
      <c r="R673" s="49" t="s">
        <v>37774</v>
      </c>
      <c r="S673" s="49" t="s">
        <v>37782</v>
      </c>
      <c r="T673" s="49" t="s">
        <v>37790</v>
      </c>
    </row>
    <row r="674" spans="1:21" x14ac:dyDescent="0.2">
      <c r="A674" s="49" t="s">
        <v>30</v>
      </c>
      <c r="D674" s="49" t="s">
        <v>15193</v>
      </c>
      <c r="G674" s="49" t="s">
        <v>19312</v>
      </c>
      <c r="H674" s="49" t="s">
        <v>30776</v>
      </c>
      <c r="I674" s="49" t="s">
        <v>30779</v>
      </c>
      <c r="J674" s="49" t="s">
        <v>30800</v>
      </c>
      <c r="K674" s="49" t="s">
        <v>30803</v>
      </c>
      <c r="L674" s="49" t="s">
        <v>15195</v>
      </c>
      <c r="M674" s="49" t="s">
        <v>15196</v>
      </c>
      <c r="N674" s="49" t="s">
        <v>15197</v>
      </c>
      <c r="O674" s="49" t="s">
        <v>37751</v>
      </c>
      <c r="P674" s="49" t="s">
        <v>37759</v>
      </c>
      <c r="Q674" s="49" t="s">
        <v>37767</v>
      </c>
      <c r="R674" s="49" t="s">
        <v>37775</v>
      </c>
      <c r="S674" s="49" t="s">
        <v>37783</v>
      </c>
      <c r="T674" s="49" t="s">
        <v>37791</v>
      </c>
    </row>
    <row r="675" spans="1:21" x14ac:dyDescent="0.2">
      <c r="A675" s="49" t="s">
        <v>30</v>
      </c>
      <c r="D675" s="49" t="s">
        <v>15198</v>
      </c>
      <c r="G675" s="49" t="s">
        <v>19317</v>
      </c>
      <c r="H675" s="49" t="s">
        <v>30777</v>
      </c>
      <c r="I675" s="49" t="s">
        <v>30780</v>
      </c>
      <c r="J675" s="49" t="s">
        <v>30801</v>
      </c>
      <c r="K675" s="49" t="s">
        <v>30804</v>
      </c>
      <c r="L675" s="49" t="s">
        <v>15200</v>
      </c>
      <c r="M675" s="49" t="s">
        <v>15201</v>
      </c>
      <c r="N675" s="49" t="s">
        <v>15202</v>
      </c>
      <c r="O675" s="49" t="s">
        <v>37752</v>
      </c>
      <c r="P675" s="49" t="s">
        <v>37760</v>
      </c>
      <c r="Q675" s="49" t="s">
        <v>37768</v>
      </c>
      <c r="R675" s="49" t="s">
        <v>37776</v>
      </c>
      <c r="S675" s="49" t="s">
        <v>37784</v>
      </c>
      <c r="T675" s="49" t="s">
        <v>37792</v>
      </c>
    </row>
    <row r="676" spans="1:21" x14ac:dyDescent="0.2">
      <c r="A676" s="49" t="s">
        <v>30</v>
      </c>
      <c r="D676" s="49" t="s">
        <v>15203</v>
      </c>
      <c r="G676" s="49" t="s">
        <v>19322</v>
      </c>
      <c r="H676" s="49" t="s">
        <v>30778</v>
      </c>
      <c r="I676" s="49" t="s">
        <v>30781</v>
      </c>
      <c r="J676" s="49" t="s">
        <v>30802</v>
      </c>
      <c r="K676" s="49" t="s">
        <v>30805</v>
      </c>
      <c r="L676" s="49" t="s">
        <v>15205</v>
      </c>
      <c r="M676" s="49" t="s">
        <v>15206</v>
      </c>
      <c r="N676" s="49" t="s">
        <v>15207</v>
      </c>
      <c r="O676" s="49" t="s">
        <v>37753</v>
      </c>
      <c r="P676" s="49" t="s">
        <v>37761</v>
      </c>
      <c r="Q676" s="49" t="s">
        <v>37769</v>
      </c>
      <c r="R676" s="49" t="s">
        <v>37777</v>
      </c>
      <c r="S676" s="49" t="s">
        <v>37785</v>
      </c>
      <c r="T676" s="49" t="s">
        <v>37793</v>
      </c>
    </row>
    <row r="677" spans="1:21" x14ac:dyDescent="0.2">
      <c r="A677" s="49" t="s">
        <v>30</v>
      </c>
      <c r="D677" s="49" t="s">
        <v>6624</v>
      </c>
      <c r="G677" s="49" t="s">
        <v>19327</v>
      </c>
      <c r="H677" s="49" t="s">
        <v>6625</v>
      </c>
      <c r="I677" s="49" t="s">
        <v>6626</v>
      </c>
      <c r="J677" s="49" t="s">
        <v>6627</v>
      </c>
      <c r="K677" s="49" t="s">
        <v>6628</v>
      </c>
      <c r="L677" s="49" t="s">
        <v>6629</v>
      </c>
      <c r="M677" s="49" t="s">
        <v>6630</v>
      </c>
      <c r="N677" s="49" t="s">
        <v>6631</v>
      </c>
      <c r="O677" s="49" t="s">
        <v>37754</v>
      </c>
      <c r="P677" s="49" t="s">
        <v>37762</v>
      </c>
      <c r="Q677" s="49" t="s">
        <v>37770</v>
      </c>
      <c r="R677" s="49" t="s">
        <v>37778</v>
      </c>
      <c r="S677" s="49" t="s">
        <v>37786</v>
      </c>
      <c r="T677" s="49" t="s">
        <v>37794</v>
      </c>
    </row>
    <row r="678" spans="1:21" x14ac:dyDescent="0.2">
      <c r="A678" s="49" t="s">
        <v>30</v>
      </c>
    </row>
    <row r="679" spans="1:21" x14ac:dyDescent="0.2">
      <c r="A679" s="49" t="s">
        <v>30</v>
      </c>
      <c r="E679" s="49" t="s">
        <v>31</v>
      </c>
      <c r="F679" s="49" t="s">
        <v>31</v>
      </c>
      <c r="G679" s="49" t="s">
        <v>31</v>
      </c>
      <c r="J679" s="49" t="s">
        <v>31</v>
      </c>
      <c r="K679" s="49" t="s">
        <v>31</v>
      </c>
      <c r="L679" s="49" t="s">
        <v>31</v>
      </c>
      <c r="M679" s="49" t="s">
        <v>31</v>
      </c>
    </row>
    <row r="680" spans="1:21" x14ac:dyDescent="0.2">
      <c r="A680" s="49" t="s">
        <v>30</v>
      </c>
      <c r="D680" s="49" t="s">
        <v>36642</v>
      </c>
      <c r="E680" s="49" t="s">
        <v>8404</v>
      </c>
      <c r="F680" s="49" t="s">
        <v>36643</v>
      </c>
      <c r="H680" s="49" t="s">
        <v>36644</v>
      </c>
      <c r="O680" s="49" t="s">
        <v>36645</v>
      </c>
      <c r="P680" s="49" t="s">
        <v>36646</v>
      </c>
      <c r="Q680" s="49" t="s">
        <v>36647</v>
      </c>
      <c r="R680" s="49" t="s">
        <v>36648</v>
      </c>
      <c r="S680" s="49" t="s">
        <v>36649</v>
      </c>
      <c r="T680" s="49" t="s">
        <v>36650</v>
      </c>
      <c r="U680" s="49" t="s">
        <v>36651</v>
      </c>
    </row>
    <row r="681" spans="1:21" x14ac:dyDescent="0.2">
      <c r="A681" s="49" t="s">
        <v>30</v>
      </c>
      <c r="D681" s="49" t="s">
        <v>36652</v>
      </c>
      <c r="G681" s="49" t="s">
        <v>36653</v>
      </c>
      <c r="H681" s="49" t="s">
        <v>37703</v>
      </c>
      <c r="I681" s="49" t="s">
        <v>37705</v>
      </c>
      <c r="J681" s="49" t="s">
        <v>37743</v>
      </c>
      <c r="K681" s="49" t="s">
        <v>37745</v>
      </c>
      <c r="L681" s="49" t="s">
        <v>36654</v>
      </c>
      <c r="M681" s="49" t="s">
        <v>36655</v>
      </c>
      <c r="N681" s="49" t="s">
        <v>36656</v>
      </c>
      <c r="O681" s="49" t="s">
        <v>37707</v>
      </c>
      <c r="P681" s="49" t="s">
        <v>37713</v>
      </c>
      <c r="Q681" s="49" t="s">
        <v>37719</v>
      </c>
      <c r="R681" s="49" t="s">
        <v>37725</v>
      </c>
      <c r="S681" s="49" t="s">
        <v>37731</v>
      </c>
      <c r="T681" s="49" t="s">
        <v>37737</v>
      </c>
    </row>
    <row r="682" spans="1:21" x14ac:dyDescent="0.2">
      <c r="A682" s="49" t="s">
        <v>30</v>
      </c>
      <c r="D682" s="49" t="s">
        <v>36657</v>
      </c>
      <c r="G682" s="49" t="s">
        <v>19377</v>
      </c>
      <c r="H682" s="49" t="s">
        <v>37704</v>
      </c>
      <c r="I682" s="49" t="s">
        <v>37706</v>
      </c>
      <c r="J682" s="49" t="s">
        <v>37744</v>
      </c>
      <c r="K682" s="49" t="s">
        <v>37746</v>
      </c>
      <c r="L682" s="49" t="s">
        <v>36658</v>
      </c>
      <c r="M682" s="49" t="s">
        <v>36659</v>
      </c>
      <c r="N682" s="49" t="s">
        <v>36660</v>
      </c>
      <c r="O682" s="49" t="s">
        <v>37708</v>
      </c>
      <c r="P682" s="49" t="s">
        <v>37714</v>
      </c>
      <c r="Q682" s="49" t="s">
        <v>37720</v>
      </c>
      <c r="R682" s="49" t="s">
        <v>37726</v>
      </c>
      <c r="S682" s="49" t="s">
        <v>37732</v>
      </c>
      <c r="T682" s="49" t="s">
        <v>37738</v>
      </c>
    </row>
    <row r="683" spans="1:21" x14ac:dyDescent="0.2">
      <c r="A683" s="49" t="s">
        <v>30</v>
      </c>
      <c r="D683" s="49" t="s">
        <v>15221</v>
      </c>
      <c r="G683" s="49" t="s">
        <v>19382</v>
      </c>
      <c r="H683" s="49" t="s">
        <v>30766</v>
      </c>
      <c r="I683" s="49" t="s">
        <v>30767</v>
      </c>
      <c r="J683" s="49" t="s">
        <v>30774</v>
      </c>
      <c r="K683" s="49" t="s">
        <v>30775</v>
      </c>
      <c r="L683" s="49" t="s">
        <v>15223</v>
      </c>
      <c r="M683" s="49" t="s">
        <v>15224</v>
      </c>
      <c r="N683" s="49" t="s">
        <v>15225</v>
      </c>
      <c r="O683" s="49" t="s">
        <v>37709</v>
      </c>
      <c r="P683" s="49" t="s">
        <v>37715</v>
      </c>
      <c r="Q683" s="49" t="s">
        <v>37721</v>
      </c>
      <c r="R683" s="49" t="s">
        <v>37727</v>
      </c>
      <c r="S683" s="49" t="s">
        <v>37733</v>
      </c>
      <c r="T683" s="49" t="s">
        <v>37739</v>
      </c>
    </row>
    <row r="684" spans="1:21" x14ac:dyDescent="0.2">
      <c r="A684" s="49" t="s">
        <v>30</v>
      </c>
      <c r="D684" s="49" t="s">
        <v>6667</v>
      </c>
      <c r="G684" s="49" t="s">
        <v>19397</v>
      </c>
      <c r="H684" s="49" t="s">
        <v>6668</v>
      </c>
      <c r="I684" s="49" t="s">
        <v>6669</v>
      </c>
      <c r="J684" s="49" t="s">
        <v>6670</v>
      </c>
      <c r="K684" s="49" t="s">
        <v>6671</v>
      </c>
      <c r="L684" s="49" t="s">
        <v>6672</v>
      </c>
      <c r="M684" s="49" t="s">
        <v>6673</v>
      </c>
      <c r="N684" s="49" t="s">
        <v>6674</v>
      </c>
      <c r="O684" s="49" t="s">
        <v>37710</v>
      </c>
      <c r="P684" s="49" t="s">
        <v>37716</v>
      </c>
      <c r="Q684" s="49" t="s">
        <v>37722</v>
      </c>
      <c r="R684" s="49" t="s">
        <v>37728</v>
      </c>
      <c r="S684" s="49" t="s">
        <v>37734</v>
      </c>
      <c r="T684" s="49" t="s">
        <v>37740</v>
      </c>
    </row>
    <row r="685" spans="1:21" x14ac:dyDescent="0.2">
      <c r="A685" s="49" t="s">
        <v>30</v>
      </c>
      <c r="D685" s="49" t="s">
        <v>6681</v>
      </c>
      <c r="G685" s="49" t="s">
        <v>19407</v>
      </c>
      <c r="H685" s="49" t="s">
        <v>6682</v>
      </c>
      <c r="I685" s="49" t="s">
        <v>6683</v>
      </c>
      <c r="J685" s="49" t="s">
        <v>6684</v>
      </c>
      <c r="K685" s="49" t="s">
        <v>6685</v>
      </c>
      <c r="L685" s="49" t="s">
        <v>6686</v>
      </c>
      <c r="M685" s="49" t="s">
        <v>6687</v>
      </c>
      <c r="N685" s="49" t="s">
        <v>6688</v>
      </c>
      <c r="O685" s="49" t="s">
        <v>37711</v>
      </c>
      <c r="P685" s="49" t="s">
        <v>37717</v>
      </c>
      <c r="Q685" s="49" t="s">
        <v>37723</v>
      </c>
      <c r="R685" s="49" t="s">
        <v>37729</v>
      </c>
      <c r="S685" s="49" t="s">
        <v>37735</v>
      </c>
      <c r="T685" s="49" t="s">
        <v>37741</v>
      </c>
    </row>
    <row r="686" spans="1:21" x14ac:dyDescent="0.2">
      <c r="A686" s="49" t="s">
        <v>30</v>
      </c>
      <c r="D686" s="49" t="s">
        <v>6695</v>
      </c>
      <c r="G686" s="49" t="s">
        <v>19412</v>
      </c>
      <c r="H686" s="49" t="s">
        <v>6696</v>
      </c>
      <c r="I686" s="49" t="s">
        <v>6697</v>
      </c>
      <c r="J686" s="49" t="s">
        <v>6698</v>
      </c>
      <c r="K686" s="49" t="s">
        <v>6699</v>
      </c>
      <c r="L686" s="49" t="s">
        <v>6700</v>
      </c>
      <c r="M686" s="49" t="s">
        <v>6701</v>
      </c>
      <c r="N686" s="49" t="s">
        <v>6702</v>
      </c>
      <c r="O686" s="49" t="s">
        <v>37712</v>
      </c>
      <c r="P686" s="49" t="s">
        <v>37718</v>
      </c>
      <c r="Q686" s="49" t="s">
        <v>37724</v>
      </c>
      <c r="R686" s="49" t="s">
        <v>37730</v>
      </c>
      <c r="S686" s="49" t="s">
        <v>37736</v>
      </c>
      <c r="T686" s="49" t="s">
        <v>37742</v>
      </c>
    </row>
    <row r="687" spans="1:21" x14ac:dyDescent="0.2">
      <c r="A687" s="49" t="s">
        <v>30</v>
      </c>
    </row>
    <row r="688" spans="1:21" x14ac:dyDescent="0.2">
      <c r="A688" s="49" t="s">
        <v>30</v>
      </c>
      <c r="E688" s="49" t="s">
        <v>31</v>
      </c>
      <c r="F688" s="49" t="s">
        <v>31</v>
      </c>
      <c r="G688" s="49" t="s">
        <v>31</v>
      </c>
      <c r="J688" s="49" t="s">
        <v>31</v>
      </c>
      <c r="K688" s="49" t="s">
        <v>31</v>
      </c>
      <c r="L688" s="49" t="s">
        <v>31</v>
      </c>
      <c r="M688" s="49" t="s">
        <v>31</v>
      </c>
    </row>
    <row r="689" spans="1:21" x14ac:dyDescent="0.2">
      <c r="A689" s="49" t="s">
        <v>30</v>
      </c>
      <c r="D689" s="49" t="s">
        <v>36661</v>
      </c>
      <c r="E689" s="49" t="s">
        <v>8475</v>
      </c>
      <c r="F689" s="49" t="s">
        <v>36662</v>
      </c>
      <c r="H689" s="49" t="s">
        <v>36663</v>
      </c>
      <c r="O689" s="49" t="s">
        <v>36664</v>
      </c>
      <c r="P689" s="49" t="s">
        <v>36665</v>
      </c>
      <c r="Q689" s="49" t="s">
        <v>36666</v>
      </c>
      <c r="R689" s="49" t="s">
        <v>36667</v>
      </c>
      <c r="S689" s="49" t="s">
        <v>36668</v>
      </c>
      <c r="T689" s="49" t="s">
        <v>36669</v>
      </c>
      <c r="U689" s="49" t="s">
        <v>36670</v>
      </c>
    </row>
    <row r="690" spans="1:21" x14ac:dyDescent="0.2">
      <c r="A690" s="49" t="s">
        <v>30</v>
      </c>
      <c r="D690" s="49" t="s">
        <v>6751</v>
      </c>
      <c r="G690" s="49" t="s">
        <v>36671</v>
      </c>
      <c r="H690" s="49" t="s">
        <v>6752</v>
      </c>
      <c r="I690" s="49" t="s">
        <v>6753</v>
      </c>
      <c r="J690" s="49" t="s">
        <v>6754</v>
      </c>
      <c r="K690" s="49" t="s">
        <v>6755</v>
      </c>
      <c r="L690" s="49" t="s">
        <v>6756</v>
      </c>
      <c r="M690" s="49" t="s">
        <v>6757</v>
      </c>
      <c r="N690" s="49" t="s">
        <v>6758</v>
      </c>
      <c r="O690" s="49" t="s">
        <v>37667</v>
      </c>
      <c r="P690" s="49" t="s">
        <v>37673</v>
      </c>
      <c r="Q690" s="49" t="s">
        <v>37679</v>
      </c>
      <c r="R690" s="49" t="s">
        <v>37685</v>
      </c>
      <c r="S690" s="49" t="s">
        <v>37691</v>
      </c>
      <c r="T690" s="49" t="s">
        <v>37697</v>
      </c>
    </row>
    <row r="691" spans="1:21" x14ac:dyDescent="0.2">
      <c r="A691" s="49" t="s">
        <v>30</v>
      </c>
      <c r="D691" s="49" t="s">
        <v>6765</v>
      </c>
      <c r="G691" s="49" t="s">
        <v>19472</v>
      </c>
      <c r="H691" s="49" t="s">
        <v>6766</v>
      </c>
      <c r="I691" s="49" t="s">
        <v>6767</v>
      </c>
      <c r="J691" s="49" t="s">
        <v>6768</v>
      </c>
      <c r="K691" s="49" t="s">
        <v>6769</v>
      </c>
      <c r="L691" s="49" t="s">
        <v>6770</v>
      </c>
      <c r="M691" s="49" t="s">
        <v>6771</v>
      </c>
      <c r="N691" s="49" t="s">
        <v>6772</v>
      </c>
      <c r="O691" s="49" t="s">
        <v>37668</v>
      </c>
      <c r="P691" s="49" t="s">
        <v>37674</v>
      </c>
      <c r="Q691" s="49" t="s">
        <v>37680</v>
      </c>
      <c r="R691" s="49" t="s">
        <v>37686</v>
      </c>
      <c r="S691" s="49" t="s">
        <v>37692</v>
      </c>
      <c r="T691" s="49" t="s">
        <v>37698</v>
      </c>
    </row>
    <row r="692" spans="1:21" x14ac:dyDescent="0.2">
      <c r="A692" s="49" t="s">
        <v>30</v>
      </c>
      <c r="D692" s="49" t="s">
        <v>6779</v>
      </c>
      <c r="G692" s="49" t="s">
        <v>19477</v>
      </c>
      <c r="H692" s="49" t="s">
        <v>6780</v>
      </c>
      <c r="I692" s="49" t="s">
        <v>6781</v>
      </c>
      <c r="J692" s="49" t="s">
        <v>6782</v>
      </c>
      <c r="K692" s="49" t="s">
        <v>6783</v>
      </c>
      <c r="L692" s="49" t="s">
        <v>6784</v>
      </c>
      <c r="M692" s="49" t="s">
        <v>6785</v>
      </c>
      <c r="N692" s="49" t="s">
        <v>6786</v>
      </c>
      <c r="O692" s="49" t="s">
        <v>37669</v>
      </c>
      <c r="P692" s="49" t="s">
        <v>37675</v>
      </c>
      <c r="Q692" s="49" t="s">
        <v>37681</v>
      </c>
      <c r="R692" s="49" t="s">
        <v>37687</v>
      </c>
      <c r="S692" s="49" t="s">
        <v>37693</v>
      </c>
      <c r="T692" s="49" t="s">
        <v>37699</v>
      </c>
    </row>
    <row r="693" spans="1:21" x14ac:dyDescent="0.2">
      <c r="A693" s="49" t="s">
        <v>30</v>
      </c>
      <c r="D693" s="49" t="s">
        <v>6787</v>
      </c>
      <c r="G693" s="49" t="s">
        <v>19492</v>
      </c>
      <c r="H693" s="49" t="s">
        <v>6788</v>
      </c>
      <c r="I693" s="49" t="s">
        <v>6789</v>
      </c>
      <c r="J693" s="49" t="s">
        <v>6790</v>
      </c>
      <c r="K693" s="49" t="s">
        <v>6791</v>
      </c>
      <c r="L693" s="49" t="s">
        <v>6792</v>
      </c>
      <c r="M693" s="49" t="s">
        <v>6793</v>
      </c>
      <c r="N693" s="49" t="s">
        <v>6794</v>
      </c>
      <c r="O693" s="49" t="s">
        <v>37670</v>
      </c>
      <c r="P693" s="49" t="s">
        <v>37676</v>
      </c>
      <c r="Q693" s="49" t="s">
        <v>37682</v>
      </c>
      <c r="R693" s="49" t="s">
        <v>37688</v>
      </c>
      <c r="S693" s="49" t="s">
        <v>37694</v>
      </c>
      <c r="T693" s="49" t="s">
        <v>37700</v>
      </c>
    </row>
    <row r="694" spans="1:21" x14ac:dyDescent="0.2">
      <c r="A694" s="49" t="s">
        <v>30</v>
      </c>
      <c r="D694" s="49" t="s">
        <v>6795</v>
      </c>
      <c r="G694" s="49" t="s">
        <v>19512</v>
      </c>
      <c r="H694" s="49" t="s">
        <v>6796</v>
      </c>
      <c r="I694" s="49" t="s">
        <v>6797</v>
      </c>
      <c r="J694" s="49" t="s">
        <v>6798</v>
      </c>
      <c r="K694" s="49" t="s">
        <v>6799</v>
      </c>
      <c r="L694" s="49" t="s">
        <v>6800</v>
      </c>
      <c r="M694" s="49" t="s">
        <v>6801</v>
      </c>
      <c r="N694" s="49" t="s">
        <v>6802</v>
      </c>
      <c r="O694" s="49" t="s">
        <v>37671</v>
      </c>
      <c r="P694" s="49" t="s">
        <v>37677</v>
      </c>
      <c r="Q694" s="49" t="s">
        <v>37683</v>
      </c>
      <c r="R694" s="49" t="s">
        <v>37689</v>
      </c>
      <c r="S694" s="49" t="s">
        <v>37695</v>
      </c>
      <c r="T694" s="49" t="s">
        <v>37701</v>
      </c>
    </row>
    <row r="695" spans="1:21" x14ac:dyDescent="0.2">
      <c r="A695" s="49" t="s">
        <v>30</v>
      </c>
      <c r="D695" s="49" t="s">
        <v>15244</v>
      </c>
      <c r="G695" s="49" t="s">
        <v>19517</v>
      </c>
      <c r="H695" s="49" t="s">
        <v>30736</v>
      </c>
      <c r="I695" s="49" t="s">
        <v>30739</v>
      </c>
      <c r="J695" s="49" t="s">
        <v>30760</v>
      </c>
      <c r="K695" s="49" t="s">
        <v>30763</v>
      </c>
      <c r="L695" s="49" t="s">
        <v>15246</v>
      </c>
      <c r="M695" s="49" t="s">
        <v>15247</v>
      </c>
      <c r="N695" s="49" t="s">
        <v>15248</v>
      </c>
      <c r="O695" s="49" t="s">
        <v>37672</v>
      </c>
      <c r="P695" s="49" t="s">
        <v>37678</v>
      </c>
      <c r="Q695" s="49" t="s">
        <v>37684</v>
      </c>
      <c r="R695" s="49" t="s">
        <v>37690</v>
      </c>
      <c r="S695" s="49" t="s">
        <v>37696</v>
      </c>
      <c r="T695" s="49" t="s">
        <v>37702</v>
      </c>
    </row>
    <row r="696" spans="1:21" x14ac:dyDescent="0.2">
      <c r="A696" s="49" t="s">
        <v>30</v>
      </c>
    </row>
    <row r="697" spans="1:21" x14ac:dyDescent="0.2">
      <c r="A697" s="49" t="s">
        <v>30</v>
      </c>
      <c r="E697" s="49" t="s">
        <v>31</v>
      </c>
      <c r="F697" s="49" t="s">
        <v>31</v>
      </c>
      <c r="G697" s="49" t="s">
        <v>31</v>
      </c>
      <c r="J697" s="49" t="s">
        <v>31</v>
      </c>
      <c r="K697" s="49" t="s">
        <v>31</v>
      </c>
      <c r="L697" s="49" t="s">
        <v>31</v>
      </c>
      <c r="M697" s="49" t="s">
        <v>31</v>
      </c>
    </row>
    <row r="698" spans="1:21" x14ac:dyDescent="0.2">
      <c r="A698" s="49" t="s">
        <v>30</v>
      </c>
      <c r="D698" s="49" t="s">
        <v>36672</v>
      </c>
      <c r="E698" s="49" t="s">
        <v>8518</v>
      </c>
      <c r="F698" s="49" t="s">
        <v>36673</v>
      </c>
      <c r="H698" s="49" t="s">
        <v>36674</v>
      </c>
      <c r="O698" s="49" t="s">
        <v>36675</v>
      </c>
      <c r="P698" s="49" t="s">
        <v>36676</v>
      </c>
      <c r="Q698" s="49" t="s">
        <v>36677</v>
      </c>
      <c r="R698" s="49" t="s">
        <v>36678</v>
      </c>
      <c r="S698" s="49" t="s">
        <v>36679</v>
      </c>
      <c r="T698" s="49" t="s">
        <v>36680</v>
      </c>
      <c r="U698" s="49" t="s">
        <v>36681</v>
      </c>
    </row>
    <row r="699" spans="1:21" x14ac:dyDescent="0.2">
      <c r="A699" s="49" t="s">
        <v>30</v>
      </c>
      <c r="D699" s="49" t="s">
        <v>11248</v>
      </c>
      <c r="G699" s="49" t="s">
        <v>36682</v>
      </c>
      <c r="H699" s="49" t="s">
        <v>12225</v>
      </c>
      <c r="I699" s="49" t="s">
        <v>12228</v>
      </c>
      <c r="J699" s="49" t="s">
        <v>12249</v>
      </c>
      <c r="K699" s="49" t="s">
        <v>12252</v>
      </c>
      <c r="L699" s="49" t="s">
        <v>11249</v>
      </c>
      <c r="M699" s="49" t="s">
        <v>11250</v>
      </c>
      <c r="N699" s="49" t="s">
        <v>11251</v>
      </c>
      <c r="O699" s="49" t="s">
        <v>37613</v>
      </c>
      <c r="P699" s="49" t="s">
        <v>37622</v>
      </c>
      <c r="Q699" s="49" t="s">
        <v>37631</v>
      </c>
      <c r="R699" s="49" t="s">
        <v>37640</v>
      </c>
      <c r="S699" s="49" t="s">
        <v>37649</v>
      </c>
      <c r="T699" s="49" t="s">
        <v>37658</v>
      </c>
    </row>
    <row r="700" spans="1:21" x14ac:dyDescent="0.2">
      <c r="A700" s="49" t="s">
        <v>30</v>
      </c>
      <c r="D700" s="49" t="s">
        <v>11252</v>
      </c>
      <c r="G700" s="49" t="s">
        <v>19567</v>
      </c>
      <c r="H700" s="49" t="s">
        <v>12226</v>
      </c>
      <c r="I700" s="49" t="s">
        <v>12229</v>
      </c>
      <c r="J700" s="49" t="s">
        <v>12250</v>
      </c>
      <c r="K700" s="49" t="s">
        <v>12253</v>
      </c>
      <c r="L700" s="49" t="s">
        <v>11253</v>
      </c>
      <c r="M700" s="49" t="s">
        <v>11254</v>
      </c>
      <c r="N700" s="49" t="s">
        <v>11255</v>
      </c>
      <c r="O700" s="49" t="s">
        <v>37614</v>
      </c>
      <c r="P700" s="49" t="s">
        <v>37623</v>
      </c>
      <c r="Q700" s="49" t="s">
        <v>37632</v>
      </c>
      <c r="R700" s="49" t="s">
        <v>37641</v>
      </c>
      <c r="S700" s="49" t="s">
        <v>37650</v>
      </c>
      <c r="T700" s="49" t="s">
        <v>37659</v>
      </c>
    </row>
    <row r="701" spans="1:21" x14ac:dyDescent="0.2">
      <c r="A701" s="49" t="s">
        <v>30</v>
      </c>
      <c r="D701" s="49" t="s">
        <v>6804</v>
      </c>
      <c r="G701" s="49" t="s">
        <v>19572</v>
      </c>
      <c r="H701" s="49" t="s">
        <v>6805</v>
      </c>
      <c r="I701" s="49" t="s">
        <v>6806</v>
      </c>
      <c r="J701" s="49" t="s">
        <v>6807</v>
      </c>
      <c r="K701" s="49" t="s">
        <v>6808</v>
      </c>
      <c r="L701" s="49" t="s">
        <v>6809</v>
      </c>
      <c r="M701" s="49" t="s">
        <v>6810</v>
      </c>
      <c r="N701" s="49" t="s">
        <v>6811</v>
      </c>
      <c r="O701" s="49" t="s">
        <v>37615</v>
      </c>
      <c r="P701" s="49" t="s">
        <v>37624</v>
      </c>
      <c r="Q701" s="49" t="s">
        <v>37633</v>
      </c>
      <c r="R701" s="49" t="s">
        <v>37642</v>
      </c>
      <c r="S701" s="49" t="s">
        <v>37651</v>
      </c>
      <c r="T701" s="49" t="s">
        <v>37660</v>
      </c>
    </row>
    <row r="702" spans="1:21" x14ac:dyDescent="0.2">
      <c r="A702" s="49" t="s">
        <v>30</v>
      </c>
      <c r="D702" s="49" t="s">
        <v>6818</v>
      </c>
      <c r="G702" s="49" t="s">
        <v>19587</v>
      </c>
      <c r="H702" s="49" t="s">
        <v>6819</v>
      </c>
      <c r="I702" s="49" t="s">
        <v>6820</v>
      </c>
      <c r="J702" s="49" t="s">
        <v>6821</v>
      </c>
      <c r="K702" s="49" t="s">
        <v>6822</v>
      </c>
      <c r="L702" s="49" t="s">
        <v>6823</v>
      </c>
      <c r="M702" s="49" t="s">
        <v>6824</v>
      </c>
      <c r="N702" s="49" t="s">
        <v>6825</v>
      </c>
      <c r="O702" s="49" t="s">
        <v>37616</v>
      </c>
      <c r="P702" s="49" t="s">
        <v>37625</v>
      </c>
      <c r="Q702" s="49" t="s">
        <v>37634</v>
      </c>
      <c r="R702" s="49" t="s">
        <v>37643</v>
      </c>
      <c r="S702" s="49" t="s">
        <v>37652</v>
      </c>
      <c r="T702" s="49" t="s">
        <v>37661</v>
      </c>
    </row>
    <row r="703" spans="1:21" x14ac:dyDescent="0.2">
      <c r="A703" s="49" t="s">
        <v>30</v>
      </c>
      <c r="D703" s="49" t="s">
        <v>6832</v>
      </c>
      <c r="G703" s="49" t="s">
        <v>19597</v>
      </c>
      <c r="H703" s="49" t="s">
        <v>6833</v>
      </c>
      <c r="I703" s="49" t="s">
        <v>6834</v>
      </c>
      <c r="J703" s="49" t="s">
        <v>6835</v>
      </c>
      <c r="K703" s="49" t="s">
        <v>6836</v>
      </c>
      <c r="L703" s="49" t="s">
        <v>6837</v>
      </c>
      <c r="M703" s="49" t="s">
        <v>6838</v>
      </c>
      <c r="N703" s="49" t="s">
        <v>6839</v>
      </c>
      <c r="O703" s="49" t="s">
        <v>37617</v>
      </c>
      <c r="P703" s="49" t="s">
        <v>37626</v>
      </c>
      <c r="Q703" s="49" t="s">
        <v>37635</v>
      </c>
      <c r="R703" s="49" t="s">
        <v>37644</v>
      </c>
      <c r="S703" s="49" t="s">
        <v>37653</v>
      </c>
      <c r="T703" s="49" t="s">
        <v>37662</v>
      </c>
    </row>
    <row r="704" spans="1:21" x14ac:dyDescent="0.2">
      <c r="A704" s="49" t="s">
        <v>30</v>
      </c>
      <c r="D704" s="49" t="s">
        <v>6840</v>
      </c>
      <c r="G704" s="49" t="s">
        <v>19612</v>
      </c>
      <c r="H704" s="49" t="s">
        <v>6841</v>
      </c>
      <c r="I704" s="49" t="s">
        <v>6842</v>
      </c>
      <c r="J704" s="49" t="s">
        <v>6843</v>
      </c>
      <c r="K704" s="49" t="s">
        <v>6844</v>
      </c>
      <c r="L704" s="49" t="s">
        <v>6845</v>
      </c>
      <c r="M704" s="49" t="s">
        <v>6846</v>
      </c>
      <c r="N704" s="49" t="s">
        <v>6847</v>
      </c>
      <c r="O704" s="49" t="s">
        <v>37618</v>
      </c>
      <c r="P704" s="49" t="s">
        <v>37627</v>
      </c>
      <c r="Q704" s="49" t="s">
        <v>37636</v>
      </c>
      <c r="R704" s="49" t="s">
        <v>37645</v>
      </c>
      <c r="S704" s="49" t="s">
        <v>37654</v>
      </c>
      <c r="T704" s="49" t="s">
        <v>37663</v>
      </c>
    </row>
    <row r="705" spans="1:21" x14ac:dyDescent="0.2">
      <c r="A705" s="49" t="s">
        <v>30</v>
      </c>
      <c r="D705" s="49" t="s">
        <v>6848</v>
      </c>
      <c r="G705" s="49" t="s">
        <v>19627</v>
      </c>
      <c r="H705" s="49" t="s">
        <v>6849</v>
      </c>
      <c r="I705" s="49" t="s">
        <v>6850</v>
      </c>
      <c r="J705" s="49" t="s">
        <v>6851</v>
      </c>
      <c r="K705" s="49" t="s">
        <v>6852</v>
      </c>
      <c r="L705" s="49" t="s">
        <v>6853</v>
      </c>
      <c r="M705" s="49" t="s">
        <v>6854</v>
      </c>
      <c r="N705" s="49" t="s">
        <v>6855</v>
      </c>
      <c r="O705" s="49" t="s">
        <v>37619</v>
      </c>
      <c r="P705" s="49" t="s">
        <v>37628</v>
      </c>
      <c r="Q705" s="49" t="s">
        <v>37637</v>
      </c>
      <c r="R705" s="49" t="s">
        <v>37646</v>
      </c>
      <c r="S705" s="49" t="s">
        <v>37655</v>
      </c>
      <c r="T705" s="49" t="s">
        <v>37664</v>
      </c>
    </row>
    <row r="706" spans="1:21" x14ac:dyDescent="0.2">
      <c r="A706" s="49" t="s">
        <v>30</v>
      </c>
      <c r="D706" s="49" t="s">
        <v>6856</v>
      </c>
      <c r="G706" s="49" t="s">
        <v>19642</v>
      </c>
      <c r="H706" s="49" t="s">
        <v>6857</v>
      </c>
      <c r="I706" s="49" t="s">
        <v>6858</v>
      </c>
      <c r="J706" s="49" t="s">
        <v>6859</v>
      </c>
      <c r="K706" s="49" t="s">
        <v>6860</v>
      </c>
      <c r="L706" s="49" t="s">
        <v>6861</v>
      </c>
      <c r="M706" s="49" t="s">
        <v>6862</v>
      </c>
      <c r="N706" s="49" t="s">
        <v>6863</v>
      </c>
      <c r="O706" s="49" t="s">
        <v>37620</v>
      </c>
      <c r="P706" s="49" t="s">
        <v>37629</v>
      </c>
      <c r="Q706" s="49" t="s">
        <v>37638</v>
      </c>
      <c r="R706" s="49" t="s">
        <v>37647</v>
      </c>
      <c r="S706" s="49" t="s">
        <v>37656</v>
      </c>
      <c r="T706" s="49" t="s">
        <v>37665</v>
      </c>
    </row>
    <row r="707" spans="1:21" x14ac:dyDescent="0.2">
      <c r="A707" s="49" t="s">
        <v>30</v>
      </c>
      <c r="D707" s="49" t="s">
        <v>15275</v>
      </c>
      <c r="G707" s="49" t="s">
        <v>19647</v>
      </c>
      <c r="H707" s="49" t="s">
        <v>30706</v>
      </c>
      <c r="I707" s="49" t="s">
        <v>30709</v>
      </c>
      <c r="J707" s="49" t="s">
        <v>30730</v>
      </c>
      <c r="K707" s="49" t="s">
        <v>30733</v>
      </c>
      <c r="L707" s="49" t="s">
        <v>15277</v>
      </c>
      <c r="M707" s="49" t="s">
        <v>15278</v>
      </c>
      <c r="N707" s="49" t="s">
        <v>15279</v>
      </c>
      <c r="O707" s="49" t="s">
        <v>37621</v>
      </c>
      <c r="P707" s="49" t="s">
        <v>37630</v>
      </c>
      <c r="Q707" s="49" t="s">
        <v>37639</v>
      </c>
      <c r="R707" s="49" t="s">
        <v>37648</v>
      </c>
      <c r="S707" s="49" t="s">
        <v>37657</v>
      </c>
      <c r="T707" s="49" t="s">
        <v>37666</v>
      </c>
    </row>
    <row r="708" spans="1:21" x14ac:dyDescent="0.2">
      <c r="A708" s="49" t="s">
        <v>30</v>
      </c>
    </row>
    <row r="709" spans="1:21" x14ac:dyDescent="0.2">
      <c r="A709" s="49" t="s">
        <v>30</v>
      </c>
      <c r="E709" s="49" t="s">
        <v>31</v>
      </c>
      <c r="F709" s="49" t="s">
        <v>31</v>
      </c>
      <c r="G709" s="49" t="s">
        <v>31</v>
      </c>
      <c r="J709" s="49" t="s">
        <v>31</v>
      </c>
      <c r="K709" s="49" t="s">
        <v>31</v>
      </c>
      <c r="L709" s="49" t="s">
        <v>31</v>
      </c>
      <c r="M709" s="49" t="s">
        <v>31</v>
      </c>
    </row>
    <row r="710" spans="1:21" x14ac:dyDescent="0.2">
      <c r="A710" s="49" t="s">
        <v>30</v>
      </c>
      <c r="D710" s="49" t="s">
        <v>36683</v>
      </c>
      <c r="E710" s="49" t="s">
        <v>8617</v>
      </c>
      <c r="F710" s="49" t="s">
        <v>36684</v>
      </c>
      <c r="H710" s="49" t="s">
        <v>36685</v>
      </c>
      <c r="O710" s="49" t="s">
        <v>36686</v>
      </c>
      <c r="P710" s="49" t="s">
        <v>36687</v>
      </c>
      <c r="Q710" s="49" t="s">
        <v>36688</v>
      </c>
      <c r="R710" s="49" t="s">
        <v>36689</v>
      </c>
      <c r="S710" s="49" t="s">
        <v>36690</v>
      </c>
      <c r="T710" s="49" t="s">
        <v>36691</v>
      </c>
      <c r="U710" s="49" t="s">
        <v>36692</v>
      </c>
    </row>
    <row r="711" spans="1:21" x14ac:dyDescent="0.2">
      <c r="A711" s="49" t="s">
        <v>30</v>
      </c>
      <c r="D711" s="49" t="s">
        <v>6884</v>
      </c>
      <c r="G711" s="49" t="s">
        <v>36693</v>
      </c>
      <c r="H711" s="49" t="s">
        <v>6885</v>
      </c>
      <c r="I711" s="49" t="s">
        <v>6886</v>
      </c>
      <c r="J711" s="49" t="s">
        <v>6887</v>
      </c>
      <c r="K711" s="49" t="s">
        <v>6888</v>
      </c>
      <c r="L711" s="49" t="s">
        <v>6889</v>
      </c>
      <c r="M711" s="49" t="s">
        <v>6890</v>
      </c>
      <c r="N711" s="49" t="s">
        <v>6891</v>
      </c>
      <c r="O711" s="49" t="s">
        <v>36694</v>
      </c>
      <c r="P711" s="49" t="s">
        <v>36695</v>
      </c>
      <c r="Q711" s="49" t="s">
        <v>36696</v>
      </c>
      <c r="R711" s="49" t="s">
        <v>36697</v>
      </c>
      <c r="S711" s="49" t="s">
        <v>36698</v>
      </c>
      <c r="T711" s="49" t="s">
        <v>36699</v>
      </c>
    </row>
    <row r="712" spans="1:21" x14ac:dyDescent="0.2">
      <c r="A712" s="49" t="s">
        <v>30</v>
      </c>
      <c r="D712" s="49" t="s">
        <v>6898</v>
      </c>
      <c r="G712" s="49" t="s">
        <v>19702</v>
      </c>
      <c r="H712" s="49" t="s">
        <v>6899</v>
      </c>
      <c r="I712" s="49" t="s">
        <v>6900</v>
      </c>
      <c r="J712" s="49" t="s">
        <v>6901</v>
      </c>
      <c r="K712" s="49" t="s">
        <v>6902</v>
      </c>
      <c r="L712" s="49" t="s">
        <v>6903</v>
      </c>
      <c r="M712" s="49" t="s">
        <v>6904</v>
      </c>
      <c r="N712" s="49" t="s">
        <v>6905</v>
      </c>
      <c r="O712" s="49" t="s">
        <v>36700</v>
      </c>
      <c r="P712" s="49" t="s">
        <v>36701</v>
      </c>
      <c r="Q712" s="49" t="s">
        <v>36702</v>
      </c>
      <c r="R712" s="49" t="s">
        <v>36703</v>
      </c>
      <c r="S712" s="49" t="s">
        <v>36704</v>
      </c>
      <c r="T712" s="49" t="s">
        <v>36705</v>
      </c>
    </row>
    <row r="713" spans="1:21" x14ac:dyDescent="0.2">
      <c r="A713" s="49" t="s">
        <v>30</v>
      </c>
    </row>
    <row r="714" spans="1:21" x14ac:dyDescent="0.2">
      <c r="A714" s="49" t="s">
        <v>30</v>
      </c>
      <c r="E714" s="49" t="s">
        <v>31</v>
      </c>
      <c r="F714" s="49" t="s">
        <v>31</v>
      </c>
      <c r="G714" s="49" t="s">
        <v>31</v>
      </c>
      <c r="J714" s="49" t="s">
        <v>31</v>
      </c>
      <c r="K714" s="49" t="s">
        <v>31</v>
      </c>
      <c r="L714" s="49" t="s">
        <v>31</v>
      </c>
      <c r="M714" s="49" t="s">
        <v>31</v>
      </c>
    </row>
    <row r="715" spans="1:21" x14ac:dyDescent="0.2">
      <c r="A715" s="49" t="s">
        <v>30</v>
      </c>
      <c r="D715" s="49" t="s">
        <v>36706</v>
      </c>
      <c r="E715" s="49" t="s">
        <v>8632</v>
      </c>
      <c r="F715" s="49" t="s">
        <v>36707</v>
      </c>
      <c r="H715" s="49" t="s">
        <v>36708</v>
      </c>
      <c r="O715" s="49" t="s">
        <v>36709</v>
      </c>
      <c r="P715" s="49" t="s">
        <v>36710</v>
      </c>
      <c r="Q715" s="49" t="s">
        <v>36711</v>
      </c>
      <c r="R715" s="49" t="s">
        <v>36712</v>
      </c>
      <c r="S715" s="49" t="s">
        <v>36713</v>
      </c>
      <c r="T715" s="49" t="s">
        <v>36714</v>
      </c>
      <c r="U715" s="49" t="s">
        <v>36715</v>
      </c>
    </row>
    <row r="716" spans="1:21" x14ac:dyDescent="0.2">
      <c r="A716" s="49" t="s">
        <v>30</v>
      </c>
      <c r="D716" s="49" t="s">
        <v>6954</v>
      </c>
      <c r="G716" s="49" t="s">
        <v>36716</v>
      </c>
      <c r="H716" s="49" t="s">
        <v>6955</v>
      </c>
      <c r="I716" s="49" t="s">
        <v>6956</v>
      </c>
      <c r="J716" s="49" t="s">
        <v>6957</v>
      </c>
      <c r="K716" s="49" t="s">
        <v>6958</v>
      </c>
      <c r="L716" s="49" t="s">
        <v>6959</v>
      </c>
      <c r="M716" s="49" t="s">
        <v>6960</v>
      </c>
      <c r="N716" s="49" t="s">
        <v>6961</v>
      </c>
      <c r="O716" s="49" t="s">
        <v>37591</v>
      </c>
      <c r="P716" s="49" t="s">
        <v>37594</v>
      </c>
      <c r="Q716" s="49" t="s">
        <v>37597</v>
      </c>
      <c r="R716" s="49" t="s">
        <v>37600</v>
      </c>
      <c r="S716" s="49" t="s">
        <v>37603</v>
      </c>
      <c r="T716" s="49" t="s">
        <v>37606</v>
      </c>
    </row>
    <row r="717" spans="1:21" x14ac:dyDescent="0.2">
      <c r="A717" s="49" t="s">
        <v>30</v>
      </c>
      <c r="D717" s="49" t="s">
        <v>36717</v>
      </c>
      <c r="G717" s="49" t="s">
        <v>19747</v>
      </c>
      <c r="H717" s="49" t="s">
        <v>37587</v>
      </c>
      <c r="I717" s="49" t="s">
        <v>37589</v>
      </c>
      <c r="J717" s="49" t="s">
        <v>37609</v>
      </c>
      <c r="K717" s="49" t="s">
        <v>37611</v>
      </c>
      <c r="L717" s="49" t="s">
        <v>36718</v>
      </c>
      <c r="M717" s="49" t="s">
        <v>36719</v>
      </c>
      <c r="N717" s="49" t="s">
        <v>36720</v>
      </c>
      <c r="O717" s="49" t="s">
        <v>37592</v>
      </c>
      <c r="P717" s="49" t="s">
        <v>37595</v>
      </c>
      <c r="Q717" s="49" t="s">
        <v>37598</v>
      </c>
      <c r="R717" s="49" t="s">
        <v>37601</v>
      </c>
      <c r="S717" s="49" t="s">
        <v>37604</v>
      </c>
      <c r="T717" s="49" t="s">
        <v>37607</v>
      </c>
    </row>
    <row r="718" spans="1:21" x14ac:dyDescent="0.2">
      <c r="A718" s="49" t="s">
        <v>30</v>
      </c>
      <c r="D718" s="49" t="s">
        <v>36721</v>
      </c>
      <c r="G718" s="49" t="s">
        <v>19767</v>
      </c>
      <c r="H718" s="49" t="s">
        <v>37588</v>
      </c>
      <c r="I718" s="49" t="s">
        <v>37590</v>
      </c>
      <c r="J718" s="49" t="s">
        <v>37610</v>
      </c>
      <c r="K718" s="49" t="s">
        <v>37612</v>
      </c>
      <c r="L718" s="49" t="s">
        <v>36722</v>
      </c>
      <c r="M718" s="49" t="s">
        <v>36723</v>
      </c>
      <c r="N718" s="49" t="s">
        <v>36724</v>
      </c>
      <c r="O718" s="49" t="s">
        <v>37593</v>
      </c>
      <c r="P718" s="49" t="s">
        <v>37596</v>
      </c>
      <c r="Q718" s="49" t="s">
        <v>37599</v>
      </c>
      <c r="R718" s="49" t="s">
        <v>37602</v>
      </c>
      <c r="S718" s="49" t="s">
        <v>37605</v>
      </c>
      <c r="T718" s="49" t="s">
        <v>37608</v>
      </c>
    </row>
    <row r="719" spans="1:21" x14ac:dyDescent="0.2">
      <c r="A719" s="49" t="s">
        <v>30</v>
      </c>
    </row>
    <row r="720" spans="1:21" x14ac:dyDescent="0.2">
      <c r="A720" s="49" t="s">
        <v>30</v>
      </c>
      <c r="E720" s="49" t="s">
        <v>31</v>
      </c>
      <c r="F720" s="49" t="s">
        <v>31</v>
      </c>
      <c r="G720" s="49" t="s">
        <v>31</v>
      </c>
      <c r="J720" s="49" t="s">
        <v>31</v>
      </c>
      <c r="K720" s="49" t="s">
        <v>31</v>
      </c>
      <c r="L720" s="49" t="s">
        <v>31</v>
      </c>
      <c r="M720" s="49" t="s">
        <v>31</v>
      </c>
    </row>
    <row r="721" spans="1:21" x14ac:dyDescent="0.2">
      <c r="A721" s="49" t="s">
        <v>30</v>
      </c>
      <c r="D721" s="49" t="s">
        <v>36725</v>
      </c>
      <c r="E721" s="49" t="s">
        <v>8717</v>
      </c>
      <c r="F721" s="49" t="s">
        <v>36726</v>
      </c>
      <c r="H721" s="49" t="s">
        <v>36727</v>
      </c>
      <c r="O721" s="49" t="s">
        <v>36728</v>
      </c>
      <c r="P721" s="49" t="s">
        <v>36729</v>
      </c>
      <c r="Q721" s="49" t="s">
        <v>36730</v>
      </c>
      <c r="R721" s="49" t="s">
        <v>36731</v>
      </c>
      <c r="S721" s="49" t="s">
        <v>36732</v>
      </c>
      <c r="T721" s="49" t="s">
        <v>36733</v>
      </c>
      <c r="U721" s="49" t="s">
        <v>36734</v>
      </c>
    </row>
    <row r="722" spans="1:21" x14ac:dyDescent="0.2">
      <c r="A722" s="49" t="s">
        <v>30</v>
      </c>
      <c r="D722" s="49" t="s">
        <v>11264</v>
      </c>
      <c r="G722" s="49" t="s">
        <v>36735</v>
      </c>
      <c r="H722" s="49" t="s">
        <v>12196</v>
      </c>
      <c r="I722" s="49" t="s">
        <v>12199</v>
      </c>
      <c r="J722" s="49" t="s">
        <v>12220</v>
      </c>
      <c r="K722" s="49" t="s">
        <v>12223</v>
      </c>
      <c r="L722" s="49" t="s">
        <v>11265</v>
      </c>
      <c r="M722" s="49" t="s">
        <v>11266</v>
      </c>
      <c r="N722" s="49" t="s">
        <v>11267</v>
      </c>
      <c r="O722" s="49" t="s">
        <v>37545</v>
      </c>
      <c r="P722" s="49" t="s">
        <v>37551</v>
      </c>
      <c r="Q722" s="49" t="s">
        <v>37557</v>
      </c>
      <c r="R722" s="49" t="s">
        <v>37563</v>
      </c>
      <c r="S722" s="49" t="s">
        <v>37569</v>
      </c>
      <c r="T722" s="49" t="s">
        <v>37575</v>
      </c>
    </row>
    <row r="723" spans="1:21" x14ac:dyDescent="0.2">
      <c r="A723" s="49" t="s">
        <v>30</v>
      </c>
      <c r="D723" s="49" t="s">
        <v>6963</v>
      </c>
      <c r="G723" s="49" t="s">
        <v>19797</v>
      </c>
      <c r="H723" s="49" t="s">
        <v>6964</v>
      </c>
      <c r="I723" s="49" t="s">
        <v>6965</v>
      </c>
      <c r="J723" s="49" t="s">
        <v>6966</v>
      </c>
      <c r="K723" s="49" t="s">
        <v>6967</v>
      </c>
      <c r="L723" s="49" t="s">
        <v>6968</v>
      </c>
      <c r="M723" s="49" t="s">
        <v>6969</v>
      </c>
      <c r="N723" s="49" t="s">
        <v>6970</v>
      </c>
      <c r="O723" s="49" t="s">
        <v>37546</v>
      </c>
      <c r="P723" s="49" t="s">
        <v>37552</v>
      </c>
      <c r="Q723" s="49" t="s">
        <v>37558</v>
      </c>
      <c r="R723" s="49" t="s">
        <v>37564</v>
      </c>
      <c r="S723" s="49" t="s">
        <v>37570</v>
      </c>
      <c r="T723" s="49" t="s">
        <v>37576</v>
      </c>
    </row>
    <row r="724" spans="1:21" x14ac:dyDescent="0.2">
      <c r="A724" s="49" t="s">
        <v>30</v>
      </c>
      <c r="D724" s="49" t="s">
        <v>6977</v>
      </c>
      <c r="G724" s="49" t="s">
        <v>19802</v>
      </c>
      <c r="H724" s="49" t="s">
        <v>6978</v>
      </c>
      <c r="I724" s="49" t="s">
        <v>6979</v>
      </c>
      <c r="J724" s="49" t="s">
        <v>6980</v>
      </c>
      <c r="K724" s="49" t="s">
        <v>6981</v>
      </c>
      <c r="L724" s="49" t="s">
        <v>6982</v>
      </c>
      <c r="M724" s="49" t="s">
        <v>6983</v>
      </c>
      <c r="N724" s="49" t="s">
        <v>6984</v>
      </c>
      <c r="O724" s="49" t="s">
        <v>37547</v>
      </c>
      <c r="P724" s="49" t="s">
        <v>37553</v>
      </c>
      <c r="Q724" s="49" t="s">
        <v>37559</v>
      </c>
      <c r="R724" s="49" t="s">
        <v>37565</v>
      </c>
      <c r="S724" s="49" t="s">
        <v>37571</v>
      </c>
      <c r="T724" s="49" t="s">
        <v>37577</v>
      </c>
    </row>
    <row r="725" spans="1:21" x14ac:dyDescent="0.2">
      <c r="A725" s="49" t="s">
        <v>30</v>
      </c>
      <c r="D725" s="49" t="s">
        <v>36736</v>
      </c>
      <c r="G725" s="49" t="s">
        <v>19822</v>
      </c>
      <c r="H725" s="49" t="s">
        <v>37539</v>
      </c>
      <c r="I725" s="49" t="s">
        <v>37542</v>
      </c>
      <c r="J725" s="49" t="s">
        <v>37581</v>
      </c>
      <c r="K725" s="49" t="s">
        <v>37584</v>
      </c>
      <c r="L725" s="49" t="s">
        <v>36737</v>
      </c>
      <c r="M725" s="49" t="s">
        <v>36738</v>
      </c>
      <c r="N725" s="49" t="s">
        <v>36739</v>
      </c>
      <c r="O725" s="49" t="s">
        <v>37548</v>
      </c>
      <c r="P725" s="49" t="s">
        <v>37554</v>
      </c>
      <c r="Q725" s="49" t="s">
        <v>37560</v>
      </c>
      <c r="R725" s="49" t="s">
        <v>37566</v>
      </c>
      <c r="S725" s="49" t="s">
        <v>37572</v>
      </c>
      <c r="T725" s="49" t="s">
        <v>37578</v>
      </c>
    </row>
    <row r="726" spans="1:21" x14ac:dyDescent="0.2">
      <c r="A726" s="49" t="s">
        <v>30</v>
      </c>
      <c r="D726" s="49" t="s">
        <v>36740</v>
      </c>
      <c r="G726" s="49" t="s">
        <v>19832</v>
      </c>
      <c r="H726" s="49" t="s">
        <v>37540</v>
      </c>
      <c r="I726" s="49" t="s">
        <v>37543</v>
      </c>
      <c r="J726" s="49" t="s">
        <v>37582</v>
      </c>
      <c r="K726" s="49" t="s">
        <v>37585</v>
      </c>
      <c r="L726" s="49" t="s">
        <v>36741</v>
      </c>
      <c r="M726" s="49" t="s">
        <v>36742</v>
      </c>
      <c r="N726" s="49" t="s">
        <v>36743</v>
      </c>
      <c r="O726" s="49" t="s">
        <v>37549</v>
      </c>
      <c r="P726" s="49" t="s">
        <v>37555</v>
      </c>
      <c r="Q726" s="49" t="s">
        <v>37561</v>
      </c>
      <c r="R726" s="49" t="s">
        <v>37567</v>
      </c>
      <c r="S726" s="49" t="s">
        <v>37573</v>
      </c>
      <c r="T726" s="49" t="s">
        <v>37579</v>
      </c>
    </row>
    <row r="727" spans="1:21" x14ac:dyDescent="0.2">
      <c r="A727" s="49" t="s">
        <v>30</v>
      </c>
      <c r="D727" s="49" t="s">
        <v>36744</v>
      </c>
      <c r="G727" s="49" t="s">
        <v>19837</v>
      </c>
      <c r="H727" s="49" t="s">
        <v>37541</v>
      </c>
      <c r="I727" s="49" t="s">
        <v>37544</v>
      </c>
      <c r="J727" s="49" t="s">
        <v>37583</v>
      </c>
      <c r="K727" s="49" t="s">
        <v>37586</v>
      </c>
      <c r="L727" s="49" t="s">
        <v>36745</v>
      </c>
      <c r="M727" s="49" t="s">
        <v>36746</v>
      </c>
      <c r="N727" s="49" t="s">
        <v>36747</v>
      </c>
      <c r="O727" s="49" t="s">
        <v>37550</v>
      </c>
      <c r="P727" s="49" t="s">
        <v>37556</v>
      </c>
      <c r="Q727" s="49" t="s">
        <v>37562</v>
      </c>
      <c r="R727" s="49" t="s">
        <v>37568</v>
      </c>
      <c r="S727" s="49" t="s">
        <v>37574</v>
      </c>
      <c r="T727" s="49" t="s">
        <v>37580</v>
      </c>
    </row>
    <row r="728" spans="1:21" x14ac:dyDescent="0.2">
      <c r="A728" s="49" t="s">
        <v>30</v>
      </c>
    </row>
    <row r="729" spans="1:21" x14ac:dyDescent="0.2">
      <c r="A729" s="49" t="s">
        <v>30</v>
      </c>
      <c r="E729" s="49" t="s">
        <v>31</v>
      </c>
      <c r="F729" s="49" t="s">
        <v>31</v>
      </c>
      <c r="G729" s="49" t="s">
        <v>31</v>
      </c>
      <c r="J729" s="49" t="s">
        <v>31</v>
      </c>
      <c r="K729" s="49" t="s">
        <v>31</v>
      </c>
      <c r="L729" s="49" t="s">
        <v>31</v>
      </c>
      <c r="M729" s="49" t="s">
        <v>31</v>
      </c>
    </row>
    <row r="730" spans="1:21" x14ac:dyDescent="0.2">
      <c r="A730" s="49" t="s">
        <v>30</v>
      </c>
      <c r="D730" s="49" t="s">
        <v>36748</v>
      </c>
      <c r="E730" s="49" t="s">
        <v>8760</v>
      </c>
      <c r="F730" s="49" t="s">
        <v>36749</v>
      </c>
      <c r="H730" s="49" t="s">
        <v>36750</v>
      </c>
      <c r="O730" s="49" t="s">
        <v>36751</v>
      </c>
      <c r="P730" s="49" t="s">
        <v>36752</v>
      </c>
      <c r="Q730" s="49" t="s">
        <v>36753</v>
      </c>
      <c r="R730" s="49" t="s">
        <v>36754</v>
      </c>
      <c r="S730" s="49" t="s">
        <v>36755</v>
      </c>
      <c r="T730" s="49" t="s">
        <v>36756</v>
      </c>
      <c r="U730" s="49" t="s">
        <v>36757</v>
      </c>
    </row>
    <row r="731" spans="1:21" x14ac:dyDescent="0.2">
      <c r="A731" s="49" t="s">
        <v>30</v>
      </c>
      <c r="D731" s="49" t="s">
        <v>15325</v>
      </c>
      <c r="G731" s="49" t="s">
        <v>36758</v>
      </c>
      <c r="H731" s="49" t="s">
        <v>30676</v>
      </c>
      <c r="I731" s="49" t="s">
        <v>30678</v>
      </c>
      <c r="J731" s="49" t="s">
        <v>30692</v>
      </c>
      <c r="K731" s="49" t="s">
        <v>30694</v>
      </c>
      <c r="L731" s="49" t="s">
        <v>15327</v>
      </c>
      <c r="M731" s="49" t="s">
        <v>15328</v>
      </c>
      <c r="N731" s="49" t="s">
        <v>15329</v>
      </c>
      <c r="O731" s="49" t="s">
        <v>37507</v>
      </c>
      <c r="P731" s="49" t="s">
        <v>37512</v>
      </c>
      <c r="Q731" s="49" t="s">
        <v>37517</v>
      </c>
      <c r="R731" s="49" t="s">
        <v>37522</v>
      </c>
      <c r="S731" s="49" t="s">
        <v>37527</v>
      </c>
      <c r="T731" s="49" t="s">
        <v>37532</v>
      </c>
    </row>
    <row r="732" spans="1:21" x14ac:dyDescent="0.2">
      <c r="A732" s="49" t="s">
        <v>30</v>
      </c>
      <c r="D732" s="49" t="s">
        <v>15330</v>
      </c>
      <c r="G732" s="49" t="s">
        <v>19872</v>
      </c>
      <c r="H732" s="49" t="s">
        <v>30677</v>
      </c>
      <c r="I732" s="49" t="s">
        <v>30679</v>
      </c>
      <c r="J732" s="49" t="s">
        <v>30693</v>
      </c>
      <c r="K732" s="49" t="s">
        <v>30695</v>
      </c>
      <c r="L732" s="49" t="s">
        <v>15332</v>
      </c>
      <c r="M732" s="49" t="s">
        <v>15333</v>
      </c>
      <c r="N732" s="49" t="s">
        <v>15334</v>
      </c>
      <c r="O732" s="49" t="s">
        <v>37508</v>
      </c>
      <c r="P732" s="49" t="s">
        <v>37513</v>
      </c>
      <c r="Q732" s="49" t="s">
        <v>37518</v>
      </c>
      <c r="R732" s="49" t="s">
        <v>37523</v>
      </c>
      <c r="S732" s="49" t="s">
        <v>37528</v>
      </c>
      <c r="T732" s="49" t="s">
        <v>37533</v>
      </c>
    </row>
    <row r="733" spans="1:21" x14ac:dyDescent="0.2">
      <c r="A733" s="49" t="s">
        <v>30</v>
      </c>
      <c r="D733" s="49" t="s">
        <v>36759</v>
      </c>
      <c r="G733" s="49" t="s">
        <v>19882</v>
      </c>
      <c r="H733" s="49" t="s">
        <v>37505</v>
      </c>
      <c r="I733" s="49" t="s">
        <v>37506</v>
      </c>
      <c r="J733" s="49" t="s">
        <v>37537</v>
      </c>
      <c r="K733" s="49" t="s">
        <v>37538</v>
      </c>
      <c r="L733" s="49" t="s">
        <v>36760</v>
      </c>
      <c r="M733" s="49" t="s">
        <v>36761</v>
      </c>
      <c r="N733" s="49" t="s">
        <v>36762</v>
      </c>
      <c r="O733" s="49" t="s">
        <v>37509</v>
      </c>
      <c r="P733" s="49" t="s">
        <v>37514</v>
      </c>
      <c r="Q733" s="49" t="s">
        <v>37519</v>
      </c>
      <c r="R733" s="49" t="s">
        <v>37524</v>
      </c>
      <c r="S733" s="49" t="s">
        <v>37529</v>
      </c>
      <c r="T733" s="49" t="s">
        <v>37534</v>
      </c>
    </row>
    <row r="734" spans="1:21" x14ac:dyDescent="0.2">
      <c r="A734" s="49" t="s">
        <v>30</v>
      </c>
      <c r="D734" s="49" t="s">
        <v>7033</v>
      </c>
      <c r="G734" s="49" t="s">
        <v>19902</v>
      </c>
      <c r="H734" s="49" t="s">
        <v>7034</v>
      </c>
      <c r="I734" s="49" t="s">
        <v>7035</v>
      </c>
      <c r="J734" s="49" t="s">
        <v>7036</v>
      </c>
      <c r="K734" s="49" t="s">
        <v>7037</v>
      </c>
      <c r="L734" s="49" t="s">
        <v>7038</v>
      </c>
      <c r="M734" s="49" t="s">
        <v>7039</v>
      </c>
      <c r="N734" s="49" t="s">
        <v>7040</v>
      </c>
      <c r="O734" s="49" t="s">
        <v>37510</v>
      </c>
      <c r="P734" s="49" t="s">
        <v>37515</v>
      </c>
      <c r="Q734" s="49" t="s">
        <v>37520</v>
      </c>
      <c r="R734" s="49" t="s">
        <v>37525</v>
      </c>
      <c r="S734" s="49" t="s">
        <v>37530</v>
      </c>
      <c r="T734" s="49" t="s">
        <v>37535</v>
      </c>
    </row>
    <row r="735" spans="1:21" x14ac:dyDescent="0.2">
      <c r="A735" s="49" t="s">
        <v>30</v>
      </c>
      <c r="D735" s="49" t="s">
        <v>11272</v>
      </c>
      <c r="G735" s="49" t="s">
        <v>19907</v>
      </c>
      <c r="H735" s="49" t="s">
        <v>12170</v>
      </c>
      <c r="I735" s="49" t="s">
        <v>12173</v>
      </c>
      <c r="J735" s="49" t="s">
        <v>12188</v>
      </c>
      <c r="K735" s="49" t="s">
        <v>12191</v>
      </c>
      <c r="L735" s="49" t="s">
        <v>11273</v>
      </c>
      <c r="M735" s="49" t="s">
        <v>11274</v>
      </c>
      <c r="N735" s="49" t="s">
        <v>11275</v>
      </c>
      <c r="O735" s="49" t="s">
        <v>37511</v>
      </c>
      <c r="P735" s="49" t="s">
        <v>37516</v>
      </c>
      <c r="Q735" s="49" t="s">
        <v>37521</v>
      </c>
      <c r="R735" s="49" t="s">
        <v>37526</v>
      </c>
      <c r="S735" s="49" t="s">
        <v>37531</v>
      </c>
      <c r="T735" s="49" t="s">
        <v>37536</v>
      </c>
    </row>
    <row r="736" spans="1:21" x14ac:dyDescent="0.2">
      <c r="A736" s="49" t="s">
        <v>30</v>
      </c>
    </row>
    <row r="737" spans="1:21" x14ac:dyDescent="0.2">
      <c r="A737" s="49" t="s">
        <v>30</v>
      </c>
      <c r="E737" s="49" t="s">
        <v>31</v>
      </c>
      <c r="F737" s="49" t="s">
        <v>31</v>
      </c>
      <c r="G737" s="49" t="s">
        <v>31</v>
      </c>
      <c r="J737" s="49" t="s">
        <v>31</v>
      </c>
      <c r="K737" s="49" t="s">
        <v>31</v>
      </c>
      <c r="L737" s="49" t="s">
        <v>31</v>
      </c>
      <c r="M737" s="49" t="s">
        <v>31</v>
      </c>
    </row>
    <row r="738" spans="1:21" x14ac:dyDescent="0.2">
      <c r="A738" s="49" t="s">
        <v>30</v>
      </c>
      <c r="D738" s="49" t="s">
        <v>36763</v>
      </c>
      <c r="E738" s="49" t="s">
        <v>8775</v>
      </c>
      <c r="F738" s="49" t="s">
        <v>36764</v>
      </c>
      <c r="H738" s="49" t="s">
        <v>36765</v>
      </c>
      <c r="O738" s="49" t="s">
        <v>36766</v>
      </c>
      <c r="P738" s="49" t="s">
        <v>36767</v>
      </c>
      <c r="Q738" s="49" t="s">
        <v>36768</v>
      </c>
      <c r="R738" s="49" t="s">
        <v>36769</v>
      </c>
      <c r="S738" s="49" t="s">
        <v>36770</v>
      </c>
      <c r="T738" s="49" t="s">
        <v>36771</v>
      </c>
      <c r="U738" s="49" t="s">
        <v>36772</v>
      </c>
    </row>
    <row r="739" spans="1:21" x14ac:dyDescent="0.2">
      <c r="A739" s="49" t="s">
        <v>30</v>
      </c>
      <c r="D739" s="49" t="s">
        <v>7056</v>
      </c>
      <c r="G739" s="49" t="s">
        <v>36773</v>
      </c>
      <c r="H739" s="49" t="s">
        <v>7057</v>
      </c>
      <c r="I739" s="49" t="s">
        <v>7058</v>
      </c>
      <c r="J739" s="49" t="s">
        <v>7059</v>
      </c>
      <c r="K739" s="49" t="s">
        <v>7060</v>
      </c>
      <c r="L739" s="49" t="s">
        <v>7061</v>
      </c>
      <c r="M739" s="49" t="s">
        <v>7062</v>
      </c>
      <c r="N739" s="49" t="s">
        <v>7063</v>
      </c>
      <c r="O739" s="49" t="s">
        <v>37463</v>
      </c>
      <c r="P739" s="49" t="s">
        <v>37469</v>
      </c>
      <c r="Q739" s="49" t="s">
        <v>37475</v>
      </c>
      <c r="R739" s="49" t="s">
        <v>37481</v>
      </c>
      <c r="S739" s="49" t="s">
        <v>37487</v>
      </c>
      <c r="T739" s="49" t="s">
        <v>37493</v>
      </c>
    </row>
    <row r="740" spans="1:21" x14ac:dyDescent="0.2">
      <c r="A740" s="49" t="s">
        <v>30</v>
      </c>
      <c r="D740" s="49" t="s">
        <v>7070</v>
      </c>
      <c r="G740" s="49" t="s">
        <v>19972</v>
      </c>
      <c r="H740" s="49" t="s">
        <v>7071</v>
      </c>
      <c r="I740" s="49" t="s">
        <v>7072</v>
      </c>
      <c r="J740" s="49" t="s">
        <v>7073</v>
      </c>
      <c r="K740" s="49" t="s">
        <v>7074</v>
      </c>
      <c r="L740" s="49" t="s">
        <v>7075</v>
      </c>
      <c r="M740" s="49" t="s">
        <v>7076</v>
      </c>
      <c r="N740" s="49" t="s">
        <v>7077</v>
      </c>
      <c r="O740" s="49" t="s">
        <v>37464</v>
      </c>
      <c r="P740" s="49" t="s">
        <v>37470</v>
      </c>
      <c r="Q740" s="49" t="s">
        <v>37476</v>
      </c>
      <c r="R740" s="49" t="s">
        <v>37482</v>
      </c>
      <c r="S740" s="49" t="s">
        <v>37488</v>
      </c>
      <c r="T740" s="49" t="s">
        <v>37494</v>
      </c>
    </row>
    <row r="741" spans="1:21" x14ac:dyDescent="0.2">
      <c r="A741" s="49" t="s">
        <v>30</v>
      </c>
      <c r="D741" s="49" t="s">
        <v>36774</v>
      </c>
      <c r="G741" s="49" t="s">
        <v>19977</v>
      </c>
      <c r="H741" s="49" t="s">
        <v>37457</v>
      </c>
      <c r="I741" s="49" t="s">
        <v>37460</v>
      </c>
      <c r="J741" s="49" t="s">
        <v>37499</v>
      </c>
      <c r="K741" s="49" t="s">
        <v>37502</v>
      </c>
      <c r="L741" s="49" t="s">
        <v>36775</v>
      </c>
      <c r="M741" s="49" t="s">
        <v>36776</v>
      </c>
      <c r="N741" s="49" t="s">
        <v>36777</v>
      </c>
      <c r="O741" s="49" t="s">
        <v>37465</v>
      </c>
      <c r="P741" s="49" t="s">
        <v>37471</v>
      </c>
      <c r="Q741" s="49" t="s">
        <v>37477</v>
      </c>
      <c r="R741" s="49" t="s">
        <v>37483</v>
      </c>
      <c r="S741" s="49" t="s">
        <v>37489</v>
      </c>
      <c r="T741" s="49" t="s">
        <v>37495</v>
      </c>
    </row>
    <row r="742" spans="1:21" x14ac:dyDescent="0.2">
      <c r="A742" s="49" t="s">
        <v>30</v>
      </c>
      <c r="D742" s="49" t="s">
        <v>36778</v>
      </c>
      <c r="G742" s="49" t="s">
        <v>19992</v>
      </c>
      <c r="H742" s="49" t="s">
        <v>37458</v>
      </c>
      <c r="I742" s="49" t="s">
        <v>37461</v>
      </c>
      <c r="J742" s="49" t="s">
        <v>37500</v>
      </c>
      <c r="K742" s="49" t="s">
        <v>37503</v>
      </c>
      <c r="L742" s="49" t="s">
        <v>36779</v>
      </c>
      <c r="M742" s="49" t="s">
        <v>36780</v>
      </c>
      <c r="N742" s="49" t="s">
        <v>36781</v>
      </c>
      <c r="O742" s="49" t="s">
        <v>37466</v>
      </c>
      <c r="P742" s="49" t="s">
        <v>37472</v>
      </c>
      <c r="Q742" s="49" t="s">
        <v>37478</v>
      </c>
      <c r="R742" s="49" t="s">
        <v>37484</v>
      </c>
      <c r="S742" s="49" t="s">
        <v>37490</v>
      </c>
      <c r="T742" s="49" t="s">
        <v>37496</v>
      </c>
    </row>
    <row r="743" spans="1:21" x14ac:dyDescent="0.2">
      <c r="A743" s="49" t="s">
        <v>30</v>
      </c>
      <c r="D743" s="49" t="s">
        <v>36782</v>
      </c>
      <c r="G743" s="49" t="s">
        <v>20022</v>
      </c>
      <c r="H743" s="49" t="s">
        <v>37459</v>
      </c>
      <c r="I743" s="49" t="s">
        <v>37462</v>
      </c>
      <c r="J743" s="49" t="s">
        <v>37501</v>
      </c>
      <c r="K743" s="49" t="s">
        <v>37504</v>
      </c>
      <c r="L743" s="49" t="s">
        <v>36783</v>
      </c>
      <c r="M743" s="49" t="s">
        <v>36784</v>
      </c>
      <c r="N743" s="49" t="s">
        <v>36785</v>
      </c>
      <c r="O743" s="49" t="s">
        <v>37467</v>
      </c>
      <c r="P743" s="49" t="s">
        <v>37473</v>
      </c>
      <c r="Q743" s="49" t="s">
        <v>37479</v>
      </c>
      <c r="R743" s="49" t="s">
        <v>37485</v>
      </c>
      <c r="S743" s="49" t="s">
        <v>37491</v>
      </c>
      <c r="T743" s="49" t="s">
        <v>37497</v>
      </c>
    </row>
    <row r="744" spans="1:21" x14ac:dyDescent="0.2">
      <c r="A744" s="49" t="s">
        <v>30</v>
      </c>
      <c r="D744" s="49" t="s">
        <v>11287</v>
      </c>
      <c r="G744" s="49" t="s">
        <v>20032</v>
      </c>
      <c r="H744" s="49" t="s">
        <v>11289</v>
      </c>
      <c r="I744" s="49" t="s">
        <v>11290</v>
      </c>
      <c r="J744" s="49" t="s">
        <v>11291</v>
      </c>
      <c r="K744" s="49" t="s">
        <v>11292</v>
      </c>
      <c r="L744" s="49" t="s">
        <v>11293</v>
      </c>
      <c r="M744" s="49" t="s">
        <v>11294</v>
      </c>
      <c r="N744" s="49" t="s">
        <v>11295</v>
      </c>
      <c r="O744" s="49" t="s">
        <v>37468</v>
      </c>
      <c r="P744" s="49" t="s">
        <v>37474</v>
      </c>
      <c r="Q744" s="49" t="s">
        <v>37480</v>
      </c>
      <c r="R744" s="49" t="s">
        <v>37486</v>
      </c>
      <c r="S744" s="49" t="s">
        <v>37492</v>
      </c>
      <c r="T744" s="49" t="s">
        <v>37498</v>
      </c>
    </row>
    <row r="745" spans="1:21" x14ac:dyDescent="0.2">
      <c r="A745" s="49" t="s">
        <v>30</v>
      </c>
    </row>
    <row r="746" spans="1:21" x14ac:dyDescent="0.2">
      <c r="A746" s="49" t="s">
        <v>30</v>
      </c>
      <c r="E746" s="49" t="s">
        <v>31</v>
      </c>
      <c r="F746" s="49" t="s">
        <v>31</v>
      </c>
      <c r="G746" s="49" t="s">
        <v>31</v>
      </c>
      <c r="J746" s="49" t="s">
        <v>31</v>
      </c>
      <c r="K746" s="49" t="s">
        <v>31</v>
      </c>
      <c r="L746" s="49" t="s">
        <v>31</v>
      </c>
      <c r="M746" s="49" t="s">
        <v>31</v>
      </c>
    </row>
    <row r="747" spans="1:21" x14ac:dyDescent="0.2">
      <c r="A747" s="49" t="s">
        <v>30</v>
      </c>
      <c r="D747" s="49" t="s">
        <v>11302</v>
      </c>
      <c r="E747" s="49" t="s">
        <v>8832</v>
      </c>
      <c r="F747" s="49" t="s">
        <v>11303</v>
      </c>
      <c r="H747" s="49" t="s">
        <v>11304</v>
      </c>
      <c r="O747" s="49" t="s">
        <v>36786</v>
      </c>
      <c r="P747" s="49" t="s">
        <v>36787</v>
      </c>
      <c r="Q747" s="49" t="s">
        <v>36788</v>
      </c>
      <c r="R747" s="49" t="s">
        <v>36789</v>
      </c>
      <c r="S747" s="49" t="s">
        <v>36790</v>
      </c>
      <c r="T747" s="49" t="s">
        <v>36791</v>
      </c>
      <c r="U747" s="49" t="s">
        <v>36792</v>
      </c>
    </row>
    <row r="748" spans="1:21" x14ac:dyDescent="0.2">
      <c r="A748" s="49" t="s">
        <v>30</v>
      </c>
      <c r="D748" s="49" t="s">
        <v>7085</v>
      </c>
      <c r="G748" s="49" t="s">
        <v>36793</v>
      </c>
      <c r="H748" s="49" t="s">
        <v>7086</v>
      </c>
      <c r="I748" s="49" t="s">
        <v>7087</v>
      </c>
      <c r="J748" s="49" t="s">
        <v>7088</v>
      </c>
      <c r="K748" s="49" t="s">
        <v>7089</v>
      </c>
      <c r="L748" s="49" t="s">
        <v>7090</v>
      </c>
      <c r="M748" s="49" t="s">
        <v>7091</v>
      </c>
      <c r="N748" s="49" t="s">
        <v>7092</v>
      </c>
      <c r="O748" s="49" t="s">
        <v>37433</v>
      </c>
      <c r="P748" s="49" t="s">
        <v>37437</v>
      </c>
      <c r="Q748" s="49" t="s">
        <v>37441</v>
      </c>
      <c r="R748" s="49" t="s">
        <v>37445</v>
      </c>
      <c r="S748" s="49" t="s">
        <v>37449</v>
      </c>
      <c r="T748" s="49" t="s">
        <v>37453</v>
      </c>
    </row>
    <row r="749" spans="1:21" x14ac:dyDescent="0.2">
      <c r="A749" s="49" t="s">
        <v>30</v>
      </c>
      <c r="D749" s="49" t="s">
        <v>7099</v>
      </c>
      <c r="G749" s="49" t="s">
        <v>20077</v>
      </c>
      <c r="H749" s="49" t="s">
        <v>7100</v>
      </c>
      <c r="I749" s="49" t="s">
        <v>7101</v>
      </c>
      <c r="J749" s="49" t="s">
        <v>7102</v>
      </c>
      <c r="K749" s="49" t="s">
        <v>7103</v>
      </c>
      <c r="L749" s="49" t="s">
        <v>7104</v>
      </c>
      <c r="M749" s="49" t="s">
        <v>7105</v>
      </c>
      <c r="N749" s="49" t="s">
        <v>7106</v>
      </c>
      <c r="O749" s="49" t="s">
        <v>37434</v>
      </c>
      <c r="P749" s="49" t="s">
        <v>37438</v>
      </c>
      <c r="Q749" s="49" t="s">
        <v>37442</v>
      </c>
      <c r="R749" s="49" t="s">
        <v>37446</v>
      </c>
      <c r="S749" s="49" t="s">
        <v>37450</v>
      </c>
      <c r="T749" s="49" t="s">
        <v>37454</v>
      </c>
    </row>
    <row r="750" spans="1:21" x14ac:dyDescent="0.2">
      <c r="A750" s="49" t="s">
        <v>30</v>
      </c>
      <c r="D750" s="49" t="s">
        <v>7107</v>
      </c>
      <c r="G750" s="49" t="s">
        <v>20107</v>
      </c>
      <c r="H750" s="49" t="s">
        <v>7108</v>
      </c>
      <c r="I750" s="49" t="s">
        <v>7109</v>
      </c>
      <c r="J750" s="49" t="s">
        <v>7110</v>
      </c>
      <c r="K750" s="49" t="s">
        <v>7111</v>
      </c>
      <c r="L750" s="49" t="s">
        <v>7112</v>
      </c>
      <c r="M750" s="49" t="s">
        <v>7113</v>
      </c>
      <c r="N750" s="49" t="s">
        <v>7114</v>
      </c>
      <c r="O750" s="49" t="s">
        <v>37435</v>
      </c>
      <c r="P750" s="49" t="s">
        <v>37439</v>
      </c>
      <c r="Q750" s="49" t="s">
        <v>37443</v>
      </c>
      <c r="R750" s="49" t="s">
        <v>37447</v>
      </c>
      <c r="S750" s="49" t="s">
        <v>37451</v>
      </c>
      <c r="T750" s="49" t="s">
        <v>37455</v>
      </c>
    </row>
    <row r="751" spans="1:21" x14ac:dyDescent="0.2">
      <c r="A751" s="49" t="s">
        <v>30</v>
      </c>
      <c r="D751" s="49" t="s">
        <v>7115</v>
      </c>
      <c r="G751" s="49" t="s">
        <v>20122</v>
      </c>
      <c r="H751" s="49" t="s">
        <v>7116</v>
      </c>
      <c r="I751" s="49" t="s">
        <v>7117</v>
      </c>
      <c r="J751" s="49" t="s">
        <v>7118</v>
      </c>
      <c r="K751" s="49" t="s">
        <v>7119</v>
      </c>
      <c r="L751" s="49" t="s">
        <v>7120</v>
      </c>
      <c r="M751" s="49" t="s">
        <v>7121</v>
      </c>
      <c r="N751" s="49" t="s">
        <v>7122</v>
      </c>
      <c r="O751" s="49" t="s">
        <v>37436</v>
      </c>
      <c r="P751" s="49" t="s">
        <v>37440</v>
      </c>
      <c r="Q751" s="49" t="s">
        <v>37444</v>
      </c>
      <c r="R751" s="49" t="s">
        <v>37448</v>
      </c>
      <c r="S751" s="49" t="s">
        <v>37452</v>
      </c>
      <c r="T751" s="49" t="s">
        <v>37456</v>
      </c>
    </row>
    <row r="752" spans="1:21" x14ac:dyDescent="0.2">
      <c r="A752" s="49" t="s">
        <v>30</v>
      </c>
    </row>
    <row r="753" spans="1:21" x14ac:dyDescent="0.2">
      <c r="A753" s="49" t="s">
        <v>30</v>
      </c>
      <c r="E753" s="49" t="s">
        <v>31</v>
      </c>
      <c r="F753" s="49" t="s">
        <v>31</v>
      </c>
      <c r="G753" s="49" t="s">
        <v>31</v>
      </c>
      <c r="J753" s="49" t="s">
        <v>31</v>
      </c>
      <c r="K753" s="49" t="s">
        <v>31</v>
      </c>
      <c r="L753" s="49" t="s">
        <v>31</v>
      </c>
      <c r="M753" s="49" t="s">
        <v>31</v>
      </c>
    </row>
    <row r="754" spans="1:21" x14ac:dyDescent="0.2">
      <c r="A754" s="49" t="s">
        <v>30</v>
      </c>
      <c r="D754" s="49" t="s">
        <v>36794</v>
      </c>
      <c r="E754" s="49" t="s">
        <v>8833</v>
      </c>
      <c r="F754" s="49" t="s">
        <v>36795</v>
      </c>
      <c r="H754" s="49" t="s">
        <v>36796</v>
      </c>
      <c r="O754" s="49" t="s">
        <v>36797</v>
      </c>
      <c r="P754" s="49" t="s">
        <v>36798</v>
      </c>
      <c r="Q754" s="49" t="s">
        <v>36799</v>
      </c>
      <c r="R754" s="49" t="s">
        <v>36800</v>
      </c>
      <c r="S754" s="49" t="s">
        <v>36801</v>
      </c>
      <c r="T754" s="49" t="s">
        <v>36802</v>
      </c>
      <c r="U754" s="49" t="s">
        <v>36803</v>
      </c>
    </row>
    <row r="755" spans="1:21" x14ac:dyDescent="0.2">
      <c r="A755" s="49" t="s">
        <v>30</v>
      </c>
      <c r="D755" s="49" t="s">
        <v>15394</v>
      </c>
      <c r="G755" s="49" t="s">
        <v>36804</v>
      </c>
      <c r="H755" s="49" t="s">
        <v>30588</v>
      </c>
      <c r="I755" s="49" t="s">
        <v>30594</v>
      </c>
      <c r="J755" s="49" t="s">
        <v>30636</v>
      </c>
      <c r="K755" s="49" t="s">
        <v>30642</v>
      </c>
      <c r="L755" s="49" t="s">
        <v>15396</v>
      </c>
      <c r="M755" s="49" t="s">
        <v>15397</v>
      </c>
      <c r="N755" s="49" t="s">
        <v>15398</v>
      </c>
      <c r="O755" s="49" t="s">
        <v>37409</v>
      </c>
      <c r="P755" s="49" t="s">
        <v>37413</v>
      </c>
      <c r="Q755" s="49" t="s">
        <v>37417</v>
      </c>
      <c r="R755" s="49" t="s">
        <v>37421</v>
      </c>
      <c r="S755" s="49" t="s">
        <v>37425</v>
      </c>
      <c r="T755" s="49" t="s">
        <v>37429</v>
      </c>
    </row>
    <row r="756" spans="1:21" x14ac:dyDescent="0.2">
      <c r="A756" s="49" t="s">
        <v>30</v>
      </c>
      <c r="D756" s="49" t="s">
        <v>7137</v>
      </c>
      <c r="G756" s="49" t="s">
        <v>20162</v>
      </c>
      <c r="H756" s="49" t="s">
        <v>7138</v>
      </c>
      <c r="I756" s="49" t="s">
        <v>7139</v>
      </c>
      <c r="J756" s="49" t="s">
        <v>7140</v>
      </c>
      <c r="K756" s="49" t="s">
        <v>7141</v>
      </c>
      <c r="L756" s="49" t="s">
        <v>7142</v>
      </c>
      <c r="M756" s="49" t="s">
        <v>7143</v>
      </c>
      <c r="N756" s="49" t="s">
        <v>7144</v>
      </c>
      <c r="O756" s="49" t="s">
        <v>37410</v>
      </c>
      <c r="P756" s="49" t="s">
        <v>37414</v>
      </c>
      <c r="Q756" s="49" t="s">
        <v>37418</v>
      </c>
      <c r="R756" s="49" t="s">
        <v>37422</v>
      </c>
      <c r="S756" s="49" t="s">
        <v>37426</v>
      </c>
      <c r="T756" s="49" t="s">
        <v>37430</v>
      </c>
    </row>
    <row r="757" spans="1:21" x14ac:dyDescent="0.2">
      <c r="A757" s="49" t="s">
        <v>30</v>
      </c>
      <c r="D757" s="49" t="s">
        <v>7151</v>
      </c>
      <c r="G757" s="49" t="s">
        <v>20172</v>
      </c>
      <c r="H757" s="49" t="s">
        <v>7152</v>
      </c>
      <c r="I757" s="49" t="s">
        <v>7153</v>
      </c>
      <c r="J757" s="49" t="s">
        <v>7154</v>
      </c>
      <c r="K757" s="49" t="s">
        <v>7155</v>
      </c>
      <c r="L757" s="49" t="s">
        <v>7156</v>
      </c>
      <c r="M757" s="49" t="s">
        <v>7157</v>
      </c>
      <c r="N757" s="49" t="s">
        <v>7158</v>
      </c>
      <c r="O757" s="49" t="s">
        <v>37411</v>
      </c>
      <c r="P757" s="49" t="s">
        <v>37415</v>
      </c>
      <c r="Q757" s="49" t="s">
        <v>37419</v>
      </c>
      <c r="R757" s="49" t="s">
        <v>37423</v>
      </c>
      <c r="S757" s="49" t="s">
        <v>37427</v>
      </c>
      <c r="T757" s="49" t="s">
        <v>37431</v>
      </c>
    </row>
    <row r="758" spans="1:21" x14ac:dyDescent="0.2">
      <c r="A758" s="49" t="s">
        <v>30</v>
      </c>
      <c r="D758" s="49" t="s">
        <v>7165</v>
      </c>
      <c r="G758" s="49" t="s">
        <v>20192</v>
      </c>
      <c r="H758" s="49" t="s">
        <v>7166</v>
      </c>
      <c r="I758" s="49" t="s">
        <v>7167</v>
      </c>
      <c r="J758" s="49" t="s">
        <v>7168</v>
      </c>
      <c r="K758" s="49" t="s">
        <v>7169</v>
      </c>
      <c r="L758" s="49" t="s">
        <v>7170</v>
      </c>
      <c r="M758" s="49" t="s">
        <v>7171</v>
      </c>
      <c r="N758" s="49" t="s">
        <v>7172</v>
      </c>
      <c r="O758" s="49" t="s">
        <v>37412</v>
      </c>
      <c r="P758" s="49" t="s">
        <v>37416</v>
      </c>
      <c r="Q758" s="49" t="s">
        <v>37420</v>
      </c>
      <c r="R758" s="49" t="s">
        <v>37424</v>
      </c>
      <c r="S758" s="49" t="s">
        <v>37428</v>
      </c>
      <c r="T758" s="49" t="s">
        <v>37432</v>
      </c>
    </row>
    <row r="759" spans="1:21" x14ac:dyDescent="0.2">
      <c r="A759" s="49" t="s">
        <v>30</v>
      </c>
    </row>
    <row r="760" spans="1:21" x14ac:dyDescent="0.2">
      <c r="A760" s="49" t="s">
        <v>30</v>
      </c>
      <c r="E760" s="49" t="s">
        <v>31</v>
      </c>
      <c r="F760" s="49" t="s">
        <v>31</v>
      </c>
      <c r="G760" s="49" t="s">
        <v>31</v>
      </c>
      <c r="J760" s="49" t="s">
        <v>31</v>
      </c>
      <c r="K760" s="49" t="s">
        <v>31</v>
      </c>
      <c r="L760" s="49" t="s">
        <v>31</v>
      </c>
      <c r="M760" s="49" t="s">
        <v>31</v>
      </c>
    </row>
    <row r="761" spans="1:21" x14ac:dyDescent="0.2">
      <c r="A761" s="49" t="s">
        <v>30</v>
      </c>
      <c r="D761" s="49" t="s">
        <v>7179</v>
      </c>
      <c r="E761" s="49" t="s">
        <v>8834</v>
      </c>
      <c r="F761" s="49" t="s">
        <v>7181</v>
      </c>
      <c r="H761" s="49" t="s">
        <v>7182</v>
      </c>
      <c r="O761" s="49" t="s">
        <v>36805</v>
      </c>
      <c r="P761" s="49" t="s">
        <v>36806</v>
      </c>
      <c r="Q761" s="49" t="s">
        <v>36807</v>
      </c>
      <c r="R761" s="49" t="s">
        <v>36808</v>
      </c>
      <c r="S761" s="49" t="s">
        <v>36809</v>
      </c>
      <c r="T761" s="49" t="s">
        <v>36810</v>
      </c>
      <c r="U761" s="49" t="s">
        <v>36811</v>
      </c>
    </row>
    <row r="762" spans="1:21" x14ac:dyDescent="0.2">
      <c r="A762" s="49" t="s">
        <v>30</v>
      </c>
      <c r="D762" s="49" t="s">
        <v>7183</v>
      </c>
      <c r="G762" s="49" t="s">
        <v>36812</v>
      </c>
      <c r="H762" s="49" t="s">
        <v>7184</v>
      </c>
      <c r="I762" s="49" t="s">
        <v>7185</v>
      </c>
      <c r="J762" s="49" t="s">
        <v>7186</v>
      </c>
      <c r="K762" s="49" t="s">
        <v>7187</v>
      </c>
      <c r="L762" s="49" t="s">
        <v>7188</v>
      </c>
      <c r="M762" s="49" t="s">
        <v>7189</v>
      </c>
      <c r="N762" s="49" t="s">
        <v>7190</v>
      </c>
      <c r="O762" s="49" t="s">
        <v>37373</v>
      </c>
      <c r="P762" s="49" t="s">
        <v>37379</v>
      </c>
      <c r="Q762" s="49" t="s">
        <v>37385</v>
      </c>
      <c r="R762" s="49" t="s">
        <v>37391</v>
      </c>
      <c r="S762" s="49" t="s">
        <v>37397</v>
      </c>
      <c r="T762" s="49" t="s">
        <v>37403</v>
      </c>
    </row>
    <row r="763" spans="1:21" x14ac:dyDescent="0.2">
      <c r="A763" s="49" t="s">
        <v>30</v>
      </c>
      <c r="D763" s="49" t="s">
        <v>7191</v>
      </c>
      <c r="G763" s="49" t="s">
        <v>20257</v>
      </c>
      <c r="H763" s="49" t="s">
        <v>7192</v>
      </c>
      <c r="I763" s="49" t="s">
        <v>7193</v>
      </c>
      <c r="J763" s="49" t="s">
        <v>7194</v>
      </c>
      <c r="K763" s="49" t="s">
        <v>7195</v>
      </c>
      <c r="L763" s="49" t="s">
        <v>7196</v>
      </c>
      <c r="M763" s="49" t="s">
        <v>7197</v>
      </c>
      <c r="N763" s="49" t="s">
        <v>7198</v>
      </c>
      <c r="O763" s="49" t="s">
        <v>37374</v>
      </c>
      <c r="P763" s="49" t="s">
        <v>37380</v>
      </c>
      <c r="Q763" s="49" t="s">
        <v>37386</v>
      </c>
      <c r="R763" s="49" t="s">
        <v>37392</v>
      </c>
      <c r="S763" s="49" t="s">
        <v>37398</v>
      </c>
      <c r="T763" s="49" t="s">
        <v>37404</v>
      </c>
    </row>
    <row r="764" spans="1:21" x14ac:dyDescent="0.2">
      <c r="A764" s="49" t="s">
        <v>30</v>
      </c>
      <c r="D764" s="49" t="s">
        <v>7199</v>
      </c>
      <c r="G764" s="49" t="s">
        <v>20262</v>
      </c>
      <c r="H764" s="49" t="s">
        <v>7200</v>
      </c>
      <c r="I764" s="49" t="s">
        <v>7201</v>
      </c>
      <c r="J764" s="49" t="s">
        <v>7202</v>
      </c>
      <c r="K764" s="49" t="s">
        <v>7203</v>
      </c>
      <c r="L764" s="49" t="s">
        <v>7204</v>
      </c>
      <c r="M764" s="49" t="s">
        <v>7205</v>
      </c>
      <c r="N764" s="49" t="s">
        <v>7206</v>
      </c>
      <c r="O764" s="49" t="s">
        <v>37375</v>
      </c>
      <c r="P764" s="49" t="s">
        <v>37381</v>
      </c>
      <c r="Q764" s="49" t="s">
        <v>37387</v>
      </c>
      <c r="R764" s="49" t="s">
        <v>37393</v>
      </c>
      <c r="S764" s="49" t="s">
        <v>37399</v>
      </c>
      <c r="T764" s="49" t="s">
        <v>37405</v>
      </c>
    </row>
    <row r="765" spans="1:21" x14ac:dyDescent="0.2">
      <c r="A765" s="49" t="s">
        <v>30</v>
      </c>
      <c r="D765" s="49" t="s">
        <v>15427</v>
      </c>
      <c r="G765" s="49" t="s">
        <v>20272</v>
      </c>
      <c r="H765" s="49" t="s">
        <v>30526</v>
      </c>
      <c r="I765" s="49" t="s">
        <v>30532</v>
      </c>
      <c r="J765" s="49" t="s">
        <v>30574</v>
      </c>
      <c r="K765" s="49" t="s">
        <v>30580</v>
      </c>
      <c r="L765" s="49" t="s">
        <v>15429</v>
      </c>
      <c r="M765" s="49" t="s">
        <v>15430</v>
      </c>
      <c r="N765" s="49" t="s">
        <v>15431</v>
      </c>
      <c r="O765" s="49" t="s">
        <v>37376</v>
      </c>
      <c r="P765" s="49" t="s">
        <v>37382</v>
      </c>
      <c r="Q765" s="49" t="s">
        <v>37388</v>
      </c>
      <c r="R765" s="49" t="s">
        <v>37394</v>
      </c>
      <c r="S765" s="49" t="s">
        <v>37400</v>
      </c>
      <c r="T765" s="49" t="s">
        <v>37406</v>
      </c>
    </row>
    <row r="766" spans="1:21" x14ac:dyDescent="0.2">
      <c r="A766" s="49" t="s">
        <v>30</v>
      </c>
      <c r="D766" s="49" t="s">
        <v>15432</v>
      </c>
      <c r="G766" s="49" t="s">
        <v>20297</v>
      </c>
      <c r="H766" s="49" t="s">
        <v>30527</v>
      </c>
      <c r="I766" s="49" t="s">
        <v>30533</v>
      </c>
      <c r="J766" s="49" t="s">
        <v>30575</v>
      </c>
      <c r="K766" s="49" t="s">
        <v>30581</v>
      </c>
      <c r="L766" s="49" t="s">
        <v>15434</v>
      </c>
      <c r="M766" s="49" t="s">
        <v>15435</v>
      </c>
      <c r="N766" s="49" t="s">
        <v>15436</v>
      </c>
      <c r="O766" s="49" t="s">
        <v>37377</v>
      </c>
      <c r="P766" s="49" t="s">
        <v>37383</v>
      </c>
      <c r="Q766" s="49" t="s">
        <v>37389</v>
      </c>
      <c r="R766" s="49" t="s">
        <v>37395</v>
      </c>
      <c r="S766" s="49" t="s">
        <v>37401</v>
      </c>
      <c r="T766" s="49" t="s">
        <v>37407</v>
      </c>
    </row>
    <row r="767" spans="1:21" x14ac:dyDescent="0.2">
      <c r="A767" s="49" t="s">
        <v>30</v>
      </c>
      <c r="D767" s="49" t="s">
        <v>15437</v>
      </c>
      <c r="G767" s="49" t="s">
        <v>20302</v>
      </c>
      <c r="H767" s="49" t="s">
        <v>30528</v>
      </c>
      <c r="I767" s="49" t="s">
        <v>30534</v>
      </c>
      <c r="J767" s="49" t="s">
        <v>30576</v>
      </c>
      <c r="K767" s="49" t="s">
        <v>30582</v>
      </c>
      <c r="L767" s="49" t="s">
        <v>15439</v>
      </c>
      <c r="M767" s="49" t="s">
        <v>15440</v>
      </c>
      <c r="N767" s="49" t="s">
        <v>15441</v>
      </c>
      <c r="O767" s="49" t="s">
        <v>37378</v>
      </c>
      <c r="P767" s="49" t="s">
        <v>37384</v>
      </c>
      <c r="Q767" s="49" t="s">
        <v>37390</v>
      </c>
      <c r="R767" s="49" t="s">
        <v>37396</v>
      </c>
      <c r="S767" s="49" t="s">
        <v>37402</v>
      </c>
      <c r="T767" s="49" t="s">
        <v>37408</v>
      </c>
    </row>
    <row r="768" spans="1:21" x14ac:dyDescent="0.2">
      <c r="A768" s="49" t="s">
        <v>30</v>
      </c>
    </row>
    <row r="769" spans="1:21" x14ac:dyDescent="0.2">
      <c r="A769" s="49" t="s">
        <v>30</v>
      </c>
      <c r="E769" s="49" t="s">
        <v>31</v>
      </c>
      <c r="F769" s="49" t="s">
        <v>31</v>
      </c>
      <c r="G769" s="49" t="s">
        <v>31</v>
      </c>
      <c r="J769" s="49" t="s">
        <v>31</v>
      </c>
      <c r="K769" s="49" t="s">
        <v>31</v>
      </c>
      <c r="L769" s="49" t="s">
        <v>31</v>
      </c>
      <c r="M769" s="49" t="s">
        <v>31</v>
      </c>
    </row>
    <row r="770" spans="1:21" x14ac:dyDescent="0.2">
      <c r="A770" s="49" t="s">
        <v>30</v>
      </c>
      <c r="D770" s="49" t="s">
        <v>36813</v>
      </c>
      <c r="E770" s="49" t="s">
        <v>8835</v>
      </c>
      <c r="F770" s="49" t="s">
        <v>36814</v>
      </c>
      <c r="H770" s="49" t="s">
        <v>36815</v>
      </c>
      <c r="O770" s="49" t="s">
        <v>36816</v>
      </c>
      <c r="P770" s="49" t="s">
        <v>36817</v>
      </c>
      <c r="Q770" s="49" t="s">
        <v>36818</v>
      </c>
      <c r="R770" s="49" t="s">
        <v>36819</v>
      </c>
      <c r="S770" s="49" t="s">
        <v>36820</v>
      </c>
      <c r="T770" s="49" t="s">
        <v>36821</v>
      </c>
      <c r="U770" s="49" t="s">
        <v>36822</v>
      </c>
    </row>
    <row r="771" spans="1:21" x14ac:dyDescent="0.2">
      <c r="A771" s="49" t="s">
        <v>30</v>
      </c>
      <c r="D771" s="49" t="s">
        <v>7249</v>
      </c>
      <c r="G771" s="49" t="s">
        <v>36823</v>
      </c>
      <c r="H771" s="49" t="s">
        <v>7250</v>
      </c>
      <c r="I771" s="49" t="s">
        <v>7251</v>
      </c>
      <c r="J771" s="49" t="s">
        <v>7252</v>
      </c>
      <c r="K771" s="49" t="s">
        <v>7253</v>
      </c>
      <c r="L771" s="49" t="s">
        <v>7254</v>
      </c>
      <c r="M771" s="49" t="s">
        <v>7255</v>
      </c>
      <c r="N771" s="49" t="s">
        <v>7256</v>
      </c>
      <c r="O771" s="49" t="s">
        <v>37325</v>
      </c>
      <c r="P771" s="49" t="s">
        <v>37333</v>
      </c>
      <c r="Q771" s="49" t="s">
        <v>37341</v>
      </c>
      <c r="R771" s="49" t="s">
        <v>37349</v>
      </c>
      <c r="S771" s="49" t="s">
        <v>37357</v>
      </c>
      <c r="T771" s="49" t="s">
        <v>37365</v>
      </c>
    </row>
    <row r="772" spans="1:21" x14ac:dyDescent="0.2">
      <c r="A772" s="49" t="s">
        <v>30</v>
      </c>
      <c r="D772" s="49" t="s">
        <v>7263</v>
      </c>
      <c r="G772" s="49" t="s">
        <v>20362</v>
      </c>
      <c r="H772" s="49" t="s">
        <v>7264</v>
      </c>
      <c r="I772" s="49" t="s">
        <v>7265</v>
      </c>
      <c r="J772" s="49" t="s">
        <v>7266</v>
      </c>
      <c r="K772" s="49" t="s">
        <v>7267</v>
      </c>
      <c r="L772" s="49" t="s">
        <v>7268</v>
      </c>
      <c r="M772" s="49" t="s">
        <v>7269</v>
      </c>
      <c r="N772" s="49" t="s">
        <v>7270</v>
      </c>
      <c r="O772" s="49" t="s">
        <v>37326</v>
      </c>
      <c r="P772" s="49" t="s">
        <v>37334</v>
      </c>
      <c r="Q772" s="49" t="s">
        <v>37342</v>
      </c>
      <c r="R772" s="49" t="s">
        <v>37350</v>
      </c>
      <c r="S772" s="49" t="s">
        <v>37358</v>
      </c>
      <c r="T772" s="49" t="s">
        <v>37366</v>
      </c>
    </row>
    <row r="773" spans="1:21" x14ac:dyDescent="0.2">
      <c r="A773" s="49" t="s">
        <v>30</v>
      </c>
      <c r="D773" s="49" t="s">
        <v>7277</v>
      </c>
      <c r="G773" s="49" t="s">
        <v>20387</v>
      </c>
      <c r="H773" s="49" t="s">
        <v>7278</v>
      </c>
      <c r="I773" s="49" t="s">
        <v>7279</v>
      </c>
      <c r="J773" s="49" t="s">
        <v>7280</v>
      </c>
      <c r="K773" s="49" t="s">
        <v>7281</v>
      </c>
      <c r="L773" s="49" t="s">
        <v>7282</v>
      </c>
      <c r="M773" s="49" t="s">
        <v>7283</v>
      </c>
      <c r="N773" s="49" t="s">
        <v>7284</v>
      </c>
      <c r="O773" s="49" t="s">
        <v>37327</v>
      </c>
      <c r="P773" s="49" t="s">
        <v>37335</v>
      </c>
      <c r="Q773" s="49" t="s">
        <v>37343</v>
      </c>
      <c r="R773" s="49" t="s">
        <v>37351</v>
      </c>
      <c r="S773" s="49" t="s">
        <v>37359</v>
      </c>
      <c r="T773" s="49" t="s">
        <v>37367</v>
      </c>
    </row>
    <row r="774" spans="1:21" x14ac:dyDescent="0.2">
      <c r="A774" s="49" t="s">
        <v>30</v>
      </c>
      <c r="D774" s="49" t="s">
        <v>15448</v>
      </c>
      <c r="G774" s="49" t="s">
        <v>20392</v>
      </c>
      <c r="H774" s="49" t="s">
        <v>30529</v>
      </c>
      <c r="I774" s="49" t="s">
        <v>30535</v>
      </c>
      <c r="J774" s="49" t="s">
        <v>30577</v>
      </c>
      <c r="K774" s="49" t="s">
        <v>30583</v>
      </c>
      <c r="L774" s="49" t="s">
        <v>15450</v>
      </c>
      <c r="M774" s="49" t="s">
        <v>15451</v>
      </c>
      <c r="N774" s="49" t="s">
        <v>15452</v>
      </c>
      <c r="O774" s="49" t="s">
        <v>37328</v>
      </c>
      <c r="P774" s="49" t="s">
        <v>37336</v>
      </c>
      <c r="Q774" s="49" t="s">
        <v>37344</v>
      </c>
      <c r="R774" s="49" t="s">
        <v>37352</v>
      </c>
      <c r="S774" s="49" t="s">
        <v>37360</v>
      </c>
      <c r="T774" s="49" t="s">
        <v>37368</v>
      </c>
    </row>
    <row r="775" spans="1:21" x14ac:dyDescent="0.2">
      <c r="A775" s="49" t="s">
        <v>30</v>
      </c>
      <c r="D775" s="49" t="s">
        <v>15453</v>
      </c>
      <c r="G775" s="49" t="s">
        <v>20397</v>
      </c>
      <c r="H775" s="49" t="s">
        <v>30530</v>
      </c>
      <c r="I775" s="49" t="s">
        <v>30536</v>
      </c>
      <c r="J775" s="49" t="s">
        <v>30578</v>
      </c>
      <c r="K775" s="49" t="s">
        <v>30584</v>
      </c>
      <c r="L775" s="49" t="s">
        <v>15455</v>
      </c>
      <c r="M775" s="49" t="s">
        <v>15456</v>
      </c>
      <c r="N775" s="49" t="s">
        <v>15457</v>
      </c>
      <c r="O775" s="49" t="s">
        <v>37329</v>
      </c>
      <c r="P775" s="49" t="s">
        <v>37337</v>
      </c>
      <c r="Q775" s="49" t="s">
        <v>37345</v>
      </c>
      <c r="R775" s="49" t="s">
        <v>37353</v>
      </c>
      <c r="S775" s="49" t="s">
        <v>37361</v>
      </c>
      <c r="T775" s="49" t="s">
        <v>37369</v>
      </c>
    </row>
    <row r="776" spans="1:21" x14ac:dyDescent="0.2">
      <c r="A776" s="49" t="s">
        <v>30</v>
      </c>
      <c r="D776" s="49" t="s">
        <v>15458</v>
      </c>
      <c r="G776" s="49" t="s">
        <v>20422</v>
      </c>
      <c r="H776" s="49" t="s">
        <v>30531</v>
      </c>
      <c r="I776" s="49" t="s">
        <v>30537</v>
      </c>
      <c r="J776" s="49" t="s">
        <v>30579</v>
      </c>
      <c r="K776" s="49" t="s">
        <v>30585</v>
      </c>
      <c r="L776" s="49" t="s">
        <v>15460</v>
      </c>
      <c r="M776" s="49" t="s">
        <v>15461</v>
      </c>
      <c r="N776" s="49" t="s">
        <v>15462</v>
      </c>
      <c r="O776" s="49" t="s">
        <v>37330</v>
      </c>
      <c r="P776" s="49" t="s">
        <v>37338</v>
      </c>
      <c r="Q776" s="49" t="s">
        <v>37346</v>
      </c>
      <c r="R776" s="49" t="s">
        <v>37354</v>
      </c>
      <c r="S776" s="49" t="s">
        <v>37362</v>
      </c>
      <c r="T776" s="49" t="s">
        <v>37370</v>
      </c>
    </row>
    <row r="777" spans="1:21" x14ac:dyDescent="0.2">
      <c r="A777" s="49" t="s">
        <v>30</v>
      </c>
      <c r="D777" s="49" t="s">
        <v>7292</v>
      </c>
      <c r="G777" s="49" t="s">
        <v>20432</v>
      </c>
      <c r="H777" s="49" t="s">
        <v>7293</v>
      </c>
      <c r="I777" s="49" t="s">
        <v>7294</v>
      </c>
      <c r="J777" s="49" t="s">
        <v>7295</v>
      </c>
      <c r="K777" s="49" t="s">
        <v>7296</v>
      </c>
      <c r="L777" s="49" t="s">
        <v>7297</v>
      </c>
      <c r="M777" s="49" t="s">
        <v>7298</v>
      </c>
      <c r="N777" s="49" t="s">
        <v>7299</v>
      </c>
      <c r="O777" s="49" t="s">
        <v>37331</v>
      </c>
      <c r="P777" s="49" t="s">
        <v>37339</v>
      </c>
      <c r="Q777" s="49" t="s">
        <v>37347</v>
      </c>
      <c r="R777" s="49" t="s">
        <v>37355</v>
      </c>
      <c r="S777" s="49" t="s">
        <v>37363</v>
      </c>
      <c r="T777" s="49" t="s">
        <v>37371</v>
      </c>
    </row>
    <row r="778" spans="1:21" x14ac:dyDescent="0.2">
      <c r="A778" s="49" t="s">
        <v>30</v>
      </c>
      <c r="D778" s="49" t="s">
        <v>7306</v>
      </c>
      <c r="G778" s="49" t="s">
        <v>20442</v>
      </c>
      <c r="H778" s="49" t="s">
        <v>7307</v>
      </c>
      <c r="I778" s="49" t="s">
        <v>7308</v>
      </c>
      <c r="J778" s="49" t="s">
        <v>7309</v>
      </c>
      <c r="K778" s="49" t="s">
        <v>7310</v>
      </c>
      <c r="L778" s="49" t="s">
        <v>7311</v>
      </c>
      <c r="M778" s="49" t="s">
        <v>7312</v>
      </c>
      <c r="N778" s="49" t="s">
        <v>7313</v>
      </c>
      <c r="O778" s="49" t="s">
        <v>37332</v>
      </c>
      <c r="P778" s="49" t="s">
        <v>37340</v>
      </c>
      <c r="Q778" s="49" t="s">
        <v>37348</v>
      </c>
      <c r="R778" s="49" t="s">
        <v>37356</v>
      </c>
      <c r="S778" s="49" t="s">
        <v>37364</v>
      </c>
      <c r="T778" s="49" t="s">
        <v>37372</v>
      </c>
    </row>
    <row r="779" spans="1:21" x14ac:dyDescent="0.2">
      <c r="A779" s="49" t="s">
        <v>30</v>
      </c>
    </row>
    <row r="780" spans="1:21" x14ac:dyDescent="0.2">
      <c r="A780" s="49" t="s">
        <v>30</v>
      </c>
      <c r="E780" s="49" t="s">
        <v>31</v>
      </c>
      <c r="F780" s="49" t="s">
        <v>31</v>
      </c>
      <c r="G780" s="49" t="s">
        <v>31</v>
      </c>
      <c r="J780" s="49" t="s">
        <v>31</v>
      </c>
      <c r="K780" s="49" t="s">
        <v>31</v>
      </c>
      <c r="L780" s="49" t="s">
        <v>31</v>
      </c>
      <c r="M780" s="49" t="s">
        <v>31</v>
      </c>
    </row>
    <row r="781" spans="1:21" x14ac:dyDescent="0.2">
      <c r="A781" s="49" t="s">
        <v>30</v>
      </c>
      <c r="D781" s="49" t="s">
        <v>36824</v>
      </c>
      <c r="E781" s="49" t="s">
        <v>8836</v>
      </c>
      <c r="F781" s="49" t="s">
        <v>36825</v>
      </c>
      <c r="H781" s="49" t="s">
        <v>36826</v>
      </c>
      <c r="O781" s="49" t="s">
        <v>36827</v>
      </c>
      <c r="P781" s="49" t="s">
        <v>36828</v>
      </c>
      <c r="Q781" s="49" t="s">
        <v>36829</v>
      </c>
      <c r="R781" s="49" t="s">
        <v>36830</v>
      </c>
      <c r="S781" s="49" t="s">
        <v>36831</v>
      </c>
      <c r="T781" s="49" t="s">
        <v>36832</v>
      </c>
      <c r="U781" s="49" t="s">
        <v>36833</v>
      </c>
    </row>
    <row r="782" spans="1:21" x14ac:dyDescent="0.2">
      <c r="A782" s="49" t="s">
        <v>30</v>
      </c>
      <c r="D782" s="49" t="s">
        <v>15475</v>
      </c>
      <c r="G782" s="49" t="s">
        <v>36834</v>
      </c>
      <c r="H782" s="49" t="s">
        <v>30466</v>
      </c>
      <c r="I782" s="49" t="s">
        <v>30472</v>
      </c>
      <c r="J782" s="49" t="s">
        <v>30514</v>
      </c>
      <c r="K782" s="49" t="s">
        <v>30520</v>
      </c>
      <c r="L782" s="49" t="s">
        <v>15477</v>
      </c>
      <c r="M782" s="49" t="s">
        <v>15478</v>
      </c>
      <c r="N782" s="49" t="s">
        <v>15479</v>
      </c>
      <c r="O782" s="49" t="s">
        <v>37259</v>
      </c>
      <c r="P782" s="49" t="s">
        <v>37270</v>
      </c>
      <c r="Q782" s="49" t="s">
        <v>37281</v>
      </c>
      <c r="R782" s="49" t="s">
        <v>37292</v>
      </c>
      <c r="S782" s="49" t="s">
        <v>37303</v>
      </c>
      <c r="T782" s="49" t="s">
        <v>37314</v>
      </c>
    </row>
    <row r="783" spans="1:21" x14ac:dyDescent="0.2">
      <c r="A783" s="49" t="s">
        <v>30</v>
      </c>
      <c r="D783" s="49" t="s">
        <v>15480</v>
      </c>
      <c r="G783" s="49" t="s">
        <v>20492</v>
      </c>
      <c r="H783" s="49" t="s">
        <v>30467</v>
      </c>
      <c r="I783" s="49" t="s">
        <v>30473</v>
      </c>
      <c r="J783" s="49" t="s">
        <v>30515</v>
      </c>
      <c r="K783" s="49" t="s">
        <v>30521</v>
      </c>
      <c r="L783" s="49" t="s">
        <v>15482</v>
      </c>
      <c r="M783" s="49" t="s">
        <v>15483</v>
      </c>
      <c r="N783" s="49" t="s">
        <v>15484</v>
      </c>
      <c r="O783" s="49" t="s">
        <v>37260</v>
      </c>
      <c r="P783" s="49" t="s">
        <v>37271</v>
      </c>
      <c r="Q783" s="49" t="s">
        <v>37282</v>
      </c>
      <c r="R783" s="49" t="s">
        <v>37293</v>
      </c>
      <c r="S783" s="49" t="s">
        <v>37304</v>
      </c>
      <c r="T783" s="49" t="s">
        <v>37315</v>
      </c>
    </row>
    <row r="784" spans="1:21" x14ac:dyDescent="0.2">
      <c r="A784" s="49" t="s">
        <v>30</v>
      </c>
      <c r="D784" s="49" t="s">
        <v>15485</v>
      </c>
      <c r="G784" s="49" t="s">
        <v>20497</v>
      </c>
      <c r="H784" s="49" t="s">
        <v>30468</v>
      </c>
      <c r="I784" s="49" t="s">
        <v>30474</v>
      </c>
      <c r="J784" s="49" t="s">
        <v>30516</v>
      </c>
      <c r="K784" s="49" t="s">
        <v>30522</v>
      </c>
      <c r="L784" s="49" t="s">
        <v>15487</v>
      </c>
      <c r="M784" s="49" t="s">
        <v>15488</v>
      </c>
      <c r="N784" s="49" t="s">
        <v>15489</v>
      </c>
      <c r="O784" s="49" t="s">
        <v>37261</v>
      </c>
      <c r="P784" s="49" t="s">
        <v>37272</v>
      </c>
      <c r="Q784" s="49" t="s">
        <v>37283</v>
      </c>
      <c r="R784" s="49" t="s">
        <v>37294</v>
      </c>
      <c r="S784" s="49" t="s">
        <v>37305</v>
      </c>
      <c r="T784" s="49" t="s">
        <v>37316</v>
      </c>
    </row>
    <row r="785" spans="1:21" x14ac:dyDescent="0.2">
      <c r="A785" s="49" t="s">
        <v>30</v>
      </c>
      <c r="D785" s="49" t="s">
        <v>11305</v>
      </c>
      <c r="G785" s="49" t="s">
        <v>20502</v>
      </c>
      <c r="H785" s="49" t="s">
        <v>11306</v>
      </c>
      <c r="I785" s="49" t="s">
        <v>11307</v>
      </c>
      <c r="J785" s="49" t="s">
        <v>11308</v>
      </c>
      <c r="K785" s="49" t="s">
        <v>11309</v>
      </c>
      <c r="L785" s="49" t="s">
        <v>11310</v>
      </c>
      <c r="M785" s="49" t="s">
        <v>11311</v>
      </c>
      <c r="N785" s="49" t="s">
        <v>11312</v>
      </c>
      <c r="O785" s="49" t="s">
        <v>37262</v>
      </c>
      <c r="P785" s="49" t="s">
        <v>37273</v>
      </c>
      <c r="Q785" s="49" t="s">
        <v>37284</v>
      </c>
      <c r="R785" s="49" t="s">
        <v>37295</v>
      </c>
      <c r="S785" s="49" t="s">
        <v>37306</v>
      </c>
      <c r="T785" s="49" t="s">
        <v>37317</v>
      </c>
    </row>
    <row r="786" spans="1:21" x14ac:dyDescent="0.2">
      <c r="A786" s="49" t="s">
        <v>30</v>
      </c>
      <c r="D786" s="49" t="s">
        <v>11319</v>
      </c>
      <c r="G786" s="49" t="s">
        <v>20512</v>
      </c>
      <c r="H786" s="49" t="s">
        <v>11320</v>
      </c>
      <c r="I786" s="49" t="s">
        <v>11321</v>
      </c>
      <c r="J786" s="49" t="s">
        <v>11322</v>
      </c>
      <c r="K786" s="49" t="s">
        <v>11323</v>
      </c>
      <c r="L786" s="49" t="s">
        <v>11324</v>
      </c>
      <c r="M786" s="49" t="s">
        <v>11325</v>
      </c>
      <c r="N786" s="49" t="s">
        <v>11326</v>
      </c>
      <c r="O786" s="49" t="s">
        <v>37263</v>
      </c>
      <c r="P786" s="49" t="s">
        <v>37274</v>
      </c>
      <c r="Q786" s="49" t="s">
        <v>37285</v>
      </c>
      <c r="R786" s="49" t="s">
        <v>37296</v>
      </c>
      <c r="S786" s="49" t="s">
        <v>37307</v>
      </c>
      <c r="T786" s="49" t="s">
        <v>37318</v>
      </c>
    </row>
    <row r="787" spans="1:21" x14ac:dyDescent="0.2">
      <c r="A787" s="49" t="s">
        <v>30</v>
      </c>
      <c r="D787" s="49" t="s">
        <v>7329</v>
      </c>
      <c r="G787" s="49" t="s">
        <v>20517</v>
      </c>
      <c r="H787" s="49" t="s">
        <v>7330</v>
      </c>
      <c r="I787" s="49" t="s">
        <v>7331</v>
      </c>
      <c r="J787" s="49" t="s">
        <v>7332</v>
      </c>
      <c r="K787" s="49" t="s">
        <v>7333</v>
      </c>
      <c r="L787" s="49" t="s">
        <v>7334</v>
      </c>
      <c r="M787" s="49" t="s">
        <v>7335</v>
      </c>
      <c r="N787" s="49" t="s">
        <v>7336</v>
      </c>
      <c r="O787" s="49" t="s">
        <v>37264</v>
      </c>
      <c r="P787" s="49" t="s">
        <v>37275</v>
      </c>
      <c r="Q787" s="49" t="s">
        <v>37286</v>
      </c>
      <c r="R787" s="49" t="s">
        <v>37297</v>
      </c>
      <c r="S787" s="49" t="s">
        <v>37308</v>
      </c>
      <c r="T787" s="49" t="s">
        <v>37319</v>
      </c>
    </row>
    <row r="788" spans="1:21" x14ac:dyDescent="0.2">
      <c r="A788" s="49" t="s">
        <v>30</v>
      </c>
      <c r="D788" s="49" t="s">
        <v>7343</v>
      </c>
      <c r="G788" s="49" t="s">
        <v>20527</v>
      </c>
      <c r="H788" s="49" t="s">
        <v>7344</v>
      </c>
      <c r="I788" s="49" t="s">
        <v>7345</v>
      </c>
      <c r="J788" s="49" t="s">
        <v>7346</v>
      </c>
      <c r="K788" s="49" t="s">
        <v>7347</v>
      </c>
      <c r="L788" s="49" t="s">
        <v>7348</v>
      </c>
      <c r="M788" s="49" t="s">
        <v>7349</v>
      </c>
      <c r="N788" s="49" t="s">
        <v>7350</v>
      </c>
      <c r="O788" s="49" t="s">
        <v>37265</v>
      </c>
      <c r="P788" s="49" t="s">
        <v>37276</v>
      </c>
      <c r="Q788" s="49" t="s">
        <v>37287</v>
      </c>
      <c r="R788" s="49" t="s">
        <v>37298</v>
      </c>
      <c r="S788" s="49" t="s">
        <v>37309</v>
      </c>
      <c r="T788" s="49" t="s">
        <v>37320</v>
      </c>
    </row>
    <row r="789" spans="1:21" x14ac:dyDescent="0.2">
      <c r="A789" s="49" t="s">
        <v>30</v>
      </c>
      <c r="D789" s="49" t="s">
        <v>15494</v>
      </c>
      <c r="G789" s="49" t="s">
        <v>20532</v>
      </c>
      <c r="H789" s="49" t="s">
        <v>30469</v>
      </c>
      <c r="I789" s="49" t="s">
        <v>30475</v>
      </c>
      <c r="J789" s="49" t="s">
        <v>30517</v>
      </c>
      <c r="K789" s="49" t="s">
        <v>30523</v>
      </c>
      <c r="L789" s="49" t="s">
        <v>15496</v>
      </c>
      <c r="M789" s="49" t="s">
        <v>15497</v>
      </c>
      <c r="N789" s="49" t="s">
        <v>15498</v>
      </c>
      <c r="O789" s="49" t="s">
        <v>37266</v>
      </c>
      <c r="P789" s="49" t="s">
        <v>37277</v>
      </c>
      <c r="Q789" s="49" t="s">
        <v>37288</v>
      </c>
      <c r="R789" s="49" t="s">
        <v>37299</v>
      </c>
      <c r="S789" s="49" t="s">
        <v>37310</v>
      </c>
      <c r="T789" s="49" t="s">
        <v>37321</v>
      </c>
    </row>
    <row r="790" spans="1:21" x14ac:dyDescent="0.2">
      <c r="A790" s="49" t="s">
        <v>30</v>
      </c>
      <c r="D790" s="49" t="s">
        <v>15499</v>
      </c>
      <c r="G790" s="49" t="s">
        <v>20557</v>
      </c>
      <c r="H790" s="49" t="s">
        <v>30470</v>
      </c>
      <c r="I790" s="49" t="s">
        <v>30476</v>
      </c>
      <c r="J790" s="49" t="s">
        <v>30518</v>
      </c>
      <c r="K790" s="49" t="s">
        <v>30524</v>
      </c>
      <c r="L790" s="49" t="s">
        <v>15501</v>
      </c>
      <c r="M790" s="49" t="s">
        <v>15502</v>
      </c>
      <c r="N790" s="49" t="s">
        <v>15503</v>
      </c>
      <c r="O790" s="49" t="s">
        <v>37267</v>
      </c>
      <c r="P790" s="49" t="s">
        <v>37278</v>
      </c>
      <c r="Q790" s="49" t="s">
        <v>37289</v>
      </c>
      <c r="R790" s="49" t="s">
        <v>37300</v>
      </c>
      <c r="S790" s="49" t="s">
        <v>37311</v>
      </c>
      <c r="T790" s="49" t="s">
        <v>37322</v>
      </c>
    </row>
    <row r="791" spans="1:21" x14ac:dyDescent="0.2">
      <c r="A791" s="49" t="s">
        <v>30</v>
      </c>
      <c r="D791" s="49" t="s">
        <v>15504</v>
      </c>
      <c r="G791" s="49" t="s">
        <v>20562</v>
      </c>
      <c r="H791" s="49" t="s">
        <v>30471</v>
      </c>
      <c r="I791" s="49" t="s">
        <v>30477</v>
      </c>
      <c r="J791" s="49" t="s">
        <v>30519</v>
      </c>
      <c r="K791" s="49" t="s">
        <v>30525</v>
      </c>
      <c r="L791" s="49" t="s">
        <v>15506</v>
      </c>
      <c r="M791" s="49" t="s">
        <v>15507</v>
      </c>
      <c r="N791" s="49" t="s">
        <v>15508</v>
      </c>
      <c r="O791" s="49" t="s">
        <v>37268</v>
      </c>
      <c r="P791" s="49" t="s">
        <v>37279</v>
      </c>
      <c r="Q791" s="49" t="s">
        <v>37290</v>
      </c>
      <c r="R791" s="49" t="s">
        <v>37301</v>
      </c>
      <c r="S791" s="49" t="s">
        <v>37312</v>
      </c>
      <c r="T791" s="49" t="s">
        <v>37323</v>
      </c>
    </row>
    <row r="792" spans="1:21" x14ac:dyDescent="0.2">
      <c r="A792" s="49" t="s">
        <v>30</v>
      </c>
      <c r="D792" s="49" t="s">
        <v>11333</v>
      </c>
      <c r="G792" s="49" t="s">
        <v>20587</v>
      </c>
      <c r="H792" s="49" t="s">
        <v>11334</v>
      </c>
      <c r="I792" s="49" t="s">
        <v>11335</v>
      </c>
      <c r="J792" s="49" t="s">
        <v>11336</v>
      </c>
      <c r="K792" s="49" t="s">
        <v>11337</v>
      </c>
      <c r="L792" s="49" t="s">
        <v>11338</v>
      </c>
      <c r="M792" s="49" t="s">
        <v>11339</v>
      </c>
      <c r="N792" s="49" t="s">
        <v>11340</v>
      </c>
      <c r="O792" s="49" t="s">
        <v>37269</v>
      </c>
      <c r="P792" s="49" t="s">
        <v>37280</v>
      </c>
      <c r="Q792" s="49" t="s">
        <v>37291</v>
      </c>
      <c r="R792" s="49" t="s">
        <v>37302</v>
      </c>
      <c r="S792" s="49" t="s">
        <v>37313</v>
      </c>
      <c r="T792" s="49" t="s">
        <v>37324</v>
      </c>
    </row>
    <row r="793" spans="1:21" x14ac:dyDescent="0.2">
      <c r="A793" s="49" t="s">
        <v>30</v>
      </c>
    </row>
    <row r="794" spans="1:21" x14ac:dyDescent="0.2">
      <c r="A794" s="49" t="s">
        <v>30</v>
      </c>
      <c r="E794" s="49" t="s">
        <v>31</v>
      </c>
      <c r="F794" s="49" t="s">
        <v>31</v>
      </c>
      <c r="G794" s="49" t="s">
        <v>31</v>
      </c>
      <c r="J794" s="49" t="s">
        <v>31</v>
      </c>
      <c r="K794" s="49" t="s">
        <v>31</v>
      </c>
      <c r="L794" s="49" t="s">
        <v>31</v>
      </c>
      <c r="M794" s="49" t="s">
        <v>31</v>
      </c>
    </row>
    <row r="795" spans="1:21" x14ac:dyDescent="0.2">
      <c r="A795" s="49" t="s">
        <v>30</v>
      </c>
      <c r="D795" s="49" t="s">
        <v>36835</v>
      </c>
      <c r="E795" s="49" t="s">
        <v>8837</v>
      </c>
      <c r="F795" s="49" t="s">
        <v>36836</v>
      </c>
      <c r="H795" s="49" t="s">
        <v>36837</v>
      </c>
      <c r="O795" s="49" t="s">
        <v>36838</v>
      </c>
      <c r="P795" s="49" t="s">
        <v>36839</v>
      </c>
      <c r="Q795" s="49" t="s">
        <v>36840</v>
      </c>
      <c r="R795" s="49" t="s">
        <v>36841</v>
      </c>
      <c r="S795" s="49" t="s">
        <v>36842</v>
      </c>
      <c r="T795" s="49" t="s">
        <v>36843</v>
      </c>
      <c r="U795" s="49" t="s">
        <v>36844</v>
      </c>
    </row>
    <row r="796" spans="1:21" x14ac:dyDescent="0.2">
      <c r="A796" s="49" t="s">
        <v>30</v>
      </c>
      <c r="D796" s="49" t="s">
        <v>36845</v>
      </c>
      <c r="G796" s="49" t="s">
        <v>36846</v>
      </c>
      <c r="H796" s="49" t="s">
        <v>36847</v>
      </c>
      <c r="I796" s="49" t="s">
        <v>36848</v>
      </c>
      <c r="J796" s="49" t="s">
        <v>36849</v>
      </c>
      <c r="K796" s="49" t="s">
        <v>36850</v>
      </c>
      <c r="L796" s="49" t="s">
        <v>36851</v>
      </c>
      <c r="M796" s="49" t="s">
        <v>36852</v>
      </c>
      <c r="N796" s="49" t="s">
        <v>36853</v>
      </c>
      <c r="O796" s="49" t="s">
        <v>36854</v>
      </c>
      <c r="P796" s="49" t="s">
        <v>36855</v>
      </c>
      <c r="Q796" s="49" t="s">
        <v>36856</v>
      </c>
      <c r="R796" s="49" t="s">
        <v>36857</v>
      </c>
      <c r="S796" s="49" t="s">
        <v>36858</v>
      </c>
      <c r="T796" s="49" t="s">
        <v>36859</v>
      </c>
    </row>
    <row r="797" spans="1:21" x14ac:dyDescent="0.2">
      <c r="A797" s="49" t="s">
        <v>30</v>
      </c>
      <c r="D797" s="49" t="s">
        <v>15521</v>
      </c>
      <c r="G797" s="49" t="s">
        <v>20627</v>
      </c>
      <c r="H797" s="49" t="s">
        <v>30416</v>
      </c>
      <c r="I797" s="49" t="s">
        <v>30421</v>
      </c>
      <c r="J797" s="49" t="s">
        <v>30456</v>
      </c>
      <c r="K797" s="49" t="s">
        <v>30461</v>
      </c>
      <c r="L797" s="49" t="s">
        <v>15523</v>
      </c>
      <c r="M797" s="49" t="s">
        <v>15524</v>
      </c>
      <c r="N797" s="49" t="s">
        <v>15525</v>
      </c>
      <c r="O797" s="49" t="s">
        <v>36860</v>
      </c>
      <c r="P797" s="49" t="s">
        <v>36861</v>
      </c>
      <c r="Q797" s="49" t="s">
        <v>36862</v>
      </c>
      <c r="R797" s="49" t="s">
        <v>36863</v>
      </c>
      <c r="S797" s="49" t="s">
        <v>36864</v>
      </c>
      <c r="T797" s="49" t="s">
        <v>36865</v>
      </c>
    </row>
    <row r="798" spans="1:21" x14ac:dyDescent="0.2">
      <c r="A798" s="49" t="s">
        <v>30</v>
      </c>
    </row>
    <row r="799" spans="1:21" x14ac:dyDescent="0.2">
      <c r="A799" s="49" t="s">
        <v>30</v>
      </c>
      <c r="E799" s="49" t="s">
        <v>31</v>
      </c>
      <c r="F799" s="49" t="s">
        <v>31</v>
      </c>
      <c r="G799" s="49" t="s">
        <v>31</v>
      </c>
      <c r="J799" s="49" t="s">
        <v>31</v>
      </c>
      <c r="K799" s="49" t="s">
        <v>31</v>
      </c>
      <c r="L799" s="49" t="s">
        <v>31</v>
      </c>
      <c r="M799" s="49" t="s">
        <v>31</v>
      </c>
    </row>
    <row r="800" spans="1:21" x14ac:dyDescent="0.2">
      <c r="A800" s="49" t="s">
        <v>30</v>
      </c>
      <c r="D800" s="49" t="s">
        <v>36866</v>
      </c>
      <c r="E800" s="49" t="s">
        <v>8838</v>
      </c>
      <c r="F800" s="49" t="s">
        <v>36867</v>
      </c>
      <c r="H800" s="49" t="s">
        <v>36868</v>
      </c>
      <c r="O800" s="49" t="s">
        <v>36869</v>
      </c>
      <c r="P800" s="49" t="s">
        <v>36870</v>
      </c>
      <c r="Q800" s="49" t="s">
        <v>36871</v>
      </c>
      <c r="R800" s="49" t="s">
        <v>36872</v>
      </c>
      <c r="S800" s="49" t="s">
        <v>36873</v>
      </c>
      <c r="T800" s="49" t="s">
        <v>36874</v>
      </c>
      <c r="U800" s="49" t="s">
        <v>36875</v>
      </c>
    </row>
    <row r="801" spans="1:21" x14ac:dyDescent="0.2">
      <c r="A801" s="49" t="s">
        <v>30</v>
      </c>
      <c r="D801" s="49" t="s">
        <v>15533</v>
      </c>
      <c r="G801" s="49" t="s">
        <v>36876</v>
      </c>
      <c r="H801" s="49" t="s">
        <v>30418</v>
      </c>
      <c r="I801" s="49" t="s">
        <v>30423</v>
      </c>
      <c r="J801" s="49" t="s">
        <v>30458</v>
      </c>
      <c r="K801" s="49" t="s">
        <v>30463</v>
      </c>
      <c r="L801" s="49" t="s">
        <v>15535</v>
      </c>
      <c r="M801" s="49" t="s">
        <v>15536</v>
      </c>
      <c r="N801" s="49" t="s">
        <v>15537</v>
      </c>
      <c r="O801" s="49" t="s">
        <v>37241</v>
      </c>
      <c r="P801" s="49" t="s">
        <v>37244</v>
      </c>
      <c r="Q801" s="49" t="s">
        <v>37247</v>
      </c>
      <c r="R801" s="49" t="s">
        <v>37250</v>
      </c>
      <c r="S801" s="49" t="s">
        <v>37253</v>
      </c>
      <c r="T801" s="49" t="s">
        <v>37256</v>
      </c>
    </row>
    <row r="802" spans="1:21" x14ac:dyDescent="0.2">
      <c r="A802" s="49" t="s">
        <v>30</v>
      </c>
      <c r="D802" s="49" t="s">
        <v>15538</v>
      </c>
      <c r="G802" s="49" t="s">
        <v>20682</v>
      </c>
      <c r="H802" s="49" t="s">
        <v>30419</v>
      </c>
      <c r="I802" s="49" t="s">
        <v>30424</v>
      </c>
      <c r="J802" s="49" t="s">
        <v>30459</v>
      </c>
      <c r="K802" s="49" t="s">
        <v>30464</v>
      </c>
      <c r="L802" s="49" t="s">
        <v>15540</v>
      </c>
      <c r="M802" s="49" t="s">
        <v>15541</v>
      </c>
      <c r="N802" s="49" t="s">
        <v>15542</v>
      </c>
      <c r="O802" s="49" t="s">
        <v>37242</v>
      </c>
      <c r="P802" s="49" t="s">
        <v>37245</v>
      </c>
      <c r="Q802" s="49" t="s">
        <v>37248</v>
      </c>
      <c r="R802" s="49" t="s">
        <v>37251</v>
      </c>
      <c r="S802" s="49" t="s">
        <v>37254</v>
      </c>
      <c r="T802" s="49" t="s">
        <v>37257</v>
      </c>
    </row>
    <row r="803" spans="1:21" x14ac:dyDescent="0.2">
      <c r="A803" s="49" t="s">
        <v>30</v>
      </c>
      <c r="D803" s="49" t="s">
        <v>15543</v>
      </c>
      <c r="G803" s="49" t="s">
        <v>20687</v>
      </c>
      <c r="H803" s="49" t="s">
        <v>30420</v>
      </c>
      <c r="I803" s="49" t="s">
        <v>30425</v>
      </c>
      <c r="J803" s="49" t="s">
        <v>30460</v>
      </c>
      <c r="K803" s="49" t="s">
        <v>30465</v>
      </c>
      <c r="L803" s="49" t="s">
        <v>15545</v>
      </c>
      <c r="M803" s="49" t="s">
        <v>15546</v>
      </c>
      <c r="N803" s="49" t="s">
        <v>15547</v>
      </c>
      <c r="O803" s="49" t="s">
        <v>37243</v>
      </c>
      <c r="P803" s="49" t="s">
        <v>37246</v>
      </c>
      <c r="Q803" s="49" t="s">
        <v>37249</v>
      </c>
      <c r="R803" s="49" t="s">
        <v>37252</v>
      </c>
      <c r="S803" s="49" t="s">
        <v>37255</v>
      </c>
      <c r="T803" s="49" t="s">
        <v>37258</v>
      </c>
    </row>
    <row r="804" spans="1:21" x14ac:dyDescent="0.2">
      <c r="A804" s="49" t="s">
        <v>30</v>
      </c>
    </row>
    <row r="805" spans="1:21" x14ac:dyDescent="0.2">
      <c r="A805" s="49" t="s">
        <v>30</v>
      </c>
      <c r="E805" s="49" t="s">
        <v>31</v>
      </c>
      <c r="F805" s="49" t="s">
        <v>31</v>
      </c>
      <c r="G805" s="49" t="s">
        <v>31</v>
      </c>
      <c r="J805" s="49" t="s">
        <v>31</v>
      </c>
      <c r="K805" s="49" t="s">
        <v>31</v>
      </c>
      <c r="L805" s="49" t="s">
        <v>31</v>
      </c>
      <c r="M805" s="49" t="s">
        <v>31</v>
      </c>
    </row>
    <row r="806" spans="1:21" x14ac:dyDescent="0.2">
      <c r="A806" s="49" t="s">
        <v>30</v>
      </c>
      <c r="D806" s="49" t="s">
        <v>15548</v>
      </c>
      <c r="E806" s="49" t="s">
        <v>8839</v>
      </c>
      <c r="F806" s="49" t="s">
        <v>15549</v>
      </c>
      <c r="H806" s="49" t="s">
        <v>15550</v>
      </c>
      <c r="O806" s="49" t="s">
        <v>36877</v>
      </c>
      <c r="P806" s="49" t="s">
        <v>36878</v>
      </c>
      <c r="Q806" s="49" t="s">
        <v>36879</v>
      </c>
      <c r="R806" s="49" t="s">
        <v>36880</v>
      </c>
      <c r="S806" s="49" t="s">
        <v>36881</v>
      </c>
      <c r="T806" s="49" t="s">
        <v>36882</v>
      </c>
      <c r="U806" s="49" t="s">
        <v>36883</v>
      </c>
    </row>
    <row r="807" spans="1:21" x14ac:dyDescent="0.2">
      <c r="A807" s="49" t="s">
        <v>30</v>
      </c>
      <c r="D807" s="49" t="s">
        <v>7359</v>
      </c>
      <c r="G807" s="49" t="s">
        <v>36884</v>
      </c>
      <c r="H807" s="49" t="s">
        <v>7360</v>
      </c>
      <c r="I807" s="49" t="s">
        <v>7361</v>
      </c>
      <c r="J807" s="49" t="s">
        <v>7362</v>
      </c>
      <c r="K807" s="49" t="s">
        <v>7363</v>
      </c>
      <c r="L807" s="49" t="s">
        <v>7364</v>
      </c>
      <c r="M807" s="49" t="s">
        <v>7365</v>
      </c>
      <c r="N807" s="49" t="s">
        <v>7366</v>
      </c>
      <c r="O807" s="49" t="s">
        <v>36885</v>
      </c>
      <c r="P807" s="49" t="s">
        <v>36886</v>
      </c>
      <c r="Q807" s="49" t="s">
        <v>36887</v>
      </c>
      <c r="R807" s="49" t="s">
        <v>36888</v>
      </c>
      <c r="S807" s="49" t="s">
        <v>36889</v>
      </c>
      <c r="T807" s="49" t="s">
        <v>36890</v>
      </c>
    </row>
    <row r="808" spans="1:21" x14ac:dyDescent="0.2">
      <c r="A808" s="49" t="s">
        <v>30</v>
      </c>
      <c r="D808" s="49" t="s">
        <v>11389</v>
      </c>
      <c r="G808" s="49" t="s">
        <v>20732</v>
      </c>
      <c r="H808" s="49" t="s">
        <v>12140</v>
      </c>
      <c r="I808" s="49" t="s">
        <v>12143</v>
      </c>
      <c r="J808" s="49" t="s">
        <v>12164</v>
      </c>
      <c r="K808" s="49" t="s">
        <v>12167</v>
      </c>
      <c r="L808" s="49" t="s">
        <v>11390</v>
      </c>
      <c r="M808" s="49" t="s">
        <v>11391</v>
      </c>
      <c r="N808" s="49" t="s">
        <v>11392</v>
      </c>
      <c r="O808" s="49" t="s">
        <v>36891</v>
      </c>
      <c r="P808" s="49" t="s">
        <v>36892</v>
      </c>
      <c r="Q808" s="49" t="s">
        <v>36893</v>
      </c>
      <c r="R808" s="49" t="s">
        <v>36894</v>
      </c>
      <c r="S808" s="49" t="s">
        <v>36895</v>
      </c>
      <c r="T808" s="49" t="s">
        <v>36896</v>
      </c>
    </row>
    <row r="809" spans="1:21" x14ac:dyDescent="0.2">
      <c r="A809" s="49" t="s">
        <v>30</v>
      </c>
    </row>
    <row r="810" spans="1:21" x14ac:dyDescent="0.2">
      <c r="A810" s="49" t="s">
        <v>30</v>
      </c>
      <c r="E810" s="49" t="s">
        <v>31</v>
      </c>
      <c r="F810" s="49" t="s">
        <v>31</v>
      </c>
      <c r="G810" s="49" t="s">
        <v>31</v>
      </c>
      <c r="J810" s="49" t="s">
        <v>31</v>
      </c>
      <c r="K810" s="49" t="s">
        <v>31</v>
      </c>
      <c r="L810" s="49" t="s">
        <v>31</v>
      </c>
      <c r="M810" s="49" t="s">
        <v>31</v>
      </c>
    </row>
    <row r="811" spans="1:21" x14ac:dyDescent="0.2">
      <c r="A811" s="49" t="s">
        <v>30</v>
      </c>
      <c r="D811" s="49" t="s">
        <v>36897</v>
      </c>
      <c r="E811" s="49" t="s">
        <v>8840</v>
      </c>
      <c r="F811" s="49" t="s">
        <v>36898</v>
      </c>
      <c r="H811" s="49" t="s">
        <v>36899</v>
      </c>
      <c r="O811" s="49" t="s">
        <v>36900</v>
      </c>
      <c r="P811" s="49" t="s">
        <v>36901</v>
      </c>
      <c r="Q811" s="49" t="s">
        <v>36902</v>
      </c>
      <c r="R811" s="49" t="s">
        <v>36903</v>
      </c>
      <c r="S811" s="49" t="s">
        <v>36904</v>
      </c>
      <c r="T811" s="49" t="s">
        <v>36905</v>
      </c>
      <c r="U811" s="49" t="s">
        <v>36906</v>
      </c>
    </row>
    <row r="812" spans="1:21" x14ac:dyDescent="0.2">
      <c r="A812" s="49" t="s">
        <v>30</v>
      </c>
      <c r="D812" s="49" t="s">
        <v>15567</v>
      </c>
      <c r="G812" s="49" t="s">
        <v>36907</v>
      </c>
      <c r="H812" s="49" t="s">
        <v>30387</v>
      </c>
      <c r="I812" s="49" t="s">
        <v>30390</v>
      </c>
      <c r="J812" s="49" t="s">
        <v>30411</v>
      </c>
      <c r="K812" s="49" t="s">
        <v>30414</v>
      </c>
      <c r="L812" s="49" t="s">
        <v>15569</v>
      </c>
      <c r="M812" s="49" t="s">
        <v>15570</v>
      </c>
      <c r="N812" s="49" t="s">
        <v>15571</v>
      </c>
      <c r="O812" s="49" t="s">
        <v>37209</v>
      </c>
      <c r="P812" s="49" t="s">
        <v>37214</v>
      </c>
      <c r="Q812" s="49" t="s">
        <v>37219</v>
      </c>
      <c r="R812" s="49" t="s">
        <v>37224</v>
      </c>
      <c r="S812" s="49" t="s">
        <v>37229</v>
      </c>
      <c r="T812" s="49" t="s">
        <v>37234</v>
      </c>
    </row>
    <row r="813" spans="1:21" x14ac:dyDescent="0.2">
      <c r="A813" s="49" t="s">
        <v>30</v>
      </c>
      <c r="D813" s="49" t="s">
        <v>15572</v>
      </c>
      <c r="G813" s="49" t="s">
        <v>20802</v>
      </c>
      <c r="H813" s="49" t="s">
        <v>30388</v>
      </c>
      <c r="I813" s="49" t="s">
        <v>30391</v>
      </c>
      <c r="J813" s="49" t="s">
        <v>30412</v>
      </c>
      <c r="K813" s="49" t="s">
        <v>30415</v>
      </c>
      <c r="L813" s="49" t="s">
        <v>15574</v>
      </c>
      <c r="M813" s="49" t="s">
        <v>15575</v>
      </c>
      <c r="N813" s="49" t="s">
        <v>15576</v>
      </c>
      <c r="O813" s="49" t="s">
        <v>37210</v>
      </c>
      <c r="P813" s="49" t="s">
        <v>37215</v>
      </c>
      <c r="Q813" s="49" t="s">
        <v>37220</v>
      </c>
      <c r="R813" s="49" t="s">
        <v>37225</v>
      </c>
      <c r="S813" s="49" t="s">
        <v>37230</v>
      </c>
      <c r="T813" s="49" t="s">
        <v>37235</v>
      </c>
    </row>
    <row r="814" spans="1:21" x14ac:dyDescent="0.2">
      <c r="A814" s="49" t="s">
        <v>30</v>
      </c>
      <c r="D814" s="49" t="s">
        <v>11401</v>
      </c>
      <c r="G814" s="49" t="s">
        <v>20812</v>
      </c>
      <c r="H814" s="49" t="s">
        <v>11402</v>
      </c>
      <c r="I814" s="49" t="s">
        <v>11403</v>
      </c>
      <c r="J814" s="49" t="s">
        <v>11404</v>
      </c>
      <c r="K814" s="49" t="s">
        <v>11405</v>
      </c>
      <c r="L814" s="49" t="s">
        <v>11406</v>
      </c>
      <c r="M814" s="49" t="s">
        <v>11407</v>
      </c>
      <c r="N814" s="49" t="s">
        <v>11408</v>
      </c>
      <c r="O814" s="49" t="s">
        <v>37211</v>
      </c>
      <c r="P814" s="49" t="s">
        <v>37216</v>
      </c>
      <c r="Q814" s="49" t="s">
        <v>37221</v>
      </c>
      <c r="R814" s="49" t="s">
        <v>37226</v>
      </c>
      <c r="S814" s="49" t="s">
        <v>37231</v>
      </c>
      <c r="T814" s="49" t="s">
        <v>37236</v>
      </c>
    </row>
    <row r="815" spans="1:21" x14ac:dyDescent="0.2">
      <c r="A815" s="49" t="s">
        <v>30</v>
      </c>
      <c r="D815" s="49" t="s">
        <v>7375</v>
      </c>
      <c r="G815" s="49" t="s">
        <v>20817</v>
      </c>
      <c r="H815" s="49" t="s">
        <v>7376</v>
      </c>
      <c r="I815" s="49" t="s">
        <v>7377</v>
      </c>
      <c r="J815" s="49" t="s">
        <v>7378</v>
      </c>
      <c r="K815" s="49" t="s">
        <v>7379</v>
      </c>
      <c r="L815" s="49" t="s">
        <v>7380</v>
      </c>
      <c r="M815" s="49" t="s">
        <v>7381</v>
      </c>
      <c r="N815" s="49" t="s">
        <v>7382</v>
      </c>
      <c r="O815" s="49" t="s">
        <v>37212</v>
      </c>
      <c r="P815" s="49" t="s">
        <v>37217</v>
      </c>
      <c r="Q815" s="49" t="s">
        <v>37222</v>
      </c>
      <c r="R815" s="49" t="s">
        <v>37227</v>
      </c>
      <c r="S815" s="49" t="s">
        <v>37232</v>
      </c>
      <c r="T815" s="49" t="s">
        <v>37237</v>
      </c>
    </row>
    <row r="816" spans="1:21" x14ac:dyDescent="0.2">
      <c r="A816" s="49" t="s">
        <v>30</v>
      </c>
      <c r="D816" s="49" t="s">
        <v>36908</v>
      </c>
      <c r="G816" s="49" t="s">
        <v>20822</v>
      </c>
      <c r="H816" s="49" t="s">
        <v>37207</v>
      </c>
      <c r="I816" s="49" t="s">
        <v>37208</v>
      </c>
      <c r="J816" s="49" t="s">
        <v>37239</v>
      </c>
      <c r="K816" s="49" t="s">
        <v>37240</v>
      </c>
      <c r="L816" s="49" t="s">
        <v>36909</v>
      </c>
      <c r="M816" s="49" t="s">
        <v>36910</v>
      </c>
      <c r="N816" s="49" t="s">
        <v>36911</v>
      </c>
      <c r="O816" s="49" t="s">
        <v>37213</v>
      </c>
      <c r="P816" s="49" t="s">
        <v>37218</v>
      </c>
      <c r="Q816" s="49" t="s">
        <v>37223</v>
      </c>
      <c r="R816" s="49" t="s">
        <v>37228</v>
      </c>
      <c r="S816" s="49" t="s">
        <v>37233</v>
      </c>
      <c r="T816" s="49" t="s">
        <v>37238</v>
      </c>
    </row>
    <row r="817" spans="1:21" x14ac:dyDescent="0.2">
      <c r="A817" s="49" t="s">
        <v>30</v>
      </c>
    </row>
    <row r="818" spans="1:21" x14ac:dyDescent="0.2">
      <c r="A818" s="49" t="s">
        <v>30</v>
      </c>
      <c r="E818" s="49" t="s">
        <v>31</v>
      </c>
      <c r="F818" s="49" t="s">
        <v>31</v>
      </c>
      <c r="G818" s="49" t="s">
        <v>31</v>
      </c>
      <c r="J818" s="49" t="s">
        <v>31</v>
      </c>
      <c r="K818" s="49" t="s">
        <v>31</v>
      </c>
      <c r="L818" s="49" t="s">
        <v>31</v>
      </c>
      <c r="M818" s="49" t="s">
        <v>31</v>
      </c>
    </row>
    <row r="819" spans="1:21" x14ac:dyDescent="0.2">
      <c r="A819" s="49" t="s">
        <v>30</v>
      </c>
      <c r="D819" s="49" t="s">
        <v>36912</v>
      </c>
      <c r="E819" s="49" t="s">
        <v>20832</v>
      </c>
      <c r="F819" s="49" t="s">
        <v>36913</v>
      </c>
      <c r="H819" s="49" t="s">
        <v>36914</v>
      </c>
      <c r="O819" s="49" t="s">
        <v>36915</v>
      </c>
      <c r="P819" s="49" t="s">
        <v>36916</v>
      </c>
      <c r="Q819" s="49" t="s">
        <v>36917</v>
      </c>
      <c r="R819" s="49" t="s">
        <v>36918</v>
      </c>
      <c r="S819" s="49" t="s">
        <v>36919</v>
      </c>
      <c r="T819" s="49" t="s">
        <v>36920</v>
      </c>
      <c r="U819" s="49" t="s">
        <v>36921</v>
      </c>
    </row>
    <row r="820" spans="1:21" x14ac:dyDescent="0.2">
      <c r="A820" s="49" t="s">
        <v>30</v>
      </c>
      <c r="D820" s="49" t="s">
        <v>7403</v>
      </c>
      <c r="G820" s="49" t="s">
        <v>36922</v>
      </c>
      <c r="H820" s="49" t="s">
        <v>7404</v>
      </c>
      <c r="I820" s="49" t="s">
        <v>7405</v>
      </c>
      <c r="J820" s="49" t="s">
        <v>7406</v>
      </c>
      <c r="K820" s="49" t="s">
        <v>7407</v>
      </c>
      <c r="L820" s="49" t="s">
        <v>7408</v>
      </c>
      <c r="M820" s="49" t="s">
        <v>7409</v>
      </c>
      <c r="N820" s="49" t="s">
        <v>7410</v>
      </c>
      <c r="O820" s="49" t="s">
        <v>36923</v>
      </c>
      <c r="P820" s="49" t="s">
        <v>36924</v>
      </c>
      <c r="Q820" s="49" t="s">
        <v>36925</v>
      </c>
      <c r="R820" s="49" t="s">
        <v>36926</v>
      </c>
      <c r="S820" s="49" t="s">
        <v>36927</v>
      </c>
      <c r="T820" s="49" t="s">
        <v>36928</v>
      </c>
    </row>
    <row r="821" spans="1:21" x14ac:dyDescent="0.2">
      <c r="A821" s="49" t="s">
        <v>30</v>
      </c>
    </row>
    <row r="822" spans="1:21" x14ac:dyDescent="0.2">
      <c r="A822" s="49" t="s">
        <v>30</v>
      </c>
      <c r="E822" s="49" t="s">
        <v>31</v>
      </c>
      <c r="F822" s="49" t="s">
        <v>31</v>
      </c>
      <c r="G822" s="49" t="s">
        <v>31</v>
      </c>
      <c r="J822" s="49" t="s">
        <v>31</v>
      </c>
      <c r="K822" s="49" t="s">
        <v>31</v>
      </c>
      <c r="L822" s="49" t="s">
        <v>31</v>
      </c>
      <c r="M822" s="49" t="s">
        <v>31</v>
      </c>
    </row>
    <row r="823" spans="1:21" x14ac:dyDescent="0.2">
      <c r="A823" s="49" t="s">
        <v>30</v>
      </c>
      <c r="D823" s="49" t="s">
        <v>36929</v>
      </c>
      <c r="E823" s="49" t="s">
        <v>20858</v>
      </c>
      <c r="F823" s="49" t="s">
        <v>36930</v>
      </c>
      <c r="H823" s="49" t="s">
        <v>36931</v>
      </c>
      <c r="O823" s="49" t="s">
        <v>36932</v>
      </c>
      <c r="P823" s="49" t="s">
        <v>36933</v>
      </c>
      <c r="Q823" s="49" t="s">
        <v>36934</v>
      </c>
      <c r="R823" s="49" t="s">
        <v>36935</v>
      </c>
      <c r="S823" s="49" t="s">
        <v>36936</v>
      </c>
      <c r="T823" s="49" t="s">
        <v>36937</v>
      </c>
      <c r="U823" s="49" t="s">
        <v>36938</v>
      </c>
    </row>
    <row r="824" spans="1:21" x14ac:dyDescent="0.2">
      <c r="A824" s="49" t="s">
        <v>30</v>
      </c>
      <c r="D824" s="49" t="s">
        <v>15598</v>
      </c>
      <c r="G824" s="49" t="s">
        <v>36939</v>
      </c>
      <c r="H824" s="49" t="s">
        <v>30358</v>
      </c>
      <c r="I824" s="49" t="s">
        <v>30361</v>
      </c>
      <c r="J824" s="49" t="s">
        <v>30382</v>
      </c>
      <c r="K824" s="49" t="s">
        <v>30385</v>
      </c>
      <c r="L824" s="49" t="s">
        <v>15600</v>
      </c>
      <c r="M824" s="49" t="s">
        <v>15601</v>
      </c>
      <c r="N824" s="49" t="s">
        <v>15602</v>
      </c>
      <c r="O824" s="49" t="s">
        <v>36940</v>
      </c>
      <c r="P824" s="49" t="s">
        <v>36941</v>
      </c>
      <c r="Q824" s="49" t="s">
        <v>36942</v>
      </c>
      <c r="R824" s="49" t="s">
        <v>36943</v>
      </c>
      <c r="S824" s="49" t="s">
        <v>36944</v>
      </c>
      <c r="T824" s="49" t="s">
        <v>36945</v>
      </c>
    </row>
    <row r="825" spans="1:21" x14ac:dyDescent="0.2">
      <c r="A825" s="49" t="s">
        <v>30</v>
      </c>
    </row>
    <row r="826" spans="1:21" x14ac:dyDescent="0.2">
      <c r="A826" s="49" t="s">
        <v>30</v>
      </c>
      <c r="E826" s="49" t="s">
        <v>31</v>
      </c>
      <c r="F826" s="49" t="s">
        <v>31</v>
      </c>
      <c r="G826" s="49" t="s">
        <v>31</v>
      </c>
      <c r="J826" s="49" t="s">
        <v>31</v>
      </c>
      <c r="K826" s="49" t="s">
        <v>31</v>
      </c>
      <c r="L826" s="49" t="s">
        <v>31</v>
      </c>
      <c r="M826" s="49" t="s">
        <v>31</v>
      </c>
    </row>
    <row r="827" spans="1:21" x14ac:dyDescent="0.2">
      <c r="A827" s="49" t="s">
        <v>30</v>
      </c>
      <c r="D827" s="49" t="s">
        <v>36946</v>
      </c>
      <c r="E827" s="49" t="s">
        <v>20884</v>
      </c>
      <c r="F827" s="49" t="s">
        <v>36947</v>
      </c>
      <c r="H827" s="49" t="s">
        <v>36948</v>
      </c>
      <c r="O827" s="49" t="s">
        <v>36949</v>
      </c>
      <c r="P827" s="49" t="s">
        <v>36950</v>
      </c>
      <c r="Q827" s="49" t="s">
        <v>36951</v>
      </c>
      <c r="R827" s="49" t="s">
        <v>36952</v>
      </c>
      <c r="S827" s="49" t="s">
        <v>36953</v>
      </c>
      <c r="T827" s="49" t="s">
        <v>36954</v>
      </c>
      <c r="U827" s="49" t="s">
        <v>36955</v>
      </c>
    </row>
    <row r="828" spans="1:21" x14ac:dyDescent="0.2">
      <c r="A828" s="49" t="s">
        <v>30</v>
      </c>
      <c r="D828" s="49" t="s">
        <v>36956</v>
      </c>
      <c r="G828" s="49" t="s">
        <v>36957</v>
      </c>
      <c r="H828" s="49" t="s">
        <v>36958</v>
      </c>
      <c r="I828" s="49" t="s">
        <v>36959</v>
      </c>
      <c r="J828" s="49" t="s">
        <v>36960</v>
      </c>
      <c r="K828" s="49" t="s">
        <v>36961</v>
      </c>
      <c r="L828" s="49" t="s">
        <v>36962</v>
      </c>
      <c r="M828" s="49" t="s">
        <v>36963</v>
      </c>
      <c r="N828" s="49" t="s">
        <v>36964</v>
      </c>
      <c r="O828" s="49" t="s">
        <v>36965</v>
      </c>
      <c r="P828" s="49" t="s">
        <v>36966</v>
      </c>
      <c r="Q828" s="49" t="s">
        <v>36967</v>
      </c>
      <c r="R828" s="49" t="s">
        <v>36968</v>
      </c>
      <c r="S828" s="49" t="s">
        <v>36969</v>
      </c>
      <c r="T828" s="49" t="s">
        <v>36970</v>
      </c>
    </row>
    <row r="829" spans="1:21" x14ac:dyDescent="0.2">
      <c r="A829" s="49" t="s">
        <v>30</v>
      </c>
    </row>
    <row r="830" spans="1:21" x14ac:dyDescent="0.2">
      <c r="A830" s="49" t="s">
        <v>30</v>
      </c>
      <c r="E830" s="49" t="s">
        <v>31</v>
      </c>
      <c r="F830" s="49" t="s">
        <v>31</v>
      </c>
      <c r="G830" s="49" t="s">
        <v>31</v>
      </c>
      <c r="J830" s="49" t="s">
        <v>31</v>
      </c>
      <c r="K830" s="49" t="s">
        <v>31</v>
      </c>
      <c r="L830" s="49" t="s">
        <v>31</v>
      </c>
      <c r="M830" s="49" t="s">
        <v>31</v>
      </c>
    </row>
    <row r="831" spans="1:21" x14ac:dyDescent="0.2">
      <c r="A831" s="49" t="s">
        <v>30</v>
      </c>
      <c r="D831" s="49" t="s">
        <v>36971</v>
      </c>
      <c r="E831" s="49" t="s">
        <v>20977</v>
      </c>
      <c r="F831" s="49" t="s">
        <v>36972</v>
      </c>
      <c r="H831" s="49" t="s">
        <v>36973</v>
      </c>
      <c r="O831" s="49" t="s">
        <v>36974</v>
      </c>
      <c r="P831" s="49" t="s">
        <v>36975</v>
      </c>
      <c r="Q831" s="49" t="s">
        <v>36976</v>
      </c>
      <c r="R831" s="49" t="s">
        <v>36977</v>
      </c>
      <c r="S831" s="49" t="s">
        <v>36978</v>
      </c>
      <c r="T831" s="49" t="s">
        <v>36979</v>
      </c>
      <c r="U831" s="49" t="s">
        <v>36980</v>
      </c>
    </row>
    <row r="832" spans="1:21" x14ac:dyDescent="0.2">
      <c r="A832" s="49" t="s">
        <v>30</v>
      </c>
      <c r="D832" s="49" t="s">
        <v>15613</v>
      </c>
      <c r="G832" s="49" t="s">
        <v>36981</v>
      </c>
      <c r="H832" s="49" t="s">
        <v>30326</v>
      </c>
      <c r="I832" s="49" t="s">
        <v>30329</v>
      </c>
      <c r="J832" s="49" t="s">
        <v>30350</v>
      </c>
      <c r="K832" s="49" t="s">
        <v>30353</v>
      </c>
      <c r="L832" s="49" t="s">
        <v>15615</v>
      </c>
      <c r="M832" s="49" t="s">
        <v>15616</v>
      </c>
      <c r="N832" s="49" t="s">
        <v>15617</v>
      </c>
      <c r="O832" s="49" t="s">
        <v>36982</v>
      </c>
      <c r="P832" s="49" t="s">
        <v>36983</v>
      </c>
      <c r="Q832" s="49" t="s">
        <v>36984</v>
      </c>
      <c r="R832" s="49" t="s">
        <v>36985</v>
      </c>
      <c r="S832" s="49" t="s">
        <v>36986</v>
      </c>
      <c r="T832" s="49" t="s">
        <v>36987</v>
      </c>
    </row>
    <row r="833" spans="1:21" x14ac:dyDescent="0.2">
      <c r="A833" s="49" t="s">
        <v>30</v>
      </c>
    </row>
    <row r="834" spans="1:21" x14ac:dyDescent="0.2">
      <c r="A834" s="49" t="s">
        <v>30</v>
      </c>
      <c r="E834" s="49" t="s">
        <v>31</v>
      </c>
      <c r="F834" s="49" t="s">
        <v>31</v>
      </c>
      <c r="G834" s="49" t="s">
        <v>31</v>
      </c>
      <c r="J834" s="49" t="s">
        <v>31</v>
      </c>
      <c r="K834" s="49" t="s">
        <v>31</v>
      </c>
      <c r="L834" s="49" t="s">
        <v>31</v>
      </c>
      <c r="M834" s="49" t="s">
        <v>31</v>
      </c>
    </row>
    <row r="835" spans="1:21" x14ac:dyDescent="0.2">
      <c r="A835" s="49" t="s">
        <v>30</v>
      </c>
      <c r="D835" s="49" t="s">
        <v>36988</v>
      </c>
      <c r="E835" s="49" t="s">
        <v>21018</v>
      </c>
      <c r="F835" s="49" t="s">
        <v>36989</v>
      </c>
      <c r="H835" s="49" t="s">
        <v>36990</v>
      </c>
      <c r="O835" s="49" t="s">
        <v>36991</v>
      </c>
      <c r="P835" s="49" t="s">
        <v>36992</v>
      </c>
      <c r="Q835" s="49" t="s">
        <v>36993</v>
      </c>
      <c r="R835" s="49" t="s">
        <v>36994</v>
      </c>
      <c r="S835" s="49" t="s">
        <v>36995</v>
      </c>
      <c r="T835" s="49" t="s">
        <v>36996</v>
      </c>
      <c r="U835" s="49" t="s">
        <v>36997</v>
      </c>
    </row>
    <row r="836" spans="1:21" x14ac:dyDescent="0.2">
      <c r="A836" s="49" t="s">
        <v>30</v>
      </c>
      <c r="D836" s="49" t="s">
        <v>7480</v>
      </c>
      <c r="G836" s="49" t="s">
        <v>36998</v>
      </c>
      <c r="H836" s="49" t="s">
        <v>7481</v>
      </c>
      <c r="I836" s="49" t="s">
        <v>7482</v>
      </c>
      <c r="J836" s="49" t="s">
        <v>7483</v>
      </c>
      <c r="K836" s="49" t="s">
        <v>7484</v>
      </c>
      <c r="L836" s="49" t="s">
        <v>7485</v>
      </c>
      <c r="M836" s="49" t="s">
        <v>7486</v>
      </c>
      <c r="N836" s="49" t="s">
        <v>7487</v>
      </c>
      <c r="O836" s="49" t="s">
        <v>37185</v>
      </c>
      <c r="P836" s="49" t="s">
        <v>37188</v>
      </c>
      <c r="Q836" s="49" t="s">
        <v>37191</v>
      </c>
      <c r="R836" s="49" t="s">
        <v>37194</v>
      </c>
      <c r="S836" s="49" t="s">
        <v>37197</v>
      </c>
      <c r="T836" s="49" t="s">
        <v>37200</v>
      </c>
    </row>
    <row r="837" spans="1:21" x14ac:dyDescent="0.2">
      <c r="A837" s="49" t="s">
        <v>30</v>
      </c>
      <c r="D837" s="49" t="s">
        <v>36999</v>
      </c>
      <c r="G837" s="49" t="s">
        <v>21034</v>
      </c>
      <c r="H837" s="49" t="s">
        <v>37181</v>
      </c>
      <c r="I837" s="49" t="s">
        <v>37183</v>
      </c>
      <c r="J837" s="49" t="s">
        <v>37203</v>
      </c>
      <c r="K837" s="49" t="s">
        <v>37205</v>
      </c>
      <c r="L837" s="49" t="s">
        <v>37000</v>
      </c>
      <c r="M837" s="49" t="s">
        <v>37001</v>
      </c>
      <c r="N837" s="49" t="s">
        <v>37002</v>
      </c>
      <c r="O837" s="49" t="s">
        <v>37186</v>
      </c>
      <c r="P837" s="49" t="s">
        <v>37189</v>
      </c>
      <c r="Q837" s="49" t="s">
        <v>37192</v>
      </c>
      <c r="R837" s="49" t="s">
        <v>37195</v>
      </c>
      <c r="S837" s="49" t="s">
        <v>37198</v>
      </c>
      <c r="T837" s="49" t="s">
        <v>37201</v>
      </c>
    </row>
    <row r="838" spans="1:21" x14ac:dyDescent="0.2">
      <c r="A838" s="49" t="s">
        <v>30</v>
      </c>
      <c r="D838" s="49" t="s">
        <v>37003</v>
      </c>
      <c r="G838" s="49" t="s">
        <v>21049</v>
      </c>
      <c r="H838" s="49" t="s">
        <v>37182</v>
      </c>
      <c r="I838" s="49" t="s">
        <v>37184</v>
      </c>
      <c r="J838" s="49" t="s">
        <v>37204</v>
      </c>
      <c r="K838" s="49" t="s">
        <v>37206</v>
      </c>
      <c r="L838" s="49" t="s">
        <v>37004</v>
      </c>
      <c r="M838" s="49" t="s">
        <v>37005</v>
      </c>
      <c r="N838" s="49" t="s">
        <v>37006</v>
      </c>
      <c r="O838" s="49" t="s">
        <v>37187</v>
      </c>
      <c r="P838" s="49" t="s">
        <v>37190</v>
      </c>
      <c r="Q838" s="49" t="s">
        <v>37193</v>
      </c>
      <c r="R838" s="49" t="s">
        <v>37196</v>
      </c>
      <c r="S838" s="49" t="s">
        <v>37199</v>
      </c>
      <c r="T838" s="49" t="s">
        <v>37202</v>
      </c>
    </row>
    <row r="839" spans="1:21" x14ac:dyDescent="0.2">
      <c r="A839" s="49" t="s">
        <v>30</v>
      </c>
    </row>
    <row r="840" spans="1:21" x14ac:dyDescent="0.2">
      <c r="A840" s="49" t="s">
        <v>30</v>
      </c>
      <c r="E840" s="49" t="s">
        <v>31</v>
      </c>
      <c r="F840" s="49" t="s">
        <v>31</v>
      </c>
      <c r="G840" s="49" t="s">
        <v>31</v>
      </c>
      <c r="J840" s="49" t="s">
        <v>31</v>
      </c>
      <c r="K840" s="49" t="s">
        <v>31</v>
      </c>
      <c r="L840" s="49" t="s">
        <v>31</v>
      </c>
      <c r="M840" s="49" t="s">
        <v>31</v>
      </c>
    </row>
    <row r="841" spans="1:21" x14ac:dyDescent="0.2">
      <c r="A841" s="49" t="s">
        <v>30</v>
      </c>
      <c r="D841" s="49" t="s">
        <v>37007</v>
      </c>
      <c r="E841" s="49" t="s">
        <v>21054</v>
      </c>
      <c r="F841" s="49" t="s">
        <v>37008</v>
      </c>
      <c r="H841" s="49" t="s">
        <v>37009</v>
      </c>
      <c r="O841" s="49" t="s">
        <v>37010</v>
      </c>
      <c r="P841" s="49" t="s">
        <v>37011</v>
      </c>
      <c r="Q841" s="49" t="s">
        <v>37012</v>
      </c>
      <c r="R841" s="49" t="s">
        <v>37013</v>
      </c>
      <c r="S841" s="49" t="s">
        <v>37014</v>
      </c>
      <c r="T841" s="49" t="s">
        <v>37015</v>
      </c>
      <c r="U841" s="49" t="s">
        <v>37016</v>
      </c>
    </row>
    <row r="842" spans="1:21" x14ac:dyDescent="0.2">
      <c r="A842" s="49" t="s">
        <v>30</v>
      </c>
      <c r="D842" s="49" t="s">
        <v>7516</v>
      </c>
      <c r="G842" s="49" t="s">
        <v>37017</v>
      </c>
      <c r="H842" s="49" t="s">
        <v>7517</v>
      </c>
      <c r="I842" s="49" t="s">
        <v>7518</v>
      </c>
      <c r="J842" s="49" t="s">
        <v>7519</v>
      </c>
      <c r="K842" s="49" t="s">
        <v>7520</v>
      </c>
      <c r="L842" s="49" t="s">
        <v>7521</v>
      </c>
      <c r="M842" s="49" t="s">
        <v>7522</v>
      </c>
      <c r="N842" s="49" t="s">
        <v>7523</v>
      </c>
      <c r="O842" s="49" t="s">
        <v>37018</v>
      </c>
      <c r="P842" s="49" t="s">
        <v>37019</v>
      </c>
      <c r="Q842" s="49" t="s">
        <v>37020</v>
      </c>
      <c r="R842" s="49" t="s">
        <v>37021</v>
      </c>
      <c r="S842" s="49" t="s">
        <v>37022</v>
      </c>
      <c r="T842" s="49" t="s">
        <v>37023</v>
      </c>
    </row>
    <row r="843" spans="1:21" x14ac:dyDescent="0.2">
      <c r="A843" s="49" t="s">
        <v>30</v>
      </c>
    </row>
    <row r="844" spans="1:21" x14ac:dyDescent="0.2">
      <c r="A844" s="49" t="s">
        <v>30</v>
      </c>
      <c r="E844" s="49" t="s">
        <v>31</v>
      </c>
      <c r="F844" s="49" t="s">
        <v>31</v>
      </c>
      <c r="G844" s="49" t="s">
        <v>31</v>
      </c>
      <c r="J844" s="49" t="s">
        <v>31</v>
      </c>
      <c r="K844" s="49" t="s">
        <v>31</v>
      </c>
      <c r="L844" s="49" t="s">
        <v>31</v>
      </c>
      <c r="M844" s="49" t="s">
        <v>31</v>
      </c>
    </row>
    <row r="845" spans="1:21" x14ac:dyDescent="0.2">
      <c r="A845" s="49" t="s">
        <v>30</v>
      </c>
      <c r="D845" s="49" t="s">
        <v>37024</v>
      </c>
      <c r="E845" s="49" t="s">
        <v>21121</v>
      </c>
      <c r="F845" s="49" t="s">
        <v>37025</v>
      </c>
      <c r="H845" s="49" t="s">
        <v>37026</v>
      </c>
      <c r="O845" s="49" t="s">
        <v>37027</v>
      </c>
      <c r="P845" s="49" t="s">
        <v>37028</v>
      </c>
      <c r="Q845" s="49" t="s">
        <v>37029</v>
      </c>
      <c r="R845" s="49" t="s">
        <v>37030</v>
      </c>
      <c r="S845" s="49" t="s">
        <v>37031</v>
      </c>
      <c r="T845" s="49" t="s">
        <v>37032</v>
      </c>
      <c r="U845" s="49" t="s">
        <v>37033</v>
      </c>
    </row>
    <row r="846" spans="1:21" x14ac:dyDescent="0.2">
      <c r="A846" s="49" t="s">
        <v>30</v>
      </c>
      <c r="D846" s="49" t="s">
        <v>15654</v>
      </c>
      <c r="G846" s="49" t="s">
        <v>37034</v>
      </c>
      <c r="H846" s="49" t="s">
        <v>30288</v>
      </c>
      <c r="I846" s="49" t="s">
        <v>30292</v>
      </c>
      <c r="J846" s="49" t="s">
        <v>30320</v>
      </c>
      <c r="K846" s="49" t="s">
        <v>30324</v>
      </c>
      <c r="L846" s="49" t="s">
        <v>15656</v>
      </c>
      <c r="M846" s="49" t="s">
        <v>15657</v>
      </c>
      <c r="N846" s="49" t="s">
        <v>15658</v>
      </c>
      <c r="O846" s="49" t="s">
        <v>37035</v>
      </c>
      <c r="P846" s="49" t="s">
        <v>37036</v>
      </c>
      <c r="Q846" s="49" t="s">
        <v>37037</v>
      </c>
      <c r="R846" s="49" t="s">
        <v>37038</v>
      </c>
      <c r="S846" s="49" t="s">
        <v>37039</v>
      </c>
      <c r="T846" s="49" t="s">
        <v>37040</v>
      </c>
    </row>
    <row r="847" spans="1:21" x14ac:dyDescent="0.2">
      <c r="A847" s="49" t="s">
        <v>30</v>
      </c>
    </row>
    <row r="848" spans="1:21" x14ac:dyDescent="0.2">
      <c r="A848" s="49" t="s">
        <v>30</v>
      </c>
      <c r="E848" s="49" t="s">
        <v>31</v>
      </c>
      <c r="F848" s="49" t="s">
        <v>31</v>
      </c>
      <c r="G848" s="49" t="s">
        <v>31</v>
      </c>
      <c r="J848" s="49" t="s">
        <v>31</v>
      </c>
      <c r="K848" s="49" t="s">
        <v>31</v>
      </c>
      <c r="L848" s="49" t="s">
        <v>31</v>
      </c>
      <c r="M848" s="49" t="s">
        <v>31</v>
      </c>
    </row>
    <row r="849" spans="1:21" x14ac:dyDescent="0.2">
      <c r="A849" s="49" t="s">
        <v>30</v>
      </c>
      <c r="D849" s="49" t="s">
        <v>37041</v>
      </c>
      <c r="E849" s="49" t="s">
        <v>21229</v>
      </c>
      <c r="F849" s="49" t="s">
        <v>37042</v>
      </c>
      <c r="H849" s="49" t="s">
        <v>37043</v>
      </c>
      <c r="O849" s="49" t="s">
        <v>37044</v>
      </c>
      <c r="P849" s="49" t="s">
        <v>37045</v>
      </c>
      <c r="Q849" s="49" t="s">
        <v>37046</v>
      </c>
      <c r="R849" s="49" t="s">
        <v>37047</v>
      </c>
      <c r="S849" s="49" t="s">
        <v>37048</v>
      </c>
      <c r="T849" s="49" t="s">
        <v>37049</v>
      </c>
      <c r="U849" s="49" t="s">
        <v>37050</v>
      </c>
    </row>
    <row r="850" spans="1:21" x14ac:dyDescent="0.2">
      <c r="A850" s="49" t="s">
        <v>30</v>
      </c>
      <c r="D850" s="49" t="s">
        <v>37051</v>
      </c>
      <c r="G850" s="49" t="s">
        <v>37052</v>
      </c>
      <c r="H850" s="49" t="s">
        <v>37053</v>
      </c>
      <c r="I850" s="49" t="s">
        <v>37054</v>
      </c>
      <c r="J850" s="49" t="s">
        <v>37055</v>
      </c>
      <c r="K850" s="49" t="s">
        <v>37056</v>
      </c>
      <c r="L850" s="49" t="s">
        <v>37057</v>
      </c>
      <c r="M850" s="49" t="s">
        <v>37058</v>
      </c>
      <c r="N850" s="49" t="s">
        <v>37059</v>
      </c>
      <c r="O850" s="49" t="s">
        <v>37060</v>
      </c>
      <c r="P850" s="49" t="s">
        <v>37061</v>
      </c>
      <c r="Q850" s="49" t="s">
        <v>37062</v>
      </c>
      <c r="R850" s="49" t="s">
        <v>37063</v>
      </c>
      <c r="S850" s="49" t="s">
        <v>37064</v>
      </c>
      <c r="T850" s="49" t="s">
        <v>37065</v>
      </c>
    </row>
    <row r="851" spans="1:21" x14ac:dyDescent="0.2">
      <c r="A851" s="49" t="s">
        <v>30</v>
      </c>
    </row>
    <row r="852" spans="1:21" x14ac:dyDescent="0.2">
      <c r="A852" s="49" t="s">
        <v>30</v>
      </c>
      <c r="E852" s="49" t="s">
        <v>31</v>
      </c>
      <c r="F852" s="49" t="s">
        <v>31</v>
      </c>
      <c r="G852" s="49" t="s">
        <v>31</v>
      </c>
      <c r="J852" s="49" t="s">
        <v>31</v>
      </c>
      <c r="K852" s="49" t="s">
        <v>31</v>
      </c>
      <c r="L852" s="49" t="s">
        <v>31</v>
      </c>
      <c r="M852" s="49" t="s">
        <v>31</v>
      </c>
    </row>
    <row r="853" spans="1:21" x14ac:dyDescent="0.2">
      <c r="A853" s="49" t="s">
        <v>30</v>
      </c>
      <c r="D853" s="49" t="s">
        <v>37066</v>
      </c>
      <c r="E853" s="49" t="s">
        <v>21260</v>
      </c>
      <c r="F853" s="49" t="s">
        <v>37067</v>
      </c>
      <c r="H853" s="49" t="s">
        <v>37068</v>
      </c>
      <c r="O853" s="49" t="s">
        <v>37069</v>
      </c>
      <c r="P853" s="49" t="s">
        <v>37070</v>
      </c>
      <c r="Q853" s="49" t="s">
        <v>37071</v>
      </c>
      <c r="R853" s="49" t="s">
        <v>37072</v>
      </c>
      <c r="S853" s="49" t="s">
        <v>37073</v>
      </c>
      <c r="T853" s="49" t="s">
        <v>37074</v>
      </c>
      <c r="U853" s="49" t="s">
        <v>37075</v>
      </c>
    </row>
    <row r="854" spans="1:21" x14ac:dyDescent="0.2">
      <c r="A854" s="49" t="s">
        <v>30</v>
      </c>
      <c r="D854" s="49" t="s">
        <v>7546</v>
      </c>
      <c r="G854" s="49" t="s">
        <v>37076</v>
      </c>
      <c r="H854" s="49" t="s">
        <v>7547</v>
      </c>
      <c r="I854" s="49" t="s">
        <v>7548</v>
      </c>
      <c r="J854" s="49" t="s">
        <v>7549</v>
      </c>
      <c r="K854" s="49" t="s">
        <v>7550</v>
      </c>
      <c r="L854" s="49" t="s">
        <v>7551</v>
      </c>
      <c r="M854" s="49" t="s">
        <v>7552</v>
      </c>
      <c r="N854" s="49" t="s">
        <v>7553</v>
      </c>
      <c r="O854" s="49" t="s">
        <v>37077</v>
      </c>
      <c r="P854" s="49" t="s">
        <v>37078</v>
      </c>
      <c r="Q854" s="49" t="s">
        <v>37079</v>
      </c>
      <c r="R854" s="49" t="s">
        <v>37080</v>
      </c>
      <c r="S854" s="49" t="s">
        <v>37081</v>
      </c>
      <c r="T854" s="49" t="s">
        <v>37082</v>
      </c>
    </row>
    <row r="855" spans="1:21" x14ac:dyDescent="0.2">
      <c r="A855" s="49" t="s">
        <v>30</v>
      </c>
      <c r="D855" s="49" t="s">
        <v>7560</v>
      </c>
      <c r="G855" s="49" t="s">
        <v>21281</v>
      </c>
      <c r="H855" s="49" t="s">
        <v>7561</v>
      </c>
      <c r="I855" s="49" t="s">
        <v>7562</v>
      </c>
      <c r="J855" s="49" t="s">
        <v>7563</v>
      </c>
      <c r="K855" s="49" t="s">
        <v>7564</v>
      </c>
      <c r="L855" s="49" t="s">
        <v>7565</v>
      </c>
      <c r="M855" s="49" t="s">
        <v>7566</v>
      </c>
      <c r="N855" s="49" t="s">
        <v>7567</v>
      </c>
      <c r="O855" s="49" t="s">
        <v>37083</v>
      </c>
      <c r="P855" s="49" t="s">
        <v>37084</v>
      </c>
      <c r="Q855" s="49" t="s">
        <v>37085</v>
      </c>
      <c r="R855" s="49" t="s">
        <v>37086</v>
      </c>
      <c r="S855" s="49" t="s">
        <v>37087</v>
      </c>
      <c r="T855" s="49" t="s">
        <v>37088</v>
      </c>
    </row>
    <row r="856" spans="1:21" x14ac:dyDescent="0.2">
      <c r="A856" s="49" t="s">
        <v>30</v>
      </c>
    </row>
    <row r="857" spans="1:21" x14ac:dyDescent="0.2">
      <c r="A857" s="49" t="s">
        <v>30</v>
      </c>
      <c r="E857" s="49" t="s">
        <v>31</v>
      </c>
      <c r="F857" s="49" t="s">
        <v>31</v>
      </c>
      <c r="G857" s="49" t="s">
        <v>31</v>
      </c>
      <c r="J857" s="49" t="s">
        <v>31</v>
      </c>
      <c r="K857" s="49" t="s">
        <v>31</v>
      </c>
      <c r="L857" s="49" t="s">
        <v>31</v>
      </c>
      <c r="M857" s="49" t="s">
        <v>31</v>
      </c>
    </row>
    <row r="858" spans="1:21" x14ac:dyDescent="0.2">
      <c r="A858" s="49" t="s">
        <v>30</v>
      </c>
      <c r="D858" s="49" t="s">
        <v>15676</v>
      </c>
      <c r="E858" s="49" t="s">
        <v>21286</v>
      </c>
      <c r="F858" s="49" t="s">
        <v>15677</v>
      </c>
      <c r="H858" s="49" t="s">
        <v>15678</v>
      </c>
      <c r="O858" s="49" t="s">
        <v>37089</v>
      </c>
      <c r="P858" s="49" t="s">
        <v>37090</v>
      </c>
      <c r="Q858" s="49" t="s">
        <v>37091</v>
      </c>
      <c r="R858" s="49" t="s">
        <v>37092</v>
      </c>
      <c r="S858" s="49" t="s">
        <v>37093</v>
      </c>
      <c r="T858" s="49" t="s">
        <v>37094</v>
      </c>
      <c r="U858" s="49" t="s">
        <v>37095</v>
      </c>
    </row>
    <row r="859" spans="1:21" x14ac:dyDescent="0.2">
      <c r="A859" s="49" t="s">
        <v>30</v>
      </c>
      <c r="D859" s="49" t="s">
        <v>15686</v>
      </c>
      <c r="G859" s="49" t="s">
        <v>37096</v>
      </c>
      <c r="H859" s="49" t="s">
        <v>30226</v>
      </c>
      <c r="I859" s="49" t="s">
        <v>30232</v>
      </c>
      <c r="J859" s="49" t="s">
        <v>30274</v>
      </c>
      <c r="K859" s="49" t="s">
        <v>30280</v>
      </c>
      <c r="L859" s="49" t="s">
        <v>15688</v>
      </c>
      <c r="M859" s="49" t="s">
        <v>15689</v>
      </c>
      <c r="N859" s="49" t="s">
        <v>15690</v>
      </c>
      <c r="O859" s="49" t="s">
        <v>37097</v>
      </c>
      <c r="P859" s="49" t="s">
        <v>37098</v>
      </c>
      <c r="Q859" s="49" t="s">
        <v>37099</v>
      </c>
      <c r="R859" s="49" t="s">
        <v>37100</v>
      </c>
      <c r="S859" s="49" t="s">
        <v>37101</v>
      </c>
      <c r="T859" s="49" t="s">
        <v>37102</v>
      </c>
    </row>
    <row r="860" spans="1:21" x14ac:dyDescent="0.2">
      <c r="A860" s="49" t="s">
        <v>30</v>
      </c>
    </row>
    <row r="861" spans="1:21" x14ac:dyDescent="0.2">
      <c r="A861" s="49" t="s">
        <v>30</v>
      </c>
      <c r="E861" s="49" t="s">
        <v>31</v>
      </c>
      <c r="F861" s="49" t="s">
        <v>31</v>
      </c>
      <c r="G861" s="49" t="s">
        <v>31</v>
      </c>
      <c r="J861" s="49" t="s">
        <v>31</v>
      </c>
      <c r="K861" s="49" t="s">
        <v>31</v>
      </c>
      <c r="L861" s="49" t="s">
        <v>31</v>
      </c>
      <c r="M861" s="49" t="s">
        <v>31</v>
      </c>
    </row>
    <row r="862" spans="1:21" x14ac:dyDescent="0.2">
      <c r="A862" s="49" t="s">
        <v>30</v>
      </c>
      <c r="D862" s="49" t="s">
        <v>37103</v>
      </c>
      <c r="E862" s="49" t="s">
        <v>21312</v>
      </c>
      <c r="F862" s="49" t="s">
        <v>37104</v>
      </c>
      <c r="H862" s="49" t="s">
        <v>37105</v>
      </c>
      <c r="O862" s="49" t="s">
        <v>37106</v>
      </c>
      <c r="P862" s="49" t="s">
        <v>37107</v>
      </c>
      <c r="Q862" s="49" t="s">
        <v>37108</v>
      </c>
      <c r="R862" s="49" t="s">
        <v>37109</v>
      </c>
      <c r="S862" s="49" t="s">
        <v>37110</v>
      </c>
      <c r="T862" s="49" t="s">
        <v>37111</v>
      </c>
      <c r="U862" s="49" t="s">
        <v>37112</v>
      </c>
    </row>
    <row r="863" spans="1:21" x14ac:dyDescent="0.2">
      <c r="A863" s="49" t="s">
        <v>30</v>
      </c>
      <c r="D863" s="49" t="s">
        <v>7589</v>
      </c>
      <c r="G863" s="49" t="s">
        <v>37113</v>
      </c>
      <c r="H863" s="49" t="s">
        <v>7590</v>
      </c>
      <c r="I863" s="49" t="s">
        <v>7591</v>
      </c>
      <c r="J863" s="49" t="s">
        <v>7592</v>
      </c>
      <c r="K863" s="49" t="s">
        <v>7593</v>
      </c>
      <c r="L863" s="49" t="s">
        <v>7594</v>
      </c>
      <c r="M863" s="49" t="s">
        <v>7595</v>
      </c>
      <c r="N863" s="49" t="s">
        <v>7596</v>
      </c>
      <c r="O863" s="49" t="s">
        <v>37114</v>
      </c>
      <c r="P863" s="49" t="s">
        <v>37115</v>
      </c>
      <c r="Q863" s="49" t="s">
        <v>37116</v>
      </c>
      <c r="R863" s="49" t="s">
        <v>37117</v>
      </c>
      <c r="S863" s="49" t="s">
        <v>37118</v>
      </c>
      <c r="T863" s="49" t="s">
        <v>37119</v>
      </c>
    </row>
    <row r="864" spans="1:21" x14ac:dyDescent="0.2">
      <c r="A864" s="49" t="s">
        <v>30</v>
      </c>
      <c r="D864" s="49" t="s">
        <v>7603</v>
      </c>
      <c r="G864" s="49" t="s">
        <v>21338</v>
      </c>
      <c r="H864" s="49" t="s">
        <v>7604</v>
      </c>
      <c r="I864" s="49" t="s">
        <v>7605</v>
      </c>
      <c r="J864" s="49" t="s">
        <v>7606</v>
      </c>
      <c r="K864" s="49" t="s">
        <v>7607</v>
      </c>
      <c r="L864" s="49" t="s">
        <v>7608</v>
      </c>
      <c r="M864" s="49" t="s">
        <v>7609</v>
      </c>
      <c r="N864" s="49" t="s">
        <v>7610</v>
      </c>
      <c r="O864" s="49" t="s">
        <v>37120</v>
      </c>
      <c r="P864" s="49" t="s">
        <v>37121</v>
      </c>
      <c r="Q864" s="49" t="s">
        <v>37122</v>
      </c>
      <c r="R864" s="49" t="s">
        <v>37123</v>
      </c>
      <c r="S864" s="49" t="s">
        <v>37124</v>
      </c>
      <c r="T864" s="49" t="s">
        <v>37125</v>
      </c>
    </row>
    <row r="865" spans="1:21" x14ac:dyDescent="0.2">
      <c r="A865" s="49" t="s">
        <v>30</v>
      </c>
    </row>
    <row r="866" spans="1:21" x14ac:dyDescent="0.2">
      <c r="A866" s="49" t="s">
        <v>30</v>
      </c>
      <c r="E866" s="49" t="s">
        <v>31</v>
      </c>
      <c r="F866" s="49" t="s">
        <v>31</v>
      </c>
      <c r="G866" s="49" t="s">
        <v>31</v>
      </c>
      <c r="J866" s="49" t="s">
        <v>31</v>
      </c>
      <c r="K866" s="49" t="s">
        <v>31</v>
      </c>
      <c r="L866" s="49" t="s">
        <v>31</v>
      </c>
      <c r="M866" s="49" t="s">
        <v>31</v>
      </c>
    </row>
    <row r="867" spans="1:21" x14ac:dyDescent="0.2">
      <c r="A867" s="49" t="s">
        <v>30</v>
      </c>
      <c r="D867" s="49" t="s">
        <v>37126</v>
      </c>
      <c r="E867" s="49" t="s">
        <v>21353</v>
      </c>
      <c r="F867" s="49" t="s">
        <v>37127</v>
      </c>
      <c r="H867" s="49" t="s">
        <v>37128</v>
      </c>
      <c r="O867" s="49" t="s">
        <v>37129</v>
      </c>
      <c r="P867" s="49" t="s">
        <v>37130</v>
      </c>
      <c r="Q867" s="49" t="s">
        <v>37131</v>
      </c>
      <c r="R867" s="49" t="s">
        <v>37132</v>
      </c>
      <c r="S867" s="49" t="s">
        <v>37133</v>
      </c>
      <c r="T867" s="49" t="s">
        <v>37134</v>
      </c>
      <c r="U867" s="49" t="s">
        <v>37135</v>
      </c>
    </row>
    <row r="868" spans="1:21" x14ac:dyDescent="0.2">
      <c r="A868" s="49" t="s">
        <v>30</v>
      </c>
      <c r="D868" s="49" t="s">
        <v>7618</v>
      </c>
      <c r="G868" s="49" t="s">
        <v>37136</v>
      </c>
      <c r="H868" s="49" t="s">
        <v>7619</v>
      </c>
      <c r="I868" s="49" t="s">
        <v>7620</v>
      </c>
      <c r="J868" s="49" t="s">
        <v>7621</v>
      </c>
      <c r="K868" s="49" t="s">
        <v>7622</v>
      </c>
      <c r="L868" s="49" t="s">
        <v>7623</v>
      </c>
      <c r="M868" s="49" t="s">
        <v>7624</v>
      </c>
      <c r="N868" s="49" t="s">
        <v>7625</v>
      </c>
      <c r="O868" s="49" t="s">
        <v>37137</v>
      </c>
      <c r="P868" s="49" t="s">
        <v>37138</v>
      </c>
      <c r="Q868" s="49" t="s">
        <v>37139</v>
      </c>
      <c r="R868" s="49" t="s">
        <v>37140</v>
      </c>
      <c r="S868" s="49" t="s">
        <v>37141</v>
      </c>
      <c r="T868" s="49" t="s">
        <v>37142</v>
      </c>
    </row>
    <row r="869" spans="1:21" x14ac:dyDescent="0.2">
      <c r="A869" s="49" t="s">
        <v>30</v>
      </c>
    </row>
    <row r="870" spans="1:21" x14ac:dyDescent="0.2">
      <c r="A870" s="49" t="s">
        <v>30</v>
      </c>
      <c r="E870" s="49" t="s">
        <v>31</v>
      </c>
      <c r="F870" s="49" t="s">
        <v>31</v>
      </c>
      <c r="G870" s="49" t="s">
        <v>31</v>
      </c>
      <c r="J870" s="49" t="s">
        <v>31</v>
      </c>
      <c r="K870" s="49" t="s">
        <v>31</v>
      </c>
      <c r="L870" s="49" t="s">
        <v>31</v>
      </c>
      <c r="M870" s="49" t="s">
        <v>31</v>
      </c>
    </row>
    <row r="871" spans="1:21" x14ac:dyDescent="0.2">
      <c r="A871" s="49" t="s">
        <v>30</v>
      </c>
      <c r="D871" s="49" t="s">
        <v>11479</v>
      </c>
      <c r="E871" s="49" t="s">
        <v>21420</v>
      </c>
      <c r="F871" s="49" t="s">
        <v>11480</v>
      </c>
      <c r="H871" s="49" t="s">
        <v>11481</v>
      </c>
      <c r="O871" s="49" t="s">
        <v>37143</v>
      </c>
      <c r="P871" s="49" t="s">
        <v>37144</v>
      </c>
      <c r="Q871" s="49" t="s">
        <v>37145</v>
      </c>
      <c r="R871" s="49" t="s">
        <v>37146</v>
      </c>
      <c r="S871" s="49" t="s">
        <v>37147</v>
      </c>
      <c r="T871" s="49" t="s">
        <v>37148</v>
      </c>
      <c r="U871" s="49" t="s">
        <v>37149</v>
      </c>
    </row>
    <row r="872" spans="1:21" x14ac:dyDescent="0.2">
      <c r="A872" s="49" t="s">
        <v>30</v>
      </c>
      <c r="D872" s="49" t="s">
        <v>11482</v>
      </c>
      <c r="G872" s="49" t="s">
        <v>37150</v>
      </c>
      <c r="H872" s="49" t="s">
        <v>12060</v>
      </c>
      <c r="I872" s="49" t="s">
        <v>12061</v>
      </c>
      <c r="J872" s="49" t="s">
        <v>12068</v>
      </c>
      <c r="K872" s="49" t="s">
        <v>12069</v>
      </c>
      <c r="L872" s="49" t="s">
        <v>11483</v>
      </c>
      <c r="M872" s="49" t="s">
        <v>11484</v>
      </c>
      <c r="N872" s="49" t="s">
        <v>11485</v>
      </c>
      <c r="O872" s="49" t="s">
        <v>37151</v>
      </c>
      <c r="P872" s="49" t="s">
        <v>37152</v>
      </c>
      <c r="Q872" s="49" t="s">
        <v>37153</v>
      </c>
      <c r="R872" s="49" t="s">
        <v>37154</v>
      </c>
      <c r="S872" s="49" t="s">
        <v>37155</v>
      </c>
      <c r="T872" s="49" t="s">
        <v>37156</v>
      </c>
    </row>
    <row r="873" spans="1:21" x14ac:dyDescent="0.2">
      <c r="A873" s="49" t="s">
        <v>30</v>
      </c>
    </row>
    <row r="874" spans="1:21" x14ac:dyDescent="0.2">
      <c r="A874" s="49" t="s">
        <v>30</v>
      </c>
      <c r="E874" s="49" t="s">
        <v>31</v>
      </c>
      <c r="F874" s="49" t="s">
        <v>31</v>
      </c>
      <c r="G874" s="49" t="s">
        <v>31</v>
      </c>
      <c r="J874" s="49" t="s">
        <v>31</v>
      </c>
      <c r="K874" s="49" t="s">
        <v>31</v>
      </c>
      <c r="L874" s="49" t="s">
        <v>31</v>
      </c>
      <c r="M874" s="49" t="s">
        <v>31</v>
      </c>
    </row>
    <row r="875" spans="1:21" x14ac:dyDescent="0.2">
      <c r="A875" s="49" t="s">
        <v>30</v>
      </c>
      <c r="D875" s="49" t="s">
        <v>37157</v>
      </c>
      <c r="E875" s="49" t="s">
        <v>21472</v>
      </c>
      <c r="F875" s="49" t="s">
        <v>37158</v>
      </c>
      <c r="H875" s="49" t="s">
        <v>37159</v>
      </c>
      <c r="O875" s="49" t="s">
        <v>37160</v>
      </c>
      <c r="P875" s="49" t="s">
        <v>37161</v>
      </c>
      <c r="Q875" s="49" t="s">
        <v>37162</v>
      </c>
      <c r="R875" s="49" t="s">
        <v>37163</v>
      </c>
      <c r="S875" s="49" t="s">
        <v>37164</v>
      </c>
      <c r="T875" s="49" t="s">
        <v>37165</v>
      </c>
      <c r="U875" s="49" t="s">
        <v>37166</v>
      </c>
    </row>
    <row r="876" spans="1:21" x14ac:dyDescent="0.2">
      <c r="A876" s="49" t="s">
        <v>30</v>
      </c>
      <c r="D876" s="49" t="s">
        <v>7675</v>
      </c>
      <c r="G876" s="49" t="s">
        <v>37167</v>
      </c>
      <c r="H876" s="49" t="s">
        <v>7676</v>
      </c>
      <c r="I876" s="49" t="s">
        <v>7677</v>
      </c>
      <c r="J876" s="49" t="s">
        <v>7678</v>
      </c>
      <c r="K876" s="49" t="s">
        <v>7679</v>
      </c>
      <c r="L876" s="49" t="s">
        <v>7680</v>
      </c>
      <c r="M876" s="49" t="s">
        <v>7681</v>
      </c>
      <c r="N876" s="49" t="s">
        <v>7682</v>
      </c>
      <c r="O876" s="49" t="s">
        <v>37168</v>
      </c>
      <c r="P876" s="49" t="s">
        <v>37169</v>
      </c>
      <c r="Q876" s="49" t="s">
        <v>37170</v>
      </c>
      <c r="R876" s="49" t="s">
        <v>37171</v>
      </c>
      <c r="S876" s="49" t="s">
        <v>37172</v>
      </c>
      <c r="T876" s="49" t="s">
        <v>37173</v>
      </c>
    </row>
    <row r="877" spans="1:21" x14ac:dyDescent="0.2">
      <c r="A877" s="49" t="s">
        <v>30</v>
      </c>
    </row>
    <row r="878" spans="1:21" x14ac:dyDescent="0.2">
      <c r="A878" s="49" t="s">
        <v>30</v>
      </c>
      <c r="E878" s="49" t="s">
        <v>31</v>
      </c>
      <c r="F878" s="49" t="s">
        <v>31</v>
      </c>
      <c r="G878" s="49" t="s">
        <v>31</v>
      </c>
      <c r="J878" s="49" t="s">
        <v>31</v>
      </c>
      <c r="K878" s="49" t="s">
        <v>31</v>
      </c>
      <c r="L878" s="49" t="s">
        <v>31</v>
      </c>
      <c r="M878" s="49" t="s">
        <v>31</v>
      </c>
    </row>
    <row r="880" spans="1:21" x14ac:dyDescent="0.2">
      <c r="N880" s="49" t="s">
        <v>32</v>
      </c>
      <c r="O880" s="49" t="s">
        <v>37174</v>
      </c>
      <c r="P880" s="49" t="s">
        <v>37175</v>
      </c>
      <c r="Q880" s="49" t="s">
        <v>37176</v>
      </c>
      <c r="R880" s="49" t="s">
        <v>37177</v>
      </c>
      <c r="S880" s="49" t="s">
        <v>37178</v>
      </c>
      <c r="T880" s="49" t="s">
        <v>37179</v>
      </c>
      <c r="U880" s="49" t="s">
        <v>37180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0"/>
  <sheetViews>
    <sheetView workbookViewId="0"/>
  </sheetViews>
  <sheetFormatPr defaultRowHeight="12.75" x14ac:dyDescent="0.2"/>
  <sheetData>
    <row r="1" spans="1:21" x14ac:dyDescent="0.2">
      <c r="A1" s="49" t="s">
        <v>38343</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10563</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3535</v>
      </c>
      <c r="P12" s="49" t="s">
        <v>3536</v>
      </c>
      <c r="Q12" s="49" t="s">
        <v>3537</v>
      </c>
      <c r="R12" s="49" t="s">
        <v>3538</v>
      </c>
      <c r="S12" s="49" t="s">
        <v>3539</v>
      </c>
      <c r="T12" s="49" t="s">
        <v>3540</v>
      </c>
      <c r="U12" s="49" t="s">
        <v>3541</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4" spans="1:21" x14ac:dyDescent="0.2">
      <c r="A14" s="49" t="s">
        <v>30</v>
      </c>
      <c r="D14" s="49" t="s">
        <v>47</v>
      </c>
      <c r="G14" s="49" t="s">
        <v>14054</v>
      </c>
      <c r="H14" s="49" t="s">
        <v>48</v>
      </c>
      <c r="I14" s="49" t="s">
        <v>49</v>
      </c>
      <c r="J14" s="49" t="s">
        <v>50</v>
      </c>
      <c r="K14" s="49" t="s">
        <v>51</v>
      </c>
      <c r="L14" s="49" t="s">
        <v>52</v>
      </c>
      <c r="M14" s="49" t="s">
        <v>53</v>
      </c>
      <c r="N14" s="49" t="s">
        <v>54</v>
      </c>
      <c r="O14" s="49" t="s">
        <v>3542</v>
      </c>
      <c r="P14" s="49" t="s">
        <v>3543</v>
      </c>
      <c r="Q14" s="49" t="s">
        <v>3544</v>
      </c>
      <c r="R14" s="49" t="s">
        <v>3545</v>
      </c>
      <c r="S14" s="49" t="s">
        <v>3546</v>
      </c>
      <c r="T14" s="49" t="s">
        <v>3547</v>
      </c>
    </row>
    <row r="16" spans="1:21" x14ac:dyDescent="0.2">
      <c r="E16" s="49" t="s">
        <v>31</v>
      </c>
      <c r="F16" s="49" t="s">
        <v>31</v>
      </c>
      <c r="G16" s="49" t="s">
        <v>31</v>
      </c>
      <c r="J16" s="49" t="s">
        <v>31</v>
      </c>
      <c r="K16" s="49" t="s">
        <v>31</v>
      </c>
      <c r="L16" s="49" t="s">
        <v>31</v>
      </c>
      <c r="M16" s="49" t="s">
        <v>31</v>
      </c>
    </row>
    <row r="17" spans="1:21" x14ac:dyDescent="0.2">
      <c r="A17" s="49" t="s">
        <v>30</v>
      </c>
      <c r="D17" s="49" t="s">
        <v>3548</v>
      </c>
      <c r="E17" s="49" t="s">
        <v>4550</v>
      </c>
      <c r="F17" s="49" t="s">
        <v>3549</v>
      </c>
      <c r="H17" s="49" t="s">
        <v>3550</v>
      </c>
      <c r="O17" s="49" t="s">
        <v>38155</v>
      </c>
      <c r="P17" s="49" t="s">
        <v>38156</v>
      </c>
      <c r="Q17" s="49" t="s">
        <v>38157</v>
      </c>
      <c r="R17" s="49" t="s">
        <v>38158</v>
      </c>
      <c r="S17" s="49" t="s">
        <v>38159</v>
      </c>
      <c r="T17" s="49" t="s">
        <v>38160</v>
      </c>
      <c r="U17" s="49" t="s">
        <v>38161</v>
      </c>
    </row>
    <row r="18" spans="1:21" x14ac:dyDescent="0.2">
      <c r="A18" s="49" t="s">
        <v>30</v>
      </c>
      <c r="D18" s="49" t="s">
        <v>3551</v>
      </c>
      <c r="G18" s="49" t="s">
        <v>3552</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row>
    <row r="20" spans="1:21" x14ac:dyDescent="0.2">
      <c r="A20" s="49" t="s">
        <v>30</v>
      </c>
      <c r="E20" s="49" t="s">
        <v>31</v>
      </c>
      <c r="F20" s="49" t="s">
        <v>31</v>
      </c>
      <c r="G20" s="49" t="s">
        <v>31</v>
      </c>
      <c r="J20" s="49" t="s">
        <v>31</v>
      </c>
      <c r="K20" s="49" t="s">
        <v>31</v>
      </c>
      <c r="L20" s="49" t="s">
        <v>31</v>
      </c>
      <c r="M20" s="49" t="s">
        <v>31</v>
      </c>
    </row>
    <row r="21" spans="1:21" x14ac:dyDescent="0.2">
      <c r="A21" s="49" t="s">
        <v>30</v>
      </c>
      <c r="D21" s="49" t="s">
        <v>8848</v>
      </c>
      <c r="E21" s="49" t="s">
        <v>4551</v>
      </c>
      <c r="F21" s="49" t="s">
        <v>8849</v>
      </c>
      <c r="H21" s="49" t="s">
        <v>8850</v>
      </c>
      <c r="O21" s="49" t="s">
        <v>10255</v>
      </c>
      <c r="P21" s="49" t="s">
        <v>10256</v>
      </c>
      <c r="Q21" s="49" t="s">
        <v>10257</v>
      </c>
      <c r="R21" s="49" t="s">
        <v>10258</v>
      </c>
      <c r="S21" s="49" t="s">
        <v>10259</v>
      </c>
      <c r="T21" s="49" t="s">
        <v>10260</v>
      </c>
      <c r="U21" s="49" t="s">
        <v>10261</v>
      </c>
    </row>
    <row r="22" spans="1:21" x14ac:dyDescent="0.2">
      <c r="A22" s="49" t="s">
        <v>30</v>
      </c>
      <c r="D22" s="49" t="s">
        <v>2645</v>
      </c>
      <c r="G22" s="49" t="s">
        <v>8858</v>
      </c>
      <c r="H22" s="49" t="s">
        <v>2646</v>
      </c>
      <c r="I22" s="49" t="s">
        <v>2647</v>
      </c>
      <c r="J22" s="49" t="s">
        <v>2648</v>
      </c>
      <c r="K22" s="49" t="s">
        <v>2649</v>
      </c>
      <c r="L22" s="49" t="s">
        <v>2650</v>
      </c>
      <c r="M22" s="49" t="s">
        <v>2651</v>
      </c>
      <c r="N22" s="49" t="s">
        <v>2652</v>
      </c>
      <c r="O22" s="49" t="s">
        <v>3566</v>
      </c>
      <c r="P22" s="49" t="s">
        <v>3567</v>
      </c>
      <c r="Q22" s="49" t="s">
        <v>3568</v>
      </c>
      <c r="R22" s="49" t="s">
        <v>3569</v>
      </c>
      <c r="S22" s="49" t="s">
        <v>3570</v>
      </c>
      <c r="T22" s="49" t="s">
        <v>3571</v>
      </c>
    </row>
    <row r="23" spans="1:21" x14ac:dyDescent="0.2">
      <c r="A23" s="49" t="s">
        <v>30</v>
      </c>
    </row>
    <row r="24" spans="1:21" x14ac:dyDescent="0.2">
      <c r="A24" s="49" t="s">
        <v>30</v>
      </c>
      <c r="E24" s="49" t="s">
        <v>31</v>
      </c>
      <c r="F24" s="49" t="s">
        <v>31</v>
      </c>
      <c r="G24" s="49" t="s">
        <v>31</v>
      </c>
      <c r="J24" s="49" t="s">
        <v>31</v>
      </c>
      <c r="K24" s="49" t="s">
        <v>31</v>
      </c>
      <c r="L24" s="49" t="s">
        <v>31</v>
      </c>
      <c r="M24" s="49" t="s">
        <v>31</v>
      </c>
    </row>
    <row r="25" spans="1:21" x14ac:dyDescent="0.2">
      <c r="A25" s="49" t="s">
        <v>30</v>
      </c>
      <c r="D25" s="49" t="s">
        <v>10262</v>
      </c>
      <c r="E25" s="49" t="s">
        <v>4552</v>
      </c>
      <c r="F25" s="49" t="s">
        <v>10263</v>
      </c>
      <c r="H25" s="49" t="s">
        <v>10264</v>
      </c>
      <c r="O25" s="49" t="s">
        <v>10564</v>
      </c>
      <c r="P25" s="49" t="s">
        <v>10565</v>
      </c>
      <c r="Q25" s="49" t="s">
        <v>10566</v>
      </c>
      <c r="R25" s="49" t="s">
        <v>10567</v>
      </c>
      <c r="S25" s="49" t="s">
        <v>10568</v>
      </c>
      <c r="T25" s="49" t="s">
        <v>10569</v>
      </c>
      <c r="U25" s="49" t="s">
        <v>10570</v>
      </c>
    </row>
    <row r="26" spans="1:21" x14ac:dyDescent="0.2">
      <c r="A26" s="49" t="s">
        <v>30</v>
      </c>
      <c r="D26" s="49" t="s">
        <v>98</v>
      </c>
      <c r="G26" s="49" t="s">
        <v>10272</v>
      </c>
      <c r="H26" s="49" t="s">
        <v>99</v>
      </c>
      <c r="I26" s="49" t="s">
        <v>100</v>
      </c>
      <c r="J26" s="49" t="s">
        <v>101</v>
      </c>
      <c r="K26" s="49" t="s">
        <v>102</v>
      </c>
      <c r="L26" s="49" t="s">
        <v>103</v>
      </c>
      <c r="M26" s="49" t="s">
        <v>104</v>
      </c>
      <c r="N26" s="49" t="s">
        <v>105</v>
      </c>
      <c r="O26" s="49" t="s">
        <v>3363</v>
      </c>
      <c r="P26" s="49" t="s">
        <v>3364</v>
      </c>
      <c r="Q26" s="49" t="s">
        <v>3365</v>
      </c>
      <c r="R26" s="49" t="s">
        <v>3366</v>
      </c>
      <c r="S26" s="49" t="s">
        <v>3367</v>
      </c>
      <c r="T26" s="49" t="s">
        <v>3368</v>
      </c>
    </row>
    <row r="27" spans="1:21" x14ac:dyDescent="0.2">
      <c r="A27" s="49" t="s">
        <v>30</v>
      </c>
      <c r="D27" s="49" t="s">
        <v>106</v>
      </c>
      <c r="G27" s="49" t="s">
        <v>14133</v>
      </c>
      <c r="H27" s="49" t="s">
        <v>107</v>
      </c>
      <c r="I27" s="49" t="s">
        <v>108</v>
      </c>
      <c r="J27" s="49" t="s">
        <v>109</v>
      </c>
      <c r="K27" s="49" t="s">
        <v>110</v>
      </c>
      <c r="L27" s="49" t="s">
        <v>111</v>
      </c>
      <c r="M27" s="49" t="s">
        <v>112</v>
      </c>
      <c r="N27" s="49" t="s">
        <v>113</v>
      </c>
      <c r="O27" s="49" t="s">
        <v>3890</v>
      </c>
      <c r="P27" s="49" t="s">
        <v>3891</v>
      </c>
      <c r="Q27" s="49" t="s">
        <v>3892</v>
      </c>
      <c r="R27" s="49" t="s">
        <v>3893</v>
      </c>
      <c r="S27" s="49" t="s">
        <v>3894</v>
      </c>
      <c r="T27" s="49" t="s">
        <v>3895</v>
      </c>
    </row>
    <row r="28" spans="1:21" x14ac:dyDescent="0.2">
      <c r="A28" s="49" t="s">
        <v>30</v>
      </c>
    </row>
    <row r="29" spans="1:21" x14ac:dyDescent="0.2">
      <c r="A29" s="49" t="s">
        <v>30</v>
      </c>
      <c r="E29" s="49" t="s">
        <v>31</v>
      </c>
      <c r="F29" s="49" t="s">
        <v>31</v>
      </c>
      <c r="G29" s="49" t="s">
        <v>31</v>
      </c>
      <c r="J29" s="49" t="s">
        <v>31</v>
      </c>
      <c r="K29" s="49" t="s">
        <v>31</v>
      </c>
      <c r="L29" s="49" t="s">
        <v>31</v>
      </c>
      <c r="M29" s="49" t="s">
        <v>31</v>
      </c>
    </row>
    <row r="30" spans="1:21" x14ac:dyDescent="0.2">
      <c r="A30" s="49" t="s">
        <v>30</v>
      </c>
      <c r="D30" s="49" t="s">
        <v>9974</v>
      </c>
      <c r="E30" s="49" t="s">
        <v>4567</v>
      </c>
      <c r="F30" s="49" t="s">
        <v>9975</v>
      </c>
      <c r="H30" s="49" t="s">
        <v>9976</v>
      </c>
      <c r="O30" s="49" t="s">
        <v>9977</v>
      </c>
      <c r="P30" s="49" t="s">
        <v>9978</v>
      </c>
      <c r="Q30" s="49" t="s">
        <v>9979</v>
      </c>
      <c r="R30" s="49" t="s">
        <v>9980</v>
      </c>
      <c r="S30" s="49" t="s">
        <v>9981</v>
      </c>
      <c r="T30" s="49" t="s">
        <v>9982</v>
      </c>
      <c r="U30" s="49" t="s">
        <v>9983</v>
      </c>
    </row>
    <row r="31" spans="1:21" x14ac:dyDescent="0.2">
      <c r="A31" s="49" t="s">
        <v>30</v>
      </c>
      <c r="D31" s="49" t="s">
        <v>1659</v>
      </c>
      <c r="G31" s="49" t="s">
        <v>9984</v>
      </c>
      <c r="H31" s="49" t="s">
        <v>1660</v>
      </c>
      <c r="I31" s="49" t="s">
        <v>1661</v>
      </c>
      <c r="J31" s="49" t="s">
        <v>1662</v>
      </c>
      <c r="K31" s="49" t="s">
        <v>1663</v>
      </c>
      <c r="L31" s="49" t="s">
        <v>1664</v>
      </c>
      <c r="M31" s="49" t="s">
        <v>1665</v>
      </c>
      <c r="N31" s="49" t="s">
        <v>1666</v>
      </c>
      <c r="O31" s="49" t="s">
        <v>3379</v>
      </c>
      <c r="P31" s="49" t="s">
        <v>3380</v>
      </c>
      <c r="Q31" s="49" t="s">
        <v>3381</v>
      </c>
      <c r="R31" s="49" t="s">
        <v>3382</v>
      </c>
      <c r="S31" s="49" t="s">
        <v>3383</v>
      </c>
      <c r="T31" s="49" t="s">
        <v>3384</v>
      </c>
    </row>
    <row r="32" spans="1:21" x14ac:dyDescent="0.2">
      <c r="A32" s="49" t="s">
        <v>30</v>
      </c>
      <c r="D32" s="49" t="s">
        <v>1797</v>
      </c>
      <c r="G32" s="49" t="s">
        <v>14256</v>
      </c>
      <c r="H32" s="49" t="s">
        <v>1798</v>
      </c>
      <c r="I32" s="49" t="s">
        <v>1799</v>
      </c>
      <c r="J32" s="49" t="s">
        <v>1800</v>
      </c>
      <c r="K32" s="49" t="s">
        <v>1801</v>
      </c>
      <c r="L32" s="49" t="s">
        <v>1802</v>
      </c>
      <c r="M32" s="49" t="s">
        <v>1803</v>
      </c>
      <c r="N32" s="49" t="s">
        <v>1804</v>
      </c>
      <c r="O32" s="49" t="s">
        <v>3902</v>
      </c>
      <c r="P32" s="49" t="s">
        <v>3903</v>
      </c>
      <c r="Q32" s="49" t="s">
        <v>3904</v>
      </c>
      <c r="R32" s="49" t="s">
        <v>3905</v>
      </c>
      <c r="S32" s="49" t="s">
        <v>3906</v>
      </c>
      <c r="T32" s="49" t="s">
        <v>3907</v>
      </c>
    </row>
    <row r="33" spans="1:21" x14ac:dyDescent="0.2">
      <c r="A33" s="49" t="s">
        <v>30</v>
      </c>
    </row>
    <row r="34" spans="1:21" x14ac:dyDescent="0.2">
      <c r="A34" s="49" t="s">
        <v>30</v>
      </c>
      <c r="E34" s="49" t="s">
        <v>31</v>
      </c>
      <c r="F34" s="49" t="s">
        <v>31</v>
      </c>
      <c r="G34" s="49" t="s">
        <v>31</v>
      </c>
      <c r="J34" s="49" t="s">
        <v>31</v>
      </c>
      <c r="K34" s="49" t="s">
        <v>31</v>
      </c>
      <c r="L34" s="49" t="s">
        <v>31</v>
      </c>
      <c r="M34" s="49" t="s">
        <v>31</v>
      </c>
    </row>
    <row r="35" spans="1:21" x14ac:dyDescent="0.2">
      <c r="A35" s="49" t="s">
        <v>30</v>
      </c>
      <c r="D35" s="49" t="s">
        <v>1805</v>
      </c>
      <c r="E35" s="49" t="s">
        <v>4569</v>
      </c>
      <c r="F35" s="49" t="s">
        <v>1806</v>
      </c>
      <c r="H35" s="49" t="s">
        <v>1807</v>
      </c>
      <c r="O35" s="49" t="s">
        <v>32182</v>
      </c>
      <c r="P35" s="49" t="s">
        <v>32183</v>
      </c>
      <c r="Q35" s="49" t="s">
        <v>32184</v>
      </c>
      <c r="R35" s="49" t="s">
        <v>32185</v>
      </c>
      <c r="S35" s="49" t="s">
        <v>32186</v>
      </c>
      <c r="T35" s="49" t="s">
        <v>32187</v>
      </c>
      <c r="U35" s="49" t="s">
        <v>32188</v>
      </c>
    </row>
    <row r="36" spans="1:21" x14ac:dyDescent="0.2">
      <c r="A36" s="49" t="s">
        <v>30</v>
      </c>
      <c r="D36" s="49" t="s">
        <v>157</v>
      </c>
      <c r="G36" s="49" t="s">
        <v>3908</v>
      </c>
      <c r="H36" s="49" t="s">
        <v>158</v>
      </c>
      <c r="I36" s="49" t="s">
        <v>159</v>
      </c>
      <c r="J36" s="49" t="s">
        <v>160</v>
      </c>
      <c r="K36" s="49" t="s">
        <v>161</v>
      </c>
      <c r="L36" s="49" t="s">
        <v>162</v>
      </c>
      <c r="M36" s="49" t="s">
        <v>163</v>
      </c>
      <c r="N36" s="49" t="s">
        <v>164</v>
      </c>
      <c r="O36" s="49" t="s">
        <v>3391</v>
      </c>
      <c r="P36" s="49" t="s">
        <v>3392</v>
      </c>
      <c r="Q36" s="49" t="s">
        <v>3393</v>
      </c>
      <c r="R36" s="49" t="s">
        <v>3394</v>
      </c>
      <c r="S36" s="49" t="s">
        <v>3395</v>
      </c>
      <c r="T36" s="49" t="s">
        <v>3396</v>
      </c>
    </row>
    <row r="37" spans="1:21" x14ac:dyDescent="0.2">
      <c r="A37" s="49" t="s">
        <v>30</v>
      </c>
    </row>
    <row r="38" spans="1:21" x14ac:dyDescent="0.2">
      <c r="A38" s="49" t="s">
        <v>30</v>
      </c>
      <c r="E38" s="49" t="s">
        <v>31</v>
      </c>
      <c r="F38" s="49" t="s">
        <v>31</v>
      </c>
      <c r="G38" s="49" t="s">
        <v>31</v>
      </c>
      <c r="J38" s="49" t="s">
        <v>31</v>
      </c>
      <c r="K38" s="49" t="s">
        <v>31</v>
      </c>
      <c r="L38" s="49" t="s">
        <v>31</v>
      </c>
      <c r="M38" s="49" t="s">
        <v>31</v>
      </c>
    </row>
    <row r="39" spans="1:21" x14ac:dyDescent="0.2">
      <c r="A39" s="49" t="s">
        <v>30</v>
      </c>
      <c r="D39" s="49" t="s">
        <v>32189</v>
      </c>
      <c r="E39" s="49" t="s">
        <v>4601</v>
      </c>
      <c r="F39" s="49" t="s">
        <v>32190</v>
      </c>
      <c r="H39" s="49" t="s">
        <v>32191</v>
      </c>
      <c r="O39" s="49" t="s">
        <v>32192</v>
      </c>
      <c r="P39" s="49" t="s">
        <v>32193</v>
      </c>
      <c r="Q39" s="49" t="s">
        <v>32194</v>
      </c>
      <c r="R39" s="49" t="s">
        <v>32195</v>
      </c>
      <c r="S39" s="49" t="s">
        <v>32196</v>
      </c>
      <c r="T39" s="49" t="s">
        <v>32197</v>
      </c>
      <c r="U39" s="49" t="s">
        <v>32198</v>
      </c>
    </row>
    <row r="40" spans="1:21" x14ac:dyDescent="0.2">
      <c r="A40" s="49" t="s">
        <v>30</v>
      </c>
      <c r="D40" s="49" t="s">
        <v>1808</v>
      </c>
      <c r="G40" s="49" t="s">
        <v>32199</v>
      </c>
      <c r="H40" s="49" t="s">
        <v>1809</v>
      </c>
      <c r="I40" s="49" t="s">
        <v>1810</v>
      </c>
      <c r="J40" s="49" t="s">
        <v>1811</v>
      </c>
      <c r="K40" s="49" t="s">
        <v>1812</v>
      </c>
      <c r="L40" s="49" t="s">
        <v>1813</v>
      </c>
      <c r="M40" s="49" t="s">
        <v>1814</v>
      </c>
      <c r="N40" s="49" t="s">
        <v>1815</v>
      </c>
      <c r="O40" s="49" t="s">
        <v>32200</v>
      </c>
      <c r="P40" s="49" t="s">
        <v>32201</v>
      </c>
      <c r="Q40" s="49" t="s">
        <v>32202</v>
      </c>
      <c r="R40" s="49" t="s">
        <v>32203</v>
      </c>
      <c r="S40" s="49" t="s">
        <v>32204</v>
      </c>
      <c r="T40" s="49" t="s">
        <v>32205</v>
      </c>
    </row>
    <row r="41" spans="1:21" x14ac:dyDescent="0.2">
      <c r="A41" s="49" t="s">
        <v>30</v>
      </c>
    </row>
    <row r="42" spans="1:21" x14ac:dyDescent="0.2">
      <c r="A42" s="49" t="s">
        <v>30</v>
      </c>
      <c r="E42" s="49" t="s">
        <v>31</v>
      </c>
      <c r="F42" s="49" t="s">
        <v>31</v>
      </c>
      <c r="G42" s="49" t="s">
        <v>31</v>
      </c>
      <c r="J42" s="49" t="s">
        <v>31</v>
      </c>
      <c r="K42" s="49" t="s">
        <v>31</v>
      </c>
      <c r="L42" s="49" t="s">
        <v>31</v>
      </c>
      <c r="M42" s="49" t="s">
        <v>31</v>
      </c>
    </row>
    <row r="43" spans="1:21" x14ac:dyDescent="0.2">
      <c r="A43" s="49" t="s">
        <v>30</v>
      </c>
      <c r="D43" s="49" t="s">
        <v>32206</v>
      </c>
      <c r="E43" s="49" t="s">
        <v>4615</v>
      </c>
      <c r="F43" s="49" t="s">
        <v>32207</v>
      </c>
      <c r="H43" s="49" t="s">
        <v>32208</v>
      </c>
      <c r="O43" s="49" t="s">
        <v>32209</v>
      </c>
      <c r="P43" s="49" t="s">
        <v>32210</v>
      </c>
      <c r="Q43" s="49" t="s">
        <v>32211</v>
      </c>
      <c r="R43" s="49" t="s">
        <v>32212</v>
      </c>
      <c r="S43" s="49" t="s">
        <v>32213</v>
      </c>
      <c r="T43" s="49" t="s">
        <v>32214</v>
      </c>
      <c r="U43" s="49" t="s">
        <v>32215</v>
      </c>
    </row>
    <row r="44" spans="1:21" x14ac:dyDescent="0.2">
      <c r="A44" s="49" t="s">
        <v>30</v>
      </c>
      <c r="D44" s="49" t="s">
        <v>1816</v>
      </c>
      <c r="G44" s="49" t="s">
        <v>32216</v>
      </c>
      <c r="H44" s="49" t="s">
        <v>1817</v>
      </c>
      <c r="I44" s="49" t="s">
        <v>1818</v>
      </c>
      <c r="J44" s="49" t="s">
        <v>1819</v>
      </c>
      <c r="K44" s="49" t="s">
        <v>1820</v>
      </c>
      <c r="L44" s="49" t="s">
        <v>1821</v>
      </c>
      <c r="M44" s="49" t="s">
        <v>1822</v>
      </c>
      <c r="N44" s="49" t="s">
        <v>1823</v>
      </c>
      <c r="O44" s="49" t="s">
        <v>3603</v>
      </c>
      <c r="P44" s="49" t="s">
        <v>3604</v>
      </c>
      <c r="Q44" s="49" t="s">
        <v>3605</v>
      </c>
      <c r="R44" s="49" t="s">
        <v>3606</v>
      </c>
      <c r="S44" s="49" t="s">
        <v>3607</v>
      </c>
      <c r="T44" s="49" t="s">
        <v>3608</v>
      </c>
    </row>
    <row r="45" spans="1:21" x14ac:dyDescent="0.2">
      <c r="A45" s="49" t="s">
        <v>30</v>
      </c>
    </row>
    <row r="46" spans="1:21" x14ac:dyDescent="0.2">
      <c r="A46" s="49" t="s">
        <v>30</v>
      </c>
      <c r="E46" s="49" t="s">
        <v>31</v>
      </c>
      <c r="F46" s="49" t="s">
        <v>31</v>
      </c>
      <c r="G46" s="49" t="s">
        <v>31</v>
      </c>
      <c r="J46" s="49" t="s">
        <v>31</v>
      </c>
      <c r="K46" s="49" t="s">
        <v>31</v>
      </c>
      <c r="L46" s="49" t="s">
        <v>31</v>
      </c>
      <c r="M46" s="49" t="s">
        <v>31</v>
      </c>
    </row>
    <row r="47" spans="1:21" x14ac:dyDescent="0.2">
      <c r="A47" s="49" t="s">
        <v>30</v>
      </c>
      <c r="D47" s="49" t="s">
        <v>32217</v>
      </c>
      <c r="E47" s="49" t="s">
        <v>4618</v>
      </c>
      <c r="F47" s="49" t="s">
        <v>32218</v>
      </c>
      <c r="H47" s="49" t="s">
        <v>32219</v>
      </c>
      <c r="O47" s="49" t="s">
        <v>32220</v>
      </c>
      <c r="P47" s="49" t="s">
        <v>32221</v>
      </c>
      <c r="Q47" s="49" t="s">
        <v>32222</v>
      </c>
      <c r="R47" s="49" t="s">
        <v>32223</v>
      </c>
      <c r="S47" s="49" t="s">
        <v>32224</v>
      </c>
      <c r="T47" s="49" t="s">
        <v>32225</v>
      </c>
      <c r="U47" s="49" t="s">
        <v>32226</v>
      </c>
    </row>
    <row r="48" spans="1:21" x14ac:dyDescent="0.2">
      <c r="A48" s="49" t="s">
        <v>30</v>
      </c>
      <c r="D48" s="49" t="s">
        <v>208</v>
      </c>
      <c r="G48" s="49" t="s">
        <v>32227</v>
      </c>
      <c r="H48" s="49" t="s">
        <v>209</v>
      </c>
      <c r="I48" s="49" t="s">
        <v>210</v>
      </c>
      <c r="J48" s="49" t="s">
        <v>211</v>
      </c>
      <c r="K48" s="49" t="s">
        <v>212</v>
      </c>
      <c r="L48" s="49" t="s">
        <v>213</v>
      </c>
      <c r="M48" s="49" t="s">
        <v>214</v>
      </c>
      <c r="N48" s="49" t="s">
        <v>215</v>
      </c>
      <c r="O48" s="49" t="s">
        <v>3609</v>
      </c>
      <c r="P48" s="49" t="s">
        <v>3610</v>
      </c>
      <c r="Q48" s="49" t="s">
        <v>3611</v>
      </c>
      <c r="R48" s="49" t="s">
        <v>3612</v>
      </c>
      <c r="S48" s="49" t="s">
        <v>3613</v>
      </c>
      <c r="T48" s="49" t="s">
        <v>3614</v>
      </c>
    </row>
    <row r="49" spans="1:21" x14ac:dyDescent="0.2">
      <c r="A49" s="49" t="s">
        <v>30</v>
      </c>
    </row>
    <row r="50" spans="1:21" x14ac:dyDescent="0.2">
      <c r="A50" s="49" t="s">
        <v>30</v>
      </c>
      <c r="E50" s="49" t="s">
        <v>31</v>
      </c>
      <c r="F50" s="49" t="s">
        <v>31</v>
      </c>
      <c r="G50" s="49" t="s">
        <v>31</v>
      </c>
      <c r="J50" s="49" t="s">
        <v>31</v>
      </c>
      <c r="K50" s="49" t="s">
        <v>31</v>
      </c>
      <c r="L50" s="49" t="s">
        <v>31</v>
      </c>
      <c r="M50" s="49" t="s">
        <v>31</v>
      </c>
    </row>
    <row r="51" spans="1:21" x14ac:dyDescent="0.2">
      <c r="A51" s="49" t="s">
        <v>30</v>
      </c>
      <c r="D51" s="49" t="s">
        <v>2225</v>
      </c>
      <c r="E51" s="49" t="s">
        <v>4619</v>
      </c>
      <c r="F51" s="49" t="s">
        <v>2226</v>
      </c>
      <c r="H51" s="49" t="s">
        <v>2227</v>
      </c>
      <c r="O51" s="49" t="s">
        <v>38162</v>
      </c>
      <c r="P51" s="49" t="s">
        <v>38163</v>
      </c>
      <c r="Q51" s="49" t="s">
        <v>38164</v>
      </c>
      <c r="R51" s="49" t="s">
        <v>38165</v>
      </c>
      <c r="S51" s="49" t="s">
        <v>38166</v>
      </c>
      <c r="T51" s="49" t="s">
        <v>38167</v>
      </c>
      <c r="U51" s="49" t="s">
        <v>38168</v>
      </c>
    </row>
    <row r="52" spans="1:21" x14ac:dyDescent="0.2">
      <c r="A52" s="49" t="s">
        <v>30</v>
      </c>
      <c r="D52" s="49" t="s">
        <v>2228</v>
      </c>
      <c r="G52" s="49" t="s">
        <v>3978</v>
      </c>
      <c r="H52" s="49" t="s">
        <v>2229</v>
      </c>
      <c r="I52" s="49" t="s">
        <v>2230</v>
      </c>
      <c r="J52" s="49" t="s">
        <v>2231</v>
      </c>
      <c r="K52" s="49" t="s">
        <v>2232</v>
      </c>
      <c r="L52" s="49" t="s">
        <v>2233</v>
      </c>
      <c r="M52" s="49" t="s">
        <v>2234</v>
      </c>
      <c r="N52" s="49" t="s">
        <v>2235</v>
      </c>
      <c r="O52" s="49" t="s">
        <v>3979</v>
      </c>
      <c r="P52" s="49" t="s">
        <v>3980</v>
      </c>
      <c r="Q52" s="49" t="s">
        <v>3981</v>
      </c>
      <c r="R52" s="49" t="s">
        <v>3982</v>
      </c>
      <c r="S52" s="49" t="s">
        <v>3983</v>
      </c>
      <c r="T52" s="49" t="s">
        <v>3984</v>
      </c>
    </row>
    <row r="53" spans="1:21" x14ac:dyDescent="0.2">
      <c r="A53" s="49" t="s">
        <v>30</v>
      </c>
    </row>
    <row r="54" spans="1:21" x14ac:dyDescent="0.2">
      <c r="A54" s="49" t="s">
        <v>30</v>
      </c>
      <c r="E54" s="49" t="s">
        <v>31</v>
      </c>
      <c r="F54" s="49" t="s">
        <v>31</v>
      </c>
      <c r="G54" s="49" t="s">
        <v>31</v>
      </c>
      <c r="J54" s="49" t="s">
        <v>31</v>
      </c>
      <c r="K54" s="49" t="s">
        <v>31</v>
      </c>
      <c r="L54" s="49" t="s">
        <v>31</v>
      </c>
      <c r="M54" s="49" t="s">
        <v>31</v>
      </c>
    </row>
    <row r="55" spans="1:21" x14ac:dyDescent="0.2">
      <c r="A55" s="49" t="s">
        <v>30</v>
      </c>
      <c r="D55" s="49" t="s">
        <v>34705</v>
      </c>
      <c r="E55" s="49" t="s">
        <v>4655</v>
      </c>
      <c r="F55" s="49" t="s">
        <v>34706</v>
      </c>
      <c r="H55" s="49" t="s">
        <v>34707</v>
      </c>
      <c r="O55" s="49" t="s">
        <v>34708</v>
      </c>
      <c r="P55" s="49" t="s">
        <v>34709</v>
      </c>
      <c r="Q55" s="49" t="s">
        <v>34710</v>
      </c>
      <c r="R55" s="49" t="s">
        <v>34711</v>
      </c>
      <c r="S55" s="49" t="s">
        <v>34712</v>
      </c>
      <c r="T55" s="49" t="s">
        <v>34713</v>
      </c>
      <c r="U55" s="49" t="s">
        <v>34714</v>
      </c>
    </row>
    <row r="56" spans="1:21" x14ac:dyDescent="0.2">
      <c r="A56" s="49" t="s">
        <v>30</v>
      </c>
      <c r="D56" s="49" t="s">
        <v>251</v>
      </c>
      <c r="G56" s="49" t="s">
        <v>34715</v>
      </c>
      <c r="H56" s="49" t="s">
        <v>252</v>
      </c>
      <c r="I56" s="49" t="s">
        <v>253</v>
      </c>
      <c r="J56" s="49" t="s">
        <v>254</v>
      </c>
      <c r="K56" s="49" t="s">
        <v>255</v>
      </c>
      <c r="L56" s="49" t="s">
        <v>256</v>
      </c>
      <c r="M56" s="49" t="s">
        <v>257</v>
      </c>
      <c r="N56" s="49" t="s">
        <v>258</v>
      </c>
      <c r="O56" s="49" t="s">
        <v>4348</v>
      </c>
      <c r="P56" s="49" t="s">
        <v>4349</v>
      </c>
      <c r="Q56" s="49" t="s">
        <v>4350</v>
      </c>
      <c r="R56" s="49" t="s">
        <v>4351</v>
      </c>
      <c r="S56" s="49" t="s">
        <v>4352</v>
      </c>
      <c r="T56" s="49" t="s">
        <v>4353</v>
      </c>
    </row>
    <row r="57" spans="1:21" x14ac:dyDescent="0.2">
      <c r="A57" s="49" t="s">
        <v>30</v>
      </c>
    </row>
    <row r="58" spans="1:21" x14ac:dyDescent="0.2">
      <c r="A58" s="49" t="s">
        <v>30</v>
      </c>
      <c r="E58" s="49" t="s">
        <v>31</v>
      </c>
      <c r="F58" s="49" t="s">
        <v>31</v>
      </c>
      <c r="G58" s="49" t="s">
        <v>31</v>
      </c>
      <c r="J58" s="49" t="s">
        <v>31</v>
      </c>
      <c r="K58" s="49" t="s">
        <v>31</v>
      </c>
      <c r="L58" s="49" t="s">
        <v>31</v>
      </c>
      <c r="M58" s="49" t="s">
        <v>31</v>
      </c>
    </row>
    <row r="59" spans="1:21" x14ac:dyDescent="0.2">
      <c r="A59" s="49" t="s">
        <v>30</v>
      </c>
      <c r="D59" s="49" t="s">
        <v>12994</v>
      </c>
      <c r="E59" s="49" t="s">
        <v>4675</v>
      </c>
      <c r="F59" s="49" t="s">
        <v>12995</v>
      </c>
      <c r="H59" s="49" t="s">
        <v>12996</v>
      </c>
      <c r="O59" s="49" t="s">
        <v>34716</v>
      </c>
      <c r="P59" s="49" t="s">
        <v>34717</v>
      </c>
      <c r="Q59" s="49" t="s">
        <v>34718</v>
      </c>
      <c r="R59" s="49" t="s">
        <v>34719</v>
      </c>
      <c r="S59" s="49" t="s">
        <v>34720</v>
      </c>
      <c r="T59" s="49" t="s">
        <v>34721</v>
      </c>
      <c r="U59" s="49" t="s">
        <v>34722</v>
      </c>
    </row>
    <row r="60" spans="1:21" x14ac:dyDescent="0.2">
      <c r="A60" s="49" t="s">
        <v>30</v>
      </c>
      <c r="D60" s="49" t="s">
        <v>2301</v>
      </c>
      <c r="G60" s="49" t="s">
        <v>12997</v>
      </c>
      <c r="H60" s="49" t="s">
        <v>2302</v>
      </c>
      <c r="I60" s="49" t="s">
        <v>2303</v>
      </c>
      <c r="J60" s="49" t="s">
        <v>2304</v>
      </c>
      <c r="K60" s="49" t="s">
        <v>2305</v>
      </c>
      <c r="L60" s="49" t="s">
        <v>2306</v>
      </c>
      <c r="M60" s="49" t="s">
        <v>2307</v>
      </c>
      <c r="N60" s="49" t="s">
        <v>2308</v>
      </c>
      <c r="O60" s="49" t="s">
        <v>12998</v>
      </c>
      <c r="P60" s="49" t="s">
        <v>12999</v>
      </c>
      <c r="Q60" s="49" t="s">
        <v>13000</v>
      </c>
      <c r="R60" s="49" t="s">
        <v>13001</v>
      </c>
      <c r="S60" s="49" t="s">
        <v>13002</v>
      </c>
      <c r="T60" s="49" t="s">
        <v>13003</v>
      </c>
    </row>
    <row r="61" spans="1:21" x14ac:dyDescent="0.2">
      <c r="A61" s="49" t="s">
        <v>30</v>
      </c>
      <c r="D61" s="49" t="s">
        <v>2250</v>
      </c>
      <c r="G61" s="49" t="s">
        <v>14505</v>
      </c>
      <c r="H61" s="49" t="s">
        <v>2251</v>
      </c>
      <c r="I61" s="49" t="s">
        <v>2252</v>
      </c>
      <c r="J61" s="49" t="s">
        <v>2253</v>
      </c>
      <c r="K61" s="49" t="s">
        <v>2254</v>
      </c>
      <c r="L61" s="49" t="s">
        <v>2255</v>
      </c>
      <c r="M61" s="49" t="s">
        <v>2256</v>
      </c>
      <c r="N61" s="49" t="s">
        <v>2257</v>
      </c>
      <c r="O61" s="49" t="s">
        <v>3436</v>
      </c>
      <c r="P61" s="49" t="s">
        <v>3437</v>
      </c>
      <c r="Q61" s="49" t="s">
        <v>3438</v>
      </c>
      <c r="R61" s="49" t="s">
        <v>3439</v>
      </c>
      <c r="S61" s="49" t="s">
        <v>3440</v>
      </c>
      <c r="T61" s="49" t="s">
        <v>3441</v>
      </c>
    </row>
    <row r="62" spans="1:21" x14ac:dyDescent="0.2">
      <c r="A62" s="49" t="s">
        <v>30</v>
      </c>
    </row>
    <row r="63" spans="1:21" x14ac:dyDescent="0.2">
      <c r="A63" s="49" t="s">
        <v>30</v>
      </c>
      <c r="E63" s="49" t="s">
        <v>31</v>
      </c>
      <c r="F63" s="49" t="s">
        <v>31</v>
      </c>
      <c r="G63" s="49" t="s">
        <v>31</v>
      </c>
      <c r="J63" s="49" t="s">
        <v>31</v>
      </c>
      <c r="K63" s="49" t="s">
        <v>31</v>
      </c>
      <c r="L63" s="49" t="s">
        <v>31</v>
      </c>
      <c r="M63" s="49" t="s">
        <v>31</v>
      </c>
    </row>
    <row r="64" spans="1:21" x14ac:dyDescent="0.2">
      <c r="A64" s="49" t="s">
        <v>30</v>
      </c>
      <c r="D64" s="49" t="s">
        <v>34723</v>
      </c>
      <c r="E64" s="49" t="s">
        <v>4683</v>
      </c>
      <c r="F64" s="49" t="s">
        <v>34724</v>
      </c>
      <c r="H64" s="49" t="s">
        <v>34725</v>
      </c>
      <c r="O64" s="49" t="s">
        <v>38169</v>
      </c>
      <c r="P64" s="49" t="s">
        <v>38170</v>
      </c>
      <c r="Q64" s="49" t="s">
        <v>38171</v>
      </c>
      <c r="R64" s="49" t="s">
        <v>38172</v>
      </c>
      <c r="S64" s="49" t="s">
        <v>38173</v>
      </c>
      <c r="T64" s="49" t="s">
        <v>38174</v>
      </c>
      <c r="U64" s="49" t="s">
        <v>38175</v>
      </c>
    </row>
    <row r="65" spans="1:21" x14ac:dyDescent="0.2">
      <c r="A65" s="49" t="s">
        <v>30</v>
      </c>
      <c r="D65" s="49" t="s">
        <v>2258</v>
      </c>
      <c r="G65" s="49" t="s">
        <v>34733</v>
      </c>
      <c r="H65" s="49" t="s">
        <v>2259</v>
      </c>
      <c r="I65" s="49" t="s">
        <v>2260</v>
      </c>
      <c r="J65" s="49" t="s">
        <v>2261</v>
      </c>
      <c r="K65" s="49" t="s">
        <v>2262</v>
      </c>
      <c r="L65" s="49" t="s">
        <v>2263</v>
      </c>
      <c r="M65" s="49" t="s">
        <v>2264</v>
      </c>
      <c r="N65" s="49" t="s">
        <v>2265</v>
      </c>
      <c r="O65" s="49" t="s">
        <v>3442</v>
      </c>
      <c r="P65" s="49" t="s">
        <v>3443</v>
      </c>
      <c r="Q65" s="49" t="s">
        <v>3444</v>
      </c>
      <c r="R65" s="49" t="s">
        <v>3445</v>
      </c>
      <c r="S65" s="49" t="s">
        <v>3446</v>
      </c>
      <c r="T65" s="49" t="s">
        <v>3447</v>
      </c>
    </row>
    <row r="66" spans="1:21" x14ac:dyDescent="0.2">
      <c r="A66" s="49" t="s">
        <v>30</v>
      </c>
    </row>
    <row r="67" spans="1:21" x14ac:dyDescent="0.2">
      <c r="A67" s="49" t="s">
        <v>30</v>
      </c>
      <c r="E67" s="49" t="s">
        <v>31</v>
      </c>
      <c r="F67" s="49" t="s">
        <v>31</v>
      </c>
      <c r="G67" s="49" t="s">
        <v>31</v>
      </c>
      <c r="J67" s="49" t="s">
        <v>31</v>
      </c>
      <c r="K67" s="49" t="s">
        <v>31</v>
      </c>
      <c r="L67" s="49" t="s">
        <v>31</v>
      </c>
      <c r="M67" s="49" t="s">
        <v>31</v>
      </c>
    </row>
    <row r="68" spans="1:21" x14ac:dyDescent="0.2">
      <c r="A68" s="49" t="s">
        <v>30</v>
      </c>
      <c r="D68" s="49" t="s">
        <v>4560</v>
      </c>
      <c r="E68" s="49" t="s">
        <v>4752</v>
      </c>
      <c r="F68" s="49" t="s">
        <v>4562</v>
      </c>
      <c r="H68" s="49" t="s">
        <v>4563</v>
      </c>
      <c r="O68" s="49" t="s">
        <v>32242</v>
      </c>
      <c r="P68" s="49" t="s">
        <v>32243</v>
      </c>
      <c r="Q68" s="49" t="s">
        <v>32244</v>
      </c>
      <c r="R68" s="49" t="s">
        <v>32245</v>
      </c>
      <c r="S68" s="49" t="s">
        <v>32246</v>
      </c>
      <c r="T68" s="49" t="s">
        <v>32247</v>
      </c>
      <c r="U68" s="49" t="s">
        <v>32248</v>
      </c>
    </row>
    <row r="69" spans="1:21" x14ac:dyDescent="0.2">
      <c r="A69" s="49" t="s">
        <v>30</v>
      </c>
      <c r="D69" s="49" t="s">
        <v>1843</v>
      </c>
      <c r="G69" s="49" t="s">
        <v>13930</v>
      </c>
      <c r="H69" s="49" t="s">
        <v>1844</v>
      </c>
      <c r="I69" s="49" t="s">
        <v>1845</v>
      </c>
      <c r="J69" s="49" t="s">
        <v>1846</v>
      </c>
      <c r="K69" s="49" t="s">
        <v>1847</v>
      </c>
      <c r="L69" s="49" t="s">
        <v>1848</v>
      </c>
      <c r="M69" s="49" t="s">
        <v>1849</v>
      </c>
      <c r="N69" s="49" t="s">
        <v>1850</v>
      </c>
      <c r="O69" s="49" t="s">
        <v>13005</v>
      </c>
      <c r="P69" s="49" t="s">
        <v>13006</v>
      </c>
      <c r="Q69" s="49" t="s">
        <v>13007</v>
      </c>
      <c r="R69" s="49" t="s">
        <v>13008</v>
      </c>
      <c r="S69" s="49" t="s">
        <v>13009</v>
      </c>
      <c r="T69" s="49" t="s">
        <v>13010</v>
      </c>
    </row>
    <row r="70" spans="1:21" x14ac:dyDescent="0.2">
      <c r="A70" s="49" t="s">
        <v>30</v>
      </c>
    </row>
    <row r="71" spans="1:21" x14ac:dyDescent="0.2">
      <c r="A71" s="49" t="s">
        <v>30</v>
      </c>
      <c r="E71" s="49" t="s">
        <v>31</v>
      </c>
      <c r="F71" s="49" t="s">
        <v>31</v>
      </c>
      <c r="G71" s="49" t="s">
        <v>31</v>
      </c>
      <c r="J71" s="49" t="s">
        <v>31</v>
      </c>
      <c r="K71" s="49" t="s">
        <v>31</v>
      </c>
      <c r="L71" s="49" t="s">
        <v>31</v>
      </c>
      <c r="M71" s="49" t="s">
        <v>31</v>
      </c>
    </row>
    <row r="72" spans="1:21" x14ac:dyDescent="0.2">
      <c r="A72" s="49" t="s">
        <v>30</v>
      </c>
      <c r="D72" s="49" t="s">
        <v>13011</v>
      </c>
      <c r="E72" s="49" t="s">
        <v>4760</v>
      </c>
      <c r="F72" s="49" t="s">
        <v>13012</v>
      </c>
      <c r="H72" s="49" t="s">
        <v>13013</v>
      </c>
      <c r="O72" s="49" t="s">
        <v>13014</v>
      </c>
      <c r="P72" s="49" t="s">
        <v>13015</v>
      </c>
      <c r="Q72" s="49" t="s">
        <v>13016</v>
      </c>
      <c r="R72" s="49" t="s">
        <v>13017</v>
      </c>
      <c r="S72" s="49" t="s">
        <v>13018</v>
      </c>
      <c r="T72" s="49" t="s">
        <v>13019</v>
      </c>
      <c r="U72" s="49" t="s">
        <v>13020</v>
      </c>
    </row>
    <row r="73" spans="1:21" x14ac:dyDescent="0.2">
      <c r="A73" s="49" t="s">
        <v>30</v>
      </c>
      <c r="D73" s="49" t="s">
        <v>1851</v>
      </c>
      <c r="G73" s="49" t="s">
        <v>13021</v>
      </c>
      <c r="H73" s="49" t="s">
        <v>1852</v>
      </c>
      <c r="I73" s="49" t="s">
        <v>1853</v>
      </c>
      <c r="J73" s="49" t="s">
        <v>1854</v>
      </c>
      <c r="K73" s="49" t="s">
        <v>1855</v>
      </c>
      <c r="L73" s="49" t="s">
        <v>1856</v>
      </c>
      <c r="M73" s="49" t="s">
        <v>1857</v>
      </c>
      <c r="N73" s="49" t="s">
        <v>1858</v>
      </c>
      <c r="O73" s="49" t="s">
        <v>3448</v>
      </c>
      <c r="P73" s="49" t="s">
        <v>3449</v>
      </c>
      <c r="Q73" s="49" t="s">
        <v>3450</v>
      </c>
      <c r="R73" s="49" t="s">
        <v>3451</v>
      </c>
      <c r="S73" s="49" t="s">
        <v>3452</v>
      </c>
      <c r="T73" s="49" t="s">
        <v>3453</v>
      </c>
    </row>
    <row r="74" spans="1:21" x14ac:dyDescent="0.2">
      <c r="A74" s="49" t="s">
        <v>30</v>
      </c>
    </row>
    <row r="75" spans="1:21" x14ac:dyDescent="0.2">
      <c r="A75" s="49" t="s">
        <v>30</v>
      </c>
      <c r="E75" s="49" t="s">
        <v>31</v>
      </c>
      <c r="F75" s="49" t="s">
        <v>31</v>
      </c>
      <c r="G75" s="49" t="s">
        <v>31</v>
      </c>
      <c r="J75" s="49" t="s">
        <v>31</v>
      </c>
      <c r="K75" s="49" t="s">
        <v>31</v>
      </c>
      <c r="L75" s="49" t="s">
        <v>31</v>
      </c>
      <c r="M75" s="49" t="s">
        <v>31</v>
      </c>
    </row>
    <row r="76" spans="1:21" x14ac:dyDescent="0.2">
      <c r="A76" s="49" t="s">
        <v>30</v>
      </c>
      <c r="D76" s="49" t="s">
        <v>13022</v>
      </c>
      <c r="E76" s="49" t="s">
        <v>4841</v>
      </c>
      <c r="F76" s="49" t="s">
        <v>13023</v>
      </c>
      <c r="H76" s="49" t="s">
        <v>13024</v>
      </c>
      <c r="O76" s="49" t="s">
        <v>13025</v>
      </c>
      <c r="P76" s="49" t="s">
        <v>13026</v>
      </c>
      <c r="Q76" s="49" t="s">
        <v>13027</v>
      </c>
      <c r="R76" s="49" t="s">
        <v>13028</v>
      </c>
      <c r="S76" s="49" t="s">
        <v>13029</v>
      </c>
      <c r="T76" s="49" t="s">
        <v>13030</v>
      </c>
      <c r="U76" s="49" t="s">
        <v>13031</v>
      </c>
    </row>
    <row r="77" spans="1:21" x14ac:dyDescent="0.2">
      <c r="A77" s="49" t="s">
        <v>30</v>
      </c>
      <c r="D77" s="49" t="s">
        <v>13032</v>
      </c>
      <c r="G77" s="49" t="s">
        <v>13033</v>
      </c>
      <c r="H77" s="49" t="s">
        <v>13034</v>
      </c>
      <c r="I77" s="49" t="s">
        <v>13035</v>
      </c>
      <c r="J77" s="49" t="s">
        <v>13036</v>
      </c>
      <c r="K77" s="49" t="s">
        <v>13037</v>
      </c>
      <c r="L77" s="49" t="s">
        <v>13038</v>
      </c>
      <c r="M77" s="49" t="s">
        <v>13039</v>
      </c>
      <c r="N77" s="49" t="s">
        <v>13040</v>
      </c>
      <c r="O77" s="49" t="s">
        <v>13041</v>
      </c>
      <c r="P77" s="49" t="s">
        <v>13042</v>
      </c>
      <c r="Q77" s="49" t="s">
        <v>13043</v>
      </c>
      <c r="R77" s="49" t="s">
        <v>13044</v>
      </c>
      <c r="S77" s="49" t="s">
        <v>13045</v>
      </c>
      <c r="T77" s="49" t="s">
        <v>13046</v>
      </c>
    </row>
    <row r="78" spans="1:21" x14ac:dyDescent="0.2">
      <c r="A78" s="49" t="s">
        <v>30</v>
      </c>
    </row>
    <row r="79" spans="1:21" x14ac:dyDescent="0.2">
      <c r="A79" s="49" t="s">
        <v>30</v>
      </c>
      <c r="E79" s="49" t="s">
        <v>31</v>
      </c>
      <c r="F79" s="49" t="s">
        <v>31</v>
      </c>
      <c r="G79" s="49" t="s">
        <v>31</v>
      </c>
      <c r="J79" s="49" t="s">
        <v>31</v>
      </c>
      <c r="K79" s="49" t="s">
        <v>31</v>
      </c>
      <c r="L79" s="49" t="s">
        <v>31</v>
      </c>
      <c r="M79" s="49" t="s">
        <v>31</v>
      </c>
    </row>
    <row r="80" spans="1:21" x14ac:dyDescent="0.2">
      <c r="A80" s="49" t="s">
        <v>30</v>
      </c>
      <c r="D80" s="49" t="s">
        <v>13047</v>
      </c>
      <c r="E80" s="49" t="s">
        <v>5256</v>
      </c>
      <c r="F80" s="49" t="s">
        <v>13048</v>
      </c>
      <c r="H80" s="49" t="s">
        <v>13049</v>
      </c>
      <c r="O80" s="49" t="s">
        <v>13050</v>
      </c>
      <c r="P80" s="49" t="s">
        <v>13051</v>
      </c>
      <c r="Q80" s="49" t="s">
        <v>13052</v>
      </c>
      <c r="R80" s="49" t="s">
        <v>13053</v>
      </c>
      <c r="S80" s="49" t="s">
        <v>13054</v>
      </c>
      <c r="T80" s="49" t="s">
        <v>13055</v>
      </c>
      <c r="U80" s="49" t="s">
        <v>13056</v>
      </c>
    </row>
    <row r="81" spans="1:21" x14ac:dyDescent="0.2">
      <c r="A81" s="49" t="s">
        <v>30</v>
      </c>
      <c r="D81" s="49" t="s">
        <v>1883</v>
      </c>
      <c r="G81" s="49" t="s">
        <v>13057</v>
      </c>
      <c r="H81" s="49" t="s">
        <v>1884</v>
      </c>
      <c r="I81" s="49" t="s">
        <v>1885</v>
      </c>
      <c r="J81" s="49" t="s">
        <v>1886</v>
      </c>
      <c r="K81" s="49" t="s">
        <v>1887</v>
      </c>
      <c r="L81" s="49" t="s">
        <v>1888</v>
      </c>
      <c r="M81" s="49" t="s">
        <v>1889</v>
      </c>
      <c r="N81" s="49" t="s">
        <v>1890</v>
      </c>
      <c r="O81" s="49" t="s">
        <v>3454</v>
      </c>
      <c r="P81" s="49" t="s">
        <v>3455</v>
      </c>
      <c r="Q81" s="49" t="s">
        <v>3456</v>
      </c>
      <c r="R81" s="49" t="s">
        <v>3457</v>
      </c>
      <c r="S81" s="49" t="s">
        <v>3458</v>
      </c>
      <c r="T81" s="49" t="s">
        <v>3459</v>
      </c>
    </row>
    <row r="82" spans="1:21" x14ac:dyDescent="0.2">
      <c r="A82" s="49" t="s">
        <v>30</v>
      </c>
    </row>
    <row r="83" spans="1:21" x14ac:dyDescent="0.2">
      <c r="A83" s="49" t="s">
        <v>30</v>
      </c>
      <c r="E83" s="49" t="s">
        <v>31</v>
      </c>
      <c r="F83" s="49" t="s">
        <v>31</v>
      </c>
      <c r="G83" s="49" t="s">
        <v>31</v>
      </c>
      <c r="J83" s="49" t="s">
        <v>31</v>
      </c>
      <c r="K83" s="49" t="s">
        <v>31</v>
      </c>
      <c r="L83" s="49" t="s">
        <v>31</v>
      </c>
      <c r="M83" s="49" t="s">
        <v>31</v>
      </c>
    </row>
    <row r="84" spans="1:21" x14ac:dyDescent="0.2">
      <c r="A84" s="49" t="s">
        <v>30</v>
      </c>
      <c r="D84" s="49" t="s">
        <v>9993</v>
      </c>
      <c r="E84" s="49" t="s">
        <v>5301</v>
      </c>
      <c r="F84" s="49" t="s">
        <v>9994</v>
      </c>
      <c r="H84" s="49" t="s">
        <v>9995</v>
      </c>
      <c r="O84" s="49" t="s">
        <v>33101</v>
      </c>
      <c r="P84" s="49" t="s">
        <v>33102</v>
      </c>
      <c r="Q84" s="49" t="s">
        <v>33103</v>
      </c>
      <c r="R84" s="49" t="s">
        <v>33104</v>
      </c>
      <c r="S84" s="49" t="s">
        <v>33105</v>
      </c>
      <c r="T84" s="49" t="s">
        <v>33106</v>
      </c>
      <c r="U84" s="49" t="s">
        <v>33107</v>
      </c>
    </row>
    <row r="85" spans="1:21" x14ac:dyDescent="0.2">
      <c r="A85" s="49" t="s">
        <v>30</v>
      </c>
      <c r="D85" s="49" t="s">
        <v>1891</v>
      </c>
      <c r="G85" s="49" t="s">
        <v>9996</v>
      </c>
      <c r="H85" s="49" t="s">
        <v>1892</v>
      </c>
      <c r="I85" s="49" t="s">
        <v>1893</v>
      </c>
      <c r="J85" s="49" t="s">
        <v>1894</v>
      </c>
      <c r="K85" s="49" t="s">
        <v>1895</v>
      </c>
      <c r="L85" s="49" t="s">
        <v>1896</v>
      </c>
      <c r="M85" s="49" t="s">
        <v>1897</v>
      </c>
      <c r="N85" s="49" t="s">
        <v>1898</v>
      </c>
      <c r="O85" s="49" t="s">
        <v>3460</v>
      </c>
      <c r="P85" s="49" t="s">
        <v>3461</v>
      </c>
      <c r="Q85" s="49" t="s">
        <v>3462</v>
      </c>
      <c r="R85" s="49" t="s">
        <v>3463</v>
      </c>
      <c r="S85" s="49" t="s">
        <v>3464</v>
      </c>
      <c r="T85" s="49" t="s">
        <v>3465</v>
      </c>
    </row>
    <row r="86" spans="1:21" x14ac:dyDescent="0.2">
      <c r="A86" s="49" t="s">
        <v>30</v>
      </c>
    </row>
    <row r="87" spans="1:21" x14ac:dyDescent="0.2">
      <c r="A87" s="49" t="s">
        <v>30</v>
      </c>
      <c r="E87" s="49" t="s">
        <v>31</v>
      </c>
      <c r="F87" s="49" t="s">
        <v>31</v>
      </c>
      <c r="G87" s="49" t="s">
        <v>31</v>
      </c>
      <c r="J87" s="49" t="s">
        <v>31</v>
      </c>
      <c r="K87" s="49" t="s">
        <v>31</v>
      </c>
      <c r="L87" s="49" t="s">
        <v>31</v>
      </c>
      <c r="M87" s="49" t="s">
        <v>31</v>
      </c>
    </row>
    <row r="88" spans="1:21" x14ac:dyDescent="0.2">
      <c r="A88" s="49" t="s">
        <v>30</v>
      </c>
      <c r="D88" s="49" t="s">
        <v>33108</v>
      </c>
      <c r="E88" s="49" t="s">
        <v>5498</v>
      </c>
      <c r="F88" s="49" t="s">
        <v>33109</v>
      </c>
      <c r="H88" s="49" t="s">
        <v>33110</v>
      </c>
      <c r="O88" s="49" t="s">
        <v>38176</v>
      </c>
      <c r="P88" s="49" t="s">
        <v>38177</v>
      </c>
      <c r="Q88" s="49" t="s">
        <v>38178</v>
      </c>
      <c r="R88" s="49" t="s">
        <v>38179</v>
      </c>
      <c r="S88" s="49" t="s">
        <v>38180</v>
      </c>
      <c r="T88" s="49" t="s">
        <v>38181</v>
      </c>
      <c r="U88" s="49" t="s">
        <v>38182</v>
      </c>
    </row>
    <row r="89" spans="1:21" x14ac:dyDescent="0.2">
      <c r="A89" s="49" t="s">
        <v>30</v>
      </c>
      <c r="D89" s="49" t="s">
        <v>14118</v>
      </c>
      <c r="G89" s="49" t="s">
        <v>33118</v>
      </c>
      <c r="H89" s="49" t="s">
        <v>31976</v>
      </c>
      <c r="I89" s="49" t="s">
        <v>31977</v>
      </c>
      <c r="J89" s="49" t="s">
        <v>32026</v>
      </c>
      <c r="K89" s="49" t="s">
        <v>32027</v>
      </c>
      <c r="L89" s="49" t="s">
        <v>14120</v>
      </c>
      <c r="M89" s="49" t="s">
        <v>14121</v>
      </c>
      <c r="N89" s="49" t="s">
        <v>14122</v>
      </c>
      <c r="O89" s="49" t="s">
        <v>33026</v>
      </c>
      <c r="P89" s="49" t="s">
        <v>33027</v>
      </c>
      <c r="Q89" s="49" t="s">
        <v>33028</v>
      </c>
      <c r="R89" s="49" t="s">
        <v>33029</v>
      </c>
      <c r="S89" s="49" t="s">
        <v>33030</v>
      </c>
      <c r="T89" s="49" t="s">
        <v>33031</v>
      </c>
    </row>
    <row r="90" spans="1:21" x14ac:dyDescent="0.2">
      <c r="A90" s="49" t="s">
        <v>30</v>
      </c>
    </row>
    <row r="91" spans="1:21" x14ac:dyDescent="0.2">
      <c r="A91" s="49" t="s">
        <v>30</v>
      </c>
      <c r="E91" s="49" t="s">
        <v>31</v>
      </c>
      <c r="F91" s="49" t="s">
        <v>31</v>
      </c>
      <c r="G91" s="49" t="s">
        <v>31</v>
      </c>
      <c r="J91" s="49" t="s">
        <v>31</v>
      </c>
      <c r="K91" s="49" t="s">
        <v>31</v>
      </c>
      <c r="L91" s="49" t="s">
        <v>31</v>
      </c>
      <c r="M91" s="49" t="s">
        <v>31</v>
      </c>
    </row>
    <row r="92" spans="1:21" x14ac:dyDescent="0.2">
      <c r="A92" s="49" t="s">
        <v>30</v>
      </c>
      <c r="D92" s="49" t="s">
        <v>38183</v>
      </c>
      <c r="E92" s="49" t="s">
        <v>5698</v>
      </c>
      <c r="F92" s="49" t="s">
        <v>38184</v>
      </c>
      <c r="H92" s="49" t="s">
        <v>38185</v>
      </c>
      <c r="O92" s="49" t="s">
        <v>38186</v>
      </c>
      <c r="P92" s="49" t="s">
        <v>38187</v>
      </c>
      <c r="Q92" s="49" t="s">
        <v>38188</v>
      </c>
      <c r="R92" s="49" t="s">
        <v>38189</v>
      </c>
      <c r="S92" s="49" t="s">
        <v>38190</v>
      </c>
      <c r="T92" s="49" t="s">
        <v>38191</v>
      </c>
      <c r="U92" s="49" t="s">
        <v>38192</v>
      </c>
    </row>
    <row r="93" spans="1:21" x14ac:dyDescent="0.2">
      <c r="A93" s="49" t="s">
        <v>30</v>
      </c>
      <c r="D93" s="49" t="s">
        <v>10755</v>
      </c>
      <c r="G93" s="49" t="s">
        <v>38193</v>
      </c>
      <c r="H93" s="49" t="s">
        <v>12898</v>
      </c>
      <c r="I93" s="49" t="s">
        <v>12899</v>
      </c>
      <c r="J93" s="49" t="s">
        <v>12918</v>
      </c>
      <c r="K93" s="49" t="s">
        <v>12919</v>
      </c>
      <c r="L93" s="49" t="s">
        <v>10756</v>
      </c>
      <c r="M93" s="49" t="s">
        <v>10757</v>
      </c>
      <c r="N93" s="49" t="s">
        <v>10758</v>
      </c>
      <c r="O93" s="49" t="s">
        <v>13355</v>
      </c>
      <c r="P93" s="49" t="s">
        <v>13356</v>
      </c>
      <c r="Q93" s="49" t="s">
        <v>13357</v>
      </c>
      <c r="R93" s="49" t="s">
        <v>13358</v>
      </c>
      <c r="S93" s="49" t="s">
        <v>13359</v>
      </c>
      <c r="T93" s="49" t="s">
        <v>13360</v>
      </c>
    </row>
    <row r="94" spans="1:21" x14ac:dyDescent="0.2">
      <c r="A94" s="49" t="s">
        <v>30</v>
      </c>
    </row>
    <row r="95" spans="1:21" x14ac:dyDescent="0.2">
      <c r="A95" s="49" t="s">
        <v>30</v>
      </c>
      <c r="E95" s="49" t="s">
        <v>31</v>
      </c>
      <c r="F95" s="49" t="s">
        <v>31</v>
      </c>
      <c r="G95" s="49" t="s">
        <v>31</v>
      </c>
      <c r="J95" s="49" t="s">
        <v>31</v>
      </c>
      <c r="K95" s="49" t="s">
        <v>31</v>
      </c>
      <c r="L95" s="49" t="s">
        <v>31</v>
      </c>
      <c r="M95" s="49" t="s">
        <v>31</v>
      </c>
    </row>
    <row r="96" spans="1:21" x14ac:dyDescent="0.2">
      <c r="A96" s="49" t="s">
        <v>30</v>
      </c>
      <c r="D96" s="49" t="s">
        <v>13361</v>
      </c>
      <c r="E96" s="49" t="s">
        <v>5805</v>
      </c>
      <c r="F96" s="49" t="s">
        <v>13362</v>
      </c>
      <c r="H96" s="49" t="s">
        <v>13363</v>
      </c>
      <c r="O96" s="49" t="s">
        <v>13681</v>
      </c>
      <c r="P96" s="49" t="s">
        <v>13682</v>
      </c>
      <c r="Q96" s="49" t="s">
        <v>13683</v>
      </c>
      <c r="R96" s="49" t="s">
        <v>13684</v>
      </c>
      <c r="S96" s="49" t="s">
        <v>13685</v>
      </c>
      <c r="T96" s="49" t="s">
        <v>13686</v>
      </c>
      <c r="U96" s="49" t="s">
        <v>13687</v>
      </c>
    </row>
    <row r="97" spans="1:21" x14ac:dyDescent="0.2">
      <c r="A97" s="49" t="s">
        <v>30</v>
      </c>
      <c r="D97" s="49" t="s">
        <v>396</v>
      </c>
      <c r="G97" s="49" t="s">
        <v>13364</v>
      </c>
      <c r="H97" s="49" t="s">
        <v>397</v>
      </c>
      <c r="I97" s="49" t="s">
        <v>398</v>
      </c>
      <c r="J97" s="49" t="s">
        <v>399</v>
      </c>
      <c r="K97" s="49" t="s">
        <v>400</v>
      </c>
      <c r="L97" s="49" t="s">
        <v>401</v>
      </c>
      <c r="M97" s="49" t="s">
        <v>402</v>
      </c>
      <c r="N97" s="49" t="s">
        <v>403</v>
      </c>
      <c r="O97" s="49" t="s">
        <v>3466</v>
      </c>
      <c r="P97" s="49" t="s">
        <v>3467</v>
      </c>
      <c r="Q97" s="49" t="s">
        <v>3468</v>
      </c>
      <c r="R97" s="49" t="s">
        <v>3469</v>
      </c>
      <c r="S97" s="49" t="s">
        <v>3470</v>
      </c>
      <c r="T97" s="49" t="s">
        <v>3471</v>
      </c>
    </row>
    <row r="98" spans="1:21" x14ac:dyDescent="0.2">
      <c r="A98" s="49" t="s">
        <v>30</v>
      </c>
    </row>
    <row r="99" spans="1:21" x14ac:dyDescent="0.2">
      <c r="A99" s="49" t="s">
        <v>30</v>
      </c>
      <c r="E99" s="49" t="s">
        <v>31</v>
      </c>
      <c r="F99" s="49" t="s">
        <v>31</v>
      </c>
      <c r="G99" s="49" t="s">
        <v>31</v>
      </c>
      <c r="J99" s="49" t="s">
        <v>31</v>
      </c>
      <c r="K99" s="49" t="s">
        <v>31</v>
      </c>
      <c r="L99" s="49" t="s">
        <v>31</v>
      </c>
      <c r="M99" s="49" t="s">
        <v>31</v>
      </c>
    </row>
    <row r="100" spans="1:21" x14ac:dyDescent="0.2">
      <c r="A100" s="49" t="s">
        <v>30</v>
      </c>
      <c r="D100" s="49" t="s">
        <v>1726</v>
      </c>
      <c r="E100" s="49" t="s">
        <v>5890</v>
      </c>
      <c r="F100" s="49" t="s">
        <v>1727</v>
      </c>
      <c r="H100" s="49" t="s">
        <v>1728</v>
      </c>
      <c r="O100" s="49" t="s">
        <v>13688</v>
      </c>
      <c r="P100" s="49" t="s">
        <v>13689</v>
      </c>
      <c r="Q100" s="49" t="s">
        <v>13690</v>
      </c>
      <c r="R100" s="49" t="s">
        <v>13691</v>
      </c>
      <c r="S100" s="49" t="s">
        <v>13692</v>
      </c>
      <c r="T100" s="49" t="s">
        <v>13693</v>
      </c>
      <c r="U100" s="49" t="s">
        <v>13694</v>
      </c>
    </row>
    <row r="101" spans="1:21" x14ac:dyDescent="0.2">
      <c r="A101" s="49" t="s">
        <v>30</v>
      </c>
      <c r="D101" s="49" t="s">
        <v>1729</v>
      </c>
      <c r="G101" s="49" t="s">
        <v>3472</v>
      </c>
      <c r="H101" s="49" t="s">
        <v>1730</v>
      </c>
      <c r="I101" s="49" t="s">
        <v>1731</v>
      </c>
      <c r="J101" s="49" t="s">
        <v>1732</v>
      </c>
      <c r="K101" s="49" t="s">
        <v>1733</v>
      </c>
      <c r="L101" s="49" t="s">
        <v>1734</v>
      </c>
      <c r="M101" s="49" t="s">
        <v>1735</v>
      </c>
      <c r="N101" s="49" t="s">
        <v>1736</v>
      </c>
      <c r="O101" s="49" t="s">
        <v>3473</v>
      </c>
      <c r="P101" s="49" t="s">
        <v>3474</v>
      </c>
      <c r="Q101" s="49" t="s">
        <v>3475</v>
      </c>
      <c r="R101" s="49" t="s">
        <v>3476</v>
      </c>
      <c r="S101" s="49" t="s">
        <v>3477</v>
      </c>
      <c r="T101" s="49" t="s">
        <v>3478</v>
      </c>
    </row>
    <row r="102" spans="1:21" x14ac:dyDescent="0.2">
      <c r="A102" s="49" t="s">
        <v>30</v>
      </c>
    </row>
    <row r="103" spans="1:21" x14ac:dyDescent="0.2">
      <c r="A103" s="49" t="s">
        <v>30</v>
      </c>
      <c r="E103" s="49" t="s">
        <v>31</v>
      </c>
      <c r="F103" s="49" t="s">
        <v>31</v>
      </c>
      <c r="G103" s="49" t="s">
        <v>31</v>
      </c>
      <c r="J103" s="49" t="s">
        <v>31</v>
      </c>
      <c r="K103" s="49" t="s">
        <v>31</v>
      </c>
      <c r="L103" s="49" t="s">
        <v>31</v>
      </c>
      <c r="M103" s="49" t="s">
        <v>31</v>
      </c>
    </row>
    <row r="104" spans="1:21" x14ac:dyDescent="0.2">
      <c r="A104" s="49" t="s">
        <v>30</v>
      </c>
      <c r="D104" s="49" t="s">
        <v>1907</v>
      </c>
      <c r="E104" s="49" t="s">
        <v>5985</v>
      </c>
      <c r="F104" s="49" t="s">
        <v>1908</v>
      </c>
      <c r="H104" s="49" t="s">
        <v>1909</v>
      </c>
      <c r="O104" s="49" t="s">
        <v>38194</v>
      </c>
      <c r="P104" s="49" t="s">
        <v>38195</v>
      </c>
      <c r="Q104" s="49" t="s">
        <v>38196</v>
      </c>
      <c r="R104" s="49" t="s">
        <v>38197</v>
      </c>
      <c r="S104" s="49" t="s">
        <v>38198</v>
      </c>
      <c r="T104" s="49" t="s">
        <v>38199</v>
      </c>
      <c r="U104" s="49" t="s">
        <v>38200</v>
      </c>
    </row>
    <row r="105" spans="1:21" x14ac:dyDescent="0.2">
      <c r="A105" s="49" t="s">
        <v>30</v>
      </c>
      <c r="D105" s="49" t="s">
        <v>1910</v>
      </c>
      <c r="G105" s="49" t="s">
        <v>3479</v>
      </c>
      <c r="H105" s="49" t="s">
        <v>1911</v>
      </c>
      <c r="I105" s="49" t="s">
        <v>1912</v>
      </c>
      <c r="J105" s="49" t="s">
        <v>1913</v>
      </c>
      <c r="K105" s="49" t="s">
        <v>1914</v>
      </c>
      <c r="L105" s="49" t="s">
        <v>1915</v>
      </c>
      <c r="M105" s="49" t="s">
        <v>1916</v>
      </c>
      <c r="N105" s="49" t="s">
        <v>1917</v>
      </c>
      <c r="O105" s="49" t="s">
        <v>3480</v>
      </c>
      <c r="P105" s="49" t="s">
        <v>3481</v>
      </c>
      <c r="Q105" s="49" t="s">
        <v>3482</v>
      </c>
      <c r="R105" s="49" t="s">
        <v>3483</v>
      </c>
      <c r="S105" s="49" t="s">
        <v>3484</v>
      </c>
      <c r="T105" s="49" t="s">
        <v>3485</v>
      </c>
    </row>
    <row r="106" spans="1:21" x14ac:dyDescent="0.2">
      <c r="A106" s="49" t="s">
        <v>30</v>
      </c>
      <c r="D106" s="49" t="s">
        <v>1918</v>
      </c>
      <c r="G106" s="49" t="s">
        <v>16123</v>
      </c>
      <c r="H106" s="49" t="s">
        <v>1919</v>
      </c>
      <c r="I106" s="49" t="s">
        <v>1920</v>
      </c>
      <c r="J106" s="49" t="s">
        <v>1921</v>
      </c>
      <c r="K106" s="49" t="s">
        <v>1922</v>
      </c>
      <c r="L106" s="49" t="s">
        <v>1923</v>
      </c>
      <c r="M106" s="49" t="s">
        <v>1924</v>
      </c>
      <c r="N106" s="49" t="s">
        <v>1925</v>
      </c>
      <c r="O106" s="49" t="s">
        <v>3915</v>
      </c>
      <c r="P106" s="49" t="s">
        <v>3916</v>
      </c>
      <c r="Q106" s="49" t="s">
        <v>3917</v>
      </c>
      <c r="R106" s="49" t="s">
        <v>3918</v>
      </c>
      <c r="S106" s="49" t="s">
        <v>3919</v>
      </c>
      <c r="T106" s="49" t="s">
        <v>3920</v>
      </c>
    </row>
    <row r="107" spans="1:21" x14ac:dyDescent="0.2">
      <c r="A107" s="49" t="s">
        <v>30</v>
      </c>
    </row>
    <row r="108" spans="1:21" x14ac:dyDescent="0.2">
      <c r="A108" s="49" t="s">
        <v>30</v>
      </c>
      <c r="E108" s="49" t="s">
        <v>31</v>
      </c>
      <c r="F108" s="49" t="s">
        <v>31</v>
      </c>
      <c r="G108" s="49" t="s">
        <v>31</v>
      </c>
      <c r="J108" s="49" t="s">
        <v>31</v>
      </c>
      <c r="K108" s="49" t="s">
        <v>31</v>
      </c>
      <c r="L108" s="49" t="s">
        <v>31</v>
      </c>
      <c r="M108" s="49" t="s">
        <v>31</v>
      </c>
    </row>
    <row r="109" spans="1:21" x14ac:dyDescent="0.2">
      <c r="A109" s="49" t="s">
        <v>30</v>
      </c>
      <c r="D109" s="49" t="s">
        <v>10001</v>
      </c>
      <c r="E109" s="49" t="s">
        <v>6114</v>
      </c>
      <c r="F109" s="49" t="s">
        <v>10002</v>
      </c>
      <c r="H109" s="49" t="s">
        <v>10003</v>
      </c>
      <c r="O109" s="49" t="s">
        <v>38201</v>
      </c>
      <c r="P109" s="49" t="s">
        <v>38202</v>
      </c>
      <c r="Q109" s="49" t="s">
        <v>38203</v>
      </c>
      <c r="R109" s="49" t="s">
        <v>38204</v>
      </c>
      <c r="S109" s="49" t="s">
        <v>38205</v>
      </c>
      <c r="T109" s="49" t="s">
        <v>38206</v>
      </c>
      <c r="U109" s="49" t="s">
        <v>38207</v>
      </c>
    </row>
    <row r="110" spans="1:21" x14ac:dyDescent="0.2">
      <c r="A110" s="49" t="s">
        <v>30</v>
      </c>
      <c r="D110" s="49" t="s">
        <v>1926</v>
      </c>
      <c r="G110" s="49" t="s">
        <v>10004</v>
      </c>
      <c r="H110" s="49" t="s">
        <v>1927</v>
      </c>
      <c r="I110" s="49" t="s">
        <v>1928</v>
      </c>
      <c r="J110" s="49" t="s">
        <v>1929</v>
      </c>
      <c r="K110" s="49" t="s">
        <v>1930</v>
      </c>
      <c r="L110" s="49" t="s">
        <v>1931</v>
      </c>
      <c r="M110" s="49" t="s">
        <v>1932</v>
      </c>
      <c r="N110" s="49" t="s">
        <v>1933</v>
      </c>
      <c r="O110" s="49" t="s">
        <v>3722</v>
      </c>
      <c r="P110" s="49" t="s">
        <v>3723</v>
      </c>
      <c r="Q110" s="49" t="s">
        <v>3724</v>
      </c>
      <c r="R110" s="49" t="s">
        <v>3725</v>
      </c>
      <c r="S110" s="49" t="s">
        <v>3726</v>
      </c>
      <c r="T110" s="49" t="s">
        <v>3727</v>
      </c>
    </row>
    <row r="111" spans="1:21" x14ac:dyDescent="0.2">
      <c r="A111" s="49" t="s">
        <v>30</v>
      </c>
      <c r="D111" s="49" t="s">
        <v>2570</v>
      </c>
      <c r="G111" s="49" t="s">
        <v>16169</v>
      </c>
      <c r="H111" s="49" t="s">
        <v>2571</v>
      </c>
      <c r="I111" s="49" t="s">
        <v>2572</v>
      </c>
      <c r="J111" s="49" t="s">
        <v>2573</v>
      </c>
      <c r="K111" s="49" t="s">
        <v>2574</v>
      </c>
      <c r="L111" s="49" t="s">
        <v>2575</v>
      </c>
      <c r="M111" s="49" t="s">
        <v>2576</v>
      </c>
      <c r="N111" s="49" t="s">
        <v>2577</v>
      </c>
      <c r="O111" s="49" t="s">
        <v>3921</v>
      </c>
      <c r="P111" s="49" t="s">
        <v>3922</v>
      </c>
      <c r="Q111" s="49" t="s">
        <v>3923</v>
      </c>
      <c r="R111" s="49" t="s">
        <v>3924</v>
      </c>
      <c r="S111" s="49" t="s">
        <v>3925</v>
      </c>
      <c r="T111" s="49" t="s">
        <v>3926</v>
      </c>
    </row>
    <row r="112" spans="1:21" x14ac:dyDescent="0.2">
      <c r="A112" s="49" t="s">
        <v>30</v>
      </c>
    </row>
    <row r="113" spans="1:21" x14ac:dyDescent="0.2">
      <c r="A113" s="49" t="s">
        <v>30</v>
      </c>
      <c r="E113" s="49" t="s">
        <v>31</v>
      </c>
      <c r="F113" s="49" t="s">
        <v>31</v>
      </c>
      <c r="G113" s="49" t="s">
        <v>31</v>
      </c>
      <c r="J113" s="49" t="s">
        <v>31</v>
      </c>
      <c r="K113" s="49" t="s">
        <v>31</v>
      </c>
      <c r="L113" s="49" t="s">
        <v>31</v>
      </c>
      <c r="M113" s="49" t="s">
        <v>31</v>
      </c>
    </row>
    <row r="114" spans="1:21" x14ac:dyDescent="0.2">
      <c r="A114" s="49" t="s">
        <v>30</v>
      </c>
      <c r="D114" s="49" t="s">
        <v>32270</v>
      </c>
      <c r="E114" s="49" t="s">
        <v>6351</v>
      </c>
      <c r="F114" s="49" t="s">
        <v>32271</v>
      </c>
      <c r="H114" s="49" t="s">
        <v>32272</v>
      </c>
      <c r="O114" s="49" t="s">
        <v>38208</v>
      </c>
      <c r="P114" s="49" t="s">
        <v>38209</v>
      </c>
      <c r="Q114" s="49" t="s">
        <v>38210</v>
      </c>
      <c r="R114" s="49" t="s">
        <v>38211</v>
      </c>
      <c r="S114" s="49" t="s">
        <v>38212</v>
      </c>
      <c r="T114" s="49" t="s">
        <v>38213</v>
      </c>
      <c r="U114" s="49" t="s">
        <v>38214</v>
      </c>
    </row>
    <row r="115" spans="1:21" x14ac:dyDescent="0.2">
      <c r="A115" s="49" t="s">
        <v>30</v>
      </c>
      <c r="D115" s="49" t="s">
        <v>463</v>
      </c>
      <c r="G115" s="49" t="s">
        <v>32280</v>
      </c>
      <c r="H115" s="49" t="s">
        <v>464</v>
      </c>
      <c r="I115" s="49" t="s">
        <v>465</v>
      </c>
      <c r="J115" s="49" t="s">
        <v>466</v>
      </c>
      <c r="K115" s="49" t="s">
        <v>467</v>
      </c>
      <c r="L115" s="49" t="s">
        <v>468</v>
      </c>
      <c r="M115" s="49" t="s">
        <v>469</v>
      </c>
      <c r="N115" s="49" t="s">
        <v>470</v>
      </c>
      <c r="O115" s="49" t="s">
        <v>3728</v>
      </c>
      <c r="P115" s="49" t="s">
        <v>3729</v>
      </c>
      <c r="Q115" s="49" t="s">
        <v>3730</v>
      </c>
      <c r="R115" s="49" t="s">
        <v>3731</v>
      </c>
      <c r="S115" s="49" t="s">
        <v>3732</v>
      </c>
      <c r="T115" s="49" t="s">
        <v>3733</v>
      </c>
    </row>
    <row r="116" spans="1:21" x14ac:dyDescent="0.2">
      <c r="A116" s="49" t="s">
        <v>30</v>
      </c>
    </row>
    <row r="117" spans="1:21" x14ac:dyDescent="0.2">
      <c r="A117" s="49" t="s">
        <v>30</v>
      </c>
      <c r="E117" s="49" t="s">
        <v>31</v>
      </c>
      <c r="F117" s="49" t="s">
        <v>31</v>
      </c>
      <c r="G117" s="49" t="s">
        <v>31</v>
      </c>
      <c r="J117" s="49" t="s">
        <v>31</v>
      </c>
      <c r="K117" s="49" t="s">
        <v>31</v>
      </c>
      <c r="L117" s="49" t="s">
        <v>31</v>
      </c>
      <c r="M117" s="49" t="s">
        <v>31</v>
      </c>
    </row>
    <row r="118" spans="1:21" x14ac:dyDescent="0.2">
      <c r="A118" s="49" t="s">
        <v>30</v>
      </c>
      <c r="D118" s="49" t="s">
        <v>35989</v>
      </c>
      <c r="E118" s="49" t="s">
        <v>6446</v>
      </c>
      <c r="F118" s="49" t="s">
        <v>35990</v>
      </c>
      <c r="H118" s="49" t="s">
        <v>35991</v>
      </c>
      <c r="O118" s="49" t="s">
        <v>38215</v>
      </c>
      <c r="P118" s="49" t="s">
        <v>38216</v>
      </c>
      <c r="Q118" s="49" t="s">
        <v>38217</v>
      </c>
      <c r="R118" s="49" t="s">
        <v>38218</v>
      </c>
      <c r="S118" s="49" t="s">
        <v>38219</v>
      </c>
      <c r="T118" s="49" t="s">
        <v>38220</v>
      </c>
      <c r="U118" s="49" t="s">
        <v>38221</v>
      </c>
    </row>
    <row r="119" spans="1:21" x14ac:dyDescent="0.2">
      <c r="A119" s="49" t="s">
        <v>30</v>
      </c>
      <c r="D119" s="49" t="s">
        <v>471</v>
      </c>
      <c r="G119" s="49" t="s">
        <v>35999</v>
      </c>
      <c r="H119" s="49" t="s">
        <v>472</v>
      </c>
      <c r="I119" s="49" t="s">
        <v>473</v>
      </c>
      <c r="J119" s="49" t="s">
        <v>474</v>
      </c>
      <c r="K119" s="49" t="s">
        <v>475</v>
      </c>
      <c r="L119" s="49" t="s">
        <v>476</v>
      </c>
      <c r="M119" s="49" t="s">
        <v>477</v>
      </c>
      <c r="N119" s="49" t="s">
        <v>478</v>
      </c>
      <c r="O119" s="49" t="s">
        <v>4335</v>
      </c>
      <c r="P119" s="49" t="s">
        <v>4336</v>
      </c>
      <c r="Q119" s="49" t="s">
        <v>4337</v>
      </c>
      <c r="R119" s="49" t="s">
        <v>4338</v>
      </c>
      <c r="S119" s="49" t="s">
        <v>4339</v>
      </c>
      <c r="T119" s="49" t="s">
        <v>4340</v>
      </c>
    </row>
    <row r="120" spans="1:21" x14ac:dyDescent="0.2">
      <c r="A120" s="49" t="s">
        <v>30</v>
      </c>
      <c r="D120" s="49" t="s">
        <v>479</v>
      </c>
      <c r="G120" s="49" t="s">
        <v>16440</v>
      </c>
      <c r="H120" s="49" t="s">
        <v>480</v>
      </c>
      <c r="I120" s="49" t="s">
        <v>481</v>
      </c>
      <c r="J120" s="49" t="s">
        <v>482</v>
      </c>
      <c r="K120" s="49" t="s">
        <v>483</v>
      </c>
      <c r="L120" s="49" t="s">
        <v>484</v>
      </c>
      <c r="M120" s="49" t="s">
        <v>485</v>
      </c>
      <c r="N120" s="49" t="s">
        <v>486</v>
      </c>
      <c r="O120" s="49" t="s">
        <v>3741</v>
      </c>
      <c r="P120" s="49" t="s">
        <v>3742</v>
      </c>
      <c r="Q120" s="49" t="s">
        <v>3743</v>
      </c>
      <c r="R120" s="49" t="s">
        <v>3744</v>
      </c>
      <c r="S120" s="49" t="s">
        <v>3745</v>
      </c>
      <c r="T120" s="49" t="s">
        <v>3746</v>
      </c>
    </row>
    <row r="121" spans="1:21" x14ac:dyDescent="0.2">
      <c r="A121" s="49" t="s">
        <v>30</v>
      </c>
    </row>
    <row r="122" spans="1:21" x14ac:dyDescent="0.2">
      <c r="A122" s="49" t="s">
        <v>30</v>
      </c>
      <c r="E122" s="49" t="s">
        <v>31</v>
      </c>
      <c r="F122" s="49" t="s">
        <v>31</v>
      </c>
      <c r="G122" s="49" t="s">
        <v>31</v>
      </c>
      <c r="J122" s="49" t="s">
        <v>31</v>
      </c>
      <c r="K122" s="49" t="s">
        <v>31</v>
      </c>
      <c r="L122" s="49" t="s">
        <v>31</v>
      </c>
      <c r="M122" s="49" t="s">
        <v>31</v>
      </c>
    </row>
    <row r="123" spans="1:21" x14ac:dyDescent="0.2">
      <c r="A123" s="49" t="s">
        <v>30</v>
      </c>
      <c r="D123" s="49" t="s">
        <v>2349</v>
      </c>
      <c r="E123" s="49" t="s">
        <v>6601</v>
      </c>
      <c r="F123" s="49" t="s">
        <v>2350</v>
      </c>
      <c r="H123" s="49" t="s">
        <v>2351</v>
      </c>
      <c r="O123" s="49" t="s">
        <v>38222</v>
      </c>
      <c r="P123" s="49" t="s">
        <v>38223</v>
      </c>
      <c r="Q123" s="49" t="s">
        <v>38224</v>
      </c>
      <c r="R123" s="49" t="s">
        <v>38225</v>
      </c>
      <c r="S123" s="49" t="s">
        <v>38226</v>
      </c>
      <c r="T123" s="49" t="s">
        <v>38227</v>
      </c>
      <c r="U123" s="49" t="s">
        <v>38228</v>
      </c>
    </row>
    <row r="124" spans="1:21" x14ac:dyDescent="0.2">
      <c r="A124" s="49" t="s">
        <v>30</v>
      </c>
      <c r="D124" s="49" t="s">
        <v>511</v>
      </c>
      <c r="G124" s="49" t="s">
        <v>4017</v>
      </c>
      <c r="H124" s="49" t="s">
        <v>512</v>
      </c>
      <c r="I124" s="49" t="s">
        <v>513</v>
      </c>
      <c r="J124" s="49" t="s">
        <v>514</v>
      </c>
      <c r="K124" s="49" t="s">
        <v>515</v>
      </c>
      <c r="L124" s="49" t="s">
        <v>516</v>
      </c>
      <c r="M124" s="49" t="s">
        <v>517</v>
      </c>
      <c r="N124" s="49" t="s">
        <v>518</v>
      </c>
      <c r="O124" s="49" t="s">
        <v>4018</v>
      </c>
      <c r="P124" s="49" t="s">
        <v>4019</v>
      </c>
      <c r="Q124" s="49" t="s">
        <v>4020</v>
      </c>
      <c r="R124" s="49" t="s">
        <v>4021</v>
      </c>
      <c r="S124" s="49" t="s">
        <v>4022</v>
      </c>
      <c r="T124" s="49" t="s">
        <v>4023</v>
      </c>
    </row>
    <row r="125" spans="1:21" x14ac:dyDescent="0.2">
      <c r="A125" s="49" t="s">
        <v>30</v>
      </c>
    </row>
    <row r="126" spans="1:21" x14ac:dyDescent="0.2">
      <c r="A126" s="49" t="s">
        <v>30</v>
      </c>
      <c r="E126" s="49" t="s">
        <v>31</v>
      </c>
      <c r="F126" s="49" t="s">
        <v>31</v>
      </c>
      <c r="G126" s="49" t="s">
        <v>31</v>
      </c>
      <c r="J126" s="49" t="s">
        <v>31</v>
      </c>
      <c r="K126" s="49" t="s">
        <v>31</v>
      </c>
      <c r="L126" s="49" t="s">
        <v>31</v>
      </c>
      <c r="M126" s="49" t="s">
        <v>31</v>
      </c>
    </row>
    <row r="127" spans="1:21" x14ac:dyDescent="0.2">
      <c r="A127" s="49" t="s">
        <v>30</v>
      </c>
      <c r="D127" s="49" t="s">
        <v>2788</v>
      </c>
      <c r="E127" s="49" t="s">
        <v>6666</v>
      </c>
      <c r="F127" s="49" t="s">
        <v>2789</v>
      </c>
      <c r="H127" s="49" t="s">
        <v>2790</v>
      </c>
      <c r="O127" s="49" t="s">
        <v>38229</v>
      </c>
      <c r="P127" s="49" t="s">
        <v>38230</v>
      </c>
      <c r="Q127" s="49" t="s">
        <v>38231</v>
      </c>
      <c r="R127" s="49" t="s">
        <v>38232</v>
      </c>
      <c r="S127" s="49" t="s">
        <v>38233</v>
      </c>
      <c r="T127" s="49" t="s">
        <v>38234</v>
      </c>
      <c r="U127" s="49" t="s">
        <v>38235</v>
      </c>
    </row>
    <row r="128" spans="1:21" x14ac:dyDescent="0.2">
      <c r="A128" s="49" t="s">
        <v>30</v>
      </c>
      <c r="D128" s="49" t="s">
        <v>1961</v>
      </c>
      <c r="G128" s="49" t="s">
        <v>4372</v>
      </c>
      <c r="H128" s="49" t="s">
        <v>1962</v>
      </c>
      <c r="I128" s="49" t="s">
        <v>1963</v>
      </c>
      <c r="J128" s="49" t="s">
        <v>1964</v>
      </c>
      <c r="K128" s="49" t="s">
        <v>1965</v>
      </c>
      <c r="L128" s="49" t="s">
        <v>1966</v>
      </c>
      <c r="M128" s="49" t="s">
        <v>1967</v>
      </c>
      <c r="N128" s="49" t="s">
        <v>1968</v>
      </c>
      <c r="O128" s="49" t="s">
        <v>3759</v>
      </c>
      <c r="P128" s="49" t="s">
        <v>3760</v>
      </c>
      <c r="Q128" s="49" t="s">
        <v>3761</v>
      </c>
      <c r="R128" s="49" t="s">
        <v>3762</v>
      </c>
      <c r="S128" s="49" t="s">
        <v>3763</v>
      </c>
      <c r="T128" s="49" t="s">
        <v>3764</v>
      </c>
    </row>
    <row r="129" spans="1:21" x14ac:dyDescent="0.2">
      <c r="A129" s="49" t="s">
        <v>30</v>
      </c>
    </row>
    <row r="130" spans="1:21" x14ac:dyDescent="0.2">
      <c r="A130" s="49" t="s">
        <v>30</v>
      </c>
      <c r="E130" s="49" t="s">
        <v>31</v>
      </c>
      <c r="F130" s="49" t="s">
        <v>31</v>
      </c>
      <c r="G130" s="49" t="s">
        <v>31</v>
      </c>
      <c r="J130" s="49" t="s">
        <v>31</v>
      </c>
      <c r="K130" s="49" t="s">
        <v>31</v>
      </c>
      <c r="L130" s="49" t="s">
        <v>31</v>
      </c>
      <c r="M130" s="49" t="s">
        <v>31</v>
      </c>
    </row>
    <row r="131" spans="1:21" x14ac:dyDescent="0.2">
      <c r="A131" s="49" t="s">
        <v>30</v>
      </c>
      <c r="D131" s="49" t="s">
        <v>10319</v>
      </c>
      <c r="E131" s="49" t="s">
        <v>6803</v>
      </c>
      <c r="F131" s="49" t="s">
        <v>10320</v>
      </c>
      <c r="H131" s="49" t="s">
        <v>10321</v>
      </c>
      <c r="O131" s="49" t="s">
        <v>38236</v>
      </c>
      <c r="P131" s="49" t="s">
        <v>38237</v>
      </c>
      <c r="Q131" s="49" t="s">
        <v>38238</v>
      </c>
      <c r="R131" s="49" t="s">
        <v>38239</v>
      </c>
      <c r="S131" s="49" t="s">
        <v>38240</v>
      </c>
      <c r="T131" s="49" t="s">
        <v>38241</v>
      </c>
      <c r="U131" s="49" t="s">
        <v>38242</v>
      </c>
    </row>
    <row r="132" spans="1:21" x14ac:dyDescent="0.2">
      <c r="A132" s="49" t="s">
        <v>30</v>
      </c>
      <c r="D132" s="49" t="s">
        <v>551</v>
      </c>
      <c r="G132" s="49" t="s">
        <v>10322</v>
      </c>
      <c r="H132" s="49" t="s">
        <v>552</v>
      </c>
      <c r="I132" s="49" t="s">
        <v>553</v>
      </c>
      <c r="J132" s="49" t="s">
        <v>554</v>
      </c>
      <c r="K132" s="49" t="s">
        <v>555</v>
      </c>
      <c r="L132" s="49" t="s">
        <v>556</v>
      </c>
      <c r="M132" s="49" t="s">
        <v>557</v>
      </c>
      <c r="N132" s="49" t="s">
        <v>558</v>
      </c>
      <c r="O132" s="49" t="s">
        <v>3511</v>
      </c>
      <c r="P132" s="49" t="s">
        <v>3512</v>
      </c>
      <c r="Q132" s="49" t="s">
        <v>3513</v>
      </c>
      <c r="R132" s="49" t="s">
        <v>3514</v>
      </c>
      <c r="S132" s="49" t="s">
        <v>3515</v>
      </c>
      <c r="T132" s="49" t="s">
        <v>3516</v>
      </c>
    </row>
    <row r="133" spans="1:21" x14ac:dyDescent="0.2">
      <c r="A133" s="49" t="s">
        <v>30</v>
      </c>
      <c r="D133" s="49" t="s">
        <v>1748</v>
      </c>
      <c r="G133" s="49" t="s">
        <v>16855</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c r="D134" s="49" t="s">
        <v>2656</v>
      </c>
      <c r="G134" s="49" t="s">
        <v>16885</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row>
    <row r="136" spans="1:21" x14ac:dyDescent="0.2">
      <c r="A136" s="49" t="s">
        <v>30</v>
      </c>
      <c r="E136" s="49" t="s">
        <v>31</v>
      </c>
      <c r="F136" s="49" t="s">
        <v>31</v>
      </c>
      <c r="G136" s="49" t="s">
        <v>31</v>
      </c>
      <c r="J136" s="49" t="s">
        <v>31</v>
      </c>
      <c r="K136" s="49" t="s">
        <v>31</v>
      </c>
      <c r="L136" s="49" t="s">
        <v>31</v>
      </c>
      <c r="M136" s="49" t="s">
        <v>31</v>
      </c>
    </row>
    <row r="137" spans="1:21" x14ac:dyDescent="0.2">
      <c r="A137" s="49" t="s">
        <v>30</v>
      </c>
      <c r="D137" s="49" t="s">
        <v>2791</v>
      </c>
      <c r="E137" s="49" t="s">
        <v>7180</v>
      </c>
      <c r="F137" s="49" t="s">
        <v>2792</v>
      </c>
      <c r="H137" s="49" t="s">
        <v>2793</v>
      </c>
      <c r="O137" s="49" t="s">
        <v>38243</v>
      </c>
      <c r="P137" s="49" t="s">
        <v>38244</v>
      </c>
      <c r="Q137" s="49" t="s">
        <v>38245</v>
      </c>
      <c r="R137" s="49" t="s">
        <v>38246</v>
      </c>
      <c r="S137" s="49" t="s">
        <v>38247</v>
      </c>
      <c r="T137" s="49" t="s">
        <v>38248</v>
      </c>
      <c r="U137" s="49" t="s">
        <v>38249</v>
      </c>
    </row>
    <row r="138" spans="1:21" x14ac:dyDescent="0.2">
      <c r="A138" s="49" t="s">
        <v>30</v>
      </c>
      <c r="D138" s="49" t="s">
        <v>575</v>
      </c>
      <c r="G138" s="49" t="s">
        <v>3946</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row>
    <row r="140" spans="1:21" x14ac:dyDescent="0.2">
      <c r="A140" s="49" t="s">
        <v>30</v>
      </c>
      <c r="E140" s="49" t="s">
        <v>31</v>
      </c>
      <c r="F140" s="49" t="s">
        <v>31</v>
      </c>
      <c r="G140" s="49" t="s">
        <v>31</v>
      </c>
      <c r="J140" s="49" t="s">
        <v>31</v>
      </c>
      <c r="K140" s="49" t="s">
        <v>31</v>
      </c>
      <c r="L140" s="49" t="s">
        <v>31</v>
      </c>
      <c r="M140" s="49" t="s">
        <v>31</v>
      </c>
    </row>
    <row r="141" spans="1:21" x14ac:dyDescent="0.2">
      <c r="A141" s="49" t="s">
        <v>30</v>
      </c>
      <c r="D141" s="49" t="s">
        <v>10648</v>
      </c>
      <c r="E141" s="49" t="s">
        <v>7291</v>
      </c>
      <c r="F141" s="49" t="s">
        <v>10649</v>
      </c>
      <c r="H141" s="49" t="s">
        <v>10650</v>
      </c>
      <c r="O141" s="49" t="s">
        <v>10651</v>
      </c>
      <c r="P141" s="49" t="s">
        <v>10652</v>
      </c>
      <c r="Q141" s="49" t="s">
        <v>10653</v>
      </c>
      <c r="R141" s="49" t="s">
        <v>10654</v>
      </c>
      <c r="S141" s="49" t="s">
        <v>10655</v>
      </c>
      <c r="T141" s="49" t="s">
        <v>10656</v>
      </c>
      <c r="U141" s="49" t="s">
        <v>10657</v>
      </c>
    </row>
    <row r="142" spans="1:21" x14ac:dyDescent="0.2">
      <c r="A142" s="49" t="s">
        <v>30</v>
      </c>
      <c r="D142" s="49" t="s">
        <v>1756</v>
      </c>
      <c r="G142" s="49" t="s">
        <v>10658</v>
      </c>
      <c r="H142" s="49" t="s">
        <v>1757</v>
      </c>
      <c r="I142" s="49" t="s">
        <v>1758</v>
      </c>
      <c r="J142" s="49" t="s">
        <v>1759</v>
      </c>
      <c r="K142" s="49" t="s">
        <v>1760</v>
      </c>
      <c r="L142" s="49" t="s">
        <v>1761</v>
      </c>
      <c r="M142" s="49" t="s">
        <v>1762</v>
      </c>
      <c r="N142" s="49" t="s">
        <v>1763</v>
      </c>
      <c r="O142" s="49" t="s">
        <v>3953</v>
      </c>
      <c r="P142" s="49" t="s">
        <v>3954</v>
      </c>
      <c r="Q142" s="49" t="s">
        <v>3955</v>
      </c>
      <c r="R142" s="49" t="s">
        <v>3956</v>
      </c>
      <c r="S142" s="49" t="s">
        <v>3957</v>
      </c>
      <c r="T142" s="49" t="s">
        <v>3958</v>
      </c>
    </row>
    <row r="143" spans="1:21" x14ac:dyDescent="0.2">
      <c r="A143" s="49" t="s">
        <v>30</v>
      </c>
    </row>
    <row r="144" spans="1:21" x14ac:dyDescent="0.2">
      <c r="A144" s="49" t="s">
        <v>30</v>
      </c>
      <c r="E144" s="49" t="s">
        <v>31</v>
      </c>
      <c r="F144" s="49" t="s">
        <v>31</v>
      </c>
      <c r="G144" s="49" t="s">
        <v>31</v>
      </c>
      <c r="J144" s="49" t="s">
        <v>31</v>
      </c>
      <c r="K144" s="49" t="s">
        <v>31</v>
      </c>
      <c r="L144" s="49" t="s">
        <v>31</v>
      </c>
      <c r="M144" s="49" t="s">
        <v>31</v>
      </c>
    </row>
    <row r="145" spans="1:21" x14ac:dyDescent="0.2">
      <c r="A145" s="49" t="s">
        <v>30</v>
      </c>
      <c r="D145" s="49" t="s">
        <v>4614</v>
      </c>
      <c r="E145" s="49" t="s">
        <v>7358</v>
      </c>
      <c r="F145" s="49" t="s">
        <v>4616</v>
      </c>
      <c r="H145" s="49" t="s">
        <v>4617</v>
      </c>
      <c r="O145" s="49" t="s">
        <v>10013</v>
      </c>
      <c r="P145" s="49" t="s">
        <v>10014</v>
      </c>
      <c r="Q145" s="49" t="s">
        <v>10015</v>
      </c>
      <c r="R145" s="49" t="s">
        <v>10016</v>
      </c>
      <c r="S145" s="49" t="s">
        <v>10017</v>
      </c>
      <c r="T145" s="49" t="s">
        <v>10018</v>
      </c>
      <c r="U145" s="49" t="s">
        <v>10019</v>
      </c>
    </row>
    <row r="146" spans="1:21" x14ac:dyDescent="0.2">
      <c r="A146" s="49" t="s">
        <v>30</v>
      </c>
      <c r="D146" s="49" t="s">
        <v>615</v>
      </c>
      <c r="G146" s="49" t="s">
        <v>8920</v>
      </c>
      <c r="H146" s="49" t="s">
        <v>616</v>
      </c>
      <c r="I146" s="49" t="s">
        <v>617</v>
      </c>
      <c r="J146" s="49" t="s">
        <v>618</v>
      </c>
      <c r="K146" s="49" t="s">
        <v>619</v>
      </c>
      <c r="L146" s="49" t="s">
        <v>620</v>
      </c>
      <c r="M146" s="49" t="s">
        <v>621</v>
      </c>
      <c r="N146" s="49" t="s">
        <v>622</v>
      </c>
      <c r="O146" s="49" t="s">
        <v>8921</v>
      </c>
      <c r="P146" s="49" t="s">
        <v>8922</v>
      </c>
      <c r="Q146" s="49" t="s">
        <v>8923</v>
      </c>
      <c r="R146" s="49" t="s">
        <v>8924</v>
      </c>
      <c r="S146" s="49" t="s">
        <v>8925</v>
      </c>
      <c r="T146" s="49" t="s">
        <v>8926</v>
      </c>
    </row>
    <row r="147" spans="1:21" x14ac:dyDescent="0.2">
      <c r="A147" s="49" t="s">
        <v>30</v>
      </c>
    </row>
    <row r="148" spans="1:21" x14ac:dyDescent="0.2">
      <c r="A148" s="49" t="s">
        <v>30</v>
      </c>
      <c r="E148" s="49" t="s">
        <v>31</v>
      </c>
      <c r="F148" s="49" t="s">
        <v>31</v>
      </c>
      <c r="G148" s="49" t="s">
        <v>31</v>
      </c>
      <c r="J148" s="49" t="s">
        <v>31</v>
      </c>
      <c r="K148" s="49" t="s">
        <v>31</v>
      </c>
      <c r="L148" s="49" t="s">
        <v>31</v>
      </c>
      <c r="M148" s="49" t="s">
        <v>31</v>
      </c>
    </row>
    <row r="149" spans="1:21" x14ac:dyDescent="0.2">
      <c r="A149" s="49" t="s">
        <v>30</v>
      </c>
      <c r="D149" s="49" t="s">
        <v>10020</v>
      </c>
      <c r="E149" s="49" t="s">
        <v>7803</v>
      </c>
      <c r="F149" s="49" t="s">
        <v>10021</v>
      </c>
      <c r="H149" s="49" t="s">
        <v>10022</v>
      </c>
      <c r="O149" s="49" t="s">
        <v>10023</v>
      </c>
      <c r="P149" s="49" t="s">
        <v>10024</v>
      </c>
      <c r="Q149" s="49" t="s">
        <v>10025</v>
      </c>
      <c r="R149" s="49" t="s">
        <v>10026</v>
      </c>
      <c r="S149" s="49" t="s">
        <v>10027</v>
      </c>
      <c r="T149" s="49" t="s">
        <v>10028</v>
      </c>
      <c r="U149" s="49" t="s">
        <v>10029</v>
      </c>
    </row>
    <row r="150" spans="1:21" x14ac:dyDescent="0.2">
      <c r="A150" s="49" t="s">
        <v>30</v>
      </c>
      <c r="D150" s="49" t="s">
        <v>639</v>
      </c>
      <c r="G150" s="49" t="s">
        <v>10030</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row>
    <row r="152" spans="1:21" x14ac:dyDescent="0.2">
      <c r="A152" s="49" t="s">
        <v>30</v>
      </c>
      <c r="E152" s="49" t="s">
        <v>31</v>
      </c>
      <c r="F152" s="49" t="s">
        <v>31</v>
      </c>
      <c r="G152" s="49" t="s">
        <v>31</v>
      </c>
      <c r="J152" s="49" t="s">
        <v>31</v>
      </c>
      <c r="K152" s="49" t="s">
        <v>31</v>
      </c>
      <c r="L152" s="49" t="s">
        <v>31</v>
      </c>
      <c r="M152" s="49" t="s">
        <v>31</v>
      </c>
    </row>
    <row r="153" spans="1:21" x14ac:dyDescent="0.2">
      <c r="A153" s="49" t="s">
        <v>30</v>
      </c>
      <c r="D153" s="49" t="s">
        <v>10031</v>
      </c>
      <c r="E153" s="49" t="s">
        <v>18336</v>
      </c>
      <c r="F153" s="49" t="s">
        <v>10032</v>
      </c>
      <c r="H153" s="49" t="s">
        <v>10033</v>
      </c>
      <c r="O153" s="49" t="s">
        <v>10659</v>
      </c>
      <c r="P153" s="49" t="s">
        <v>10660</v>
      </c>
      <c r="Q153" s="49" t="s">
        <v>10661</v>
      </c>
      <c r="R153" s="49" t="s">
        <v>10662</v>
      </c>
      <c r="S153" s="49" t="s">
        <v>10663</v>
      </c>
      <c r="T153" s="49" t="s">
        <v>10664</v>
      </c>
      <c r="U153" s="49" t="s">
        <v>10665</v>
      </c>
    </row>
    <row r="154" spans="1:21" x14ac:dyDescent="0.2">
      <c r="A154" s="49" t="s">
        <v>30</v>
      </c>
      <c r="D154" s="49" t="s">
        <v>671</v>
      </c>
      <c r="G154" s="49" t="s">
        <v>10034</v>
      </c>
      <c r="H154" s="49" t="s">
        <v>672</v>
      </c>
      <c r="I154" s="49" t="s">
        <v>673</v>
      </c>
      <c r="J154" s="49" t="s">
        <v>674</v>
      </c>
      <c r="K154" s="49" t="s">
        <v>675</v>
      </c>
      <c r="L154" s="49" t="s">
        <v>676</v>
      </c>
      <c r="M154" s="49" t="s">
        <v>677</v>
      </c>
      <c r="N154" s="49" t="s">
        <v>678</v>
      </c>
      <c r="O154" s="49" t="s">
        <v>3799</v>
      </c>
      <c r="P154" s="49" t="s">
        <v>3800</v>
      </c>
      <c r="Q154" s="49" t="s">
        <v>3801</v>
      </c>
      <c r="R154" s="49" t="s">
        <v>3802</v>
      </c>
      <c r="S154" s="49" t="s">
        <v>3803</v>
      </c>
      <c r="T154" s="49" t="s">
        <v>3804</v>
      </c>
    </row>
    <row r="155" spans="1:21" x14ac:dyDescent="0.2">
      <c r="A155" s="49" t="s">
        <v>30</v>
      </c>
    </row>
    <row r="156" spans="1:21" x14ac:dyDescent="0.2">
      <c r="A156" s="49" t="s">
        <v>30</v>
      </c>
      <c r="E156" s="49" t="s">
        <v>31</v>
      </c>
      <c r="F156" s="49" t="s">
        <v>31</v>
      </c>
      <c r="G156" s="49" t="s">
        <v>31</v>
      </c>
      <c r="J156" s="49" t="s">
        <v>31</v>
      </c>
      <c r="K156" s="49" t="s">
        <v>31</v>
      </c>
      <c r="L156" s="49" t="s">
        <v>31</v>
      </c>
      <c r="M156" s="49" t="s">
        <v>31</v>
      </c>
    </row>
    <row r="157" spans="1:21" x14ac:dyDescent="0.2">
      <c r="A157" s="49" t="s">
        <v>30</v>
      </c>
      <c r="D157" s="49" t="s">
        <v>10666</v>
      </c>
      <c r="E157" s="49" t="s">
        <v>7864</v>
      </c>
      <c r="F157" s="49" t="s">
        <v>10667</v>
      </c>
      <c r="H157" s="49" t="s">
        <v>10668</v>
      </c>
      <c r="O157" s="49" t="s">
        <v>13082</v>
      </c>
      <c r="P157" s="49" t="s">
        <v>13083</v>
      </c>
      <c r="Q157" s="49" t="s">
        <v>13084</v>
      </c>
      <c r="R157" s="49" t="s">
        <v>13085</v>
      </c>
      <c r="S157" s="49" t="s">
        <v>13086</v>
      </c>
      <c r="T157" s="49" t="s">
        <v>13087</v>
      </c>
      <c r="U157" s="49" t="s">
        <v>13088</v>
      </c>
    </row>
    <row r="158" spans="1:21" x14ac:dyDescent="0.2">
      <c r="A158" s="49" t="s">
        <v>30</v>
      </c>
      <c r="D158" s="49" t="s">
        <v>1985</v>
      </c>
      <c r="G158" s="49" t="s">
        <v>10669</v>
      </c>
      <c r="H158" s="49" t="s">
        <v>1986</v>
      </c>
      <c r="I158" s="49" t="s">
        <v>1987</v>
      </c>
      <c r="J158" s="49" t="s">
        <v>1988</v>
      </c>
      <c r="K158" s="49" t="s">
        <v>1989</v>
      </c>
      <c r="L158" s="49" t="s">
        <v>1990</v>
      </c>
      <c r="M158" s="49" t="s">
        <v>1991</v>
      </c>
      <c r="N158" s="49" t="s">
        <v>1992</v>
      </c>
      <c r="O158" s="49" t="s">
        <v>10670</v>
      </c>
      <c r="P158" s="49" t="s">
        <v>10671</v>
      </c>
      <c r="Q158" s="49" t="s">
        <v>10672</v>
      </c>
      <c r="R158" s="49" t="s">
        <v>10673</v>
      </c>
      <c r="S158" s="49" t="s">
        <v>10674</v>
      </c>
      <c r="T158" s="49" t="s">
        <v>10675</v>
      </c>
    </row>
    <row r="159" spans="1:21" x14ac:dyDescent="0.2">
      <c r="A159" s="49" t="s">
        <v>30</v>
      </c>
    </row>
    <row r="160" spans="1:21" x14ac:dyDescent="0.2">
      <c r="A160" s="49" t="s">
        <v>30</v>
      </c>
      <c r="E160" s="49" t="s">
        <v>31</v>
      </c>
      <c r="F160" s="49" t="s">
        <v>31</v>
      </c>
      <c r="G160" s="49" t="s">
        <v>31</v>
      </c>
      <c r="J160" s="49" t="s">
        <v>31</v>
      </c>
      <c r="K160" s="49" t="s">
        <v>31</v>
      </c>
      <c r="L160" s="49" t="s">
        <v>31</v>
      </c>
      <c r="M160" s="49" t="s">
        <v>31</v>
      </c>
    </row>
    <row r="161" spans="1:21" x14ac:dyDescent="0.2">
      <c r="A161" s="49" t="s">
        <v>30</v>
      </c>
      <c r="D161" s="49" t="s">
        <v>13089</v>
      </c>
      <c r="E161" s="49" t="s">
        <v>8020</v>
      </c>
      <c r="F161" s="49" t="s">
        <v>13090</v>
      </c>
      <c r="H161" s="49" t="s">
        <v>13091</v>
      </c>
      <c r="O161" s="49" t="s">
        <v>13092</v>
      </c>
      <c r="P161" s="49" t="s">
        <v>13093</v>
      </c>
      <c r="Q161" s="49" t="s">
        <v>13094</v>
      </c>
      <c r="R161" s="49" t="s">
        <v>13095</v>
      </c>
      <c r="S161" s="49" t="s">
        <v>13096</v>
      </c>
      <c r="T161" s="49" t="s">
        <v>13097</v>
      </c>
      <c r="U161" s="49" t="s">
        <v>13098</v>
      </c>
    </row>
    <row r="162" spans="1:21" x14ac:dyDescent="0.2">
      <c r="A162" s="49" t="s">
        <v>30</v>
      </c>
      <c r="D162" s="49" t="s">
        <v>714</v>
      </c>
      <c r="G162" s="49" t="s">
        <v>13099</v>
      </c>
      <c r="H162" s="49" t="s">
        <v>715</v>
      </c>
      <c r="I162" s="49" t="s">
        <v>716</v>
      </c>
      <c r="J162" s="49" t="s">
        <v>717</v>
      </c>
      <c r="K162" s="49" t="s">
        <v>718</v>
      </c>
      <c r="L162" s="49" t="s">
        <v>719</v>
      </c>
      <c r="M162" s="49" t="s">
        <v>720</v>
      </c>
      <c r="N162" s="49" t="s">
        <v>721</v>
      </c>
      <c r="O162" s="49" t="s">
        <v>13100</v>
      </c>
      <c r="P162" s="49" t="s">
        <v>13101</v>
      </c>
      <c r="Q162" s="49" t="s">
        <v>13102</v>
      </c>
      <c r="R162" s="49" t="s">
        <v>13103</v>
      </c>
      <c r="S162" s="49" t="s">
        <v>13104</v>
      </c>
      <c r="T162" s="49" t="s">
        <v>13105</v>
      </c>
    </row>
    <row r="163" spans="1:21" x14ac:dyDescent="0.2">
      <c r="A163" s="49" t="s">
        <v>30</v>
      </c>
    </row>
    <row r="164" spans="1:21" x14ac:dyDescent="0.2">
      <c r="A164" s="49" t="s">
        <v>30</v>
      </c>
      <c r="E164" s="49" t="s">
        <v>31</v>
      </c>
      <c r="F164" s="49" t="s">
        <v>31</v>
      </c>
      <c r="G164" s="49" t="s">
        <v>31</v>
      </c>
      <c r="J164" s="49" t="s">
        <v>31</v>
      </c>
      <c r="K164" s="49" t="s">
        <v>31</v>
      </c>
      <c r="L164" s="49" t="s">
        <v>31</v>
      </c>
      <c r="M164" s="49" t="s">
        <v>31</v>
      </c>
    </row>
    <row r="165" spans="1:21" x14ac:dyDescent="0.2">
      <c r="A165" s="49" t="s">
        <v>30</v>
      </c>
      <c r="D165" s="49" t="s">
        <v>13106</v>
      </c>
      <c r="E165" s="49" t="s">
        <v>8077</v>
      </c>
      <c r="F165" s="49" t="s">
        <v>13107</v>
      </c>
      <c r="H165" s="49" t="s">
        <v>13108</v>
      </c>
      <c r="O165" s="49" t="s">
        <v>13109</v>
      </c>
      <c r="P165" s="49" t="s">
        <v>13110</v>
      </c>
      <c r="Q165" s="49" t="s">
        <v>13111</v>
      </c>
      <c r="R165" s="49" t="s">
        <v>13112</v>
      </c>
      <c r="S165" s="49" t="s">
        <v>13113</v>
      </c>
      <c r="T165" s="49" t="s">
        <v>13114</v>
      </c>
      <c r="U165" s="49" t="s">
        <v>13115</v>
      </c>
    </row>
    <row r="166" spans="1:21" x14ac:dyDescent="0.2">
      <c r="A166" s="49" t="s">
        <v>30</v>
      </c>
      <c r="D166" s="49" t="s">
        <v>2581</v>
      </c>
      <c r="G166" s="49" t="s">
        <v>13116</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row>
    <row r="168" spans="1:21" x14ac:dyDescent="0.2">
      <c r="A168" s="49" t="s">
        <v>30</v>
      </c>
      <c r="E168" s="49" t="s">
        <v>31</v>
      </c>
      <c r="F168" s="49" t="s">
        <v>31</v>
      </c>
      <c r="G168" s="49" t="s">
        <v>31</v>
      </c>
      <c r="J168" s="49" t="s">
        <v>31</v>
      </c>
      <c r="K168" s="49" t="s">
        <v>31</v>
      </c>
      <c r="L168" s="49" t="s">
        <v>31</v>
      </c>
      <c r="M168" s="49" t="s">
        <v>31</v>
      </c>
    </row>
    <row r="169" spans="1:21" x14ac:dyDescent="0.2">
      <c r="A169" s="49" t="s">
        <v>30</v>
      </c>
      <c r="D169" s="49" t="s">
        <v>10041</v>
      </c>
      <c r="E169" s="49" t="s">
        <v>8162</v>
      </c>
      <c r="F169" s="49" t="s">
        <v>10042</v>
      </c>
      <c r="H169" s="49" t="s">
        <v>10043</v>
      </c>
      <c r="O169" s="49" t="s">
        <v>10044</v>
      </c>
      <c r="P169" s="49" t="s">
        <v>10045</v>
      </c>
      <c r="Q169" s="49" t="s">
        <v>10046</v>
      </c>
      <c r="R169" s="49" t="s">
        <v>10047</v>
      </c>
      <c r="S169" s="49" t="s">
        <v>10048</v>
      </c>
      <c r="T169" s="49" t="s">
        <v>10049</v>
      </c>
      <c r="U169" s="49" t="s">
        <v>10050</v>
      </c>
    </row>
    <row r="170" spans="1:21" x14ac:dyDescent="0.2">
      <c r="A170" s="49" t="s">
        <v>30</v>
      </c>
      <c r="D170" s="49" t="s">
        <v>746</v>
      </c>
      <c r="G170" s="49" t="s">
        <v>10051</v>
      </c>
      <c r="H170" s="49" t="s">
        <v>747</v>
      </c>
      <c r="I170" s="49" t="s">
        <v>748</v>
      </c>
      <c r="J170" s="49" t="s">
        <v>749</v>
      </c>
      <c r="K170" s="49" t="s">
        <v>750</v>
      </c>
      <c r="L170" s="49" t="s">
        <v>751</v>
      </c>
      <c r="M170" s="49" t="s">
        <v>752</v>
      </c>
      <c r="N170" s="49" t="s">
        <v>753</v>
      </c>
      <c r="O170" s="49" t="s">
        <v>10052</v>
      </c>
      <c r="P170" s="49" t="s">
        <v>10053</v>
      </c>
      <c r="Q170" s="49" t="s">
        <v>10054</v>
      </c>
      <c r="R170" s="49" t="s">
        <v>10055</v>
      </c>
      <c r="S170" s="49" t="s">
        <v>10056</v>
      </c>
      <c r="T170" s="49" t="s">
        <v>10057</v>
      </c>
    </row>
    <row r="171" spans="1:21" x14ac:dyDescent="0.2">
      <c r="A171" s="49" t="s">
        <v>30</v>
      </c>
      <c r="D171" s="49" t="s">
        <v>4620</v>
      </c>
      <c r="G171" s="49" t="s">
        <v>19042</v>
      </c>
      <c r="H171" s="49" t="s">
        <v>4621</v>
      </c>
      <c r="I171" s="49" t="s">
        <v>4622</v>
      </c>
      <c r="J171" s="49" t="s">
        <v>4623</v>
      </c>
      <c r="K171" s="49" t="s">
        <v>4624</v>
      </c>
      <c r="L171" s="49" t="s">
        <v>4625</v>
      </c>
      <c r="M171" s="49" t="s">
        <v>4626</v>
      </c>
      <c r="N171" s="49" t="s">
        <v>4627</v>
      </c>
      <c r="O171" s="49" t="s">
        <v>9466</v>
      </c>
      <c r="P171" s="49" t="s">
        <v>9467</v>
      </c>
      <c r="Q171" s="49" t="s">
        <v>9468</v>
      </c>
      <c r="R171" s="49" t="s">
        <v>9469</v>
      </c>
      <c r="S171" s="49" t="s">
        <v>9470</v>
      </c>
      <c r="T171" s="49" t="s">
        <v>9471</v>
      </c>
    </row>
    <row r="172" spans="1:21" x14ac:dyDescent="0.2">
      <c r="A172" s="49" t="s">
        <v>30</v>
      </c>
    </row>
    <row r="173" spans="1:21" x14ac:dyDescent="0.2">
      <c r="A173" s="49" t="s">
        <v>30</v>
      </c>
      <c r="E173" s="49" t="s">
        <v>31</v>
      </c>
      <c r="F173" s="49" t="s">
        <v>31</v>
      </c>
      <c r="G173" s="49" t="s">
        <v>31</v>
      </c>
      <c r="J173" s="49" t="s">
        <v>31</v>
      </c>
      <c r="K173" s="49" t="s">
        <v>31</v>
      </c>
      <c r="L173" s="49" t="s">
        <v>31</v>
      </c>
      <c r="M173" s="49" t="s">
        <v>31</v>
      </c>
    </row>
    <row r="174" spans="1:21" x14ac:dyDescent="0.2">
      <c r="A174" s="49" t="s">
        <v>30</v>
      </c>
      <c r="D174" s="49" t="s">
        <v>9472</v>
      </c>
      <c r="E174" s="49" t="s">
        <v>8205</v>
      </c>
      <c r="F174" s="49" t="s">
        <v>9473</v>
      </c>
      <c r="H174" s="49" t="s">
        <v>9474</v>
      </c>
      <c r="O174" s="49" t="s">
        <v>10058</v>
      </c>
      <c r="P174" s="49" t="s">
        <v>10059</v>
      </c>
      <c r="Q174" s="49" t="s">
        <v>10060</v>
      </c>
      <c r="R174" s="49" t="s">
        <v>10061</v>
      </c>
      <c r="S174" s="49" t="s">
        <v>10062</v>
      </c>
      <c r="T174" s="49" t="s">
        <v>10063</v>
      </c>
      <c r="U174" s="49" t="s">
        <v>10064</v>
      </c>
    </row>
    <row r="175" spans="1:21" x14ac:dyDescent="0.2">
      <c r="A175" s="49" t="s">
        <v>30</v>
      </c>
      <c r="D175" s="49" t="s">
        <v>1764</v>
      </c>
      <c r="G175" s="49" t="s">
        <v>9475</v>
      </c>
      <c r="H175" s="49" t="s">
        <v>1765</v>
      </c>
      <c r="I175" s="49" t="s">
        <v>1766</v>
      </c>
      <c r="J175" s="49" t="s">
        <v>1767</v>
      </c>
      <c r="K175" s="49" t="s">
        <v>1768</v>
      </c>
      <c r="L175" s="49" t="s">
        <v>1769</v>
      </c>
      <c r="M175" s="49" t="s">
        <v>1770</v>
      </c>
      <c r="N175" s="49" t="s">
        <v>1771</v>
      </c>
      <c r="O175" s="49" t="s">
        <v>4042</v>
      </c>
      <c r="P175" s="49" t="s">
        <v>4043</v>
      </c>
      <c r="Q175" s="49" t="s">
        <v>4044</v>
      </c>
      <c r="R175" s="49" t="s">
        <v>4045</v>
      </c>
      <c r="S175" s="49" t="s">
        <v>4046</v>
      </c>
      <c r="T175" s="49" t="s">
        <v>4047</v>
      </c>
    </row>
    <row r="176" spans="1:21" x14ac:dyDescent="0.2">
      <c r="A176" s="49" t="s">
        <v>30</v>
      </c>
    </row>
    <row r="177" spans="1:21" x14ac:dyDescent="0.2">
      <c r="A177" s="49" t="s">
        <v>30</v>
      </c>
      <c r="E177" s="49" t="s">
        <v>31</v>
      </c>
      <c r="F177" s="49" t="s">
        <v>31</v>
      </c>
      <c r="G177" s="49" t="s">
        <v>31</v>
      </c>
      <c r="J177" s="49" t="s">
        <v>31</v>
      </c>
      <c r="K177" s="49" t="s">
        <v>31</v>
      </c>
      <c r="L177" s="49" t="s">
        <v>31</v>
      </c>
      <c r="M177" s="49" t="s">
        <v>31</v>
      </c>
    </row>
    <row r="178" spans="1:21" x14ac:dyDescent="0.2">
      <c r="A178" s="49" t="s">
        <v>30</v>
      </c>
      <c r="D178" s="49" t="s">
        <v>1772</v>
      </c>
      <c r="E178" s="49" t="s">
        <v>8262</v>
      </c>
      <c r="F178" s="49" t="s">
        <v>1773</v>
      </c>
      <c r="H178" s="49" t="s">
        <v>1774</v>
      </c>
      <c r="O178" s="49" t="s">
        <v>38250</v>
      </c>
      <c r="P178" s="49" t="s">
        <v>38251</v>
      </c>
      <c r="Q178" s="49" t="s">
        <v>38252</v>
      </c>
      <c r="R178" s="49" t="s">
        <v>38253</v>
      </c>
      <c r="S178" s="49" t="s">
        <v>38254</v>
      </c>
      <c r="T178" s="49" t="s">
        <v>38255</v>
      </c>
      <c r="U178" s="49" t="s">
        <v>38256</v>
      </c>
    </row>
    <row r="179" spans="1:21" x14ac:dyDescent="0.2">
      <c r="A179" s="49" t="s">
        <v>30</v>
      </c>
      <c r="D179" s="49" t="s">
        <v>778</v>
      </c>
      <c r="G179" s="49" t="s">
        <v>4519</v>
      </c>
      <c r="H179" s="49" t="s">
        <v>779</v>
      </c>
      <c r="I179" s="49" t="s">
        <v>780</v>
      </c>
      <c r="J179" s="49" t="s">
        <v>781</v>
      </c>
      <c r="K179" s="49" t="s">
        <v>782</v>
      </c>
      <c r="L179" s="49" t="s">
        <v>783</v>
      </c>
      <c r="M179" s="49" t="s">
        <v>784</v>
      </c>
      <c r="N179" s="49" t="s">
        <v>785</v>
      </c>
      <c r="O179" s="49" t="s">
        <v>4520</v>
      </c>
      <c r="P179" s="49" t="s">
        <v>4521</v>
      </c>
      <c r="Q179" s="49" t="s">
        <v>4522</v>
      </c>
      <c r="R179" s="49" t="s">
        <v>4523</v>
      </c>
      <c r="S179" s="49" t="s">
        <v>4524</v>
      </c>
      <c r="T179" s="49" t="s">
        <v>4525</v>
      </c>
    </row>
    <row r="180" spans="1:21" x14ac:dyDescent="0.2">
      <c r="A180" s="49" t="s">
        <v>30</v>
      </c>
      <c r="D180" s="49" t="s">
        <v>786</v>
      </c>
      <c r="G180" s="49" t="s">
        <v>19212</v>
      </c>
      <c r="H180" s="49" t="s">
        <v>787</v>
      </c>
      <c r="I180" s="49" t="s">
        <v>788</v>
      </c>
      <c r="J180" s="49" t="s">
        <v>789</v>
      </c>
      <c r="K180" s="49" t="s">
        <v>790</v>
      </c>
      <c r="L180" s="49" t="s">
        <v>791</v>
      </c>
      <c r="M180" s="49" t="s">
        <v>792</v>
      </c>
      <c r="N180" s="49" t="s">
        <v>793</v>
      </c>
      <c r="O180" s="49" t="s">
        <v>10065</v>
      </c>
      <c r="P180" s="49" t="s">
        <v>10066</v>
      </c>
      <c r="Q180" s="49" t="s">
        <v>10067</v>
      </c>
      <c r="R180" s="49" t="s">
        <v>10068</v>
      </c>
      <c r="S180" s="49" t="s">
        <v>10069</v>
      </c>
      <c r="T180" s="49" t="s">
        <v>10070</v>
      </c>
    </row>
    <row r="181" spans="1:21" x14ac:dyDescent="0.2">
      <c r="A181" s="49" t="s">
        <v>30</v>
      </c>
    </row>
    <row r="182" spans="1:21" x14ac:dyDescent="0.2">
      <c r="A182" s="49" t="s">
        <v>30</v>
      </c>
      <c r="E182" s="49" t="s">
        <v>31</v>
      </c>
      <c r="F182" s="49" t="s">
        <v>31</v>
      </c>
      <c r="G182" s="49" t="s">
        <v>31</v>
      </c>
      <c r="J182" s="49" t="s">
        <v>31</v>
      </c>
      <c r="K182" s="49" t="s">
        <v>31</v>
      </c>
      <c r="L182" s="49" t="s">
        <v>31</v>
      </c>
      <c r="M182" s="49" t="s">
        <v>31</v>
      </c>
    </row>
    <row r="183" spans="1:21" x14ac:dyDescent="0.2">
      <c r="A183" s="49" t="s">
        <v>30</v>
      </c>
      <c r="D183" s="49" t="s">
        <v>10071</v>
      </c>
      <c r="E183" s="49" t="s">
        <v>8333</v>
      </c>
      <c r="F183" s="49" t="s">
        <v>10072</v>
      </c>
      <c r="H183" s="49" t="s">
        <v>10073</v>
      </c>
      <c r="O183" s="49" t="s">
        <v>13819</v>
      </c>
      <c r="P183" s="49" t="s">
        <v>13820</v>
      </c>
      <c r="Q183" s="49" t="s">
        <v>13821</v>
      </c>
      <c r="R183" s="49" t="s">
        <v>13822</v>
      </c>
      <c r="S183" s="49" t="s">
        <v>13823</v>
      </c>
      <c r="T183" s="49" t="s">
        <v>13824</v>
      </c>
      <c r="U183" s="49" t="s">
        <v>13825</v>
      </c>
    </row>
    <row r="184" spans="1:21" x14ac:dyDescent="0.2">
      <c r="A184" s="49" t="s">
        <v>30</v>
      </c>
      <c r="D184" s="49" t="s">
        <v>4658</v>
      </c>
      <c r="G184" s="49" t="s">
        <v>10074</v>
      </c>
      <c r="H184" s="49" t="s">
        <v>4659</v>
      </c>
      <c r="I184" s="49" t="s">
        <v>4660</v>
      </c>
      <c r="J184" s="49" t="s">
        <v>4661</v>
      </c>
      <c r="K184" s="49" t="s">
        <v>4662</v>
      </c>
      <c r="L184" s="49" t="s">
        <v>4663</v>
      </c>
      <c r="M184" s="49" t="s">
        <v>4664</v>
      </c>
      <c r="N184" s="49" t="s">
        <v>4665</v>
      </c>
      <c r="O184" s="49" t="s">
        <v>10075</v>
      </c>
      <c r="P184" s="49" t="s">
        <v>10076</v>
      </c>
      <c r="Q184" s="49" t="s">
        <v>10077</v>
      </c>
      <c r="R184" s="49" t="s">
        <v>10078</v>
      </c>
      <c r="S184" s="49" t="s">
        <v>10079</v>
      </c>
      <c r="T184" s="49" t="s">
        <v>10080</v>
      </c>
    </row>
    <row r="185" spans="1:21" x14ac:dyDescent="0.2">
      <c r="A185" s="49" t="s">
        <v>30</v>
      </c>
      <c r="D185" s="49" t="s">
        <v>4666</v>
      </c>
      <c r="G185" s="49" t="s">
        <v>19297</v>
      </c>
      <c r="H185" s="49" t="s">
        <v>4667</v>
      </c>
      <c r="I185" s="49" t="s">
        <v>4668</v>
      </c>
      <c r="J185" s="49" t="s">
        <v>4669</v>
      </c>
      <c r="K185" s="49" t="s">
        <v>4670</v>
      </c>
      <c r="L185" s="49" t="s">
        <v>4671</v>
      </c>
      <c r="M185" s="49" t="s">
        <v>4672</v>
      </c>
      <c r="N185" s="49" t="s">
        <v>4673</v>
      </c>
      <c r="O185" s="49" t="s">
        <v>8939</v>
      </c>
      <c r="P185" s="49" t="s">
        <v>8940</v>
      </c>
      <c r="Q185" s="49" t="s">
        <v>8941</v>
      </c>
      <c r="R185" s="49" t="s">
        <v>8942</v>
      </c>
      <c r="S185" s="49" t="s">
        <v>8943</v>
      </c>
      <c r="T185" s="49" t="s">
        <v>8944</v>
      </c>
    </row>
    <row r="186" spans="1:21" x14ac:dyDescent="0.2">
      <c r="A186" s="49" t="s">
        <v>30</v>
      </c>
    </row>
    <row r="187" spans="1:21" x14ac:dyDescent="0.2">
      <c r="A187" s="49" t="s">
        <v>30</v>
      </c>
      <c r="E187" s="49" t="s">
        <v>31</v>
      </c>
      <c r="F187" s="49" t="s">
        <v>31</v>
      </c>
      <c r="G187" s="49" t="s">
        <v>31</v>
      </c>
      <c r="J187" s="49" t="s">
        <v>31</v>
      </c>
      <c r="K187" s="49" t="s">
        <v>31</v>
      </c>
      <c r="L187" s="49" t="s">
        <v>31</v>
      </c>
      <c r="M187" s="49" t="s">
        <v>31</v>
      </c>
    </row>
    <row r="188" spans="1:21" x14ac:dyDescent="0.2">
      <c r="A188" s="49" t="s">
        <v>30</v>
      </c>
      <c r="D188" s="49" t="s">
        <v>8945</v>
      </c>
      <c r="E188" s="49" t="s">
        <v>8404</v>
      </c>
      <c r="F188" s="49" t="s">
        <v>8946</v>
      </c>
      <c r="H188" s="49" t="s">
        <v>8947</v>
      </c>
      <c r="O188" s="49" t="s">
        <v>38257</v>
      </c>
      <c r="P188" s="49" t="s">
        <v>38258</v>
      </c>
      <c r="Q188" s="49" t="s">
        <v>38259</v>
      </c>
      <c r="R188" s="49" t="s">
        <v>38260</v>
      </c>
      <c r="S188" s="49" t="s">
        <v>38261</v>
      </c>
      <c r="T188" s="49" t="s">
        <v>38262</v>
      </c>
      <c r="U188" s="49" t="s">
        <v>38263</v>
      </c>
    </row>
    <row r="189" spans="1:21" x14ac:dyDescent="0.2">
      <c r="A189" s="49" t="s">
        <v>30</v>
      </c>
      <c r="D189" s="49" t="s">
        <v>826</v>
      </c>
      <c r="G189" s="49" t="s">
        <v>8948</v>
      </c>
      <c r="H189" s="49" t="s">
        <v>827</v>
      </c>
      <c r="I189" s="49" t="s">
        <v>828</v>
      </c>
      <c r="J189" s="49" t="s">
        <v>829</v>
      </c>
      <c r="K189" s="49" t="s">
        <v>830</v>
      </c>
      <c r="L189" s="49" t="s">
        <v>831</v>
      </c>
      <c r="M189" s="49" t="s">
        <v>832</v>
      </c>
      <c r="N189" s="49" t="s">
        <v>833</v>
      </c>
      <c r="O189" s="49" t="s">
        <v>8949</v>
      </c>
      <c r="P189" s="49" t="s">
        <v>8950</v>
      </c>
      <c r="Q189" s="49" t="s">
        <v>8951</v>
      </c>
      <c r="R189" s="49" t="s">
        <v>8952</v>
      </c>
      <c r="S189" s="49" t="s">
        <v>8953</v>
      </c>
      <c r="T189" s="49" t="s">
        <v>8954</v>
      </c>
    </row>
    <row r="190" spans="1:21" x14ac:dyDescent="0.2">
      <c r="A190" s="49" t="s">
        <v>30</v>
      </c>
      <c r="D190" s="49" t="s">
        <v>834</v>
      </c>
      <c r="G190" s="49" t="s">
        <v>19392</v>
      </c>
      <c r="H190" s="49" t="s">
        <v>835</v>
      </c>
      <c r="I190" s="49" t="s">
        <v>836</v>
      </c>
      <c r="J190" s="49" t="s">
        <v>837</v>
      </c>
      <c r="K190" s="49" t="s">
        <v>838</v>
      </c>
      <c r="L190" s="49" t="s">
        <v>839</v>
      </c>
      <c r="M190" s="49" t="s">
        <v>840</v>
      </c>
      <c r="N190" s="49" t="s">
        <v>841</v>
      </c>
      <c r="O190" s="49" t="s">
        <v>8955</v>
      </c>
      <c r="P190" s="49" t="s">
        <v>8956</v>
      </c>
      <c r="Q190" s="49" t="s">
        <v>8957</v>
      </c>
      <c r="R190" s="49" t="s">
        <v>8958</v>
      </c>
      <c r="S190" s="49" t="s">
        <v>8959</v>
      </c>
      <c r="T190" s="49" t="s">
        <v>8960</v>
      </c>
    </row>
    <row r="191" spans="1:21" x14ac:dyDescent="0.2">
      <c r="A191" s="49" t="s">
        <v>30</v>
      </c>
      <c r="D191" s="49" t="s">
        <v>842</v>
      </c>
      <c r="G191" s="49" t="s">
        <v>19402</v>
      </c>
      <c r="H191" s="49" t="s">
        <v>843</v>
      </c>
      <c r="I191" s="49" t="s">
        <v>844</v>
      </c>
      <c r="J191" s="49" t="s">
        <v>845</v>
      </c>
      <c r="K191" s="49" t="s">
        <v>846</v>
      </c>
      <c r="L191" s="49" t="s">
        <v>847</v>
      </c>
      <c r="M191" s="49" t="s">
        <v>848</v>
      </c>
      <c r="N191" s="49" t="s">
        <v>849</v>
      </c>
      <c r="O191" s="49" t="s">
        <v>4540</v>
      </c>
      <c r="P191" s="49" t="s">
        <v>4541</v>
      </c>
      <c r="Q191" s="49" t="s">
        <v>4542</v>
      </c>
      <c r="R191" s="49" t="s">
        <v>4543</v>
      </c>
      <c r="S191" s="49" t="s">
        <v>4544</v>
      </c>
      <c r="T191" s="49" t="s">
        <v>4545</v>
      </c>
    </row>
    <row r="192" spans="1:21" x14ac:dyDescent="0.2">
      <c r="A192" s="49" t="s">
        <v>30</v>
      </c>
    </row>
    <row r="193" spans="1:21" x14ac:dyDescent="0.2">
      <c r="A193" s="49" t="s">
        <v>30</v>
      </c>
      <c r="E193" s="49" t="s">
        <v>31</v>
      </c>
      <c r="F193" s="49" t="s">
        <v>31</v>
      </c>
      <c r="G193" s="49" t="s">
        <v>31</v>
      </c>
      <c r="J193" s="49" t="s">
        <v>31</v>
      </c>
      <c r="K193" s="49" t="s">
        <v>31</v>
      </c>
      <c r="L193" s="49" t="s">
        <v>31</v>
      </c>
      <c r="M193" s="49" t="s">
        <v>31</v>
      </c>
    </row>
    <row r="194" spans="1:21" x14ac:dyDescent="0.2">
      <c r="A194" s="49" t="s">
        <v>30</v>
      </c>
      <c r="D194" s="49" t="s">
        <v>13396</v>
      </c>
      <c r="E194" s="49" t="s">
        <v>8475</v>
      </c>
      <c r="F194" s="49" t="s">
        <v>13397</v>
      </c>
      <c r="H194" s="49" t="s">
        <v>13398</v>
      </c>
      <c r="O194" s="49" t="s">
        <v>38264</v>
      </c>
      <c r="P194" s="49" t="s">
        <v>38265</v>
      </c>
      <c r="Q194" s="49" t="s">
        <v>38266</v>
      </c>
      <c r="R194" s="49" t="s">
        <v>38267</v>
      </c>
      <c r="S194" s="49" t="s">
        <v>38268</v>
      </c>
      <c r="T194" s="49" t="s">
        <v>38269</v>
      </c>
      <c r="U194" s="49" t="s">
        <v>38270</v>
      </c>
    </row>
    <row r="195" spans="1:21" x14ac:dyDescent="0.2">
      <c r="A195" s="49" t="s">
        <v>30</v>
      </c>
      <c r="D195" s="49" t="s">
        <v>1789</v>
      </c>
      <c r="G195" s="49" t="s">
        <v>13399</v>
      </c>
      <c r="H195" s="49" t="s">
        <v>1790</v>
      </c>
      <c r="I195" s="49" t="s">
        <v>1791</v>
      </c>
      <c r="J195" s="49" t="s">
        <v>1792</v>
      </c>
      <c r="K195" s="49" t="s">
        <v>1793</v>
      </c>
      <c r="L195" s="49" t="s">
        <v>1794</v>
      </c>
      <c r="M195" s="49" t="s">
        <v>1795</v>
      </c>
      <c r="N195" s="49" t="s">
        <v>1796</v>
      </c>
      <c r="O195" s="49" t="s">
        <v>13400</v>
      </c>
      <c r="P195" s="49" t="s">
        <v>13401</v>
      </c>
      <c r="Q195" s="49" t="s">
        <v>13402</v>
      </c>
      <c r="R195" s="49" t="s">
        <v>13403</v>
      </c>
      <c r="S195" s="49" t="s">
        <v>13404</v>
      </c>
      <c r="T195" s="49" t="s">
        <v>13405</v>
      </c>
    </row>
    <row r="196" spans="1:21" x14ac:dyDescent="0.2">
      <c r="A196" s="49" t="s">
        <v>30</v>
      </c>
      <c r="D196" s="49" t="s">
        <v>858</v>
      </c>
      <c r="G196" s="49" t="s">
        <v>19502</v>
      </c>
      <c r="H196" s="49" t="s">
        <v>859</v>
      </c>
      <c r="I196" s="49" t="s">
        <v>860</v>
      </c>
      <c r="J196" s="49" t="s">
        <v>861</v>
      </c>
      <c r="K196" s="49" t="s">
        <v>862</v>
      </c>
      <c r="L196" s="49" t="s">
        <v>863</v>
      </c>
      <c r="M196" s="49" t="s">
        <v>864</v>
      </c>
      <c r="N196" s="49" t="s">
        <v>865</v>
      </c>
      <c r="O196" s="49" t="s">
        <v>10362</v>
      </c>
      <c r="P196" s="49" t="s">
        <v>10363</v>
      </c>
      <c r="Q196" s="49" t="s">
        <v>10364</v>
      </c>
      <c r="R196" s="49" t="s">
        <v>10365</v>
      </c>
      <c r="S196" s="49" t="s">
        <v>10366</v>
      </c>
      <c r="T196" s="49" t="s">
        <v>10367</v>
      </c>
    </row>
    <row r="197" spans="1:21" x14ac:dyDescent="0.2">
      <c r="A197" s="49" t="s">
        <v>30</v>
      </c>
    </row>
    <row r="198" spans="1:21" x14ac:dyDescent="0.2">
      <c r="A198" s="49" t="s">
        <v>30</v>
      </c>
      <c r="E198" s="49" t="s">
        <v>31</v>
      </c>
      <c r="F198" s="49" t="s">
        <v>31</v>
      </c>
      <c r="G198" s="49" t="s">
        <v>31</v>
      </c>
      <c r="J198" s="49" t="s">
        <v>31</v>
      </c>
      <c r="K198" s="49" t="s">
        <v>31</v>
      </c>
      <c r="L198" s="49" t="s">
        <v>31</v>
      </c>
      <c r="M198" s="49" t="s">
        <v>31</v>
      </c>
    </row>
    <row r="199" spans="1:21" x14ac:dyDescent="0.2">
      <c r="A199" s="49" t="s">
        <v>30</v>
      </c>
      <c r="D199" s="49" t="s">
        <v>13160</v>
      </c>
      <c r="E199" s="49" t="s">
        <v>8617</v>
      </c>
      <c r="F199" s="49" t="s">
        <v>13161</v>
      </c>
      <c r="H199" s="49" t="s">
        <v>13162</v>
      </c>
      <c r="O199" s="49" t="s">
        <v>38271</v>
      </c>
      <c r="P199" s="49" t="s">
        <v>38272</v>
      </c>
      <c r="Q199" s="49" t="s">
        <v>38273</v>
      </c>
      <c r="R199" s="49" t="s">
        <v>38274</v>
      </c>
      <c r="S199" s="49" t="s">
        <v>38275</v>
      </c>
      <c r="T199" s="49" t="s">
        <v>38276</v>
      </c>
      <c r="U199" s="49" t="s">
        <v>38277</v>
      </c>
    </row>
    <row r="200" spans="1:21" x14ac:dyDescent="0.2">
      <c r="A200" s="49" t="s">
        <v>30</v>
      </c>
      <c r="D200" s="49" t="s">
        <v>2017</v>
      </c>
      <c r="G200" s="49" t="s">
        <v>13163</v>
      </c>
      <c r="H200" s="49" t="s">
        <v>2018</v>
      </c>
      <c r="I200" s="49" t="s">
        <v>2019</v>
      </c>
      <c r="J200" s="49" t="s">
        <v>2020</v>
      </c>
      <c r="K200" s="49" t="s">
        <v>2021</v>
      </c>
      <c r="L200" s="49" t="s">
        <v>2022</v>
      </c>
      <c r="M200" s="49" t="s">
        <v>2023</v>
      </c>
      <c r="N200" s="49" t="s">
        <v>2024</v>
      </c>
      <c r="O200" s="49" t="s">
        <v>13164</v>
      </c>
      <c r="P200" s="49" t="s">
        <v>13165</v>
      </c>
      <c r="Q200" s="49" t="s">
        <v>13166</v>
      </c>
      <c r="R200" s="49" t="s">
        <v>13167</v>
      </c>
      <c r="S200" s="49" t="s">
        <v>13168</v>
      </c>
      <c r="T200" s="49" t="s">
        <v>13169</v>
      </c>
    </row>
    <row r="201" spans="1:21" x14ac:dyDescent="0.2">
      <c r="A201" s="49" t="s">
        <v>30</v>
      </c>
    </row>
    <row r="202" spans="1:21" x14ac:dyDescent="0.2">
      <c r="A202" s="49" t="s">
        <v>30</v>
      </c>
      <c r="E202" s="49" t="s">
        <v>31</v>
      </c>
      <c r="F202" s="49" t="s">
        <v>31</v>
      </c>
      <c r="G202" s="49" t="s">
        <v>31</v>
      </c>
      <c r="J202" s="49" t="s">
        <v>31</v>
      </c>
      <c r="K202" s="49" t="s">
        <v>31</v>
      </c>
      <c r="L202" s="49" t="s">
        <v>31</v>
      </c>
      <c r="M202" s="49" t="s">
        <v>31</v>
      </c>
    </row>
    <row r="203" spans="1:21" x14ac:dyDescent="0.2">
      <c r="A203" s="49" t="s">
        <v>30</v>
      </c>
      <c r="D203" s="49" t="s">
        <v>13406</v>
      </c>
      <c r="E203" s="49" t="s">
        <v>8632</v>
      </c>
      <c r="F203" s="49" t="s">
        <v>13407</v>
      </c>
      <c r="H203" s="49" t="s">
        <v>13408</v>
      </c>
      <c r="O203" s="49" t="s">
        <v>38278</v>
      </c>
      <c r="P203" s="49" t="s">
        <v>38279</v>
      </c>
      <c r="Q203" s="49" t="s">
        <v>38280</v>
      </c>
      <c r="R203" s="49" t="s">
        <v>38281</v>
      </c>
      <c r="S203" s="49" t="s">
        <v>38282</v>
      </c>
      <c r="T203" s="49" t="s">
        <v>38283</v>
      </c>
      <c r="U203" s="49" t="s">
        <v>38284</v>
      </c>
    </row>
    <row r="204" spans="1:21" x14ac:dyDescent="0.2">
      <c r="A204" s="49" t="s">
        <v>30</v>
      </c>
      <c r="D204" s="49" t="s">
        <v>898</v>
      </c>
      <c r="G204" s="49" t="s">
        <v>13409</v>
      </c>
      <c r="H204" s="49" t="s">
        <v>899</v>
      </c>
      <c r="I204" s="49" t="s">
        <v>900</v>
      </c>
      <c r="J204" s="49" t="s">
        <v>901</v>
      </c>
      <c r="K204" s="49" t="s">
        <v>902</v>
      </c>
      <c r="L204" s="49" t="s">
        <v>903</v>
      </c>
      <c r="M204" s="49" t="s">
        <v>904</v>
      </c>
      <c r="N204" s="49" t="s">
        <v>905</v>
      </c>
      <c r="O204" s="49" t="s">
        <v>10374</v>
      </c>
      <c r="P204" s="49" t="s">
        <v>10375</v>
      </c>
      <c r="Q204" s="49" t="s">
        <v>10376</v>
      </c>
      <c r="R204" s="49" t="s">
        <v>10377</v>
      </c>
      <c r="S204" s="49" t="s">
        <v>10378</v>
      </c>
      <c r="T204" s="49" t="s">
        <v>10379</v>
      </c>
    </row>
    <row r="205" spans="1:21" x14ac:dyDescent="0.2">
      <c r="A205" s="49" t="s">
        <v>30</v>
      </c>
      <c r="D205" s="49" t="s">
        <v>906</v>
      </c>
      <c r="G205" s="49" t="s">
        <v>19762</v>
      </c>
      <c r="H205" s="49" t="s">
        <v>907</v>
      </c>
      <c r="I205" s="49" t="s">
        <v>908</v>
      </c>
      <c r="J205" s="49" t="s">
        <v>909</v>
      </c>
      <c r="K205" s="49" t="s">
        <v>910</v>
      </c>
      <c r="L205" s="49" t="s">
        <v>911</v>
      </c>
      <c r="M205" s="49" t="s">
        <v>912</v>
      </c>
      <c r="N205" s="49" t="s">
        <v>913</v>
      </c>
      <c r="O205" s="49" t="s">
        <v>9516</v>
      </c>
      <c r="P205" s="49" t="s">
        <v>9517</v>
      </c>
      <c r="Q205" s="49" t="s">
        <v>9518</v>
      </c>
      <c r="R205" s="49" t="s">
        <v>9519</v>
      </c>
      <c r="S205" s="49" t="s">
        <v>9520</v>
      </c>
      <c r="T205" s="49" t="s">
        <v>9521</v>
      </c>
    </row>
    <row r="206" spans="1:21" x14ac:dyDescent="0.2">
      <c r="A206" s="49" t="s">
        <v>30</v>
      </c>
    </row>
    <row r="207" spans="1:21" x14ac:dyDescent="0.2">
      <c r="A207" s="49" t="s">
        <v>30</v>
      </c>
      <c r="E207" s="49" t="s">
        <v>31</v>
      </c>
      <c r="F207" s="49" t="s">
        <v>31</v>
      </c>
      <c r="G207" s="49" t="s">
        <v>31</v>
      </c>
      <c r="J207" s="49" t="s">
        <v>31</v>
      </c>
      <c r="K207" s="49" t="s">
        <v>31</v>
      </c>
      <c r="L207" s="49" t="s">
        <v>31</v>
      </c>
      <c r="M207" s="49" t="s">
        <v>31</v>
      </c>
    </row>
    <row r="208" spans="1:21" x14ac:dyDescent="0.2">
      <c r="A208" s="49" t="s">
        <v>30</v>
      </c>
      <c r="D208" s="49" t="s">
        <v>38285</v>
      </c>
      <c r="E208" s="49" t="s">
        <v>8717</v>
      </c>
      <c r="F208" s="49" t="s">
        <v>38286</v>
      </c>
      <c r="H208" s="49" t="s">
        <v>38287</v>
      </c>
      <c r="O208" s="49" t="s">
        <v>38288</v>
      </c>
      <c r="P208" s="49" t="s">
        <v>38289</v>
      </c>
      <c r="Q208" s="49" t="s">
        <v>38290</v>
      </c>
      <c r="R208" s="49" t="s">
        <v>38291</v>
      </c>
      <c r="S208" s="49" t="s">
        <v>38292</v>
      </c>
      <c r="T208" s="49" t="s">
        <v>38293</v>
      </c>
      <c r="U208" s="49" t="s">
        <v>38294</v>
      </c>
    </row>
    <row r="209" spans="1:21" x14ac:dyDescent="0.2">
      <c r="A209" s="49" t="s">
        <v>30</v>
      </c>
      <c r="D209" s="49" t="s">
        <v>938</v>
      </c>
      <c r="G209" s="49" t="s">
        <v>38295</v>
      </c>
      <c r="H209" s="49" t="s">
        <v>939</v>
      </c>
      <c r="I209" s="49" t="s">
        <v>940</v>
      </c>
      <c r="J209" s="49" t="s">
        <v>941</v>
      </c>
      <c r="K209" s="49" t="s">
        <v>942</v>
      </c>
      <c r="L209" s="49" t="s">
        <v>943</v>
      </c>
      <c r="M209" s="49" t="s">
        <v>944</v>
      </c>
      <c r="N209" s="49" t="s">
        <v>945</v>
      </c>
      <c r="O209" s="49" t="s">
        <v>35879</v>
      </c>
      <c r="P209" s="49" t="s">
        <v>35880</v>
      </c>
      <c r="Q209" s="49" t="s">
        <v>35881</v>
      </c>
      <c r="R209" s="49" t="s">
        <v>35882</v>
      </c>
      <c r="S209" s="49" t="s">
        <v>35883</v>
      </c>
      <c r="T209" s="49" t="s">
        <v>35884</v>
      </c>
    </row>
    <row r="210" spans="1:21" x14ac:dyDescent="0.2">
      <c r="A210" s="49" t="s">
        <v>30</v>
      </c>
    </row>
    <row r="211" spans="1:21" x14ac:dyDescent="0.2">
      <c r="A211" s="49" t="s">
        <v>30</v>
      </c>
      <c r="E211" s="49" t="s">
        <v>31</v>
      </c>
      <c r="F211" s="49" t="s">
        <v>31</v>
      </c>
      <c r="G211" s="49" t="s">
        <v>31</v>
      </c>
      <c r="J211" s="49" t="s">
        <v>31</v>
      </c>
      <c r="K211" s="49" t="s">
        <v>31</v>
      </c>
      <c r="L211" s="49" t="s">
        <v>31</v>
      </c>
      <c r="M211" s="49" t="s">
        <v>31</v>
      </c>
    </row>
    <row r="212" spans="1:21" x14ac:dyDescent="0.2">
      <c r="A212" s="49" t="s">
        <v>30</v>
      </c>
      <c r="D212" s="49" t="s">
        <v>9522</v>
      </c>
      <c r="E212" s="49" t="s">
        <v>8775</v>
      </c>
      <c r="F212" s="49" t="s">
        <v>9523</v>
      </c>
      <c r="H212" s="49" t="s">
        <v>9524</v>
      </c>
      <c r="O212" s="49" t="s">
        <v>38296</v>
      </c>
      <c r="P212" s="49" t="s">
        <v>38297</v>
      </c>
      <c r="Q212" s="49" t="s">
        <v>38298</v>
      </c>
      <c r="R212" s="49" t="s">
        <v>38299</v>
      </c>
      <c r="S212" s="49" t="s">
        <v>38300</v>
      </c>
      <c r="T212" s="49" t="s">
        <v>38301</v>
      </c>
      <c r="U212" s="49" t="s">
        <v>38302</v>
      </c>
    </row>
    <row r="213" spans="1:21" x14ac:dyDescent="0.2">
      <c r="A213" s="49" t="s">
        <v>30</v>
      </c>
      <c r="D213" s="49" t="s">
        <v>946</v>
      </c>
      <c r="G213" s="49" t="s">
        <v>38303</v>
      </c>
      <c r="H213" s="49" t="s">
        <v>947</v>
      </c>
      <c r="I213" s="49" t="s">
        <v>948</v>
      </c>
      <c r="J213" s="49" t="s">
        <v>949</v>
      </c>
      <c r="K213" s="49" t="s">
        <v>950</v>
      </c>
      <c r="L213" s="49" t="s">
        <v>951</v>
      </c>
      <c r="M213" s="49" t="s">
        <v>952</v>
      </c>
      <c r="N213" s="49" t="s">
        <v>953</v>
      </c>
      <c r="O213" s="49" t="s">
        <v>33236</v>
      </c>
      <c r="P213" s="49" t="s">
        <v>33237</v>
      </c>
      <c r="Q213" s="49" t="s">
        <v>33238</v>
      </c>
      <c r="R213" s="49" t="s">
        <v>33239</v>
      </c>
      <c r="S213" s="49" t="s">
        <v>33240</v>
      </c>
      <c r="T213" s="49" t="s">
        <v>33241</v>
      </c>
    </row>
    <row r="214" spans="1:21" x14ac:dyDescent="0.2">
      <c r="A214" s="49" t="s">
        <v>30</v>
      </c>
      <c r="D214" s="49" t="s">
        <v>954</v>
      </c>
      <c r="G214" s="49" t="s">
        <v>19987</v>
      </c>
      <c r="H214" s="49" t="s">
        <v>955</v>
      </c>
      <c r="I214" s="49" t="s">
        <v>956</v>
      </c>
      <c r="J214" s="49" t="s">
        <v>957</v>
      </c>
      <c r="K214" s="49" t="s">
        <v>958</v>
      </c>
      <c r="L214" s="49" t="s">
        <v>959</v>
      </c>
      <c r="M214" s="49" t="s">
        <v>960</v>
      </c>
      <c r="N214" s="49" t="s">
        <v>961</v>
      </c>
      <c r="O214" s="49" t="s">
        <v>10390</v>
      </c>
      <c r="P214" s="49" t="s">
        <v>10391</v>
      </c>
      <c r="Q214" s="49" t="s">
        <v>10392</v>
      </c>
      <c r="R214" s="49" t="s">
        <v>10393</v>
      </c>
      <c r="S214" s="49" t="s">
        <v>10394</v>
      </c>
      <c r="T214" s="49" t="s">
        <v>10395</v>
      </c>
    </row>
    <row r="215" spans="1:21" x14ac:dyDescent="0.2">
      <c r="A215" s="49" t="s">
        <v>30</v>
      </c>
    </row>
    <row r="216" spans="1:21" x14ac:dyDescent="0.2">
      <c r="A216" s="49" t="s">
        <v>30</v>
      </c>
      <c r="E216" s="49" t="s">
        <v>31</v>
      </c>
      <c r="F216" s="49" t="s">
        <v>31</v>
      </c>
      <c r="G216" s="49" t="s">
        <v>31</v>
      </c>
      <c r="J216" s="49" t="s">
        <v>31</v>
      </c>
      <c r="K216" s="49" t="s">
        <v>31</v>
      </c>
      <c r="L216" s="49" t="s">
        <v>31</v>
      </c>
      <c r="M216" s="49" t="s">
        <v>31</v>
      </c>
    </row>
    <row r="217" spans="1:21" x14ac:dyDescent="0.2">
      <c r="A217" s="49" t="s">
        <v>30</v>
      </c>
      <c r="D217" s="49" t="s">
        <v>13185</v>
      </c>
      <c r="E217" s="49" t="s">
        <v>8832</v>
      </c>
      <c r="F217" s="49" t="s">
        <v>13186</v>
      </c>
      <c r="H217" s="49" t="s">
        <v>13187</v>
      </c>
      <c r="O217" s="49" t="s">
        <v>38304</v>
      </c>
      <c r="P217" s="49" t="s">
        <v>38305</v>
      </c>
      <c r="Q217" s="49" t="s">
        <v>38306</v>
      </c>
      <c r="R217" s="49" t="s">
        <v>38307</v>
      </c>
      <c r="S217" s="49" t="s">
        <v>38308</v>
      </c>
      <c r="T217" s="49" t="s">
        <v>38309</v>
      </c>
      <c r="U217" s="49" t="s">
        <v>38310</v>
      </c>
    </row>
    <row r="218" spans="1:21" x14ac:dyDescent="0.2">
      <c r="A218" s="49" t="s">
        <v>30</v>
      </c>
      <c r="D218" s="49" t="s">
        <v>986</v>
      </c>
      <c r="G218" s="49" t="s">
        <v>13195</v>
      </c>
      <c r="H218" s="49" t="s">
        <v>987</v>
      </c>
      <c r="I218" s="49" t="s">
        <v>988</v>
      </c>
      <c r="J218" s="49" t="s">
        <v>989</v>
      </c>
      <c r="K218" s="49" t="s">
        <v>990</v>
      </c>
      <c r="L218" s="49" t="s">
        <v>991</v>
      </c>
      <c r="M218" s="49" t="s">
        <v>992</v>
      </c>
      <c r="N218" s="49" t="s">
        <v>993</v>
      </c>
      <c r="O218" s="49" t="s">
        <v>9525</v>
      </c>
      <c r="P218" s="49" t="s">
        <v>9526</v>
      </c>
      <c r="Q218" s="49" t="s">
        <v>9527</v>
      </c>
      <c r="R218" s="49" t="s">
        <v>9528</v>
      </c>
      <c r="S218" s="49" t="s">
        <v>9529</v>
      </c>
      <c r="T218" s="49" t="s">
        <v>9530</v>
      </c>
    </row>
    <row r="219" spans="1:21" x14ac:dyDescent="0.2">
      <c r="A219" s="49" t="s">
        <v>30</v>
      </c>
      <c r="D219" s="49" t="s">
        <v>994</v>
      </c>
      <c r="G219" s="49" t="s">
        <v>20112</v>
      </c>
      <c r="H219" s="49" t="s">
        <v>995</v>
      </c>
      <c r="I219" s="49" t="s">
        <v>996</v>
      </c>
      <c r="J219" s="49" t="s">
        <v>997</v>
      </c>
      <c r="K219" s="49" t="s">
        <v>998</v>
      </c>
      <c r="L219" s="49" t="s">
        <v>999</v>
      </c>
      <c r="M219" s="49" t="s">
        <v>1000</v>
      </c>
      <c r="N219" s="49" t="s">
        <v>1001</v>
      </c>
      <c r="O219" s="49" t="s">
        <v>32475</v>
      </c>
      <c r="P219" s="49" t="s">
        <v>32476</v>
      </c>
      <c r="Q219" s="49" t="s">
        <v>32477</v>
      </c>
      <c r="R219" s="49" t="s">
        <v>32478</v>
      </c>
      <c r="S219" s="49" t="s">
        <v>32479</v>
      </c>
      <c r="T219" s="49" t="s">
        <v>32480</v>
      </c>
    </row>
    <row r="220" spans="1:21" x14ac:dyDescent="0.2">
      <c r="A220" s="49" t="s">
        <v>30</v>
      </c>
    </row>
    <row r="221" spans="1:21" x14ac:dyDescent="0.2">
      <c r="A221" s="49" t="s">
        <v>30</v>
      </c>
      <c r="E221" s="49" t="s">
        <v>31</v>
      </c>
      <c r="F221" s="49" t="s">
        <v>31</v>
      </c>
      <c r="G221" s="49" t="s">
        <v>31</v>
      </c>
      <c r="J221" s="49" t="s">
        <v>31</v>
      </c>
      <c r="K221" s="49" t="s">
        <v>31</v>
      </c>
      <c r="L221" s="49" t="s">
        <v>31</v>
      </c>
      <c r="M221" s="49" t="s">
        <v>31</v>
      </c>
    </row>
    <row r="222" spans="1:21" x14ac:dyDescent="0.2">
      <c r="A222" s="49" t="s">
        <v>30</v>
      </c>
      <c r="D222" s="49" t="s">
        <v>38311</v>
      </c>
      <c r="E222" s="49" t="s">
        <v>8835</v>
      </c>
      <c r="F222" s="49" t="s">
        <v>38312</v>
      </c>
      <c r="H222" s="49" t="s">
        <v>38313</v>
      </c>
      <c r="O222" s="49" t="s">
        <v>38314</v>
      </c>
      <c r="P222" s="49" t="s">
        <v>38315</v>
      </c>
      <c r="Q222" s="49" t="s">
        <v>38316</v>
      </c>
      <c r="R222" s="49" t="s">
        <v>38317</v>
      </c>
      <c r="S222" s="49" t="s">
        <v>38318</v>
      </c>
      <c r="T222" s="49" t="s">
        <v>38319</v>
      </c>
      <c r="U222" s="49" t="s">
        <v>38320</v>
      </c>
    </row>
    <row r="223" spans="1:21" x14ac:dyDescent="0.2">
      <c r="A223" s="49" t="s">
        <v>30</v>
      </c>
      <c r="D223" s="49" t="s">
        <v>1002</v>
      </c>
      <c r="G223" s="49" t="s">
        <v>38321</v>
      </c>
      <c r="H223" s="49" t="s">
        <v>1003</v>
      </c>
      <c r="I223" s="49" t="s">
        <v>1004</v>
      </c>
      <c r="J223" s="49" t="s">
        <v>1005</v>
      </c>
      <c r="K223" s="49" t="s">
        <v>1006</v>
      </c>
      <c r="L223" s="49" t="s">
        <v>1007</v>
      </c>
      <c r="M223" s="49" t="s">
        <v>1008</v>
      </c>
      <c r="N223" s="49" t="s">
        <v>1009</v>
      </c>
      <c r="O223" s="49" t="s">
        <v>9549</v>
      </c>
      <c r="P223" s="49" t="s">
        <v>9550</v>
      </c>
      <c r="Q223" s="49" t="s">
        <v>9551</v>
      </c>
      <c r="R223" s="49" t="s">
        <v>9552</v>
      </c>
      <c r="S223" s="49" t="s">
        <v>9553</v>
      </c>
      <c r="T223" s="49" t="s">
        <v>9554</v>
      </c>
    </row>
    <row r="224" spans="1:21" x14ac:dyDescent="0.2">
      <c r="A224" s="49" t="s">
        <v>30</v>
      </c>
    </row>
    <row r="225" spans="1:21" x14ac:dyDescent="0.2">
      <c r="A225" s="49" t="s">
        <v>30</v>
      </c>
      <c r="E225" s="49" t="s">
        <v>31</v>
      </c>
      <c r="F225" s="49" t="s">
        <v>31</v>
      </c>
      <c r="G225" s="49" t="s">
        <v>31</v>
      </c>
      <c r="J225" s="49" t="s">
        <v>31</v>
      </c>
      <c r="K225" s="49" t="s">
        <v>31</v>
      </c>
      <c r="L225" s="49" t="s">
        <v>31</v>
      </c>
      <c r="M225" s="49" t="s">
        <v>31</v>
      </c>
    </row>
    <row r="226" spans="1:21" x14ac:dyDescent="0.2">
      <c r="A226" s="49" t="s">
        <v>30</v>
      </c>
      <c r="D226" s="49" t="s">
        <v>9555</v>
      </c>
      <c r="E226" s="49" t="s">
        <v>8836</v>
      </c>
      <c r="F226" s="49" t="s">
        <v>9556</v>
      </c>
      <c r="H226" s="49" t="s">
        <v>9557</v>
      </c>
      <c r="O226" s="49" t="s">
        <v>38322</v>
      </c>
      <c r="P226" s="49" t="s">
        <v>38323</v>
      </c>
      <c r="Q226" s="49" t="s">
        <v>38324</v>
      </c>
      <c r="R226" s="49" t="s">
        <v>38325</v>
      </c>
      <c r="S226" s="49" t="s">
        <v>38326</v>
      </c>
      <c r="T226" s="49" t="s">
        <v>38327</v>
      </c>
      <c r="U226" s="49" t="s">
        <v>38328</v>
      </c>
    </row>
    <row r="227" spans="1:21" x14ac:dyDescent="0.2">
      <c r="A227" s="49" t="s">
        <v>30</v>
      </c>
      <c r="D227" s="49" t="s">
        <v>4701</v>
      </c>
      <c r="G227" s="49" t="s">
        <v>9558</v>
      </c>
      <c r="H227" s="49" t="s">
        <v>4702</v>
      </c>
      <c r="I227" s="49" t="s">
        <v>4703</v>
      </c>
      <c r="J227" s="49" t="s">
        <v>4704</v>
      </c>
      <c r="K227" s="49" t="s">
        <v>4705</v>
      </c>
      <c r="L227" s="49" t="s">
        <v>4706</v>
      </c>
      <c r="M227" s="49" t="s">
        <v>4707</v>
      </c>
      <c r="N227" s="49" t="s">
        <v>4708</v>
      </c>
      <c r="O227" s="49" t="s">
        <v>9559</v>
      </c>
      <c r="P227" s="49" t="s">
        <v>9560</v>
      </c>
      <c r="Q227" s="49" t="s">
        <v>9561</v>
      </c>
      <c r="R227" s="49" t="s">
        <v>9562</v>
      </c>
      <c r="S227" s="49" t="s">
        <v>9563</v>
      </c>
      <c r="T227" s="49" t="s">
        <v>9564</v>
      </c>
    </row>
    <row r="228" spans="1:21" x14ac:dyDescent="0.2">
      <c r="A228" s="49" t="s">
        <v>30</v>
      </c>
      <c r="D228" s="49" t="s">
        <v>4715</v>
      </c>
      <c r="G228" s="49" t="s">
        <v>20552</v>
      </c>
      <c r="H228" s="49" t="s">
        <v>4716</v>
      </c>
      <c r="I228" s="49" t="s">
        <v>4717</v>
      </c>
      <c r="J228" s="49" t="s">
        <v>4718</v>
      </c>
      <c r="K228" s="49" t="s">
        <v>4719</v>
      </c>
      <c r="L228" s="49" t="s">
        <v>4720</v>
      </c>
      <c r="M228" s="49" t="s">
        <v>4721</v>
      </c>
      <c r="N228" s="49" t="s">
        <v>4722</v>
      </c>
      <c r="O228" s="49" t="s">
        <v>32509</v>
      </c>
      <c r="P228" s="49" t="s">
        <v>32510</v>
      </c>
      <c r="Q228" s="49" t="s">
        <v>32511</v>
      </c>
      <c r="R228" s="49" t="s">
        <v>32512</v>
      </c>
      <c r="S228" s="49" t="s">
        <v>32513</v>
      </c>
      <c r="T228" s="49" t="s">
        <v>32514</v>
      </c>
    </row>
    <row r="229" spans="1:21" x14ac:dyDescent="0.2">
      <c r="A229" s="49" t="s">
        <v>30</v>
      </c>
    </row>
    <row r="230" spans="1:21" x14ac:dyDescent="0.2">
      <c r="A230" s="49" t="s">
        <v>30</v>
      </c>
      <c r="E230" s="49" t="s">
        <v>31</v>
      </c>
      <c r="F230" s="49" t="s">
        <v>31</v>
      </c>
      <c r="G230" s="49" t="s">
        <v>31</v>
      </c>
      <c r="J230" s="49" t="s">
        <v>31</v>
      </c>
      <c r="K230" s="49" t="s">
        <v>31</v>
      </c>
      <c r="L230" s="49" t="s">
        <v>31</v>
      </c>
      <c r="M230" s="49" t="s">
        <v>31</v>
      </c>
    </row>
    <row r="231" spans="1:21" x14ac:dyDescent="0.2">
      <c r="A231" s="49" t="s">
        <v>30</v>
      </c>
      <c r="D231" s="49" t="s">
        <v>33271</v>
      </c>
      <c r="E231" s="49" t="s">
        <v>8837</v>
      </c>
      <c r="F231" s="49" t="s">
        <v>33272</v>
      </c>
      <c r="H231" s="49" t="s">
        <v>33273</v>
      </c>
      <c r="O231" s="49" t="s">
        <v>36081</v>
      </c>
      <c r="P231" s="49" t="s">
        <v>36082</v>
      </c>
      <c r="Q231" s="49" t="s">
        <v>36083</v>
      </c>
      <c r="R231" s="49" t="s">
        <v>36084</v>
      </c>
      <c r="S231" s="49" t="s">
        <v>36085</v>
      </c>
      <c r="T231" s="49" t="s">
        <v>36086</v>
      </c>
      <c r="U231" s="49" t="s">
        <v>36087</v>
      </c>
    </row>
    <row r="232" spans="1:21" x14ac:dyDescent="0.2">
      <c r="A232" s="49" t="s">
        <v>30</v>
      </c>
      <c r="D232" s="49" t="s">
        <v>4737</v>
      </c>
      <c r="G232" s="49" t="s">
        <v>33281</v>
      </c>
      <c r="H232" s="49" t="s">
        <v>4738</v>
      </c>
      <c r="I232" s="49" t="s">
        <v>4739</v>
      </c>
      <c r="J232" s="49" t="s">
        <v>4740</v>
      </c>
      <c r="K232" s="49" t="s">
        <v>4741</v>
      </c>
      <c r="L232" s="49" t="s">
        <v>4742</v>
      </c>
      <c r="M232" s="49" t="s">
        <v>4743</v>
      </c>
      <c r="N232" s="49" t="s">
        <v>4744</v>
      </c>
      <c r="O232" s="49" t="s">
        <v>10129</v>
      </c>
      <c r="P232" s="49" t="s">
        <v>10130</v>
      </c>
      <c r="Q232" s="49" t="s">
        <v>10131</v>
      </c>
      <c r="R232" s="49" t="s">
        <v>10132</v>
      </c>
      <c r="S232" s="49" t="s">
        <v>10133</v>
      </c>
      <c r="T232" s="49" t="s">
        <v>10134</v>
      </c>
    </row>
    <row r="233" spans="1:21" x14ac:dyDescent="0.2">
      <c r="A233" s="49" t="s">
        <v>30</v>
      </c>
    </row>
    <row r="234" spans="1:21" x14ac:dyDescent="0.2">
      <c r="A234" s="49" t="s">
        <v>30</v>
      </c>
      <c r="E234" s="49" t="s">
        <v>31</v>
      </c>
      <c r="F234" s="49" t="s">
        <v>31</v>
      </c>
      <c r="G234" s="49" t="s">
        <v>31</v>
      </c>
      <c r="J234" s="49" t="s">
        <v>31</v>
      </c>
      <c r="K234" s="49" t="s">
        <v>31</v>
      </c>
      <c r="L234" s="49" t="s">
        <v>31</v>
      </c>
      <c r="M234" s="49" t="s">
        <v>31</v>
      </c>
    </row>
    <row r="235" spans="1:21" x14ac:dyDescent="0.2">
      <c r="A235" s="49" t="s">
        <v>30</v>
      </c>
      <c r="D235" s="49" t="s">
        <v>4751</v>
      </c>
      <c r="E235" s="49" t="s">
        <v>8840</v>
      </c>
      <c r="F235" s="49" t="s">
        <v>4753</v>
      </c>
      <c r="H235" s="49" t="s">
        <v>4754</v>
      </c>
      <c r="O235" s="49" t="s">
        <v>38329</v>
      </c>
      <c r="P235" s="49" t="s">
        <v>38330</v>
      </c>
      <c r="Q235" s="49" t="s">
        <v>38331</v>
      </c>
      <c r="R235" s="49" t="s">
        <v>38332</v>
      </c>
      <c r="S235" s="49" t="s">
        <v>38333</v>
      </c>
      <c r="T235" s="49" t="s">
        <v>38334</v>
      </c>
      <c r="U235" s="49" t="s">
        <v>38335</v>
      </c>
    </row>
    <row r="236" spans="1:21" x14ac:dyDescent="0.2">
      <c r="A236" s="49" t="s">
        <v>30</v>
      </c>
      <c r="D236" s="49" t="s">
        <v>3124</v>
      </c>
      <c r="G236" s="49" t="s">
        <v>13211</v>
      </c>
      <c r="H236" s="49" t="s">
        <v>3125</v>
      </c>
      <c r="I236" s="49" t="s">
        <v>3126</v>
      </c>
      <c r="J236" s="49" t="s">
        <v>3127</v>
      </c>
      <c r="K236" s="49" t="s">
        <v>3128</v>
      </c>
      <c r="L236" s="49" t="s">
        <v>3129</v>
      </c>
      <c r="M236" s="49" t="s">
        <v>3130</v>
      </c>
      <c r="N236" s="49" t="s">
        <v>3131</v>
      </c>
      <c r="O236" s="49" t="s">
        <v>13212</v>
      </c>
      <c r="P236" s="49" t="s">
        <v>13213</v>
      </c>
      <c r="Q236" s="49" t="s">
        <v>13214</v>
      </c>
      <c r="R236" s="49" t="s">
        <v>13215</v>
      </c>
      <c r="S236" s="49" t="s">
        <v>13216</v>
      </c>
      <c r="T236" s="49" t="s">
        <v>13217</v>
      </c>
    </row>
    <row r="237" spans="1:21" x14ac:dyDescent="0.2">
      <c r="A237" s="49" t="s">
        <v>30</v>
      </c>
    </row>
    <row r="238" spans="1:21" x14ac:dyDescent="0.2">
      <c r="A238" s="49" t="s">
        <v>30</v>
      </c>
      <c r="E238" s="49" t="s">
        <v>31</v>
      </c>
      <c r="F238" s="49" t="s">
        <v>31</v>
      </c>
      <c r="G238" s="49" t="s">
        <v>31</v>
      </c>
      <c r="J238" s="49" t="s">
        <v>31</v>
      </c>
      <c r="K238" s="49" t="s">
        <v>31</v>
      </c>
      <c r="L238" s="49" t="s">
        <v>31</v>
      </c>
      <c r="M238" s="49" t="s">
        <v>31</v>
      </c>
    </row>
    <row r="240" spans="1:21" x14ac:dyDescent="0.2">
      <c r="N240" s="49" t="s">
        <v>32</v>
      </c>
      <c r="O240" s="49" t="s">
        <v>38336</v>
      </c>
      <c r="P240" s="49" t="s">
        <v>38337</v>
      </c>
      <c r="Q240" s="49" t="s">
        <v>38338</v>
      </c>
      <c r="R240" s="49" t="s">
        <v>38339</v>
      </c>
      <c r="S240" s="49" t="s">
        <v>38340</v>
      </c>
      <c r="T240" s="49" t="s">
        <v>38341</v>
      </c>
      <c r="U240" s="49" t="s">
        <v>38342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7"/>
  <sheetViews>
    <sheetView workbookViewId="0"/>
  </sheetViews>
  <sheetFormatPr defaultRowHeight="12.75" x14ac:dyDescent="0.2"/>
  <sheetData>
    <row r="1" spans="1:21" x14ac:dyDescent="0.2">
      <c r="A1" s="49" t="s">
        <v>39089</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10611</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3535</v>
      </c>
      <c r="P12" s="49" t="s">
        <v>3536</v>
      </c>
      <c r="Q12" s="49" t="s">
        <v>3537</v>
      </c>
      <c r="R12" s="49" t="s">
        <v>3538</v>
      </c>
      <c r="S12" s="49" t="s">
        <v>3539</v>
      </c>
      <c r="T12" s="49" t="s">
        <v>3540</v>
      </c>
      <c r="U12" s="49" t="s">
        <v>3541</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4" spans="1:21" x14ac:dyDescent="0.2">
      <c r="A14" s="49" t="s">
        <v>30</v>
      </c>
      <c r="D14" s="49" t="s">
        <v>47</v>
      </c>
      <c r="G14" s="49" t="s">
        <v>14030</v>
      </c>
      <c r="H14" s="49" t="s">
        <v>48</v>
      </c>
      <c r="I14" s="49" t="s">
        <v>49</v>
      </c>
      <c r="J14" s="49" t="s">
        <v>50</v>
      </c>
      <c r="K14" s="49" t="s">
        <v>51</v>
      </c>
      <c r="L14" s="49" t="s">
        <v>52</v>
      </c>
      <c r="M14" s="49" t="s">
        <v>53</v>
      </c>
      <c r="N14" s="49" t="s">
        <v>54</v>
      </c>
      <c r="O14" s="49" t="s">
        <v>3542</v>
      </c>
      <c r="P14" s="49" t="s">
        <v>3543</v>
      </c>
      <c r="Q14" s="49" t="s">
        <v>3544</v>
      </c>
      <c r="R14" s="49" t="s">
        <v>3545</v>
      </c>
      <c r="S14" s="49" t="s">
        <v>3546</v>
      </c>
      <c r="T14" s="49" t="s">
        <v>3547</v>
      </c>
    </row>
    <row r="16" spans="1:21" x14ac:dyDescent="0.2">
      <c r="E16" s="49" t="s">
        <v>31</v>
      </c>
      <c r="F16" s="49" t="s">
        <v>31</v>
      </c>
      <c r="G16" s="49" t="s">
        <v>31</v>
      </c>
      <c r="J16" s="49" t="s">
        <v>31</v>
      </c>
      <c r="K16" s="49" t="s">
        <v>31</v>
      </c>
      <c r="L16" s="49" t="s">
        <v>31</v>
      </c>
      <c r="M16" s="49" t="s">
        <v>31</v>
      </c>
    </row>
    <row r="17" spans="1:21" x14ac:dyDescent="0.2">
      <c r="A17" s="49" t="s">
        <v>30</v>
      </c>
      <c r="D17" s="49" t="s">
        <v>3548</v>
      </c>
      <c r="E17" s="49" t="s">
        <v>4549</v>
      </c>
      <c r="F17" s="49" t="s">
        <v>3549</v>
      </c>
      <c r="H17" s="49" t="s">
        <v>3550</v>
      </c>
      <c r="O17" s="49" t="s">
        <v>38155</v>
      </c>
      <c r="P17" s="49" t="s">
        <v>38156</v>
      </c>
      <c r="Q17" s="49" t="s">
        <v>38157</v>
      </c>
      <c r="R17" s="49" t="s">
        <v>38158</v>
      </c>
      <c r="S17" s="49" t="s">
        <v>38159</v>
      </c>
      <c r="T17" s="49" t="s">
        <v>38160</v>
      </c>
      <c r="U17" s="49" t="s">
        <v>38161</v>
      </c>
    </row>
    <row r="18" spans="1:21" x14ac:dyDescent="0.2">
      <c r="A18" s="49" t="s">
        <v>30</v>
      </c>
      <c r="D18" s="49" t="s">
        <v>3551</v>
      </c>
      <c r="G18" s="49" t="s">
        <v>3552</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row>
    <row r="20" spans="1:21" x14ac:dyDescent="0.2">
      <c r="A20" s="49" t="s">
        <v>30</v>
      </c>
      <c r="E20" s="49" t="s">
        <v>31</v>
      </c>
      <c r="F20" s="49" t="s">
        <v>31</v>
      </c>
      <c r="G20" s="49" t="s">
        <v>31</v>
      </c>
      <c r="J20" s="49" t="s">
        <v>31</v>
      </c>
      <c r="K20" s="49" t="s">
        <v>31</v>
      </c>
      <c r="L20" s="49" t="s">
        <v>31</v>
      </c>
      <c r="M20" s="49" t="s">
        <v>31</v>
      </c>
    </row>
    <row r="21" spans="1:21" x14ac:dyDescent="0.2">
      <c r="A21" s="49" t="s">
        <v>30</v>
      </c>
      <c r="D21" s="49" t="s">
        <v>8848</v>
      </c>
      <c r="E21" s="49" t="s">
        <v>4550</v>
      </c>
      <c r="F21" s="49" t="s">
        <v>8849</v>
      </c>
      <c r="H21" s="49" t="s">
        <v>8850</v>
      </c>
      <c r="O21" s="49" t="s">
        <v>8851</v>
      </c>
      <c r="P21" s="49" t="s">
        <v>8852</v>
      </c>
      <c r="Q21" s="49" t="s">
        <v>8853</v>
      </c>
      <c r="R21" s="49" t="s">
        <v>8854</v>
      </c>
      <c r="S21" s="49" t="s">
        <v>8855</v>
      </c>
      <c r="T21" s="49" t="s">
        <v>8856</v>
      </c>
      <c r="U21" s="49" t="s">
        <v>8857</v>
      </c>
    </row>
    <row r="22" spans="1:21" x14ac:dyDescent="0.2">
      <c r="A22" s="49" t="s">
        <v>30</v>
      </c>
      <c r="D22" s="49" t="s">
        <v>2645</v>
      </c>
      <c r="G22" s="49" t="s">
        <v>8858</v>
      </c>
      <c r="H22" s="49" t="s">
        <v>2646</v>
      </c>
      <c r="I22" s="49" t="s">
        <v>2647</v>
      </c>
      <c r="J22" s="49" t="s">
        <v>2648</v>
      </c>
      <c r="K22" s="49" t="s">
        <v>2649</v>
      </c>
      <c r="L22" s="49" t="s">
        <v>2650</v>
      </c>
      <c r="M22" s="49" t="s">
        <v>2651</v>
      </c>
      <c r="N22" s="49" t="s">
        <v>2652</v>
      </c>
      <c r="O22" s="49" t="s">
        <v>3566</v>
      </c>
      <c r="P22" s="49" t="s">
        <v>3567</v>
      </c>
      <c r="Q22" s="49" t="s">
        <v>3568</v>
      </c>
      <c r="R22" s="49" t="s">
        <v>3569</v>
      </c>
      <c r="S22" s="49" t="s">
        <v>3570</v>
      </c>
      <c r="T22" s="49" t="s">
        <v>3571</v>
      </c>
    </row>
    <row r="23" spans="1:21" x14ac:dyDescent="0.2">
      <c r="A23" s="49" t="s">
        <v>30</v>
      </c>
      <c r="D23" s="49" t="s">
        <v>1648</v>
      </c>
      <c r="G23" s="49" t="s">
        <v>14068</v>
      </c>
      <c r="H23" s="49" t="s">
        <v>1649</v>
      </c>
      <c r="I23" s="49" t="s">
        <v>1650</v>
      </c>
      <c r="J23" s="49" t="s">
        <v>1651</v>
      </c>
      <c r="K23" s="49" t="s">
        <v>1652</v>
      </c>
      <c r="L23" s="49" t="s">
        <v>1653</v>
      </c>
      <c r="M23" s="49" t="s">
        <v>1654</v>
      </c>
      <c r="N23" s="49" t="s">
        <v>1655</v>
      </c>
      <c r="O23" s="49" t="s">
        <v>3572</v>
      </c>
      <c r="P23" s="49" t="s">
        <v>3573</v>
      </c>
      <c r="Q23" s="49" t="s">
        <v>3574</v>
      </c>
      <c r="R23" s="49" t="s">
        <v>3575</v>
      </c>
      <c r="S23" s="49" t="s">
        <v>3576</v>
      </c>
      <c r="T23" s="49" t="s">
        <v>3577</v>
      </c>
    </row>
    <row r="24" spans="1:21" x14ac:dyDescent="0.2">
      <c r="A24" s="49" t="s">
        <v>30</v>
      </c>
    </row>
    <row r="25" spans="1:21" x14ac:dyDescent="0.2">
      <c r="A25" s="49" t="s">
        <v>30</v>
      </c>
      <c r="E25" s="49" t="s">
        <v>31</v>
      </c>
      <c r="F25" s="49" t="s">
        <v>31</v>
      </c>
      <c r="G25" s="49" t="s">
        <v>31</v>
      </c>
      <c r="J25" s="49" t="s">
        <v>31</v>
      </c>
      <c r="K25" s="49" t="s">
        <v>31</v>
      </c>
      <c r="L25" s="49" t="s">
        <v>31</v>
      </c>
      <c r="M25" s="49" t="s">
        <v>31</v>
      </c>
    </row>
    <row r="26" spans="1:21" x14ac:dyDescent="0.2">
      <c r="A26" s="49" t="s">
        <v>30</v>
      </c>
      <c r="D26" s="49" t="s">
        <v>1656</v>
      </c>
      <c r="E26" s="49" t="s">
        <v>4551</v>
      </c>
      <c r="F26" s="49" t="s">
        <v>1657</v>
      </c>
      <c r="H26" s="49" t="s">
        <v>1658</v>
      </c>
      <c r="O26" s="49" t="s">
        <v>38345</v>
      </c>
      <c r="P26" s="49" t="s">
        <v>38346</v>
      </c>
      <c r="Q26" s="49" t="s">
        <v>38347</v>
      </c>
      <c r="R26" s="49" t="s">
        <v>38348</v>
      </c>
      <c r="S26" s="49" t="s">
        <v>38349</v>
      </c>
      <c r="T26" s="49" t="s">
        <v>38350</v>
      </c>
      <c r="U26" s="49" t="s">
        <v>38351</v>
      </c>
    </row>
    <row r="27" spans="1:21" x14ac:dyDescent="0.2">
      <c r="A27" s="49" t="s">
        <v>30</v>
      </c>
      <c r="D27" s="49" t="s">
        <v>106</v>
      </c>
      <c r="G27" s="49" t="s">
        <v>4547</v>
      </c>
      <c r="H27" s="49" t="s">
        <v>107</v>
      </c>
      <c r="I27" s="49" t="s">
        <v>108</v>
      </c>
      <c r="J27" s="49" t="s">
        <v>109</v>
      </c>
      <c r="K27" s="49" t="s">
        <v>110</v>
      </c>
      <c r="L27" s="49" t="s">
        <v>111</v>
      </c>
      <c r="M27" s="49" t="s">
        <v>112</v>
      </c>
      <c r="N27" s="49" t="s">
        <v>113</v>
      </c>
      <c r="O27" s="49" t="s">
        <v>3890</v>
      </c>
      <c r="P27" s="49" t="s">
        <v>3891</v>
      </c>
      <c r="Q27" s="49" t="s">
        <v>3892</v>
      </c>
      <c r="R27" s="49" t="s">
        <v>3893</v>
      </c>
      <c r="S27" s="49" t="s">
        <v>3894</v>
      </c>
      <c r="T27" s="49" t="s">
        <v>3895</v>
      </c>
    </row>
    <row r="28" spans="1:21" x14ac:dyDescent="0.2">
      <c r="A28" s="49" t="s">
        <v>30</v>
      </c>
      <c r="D28" s="49" t="s">
        <v>114</v>
      </c>
      <c r="G28" s="49" t="s">
        <v>14105</v>
      </c>
      <c r="H28" s="49" t="s">
        <v>115</v>
      </c>
      <c r="I28" s="49" t="s">
        <v>116</v>
      </c>
      <c r="J28" s="49" t="s">
        <v>117</v>
      </c>
      <c r="K28" s="49" t="s">
        <v>118</v>
      </c>
      <c r="L28" s="49" t="s">
        <v>119</v>
      </c>
      <c r="M28" s="49" t="s">
        <v>120</v>
      </c>
      <c r="N28" s="49" t="s">
        <v>121</v>
      </c>
      <c r="O28" s="49" t="s">
        <v>3896</v>
      </c>
      <c r="P28" s="49" t="s">
        <v>3897</v>
      </c>
      <c r="Q28" s="49" t="s">
        <v>3898</v>
      </c>
      <c r="R28" s="49" t="s">
        <v>3899</v>
      </c>
      <c r="S28" s="49" t="s">
        <v>3900</v>
      </c>
      <c r="T28" s="49" t="s">
        <v>3901</v>
      </c>
    </row>
    <row r="29" spans="1:21" x14ac:dyDescent="0.2">
      <c r="A29" s="49" t="s">
        <v>30</v>
      </c>
      <c r="D29" s="49" t="s">
        <v>122</v>
      </c>
      <c r="G29" s="49" t="s">
        <v>14107</v>
      </c>
      <c r="H29" s="49" t="s">
        <v>123</v>
      </c>
      <c r="I29" s="49" t="s">
        <v>124</v>
      </c>
      <c r="J29" s="49" t="s">
        <v>125</v>
      </c>
      <c r="K29" s="49" t="s">
        <v>126</v>
      </c>
      <c r="L29" s="49" t="s">
        <v>127</v>
      </c>
      <c r="M29" s="49" t="s">
        <v>128</v>
      </c>
      <c r="N29" s="49" t="s">
        <v>129</v>
      </c>
      <c r="O29" s="49" t="s">
        <v>3585</v>
      </c>
      <c r="P29" s="49" t="s">
        <v>3586</v>
      </c>
      <c r="Q29" s="49" t="s">
        <v>3587</v>
      </c>
      <c r="R29" s="49" t="s">
        <v>3588</v>
      </c>
      <c r="S29" s="49" t="s">
        <v>3589</v>
      </c>
      <c r="T29" s="49" t="s">
        <v>3590</v>
      </c>
    </row>
    <row r="30" spans="1:21" x14ac:dyDescent="0.2">
      <c r="A30" s="49" t="s">
        <v>30</v>
      </c>
    </row>
    <row r="31" spans="1:21" x14ac:dyDescent="0.2">
      <c r="A31" s="49" t="s">
        <v>30</v>
      </c>
      <c r="E31" s="49" t="s">
        <v>31</v>
      </c>
      <c r="F31" s="49" t="s">
        <v>31</v>
      </c>
      <c r="G31" s="49" t="s">
        <v>31</v>
      </c>
      <c r="J31" s="49" t="s">
        <v>31</v>
      </c>
      <c r="K31" s="49" t="s">
        <v>31</v>
      </c>
      <c r="L31" s="49" t="s">
        <v>31</v>
      </c>
      <c r="M31" s="49" t="s">
        <v>31</v>
      </c>
    </row>
    <row r="32" spans="1:21" x14ac:dyDescent="0.2">
      <c r="A32" s="49" t="s">
        <v>30</v>
      </c>
      <c r="D32" s="49" t="s">
        <v>2280</v>
      </c>
      <c r="E32" s="49" t="s">
        <v>4552</v>
      </c>
      <c r="F32" s="49" t="s">
        <v>2281</v>
      </c>
      <c r="H32" s="49" t="s">
        <v>2282</v>
      </c>
      <c r="O32" s="49" t="s">
        <v>35894</v>
      </c>
      <c r="P32" s="49" t="s">
        <v>35895</v>
      </c>
      <c r="Q32" s="49" t="s">
        <v>35896</v>
      </c>
      <c r="R32" s="49" t="s">
        <v>35897</v>
      </c>
      <c r="S32" s="49" t="s">
        <v>35898</v>
      </c>
      <c r="T32" s="49" t="s">
        <v>35899</v>
      </c>
      <c r="U32" s="49" t="s">
        <v>35900</v>
      </c>
    </row>
    <row r="33" spans="1:21" x14ac:dyDescent="0.2">
      <c r="A33" s="49" t="s">
        <v>30</v>
      </c>
      <c r="D33" s="49" t="s">
        <v>2283</v>
      </c>
      <c r="G33" s="49" t="s">
        <v>4341</v>
      </c>
      <c r="H33" s="49" t="s">
        <v>2284</v>
      </c>
      <c r="I33" s="49" t="s">
        <v>2285</v>
      </c>
      <c r="J33" s="49" t="s">
        <v>2286</v>
      </c>
      <c r="K33" s="49" t="s">
        <v>2287</v>
      </c>
      <c r="L33" s="49" t="s">
        <v>2288</v>
      </c>
      <c r="M33" s="49" t="s">
        <v>2289</v>
      </c>
      <c r="N33" s="49" t="s">
        <v>2290</v>
      </c>
      <c r="O33" s="49" t="s">
        <v>4342</v>
      </c>
      <c r="P33" s="49" t="s">
        <v>4343</v>
      </c>
      <c r="Q33" s="49" t="s">
        <v>4344</v>
      </c>
      <c r="R33" s="49" t="s">
        <v>4345</v>
      </c>
      <c r="S33" s="49" t="s">
        <v>4346</v>
      </c>
      <c r="T33" s="49" t="s">
        <v>4347</v>
      </c>
    </row>
    <row r="34" spans="1:21" x14ac:dyDescent="0.2">
      <c r="A34" s="49" t="s">
        <v>30</v>
      </c>
      <c r="D34" s="49" t="s">
        <v>141</v>
      </c>
      <c r="G34" s="49" t="s">
        <v>14131</v>
      </c>
      <c r="H34" s="49" t="s">
        <v>142</v>
      </c>
      <c r="I34" s="49" t="s">
        <v>143</v>
      </c>
      <c r="J34" s="49" t="s">
        <v>144</v>
      </c>
      <c r="K34" s="49" t="s">
        <v>145</v>
      </c>
      <c r="L34" s="49" t="s">
        <v>146</v>
      </c>
      <c r="M34" s="49" t="s">
        <v>147</v>
      </c>
      <c r="N34" s="49" t="s">
        <v>148</v>
      </c>
      <c r="O34" s="49" t="s">
        <v>3834</v>
      </c>
      <c r="P34" s="49" t="s">
        <v>3835</v>
      </c>
      <c r="Q34" s="49" t="s">
        <v>3836</v>
      </c>
      <c r="R34" s="49" t="s">
        <v>3837</v>
      </c>
      <c r="S34" s="49" t="s">
        <v>3838</v>
      </c>
      <c r="T34" s="49" t="s">
        <v>3839</v>
      </c>
    </row>
    <row r="35" spans="1:21" x14ac:dyDescent="0.2">
      <c r="A35" s="49" t="s">
        <v>30</v>
      </c>
      <c r="D35" s="49" t="s">
        <v>149</v>
      </c>
      <c r="G35" s="49" t="s">
        <v>14136</v>
      </c>
      <c r="H35" s="49" t="s">
        <v>150</v>
      </c>
      <c r="I35" s="49" t="s">
        <v>151</v>
      </c>
      <c r="J35" s="49" t="s">
        <v>152</v>
      </c>
      <c r="K35" s="49" t="s">
        <v>153</v>
      </c>
      <c r="L35" s="49" t="s">
        <v>154</v>
      </c>
      <c r="M35" s="49" t="s">
        <v>155</v>
      </c>
      <c r="N35" s="49" t="s">
        <v>156</v>
      </c>
      <c r="O35" s="49" t="s">
        <v>3385</v>
      </c>
      <c r="P35" s="49" t="s">
        <v>3386</v>
      </c>
      <c r="Q35" s="49" t="s">
        <v>3387</v>
      </c>
      <c r="R35" s="49" t="s">
        <v>3388</v>
      </c>
      <c r="S35" s="49" t="s">
        <v>3389</v>
      </c>
      <c r="T35" s="49" t="s">
        <v>3390</v>
      </c>
    </row>
    <row r="36" spans="1:21" x14ac:dyDescent="0.2">
      <c r="A36" s="49" t="s">
        <v>30</v>
      </c>
      <c r="D36" s="49" t="s">
        <v>157</v>
      </c>
      <c r="G36" s="49" t="s">
        <v>14138</v>
      </c>
      <c r="H36" s="49" t="s">
        <v>158</v>
      </c>
      <c r="I36" s="49" t="s">
        <v>159</v>
      </c>
      <c r="J36" s="49" t="s">
        <v>160</v>
      </c>
      <c r="K36" s="49" t="s">
        <v>161</v>
      </c>
      <c r="L36" s="49" t="s">
        <v>162</v>
      </c>
      <c r="M36" s="49" t="s">
        <v>163</v>
      </c>
      <c r="N36" s="49" t="s">
        <v>164</v>
      </c>
      <c r="O36" s="49" t="s">
        <v>3391</v>
      </c>
      <c r="P36" s="49" t="s">
        <v>3392</v>
      </c>
      <c r="Q36" s="49" t="s">
        <v>3393</v>
      </c>
      <c r="R36" s="49" t="s">
        <v>3394</v>
      </c>
      <c r="S36" s="49" t="s">
        <v>3395</v>
      </c>
      <c r="T36" s="49" t="s">
        <v>3396</v>
      </c>
    </row>
    <row r="37" spans="1:21" x14ac:dyDescent="0.2">
      <c r="A37" s="49" t="s">
        <v>30</v>
      </c>
    </row>
    <row r="38" spans="1:21" x14ac:dyDescent="0.2">
      <c r="A38" s="49" t="s">
        <v>30</v>
      </c>
      <c r="E38" s="49" t="s">
        <v>31</v>
      </c>
      <c r="F38" s="49" t="s">
        <v>31</v>
      </c>
      <c r="G38" s="49" t="s">
        <v>31</v>
      </c>
      <c r="J38" s="49" t="s">
        <v>31</v>
      </c>
      <c r="K38" s="49" t="s">
        <v>31</v>
      </c>
      <c r="L38" s="49" t="s">
        <v>31</v>
      </c>
      <c r="M38" s="49" t="s">
        <v>31</v>
      </c>
    </row>
    <row r="39" spans="1:21" x14ac:dyDescent="0.2">
      <c r="A39" s="49" t="s">
        <v>30</v>
      </c>
      <c r="D39" s="49" t="s">
        <v>32189</v>
      </c>
      <c r="E39" s="49" t="s">
        <v>4559</v>
      </c>
      <c r="F39" s="49" t="s">
        <v>32190</v>
      </c>
      <c r="H39" s="49" t="s">
        <v>32191</v>
      </c>
      <c r="O39" s="49" t="s">
        <v>38352</v>
      </c>
      <c r="P39" s="49" t="s">
        <v>38353</v>
      </c>
      <c r="Q39" s="49" t="s">
        <v>38354</v>
      </c>
      <c r="R39" s="49" t="s">
        <v>38355</v>
      </c>
      <c r="S39" s="49" t="s">
        <v>38356</v>
      </c>
      <c r="T39" s="49" t="s">
        <v>38357</v>
      </c>
      <c r="U39" s="49" t="s">
        <v>38358</v>
      </c>
    </row>
    <row r="40" spans="1:21" x14ac:dyDescent="0.2">
      <c r="A40" s="49" t="s">
        <v>30</v>
      </c>
      <c r="D40" s="49" t="s">
        <v>1808</v>
      </c>
      <c r="G40" s="49" t="s">
        <v>32199</v>
      </c>
      <c r="H40" s="49" t="s">
        <v>1809</v>
      </c>
      <c r="I40" s="49" t="s">
        <v>1810</v>
      </c>
      <c r="J40" s="49" t="s">
        <v>1811</v>
      </c>
      <c r="K40" s="49" t="s">
        <v>1812</v>
      </c>
      <c r="L40" s="49" t="s">
        <v>1813</v>
      </c>
      <c r="M40" s="49" t="s">
        <v>1814</v>
      </c>
      <c r="N40" s="49" t="s">
        <v>1815</v>
      </c>
      <c r="O40" s="49" t="s">
        <v>32200</v>
      </c>
      <c r="P40" s="49" t="s">
        <v>32201</v>
      </c>
      <c r="Q40" s="49" t="s">
        <v>32202</v>
      </c>
      <c r="R40" s="49" t="s">
        <v>32203</v>
      </c>
      <c r="S40" s="49" t="s">
        <v>32204</v>
      </c>
      <c r="T40" s="49" t="s">
        <v>32205</v>
      </c>
    </row>
    <row r="41" spans="1:21" x14ac:dyDescent="0.2">
      <c r="A41" s="49" t="s">
        <v>30</v>
      </c>
      <c r="D41" s="49" t="s">
        <v>2824</v>
      </c>
      <c r="G41" s="49" t="s">
        <v>14158</v>
      </c>
      <c r="H41" s="49" t="s">
        <v>2825</v>
      </c>
      <c r="I41" s="49" t="s">
        <v>2826</v>
      </c>
      <c r="J41" s="49" t="s">
        <v>2827</v>
      </c>
      <c r="K41" s="49" t="s">
        <v>2828</v>
      </c>
      <c r="L41" s="49" t="s">
        <v>2829</v>
      </c>
      <c r="M41" s="49" t="s">
        <v>2830</v>
      </c>
      <c r="N41" s="49" t="s">
        <v>2831</v>
      </c>
      <c r="O41" s="49" t="s">
        <v>3403</v>
      </c>
      <c r="P41" s="49" t="s">
        <v>3404</v>
      </c>
      <c r="Q41" s="49" t="s">
        <v>3405</v>
      </c>
      <c r="R41" s="49" t="s">
        <v>3406</v>
      </c>
      <c r="S41" s="49" t="s">
        <v>3407</v>
      </c>
      <c r="T41" s="49" t="s">
        <v>3408</v>
      </c>
    </row>
    <row r="42" spans="1:21" x14ac:dyDescent="0.2">
      <c r="A42" s="49" t="s">
        <v>30</v>
      </c>
      <c r="D42" s="49" t="s">
        <v>184</v>
      </c>
      <c r="G42" s="49" t="s">
        <v>14160</v>
      </c>
      <c r="H42" s="49" t="s">
        <v>185</v>
      </c>
      <c r="I42" s="49" t="s">
        <v>186</v>
      </c>
      <c r="J42" s="49" t="s">
        <v>187</v>
      </c>
      <c r="K42" s="49" t="s">
        <v>188</v>
      </c>
      <c r="L42" s="49" t="s">
        <v>189</v>
      </c>
      <c r="M42" s="49" t="s">
        <v>190</v>
      </c>
      <c r="N42" s="49" t="s">
        <v>191</v>
      </c>
      <c r="O42" s="49" t="s">
        <v>3591</v>
      </c>
      <c r="P42" s="49" t="s">
        <v>3592</v>
      </c>
      <c r="Q42" s="49" t="s">
        <v>3593</v>
      </c>
      <c r="R42" s="49" t="s">
        <v>3594</v>
      </c>
      <c r="S42" s="49" t="s">
        <v>3595</v>
      </c>
      <c r="T42" s="49" t="s">
        <v>3596</v>
      </c>
    </row>
    <row r="43" spans="1:21" x14ac:dyDescent="0.2">
      <c r="A43" s="49" t="s">
        <v>30</v>
      </c>
      <c r="D43" s="49" t="s">
        <v>192</v>
      </c>
      <c r="G43" s="49" t="s">
        <v>14161</v>
      </c>
      <c r="H43" s="49" t="s">
        <v>193</v>
      </c>
      <c r="I43" s="49" t="s">
        <v>194</v>
      </c>
      <c r="J43" s="49" t="s">
        <v>195</v>
      </c>
      <c r="K43" s="49" t="s">
        <v>196</v>
      </c>
      <c r="L43" s="49" t="s">
        <v>197</v>
      </c>
      <c r="M43" s="49" t="s">
        <v>198</v>
      </c>
      <c r="N43" s="49" t="s">
        <v>199</v>
      </c>
      <c r="O43" s="49" t="s">
        <v>3597</v>
      </c>
      <c r="P43" s="49" t="s">
        <v>3598</v>
      </c>
      <c r="Q43" s="49" t="s">
        <v>3599</v>
      </c>
      <c r="R43" s="49" t="s">
        <v>3600</v>
      </c>
      <c r="S43" s="49" t="s">
        <v>3601</v>
      </c>
      <c r="T43" s="49" t="s">
        <v>3602</v>
      </c>
    </row>
    <row r="44" spans="1:21" x14ac:dyDescent="0.2">
      <c r="A44" s="49" t="s">
        <v>30</v>
      </c>
    </row>
    <row r="45" spans="1:21" x14ac:dyDescent="0.2">
      <c r="A45" s="49" t="s">
        <v>30</v>
      </c>
      <c r="E45" s="49" t="s">
        <v>31</v>
      </c>
      <c r="F45" s="49" t="s">
        <v>31</v>
      </c>
      <c r="G45" s="49" t="s">
        <v>31</v>
      </c>
      <c r="J45" s="49" t="s">
        <v>31</v>
      </c>
      <c r="K45" s="49" t="s">
        <v>31</v>
      </c>
      <c r="L45" s="49" t="s">
        <v>31</v>
      </c>
      <c r="M45" s="49" t="s">
        <v>31</v>
      </c>
    </row>
    <row r="46" spans="1:21" x14ac:dyDescent="0.2">
      <c r="A46" s="49" t="s">
        <v>30</v>
      </c>
      <c r="D46" s="49" t="s">
        <v>10612</v>
      </c>
      <c r="E46" s="49" t="s">
        <v>4561</v>
      </c>
      <c r="F46" s="49" t="s">
        <v>10613</v>
      </c>
      <c r="H46" s="49" t="s">
        <v>10614</v>
      </c>
      <c r="O46" s="49" t="s">
        <v>38359</v>
      </c>
      <c r="P46" s="49" t="s">
        <v>38360</v>
      </c>
      <c r="Q46" s="49" t="s">
        <v>38361</v>
      </c>
      <c r="R46" s="49" t="s">
        <v>38362</v>
      </c>
      <c r="S46" s="49" t="s">
        <v>38363</v>
      </c>
      <c r="T46" s="49" t="s">
        <v>38364</v>
      </c>
      <c r="U46" s="49" t="s">
        <v>38365</v>
      </c>
    </row>
    <row r="47" spans="1:21" x14ac:dyDescent="0.2">
      <c r="A47" s="49" t="s">
        <v>30</v>
      </c>
      <c r="D47" s="49" t="s">
        <v>200</v>
      </c>
      <c r="G47" s="49" t="s">
        <v>10622</v>
      </c>
      <c r="H47" s="49" t="s">
        <v>201</v>
      </c>
      <c r="I47" s="49" t="s">
        <v>202</v>
      </c>
      <c r="J47" s="49" t="s">
        <v>203</v>
      </c>
      <c r="K47" s="49" t="s">
        <v>204</v>
      </c>
      <c r="L47" s="49" t="s">
        <v>205</v>
      </c>
      <c r="M47" s="49" t="s">
        <v>206</v>
      </c>
      <c r="N47" s="49" t="s">
        <v>207</v>
      </c>
      <c r="O47" s="49" t="s">
        <v>4052</v>
      </c>
      <c r="P47" s="49" t="s">
        <v>4053</v>
      </c>
      <c r="Q47" s="49" t="s">
        <v>4054</v>
      </c>
      <c r="R47" s="49" t="s">
        <v>4055</v>
      </c>
      <c r="S47" s="49" t="s">
        <v>4056</v>
      </c>
      <c r="T47" s="49" t="s">
        <v>4057</v>
      </c>
    </row>
    <row r="48" spans="1:21" x14ac:dyDescent="0.2">
      <c r="A48" s="49" t="s">
        <v>30</v>
      </c>
      <c r="D48" s="49" t="s">
        <v>208</v>
      </c>
      <c r="G48" s="49" t="s">
        <v>14173</v>
      </c>
      <c r="H48" s="49" t="s">
        <v>209</v>
      </c>
      <c r="I48" s="49" t="s">
        <v>210</v>
      </c>
      <c r="J48" s="49" t="s">
        <v>211</v>
      </c>
      <c r="K48" s="49" t="s">
        <v>212</v>
      </c>
      <c r="L48" s="49" t="s">
        <v>213</v>
      </c>
      <c r="M48" s="49" t="s">
        <v>214</v>
      </c>
      <c r="N48" s="49" t="s">
        <v>215</v>
      </c>
      <c r="O48" s="49" t="s">
        <v>3609</v>
      </c>
      <c r="P48" s="49" t="s">
        <v>3610</v>
      </c>
      <c r="Q48" s="49" t="s">
        <v>3611</v>
      </c>
      <c r="R48" s="49" t="s">
        <v>3612</v>
      </c>
      <c r="S48" s="49" t="s">
        <v>3613</v>
      </c>
      <c r="T48" s="49" t="s">
        <v>3614</v>
      </c>
    </row>
    <row r="49" spans="1:21" x14ac:dyDescent="0.2">
      <c r="A49" s="49" t="s">
        <v>30</v>
      </c>
      <c r="D49" s="49" t="s">
        <v>216</v>
      </c>
      <c r="G49" s="49" t="s">
        <v>14174</v>
      </c>
      <c r="H49" s="49" t="s">
        <v>217</v>
      </c>
      <c r="I49" s="49" t="s">
        <v>218</v>
      </c>
      <c r="J49" s="49" t="s">
        <v>219</v>
      </c>
      <c r="K49" s="49" t="s">
        <v>220</v>
      </c>
      <c r="L49" s="49" t="s">
        <v>221</v>
      </c>
      <c r="M49" s="49" t="s">
        <v>222</v>
      </c>
      <c r="N49" s="49" t="s">
        <v>223</v>
      </c>
      <c r="O49" s="49" t="s">
        <v>3416</v>
      </c>
      <c r="P49" s="49" t="s">
        <v>3417</v>
      </c>
      <c r="Q49" s="49" t="s">
        <v>3418</v>
      </c>
      <c r="R49" s="49" t="s">
        <v>3419</v>
      </c>
      <c r="S49" s="49" t="s">
        <v>3420</v>
      </c>
      <c r="T49" s="49" t="s">
        <v>3421</v>
      </c>
    </row>
    <row r="50" spans="1:21" x14ac:dyDescent="0.2">
      <c r="A50" s="49" t="s">
        <v>30</v>
      </c>
      <c r="D50" s="49" t="s">
        <v>224</v>
      </c>
      <c r="G50" s="49" t="s">
        <v>14177</v>
      </c>
      <c r="H50" s="49" t="s">
        <v>225</v>
      </c>
      <c r="I50" s="49" t="s">
        <v>226</v>
      </c>
      <c r="J50" s="49" t="s">
        <v>227</v>
      </c>
      <c r="K50" s="49" t="s">
        <v>228</v>
      </c>
      <c r="L50" s="49" t="s">
        <v>229</v>
      </c>
      <c r="M50" s="49" t="s">
        <v>230</v>
      </c>
      <c r="N50" s="49" t="s">
        <v>231</v>
      </c>
      <c r="O50" s="49" t="s">
        <v>3856</v>
      </c>
      <c r="P50" s="49" t="s">
        <v>3857</v>
      </c>
      <c r="Q50" s="49" t="s">
        <v>3858</v>
      </c>
      <c r="R50" s="49" t="s">
        <v>3859</v>
      </c>
      <c r="S50" s="49" t="s">
        <v>3860</v>
      </c>
      <c r="T50" s="49" t="s">
        <v>3861</v>
      </c>
    </row>
    <row r="51" spans="1:21" x14ac:dyDescent="0.2">
      <c r="A51" s="49" t="s">
        <v>30</v>
      </c>
      <c r="D51" s="49" t="s">
        <v>232</v>
      </c>
      <c r="G51" s="49" t="s">
        <v>14178</v>
      </c>
      <c r="H51" s="49" t="s">
        <v>233</v>
      </c>
      <c r="I51" s="49" t="s">
        <v>234</v>
      </c>
      <c r="J51" s="49" t="s">
        <v>235</v>
      </c>
      <c r="K51" s="49" t="s">
        <v>236</v>
      </c>
      <c r="L51" s="49" t="s">
        <v>237</v>
      </c>
      <c r="M51" s="49" t="s">
        <v>238</v>
      </c>
      <c r="N51" s="49" t="s">
        <v>239</v>
      </c>
      <c r="O51" s="49" t="s">
        <v>4058</v>
      </c>
      <c r="P51" s="49" t="s">
        <v>4059</v>
      </c>
      <c r="Q51" s="49" t="s">
        <v>4060</v>
      </c>
      <c r="R51" s="49" t="s">
        <v>4061</v>
      </c>
      <c r="S51" s="49" t="s">
        <v>4062</v>
      </c>
      <c r="T51" s="49" t="s">
        <v>4063</v>
      </c>
    </row>
    <row r="52" spans="1:21" x14ac:dyDescent="0.2">
      <c r="A52" s="49" t="s">
        <v>30</v>
      </c>
    </row>
    <row r="53" spans="1:21" x14ac:dyDescent="0.2">
      <c r="A53" s="49" t="s">
        <v>30</v>
      </c>
      <c r="E53" s="49" t="s">
        <v>31</v>
      </c>
      <c r="F53" s="49" t="s">
        <v>31</v>
      </c>
      <c r="G53" s="49" t="s">
        <v>31</v>
      </c>
      <c r="J53" s="49" t="s">
        <v>31</v>
      </c>
      <c r="K53" s="49" t="s">
        <v>31</v>
      </c>
      <c r="L53" s="49" t="s">
        <v>31</v>
      </c>
      <c r="M53" s="49" t="s">
        <v>31</v>
      </c>
    </row>
    <row r="54" spans="1:21" x14ac:dyDescent="0.2">
      <c r="A54" s="49" t="s">
        <v>30</v>
      </c>
      <c r="D54" s="49" t="s">
        <v>240</v>
      </c>
      <c r="E54" s="49" t="s">
        <v>4564</v>
      </c>
      <c r="F54" s="49" t="s">
        <v>241</v>
      </c>
      <c r="H54" s="49" t="s">
        <v>242</v>
      </c>
      <c r="O54" s="49" t="s">
        <v>12987</v>
      </c>
      <c r="P54" s="49" t="s">
        <v>12988</v>
      </c>
      <c r="Q54" s="49" t="s">
        <v>12989</v>
      </c>
      <c r="R54" s="49" t="s">
        <v>12990</v>
      </c>
      <c r="S54" s="49" t="s">
        <v>12991</v>
      </c>
      <c r="T54" s="49" t="s">
        <v>12992</v>
      </c>
      <c r="U54" s="49" t="s">
        <v>12993</v>
      </c>
    </row>
    <row r="55" spans="1:21" x14ac:dyDescent="0.2">
      <c r="A55" s="49" t="s">
        <v>30</v>
      </c>
      <c r="D55" s="49" t="s">
        <v>243</v>
      </c>
      <c r="G55" s="49" t="s">
        <v>4064</v>
      </c>
      <c r="H55" s="49" t="s">
        <v>244</v>
      </c>
      <c r="I55" s="49" t="s">
        <v>245</v>
      </c>
      <c r="J55" s="49" t="s">
        <v>246</v>
      </c>
      <c r="K55" s="49" t="s">
        <v>247</v>
      </c>
      <c r="L55" s="49" t="s">
        <v>248</v>
      </c>
      <c r="M55" s="49" t="s">
        <v>249</v>
      </c>
      <c r="N55" s="49" t="s">
        <v>250</v>
      </c>
      <c r="O55" s="49" t="s">
        <v>4065</v>
      </c>
      <c r="P55" s="49" t="s">
        <v>4066</v>
      </c>
      <c r="Q55" s="49" t="s">
        <v>4067</v>
      </c>
      <c r="R55" s="49" t="s">
        <v>4068</v>
      </c>
      <c r="S55" s="49" t="s">
        <v>4069</v>
      </c>
      <c r="T55" s="49" t="s">
        <v>4070</v>
      </c>
    </row>
    <row r="56" spans="1:21" x14ac:dyDescent="0.2">
      <c r="A56" s="49" t="s">
        <v>30</v>
      </c>
      <c r="D56" s="49" t="s">
        <v>251</v>
      </c>
      <c r="G56" s="49" t="s">
        <v>14199</v>
      </c>
      <c r="H56" s="49" t="s">
        <v>252</v>
      </c>
      <c r="I56" s="49" t="s">
        <v>253</v>
      </c>
      <c r="J56" s="49" t="s">
        <v>254</v>
      </c>
      <c r="K56" s="49" t="s">
        <v>255</v>
      </c>
      <c r="L56" s="49" t="s">
        <v>256</v>
      </c>
      <c r="M56" s="49" t="s">
        <v>257</v>
      </c>
      <c r="N56" s="49" t="s">
        <v>258</v>
      </c>
      <c r="O56" s="49" t="s">
        <v>4348</v>
      </c>
      <c r="P56" s="49" t="s">
        <v>4349</v>
      </c>
      <c r="Q56" s="49" t="s">
        <v>4350</v>
      </c>
      <c r="R56" s="49" t="s">
        <v>4351</v>
      </c>
      <c r="S56" s="49" t="s">
        <v>4352</v>
      </c>
      <c r="T56" s="49" t="s">
        <v>4353</v>
      </c>
    </row>
    <row r="57" spans="1:21" x14ac:dyDescent="0.2">
      <c r="A57" s="49" t="s">
        <v>30</v>
      </c>
    </row>
    <row r="58" spans="1:21" x14ac:dyDescent="0.2">
      <c r="A58" s="49" t="s">
        <v>30</v>
      </c>
      <c r="E58" s="49" t="s">
        <v>31</v>
      </c>
      <c r="F58" s="49" t="s">
        <v>31</v>
      </c>
      <c r="G58" s="49" t="s">
        <v>31</v>
      </c>
      <c r="J58" s="49" t="s">
        <v>31</v>
      </c>
      <c r="K58" s="49" t="s">
        <v>31</v>
      </c>
      <c r="L58" s="49" t="s">
        <v>31</v>
      </c>
      <c r="M58" s="49" t="s">
        <v>31</v>
      </c>
    </row>
    <row r="59" spans="1:21" x14ac:dyDescent="0.2">
      <c r="A59" s="49" t="s">
        <v>30</v>
      </c>
      <c r="D59" s="49" t="s">
        <v>12994</v>
      </c>
      <c r="E59" s="49" t="s">
        <v>4565</v>
      </c>
      <c r="F59" s="49" t="s">
        <v>12995</v>
      </c>
      <c r="H59" s="49" t="s">
        <v>12996</v>
      </c>
      <c r="O59" s="49" t="s">
        <v>34716</v>
      </c>
      <c r="P59" s="49" t="s">
        <v>34717</v>
      </c>
      <c r="Q59" s="49" t="s">
        <v>34718</v>
      </c>
      <c r="R59" s="49" t="s">
        <v>34719</v>
      </c>
      <c r="S59" s="49" t="s">
        <v>34720</v>
      </c>
      <c r="T59" s="49" t="s">
        <v>34721</v>
      </c>
      <c r="U59" s="49" t="s">
        <v>34722</v>
      </c>
    </row>
    <row r="60" spans="1:21" x14ac:dyDescent="0.2">
      <c r="A60" s="49" t="s">
        <v>30</v>
      </c>
      <c r="D60" s="49" t="s">
        <v>2301</v>
      </c>
      <c r="G60" s="49" t="s">
        <v>12997</v>
      </c>
      <c r="H60" s="49" t="s">
        <v>2302</v>
      </c>
      <c r="I60" s="49" t="s">
        <v>2303</v>
      </c>
      <c r="J60" s="49" t="s">
        <v>2304</v>
      </c>
      <c r="K60" s="49" t="s">
        <v>2305</v>
      </c>
      <c r="L60" s="49" t="s">
        <v>2306</v>
      </c>
      <c r="M60" s="49" t="s">
        <v>2307</v>
      </c>
      <c r="N60" s="49" t="s">
        <v>2308</v>
      </c>
      <c r="O60" s="49" t="s">
        <v>12998</v>
      </c>
      <c r="P60" s="49" t="s">
        <v>12999</v>
      </c>
      <c r="Q60" s="49" t="s">
        <v>13000</v>
      </c>
      <c r="R60" s="49" t="s">
        <v>13001</v>
      </c>
      <c r="S60" s="49" t="s">
        <v>13002</v>
      </c>
      <c r="T60" s="49" t="s">
        <v>13003</v>
      </c>
    </row>
    <row r="61" spans="1:21" x14ac:dyDescent="0.2">
      <c r="A61" s="49" t="s">
        <v>30</v>
      </c>
      <c r="D61" s="49" t="s">
        <v>2250</v>
      </c>
      <c r="G61" s="49" t="s">
        <v>14218</v>
      </c>
      <c r="H61" s="49" t="s">
        <v>2251</v>
      </c>
      <c r="I61" s="49" t="s">
        <v>2252</v>
      </c>
      <c r="J61" s="49" t="s">
        <v>2253</v>
      </c>
      <c r="K61" s="49" t="s">
        <v>2254</v>
      </c>
      <c r="L61" s="49" t="s">
        <v>2255</v>
      </c>
      <c r="M61" s="49" t="s">
        <v>2256</v>
      </c>
      <c r="N61" s="49" t="s">
        <v>2257</v>
      </c>
      <c r="O61" s="49" t="s">
        <v>3436</v>
      </c>
      <c r="P61" s="49" t="s">
        <v>3437</v>
      </c>
      <c r="Q61" s="49" t="s">
        <v>3438</v>
      </c>
      <c r="R61" s="49" t="s">
        <v>3439</v>
      </c>
      <c r="S61" s="49" t="s">
        <v>3440</v>
      </c>
      <c r="T61" s="49" t="s">
        <v>3441</v>
      </c>
    </row>
    <row r="62" spans="1:21" x14ac:dyDescent="0.2">
      <c r="A62" s="49" t="s">
        <v>30</v>
      </c>
    </row>
    <row r="63" spans="1:21" x14ac:dyDescent="0.2">
      <c r="A63" s="49" t="s">
        <v>30</v>
      </c>
      <c r="E63" s="49" t="s">
        <v>31</v>
      </c>
      <c r="F63" s="49" t="s">
        <v>31</v>
      </c>
      <c r="G63" s="49" t="s">
        <v>31</v>
      </c>
      <c r="J63" s="49" t="s">
        <v>31</v>
      </c>
      <c r="K63" s="49" t="s">
        <v>31</v>
      </c>
      <c r="L63" s="49" t="s">
        <v>31</v>
      </c>
      <c r="M63" s="49" t="s">
        <v>31</v>
      </c>
    </row>
    <row r="64" spans="1:21" x14ac:dyDescent="0.2">
      <c r="A64" s="49" t="s">
        <v>30</v>
      </c>
      <c r="D64" s="49" t="s">
        <v>34723</v>
      </c>
      <c r="E64" s="49" t="s">
        <v>4566</v>
      </c>
      <c r="F64" s="49" t="s">
        <v>34724</v>
      </c>
      <c r="H64" s="49" t="s">
        <v>34725</v>
      </c>
      <c r="O64" s="49" t="s">
        <v>38169</v>
      </c>
      <c r="P64" s="49" t="s">
        <v>38170</v>
      </c>
      <c r="Q64" s="49" t="s">
        <v>38171</v>
      </c>
      <c r="R64" s="49" t="s">
        <v>38172</v>
      </c>
      <c r="S64" s="49" t="s">
        <v>38173</v>
      </c>
      <c r="T64" s="49" t="s">
        <v>38174</v>
      </c>
      <c r="U64" s="49" t="s">
        <v>38175</v>
      </c>
    </row>
    <row r="65" spans="1:21" x14ac:dyDescent="0.2">
      <c r="A65" s="49" t="s">
        <v>30</v>
      </c>
      <c r="D65" s="49" t="s">
        <v>2258</v>
      </c>
      <c r="G65" s="49" t="s">
        <v>34733</v>
      </c>
      <c r="H65" s="49" t="s">
        <v>2259</v>
      </c>
      <c r="I65" s="49" t="s">
        <v>2260</v>
      </c>
      <c r="J65" s="49" t="s">
        <v>2261</v>
      </c>
      <c r="K65" s="49" t="s">
        <v>2262</v>
      </c>
      <c r="L65" s="49" t="s">
        <v>2263</v>
      </c>
      <c r="M65" s="49" t="s">
        <v>2264</v>
      </c>
      <c r="N65" s="49" t="s">
        <v>2265</v>
      </c>
      <c r="O65" s="49" t="s">
        <v>3442</v>
      </c>
      <c r="P65" s="49" t="s">
        <v>3443</v>
      </c>
      <c r="Q65" s="49" t="s">
        <v>3444</v>
      </c>
      <c r="R65" s="49" t="s">
        <v>3445</v>
      </c>
      <c r="S65" s="49" t="s">
        <v>3446</v>
      </c>
      <c r="T65" s="49" t="s">
        <v>3447</v>
      </c>
    </row>
    <row r="66" spans="1:21" x14ac:dyDescent="0.2">
      <c r="A66" s="49" t="s">
        <v>30</v>
      </c>
    </row>
    <row r="67" spans="1:21" x14ac:dyDescent="0.2">
      <c r="A67" s="49" t="s">
        <v>30</v>
      </c>
      <c r="E67" s="49" t="s">
        <v>31</v>
      </c>
      <c r="F67" s="49" t="s">
        <v>31</v>
      </c>
      <c r="G67" s="49" t="s">
        <v>31</v>
      </c>
      <c r="J67" s="49" t="s">
        <v>31</v>
      </c>
      <c r="K67" s="49" t="s">
        <v>31</v>
      </c>
      <c r="L67" s="49" t="s">
        <v>31</v>
      </c>
      <c r="M67" s="49" t="s">
        <v>31</v>
      </c>
    </row>
    <row r="68" spans="1:21" x14ac:dyDescent="0.2">
      <c r="A68" s="49" t="s">
        <v>30</v>
      </c>
      <c r="D68" s="49" t="s">
        <v>4560</v>
      </c>
      <c r="E68" s="49" t="s">
        <v>4567</v>
      </c>
      <c r="F68" s="49" t="s">
        <v>4562</v>
      </c>
      <c r="H68" s="49" t="s">
        <v>4563</v>
      </c>
      <c r="O68" s="49" t="s">
        <v>38366</v>
      </c>
      <c r="P68" s="49" t="s">
        <v>38367</v>
      </c>
      <c r="Q68" s="49" t="s">
        <v>38368</v>
      </c>
      <c r="R68" s="49" t="s">
        <v>38369</v>
      </c>
      <c r="S68" s="49" t="s">
        <v>38370</v>
      </c>
      <c r="T68" s="49" t="s">
        <v>38371</v>
      </c>
      <c r="U68" s="49" t="s">
        <v>38372</v>
      </c>
    </row>
    <row r="69" spans="1:21" x14ac:dyDescent="0.2">
      <c r="A69" s="49" t="s">
        <v>30</v>
      </c>
      <c r="D69" s="49" t="s">
        <v>1843</v>
      </c>
      <c r="G69" s="49" t="s">
        <v>13930</v>
      </c>
      <c r="H69" s="49" t="s">
        <v>1844</v>
      </c>
      <c r="I69" s="49" t="s">
        <v>1845</v>
      </c>
      <c r="J69" s="49" t="s">
        <v>1846</v>
      </c>
      <c r="K69" s="49" t="s">
        <v>1847</v>
      </c>
      <c r="L69" s="49" t="s">
        <v>1848</v>
      </c>
      <c r="M69" s="49" t="s">
        <v>1849</v>
      </c>
      <c r="N69" s="49" t="s">
        <v>1850</v>
      </c>
      <c r="O69" s="49" t="s">
        <v>13005</v>
      </c>
      <c r="P69" s="49" t="s">
        <v>13006</v>
      </c>
      <c r="Q69" s="49" t="s">
        <v>13007</v>
      </c>
      <c r="R69" s="49" t="s">
        <v>13008</v>
      </c>
      <c r="S69" s="49" t="s">
        <v>13009</v>
      </c>
      <c r="T69" s="49" t="s">
        <v>13010</v>
      </c>
    </row>
    <row r="70" spans="1:21" x14ac:dyDescent="0.2">
      <c r="A70" s="49" t="s">
        <v>30</v>
      </c>
      <c r="D70" s="49" t="s">
        <v>2309</v>
      </c>
      <c r="G70" s="49" t="s">
        <v>14255</v>
      </c>
      <c r="H70" s="49" t="s">
        <v>2310</v>
      </c>
      <c r="I70" s="49" t="s">
        <v>2311</v>
      </c>
      <c r="J70" s="49" t="s">
        <v>2312</v>
      </c>
      <c r="K70" s="49" t="s">
        <v>2313</v>
      </c>
      <c r="L70" s="49" t="s">
        <v>2314</v>
      </c>
      <c r="M70" s="49" t="s">
        <v>2315</v>
      </c>
      <c r="N70" s="49" t="s">
        <v>2316</v>
      </c>
      <c r="O70" s="49" t="s">
        <v>3876</v>
      </c>
      <c r="P70" s="49" t="s">
        <v>3877</v>
      </c>
      <c r="Q70" s="49" t="s">
        <v>3878</v>
      </c>
      <c r="R70" s="49" t="s">
        <v>3879</v>
      </c>
      <c r="S70" s="49" t="s">
        <v>3880</v>
      </c>
      <c r="T70" s="49" t="s">
        <v>3881</v>
      </c>
    </row>
    <row r="71" spans="1:21" x14ac:dyDescent="0.2">
      <c r="A71" s="49" t="s">
        <v>30</v>
      </c>
    </row>
    <row r="72" spans="1:21" x14ac:dyDescent="0.2">
      <c r="A72" s="49" t="s">
        <v>30</v>
      </c>
      <c r="E72" s="49" t="s">
        <v>31</v>
      </c>
      <c r="F72" s="49" t="s">
        <v>31</v>
      </c>
      <c r="G72" s="49" t="s">
        <v>31</v>
      </c>
      <c r="J72" s="49" t="s">
        <v>31</v>
      </c>
      <c r="K72" s="49" t="s">
        <v>31</v>
      </c>
      <c r="L72" s="49" t="s">
        <v>31</v>
      </c>
      <c r="M72" s="49" t="s">
        <v>31</v>
      </c>
    </row>
    <row r="73" spans="1:21" x14ac:dyDescent="0.2">
      <c r="A73" s="49" t="s">
        <v>30</v>
      </c>
      <c r="D73" s="49" t="s">
        <v>2553</v>
      </c>
      <c r="E73" s="49" t="s">
        <v>14258</v>
      </c>
      <c r="F73" s="49" t="s">
        <v>2554</v>
      </c>
      <c r="H73" s="49" t="s">
        <v>2555</v>
      </c>
      <c r="O73" s="49" t="s">
        <v>8877</v>
      </c>
      <c r="P73" s="49" t="s">
        <v>8878</v>
      </c>
      <c r="Q73" s="49" t="s">
        <v>8879</v>
      </c>
      <c r="R73" s="49" t="s">
        <v>8880</v>
      </c>
      <c r="S73" s="49" t="s">
        <v>8881</v>
      </c>
      <c r="T73" s="49" t="s">
        <v>8882</v>
      </c>
      <c r="U73" s="49" t="s">
        <v>8883</v>
      </c>
    </row>
    <row r="74" spans="1:21" x14ac:dyDescent="0.2">
      <c r="A74" s="49" t="s">
        <v>30</v>
      </c>
      <c r="D74" s="49" t="s">
        <v>1859</v>
      </c>
      <c r="G74" s="49" t="s">
        <v>3889</v>
      </c>
      <c r="H74" s="49" t="s">
        <v>1860</v>
      </c>
      <c r="I74" s="49" t="s">
        <v>1861</v>
      </c>
      <c r="J74" s="49" t="s">
        <v>1862</v>
      </c>
      <c r="K74" s="49" t="s">
        <v>1863</v>
      </c>
      <c r="L74" s="49" t="s">
        <v>1864</v>
      </c>
      <c r="M74" s="49" t="s">
        <v>1865</v>
      </c>
      <c r="N74" s="49" t="s">
        <v>1866</v>
      </c>
      <c r="O74" s="49" t="s">
        <v>3639</v>
      </c>
      <c r="P74" s="49" t="s">
        <v>3640</v>
      </c>
      <c r="Q74" s="49" t="s">
        <v>3641</v>
      </c>
      <c r="R74" s="49" t="s">
        <v>3642</v>
      </c>
      <c r="S74" s="49" t="s">
        <v>3643</v>
      </c>
      <c r="T74" s="49" t="s">
        <v>3644</v>
      </c>
    </row>
    <row r="75" spans="1:21" x14ac:dyDescent="0.2">
      <c r="A75" s="49" t="s">
        <v>30</v>
      </c>
      <c r="D75" s="49" t="s">
        <v>1867</v>
      </c>
      <c r="G75" s="49" t="s">
        <v>14274</v>
      </c>
      <c r="H75" s="49" t="s">
        <v>1868</v>
      </c>
      <c r="I75" s="49" t="s">
        <v>1869</v>
      </c>
      <c r="J75" s="49" t="s">
        <v>1870</v>
      </c>
      <c r="K75" s="49" t="s">
        <v>1871</v>
      </c>
      <c r="L75" s="49" t="s">
        <v>1872</v>
      </c>
      <c r="M75" s="49" t="s">
        <v>1873</v>
      </c>
      <c r="N75" s="49" t="s">
        <v>1874</v>
      </c>
      <c r="O75" s="49" t="s">
        <v>3985</v>
      </c>
      <c r="P75" s="49" t="s">
        <v>3986</v>
      </c>
      <c r="Q75" s="49" t="s">
        <v>3987</v>
      </c>
      <c r="R75" s="49" t="s">
        <v>3988</v>
      </c>
      <c r="S75" s="49" t="s">
        <v>3989</v>
      </c>
      <c r="T75" s="49" t="s">
        <v>3990</v>
      </c>
    </row>
    <row r="76" spans="1:21" x14ac:dyDescent="0.2">
      <c r="A76" s="49" t="s">
        <v>30</v>
      </c>
    </row>
    <row r="77" spans="1:21" x14ac:dyDescent="0.2">
      <c r="A77" s="49" t="s">
        <v>30</v>
      </c>
      <c r="E77" s="49" t="s">
        <v>31</v>
      </c>
      <c r="F77" s="49" t="s">
        <v>31</v>
      </c>
      <c r="G77" s="49" t="s">
        <v>31</v>
      </c>
      <c r="J77" s="49" t="s">
        <v>31</v>
      </c>
      <c r="K77" s="49" t="s">
        <v>31</v>
      </c>
      <c r="L77" s="49" t="s">
        <v>31</v>
      </c>
      <c r="M77" s="49" t="s">
        <v>31</v>
      </c>
    </row>
    <row r="78" spans="1:21" x14ac:dyDescent="0.2">
      <c r="A78" s="49" t="s">
        <v>30</v>
      </c>
      <c r="D78" s="49" t="s">
        <v>8884</v>
      </c>
      <c r="E78" s="49" t="s">
        <v>4568</v>
      </c>
      <c r="F78" s="49" t="s">
        <v>8885</v>
      </c>
      <c r="H78" s="49" t="s">
        <v>8886</v>
      </c>
      <c r="O78" s="49" t="s">
        <v>8887</v>
      </c>
      <c r="P78" s="49" t="s">
        <v>8888</v>
      </c>
      <c r="Q78" s="49" t="s">
        <v>8889</v>
      </c>
      <c r="R78" s="49" t="s">
        <v>8890</v>
      </c>
      <c r="S78" s="49" t="s">
        <v>8891</v>
      </c>
      <c r="T78" s="49" t="s">
        <v>8892</v>
      </c>
      <c r="U78" s="49" t="s">
        <v>8893</v>
      </c>
    </row>
    <row r="79" spans="1:21" x14ac:dyDescent="0.2">
      <c r="A79" s="49" t="s">
        <v>30</v>
      </c>
      <c r="D79" s="49" t="s">
        <v>1875</v>
      </c>
      <c r="G79" s="49" t="s">
        <v>8894</v>
      </c>
      <c r="H79" s="49" t="s">
        <v>1876</v>
      </c>
      <c r="I79" s="49" t="s">
        <v>1877</v>
      </c>
      <c r="J79" s="49" t="s">
        <v>1878</v>
      </c>
      <c r="K79" s="49" t="s">
        <v>1879</v>
      </c>
      <c r="L79" s="49" t="s">
        <v>1880</v>
      </c>
      <c r="M79" s="49" t="s">
        <v>1881</v>
      </c>
      <c r="N79" s="49" t="s">
        <v>1882</v>
      </c>
      <c r="O79" s="49" t="s">
        <v>3991</v>
      </c>
      <c r="P79" s="49" t="s">
        <v>3992</v>
      </c>
      <c r="Q79" s="49" t="s">
        <v>3993</v>
      </c>
      <c r="R79" s="49" t="s">
        <v>3994</v>
      </c>
      <c r="S79" s="49" t="s">
        <v>3995</v>
      </c>
      <c r="T79" s="49" t="s">
        <v>3996</v>
      </c>
    </row>
    <row r="80" spans="1:21" x14ac:dyDescent="0.2">
      <c r="A80" s="49" t="s">
        <v>30</v>
      </c>
    </row>
    <row r="81" spans="1:21" x14ac:dyDescent="0.2">
      <c r="A81" s="49" t="s">
        <v>30</v>
      </c>
      <c r="E81" s="49" t="s">
        <v>31</v>
      </c>
      <c r="F81" s="49" t="s">
        <v>31</v>
      </c>
      <c r="G81" s="49" t="s">
        <v>31</v>
      </c>
      <c r="J81" s="49" t="s">
        <v>31</v>
      </c>
      <c r="K81" s="49" t="s">
        <v>31</v>
      </c>
      <c r="L81" s="49" t="s">
        <v>31</v>
      </c>
      <c r="M81" s="49" t="s">
        <v>31</v>
      </c>
    </row>
    <row r="82" spans="1:21" x14ac:dyDescent="0.2">
      <c r="A82" s="49" t="s">
        <v>30</v>
      </c>
      <c r="D82" s="49" t="s">
        <v>2771</v>
      </c>
      <c r="E82" s="49" t="s">
        <v>4569</v>
      </c>
      <c r="F82" s="49" t="s">
        <v>2772</v>
      </c>
      <c r="H82" s="49" t="s">
        <v>2773</v>
      </c>
      <c r="O82" s="49" t="s">
        <v>13674</v>
      </c>
      <c r="P82" s="49" t="s">
        <v>13675</v>
      </c>
      <c r="Q82" s="49" t="s">
        <v>13676</v>
      </c>
      <c r="R82" s="49" t="s">
        <v>13677</v>
      </c>
      <c r="S82" s="49" t="s">
        <v>13678</v>
      </c>
      <c r="T82" s="49" t="s">
        <v>13679</v>
      </c>
      <c r="U82" s="49" t="s">
        <v>13680</v>
      </c>
    </row>
    <row r="83" spans="1:21" x14ac:dyDescent="0.2">
      <c r="A83" s="49" t="s">
        <v>30</v>
      </c>
      <c r="D83" s="49" t="s">
        <v>345</v>
      </c>
      <c r="G83" s="49" t="s">
        <v>4328</v>
      </c>
      <c r="H83" s="49" t="s">
        <v>346</v>
      </c>
      <c r="I83" s="49" t="s">
        <v>347</v>
      </c>
      <c r="J83" s="49" t="s">
        <v>348</v>
      </c>
      <c r="K83" s="49" t="s">
        <v>349</v>
      </c>
      <c r="L83" s="49" t="s">
        <v>350</v>
      </c>
      <c r="M83" s="49" t="s">
        <v>351</v>
      </c>
      <c r="N83" s="49" t="s">
        <v>352</v>
      </c>
      <c r="O83" s="49" t="s">
        <v>3659</v>
      </c>
      <c r="P83" s="49" t="s">
        <v>3660</v>
      </c>
      <c r="Q83" s="49" t="s">
        <v>3661</v>
      </c>
      <c r="R83" s="49" t="s">
        <v>3662</v>
      </c>
      <c r="S83" s="49" t="s">
        <v>3663</v>
      </c>
      <c r="T83" s="49" t="s">
        <v>3664</v>
      </c>
    </row>
    <row r="84" spans="1:21" x14ac:dyDescent="0.2">
      <c r="A84" s="49" t="s">
        <v>30</v>
      </c>
      <c r="D84" s="49" t="s">
        <v>353</v>
      </c>
      <c r="G84" s="49" t="s">
        <v>14316</v>
      </c>
      <c r="H84" s="49" t="s">
        <v>354</v>
      </c>
      <c r="I84" s="49" t="s">
        <v>355</v>
      </c>
      <c r="J84" s="49" t="s">
        <v>356</v>
      </c>
      <c r="K84" s="49" t="s">
        <v>357</v>
      </c>
      <c r="L84" s="49" t="s">
        <v>358</v>
      </c>
      <c r="M84" s="49" t="s">
        <v>359</v>
      </c>
      <c r="N84" s="49" t="s">
        <v>360</v>
      </c>
      <c r="O84" s="49" t="s">
        <v>4004</v>
      </c>
      <c r="P84" s="49" t="s">
        <v>4005</v>
      </c>
      <c r="Q84" s="49" t="s">
        <v>4006</v>
      </c>
      <c r="R84" s="49" t="s">
        <v>4007</v>
      </c>
      <c r="S84" s="49" t="s">
        <v>4008</v>
      </c>
      <c r="T84" s="49" t="s">
        <v>4009</v>
      </c>
    </row>
    <row r="85" spans="1:21" x14ac:dyDescent="0.2">
      <c r="A85" s="49" t="s">
        <v>30</v>
      </c>
    </row>
    <row r="86" spans="1:21" x14ac:dyDescent="0.2">
      <c r="A86" s="49" t="s">
        <v>30</v>
      </c>
      <c r="E86" s="49" t="s">
        <v>31</v>
      </c>
      <c r="F86" s="49" t="s">
        <v>31</v>
      </c>
      <c r="G86" s="49" t="s">
        <v>31</v>
      </c>
      <c r="J86" s="49" t="s">
        <v>31</v>
      </c>
      <c r="K86" s="49" t="s">
        <v>31</v>
      </c>
      <c r="L86" s="49" t="s">
        <v>31</v>
      </c>
      <c r="M86" s="49" t="s">
        <v>31</v>
      </c>
    </row>
    <row r="87" spans="1:21" x14ac:dyDescent="0.2">
      <c r="A87" s="49" t="s">
        <v>30</v>
      </c>
      <c r="D87" s="49" t="s">
        <v>361</v>
      </c>
      <c r="E87" s="49" t="s">
        <v>4582</v>
      </c>
      <c r="F87" s="49" t="s">
        <v>362</v>
      </c>
      <c r="H87" s="49" t="s">
        <v>363</v>
      </c>
      <c r="O87" s="49" t="s">
        <v>38373</v>
      </c>
      <c r="P87" s="49" t="s">
        <v>38374</v>
      </c>
      <c r="Q87" s="49" t="s">
        <v>38375</v>
      </c>
      <c r="R87" s="49" t="s">
        <v>38376</v>
      </c>
      <c r="S87" s="49" t="s">
        <v>38377</v>
      </c>
      <c r="T87" s="49" t="s">
        <v>38378</v>
      </c>
      <c r="U87" s="49" t="s">
        <v>38379</v>
      </c>
    </row>
    <row r="88" spans="1:21" x14ac:dyDescent="0.2">
      <c r="A88" s="49" t="s">
        <v>30</v>
      </c>
      <c r="D88" s="49" t="s">
        <v>364</v>
      </c>
      <c r="G88" s="49" t="s">
        <v>4010</v>
      </c>
      <c r="H88" s="49" t="s">
        <v>365</v>
      </c>
      <c r="I88" s="49" t="s">
        <v>366</v>
      </c>
      <c r="J88" s="49" t="s">
        <v>367</v>
      </c>
      <c r="K88" s="49" t="s">
        <v>368</v>
      </c>
      <c r="L88" s="49" t="s">
        <v>369</v>
      </c>
      <c r="M88" s="49" t="s">
        <v>370</v>
      </c>
      <c r="N88" s="49" t="s">
        <v>371</v>
      </c>
      <c r="O88" s="49" t="s">
        <v>4011</v>
      </c>
      <c r="P88" s="49" t="s">
        <v>4012</v>
      </c>
      <c r="Q88" s="49" t="s">
        <v>4013</v>
      </c>
      <c r="R88" s="49" t="s">
        <v>4014</v>
      </c>
      <c r="S88" s="49" t="s">
        <v>4015</v>
      </c>
      <c r="T88" s="49" t="s">
        <v>4016</v>
      </c>
    </row>
    <row r="89" spans="1:21" x14ac:dyDescent="0.2">
      <c r="A89" s="49" t="s">
        <v>30</v>
      </c>
      <c r="D89" s="49" t="s">
        <v>14118</v>
      </c>
      <c r="G89" s="49" t="s">
        <v>14338</v>
      </c>
      <c r="H89" s="49" t="s">
        <v>31976</v>
      </c>
      <c r="I89" s="49" t="s">
        <v>31977</v>
      </c>
      <c r="J89" s="49" t="s">
        <v>32026</v>
      </c>
      <c r="K89" s="49" t="s">
        <v>32027</v>
      </c>
      <c r="L89" s="49" t="s">
        <v>14120</v>
      </c>
      <c r="M89" s="49" t="s">
        <v>14121</v>
      </c>
      <c r="N89" s="49" t="s">
        <v>14122</v>
      </c>
      <c r="O89" s="49" t="s">
        <v>33026</v>
      </c>
      <c r="P89" s="49" t="s">
        <v>33027</v>
      </c>
      <c r="Q89" s="49" t="s">
        <v>33028</v>
      </c>
      <c r="R89" s="49" t="s">
        <v>33029</v>
      </c>
      <c r="S89" s="49" t="s">
        <v>33030</v>
      </c>
      <c r="T89" s="49" t="s">
        <v>33031</v>
      </c>
    </row>
    <row r="90" spans="1:21" x14ac:dyDescent="0.2">
      <c r="A90" s="49" t="s">
        <v>30</v>
      </c>
    </row>
    <row r="91" spans="1:21" x14ac:dyDescent="0.2">
      <c r="A91" s="49" t="s">
        <v>30</v>
      </c>
      <c r="E91" s="49" t="s">
        <v>31</v>
      </c>
      <c r="F91" s="49" t="s">
        <v>31</v>
      </c>
      <c r="G91" s="49" t="s">
        <v>31</v>
      </c>
      <c r="J91" s="49" t="s">
        <v>31</v>
      </c>
      <c r="K91" s="49" t="s">
        <v>31</v>
      </c>
      <c r="L91" s="49" t="s">
        <v>31</v>
      </c>
      <c r="M91" s="49" t="s">
        <v>31</v>
      </c>
    </row>
    <row r="92" spans="1:21" x14ac:dyDescent="0.2">
      <c r="A92" s="49" t="s">
        <v>30</v>
      </c>
      <c r="D92" s="49" t="s">
        <v>38183</v>
      </c>
      <c r="E92" s="49" t="s">
        <v>4601</v>
      </c>
      <c r="F92" s="49" t="s">
        <v>38184</v>
      </c>
      <c r="H92" s="49" t="s">
        <v>38185</v>
      </c>
      <c r="O92" s="49" t="s">
        <v>38380</v>
      </c>
      <c r="P92" s="49" t="s">
        <v>38381</v>
      </c>
      <c r="Q92" s="49" t="s">
        <v>38382</v>
      </c>
      <c r="R92" s="49" t="s">
        <v>38383</v>
      </c>
      <c r="S92" s="49" t="s">
        <v>38384</v>
      </c>
      <c r="T92" s="49" t="s">
        <v>38385</v>
      </c>
      <c r="U92" s="49" t="s">
        <v>38386</v>
      </c>
    </row>
    <row r="93" spans="1:21" x14ac:dyDescent="0.2">
      <c r="A93" s="49" t="s">
        <v>30</v>
      </c>
      <c r="D93" s="49" t="s">
        <v>10755</v>
      </c>
      <c r="G93" s="49" t="s">
        <v>38193</v>
      </c>
      <c r="H93" s="49" t="s">
        <v>12898</v>
      </c>
      <c r="I93" s="49" t="s">
        <v>12899</v>
      </c>
      <c r="J93" s="49" t="s">
        <v>12918</v>
      </c>
      <c r="K93" s="49" t="s">
        <v>12919</v>
      </c>
      <c r="L93" s="49" t="s">
        <v>10756</v>
      </c>
      <c r="M93" s="49" t="s">
        <v>10757</v>
      </c>
      <c r="N93" s="49" t="s">
        <v>10758</v>
      </c>
      <c r="O93" s="49" t="s">
        <v>13355</v>
      </c>
      <c r="P93" s="49" t="s">
        <v>13356</v>
      </c>
      <c r="Q93" s="49" t="s">
        <v>13357</v>
      </c>
      <c r="R93" s="49" t="s">
        <v>13358</v>
      </c>
      <c r="S93" s="49" t="s">
        <v>13359</v>
      </c>
      <c r="T93" s="49" t="s">
        <v>13360</v>
      </c>
    </row>
    <row r="94" spans="1:21" x14ac:dyDescent="0.2">
      <c r="A94" s="49" t="s">
        <v>30</v>
      </c>
      <c r="D94" s="49" t="s">
        <v>1899</v>
      </c>
      <c r="G94" s="49" t="s">
        <v>14357</v>
      </c>
      <c r="H94" s="49" t="s">
        <v>1900</v>
      </c>
      <c r="I94" s="49" t="s">
        <v>1901</v>
      </c>
      <c r="J94" s="49" t="s">
        <v>1902</v>
      </c>
      <c r="K94" s="49" t="s">
        <v>1903</v>
      </c>
      <c r="L94" s="49" t="s">
        <v>1904</v>
      </c>
      <c r="M94" s="49" t="s">
        <v>1905</v>
      </c>
      <c r="N94" s="49" t="s">
        <v>1906</v>
      </c>
      <c r="O94" s="49" t="s">
        <v>4329</v>
      </c>
      <c r="P94" s="49" t="s">
        <v>4330</v>
      </c>
      <c r="Q94" s="49" t="s">
        <v>4331</v>
      </c>
      <c r="R94" s="49" t="s">
        <v>4332</v>
      </c>
      <c r="S94" s="49" t="s">
        <v>4333</v>
      </c>
      <c r="T94" s="49" t="s">
        <v>4334</v>
      </c>
    </row>
    <row r="95" spans="1:21" x14ac:dyDescent="0.2">
      <c r="A95" s="49" t="s">
        <v>30</v>
      </c>
      <c r="D95" s="49" t="s">
        <v>9426</v>
      </c>
      <c r="G95" s="49" t="s">
        <v>14359</v>
      </c>
      <c r="H95" s="49" t="s">
        <v>9428</v>
      </c>
      <c r="I95" s="49" t="s">
        <v>9429</v>
      </c>
      <c r="J95" s="49" t="s">
        <v>9430</v>
      </c>
      <c r="K95" s="49" t="s">
        <v>9431</v>
      </c>
      <c r="L95" s="49" t="s">
        <v>9432</v>
      </c>
      <c r="M95" s="49" t="s">
        <v>9433</v>
      </c>
      <c r="N95" s="49" t="s">
        <v>9434</v>
      </c>
      <c r="O95" s="49" t="s">
        <v>9435</v>
      </c>
      <c r="P95" s="49" t="s">
        <v>9436</v>
      </c>
      <c r="Q95" s="49" t="s">
        <v>9437</v>
      </c>
      <c r="R95" s="49" t="s">
        <v>9438</v>
      </c>
      <c r="S95" s="49" t="s">
        <v>9439</v>
      </c>
      <c r="T95" s="49" t="s">
        <v>9440</v>
      </c>
    </row>
    <row r="96" spans="1:21" x14ac:dyDescent="0.2">
      <c r="A96" s="49" t="s">
        <v>30</v>
      </c>
    </row>
    <row r="97" spans="1:21" x14ac:dyDescent="0.2">
      <c r="A97" s="49" t="s">
        <v>30</v>
      </c>
      <c r="E97" s="49" t="s">
        <v>31</v>
      </c>
      <c r="F97" s="49" t="s">
        <v>31</v>
      </c>
      <c r="G97" s="49" t="s">
        <v>31</v>
      </c>
      <c r="J97" s="49" t="s">
        <v>31</v>
      </c>
      <c r="K97" s="49" t="s">
        <v>31</v>
      </c>
      <c r="L97" s="49" t="s">
        <v>31</v>
      </c>
      <c r="M97" s="49" t="s">
        <v>31</v>
      </c>
    </row>
    <row r="98" spans="1:21" x14ac:dyDescent="0.2">
      <c r="A98" s="49" t="s">
        <v>30</v>
      </c>
      <c r="D98" s="49" t="s">
        <v>10637</v>
      </c>
      <c r="E98" s="49" t="s">
        <v>4615</v>
      </c>
      <c r="F98" s="49" t="s">
        <v>10638</v>
      </c>
      <c r="H98" s="49" t="s">
        <v>10639</v>
      </c>
      <c r="O98" s="49" t="s">
        <v>38387</v>
      </c>
      <c r="P98" s="49" t="s">
        <v>38388</v>
      </c>
      <c r="Q98" s="49" t="s">
        <v>38389</v>
      </c>
      <c r="R98" s="49" t="s">
        <v>38390</v>
      </c>
      <c r="S98" s="49" t="s">
        <v>38391</v>
      </c>
      <c r="T98" s="49" t="s">
        <v>38392</v>
      </c>
      <c r="U98" s="49" t="s">
        <v>38393</v>
      </c>
    </row>
    <row r="99" spans="1:21" x14ac:dyDescent="0.2">
      <c r="A99" s="49" t="s">
        <v>30</v>
      </c>
      <c r="D99" s="49" t="s">
        <v>2333</v>
      </c>
      <c r="G99" s="49" t="s">
        <v>10640</v>
      </c>
      <c r="H99" s="49" t="s">
        <v>2334</v>
      </c>
      <c r="I99" s="49" t="s">
        <v>2335</v>
      </c>
      <c r="J99" s="49" t="s">
        <v>2336</v>
      </c>
      <c r="K99" s="49" t="s">
        <v>2337</v>
      </c>
      <c r="L99" s="49" t="s">
        <v>2338</v>
      </c>
      <c r="M99" s="49" t="s">
        <v>2339</v>
      </c>
      <c r="N99" s="49" t="s">
        <v>2340</v>
      </c>
      <c r="O99" s="49" t="s">
        <v>4103</v>
      </c>
      <c r="P99" s="49" t="s">
        <v>4104</v>
      </c>
      <c r="Q99" s="49" t="s">
        <v>4105</v>
      </c>
      <c r="R99" s="49" t="s">
        <v>4106</v>
      </c>
      <c r="S99" s="49" t="s">
        <v>4107</v>
      </c>
      <c r="T99" s="49" t="s">
        <v>4108</v>
      </c>
    </row>
    <row r="100" spans="1:21" x14ac:dyDescent="0.2">
      <c r="A100" s="49" t="s">
        <v>30</v>
      </c>
    </row>
    <row r="101" spans="1:21" x14ac:dyDescent="0.2">
      <c r="A101" s="49" t="s">
        <v>30</v>
      </c>
      <c r="E101" s="49" t="s">
        <v>31</v>
      </c>
      <c r="F101" s="49" t="s">
        <v>31</v>
      </c>
      <c r="G101" s="49" t="s">
        <v>31</v>
      </c>
      <c r="J101" s="49" t="s">
        <v>31</v>
      </c>
      <c r="K101" s="49" t="s">
        <v>31</v>
      </c>
      <c r="L101" s="49" t="s">
        <v>31</v>
      </c>
      <c r="M101" s="49" t="s">
        <v>31</v>
      </c>
    </row>
    <row r="102" spans="1:21" x14ac:dyDescent="0.2">
      <c r="A102" s="49" t="s">
        <v>30</v>
      </c>
      <c r="D102" s="49" t="s">
        <v>10304</v>
      </c>
      <c r="E102" s="49" t="s">
        <v>4618</v>
      </c>
      <c r="F102" s="49" t="s">
        <v>10305</v>
      </c>
      <c r="H102" s="49" t="s">
        <v>10306</v>
      </c>
      <c r="O102" s="49" t="s">
        <v>10641</v>
      </c>
      <c r="P102" s="49" t="s">
        <v>10642</v>
      </c>
      <c r="Q102" s="49" t="s">
        <v>10643</v>
      </c>
      <c r="R102" s="49" t="s">
        <v>10644</v>
      </c>
      <c r="S102" s="49" t="s">
        <v>10645</v>
      </c>
      <c r="T102" s="49" t="s">
        <v>10646</v>
      </c>
      <c r="U102" s="49" t="s">
        <v>10647</v>
      </c>
    </row>
    <row r="103" spans="1:21" x14ac:dyDescent="0.2">
      <c r="A103" s="49" t="s">
        <v>30</v>
      </c>
      <c r="D103" s="49" t="s">
        <v>420</v>
      </c>
      <c r="G103" s="49" t="s">
        <v>10307</v>
      </c>
      <c r="H103" s="49" t="s">
        <v>421</v>
      </c>
      <c r="I103" s="49" t="s">
        <v>422</v>
      </c>
      <c r="J103" s="49" t="s">
        <v>423</v>
      </c>
      <c r="K103" s="49" t="s">
        <v>424</v>
      </c>
      <c r="L103" s="49" t="s">
        <v>425</v>
      </c>
      <c r="M103" s="49" t="s">
        <v>426</v>
      </c>
      <c r="N103" s="49" t="s">
        <v>427</v>
      </c>
      <c r="O103" s="49" t="s">
        <v>3703</v>
      </c>
      <c r="P103" s="49" t="s">
        <v>3704</v>
      </c>
      <c r="Q103" s="49" t="s">
        <v>3705</v>
      </c>
      <c r="R103" s="49" t="s">
        <v>3706</v>
      </c>
      <c r="S103" s="49" t="s">
        <v>3707</v>
      </c>
      <c r="T103" s="49" t="s">
        <v>3708</v>
      </c>
    </row>
    <row r="104" spans="1:21" x14ac:dyDescent="0.2">
      <c r="A104" s="49" t="s">
        <v>30</v>
      </c>
    </row>
    <row r="105" spans="1:21" x14ac:dyDescent="0.2">
      <c r="A105" s="49" t="s">
        <v>30</v>
      </c>
      <c r="E105" s="49" t="s">
        <v>31</v>
      </c>
      <c r="F105" s="49" t="s">
        <v>31</v>
      </c>
      <c r="G105" s="49" t="s">
        <v>31</v>
      </c>
      <c r="J105" s="49" t="s">
        <v>31</v>
      </c>
      <c r="K105" s="49" t="s">
        <v>31</v>
      </c>
      <c r="L105" s="49" t="s">
        <v>31</v>
      </c>
      <c r="M105" s="49" t="s">
        <v>31</v>
      </c>
    </row>
    <row r="106" spans="1:21" x14ac:dyDescent="0.2">
      <c r="A106" s="49" t="s">
        <v>30</v>
      </c>
      <c r="D106" s="49" t="s">
        <v>428</v>
      </c>
      <c r="E106" s="49" t="s">
        <v>4619</v>
      </c>
      <c r="F106" s="49" t="s">
        <v>429</v>
      </c>
      <c r="H106" s="49" t="s">
        <v>430</v>
      </c>
      <c r="O106" s="49" t="s">
        <v>38394</v>
      </c>
      <c r="P106" s="49" t="s">
        <v>38395</v>
      </c>
      <c r="Q106" s="49" t="s">
        <v>38396</v>
      </c>
      <c r="R106" s="49" t="s">
        <v>38397</v>
      </c>
      <c r="S106" s="49" t="s">
        <v>38398</v>
      </c>
      <c r="T106" s="49" t="s">
        <v>38399</v>
      </c>
      <c r="U106" s="49" t="s">
        <v>38400</v>
      </c>
    </row>
    <row r="107" spans="1:21" x14ac:dyDescent="0.2">
      <c r="A107" s="49" t="s">
        <v>30</v>
      </c>
      <c r="D107" s="49" t="s">
        <v>431</v>
      </c>
      <c r="G107" s="49" t="s">
        <v>3709</v>
      </c>
      <c r="H107" s="49" t="s">
        <v>432</v>
      </c>
      <c r="I107" s="49" t="s">
        <v>433</v>
      </c>
      <c r="J107" s="49" t="s">
        <v>434</v>
      </c>
      <c r="K107" s="49" t="s">
        <v>435</v>
      </c>
      <c r="L107" s="49" t="s">
        <v>436</v>
      </c>
      <c r="M107" s="49" t="s">
        <v>437</v>
      </c>
      <c r="N107" s="49" t="s">
        <v>438</v>
      </c>
      <c r="O107" s="49" t="s">
        <v>3710</v>
      </c>
      <c r="P107" s="49" t="s">
        <v>3711</v>
      </c>
      <c r="Q107" s="49" t="s">
        <v>3712</v>
      </c>
      <c r="R107" s="49" t="s">
        <v>3713</v>
      </c>
      <c r="S107" s="49" t="s">
        <v>3714</v>
      </c>
      <c r="T107" s="49" t="s">
        <v>3715</v>
      </c>
    </row>
    <row r="108" spans="1:21" x14ac:dyDescent="0.2">
      <c r="A108" s="49" t="s">
        <v>30</v>
      </c>
      <c r="D108" s="49" t="s">
        <v>439</v>
      </c>
      <c r="G108" s="49" t="s">
        <v>14428</v>
      </c>
      <c r="H108" s="49" t="s">
        <v>440</v>
      </c>
      <c r="I108" s="49" t="s">
        <v>441</v>
      </c>
      <c r="J108" s="49" t="s">
        <v>442</v>
      </c>
      <c r="K108" s="49" t="s">
        <v>443</v>
      </c>
      <c r="L108" s="49" t="s">
        <v>444</v>
      </c>
      <c r="M108" s="49" t="s">
        <v>445</v>
      </c>
      <c r="N108" s="49" t="s">
        <v>446</v>
      </c>
      <c r="O108" s="49" t="s">
        <v>3716</v>
      </c>
      <c r="P108" s="49" t="s">
        <v>3717</v>
      </c>
      <c r="Q108" s="49" t="s">
        <v>3718</v>
      </c>
      <c r="R108" s="49" t="s">
        <v>3719</v>
      </c>
      <c r="S108" s="49" t="s">
        <v>3720</v>
      </c>
      <c r="T108" s="49" t="s">
        <v>3721</v>
      </c>
    </row>
    <row r="109" spans="1:21" x14ac:dyDescent="0.2">
      <c r="A109" s="49" t="s">
        <v>30</v>
      </c>
    </row>
    <row r="110" spans="1:21" x14ac:dyDescent="0.2">
      <c r="A110" s="49" t="s">
        <v>30</v>
      </c>
      <c r="E110" s="49" t="s">
        <v>31</v>
      </c>
      <c r="F110" s="49" t="s">
        <v>31</v>
      </c>
      <c r="G110" s="49" t="s">
        <v>31</v>
      </c>
      <c r="J110" s="49" t="s">
        <v>31</v>
      </c>
      <c r="K110" s="49" t="s">
        <v>31</v>
      </c>
      <c r="L110" s="49" t="s">
        <v>31</v>
      </c>
      <c r="M110" s="49" t="s">
        <v>31</v>
      </c>
    </row>
    <row r="111" spans="1:21" x14ac:dyDescent="0.2">
      <c r="A111" s="49" t="s">
        <v>30</v>
      </c>
      <c r="D111" s="49" t="s">
        <v>9441</v>
      </c>
      <c r="E111" s="49" t="s">
        <v>4655</v>
      </c>
      <c r="F111" s="49" t="s">
        <v>9442</v>
      </c>
      <c r="H111" s="49" t="s">
        <v>9443</v>
      </c>
      <c r="O111" s="49" t="s">
        <v>9444</v>
      </c>
      <c r="P111" s="49" t="s">
        <v>9445</v>
      </c>
      <c r="Q111" s="49" t="s">
        <v>9446</v>
      </c>
      <c r="R111" s="49" t="s">
        <v>9447</v>
      </c>
      <c r="S111" s="49" t="s">
        <v>9448</v>
      </c>
      <c r="T111" s="49" t="s">
        <v>9449</v>
      </c>
      <c r="U111" s="49" t="s">
        <v>9450</v>
      </c>
    </row>
    <row r="112" spans="1:21" x14ac:dyDescent="0.2">
      <c r="A112" s="49" t="s">
        <v>30</v>
      </c>
      <c r="D112" s="49" t="s">
        <v>447</v>
      </c>
      <c r="G112" s="49" t="s">
        <v>9451</v>
      </c>
      <c r="H112" s="49" t="s">
        <v>448</v>
      </c>
      <c r="I112" s="49" t="s">
        <v>449</v>
      </c>
      <c r="J112" s="49" t="s">
        <v>450</v>
      </c>
      <c r="K112" s="49" t="s">
        <v>451</v>
      </c>
      <c r="L112" s="49" t="s">
        <v>452</v>
      </c>
      <c r="M112" s="49" t="s">
        <v>453</v>
      </c>
      <c r="N112" s="49" t="s">
        <v>454</v>
      </c>
      <c r="O112" s="49" t="s">
        <v>3927</v>
      </c>
      <c r="P112" s="49" t="s">
        <v>3928</v>
      </c>
      <c r="Q112" s="49" t="s">
        <v>3929</v>
      </c>
      <c r="R112" s="49" t="s">
        <v>3930</v>
      </c>
      <c r="S112" s="49" t="s">
        <v>3931</v>
      </c>
      <c r="T112" s="49" t="s">
        <v>3932</v>
      </c>
    </row>
    <row r="113" spans="1:21" x14ac:dyDescent="0.2">
      <c r="A113" s="49" t="s">
        <v>30</v>
      </c>
    </row>
    <row r="114" spans="1:21" x14ac:dyDescent="0.2">
      <c r="A114" s="49" t="s">
        <v>30</v>
      </c>
      <c r="E114" s="49" t="s">
        <v>31</v>
      </c>
      <c r="F114" s="49" t="s">
        <v>31</v>
      </c>
      <c r="G114" s="49" t="s">
        <v>31</v>
      </c>
      <c r="J114" s="49" t="s">
        <v>31</v>
      </c>
      <c r="K114" s="49" t="s">
        <v>31</v>
      </c>
      <c r="L114" s="49" t="s">
        <v>31</v>
      </c>
      <c r="M114" s="49" t="s">
        <v>31</v>
      </c>
    </row>
    <row r="115" spans="1:21" x14ac:dyDescent="0.2">
      <c r="A115" s="49" t="s">
        <v>30</v>
      </c>
      <c r="D115" s="49" t="s">
        <v>2810</v>
      </c>
      <c r="E115" s="49" t="s">
        <v>4675</v>
      </c>
      <c r="F115" s="49" t="s">
        <v>2811</v>
      </c>
      <c r="H115" s="49" t="s">
        <v>2812</v>
      </c>
      <c r="O115" s="49" t="s">
        <v>34759</v>
      </c>
      <c r="P115" s="49" t="s">
        <v>34760</v>
      </c>
      <c r="Q115" s="49" t="s">
        <v>34761</v>
      </c>
      <c r="R115" s="49" t="s">
        <v>34762</v>
      </c>
      <c r="S115" s="49" t="s">
        <v>34763</v>
      </c>
      <c r="T115" s="49" t="s">
        <v>34764</v>
      </c>
      <c r="U115" s="49" t="s">
        <v>34765</v>
      </c>
    </row>
    <row r="116" spans="1:21" x14ac:dyDescent="0.2">
      <c r="A116" s="49" t="s">
        <v>30</v>
      </c>
      <c r="D116" s="49" t="s">
        <v>2777</v>
      </c>
      <c r="G116" s="49" t="s">
        <v>3933</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c r="D117" s="49" t="s">
        <v>1737</v>
      </c>
      <c r="G117" s="49" t="s">
        <v>14504</v>
      </c>
      <c r="H117" s="49" t="s">
        <v>1738</v>
      </c>
      <c r="I117" s="49" t="s">
        <v>1739</v>
      </c>
      <c r="J117" s="49" t="s">
        <v>1740</v>
      </c>
      <c r="K117" s="49" t="s">
        <v>1741</v>
      </c>
      <c r="L117" s="49" t="s">
        <v>1742</v>
      </c>
      <c r="M117" s="49" t="s">
        <v>1743</v>
      </c>
      <c r="N117" s="49" t="s">
        <v>1744</v>
      </c>
      <c r="O117" s="49" t="s">
        <v>3934</v>
      </c>
      <c r="P117" s="49" t="s">
        <v>3935</v>
      </c>
      <c r="Q117" s="49" t="s">
        <v>3936</v>
      </c>
      <c r="R117" s="49" t="s">
        <v>3937</v>
      </c>
      <c r="S117" s="49" t="s">
        <v>3938</v>
      </c>
      <c r="T117" s="49" t="s">
        <v>3939</v>
      </c>
    </row>
    <row r="118" spans="1:21" x14ac:dyDescent="0.2">
      <c r="A118" s="49" t="s">
        <v>30</v>
      </c>
    </row>
    <row r="119" spans="1:21" x14ac:dyDescent="0.2">
      <c r="A119" s="49" t="s">
        <v>30</v>
      </c>
      <c r="E119" s="49" t="s">
        <v>31</v>
      </c>
      <c r="F119" s="49" t="s">
        <v>31</v>
      </c>
      <c r="G119" s="49" t="s">
        <v>31</v>
      </c>
      <c r="J119" s="49" t="s">
        <v>31</v>
      </c>
      <c r="K119" s="49" t="s">
        <v>31</v>
      </c>
      <c r="L119" s="49" t="s">
        <v>31</v>
      </c>
      <c r="M119" s="49" t="s">
        <v>31</v>
      </c>
    </row>
    <row r="120" spans="1:21" x14ac:dyDescent="0.2">
      <c r="A120" s="49" t="s">
        <v>30</v>
      </c>
      <c r="D120" s="49" t="s">
        <v>8903</v>
      </c>
      <c r="E120" s="49" t="s">
        <v>4683</v>
      </c>
      <c r="F120" s="49" t="s">
        <v>8904</v>
      </c>
      <c r="H120" s="49" t="s">
        <v>8905</v>
      </c>
      <c r="O120" s="49" t="s">
        <v>38401</v>
      </c>
      <c r="P120" s="49" t="s">
        <v>38402</v>
      </c>
      <c r="Q120" s="49" t="s">
        <v>38403</v>
      </c>
      <c r="R120" s="49" t="s">
        <v>38404</v>
      </c>
      <c r="S120" s="49" t="s">
        <v>38405</v>
      </c>
      <c r="T120" s="49" t="s">
        <v>38406</v>
      </c>
      <c r="U120" s="49" t="s">
        <v>38407</v>
      </c>
    </row>
    <row r="121" spans="1:21" x14ac:dyDescent="0.2">
      <c r="A121" s="49" t="s">
        <v>30</v>
      </c>
      <c r="D121" s="49" t="s">
        <v>487</v>
      </c>
      <c r="G121" s="49" t="s">
        <v>8906</v>
      </c>
      <c r="H121" s="49" t="s">
        <v>488</v>
      </c>
      <c r="I121" s="49" t="s">
        <v>489</v>
      </c>
      <c r="J121" s="49" t="s">
        <v>490</v>
      </c>
      <c r="K121" s="49" t="s">
        <v>491</v>
      </c>
      <c r="L121" s="49" t="s">
        <v>492</v>
      </c>
      <c r="M121" s="49" t="s">
        <v>493</v>
      </c>
      <c r="N121" s="49" t="s">
        <v>494</v>
      </c>
      <c r="O121" s="49" t="s">
        <v>3747</v>
      </c>
      <c r="P121" s="49" t="s">
        <v>3748</v>
      </c>
      <c r="Q121" s="49" t="s">
        <v>3749</v>
      </c>
      <c r="R121" s="49" t="s">
        <v>3750</v>
      </c>
      <c r="S121" s="49" t="s">
        <v>3751</v>
      </c>
      <c r="T121" s="49" t="s">
        <v>3752</v>
      </c>
    </row>
    <row r="122" spans="1:21" x14ac:dyDescent="0.2">
      <c r="A122" s="49" t="s">
        <v>30</v>
      </c>
      <c r="D122" s="49" t="s">
        <v>495</v>
      </c>
      <c r="G122" s="49" t="s">
        <v>14564</v>
      </c>
      <c r="H122" s="49" t="s">
        <v>496</v>
      </c>
      <c r="I122" s="49" t="s">
        <v>497</v>
      </c>
      <c r="J122" s="49" t="s">
        <v>498</v>
      </c>
      <c r="K122" s="49" t="s">
        <v>499</v>
      </c>
      <c r="L122" s="49" t="s">
        <v>500</v>
      </c>
      <c r="M122" s="49" t="s">
        <v>501</v>
      </c>
      <c r="N122" s="49" t="s">
        <v>502</v>
      </c>
      <c r="O122" s="49" t="s">
        <v>3492</v>
      </c>
      <c r="P122" s="49" t="s">
        <v>3493</v>
      </c>
      <c r="Q122" s="49" t="s">
        <v>3494</v>
      </c>
      <c r="R122" s="49" t="s">
        <v>3495</v>
      </c>
      <c r="S122" s="49" t="s">
        <v>3496</v>
      </c>
      <c r="T122" s="49" t="s">
        <v>3497</v>
      </c>
    </row>
    <row r="123" spans="1:21" x14ac:dyDescent="0.2">
      <c r="A123" s="49" t="s">
        <v>30</v>
      </c>
      <c r="D123" s="49" t="s">
        <v>503</v>
      </c>
      <c r="G123" s="49" t="s">
        <v>14575</v>
      </c>
      <c r="H123" s="49" t="s">
        <v>504</v>
      </c>
      <c r="I123" s="49" t="s">
        <v>505</v>
      </c>
      <c r="J123" s="49" t="s">
        <v>506</v>
      </c>
      <c r="K123" s="49" t="s">
        <v>507</v>
      </c>
      <c r="L123" s="49" t="s">
        <v>508</v>
      </c>
      <c r="M123" s="49" t="s">
        <v>509</v>
      </c>
      <c r="N123" s="49" t="s">
        <v>510</v>
      </c>
      <c r="O123" s="49" t="s">
        <v>4360</v>
      </c>
      <c r="P123" s="49" t="s">
        <v>4361</v>
      </c>
      <c r="Q123" s="49" t="s">
        <v>4362</v>
      </c>
      <c r="R123" s="49" t="s">
        <v>4363</v>
      </c>
      <c r="S123" s="49" t="s">
        <v>4364</v>
      </c>
      <c r="T123" s="49" t="s">
        <v>4365</v>
      </c>
    </row>
    <row r="124" spans="1:21" x14ac:dyDescent="0.2">
      <c r="A124" s="49" t="s">
        <v>30</v>
      </c>
    </row>
    <row r="125" spans="1:21" x14ac:dyDescent="0.2">
      <c r="A125" s="49" t="s">
        <v>30</v>
      </c>
      <c r="E125" s="49" t="s">
        <v>31</v>
      </c>
      <c r="F125" s="49" t="s">
        <v>31</v>
      </c>
      <c r="G125" s="49" t="s">
        <v>31</v>
      </c>
      <c r="J125" s="49" t="s">
        <v>31</v>
      </c>
      <c r="K125" s="49" t="s">
        <v>31</v>
      </c>
      <c r="L125" s="49" t="s">
        <v>31</v>
      </c>
      <c r="M125" s="49" t="s">
        <v>31</v>
      </c>
    </row>
    <row r="126" spans="1:21" x14ac:dyDescent="0.2">
      <c r="A126" s="49" t="s">
        <v>30</v>
      </c>
      <c r="D126" s="49" t="s">
        <v>8907</v>
      </c>
      <c r="E126" s="49" t="s">
        <v>4686</v>
      </c>
      <c r="F126" s="49" t="s">
        <v>8908</v>
      </c>
      <c r="H126" s="49" t="s">
        <v>8909</v>
      </c>
      <c r="O126" s="49" t="s">
        <v>38408</v>
      </c>
      <c r="P126" s="49" t="s">
        <v>38409</v>
      </c>
      <c r="Q126" s="49" t="s">
        <v>38410</v>
      </c>
      <c r="R126" s="49" t="s">
        <v>38411</v>
      </c>
      <c r="S126" s="49" t="s">
        <v>38412</v>
      </c>
      <c r="T126" s="49" t="s">
        <v>38413</v>
      </c>
      <c r="U126" s="49" t="s">
        <v>38414</v>
      </c>
    </row>
    <row r="127" spans="1:21" x14ac:dyDescent="0.2">
      <c r="A127" s="49" t="s">
        <v>30</v>
      </c>
      <c r="D127" s="49" t="s">
        <v>1953</v>
      </c>
      <c r="G127" s="49" t="s">
        <v>8910</v>
      </c>
      <c r="H127" s="49" t="s">
        <v>1954</v>
      </c>
      <c r="I127" s="49" t="s">
        <v>1955</v>
      </c>
      <c r="J127" s="49" t="s">
        <v>1956</v>
      </c>
      <c r="K127" s="49" t="s">
        <v>1957</v>
      </c>
      <c r="L127" s="49" t="s">
        <v>1958</v>
      </c>
      <c r="M127" s="49" t="s">
        <v>1959</v>
      </c>
      <c r="N127" s="49" t="s">
        <v>1960</v>
      </c>
      <c r="O127" s="49" t="s">
        <v>3498</v>
      </c>
      <c r="P127" s="49" t="s">
        <v>3499</v>
      </c>
      <c r="Q127" s="49" t="s">
        <v>3500</v>
      </c>
      <c r="R127" s="49" t="s">
        <v>3501</v>
      </c>
      <c r="S127" s="49" t="s">
        <v>3502</v>
      </c>
      <c r="T127" s="49" t="s">
        <v>3503</v>
      </c>
    </row>
    <row r="128" spans="1:21" x14ac:dyDescent="0.2">
      <c r="A128" s="49" t="s">
        <v>30</v>
      </c>
      <c r="D128" s="49" t="s">
        <v>1961</v>
      </c>
      <c r="G128" s="49" t="s">
        <v>14623</v>
      </c>
      <c r="H128" s="49" t="s">
        <v>1962</v>
      </c>
      <c r="I128" s="49" t="s">
        <v>1963</v>
      </c>
      <c r="J128" s="49" t="s">
        <v>1964</v>
      </c>
      <c r="K128" s="49" t="s">
        <v>1965</v>
      </c>
      <c r="L128" s="49" t="s">
        <v>1966</v>
      </c>
      <c r="M128" s="49" t="s">
        <v>1967</v>
      </c>
      <c r="N128" s="49" t="s">
        <v>1968</v>
      </c>
      <c r="O128" s="49" t="s">
        <v>3759</v>
      </c>
      <c r="P128" s="49" t="s">
        <v>3760</v>
      </c>
      <c r="Q128" s="49" t="s">
        <v>3761</v>
      </c>
      <c r="R128" s="49" t="s">
        <v>3762</v>
      </c>
      <c r="S128" s="49" t="s">
        <v>3763</v>
      </c>
      <c r="T128" s="49" t="s">
        <v>3764</v>
      </c>
    </row>
    <row r="129" spans="1:21" x14ac:dyDescent="0.2">
      <c r="A129" s="49" t="s">
        <v>30</v>
      </c>
      <c r="D129" s="49" t="s">
        <v>527</v>
      </c>
      <c r="G129" s="49" t="s">
        <v>14643</v>
      </c>
      <c r="H129" s="49" t="s">
        <v>528</v>
      </c>
      <c r="I129" s="49" t="s">
        <v>529</v>
      </c>
      <c r="J129" s="49" t="s">
        <v>530</v>
      </c>
      <c r="K129" s="49" t="s">
        <v>531</v>
      </c>
      <c r="L129" s="49" t="s">
        <v>532</v>
      </c>
      <c r="M129" s="49" t="s">
        <v>533</v>
      </c>
      <c r="N129" s="49" t="s">
        <v>534</v>
      </c>
      <c r="O129" s="49" t="s">
        <v>4373</v>
      </c>
      <c r="P129" s="49" t="s">
        <v>4374</v>
      </c>
      <c r="Q129" s="49" t="s">
        <v>4375</v>
      </c>
      <c r="R129" s="49" t="s">
        <v>4376</v>
      </c>
      <c r="S129" s="49" t="s">
        <v>4377</v>
      </c>
      <c r="T129" s="49" t="s">
        <v>4378</v>
      </c>
    </row>
    <row r="130" spans="1:21" x14ac:dyDescent="0.2">
      <c r="A130" s="49" t="s">
        <v>30</v>
      </c>
    </row>
    <row r="131" spans="1:21" x14ac:dyDescent="0.2">
      <c r="A131" s="49" t="s">
        <v>30</v>
      </c>
      <c r="E131" s="49" t="s">
        <v>31</v>
      </c>
      <c r="F131" s="49" t="s">
        <v>31</v>
      </c>
      <c r="G131" s="49" t="s">
        <v>31</v>
      </c>
      <c r="J131" s="49" t="s">
        <v>31</v>
      </c>
      <c r="K131" s="49" t="s">
        <v>31</v>
      </c>
      <c r="L131" s="49" t="s">
        <v>31</v>
      </c>
      <c r="M131" s="49" t="s">
        <v>31</v>
      </c>
    </row>
    <row r="132" spans="1:21" x14ac:dyDescent="0.2">
      <c r="A132" s="49" t="s">
        <v>30</v>
      </c>
      <c r="D132" s="49" t="s">
        <v>1745</v>
      </c>
      <c r="E132" s="49" t="s">
        <v>4752</v>
      </c>
      <c r="F132" s="49" t="s">
        <v>1746</v>
      </c>
      <c r="H132" s="49" t="s">
        <v>1747</v>
      </c>
      <c r="O132" s="49" t="s">
        <v>38415</v>
      </c>
      <c r="P132" s="49" t="s">
        <v>38416</v>
      </c>
      <c r="Q132" s="49" t="s">
        <v>38417</v>
      </c>
      <c r="R132" s="49" t="s">
        <v>38418</v>
      </c>
      <c r="S132" s="49" t="s">
        <v>38419</v>
      </c>
      <c r="T132" s="49" t="s">
        <v>38420</v>
      </c>
      <c r="U132" s="49" t="s">
        <v>38421</v>
      </c>
    </row>
    <row r="133" spans="1:21" x14ac:dyDescent="0.2">
      <c r="A133" s="49" t="s">
        <v>30</v>
      </c>
      <c r="D133" s="49" t="s">
        <v>1748</v>
      </c>
      <c r="G133" s="49" t="s">
        <v>4379</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c r="D134" s="49" t="s">
        <v>2656</v>
      </c>
      <c r="G134" s="49" t="s">
        <v>14677</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row>
    <row r="136" spans="1:21" x14ac:dyDescent="0.2">
      <c r="A136" s="49" t="s">
        <v>30</v>
      </c>
      <c r="E136" s="49" t="s">
        <v>31</v>
      </c>
      <c r="F136" s="49" t="s">
        <v>31</v>
      </c>
      <c r="G136" s="49" t="s">
        <v>31</v>
      </c>
      <c r="J136" s="49" t="s">
        <v>31</v>
      </c>
      <c r="K136" s="49" t="s">
        <v>31</v>
      </c>
      <c r="L136" s="49" t="s">
        <v>31</v>
      </c>
      <c r="M136" s="49" t="s">
        <v>31</v>
      </c>
    </row>
    <row r="137" spans="1:21" x14ac:dyDescent="0.2">
      <c r="A137" s="49" t="s">
        <v>30</v>
      </c>
      <c r="D137" s="49" t="s">
        <v>2791</v>
      </c>
      <c r="E137" s="49" t="s">
        <v>4756</v>
      </c>
      <c r="F137" s="49" t="s">
        <v>2792</v>
      </c>
      <c r="H137" s="49" t="s">
        <v>2793</v>
      </c>
      <c r="O137" s="49" t="s">
        <v>13794</v>
      </c>
      <c r="P137" s="49" t="s">
        <v>13795</v>
      </c>
      <c r="Q137" s="49" t="s">
        <v>13796</v>
      </c>
      <c r="R137" s="49" t="s">
        <v>13797</v>
      </c>
      <c r="S137" s="49" t="s">
        <v>13798</v>
      </c>
      <c r="T137" s="49" t="s">
        <v>13799</v>
      </c>
      <c r="U137" s="49" t="s">
        <v>13800</v>
      </c>
    </row>
    <row r="138" spans="1:21" x14ac:dyDescent="0.2">
      <c r="A138" s="49" t="s">
        <v>30</v>
      </c>
      <c r="D138" s="49" t="s">
        <v>575</v>
      </c>
      <c r="G138" s="49" t="s">
        <v>3946</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c r="D139" s="49" t="s">
        <v>583</v>
      </c>
      <c r="G139" s="49" t="s">
        <v>14723</v>
      </c>
      <c r="H139" s="49" t="s">
        <v>584</v>
      </c>
      <c r="I139" s="49" t="s">
        <v>585</v>
      </c>
      <c r="J139" s="49" t="s">
        <v>586</v>
      </c>
      <c r="K139" s="49" t="s">
        <v>587</v>
      </c>
      <c r="L139" s="49" t="s">
        <v>588</v>
      </c>
      <c r="M139" s="49" t="s">
        <v>589</v>
      </c>
      <c r="N139" s="49" t="s">
        <v>590</v>
      </c>
      <c r="O139" s="49" t="s">
        <v>3787</v>
      </c>
      <c r="P139" s="49" t="s">
        <v>3788</v>
      </c>
      <c r="Q139" s="49" t="s">
        <v>3789</v>
      </c>
      <c r="R139" s="49" t="s">
        <v>3790</v>
      </c>
      <c r="S139" s="49" t="s">
        <v>3791</v>
      </c>
      <c r="T139" s="49" t="s">
        <v>3792</v>
      </c>
    </row>
    <row r="140" spans="1:21" x14ac:dyDescent="0.2">
      <c r="A140" s="49" t="s">
        <v>30</v>
      </c>
    </row>
    <row r="141" spans="1:21" x14ac:dyDescent="0.2">
      <c r="A141" s="49" t="s">
        <v>30</v>
      </c>
      <c r="E141" s="49" t="s">
        <v>31</v>
      </c>
      <c r="F141" s="49" t="s">
        <v>31</v>
      </c>
      <c r="G141" s="49" t="s">
        <v>31</v>
      </c>
      <c r="J141" s="49" t="s">
        <v>31</v>
      </c>
      <c r="K141" s="49" t="s">
        <v>31</v>
      </c>
      <c r="L141" s="49" t="s">
        <v>31</v>
      </c>
      <c r="M141" s="49" t="s">
        <v>31</v>
      </c>
    </row>
    <row r="142" spans="1:21" x14ac:dyDescent="0.2">
      <c r="A142" s="49" t="s">
        <v>30</v>
      </c>
      <c r="D142" s="49" t="s">
        <v>2352</v>
      </c>
      <c r="E142" s="49" t="s">
        <v>4760</v>
      </c>
      <c r="F142" s="49" t="s">
        <v>2353</v>
      </c>
      <c r="H142" s="49" t="s">
        <v>2354</v>
      </c>
      <c r="O142" s="49" t="s">
        <v>38422</v>
      </c>
      <c r="P142" s="49" t="s">
        <v>38423</v>
      </c>
      <c r="Q142" s="49" t="s">
        <v>38424</v>
      </c>
      <c r="R142" s="49" t="s">
        <v>38425</v>
      </c>
      <c r="S142" s="49" t="s">
        <v>38426</v>
      </c>
      <c r="T142" s="49" t="s">
        <v>38427</v>
      </c>
      <c r="U142" s="49" t="s">
        <v>38428</v>
      </c>
    </row>
    <row r="143" spans="1:21" x14ac:dyDescent="0.2">
      <c r="A143" s="49" t="s">
        <v>30</v>
      </c>
      <c r="D143" s="49" t="s">
        <v>2355</v>
      </c>
      <c r="G143" s="49" t="s">
        <v>4548</v>
      </c>
      <c r="H143" s="49" t="s">
        <v>2356</v>
      </c>
      <c r="I143" s="49" t="s">
        <v>2357</v>
      </c>
      <c r="J143" s="49" t="s">
        <v>2358</v>
      </c>
      <c r="K143" s="49" t="s">
        <v>2359</v>
      </c>
      <c r="L143" s="49" t="s">
        <v>2360</v>
      </c>
      <c r="M143" s="49" t="s">
        <v>2361</v>
      </c>
      <c r="N143" s="49" t="s">
        <v>2362</v>
      </c>
      <c r="O143" s="49" t="s">
        <v>4470</v>
      </c>
      <c r="P143" s="49" t="s">
        <v>4471</v>
      </c>
      <c r="Q143" s="49" t="s">
        <v>4472</v>
      </c>
      <c r="R143" s="49" t="s">
        <v>4473</v>
      </c>
      <c r="S143" s="49" t="s">
        <v>4474</v>
      </c>
      <c r="T143" s="49" t="s">
        <v>4475</v>
      </c>
    </row>
    <row r="144" spans="1:21" x14ac:dyDescent="0.2">
      <c r="A144" s="49" t="s">
        <v>30</v>
      </c>
      <c r="D144" s="49" t="s">
        <v>599</v>
      </c>
      <c r="G144" s="49" t="s">
        <v>14757</v>
      </c>
      <c r="H144" s="49" t="s">
        <v>600</v>
      </c>
      <c r="I144" s="49" t="s">
        <v>601</v>
      </c>
      <c r="J144" s="49" t="s">
        <v>602</v>
      </c>
      <c r="K144" s="49" t="s">
        <v>603</v>
      </c>
      <c r="L144" s="49" t="s">
        <v>604</v>
      </c>
      <c r="M144" s="49" t="s">
        <v>605</v>
      </c>
      <c r="N144" s="49" t="s">
        <v>606</v>
      </c>
      <c r="O144" s="49" t="s">
        <v>3529</v>
      </c>
      <c r="P144" s="49" t="s">
        <v>3530</v>
      </c>
      <c r="Q144" s="49" t="s">
        <v>3531</v>
      </c>
      <c r="R144" s="49" t="s">
        <v>3532</v>
      </c>
      <c r="S144" s="49" t="s">
        <v>3533</v>
      </c>
      <c r="T144" s="49" t="s">
        <v>3534</v>
      </c>
    </row>
    <row r="145" spans="1:21" x14ac:dyDescent="0.2">
      <c r="A145" s="49" t="s">
        <v>30</v>
      </c>
      <c r="D145" s="49" t="s">
        <v>607</v>
      </c>
      <c r="G145" s="49" t="s">
        <v>14780</v>
      </c>
      <c r="H145" s="49" t="s">
        <v>608</v>
      </c>
      <c r="I145" s="49" t="s">
        <v>609</v>
      </c>
      <c r="J145" s="49" t="s">
        <v>610</v>
      </c>
      <c r="K145" s="49" t="s">
        <v>611</v>
      </c>
      <c r="L145" s="49" t="s">
        <v>612</v>
      </c>
      <c r="M145" s="49" t="s">
        <v>613</v>
      </c>
      <c r="N145" s="49" t="s">
        <v>614</v>
      </c>
      <c r="O145" s="49" t="s">
        <v>9456</v>
      </c>
      <c r="P145" s="49" t="s">
        <v>9457</v>
      </c>
      <c r="Q145" s="49" t="s">
        <v>9458</v>
      </c>
      <c r="R145" s="49" t="s">
        <v>9459</v>
      </c>
      <c r="S145" s="49" t="s">
        <v>9460</v>
      </c>
      <c r="T145" s="49" t="s">
        <v>9461</v>
      </c>
    </row>
    <row r="146" spans="1:21" x14ac:dyDescent="0.2">
      <c r="A146" s="49" t="s">
        <v>30</v>
      </c>
      <c r="D146" s="49" t="s">
        <v>615</v>
      </c>
      <c r="G146" s="49" t="s">
        <v>14784</v>
      </c>
      <c r="H146" s="49" t="s">
        <v>616</v>
      </c>
      <c r="I146" s="49" t="s">
        <v>617</v>
      </c>
      <c r="J146" s="49" t="s">
        <v>618</v>
      </c>
      <c r="K146" s="49" t="s">
        <v>619</v>
      </c>
      <c r="L146" s="49" t="s">
        <v>620</v>
      </c>
      <c r="M146" s="49" t="s">
        <v>621</v>
      </c>
      <c r="N146" s="49" t="s">
        <v>622</v>
      </c>
      <c r="O146" s="49" t="s">
        <v>8921</v>
      </c>
      <c r="P146" s="49" t="s">
        <v>8922</v>
      </c>
      <c r="Q146" s="49" t="s">
        <v>8923</v>
      </c>
      <c r="R146" s="49" t="s">
        <v>8924</v>
      </c>
      <c r="S146" s="49" t="s">
        <v>8925</v>
      </c>
      <c r="T146" s="49" t="s">
        <v>8926</v>
      </c>
    </row>
    <row r="147" spans="1:21" x14ac:dyDescent="0.2">
      <c r="A147" s="49" t="s">
        <v>30</v>
      </c>
    </row>
    <row r="148" spans="1:21" x14ac:dyDescent="0.2">
      <c r="A148" s="49" t="s">
        <v>30</v>
      </c>
      <c r="E148" s="49" t="s">
        <v>31</v>
      </c>
      <c r="F148" s="49" t="s">
        <v>31</v>
      </c>
      <c r="G148" s="49" t="s">
        <v>31</v>
      </c>
      <c r="J148" s="49" t="s">
        <v>31</v>
      </c>
      <c r="K148" s="49" t="s">
        <v>31</v>
      </c>
      <c r="L148" s="49" t="s">
        <v>31</v>
      </c>
      <c r="M148" s="49" t="s">
        <v>31</v>
      </c>
    </row>
    <row r="149" spans="1:21" x14ac:dyDescent="0.2">
      <c r="A149" s="49" t="s">
        <v>30</v>
      </c>
      <c r="D149" s="49" t="s">
        <v>10020</v>
      </c>
      <c r="E149" s="49" t="s">
        <v>4805</v>
      </c>
      <c r="F149" s="49" t="s">
        <v>10021</v>
      </c>
      <c r="H149" s="49" t="s">
        <v>10022</v>
      </c>
      <c r="O149" s="49" t="s">
        <v>34934</v>
      </c>
      <c r="P149" s="49" t="s">
        <v>34935</v>
      </c>
      <c r="Q149" s="49" t="s">
        <v>34936</v>
      </c>
      <c r="R149" s="49" t="s">
        <v>34937</v>
      </c>
      <c r="S149" s="49" t="s">
        <v>34938</v>
      </c>
      <c r="T149" s="49" t="s">
        <v>34939</v>
      </c>
      <c r="U149" s="49" t="s">
        <v>34940</v>
      </c>
    </row>
    <row r="150" spans="1:21" x14ac:dyDescent="0.2">
      <c r="A150" s="49" t="s">
        <v>30</v>
      </c>
      <c r="D150" s="49" t="s">
        <v>639</v>
      </c>
      <c r="G150" s="49" t="s">
        <v>10030</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c r="D151" s="49" t="s">
        <v>647</v>
      </c>
      <c r="G151" s="49" t="s">
        <v>14859</v>
      </c>
      <c r="H151" s="49" t="s">
        <v>648</v>
      </c>
      <c r="I151" s="49" t="s">
        <v>649</v>
      </c>
      <c r="J151" s="49" t="s">
        <v>650</v>
      </c>
      <c r="K151" s="49" t="s">
        <v>651</v>
      </c>
      <c r="L151" s="49" t="s">
        <v>652</v>
      </c>
      <c r="M151" s="49" t="s">
        <v>653</v>
      </c>
      <c r="N151" s="49" t="s">
        <v>654</v>
      </c>
      <c r="O151" s="49" t="s">
        <v>34684</v>
      </c>
      <c r="P151" s="49" t="s">
        <v>34685</v>
      </c>
      <c r="Q151" s="49" t="s">
        <v>34686</v>
      </c>
      <c r="R151" s="49" t="s">
        <v>34687</v>
      </c>
      <c r="S151" s="49" t="s">
        <v>34688</v>
      </c>
      <c r="T151" s="49" t="s">
        <v>34689</v>
      </c>
    </row>
    <row r="152" spans="1:21" x14ac:dyDescent="0.2">
      <c r="A152" s="49" t="s">
        <v>30</v>
      </c>
      <c r="D152" s="49" t="s">
        <v>655</v>
      </c>
      <c r="G152" s="49" t="s">
        <v>14860</v>
      </c>
      <c r="H152" s="49" t="s">
        <v>656</v>
      </c>
      <c r="I152" s="49" t="s">
        <v>657</v>
      </c>
      <c r="J152" s="49" t="s">
        <v>658</v>
      </c>
      <c r="K152" s="49" t="s">
        <v>659</v>
      </c>
      <c r="L152" s="49" t="s">
        <v>660</v>
      </c>
      <c r="M152" s="49" t="s">
        <v>661</v>
      </c>
      <c r="N152" s="49" t="s">
        <v>662</v>
      </c>
      <c r="O152" s="49" t="s">
        <v>32334</v>
      </c>
      <c r="P152" s="49" t="s">
        <v>32335</v>
      </c>
      <c r="Q152" s="49" t="s">
        <v>32336</v>
      </c>
      <c r="R152" s="49" t="s">
        <v>32337</v>
      </c>
      <c r="S152" s="49" t="s">
        <v>32338</v>
      </c>
      <c r="T152" s="49" t="s">
        <v>32339</v>
      </c>
    </row>
    <row r="153" spans="1:21" x14ac:dyDescent="0.2">
      <c r="A153" s="49" t="s">
        <v>30</v>
      </c>
    </row>
    <row r="154" spans="1:21" x14ac:dyDescent="0.2">
      <c r="A154" s="49" t="s">
        <v>30</v>
      </c>
      <c r="E154" s="49" t="s">
        <v>31</v>
      </c>
      <c r="F154" s="49" t="s">
        <v>31</v>
      </c>
      <c r="G154" s="49" t="s">
        <v>31</v>
      </c>
      <c r="J154" s="49" t="s">
        <v>31</v>
      </c>
      <c r="K154" s="49" t="s">
        <v>31</v>
      </c>
      <c r="L154" s="49" t="s">
        <v>31</v>
      </c>
      <c r="M154" s="49" t="s">
        <v>31</v>
      </c>
    </row>
    <row r="155" spans="1:21" x14ac:dyDescent="0.2">
      <c r="A155" s="49" t="s">
        <v>30</v>
      </c>
      <c r="D155" s="49" t="s">
        <v>32340</v>
      </c>
      <c r="E155" s="49" t="s">
        <v>4837</v>
      </c>
      <c r="F155" s="49" t="s">
        <v>32341</v>
      </c>
      <c r="H155" s="49" t="s">
        <v>32342</v>
      </c>
      <c r="O155" s="49" t="s">
        <v>38429</v>
      </c>
      <c r="P155" s="49" t="s">
        <v>38430</v>
      </c>
      <c r="Q155" s="49" t="s">
        <v>38431</v>
      </c>
      <c r="R155" s="49" t="s">
        <v>38432</v>
      </c>
      <c r="S155" s="49" t="s">
        <v>38433</v>
      </c>
      <c r="T155" s="49" t="s">
        <v>38434</v>
      </c>
      <c r="U155" s="49" t="s">
        <v>38435</v>
      </c>
    </row>
    <row r="156" spans="1:21" x14ac:dyDescent="0.2">
      <c r="A156" s="49" t="s">
        <v>30</v>
      </c>
      <c r="D156" s="49" t="s">
        <v>14209</v>
      </c>
      <c r="G156" s="49" t="s">
        <v>32350</v>
      </c>
      <c r="H156" s="49" t="s">
        <v>31878</v>
      </c>
      <c r="I156" s="49" t="s">
        <v>31879</v>
      </c>
      <c r="J156" s="49" t="s">
        <v>31898</v>
      </c>
      <c r="K156" s="49" t="s">
        <v>31899</v>
      </c>
      <c r="L156" s="49" t="s">
        <v>14211</v>
      </c>
      <c r="M156" s="49" t="s">
        <v>14212</v>
      </c>
      <c r="N156" s="49" t="s">
        <v>14213</v>
      </c>
      <c r="O156" s="49" t="s">
        <v>32351</v>
      </c>
      <c r="P156" s="49" t="s">
        <v>32352</v>
      </c>
      <c r="Q156" s="49" t="s">
        <v>32353</v>
      </c>
      <c r="R156" s="49" t="s">
        <v>32354</v>
      </c>
      <c r="S156" s="49" t="s">
        <v>32355</v>
      </c>
      <c r="T156" s="49" t="s">
        <v>32356</v>
      </c>
    </row>
    <row r="157" spans="1:21" x14ac:dyDescent="0.2">
      <c r="A157" s="49" t="s">
        <v>30</v>
      </c>
      <c r="D157" s="49" t="s">
        <v>1977</v>
      </c>
      <c r="G157" s="49" t="s">
        <v>14881</v>
      </c>
      <c r="H157" s="49" t="s">
        <v>1978</v>
      </c>
      <c r="I157" s="49" t="s">
        <v>1979</v>
      </c>
      <c r="J157" s="49" t="s">
        <v>1980</v>
      </c>
      <c r="K157" s="49" t="s">
        <v>1981</v>
      </c>
      <c r="L157" s="49" t="s">
        <v>1982</v>
      </c>
      <c r="M157" s="49" t="s">
        <v>1983</v>
      </c>
      <c r="N157" s="49" t="s">
        <v>1984</v>
      </c>
      <c r="O157" s="49" t="s">
        <v>4024</v>
      </c>
      <c r="P157" s="49" t="s">
        <v>4025</v>
      </c>
      <c r="Q157" s="49" t="s">
        <v>4026</v>
      </c>
      <c r="R157" s="49" t="s">
        <v>4027</v>
      </c>
      <c r="S157" s="49" t="s">
        <v>4028</v>
      </c>
      <c r="T157" s="49" t="s">
        <v>4029</v>
      </c>
    </row>
    <row r="158" spans="1:21" x14ac:dyDescent="0.2">
      <c r="A158" s="49" t="s">
        <v>30</v>
      </c>
      <c r="D158" s="49" t="s">
        <v>1985</v>
      </c>
      <c r="G158" s="49" t="s">
        <v>14882</v>
      </c>
      <c r="H158" s="49" t="s">
        <v>1986</v>
      </c>
      <c r="I158" s="49" t="s">
        <v>1987</v>
      </c>
      <c r="J158" s="49" t="s">
        <v>1988</v>
      </c>
      <c r="K158" s="49" t="s">
        <v>1989</v>
      </c>
      <c r="L158" s="49" t="s">
        <v>1990</v>
      </c>
      <c r="M158" s="49" t="s">
        <v>1991</v>
      </c>
      <c r="N158" s="49" t="s">
        <v>1992</v>
      </c>
      <c r="O158" s="49" t="s">
        <v>10670</v>
      </c>
      <c r="P158" s="49" t="s">
        <v>10671</v>
      </c>
      <c r="Q158" s="49" t="s">
        <v>10672</v>
      </c>
      <c r="R158" s="49" t="s">
        <v>10673</v>
      </c>
      <c r="S158" s="49" t="s">
        <v>10674</v>
      </c>
      <c r="T158" s="49" t="s">
        <v>10675</v>
      </c>
    </row>
    <row r="159" spans="1:21" x14ac:dyDescent="0.2">
      <c r="A159" s="49" t="s">
        <v>30</v>
      </c>
    </row>
    <row r="160" spans="1:21" x14ac:dyDescent="0.2">
      <c r="A160" s="49" t="s">
        <v>30</v>
      </c>
      <c r="E160" s="49" t="s">
        <v>31</v>
      </c>
      <c r="F160" s="49" t="s">
        <v>31</v>
      </c>
      <c r="G160" s="49" t="s">
        <v>31</v>
      </c>
      <c r="J160" s="49" t="s">
        <v>31</v>
      </c>
      <c r="K160" s="49" t="s">
        <v>31</v>
      </c>
      <c r="L160" s="49" t="s">
        <v>31</v>
      </c>
      <c r="M160" s="49" t="s">
        <v>31</v>
      </c>
    </row>
    <row r="161" spans="1:21" x14ac:dyDescent="0.2">
      <c r="A161" s="49" t="s">
        <v>30</v>
      </c>
      <c r="D161" s="49" t="s">
        <v>13089</v>
      </c>
      <c r="E161" s="49" t="s">
        <v>4841</v>
      </c>
      <c r="F161" s="49" t="s">
        <v>13090</v>
      </c>
      <c r="H161" s="49" t="s">
        <v>13091</v>
      </c>
      <c r="O161" s="49" t="s">
        <v>38436</v>
      </c>
      <c r="P161" s="49" t="s">
        <v>38437</v>
      </c>
      <c r="Q161" s="49" t="s">
        <v>38438</v>
      </c>
      <c r="R161" s="49" t="s">
        <v>38439</v>
      </c>
      <c r="S161" s="49" t="s">
        <v>38440</v>
      </c>
      <c r="T161" s="49" t="s">
        <v>38441</v>
      </c>
      <c r="U161" s="49" t="s">
        <v>38442</v>
      </c>
    </row>
    <row r="162" spans="1:21" x14ac:dyDescent="0.2">
      <c r="A162" s="49" t="s">
        <v>30</v>
      </c>
      <c r="D162" s="49" t="s">
        <v>714</v>
      </c>
      <c r="G162" s="49" t="s">
        <v>13099</v>
      </c>
      <c r="H162" s="49" t="s">
        <v>715</v>
      </c>
      <c r="I162" s="49" t="s">
        <v>716</v>
      </c>
      <c r="J162" s="49" t="s">
        <v>717</v>
      </c>
      <c r="K162" s="49" t="s">
        <v>718</v>
      </c>
      <c r="L162" s="49" t="s">
        <v>719</v>
      </c>
      <c r="M162" s="49" t="s">
        <v>720</v>
      </c>
      <c r="N162" s="49" t="s">
        <v>721</v>
      </c>
      <c r="O162" s="49" t="s">
        <v>13100</v>
      </c>
      <c r="P162" s="49" t="s">
        <v>13101</v>
      </c>
      <c r="Q162" s="49" t="s">
        <v>13102</v>
      </c>
      <c r="R162" s="49" t="s">
        <v>13103</v>
      </c>
      <c r="S162" s="49" t="s">
        <v>13104</v>
      </c>
      <c r="T162" s="49" t="s">
        <v>13105</v>
      </c>
    </row>
    <row r="163" spans="1:21" x14ac:dyDescent="0.2">
      <c r="A163" s="49" t="s">
        <v>30</v>
      </c>
      <c r="D163" s="49" t="s">
        <v>722</v>
      </c>
      <c r="G163" s="49" t="s">
        <v>14936</v>
      </c>
      <c r="H163" s="49" t="s">
        <v>723</v>
      </c>
      <c r="I163" s="49" t="s">
        <v>724</v>
      </c>
      <c r="J163" s="49" t="s">
        <v>725</v>
      </c>
      <c r="K163" s="49" t="s">
        <v>726</v>
      </c>
      <c r="L163" s="49" t="s">
        <v>727</v>
      </c>
      <c r="M163" s="49" t="s">
        <v>728</v>
      </c>
      <c r="N163" s="49" t="s">
        <v>729</v>
      </c>
      <c r="O163" s="49" t="s">
        <v>4030</v>
      </c>
      <c r="P163" s="49" t="s">
        <v>4031</v>
      </c>
      <c r="Q163" s="49" t="s">
        <v>4032</v>
      </c>
      <c r="R163" s="49" t="s">
        <v>4033</v>
      </c>
      <c r="S163" s="49" t="s">
        <v>4034</v>
      </c>
      <c r="T163" s="49" t="s">
        <v>4035</v>
      </c>
    </row>
    <row r="164" spans="1:21" x14ac:dyDescent="0.2">
      <c r="A164" s="49" t="s">
        <v>30</v>
      </c>
      <c r="D164" s="49" t="s">
        <v>1993</v>
      </c>
      <c r="G164" s="49" t="s">
        <v>14937</v>
      </c>
      <c r="H164" s="49" t="s">
        <v>1994</v>
      </c>
      <c r="I164" s="49" t="s">
        <v>1995</v>
      </c>
      <c r="J164" s="49" t="s">
        <v>1996</v>
      </c>
      <c r="K164" s="49" t="s">
        <v>1997</v>
      </c>
      <c r="L164" s="49" t="s">
        <v>1998</v>
      </c>
      <c r="M164" s="49" t="s">
        <v>1999</v>
      </c>
      <c r="N164" s="49" t="s">
        <v>2000</v>
      </c>
      <c r="O164" s="49" t="s">
        <v>8933</v>
      </c>
      <c r="P164" s="49" t="s">
        <v>8934</v>
      </c>
      <c r="Q164" s="49" t="s">
        <v>8935</v>
      </c>
      <c r="R164" s="49" t="s">
        <v>8936</v>
      </c>
      <c r="S164" s="49" t="s">
        <v>8937</v>
      </c>
      <c r="T164" s="49" t="s">
        <v>8938</v>
      </c>
    </row>
    <row r="165" spans="1:21" x14ac:dyDescent="0.2">
      <c r="A165" s="49" t="s">
        <v>30</v>
      </c>
      <c r="D165" s="49" t="s">
        <v>2832</v>
      </c>
      <c r="G165" s="49" t="s">
        <v>14938</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c r="D166" s="49" t="s">
        <v>2581</v>
      </c>
      <c r="G166" s="49" t="s">
        <v>14939</v>
      </c>
      <c r="H166" s="49" t="s">
        <v>2582</v>
      </c>
      <c r="I166" s="49" t="s">
        <v>2583</v>
      </c>
      <c r="J166" s="49" t="s">
        <v>2584</v>
      </c>
      <c r="K166" s="49" t="s">
        <v>2585</v>
      </c>
      <c r="L166" s="49" t="s">
        <v>2586</v>
      </c>
      <c r="M166" s="49" t="s">
        <v>2587</v>
      </c>
      <c r="N166" s="49" t="s">
        <v>2588</v>
      </c>
      <c r="O166" s="49" t="s">
        <v>10035</v>
      </c>
      <c r="P166" s="49" t="s">
        <v>10036</v>
      </c>
      <c r="Q166" s="49" t="s">
        <v>10037</v>
      </c>
      <c r="R166" s="49" t="s">
        <v>10038</v>
      </c>
      <c r="S166" s="49" t="s">
        <v>10039</v>
      </c>
      <c r="T166" s="49" t="s">
        <v>10040</v>
      </c>
    </row>
    <row r="167" spans="1:21" x14ac:dyDescent="0.2">
      <c r="A167" s="49" t="s">
        <v>30</v>
      </c>
    </row>
    <row r="168" spans="1:21" x14ac:dyDescent="0.2">
      <c r="A168" s="49" t="s">
        <v>30</v>
      </c>
      <c r="E168" s="49" t="s">
        <v>31</v>
      </c>
      <c r="F168" s="49" t="s">
        <v>31</v>
      </c>
      <c r="G168" s="49" t="s">
        <v>31</v>
      </c>
      <c r="J168" s="49" t="s">
        <v>31</v>
      </c>
      <c r="K168" s="49" t="s">
        <v>31</v>
      </c>
      <c r="L168" s="49" t="s">
        <v>31</v>
      </c>
      <c r="M168" s="49" t="s">
        <v>31</v>
      </c>
    </row>
    <row r="169" spans="1:21" x14ac:dyDescent="0.2">
      <c r="A169" s="49" t="s">
        <v>30</v>
      </c>
      <c r="D169" s="49" t="s">
        <v>10041</v>
      </c>
      <c r="E169" s="49" t="s">
        <v>4844</v>
      </c>
      <c r="F169" s="49" t="s">
        <v>10042</v>
      </c>
      <c r="H169" s="49" t="s">
        <v>10043</v>
      </c>
      <c r="O169" s="49" t="s">
        <v>13117</v>
      </c>
      <c r="P169" s="49" t="s">
        <v>13118</v>
      </c>
      <c r="Q169" s="49" t="s">
        <v>13119</v>
      </c>
      <c r="R169" s="49" t="s">
        <v>13120</v>
      </c>
      <c r="S169" s="49" t="s">
        <v>13121</v>
      </c>
      <c r="T169" s="49" t="s">
        <v>13122</v>
      </c>
      <c r="U169" s="49" t="s">
        <v>13123</v>
      </c>
    </row>
    <row r="170" spans="1:21" x14ac:dyDescent="0.2">
      <c r="A170" s="49" t="s">
        <v>30</v>
      </c>
      <c r="D170" s="49" t="s">
        <v>746</v>
      </c>
      <c r="G170" s="49" t="s">
        <v>10051</v>
      </c>
      <c r="H170" s="49" t="s">
        <v>747</v>
      </c>
      <c r="I170" s="49" t="s">
        <v>748</v>
      </c>
      <c r="J170" s="49" t="s">
        <v>749</v>
      </c>
      <c r="K170" s="49" t="s">
        <v>750</v>
      </c>
      <c r="L170" s="49" t="s">
        <v>751</v>
      </c>
      <c r="M170" s="49" t="s">
        <v>752</v>
      </c>
      <c r="N170" s="49" t="s">
        <v>753</v>
      </c>
      <c r="O170" s="49" t="s">
        <v>10052</v>
      </c>
      <c r="P170" s="49" t="s">
        <v>10053</v>
      </c>
      <c r="Q170" s="49" t="s">
        <v>10054</v>
      </c>
      <c r="R170" s="49" t="s">
        <v>10055</v>
      </c>
      <c r="S170" s="49" t="s">
        <v>10056</v>
      </c>
      <c r="T170" s="49" t="s">
        <v>10057</v>
      </c>
    </row>
    <row r="171" spans="1:21" x14ac:dyDescent="0.2">
      <c r="A171" s="49" t="s">
        <v>30</v>
      </c>
    </row>
    <row r="172" spans="1:21" x14ac:dyDescent="0.2">
      <c r="A172" s="49" t="s">
        <v>30</v>
      </c>
      <c r="E172" s="49" t="s">
        <v>31</v>
      </c>
      <c r="F172" s="49" t="s">
        <v>31</v>
      </c>
      <c r="G172" s="49" t="s">
        <v>31</v>
      </c>
      <c r="J172" s="49" t="s">
        <v>31</v>
      </c>
      <c r="K172" s="49" t="s">
        <v>31</v>
      </c>
      <c r="L172" s="49" t="s">
        <v>31</v>
      </c>
      <c r="M172" s="49" t="s">
        <v>31</v>
      </c>
    </row>
    <row r="173" spans="1:21" x14ac:dyDescent="0.2">
      <c r="A173" s="49" t="s">
        <v>30</v>
      </c>
      <c r="D173" s="49" t="s">
        <v>13124</v>
      </c>
      <c r="E173" s="49" t="s">
        <v>4875</v>
      </c>
      <c r="F173" s="49" t="s">
        <v>13125</v>
      </c>
      <c r="H173" s="49" t="s">
        <v>13126</v>
      </c>
      <c r="O173" s="49" t="s">
        <v>38443</v>
      </c>
      <c r="P173" s="49" t="s">
        <v>38444</v>
      </c>
      <c r="Q173" s="49" t="s">
        <v>38445</v>
      </c>
      <c r="R173" s="49" t="s">
        <v>38446</v>
      </c>
      <c r="S173" s="49" t="s">
        <v>38447</v>
      </c>
      <c r="T173" s="49" t="s">
        <v>38448</v>
      </c>
      <c r="U173" s="49" t="s">
        <v>38449</v>
      </c>
    </row>
    <row r="174" spans="1:21" x14ac:dyDescent="0.2">
      <c r="A174" s="49" t="s">
        <v>30</v>
      </c>
      <c r="D174" s="49" t="s">
        <v>2794</v>
      </c>
      <c r="G174" s="49" t="s">
        <v>13127</v>
      </c>
      <c r="H174" s="49" t="s">
        <v>2795</v>
      </c>
      <c r="I174" s="49" t="s">
        <v>2796</v>
      </c>
      <c r="J174" s="49" t="s">
        <v>2797</v>
      </c>
      <c r="K174" s="49" t="s">
        <v>2798</v>
      </c>
      <c r="L174" s="49" t="s">
        <v>2799</v>
      </c>
      <c r="M174" s="49" t="s">
        <v>2800</v>
      </c>
      <c r="N174" s="49" t="s">
        <v>2801</v>
      </c>
      <c r="O174" s="49" t="s">
        <v>4513</v>
      </c>
      <c r="P174" s="49" t="s">
        <v>4514</v>
      </c>
      <c r="Q174" s="49" t="s">
        <v>4515</v>
      </c>
      <c r="R174" s="49" t="s">
        <v>4516</v>
      </c>
      <c r="S174" s="49" t="s">
        <v>4517</v>
      </c>
      <c r="T174" s="49" t="s">
        <v>4518</v>
      </c>
    </row>
    <row r="175" spans="1:21" x14ac:dyDescent="0.2">
      <c r="A175" s="49" t="s">
        <v>30</v>
      </c>
      <c r="D175" s="49" t="s">
        <v>1764</v>
      </c>
      <c r="G175" s="49" t="s">
        <v>14977</v>
      </c>
      <c r="H175" s="49" t="s">
        <v>1765</v>
      </c>
      <c r="I175" s="49" t="s">
        <v>1766</v>
      </c>
      <c r="J175" s="49" t="s">
        <v>1767</v>
      </c>
      <c r="K175" s="49" t="s">
        <v>1768</v>
      </c>
      <c r="L175" s="49" t="s">
        <v>1769</v>
      </c>
      <c r="M175" s="49" t="s">
        <v>1770</v>
      </c>
      <c r="N175" s="49" t="s">
        <v>1771</v>
      </c>
      <c r="O175" s="49" t="s">
        <v>4042</v>
      </c>
      <c r="P175" s="49" t="s">
        <v>4043</v>
      </c>
      <c r="Q175" s="49" t="s">
        <v>4044</v>
      </c>
      <c r="R175" s="49" t="s">
        <v>4045</v>
      </c>
      <c r="S175" s="49" t="s">
        <v>4046</v>
      </c>
      <c r="T175" s="49" t="s">
        <v>4047</v>
      </c>
    </row>
    <row r="176" spans="1:21" x14ac:dyDescent="0.2">
      <c r="A176" s="49" t="s">
        <v>30</v>
      </c>
      <c r="D176" s="49" t="s">
        <v>754</v>
      </c>
      <c r="G176" s="49" t="s">
        <v>14978</v>
      </c>
      <c r="H176" s="49" t="s">
        <v>755</v>
      </c>
      <c r="I176" s="49" t="s">
        <v>756</v>
      </c>
      <c r="J176" s="49" t="s">
        <v>757</v>
      </c>
      <c r="K176" s="49" t="s">
        <v>758</v>
      </c>
      <c r="L176" s="49" t="s">
        <v>759</v>
      </c>
      <c r="M176" s="49" t="s">
        <v>760</v>
      </c>
      <c r="N176" s="49" t="s">
        <v>761</v>
      </c>
      <c r="O176" s="49" t="s">
        <v>9476</v>
      </c>
      <c r="P176" s="49" t="s">
        <v>9477</v>
      </c>
      <c r="Q176" s="49" t="s">
        <v>9478</v>
      </c>
      <c r="R176" s="49" t="s">
        <v>9479</v>
      </c>
      <c r="S176" s="49" t="s">
        <v>9480</v>
      </c>
      <c r="T176" s="49" t="s">
        <v>9481</v>
      </c>
    </row>
    <row r="177" spans="1:21" x14ac:dyDescent="0.2">
      <c r="A177" s="49" t="s">
        <v>30</v>
      </c>
      <c r="D177" s="49" t="s">
        <v>762</v>
      </c>
      <c r="G177" s="49" t="s">
        <v>14981</v>
      </c>
      <c r="H177" s="49" t="s">
        <v>763</v>
      </c>
      <c r="I177" s="49" t="s">
        <v>764</v>
      </c>
      <c r="J177" s="49" t="s">
        <v>765</v>
      </c>
      <c r="K177" s="49" t="s">
        <v>766</v>
      </c>
      <c r="L177" s="49" t="s">
        <v>767</v>
      </c>
      <c r="M177" s="49" t="s">
        <v>768</v>
      </c>
      <c r="N177" s="49" t="s">
        <v>769</v>
      </c>
      <c r="O177" s="49" t="s">
        <v>32383</v>
      </c>
      <c r="P177" s="49" t="s">
        <v>32384</v>
      </c>
      <c r="Q177" s="49" t="s">
        <v>32385</v>
      </c>
      <c r="R177" s="49" t="s">
        <v>32386</v>
      </c>
      <c r="S177" s="49" t="s">
        <v>32387</v>
      </c>
      <c r="T177" s="49" t="s">
        <v>32388</v>
      </c>
    </row>
    <row r="178" spans="1:21" x14ac:dyDescent="0.2">
      <c r="A178" s="49" t="s">
        <v>30</v>
      </c>
      <c r="D178" s="49" t="s">
        <v>770</v>
      </c>
      <c r="G178" s="49" t="s">
        <v>14982</v>
      </c>
      <c r="H178" s="49" t="s">
        <v>771</v>
      </c>
      <c r="I178" s="49" t="s">
        <v>772</v>
      </c>
      <c r="J178" s="49" t="s">
        <v>773</v>
      </c>
      <c r="K178" s="49" t="s">
        <v>774</v>
      </c>
      <c r="L178" s="49" t="s">
        <v>775</v>
      </c>
      <c r="M178" s="49" t="s">
        <v>776</v>
      </c>
      <c r="N178" s="49" t="s">
        <v>777</v>
      </c>
      <c r="O178" s="49" t="s">
        <v>10327</v>
      </c>
      <c r="P178" s="49" t="s">
        <v>10328</v>
      </c>
      <c r="Q178" s="49" t="s">
        <v>10329</v>
      </c>
      <c r="R178" s="49" t="s">
        <v>10330</v>
      </c>
      <c r="S178" s="49" t="s">
        <v>10331</v>
      </c>
      <c r="T178" s="49" t="s">
        <v>10332</v>
      </c>
    </row>
    <row r="179" spans="1:21" x14ac:dyDescent="0.2">
      <c r="A179" s="49" t="s">
        <v>30</v>
      </c>
    </row>
    <row r="180" spans="1:21" x14ac:dyDescent="0.2">
      <c r="A180" s="49" t="s">
        <v>30</v>
      </c>
      <c r="E180" s="49" t="s">
        <v>31</v>
      </c>
      <c r="F180" s="49" t="s">
        <v>31</v>
      </c>
      <c r="G180" s="49" t="s">
        <v>31</v>
      </c>
      <c r="J180" s="49" t="s">
        <v>31</v>
      </c>
      <c r="K180" s="49" t="s">
        <v>31</v>
      </c>
      <c r="L180" s="49" t="s">
        <v>31</v>
      </c>
      <c r="M180" s="49" t="s">
        <v>31</v>
      </c>
    </row>
    <row r="181" spans="1:21" x14ac:dyDescent="0.2">
      <c r="A181" s="49" t="s">
        <v>30</v>
      </c>
      <c r="D181" s="49" t="s">
        <v>10333</v>
      </c>
      <c r="E181" s="49" t="s">
        <v>4877</v>
      </c>
      <c r="F181" s="49" t="s">
        <v>10334</v>
      </c>
      <c r="H181" s="49" t="s">
        <v>10335</v>
      </c>
      <c r="O181" s="49" t="s">
        <v>38450</v>
      </c>
      <c r="P181" s="49" t="s">
        <v>38451</v>
      </c>
      <c r="Q181" s="49" t="s">
        <v>38452</v>
      </c>
      <c r="R181" s="49" t="s">
        <v>38453</v>
      </c>
      <c r="S181" s="49" t="s">
        <v>38454</v>
      </c>
      <c r="T181" s="49" t="s">
        <v>38455</v>
      </c>
      <c r="U181" s="49" t="s">
        <v>38456</v>
      </c>
    </row>
    <row r="182" spans="1:21" x14ac:dyDescent="0.2">
      <c r="A182" s="49" t="s">
        <v>30</v>
      </c>
      <c r="D182" s="49" t="s">
        <v>802</v>
      </c>
      <c r="G182" s="49" t="s">
        <v>10343</v>
      </c>
      <c r="H182" s="49" t="s">
        <v>803</v>
      </c>
      <c r="I182" s="49" t="s">
        <v>804</v>
      </c>
      <c r="J182" s="49" t="s">
        <v>805</v>
      </c>
      <c r="K182" s="49" t="s">
        <v>806</v>
      </c>
      <c r="L182" s="49" t="s">
        <v>807</v>
      </c>
      <c r="M182" s="49" t="s">
        <v>808</v>
      </c>
      <c r="N182" s="49" t="s">
        <v>809</v>
      </c>
      <c r="O182" s="49" t="s">
        <v>10344</v>
      </c>
      <c r="P182" s="49" t="s">
        <v>10345</v>
      </c>
      <c r="Q182" s="49" t="s">
        <v>10346</v>
      </c>
      <c r="R182" s="49" t="s">
        <v>10347</v>
      </c>
      <c r="S182" s="49" t="s">
        <v>10348</v>
      </c>
      <c r="T182" s="49" t="s">
        <v>10349</v>
      </c>
    </row>
    <row r="183" spans="1:21" x14ac:dyDescent="0.2">
      <c r="A183" s="49" t="s">
        <v>30</v>
      </c>
      <c r="D183" s="49" t="s">
        <v>810</v>
      </c>
      <c r="G183" s="49" t="s">
        <v>15003</v>
      </c>
      <c r="H183" s="49" t="s">
        <v>811</v>
      </c>
      <c r="I183" s="49" t="s">
        <v>812</v>
      </c>
      <c r="J183" s="49" t="s">
        <v>813</v>
      </c>
      <c r="K183" s="49" t="s">
        <v>814</v>
      </c>
      <c r="L183" s="49" t="s">
        <v>815</v>
      </c>
      <c r="M183" s="49" t="s">
        <v>816</v>
      </c>
      <c r="N183" s="49" t="s">
        <v>817</v>
      </c>
      <c r="O183" s="49" t="s">
        <v>4527</v>
      </c>
      <c r="P183" s="49" t="s">
        <v>4528</v>
      </c>
      <c r="Q183" s="49" t="s">
        <v>4529</v>
      </c>
      <c r="R183" s="49" t="s">
        <v>4530</v>
      </c>
      <c r="S183" s="49" t="s">
        <v>4531</v>
      </c>
      <c r="T183" s="49" t="s">
        <v>4532</v>
      </c>
    </row>
    <row r="184" spans="1:21" x14ac:dyDescent="0.2">
      <c r="A184" s="49" t="s">
        <v>30</v>
      </c>
    </row>
    <row r="185" spans="1:21" x14ac:dyDescent="0.2">
      <c r="A185" s="49" t="s">
        <v>30</v>
      </c>
      <c r="E185" s="49" t="s">
        <v>31</v>
      </c>
      <c r="F185" s="49" t="s">
        <v>31</v>
      </c>
      <c r="G185" s="49" t="s">
        <v>31</v>
      </c>
      <c r="J185" s="49" t="s">
        <v>31</v>
      </c>
      <c r="K185" s="49" t="s">
        <v>31</v>
      </c>
      <c r="L185" s="49" t="s">
        <v>31</v>
      </c>
      <c r="M185" s="49" t="s">
        <v>31</v>
      </c>
    </row>
    <row r="186" spans="1:21" x14ac:dyDescent="0.2">
      <c r="A186" s="49" t="s">
        <v>30</v>
      </c>
      <c r="D186" s="49" t="s">
        <v>13142</v>
      </c>
      <c r="E186" s="49" t="s">
        <v>4881</v>
      </c>
      <c r="F186" s="49" t="s">
        <v>13143</v>
      </c>
      <c r="H186" s="49" t="s">
        <v>13144</v>
      </c>
      <c r="O186" s="49" t="s">
        <v>38457</v>
      </c>
      <c r="P186" s="49" t="s">
        <v>38458</v>
      </c>
      <c r="Q186" s="49" t="s">
        <v>38459</v>
      </c>
      <c r="R186" s="49" t="s">
        <v>38460</v>
      </c>
      <c r="S186" s="49" t="s">
        <v>38461</v>
      </c>
      <c r="T186" s="49" t="s">
        <v>38462</v>
      </c>
      <c r="U186" s="49" t="s">
        <v>38463</v>
      </c>
    </row>
    <row r="187" spans="1:21" x14ac:dyDescent="0.2">
      <c r="A187" s="49" t="s">
        <v>30</v>
      </c>
      <c r="D187" s="49" t="s">
        <v>1778</v>
      </c>
      <c r="G187" s="49" t="s">
        <v>13152</v>
      </c>
      <c r="H187" s="49" t="s">
        <v>1779</v>
      </c>
      <c r="I187" s="49" t="s">
        <v>1780</v>
      </c>
      <c r="J187" s="49" t="s">
        <v>1781</v>
      </c>
      <c r="K187" s="49" t="s">
        <v>1782</v>
      </c>
      <c r="L187" s="49" t="s">
        <v>1783</v>
      </c>
      <c r="M187" s="49" t="s">
        <v>1784</v>
      </c>
      <c r="N187" s="49" t="s">
        <v>1785</v>
      </c>
      <c r="O187" s="49" t="s">
        <v>4533</v>
      </c>
      <c r="P187" s="49" t="s">
        <v>4534</v>
      </c>
      <c r="Q187" s="49" t="s">
        <v>4535</v>
      </c>
      <c r="R187" s="49" t="s">
        <v>4536</v>
      </c>
      <c r="S187" s="49" t="s">
        <v>4537</v>
      </c>
      <c r="T187" s="49" t="s">
        <v>4538</v>
      </c>
    </row>
    <row r="188" spans="1:21" x14ac:dyDescent="0.2">
      <c r="A188" s="49" t="s">
        <v>30</v>
      </c>
      <c r="D188" s="49" t="s">
        <v>818</v>
      </c>
      <c r="G188" s="49" t="s">
        <v>15034</v>
      </c>
      <c r="H188" s="49" t="s">
        <v>819</v>
      </c>
      <c r="I188" s="49" t="s">
        <v>820</v>
      </c>
      <c r="J188" s="49" t="s">
        <v>821</v>
      </c>
      <c r="K188" s="49" t="s">
        <v>822</v>
      </c>
      <c r="L188" s="49" t="s">
        <v>823</v>
      </c>
      <c r="M188" s="49" t="s">
        <v>824</v>
      </c>
      <c r="N188" s="49" t="s">
        <v>825</v>
      </c>
      <c r="O188" s="49" t="s">
        <v>10081</v>
      </c>
      <c r="P188" s="49" t="s">
        <v>10082</v>
      </c>
      <c r="Q188" s="49" t="s">
        <v>10083</v>
      </c>
      <c r="R188" s="49" t="s">
        <v>10084</v>
      </c>
      <c r="S188" s="49" t="s">
        <v>10085</v>
      </c>
      <c r="T188" s="49" t="s">
        <v>10086</v>
      </c>
    </row>
    <row r="189" spans="1:21" x14ac:dyDescent="0.2">
      <c r="A189" s="49" t="s">
        <v>30</v>
      </c>
      <c r="D189" s="49" t="s">
        <v>826</v>
      </c>
      <c r="G189" s="49" t="s">
        <v>15043</v>
      </c>
      <c r="H189" s="49" t="s">
        <v>827</v>
      </c>
      <c r="I189" s="49" t="s">
        <v>828</v>
      </c>
      <c r="J189" s="49" t="s">
        <v>829</v>
      </c>
      <c r="K189" s="49" t="s">
        <v>830</v>
      </c>
      <c r="L189" s="49" t="s">
        <v>831</v>
      </c>
      <c r="M189" s="49" t="s">
        <v>832</v>
      </c>
      <c r="N189" s="49" t="s">
        <v>833</v>
      </c>
      <c r="O189" s="49" t="s">
        <v>8949</v>
      </c>
      <c r="P189" s="49" t="s">
        <v>8950</v>
      </c>
      <c r="Q189" s="49" t="s">
        <v>8951</v>
      </c>
      <c r="R189" s="49" t="s">
        <v>8952</v>
      </c>
      <c r="S189" s="49" t="s">
        <v>8953</v>
      </c>
      <c r="T189" s="49" t="s">
        <v>8954</v>
      </c>
    </row>
    <row r="190" spans="1:21" x14ac:dyDescent="0.2">
      <c r="A190" s="49" t="s">
        <v>30</v>
      </c>
    </row>
    <row r="191" spans="1:21" x14ac:dyDescent="0.2">
      <c r="A191" s="49" t="s">
        <v>30</v>
      </c>
      <c r="E191" s="49" t="s">
        <v>31</v>
      </c>
      <c r="F191" s="49" t="s">
        <v>31</v>
      </c>
      <c r="G191" s="49" t="s">
        <v>31</v>
      </c>
      <c r="J191" s="49" t="s">
        <v>31</v>
      </c>
      <c r="K191" s="49" t="s">
        <v>31</v>
      </c>
      <c r="L191" s="49" t="s">
        <v>31</v>
      </c>
      <c r="M191" s="49" t="s">
        <v>31</v>
      </c>
    </row>
    <row r="192" spans="1:21" x14ac:dyDescent="0.2">
      <c r="A192" s="49" t="s">
        <v>30</v>
      </c>
      <c r="D192" s="49" t="s">
        <v>38464</v>
      </c>
      <c r="E192" s="49" t="s">
        <v>4920</v>
      </c>
      <c r="F192" s="49" t="s">
        <v>38465</v>
      </c>
      <c r="H192" s="49" t="s">
        <v>38466</v>
      </c>
      <c r="O192" s="49" t="s">
        <v>38467</v>
      </c>
      <c r="P192" s="49" t="s">
        <v>38468</v>
      </c>
      <c r="Q192" s="49" t="s">
        <v>38469</v>
      </c>
      <c r="R192" s="49" t="s">
        <v>38470</v>
      </c>
      <c r="S192" s="49" t="s">
        <v>38471</v>
      </c>
      <c r="T192" s="49" t="s">
        <v>38472</v>
      </c>
      <c r="U192" s="49" t="s">
        <v>38473</v>
      </c>
    </row>
    <row r="193" spans="1:21" x14ac:dyDescent="0.2">
      <c r="A193" s="49" t="s">
        <v>30</v>
      </c>
      <c r="D193" s="49" t="s">
        <v>2363</v>
      </c>
      <c r="G193" s="49" t="s">
        <v>38474</v>
      </c>
      <c r="H193" s="49" t="s">
        <v>2364</v>
      </c>
      <c r="I193" s="49" t="s">
        <v>2365</v>
      </c>
      <c r="J193" s="49" t="s">
        <v>2366</v>
      </c>
      <c r="K193" s="49" t="s">
        <v>2367</v>
      </c>
      <c r="L193" s="49" t="s">
        <v>2368</v>
      </c>
      <c r="M193" s="49" t="s">
        <v>2369</v>
      </c>
      <c r="N193" s="49" t="s">
        <v>2370</v>
      </c>
      <c r="O193" s="49" t="s">
        <v>9494</v>
      </c>
      <c r="P193" s="49" t="s">
        <v>9495</v>
      </c>
      <c r="Q193" s="49" t="s">
        <v>9496</v>
      </c>
      <c r="R193" s="49" t="s">
        <v>9497</v>
      </c>
      <c r="S193" s="49" t="s">
        <v>9498</v>
      </c>
      <c r="T193" s="49" t="s">
        <v>9499</v>
      </c>
    </row>
    <row r="194" spans="1:21" x14ac:dyDescent="0.2">
      <c r="A194" s="49" t="s">
        <v>30</v>
      </c>
      <c r="D194" s="49" t="s">
        <v>2001</v>
      </c>
      <c r="G194" s="49" t="s">
        <v>15064</v>
      </c>
      <c r="H194" s="49" t="s">
        <v>2002</v>
      </c>
      <c r="I194" s="49" t="s">
        <v>2003</v>
      </c>
      <c r="J194" s="49" t="s">
        <v>2004</v>
      </c>
      <c r="K194" s="49" t="s">
        <v>2005</v>
      </c>
      <c r="L194" s="49" t="s">
        <v>2006</v>
      </c>
      <c r="M194" s="49" t="s">
        <v>2007</v>
      </c>
      <c r="N194" s="49" t="s">
        <v>2008</v>
      </c>
      <c r="O194" s="49" t="s">
        <v>8965</v>
      </c>
      <c r="P194" s="49" t="s">
        <v>8966</v>
      </c>
      <c r="Q194" s="49" t="s">
        <v>8967</v>
      </c>
      <c r="R194" s="49" t="s">
        <v>8968</v>
      </c>
      <c r="S194" s="49" t="s">
        <v>8969</v>
      </c>
      <c r="T194" s="49" t="s">
        <v>8970</v>
      </c>
    </row>
    <row r="195" spans="1:21" x14ac:dyDescent="0.2">
      <c r="A195" s="49" t="s">
        <v>30</v>
      </c>
    </row>
    <row r="196" spans="1:21" x14ac:dyDescent="0.2">
      <c r="A196" s="49" t="s">
        <v>30</v>
      </c>
      <c r="E196" s="49" t="s">
        <v>31</v>
      </c>
      <c r="F196" s="49" t="s">
        <v>31</v>
      </c>
      <c r="G196" s="49" t="s">
        <v>31</v>
      </c>
      <c r="J196" s="49" t="s">
        <v>31</v>
      </c>
      <c r="K196" s="49" t="s">
        <v>31</v>
      </c>
      <c r="L196" s="49" t="s">
        <v>31</v>
      </c>
      <c r="M196" s="49" t="s">
        <v>31</v>
      </c>
    </row>
    <row r="197" spans="1:21" x14ac:dyDescent="0.2">
      <c r="A197" s="49" t="s">
        <v>30</v>
      </c>
      <c r="D197" s="49" t="s">
        <v>32411</v>
      </c>
      <c r="E197" s="49" t="s">
        <v>4949</v>
      </c>
      <c r="F197" s="49" t="s">
        <v>32412</v>
      </c>
      <c r="H197" s="49" t="s">
        <v>32413</v>
      </c>
      <c r="O197" s="49" t="s">
        <v>38475</v>
      </c>
      <c r="P197" s="49" t="s">
        <v>38476</v>
      </c>
      <c r="Q197" s="49" t="s">
        <v>38477</v>
      </c>
      <c r="R197" s="49" t="s">
        <v>38478</v>
      </c>
      <c r="S197" s="49" t="s">
        <v>38479</v>
      </c>
      <c r="T197" s="49" t="s">
        <v>38480</v>
      </c>
      <c r="U197" s="49" t="s">
        <v>38481</v>
      </c>
    </row>
    <row r="198" spans="1:21" x14ac:dyDescent="0.2">
      <c r="A198" s="49" t="s">
        <v>30</v>
      </c>
      <c r="D198" s="49" t="s">
        <v>874</v>
      </c>
      <c r="G198" s="49" t="s">
        <v>32421</v>
      </c>
      <c r="H198" s="49" t="s">
        <v>875</v>
      </c>
      <c r="I198" s="49" t="s">
        <v>876</v>
      </c>
      <c r="J198" s="49" t="s">
        <v>877</v>
      </c>
      <c r="K198" s="49" t="s">
        <v>878</v>
      </c>
      <c r="L198" s="49" t="s">
        <v>879</v>
      </c>
      <c r="M198" s="49" t="s">
        <v>880</v>
      </c>
      <c r="N198" s="49" t="s">
        <v>881</v>
      </c>
      <c r="O198" s="49" t="s">
        <v>8971</v>
      </c>
      <c r="P198" s="49" t="s">
        <v>8972</v>
      </c>
      <c r="Q198" s="49" t="s">
        <v>8973</v>
      </c>
      <c r="R198" s="49" t="s">
        <v>8974</v>
      </c>
      <c r="S198" s="49" t="s">
        <v>8975</v>
      </c>
      <c r="T198" s="49" t="s">
        <v>8976</v>
      </c>
    </row>
    <row r="199" spans="1:21" x14ac:dyDescent="0.2">
      <c r="A199" s="49" t="s">
        <v>30</v>
      </c>
      <c r="D199" s="49" t="s">
        <v>2009</v>
      </c>
      <c r="G199" s="49" t="s">
        <v>15091</v>
      </c>
      <c r="H199" s="49" t="s">
        <v>2010</v>
      </c>
      <c r="I199" s="49" t="s">
        <v>2011</v>
      </c>
      <c r="J199" s="49" t="s">
        <v>2012</v>
      </c>
      <c r="K199" s="49" t="s">
        <v>2013</v>
      </c>
      <c r="L199" s="49" t="s">
        <v>2014</v>
      </c>
      <c r="M199" s="49" t="s">
        <v>2015</v>
      </c>
      <c r="N199" s="49" t="s">
        <v>2016</v>
      </c>
      <c r="O199" s="49" t="s">
        <v>10368</v>
      </c>
      <c r="P199" s="49" t="s">
        <v>10369</v>
      </c>
      <c r="Q199" s="49" t="s">
        <v>10370</v>
      </c>
      <c r="R199" s="49" t="s">
        <v>10371</v>
      </c>
      <c r="S199" s="49" t="s">
        <v>10372</v>
      </c>
      <c r="T199" s="49" t="s">
        <v>10373</v>
      </c>
    </row>
    <row r="200" spans="1:21" x14ac:dyDescent="0.2">
      <c r="A200" s="49" t="s">
        <v>30</v>
      </c>
    </row>
    <row r="201" spans="1:21" x14ac:dyDescent="0.2">
      <c r="A201" s="49" t="s">
        <v>30</v>
      </c>
      <c r="E201" s="49" t="s">
        <v>31</v>
      </c>
      <c r="F201" s="49" t="s">
        <v>31</v>
      </c>
      <c r="G201" s="49" t="s">
        <v>31</v>
      </c>
      <c r="J201" s="49" t="s">
        <v>31</v>
      </c>
      <c r="K201" s="49" t="s">
        <v>31</v>
      </c>
      <c r="L201" s="49" t="s">
        <v>31</v>
      </c>
      <c r="M201" s="49" t="s">
        <v>31</v>
      </c>
    </row>
    <row r="202" spans="1:21" x14ac:dyDescent="0.2">
      <c r="A202" s="49" t="s">
        <v>30</v>
      </c>
      <c r="D202" s="49" t="s">
        <v>14280</v>
      </c>
      <c r="E202" s="49" t="s">
        <v>4951</v>
      </c>
      <c r="F202" s="49" t="s">
        <v>14281</v>
      </c>
      <c r="H202" s="49" t="s">
        <v>14282</v>
      </c>
      <c r="O202" s="49" t="s">
        <v>38482</v>
      </c>
      <c r="P202" s="49" t="s">
        <v>38483</v>
      </c>
      <c r="Q202" s="49" t="s">
        <v>38484</v>
      </c>
      <c r="R202" s="49" t="s">
        <v>38485</v>
      </c>
      <c r="S202" s="49" t="s">
        <v>38486</v>
      </c>
      <c r="T202" s="49" t="s">
        <v>38487</v>
      </c>
      <c r="U202" s="49" t="s">
        <v>38488</v>
      </c>
    </row>
    <row r="203" spans="1:21" x14ac:dyDescent="0.2">
      <c r="A203" s="49" t="s">
        <v>30</v>
      </c>
      <c r="D203" s="49" t="s">
        <v>890</v>
      </c>
      <c r="G203" s="49" t="s">
        <v>38489</v>
      </c>
      <c r="H203" s="49" t="s">
        <v>891</v>
      </c>
      <c r="I203" s="49" t="s">
        <v>892</v>
      </c>
      <c r="J203" s="49" t="s">
        <v>893</v>
      </c>
      <c r="K203" s="49" t="s">
        <v>894</v>
      </c>
      <c r="L203" s="49" t="s">
        <v>895</v>
      </c>
      <c r="M203" s="49" t="s">
        <v>896</v>
      </c>
      <c r="N203" s="49" t="s">
        <v>897</v>
      </c>
      <c r="O203" s="49" t="s">
        <v>8987</v>
      </c>
      <c r="P203" s="49" t="s">
        <v>8988</v>
      </c>
      <c r="Q203" s="49" t="s">
        <v>8989</v>
      </c>
      <c r="R203" s="49" t="s">
        <v>8990</v>
      </c>
      <c r="S203" s="49" t="s">
        <v>8991</v>
      </c>
      <c r="T203" s="49" t="s">
        <v>8992</v>
      </c>
    </row>
    <row r="204" spans="1:21" x14ac:dyDescent="0.2">
      <c r="A204" s="49" t="s">
        <v>30</v>
      </c>
    </row>
    <row r="205" spans="1:21" x14ac:dyDescent="0.2">
      <c r="A205" s="49" t="s">
        <v>30</v>
      </c>
      <c r="E205" s="49" t="s">
        <v>31</v>
      </c>
      <c r="F205" s="49" t="s">
        <v>31</v>
      </c>
      <c r="G205" s="49" t="s">
        <v>31</v>
      </c>
      <c r="J205" s="49" t="s">
        <v>31</v>
      </c>
      <c r="K205" s="49" t="s">
        <v>31</v>
      </c>
      <c r="L205" s="49" t="s">
        <v>31</v>
      </c>
      <c r="M205" s="49" t="s">
        <v>31</v>
      </c>
    </row>
    <row r="206" spans="1:21" x14ac:dyDescent="0.2">
      <c r="A206" s="49" t="s">
        <v>30</v>
      </c>
      <c r="D206" s="49" t="s">
        <v>32429</v>
      </c>
      <c r="E206" s="49" t="s">
        <v>4968</v>
      </c>
      <c r="F206" s="49" t="s">
        <v>32430</v>
      </c>
      <c r="H206" s="49" t="s">
        <v>32431</v>
      </c>
      <c r="O206" s="49" t="s">
        <v>32432</v>
      </c>
      <c r="P206" s="49" t="s">
        <v>32433</v>
      </c>
      <c r="Q206" s="49" t="s">
        <v>32434</v>
      </c>
      <c r="R206" s="49" t="s">
        <v>32435</v>
      </c>
      <c r="S206" s="49" t="s">
        <v>32436</v>
      </c>
      <c r="T206" s="49" t="s">
        <v>32437</v>
      </c>
      <c r="U206" s="49" t="s">
        <v>32438</v>
      </c>
    </row>
    <row r="207" spans="1:21" x14ac:dyDescent="0.2">
      <c r="A207" s="49" t="s">
        <v>30</v>
      </c>
      <c r="D207" s="49" t="s">
        <v>922</v>
      </c>
      <c r="G207" s="49" t="s">
        <v>32439</v>
      </c>
      <c r="H207" s="49" t="s">
        <v>923</v>
      </c>
      <c r="I207" s="49" t="s">
        <v>924</v>
      </c>
      <c r="J207" s="49" t="s">
        <v>925</v>
      </c>
      <c r="K207" s="49" t="s">
        <v>926</v>
      </c>
      <c r="L207" s="49" t="s">
        <v>927</v>
      </c>
      <c r="M207" s="49" t="s">
        <v>928</v>
      </c>
      <c r="N207" s="49" t="s">
        <v>929</v>
      </c>
      <c r="O207" s="49" t="s">
        <v>32440</v>
      </c>
      <c r="P207" s="49" t="s">
        <v>32441</v>
      </c>
      <c r="Q207" s="49" t="s">
        <v>32442</v>
      </c>
      <c r="R207" s="49" t="s">
        <v>32443</v>
      </c>
      <c r="S207" s="49" t="s">
        <v>32444</v>
      </c>
      <c r="T207" s="49" t="s">
        <v>32445</v>
      </c>
    </row>
    <row r="208" spans="1:21" x14ac:dyDescent="0.2">
      <c r="A208" s="49" t="s">
        <v>30</v>
      </c>
    </row>
    <row r="209" spans="1:21" x14ac:dyDescent="0.2">
      <c r="A209" s="49" t="s">
        <v>30</v>
      </c>
      <c r="E209" s="49" t="s">
        <v>31</v>
      </c>
      <c r="F209" s="49" t="s">
        <v>31</v>
      </c>
      <c r="G209" s="49" t="s">
        <v>31</v>
      </c>
      <c r="J209" s="49" t="s">
        <v>31</v>
      </c>
      <c r="K209" s="49" t="s">
        <v>31</v>
      </c>
      <c r="L209" s="49" t="s">
        <v>31</v>
      </c>
      <c r="M209" s="49" t="s">
        <v>31</v>
      </c>
    </row>
    <row r="210" spans="1:21" x14ac:dyDescent="0.2">
      <c r="A210" s="49" t="s">
        <v>30</v>
      </c>
      <c r="D210" s="49" t="s">
        <v>32446</v>
      </c>
      <c r="E210" s="49" t="s">
        <v>4969</v>
      </c>
      <c r="F210" s="49" t="s">
        <v>32447</v>
      </c>
      <c r="H210" s="49" t="s">
        <v>32448</v>
      </c>
      <c r="O210" s="49" t="s">
        <v>32449</v>
      </c>
      <c r="P210" s="49" t="s">
        <v>32450</v>
      </c>
      <c r="Q210" s="49" t="s">
        <v>32451</v>
      </c>
      <c r="R210" s="49" t="s">
        <v>32452</v>
      </c>
      <c r="S210" s="49" t="s">
        <v>32453</v>
      </c>
      <c r="T210" s="49" t="s">
        <v>32454</v>
      </c>
      <c r="U210" s="49" t="s">
        <v>32455</v>
      </c>
    </row>
    <row r="211" spans="1:21" x14ac:dyDescent="0.2">
      <c r="A211" s="49" t="s">
        <v>30</v>
      </c>
      <c r="D211" s="49" t="s">
        <v>2041</v>
      </c>
      <c r="G211" s="49" t="s">
        <v>32456</v>
      </c>
      <c r="H211" s="49" t="s">
        <v>2042</v>
      </c>
      <c r="I211" s="49" t="s">
        <v>2043</v>
      </c>
      <c r="J211" s="49" t="s">
        <v>2044</v>
      </c>
      <c r="K211" s="49" t="s">
        <v>2045</v>
      </c>
      <c r="L211" s="49" t="s">
        <v>2046</v>
      </c>
      <c r="M211" s="49" t="s">
        <v>2047</v>
      </c>
      <c r="N211" s="49" t="s">
        <v>2048</v>
      </c>
      <c r="O211" s="49" t="s">
        <v>8993</v>
      </c>
      <c r="P211" s="49" t="s">
        <v>8994</v>
      </c>
      <c r="Q211" s="49" t="s">
        <v>8995</v>
      </c>
      <c r="R211" s="49" t="s">
        <v>8996</v>
      </c>
      <c r="S211" s="49" t="s">
        <v>8997</v>
      </c>
      <c r="T211" s="49" t="s">
        <v>8998</v>
      </c>
    </row>
    <row r="212" spans="1:21" x14ac:dyDescent="0.2">
      <c r="A212" s="49" t="s">
        <v>30</v>
      </c>
    </row>
    <row r="213" spans="1:21" x14ac:dyDescent="0.2">
      <c r="A213" s="49" t="s">
        <v>30</v>
      </c>
      <c r="E213" s="49" t="s">
        <v>31</v>
      </c>
      <c r="F213" s="49" t="s">
        <v>31</v>
      </c>
      <c r="G213" s="49" t="s">
        <v>31</v>
      </c>
      <c r="J213" s="49" t="s">
        <v>31</v>
      </c>
      <c r="K213" s="49" t="s">
        <v>31</v>
      </c>
      <c r="L213" s="49" t="s">
        <v>31</v>
      </c>
      <c r="M213" s="49" t="s">
        <v>31</v>
      </c>
    </row>
    <row r="214" spans="1:21" x14ac:dyDescent="0.2">
      <c r="A214" s="49" t="s">
        <v>30</v>
      </c>
      <c r="D214" s="49" t="s">
        <v>13826</v>
      </c>
      <c r="E214" s="49" t="s">
        <v>4987</v>
      </c>
      <c r="F214" s="49" t="s">
        <v>13827</v>
      </c>
      <c r="H214" s="49" t="s">
        <v>13828</v>
      </c>
      <c r="O214" s="49" t="s">
        <v>13829</v>
      </c>
      <c r="P214" s="49" t="s">
        <v>13830</v>
      </c>
      <c r="Q214" s="49" t="s">
        <v>13831</v>
      </c>
      <c r="R214" s="49" t="s">
        <v>13832</v>
      </c>
      <c r="S214" s="49" t="s">
        <v>13833</v>
      </c>
      <c r="T214" s="49" t="s">
        <v>13834</v>
      </c>
      <c r="U214" s="49" t="s">
        <v>13835</v>
      </c>
    </row>
    <row r="215" spans="1:21" x14ac:dyDescent="0.2">
      <c r="A215" s="49" t="s">
        <v>30</v>
      </c>
      <c r="D215" s="49" t="s">
        <v>962</v>
      </c>
      <c r="G215" s="49" t="s">
        <v>13836</v>
      </c>
      <c r="H215" s="49" t="s">
        <v>963</v>
      </c>
      <c r="I215" s="49" t="s">
        <v>964</v>
      </c>
      <c r="J215" s="49" t="s">
        <v>965</v>
      </c>
      <c r="K215" s="49" t="s">
        <v>966</v>
      </c>
      <c r="L215" s="49" t="s">
        <v>967</v>
      </c>
      <c r="M215" s="49" t="s">
        <v>968</v>
      </c>
      <c r="N215" s="49" t="s">
        <v>969</v>
      </c>
      <c r="O215" s="49" t="s">
        <v>10396</v>
      </c>
      <c r="P215" s="49" t="s">
        <v>10397</v>
      </c>
      <c r="Q215" s="49" t="s">
        <v>10398</v>
      </c>
      <c r="R215" s="49" t="s">
        <v>10399</v>
      </c>
      <c r="S215" s="49" t="s">
        <v>10400</v>
      </c>
      <c r="T215" s="49" t="s">
        <v>10401</v>
      </c>
    </row>
    <row r="216" spans="1:21" x14ac:dyDescent="0.2">
      <c r="A216" s="49" t="s">
        <v>30</v>
      </c>
      <c r="D216" s="49" t="s">
        <v>970</v>
      </c>
      <c r="G216" s="49" t="s">
        <v>15232</v>
      </c>
      <c r="H216" s="49" t="s">
        <v>971</v>
      </c>
      <c r="I216" s="49" t="s">
        <v>972</v>
      </c>
      <c r="J216" s="49" t="s">
        <v>973</v>
      </c>
      <c r="K216" s="49" t="s">
        <v>974</v>
      </c>
      <c r="L216" s="49" t="s">
        <v>975</v>
      </c>
      <c r="M216" s="49" t="s">
        <v>976</v>
      </c>
      <c r="N216" s="49" t="s">
        <v>977</v>
      </c>
      <c r="O216" s="49" t="s">
        <v>9005</v>
      </c>
      <c r="P216" s="49" t="s">
        <v>9006</v>
      </c>
      <c r="Q216" s="49" t="s">
        <v>9007</v>
      </c>
      <c r="R216" s="49" t="s">
        <v>9008</v>
      </c>
      <c r="S216" s="49" t="s">
        <v>9009</v>
      </c>
      <c r="T216" s="49" t="s">
        <v>9010</v>
      </c>
    </row>
    <row r="217" spans="1:21" x14ac:dyDescent="0.2">
      <c r="A217" s="49" t="s">
        <v>30</v>
      </c>
    </row>
    <row r="218" spans="1:21" x14ac:dyDescent="0.2">
      <c r="A218" s="49" t="s">
        <v>30</v>
      </c>
      <c r="E218" s="49" t="s">
        <v>31</v>
      </c>
      <c r="F218" s="49" t="s">
        <v>31</v>
      </c>
      <c r="G218" s="49" t="s">
        <v>31</v>
      </c>
      <c r="J218" s="49" t="s">
        <v>31</v>
      </c>
      <c r="K218" s="49" t="s">
        <v>31</v>
      </c>
      <c r="L218" s="49" t="s">
        <v>31</v>
      </c>
      <c r="M218" s="49" t="s">
        <v>31</v>
      </c>
    </row>
    <row r="219" spans="1:21" x14ac:dyDescent="0.2">
      <c r="A219" s="49" t="s">
        <v>30</v>
      </c>
      <c r="D219" s="49" t="s">
        <v>10111</v>
      </c>
      <c r="E219" s="49" t="s">
        <v>5002</v>
      </c>
      <c r="F219" s="49" t="s">
        <v>10112</v>
      </c>
      <c r="H219" s="49" t="s">
        <v>10113</v>
      </c>
      <c r="O219" s="49" t="s">
        <v>10402</v>
      </c>
      <c r="P219" s="49" t="s">
        <v>10403</v>
      </c>
      <c r="Q219" s="49" t="s">
        <v>10404</v>
      </c>
      <c r="R219" s="49" t="s">
        <v>10405</v>
      </c>
      <c r="S219" s="49" t="s">
        <v>10406</v>
      </c>
      <c r="T219" s="49" t="s">
        <v>10407</v>
      </c>
      <c r="U219" s="49" t="s">
        <v>10408</v>
      </c>
    </row>
    <row r="220" spans="1:21" x14ac:dyDescent="0.2">
      <c r="A220" s="49" t="s">
        <v>30</v>
      </c>
      <c r="D220" s="49" t="s">
        <v>10114</v>
      </c>
      <c r="G220" s="49" t="s">
        <v>10115</v>
      </c>
      <c r="H220" s="49" t="s">
        <v>10116</v>
      </c>
      <c r="I220" s="49" t="s">
        <v>10117</v>
      </c>
      <c r="J220" s="49" t="s">
        <v>10118</v>
      </c>
      <c r="K220" s="49" t="s">
        <v>10119</v>
      </c>
      <c r="L220" s="49" t="s">
        <v>10120</v>
      </c>
      <c r="M220" s="49" t="s">
        <v>10121</v>
      </c>
      <c r="N220" s="49" t="s">
        <v>10122</v>
      </c>
      <c r="O220" s="49" t="s">
        <v>10123</v>
      </c>
      <c r="P220" s="49" t="s">
        <v>10124</v>
      </c>
      <c r="Q220" s="49" t="s">
        <v>10125</v>
      </c>
      <c r="R220" s="49" t="s">
        <v>10126</v>
      </c>
      <c r="S220" s="49" t="s">
        <v>10127</v>
      </c>
      <c r="T220" s="49" t="s">
        <v>10128</v>
      </c>
    </row>
    <row r="221" spans="1:21" x14ac:dyDescent="0.2">
      <c r="A221" s="49" t="s">
        <v>30</v>
      </c>
      <c r="D221" s="49" t="s">
        <v>9017</v>
      </c>
      <c r="G221" s="49" t="s">
        <v>15263</v>
      </c>
      <c r="H221" s="49" t="s">
        <v>9018</v>
      </c>
      <c r="I221" s="49" t="s">
        <v>9019</v>
      </c>
      <c r="J221" s="49" t="s">
        <v>9020</v>
      </c>
      <c r="K221" s="49" t="s">
        <v>9021</v>
      </c>
      <c r="L221" s="49" t="s">
        <v>9022</v>
      </c>
      <c r="M221" s="49" t="s">
        <v>9023</v>
      </c>
      <c r="N221" s="49" t="s">
        <v>9024</v>
      </c>
      <c r="O221" s="49" t="s">
        <v>9025</v>
      </c>
      <c r="P221" s="49" t="s">
        <v>9026</v>
      </c>
      <c r="Q221" s="49" t="s">
        <v>9027</v>
      </c>
      <c r="R221" s="49" t="s">
        <v>9028</v>
      </c>
      <c r="S221" s="49" t="s">
        <v>9029</v>
      </c>
      <c r="T221" s="49" t="s">
        <v>9030</v>
      </c>
    </row>
    <row r="222" spans="1:21" x14ac:dyDescent="0.2">
      <c r="A222" s="49" t="s">
        <v>30</v>
      </c>
    </row>
    <row r="223" spans="1:21" x14ac:dyDescent="0.2">
      <c r="A223" s="49" t="s">
        <v>30</v>
      </c>
      <c r="E223" s="49" t="s">
        <v>31</v>
      </c>
      <c r="F223" s="49" t="s">
        <v>31</v>
      </c>
      <c r="G223" s="49" t="s">
        <v>31</v>
      </c>
      <c r="J223" s="49" t="s">
        <v>31</v>
      </c>
      <c r="K223" s="49" t="s">
        <v>31</v>
      </c>
      <c r="L223" s="49" t="s">
        <v>31</v>
      </c>
      <c r="M223" s="49" t="s">
        <v>31</v>
      </c>
    </row>
    <row r="224" spans="1:21" x14ac:dyDescent="0.2">
      <c r="A224" s="49" t="s">
        <v>30</v>
      </c>
      <c r="D224" s="49" t="s">
        <v>9031</v>
      </c>
      <c r="E224" s="49" t="s">
        <v>5040</v>
      </c>
      <c r="F224" s="49" t="s">
        <v>9032</v>
      </c>
      <c r="H224" s="49" t="s">
        <v>9033</v>
      </c>
      <c r="O224" s="49" t="s">
        <v>13949</v>
      </c>
      <c r="P224" s="49" t="s">
        <v>13950</v>
      </c>
      <c r="Q224" s="49" t="s">
        <v>13951</v>
      </c>
      <c r="R224" s="49" t="s">
        <v>13952</v>
      </c>
      <c r="S224" s="49" t="s">
        <v>13953</v>
      </c>
      <c r="T224" s="49" t="s">
        <v>13954</v>
      </c>
      <c r="U224" s="49" t="s">
        <v>13955</v>
      </c>
    </row>
    <row r="225" spans="1:21" x14ac:dyDescent="0.2">
      <c r="A225" s="49" t="s">
        <v>30</v>
      </c>
      <c r="D225" s="49" t="s">
        <v>2057</v>
      </c>
      <c r="G225" s="49" t="s">
        <v>9034</v>
      </c>
      <c r="H225" s="49" t="s">
        <v>2058</v>
      </c>
      <c r="I225" s="49" t="s">
        <v>2059</v>
      </c>
      <c r="J225" s="49" t="s">
        <v>2060</v>
      </c>
      <c r="K225" s="49" t="s">
        <v>2061</v>
      </c>
      <c r="L225" s="49" t="s">
        <v>2062</v>
      </c>
      <c r="M225" s="49" t="s">
        <v>2063</v>
      </c>
      <c r="N225" s="49" t="s">
        <v>2064</v>
      </c>
      <c r="O225" s="49" t="s">
        <v>9035</v>
      </c>
      <c r="P225" s="49" t="s">
        <v>9036</v>
      </c>
      <c r="Q225" s="49" t="s">
        <v>9037</v>
      </c>
      <c r="R225" s="49" t="s">
        <v>9038</v>
      </c>
      <c r="S225" s="49" t="s">
        <v>9039</v>
      </c>
      <c r="T225" s="49" t="s">
        <v>9040</v>
      </c>
    </row>
    <row r="226" spans="1:21" x14ac:dyDescent="0.2">
      <c r="A226" s="49" t="s">
        <v>30</v>
      </c>
      <c r="D226" s="49" t="s">
        <v>4687</v>
      </c>
      <c r="G226" s="49" t="s">
        <v>15290</v>
      </c>
      <c r="H226" s="49" t="s">
        <v>4688</v>
      </c>
      <c r="I226" s="49" t="s">
        <v>4689</v>
      </c>
      <c r="J226" s="49" t="s">
        <v>4690</v>
      </c>
      <c r="K226" s="49" t="s">
        <v>4691</v>
      </c>
      <c r="L226" s="49" t="s">
        <v>4692</v>
      </c>
      <c r="M226" s="49" t="s">
        <v>4693</v>
      </c>
      <c r="N226" s="49" t="s">
        <v>4694</v>
      </c>
      <c r="O226" s="49" t="s">
        <v>10409</v>
      </c>
      <c r="P226" s="49" t="s">
        <v>10410</v>
      </c>
      <c r="Q226" s="49" t="s">
        <v>10411</v>
      </c>
      <c r="R226" s="49" t="s">
        <v>10412</v>
      </c>
      <c r="S226" s="49" t="s">
        <v>10413</v>
      </c>
      <c r="T226" s="49" t="s">
        <v>10414</v>
      </c>
    </row>
    <row r="227" spans="1:21" x14ac:dyDescent="0.2">
      <c r="A227" s="49" t="s">
        <v>30</v>
      </c>
    </row>
    <row r="228" spans="1:21" x14ac:dyDescent="0.2">
      <c r="A228" s="49" t="s">
        <v>30</v>
      </c>
      <c r="E228" s="49" t="s">
        <v>31</v>
      </c>
      <c r="F228" s="49" t="s">
        <v>31</v>
      </c>
      <c r="G228" s="49" t="s">
        <v>31</v>
      </c>
      <c r="J228" s="49" t="s">
        <v>31</v>
      </c>
      <c r="K228" s="49" t="s">
        <v>31</v>
      </c>
      <c r="L228" s="49" t="s">
        <v>31</v>
      </c>
      <c r="M228" s="49" t="s">
        <v>31</v>
      </c>
    </row>
    <row r="229" spans="1:21" x14ac:dyDescent="0.2">
      <c r="A229" s="49" t="s">
        <v>30</v>
      </c>
      <c r="D229" s="49" t="s">
        <v>13956</v>
      </c>
      <c r="E229" s="49" t="s">
        <v>5091</v>
      </c>
      <c r="F229" s="49" t="s">
        <v>13957</v>
      </c>
      <c r="H229" s="49" t="s">
        <v>13958</v>
      </c>
      <c r="O229" s="49" t="s">
        <v>38490</v>
      </c>
      <c r="P229" s="49" t="s">
        <v>38491</v>
      </c>
      <c r="Q229" s="49" t="s">
        <v>38492</v>
      </c>
      <c r="R229" s="49" t="s">
        <v>38493</v>
      </c>
      <c r="S229" s="49" t="s">
        <v>38494</v>
      </c>
      <c r="T229" s="49" t="s">
        <v>38495</v>
      </c>
      <c r="U229" s="49" t="s">
        <v>38496</v>
      </c>
    </row>
    <row r="230" spans="1:21" x14ac:dyDescent="0.2">
      <c r="A230" s="49" t="s">
        <v>30</v>
      </c>
      <c r="D230" s="49" t="s">
        <v>1018</v>
      </c>
      <c r="G230" s="49" t="s">
        <v>13966</v>
      </c>
      <c r="H230" s="49" t="s">
        <v>1019</v>
      </c>
      <c r="I230" s="49" t="s">
        <v>1020</v>
      </c>
      <c r="J230" s="49" t="s">
        <v>1021</v>
      </c>
      <c r="K230" s="49" t="s">
        <v>1022</v>
      </c>
      <c r="L230" s="49" t="s">
        <v>1023</v>
      </c>
      <c r="M230" s="49" t="s">
        <v>1024</v>
      </c>
      <c r="N230" s="49" t="s">
        <v>1025</v>
      </c>
      <c r="O230" s="49" t="s">
        <v>13967</v>
      </c>
      <c r="P230" s="49" t="s">
        <v>13968</v>
      </c>
      <c r="Q230" s="49" t="s">
        <v>13969</v>
      </c>
      <c r="R230" s="49" t="s">
        <v>13970</v>
      </c>
      <c r="S230" s="49" t="s">
        <v>13971</v>
      </c>
      <c r="T230" s="49" t="s">
        <v>13972</v>
      </c>
    </row>
    <row r="231" spans="1:21" x14ac:dyDescent="0.2">
      <c r="A231" s="49" t="s">
        <v>30</v>
      </c>
      <c r="D231" s="49" t="s">
        <v>4723</v>
      </c>
      <c r="G231" s="49" t="s">
        <v>15331</v>
      </c>
      <c r="H231" s="49" t="s">
        <v>4724</v>
      </c>
      <c r="I231" s="49" t="s">
        <v>4725</v>
      </c>
      <c r="J231" s="49" t="s">
        <v>4726</v>
      </c>
      <c r="K231" s="49" t="s">
        <v>4727</v>
      </c>
      <c r="L231" s="49" t="s">
        <v>4728</v>
      </c>
      <c r="M231" s="49" t="s">
        <v>4729</v>
      </c>
      <c r="N231" s="49" t="s">
        <v>4730</v>
      </c>
      <c r="O231" s="49" t="s">
        <v>9568</v>
      </c>
      <c r="P231" s="49" t="s">
        <v>9569</v>
      </c>
      <c r="Q231" s="49" t="s">
        <v>9570</v>
      </c>
      <c r="R231" s="49" t="s">
        <v>9571</v>
      </c>
      <c r="S231" s="49" t="s">
        <v>9572</v>
      </c>
      <c r="T231" s="49" t="s">
        <v>9573</v>
      </c>
    </row>
    <row r="232" spans="1:21" x14ac:dyDescent="0.2">
      <c r="A232" s="49" t="s">
        <v>30</v>
      </c>
    </row>
    <row r="233" spans="1:21" x14ac:dyDescent="0.2">
      <c r="A233" s="49" t="s">
        <v>30</v>
      </c>
      <c r="E233" s="49" t="s">
        <v>31</v>
      </c>
      <c r="F233" s="49" t="s">
        <v>31</v>
      </c>
      <c r="G233" s="49" t="s">
        <v>31</v>
      </c>
      <c r="J233" s="49" t="s">
        <v>31</v>
      </c>
      <c r="K233" s="49" t="s">
        <v>31</v>
      </c>
      <c r="L233" s="49" t="s">
        <v>31</v>
      </c>
      <c r="M233" s="49" t="s">
        <v>31</v>
      </c>
    </row>
    <row r="234" spans="1:21" x14ac:dyDescent="0.2">
      <c r="A234" s="49" t="s">
        <v>30</v>
      </c>
      <c r="D234" s="49" t="s">
        <v>9574</v>
      </c>
      <c r="E234" s="49" t="s">
        <v>5100</v>
      </c>
      <c r="F234" s="49" t="s">
        <v>9575</v>
      </c>
      <c r="H234" s="49" t="s">
        <v>9576</v>
      </c>
      <c r="O234" s="49" t="s">
        <v>13410</v>
      </c>
      <c r="P234" s="49" t="s">
        <v>13411</v>
      </c>
      <c r="Q234" s="49" t="s">
        <v>13412</v>
      </c>
      <c r="R234" s="49" t="s">
        <v>13413</v>
      </c>
      <c r="S234" s="49" t="s">
        <v>13414</v>
      </c>
      <c r="T234" s="49" t="s">
        <v>13415</v>
      </c>
      <c r="U234" s="49" t="s">
        <v>13416</v>
      </c>
    </row>
    <row r="235" spans="1:21" x14ac:dyDescent="0.2">
      <c r="A235" s="49" t="s">
        <v>30</v>
      </c>
      <c r="D235" s="49" t="s">
        <v>1034</v>
      </c>
      <c r="G235" s="49" t="s">
        <v>9577</v>
      </c>
      <c r="H235" s="49" t="s">
        <v>1035</v>
      </c>
      <c r="I235" s="49" t="s">
        <v>1036</v>
      </c>
      <c r="J235" s="49" t="s">
        <v>1037</v>
      </c>
      <c r="K235" s="49" t="s">
        <v>1038</v>
      </c>
      <c r="L235" s="49" t="s">
        <v>1039</v>
      </c>
      <c r="M235" s="49" t="s">
        <v>1040</v>
      </c>
      <c r="N235" s="49" t="s">
        <v>1041</v>
      </c>
      <c r="O235" s="49" t="s">
        <v>9578</v>
      </c>
      <c r="P235" s="49" t="s">
        <v>9579</v>
      </c>
      <c r="Q235" s="49" t="s">
        <v>9580</v>
      </c>
      <c r="R235" s="49" t="s">
        <v>9581</v>
      </c>
      <c r="S235" s="49" t="s">
        <v>9582</v>
      </c>
      <c r="T235" s="49" t="s">
        <v>9583</v>
      </c>
    </row>
    <row r="236" spans="1:21" x14ac:dyDescent="0.2">
      <c r="A236" s="49" t="s">
        <v>30</v>
      </c>
      <c r="D236" s="49" t="s">
        <v>3124</v>
      </c>
      <c r="G236" s="49" t="s">
        <v>15348</v>
      </c>
      <c r="H236" s="49" t="s">
        <v>3125</v>
      </c>
      <c r="I236" s="49" t="s">
        <v>3126</v>
      </c>
      <c r="J236" s="49" t="s">
        <v>3127</v>
      </c>
      <c r="K236" s="49" t="s">
        <v>3128</v>
      </c>
      <c r="L236" s="49" t="s">
        <v>3129</v>
      </c>
      <c r="M236" s="49" t="s">
        <v>3130</v>
      </c>
      <c r="N236" s="49" t="s">
        <v>3131</v>
      </c>
      <c r="O236" s="49" t="s">
        <v>13212</v>
      </c>
      <c r="P236" s="49" t="s">
        <v>13213</v>
      </c>
      <c r="Q236" s="49" t="s">
        <v>13214</v>
      </c>
      <c r="R236" s="49" t="s">
        <v>13215</v>
      </c>
      <c r="S236" s="49" t="s">
        <v>13216</v>
      </c>
      <c r="T236" s="49" t="s">
        <v>13217</v>
      </c>
    </row>
    <row r="237" spans="1:21" x14ac:dyDescent="0.2">
      <c r="A237" s="49" t="s">
        <v>30</v>
      </c>
    </row>
    <row r="238" spans="1:21" x14ac:dyDescent="0.2">
      <c r="A238" s="49" t="s">
        <v>30</v>
      </c>
      <c r="E238" s="49" t="s">
        <v>31</v>
      </c>
      <c r="F238" s="49" t="s">
        <v>31</v>
      </c>
      <c r="G238" s="49" t="s">
        <v>31</v>
      </c>
      <c r="J238" s="49" t="s">
        <v>31</v>
      </c>
      <c r="K238" s="49" t="s">
        <v>31</v>
      </c>
      <c r="L238" s="49" t="s">
        <v>31</v>
      </c>
      <c r="M238" s="49" t="s">
        <v>31</v>
      </c>
    </row>
    <row r="239" spans="1:21" x14ac:dyDescent="0.2">
      <c r="A239" s="49" t="s">
        <v>30</v>
      </c>
      <c r="D239" s="49" t="s">
        <v>13417</v>
      </c>
      <c r="E239" s="49" t="s">
        <v>5115</v>
      </c>
      <c r="F239" s="49" t="s">
        <v>13418</v>
      </c>
      <c r="H239" s="49" t="s">
        <v>13419</v>
      </c>
      <c r="O239" s="49" t="s">
        <v>13420</v>
      </c>
      <c r="P239" s="49" t="s">
        <v>13421</v>
      </c>
      <c r="Q239" s="49" t="s">
        <v>13422</v>
      </c>
      <c r="R239" s="49" t="s">
        <v>13423</v>
      </c>
      <c r="S239" s="49" t="s">
        <v>13424</v>
      </c>
      <c r="T239" s="49" t="s">
        <v>13425</v>
      </c>
      <c r="U239" s="49" t="s">
        <v>13426</v>
      </c>
    </row>
    <row r="240" spans="1:21" x14ac:dyDescent="0.2">
      <c r="A240" s="49" t="s">
        <v>30</v>
      </c>
      <c r="D240" s="49" t="s">
        <v>2065</v>
      </c>
      <c r="G240" s="49" t="s">
        <v>13427</v>
      </c>
      <c r="H240" s="49" t="s">
        <v>2066</v>
      </c>
      <c r="I240" s="49" t="s">
        <v>2067</v>
      </c>
      <c r="J240" s="49" t="s">
        <v>2068</v>
      </c>
      <c r="K240" s="49" t="s">
        <v>2069</v>
      </c>
      <c r="L240" s="49" t="s">
        <v>2070</v>
      </c>
      <c r="M240" s="49" t="s">
        <v>2071</v>
      </c>
      <c r="N240" s="49" t="s">
        <v>2072</v>
      </c>
      <c r="O240" s="49" t="s">
        <v>13428</v>
      </c>
      <c r="P240" s="49" t="s">
        <v>13429</v>
      </c>
      <c r="Q240" s="49" t="s">
        <v>13430</v>
      </c>
      <c r="R240" s="49" t="s">
        <v>13431</v>
      </c>
      <c r="S240" s="49" t="s">
        <v>13432</v>
      </c>
      <c r="T240" s="49" t="s">
        <v>13433</v>
      </c>
    </row>
    <row r="241" spans="1:21" x14ac:dyDescent="0.2">
      <c r="A241" s="49" t="s">
        <v>30</v>
      </c>
    </row>
    <row r="242" spans="1:21" x14ac:dyDescent="0.2">
      <c r="A242" s="49" t="s">
        <v>30</v>
      </c>
      <c r="E242" s="49" t="s">
        <v>31</v>
      </c>
      <c r="F242" s="49" t="s">
        <v>31</v>
      </c>
      <c r="G242" s="49" t="s">
        <v>31</v>
      </c>
      <c r="J242" s="49" t="s">
        <v>31</v>
      </c>
      <c r="K242" s="49" t="s">
        <v>31</v>
      </c>
      <c r="L242" s="49" t="s">
        <v>31</v>
      </c>
      <c r="M242" s="49" t="s">
        <v>31</v>
      </c>
    </row>
    <row r="243" spans="1:21" x14ac:dyDescent="0.2">
      <c r="A243" s="49" t="s">
        <v>30</v>
      </c>
      <c r="D243" s="49" t="s">
        <v>13434</v>
      </c>
      <c r="E243" s="49" t="s">
        <v>5130</v>
      </c>
      <c r="F243" s="49" t="s">
        <v>13435</v>
      </c>
      <c r="H243" s="49" t="s">
        <v>13436</v>
      </c>
      <c r="O243" s="49" t="s">
        <v>38497</v>
      </c>
      <c r="P243" s="49" t="s">
        <v>38498</v>
      </c>
      <c r="Q243" s="49" t="s">
        <v>38499</v>
      </c>
      <c r="R243" s="49" t="s">
        <v>38500</v>
      </c>
      <c r="S243" s="49" t="s">
        <v>38501</v>
      </c>
      <c r="T243" s="49" t="s">
        <v>38502</v>
      </c>
      <c r="U243" s="49" t="s">
        <v>38503</v>
      </c>
    </row>
    <row r="244" spans="1:21" x14ac:dyDescent="0.2">
      <c r="A244" s="49" t="s">
        <v>30</v>
      </c>
      <c r="D244" s="49" t="s">
        <v>2387</v>
      </c>
      <c r="G244" s="49" t="s">
        <v>13437</v>
      </c>
      <c r="H244" s="49" t="s">
        <v>2388</v>
      </c>
      <c r="I244" s="49" t="s">
        <v>2389</v>
      </c>
      <c r="J244" s="49" t="s">
        <v>2390</v>
      </c>
      <c r="K244" s="49" t="s">
        <v>2391</v>
      </c>
      <c r="L244" s="49" t="s">
        <v>2392</v>
      </c>
      <c r="M244" s="49" t="s">
        <v>2393</v>
      </c>
      <c r="N244" s="49" t="s">
        <v>2394</v>
      </c>
      <c r="O244" s="49" t="s">
        <v>9594</v>
      </c>
      <c r="P244" s="49" t="s">
        <v>9595</v>
      </c>
      <c r="Q244" s="49" t="s">
        <v>9596</v>
      </c>
      <c r="R244" s="49" t="s">
        <v>9597</v>
      </c>
      <c r="S244" s="49" t="s">
        <v>9598</v>
      </c>
      <c r="T244" s="49" t="s">
        <v>9599</v>
      </c>
    </row>
    <row r="245" spans="1:21" x14ac:dyDescent="0.2">
      <c r="A245" s="49" t="s">
        <v>30</v>
      </c>
      <c r="D245" s="49" t="s">
        <v>2081</v>
      </c>
      <c r="G245" s="49" t="s">
        <v>15399</v>
      </c>
      <c r="H245" s="49" t="s">
        <v>2082</v>
      </c>
      <c r="I245" s="49" t="s">
        <v>2083</v>
      </c>
      <c r="J245" s="49" t="s">
        <v>2084</v>
      </c>
      <c r="K245" s="49" t="s">
        <v>2085</v>
      </c>
      <c r="L245" s="49" t="s">
        <v>2086</v>
      </c>
      <c r="M245" s="49" t="s">
        <v>2087</v>
      </c>
      <c r="N245" s="49" t="s">
        <v>2088</v>
      </c>
      <c r="O245" s="49" t="s">
        <v>9600</v>
      </c>
      <c r="P245" s="49" t="s">
        <v>9601</v>
      </c>
      <c r="Q245" s="49" t="s">
        <v>9602</v>
      </c>
      <c r="R245" s="49" t="s">
        <v>9603</v>
      </c>
      <c r="S245" s="49" t="s">
        <v>9604</v>
      </c>
      <c r="T245" s="49" t="s">
        <v>9605</v>
      </c>
    </row>
    <row r="246" spans="1:21" x14ac:dyDescent="0.2">
      <c r="A246" s="49" t="s">
        <v>30</v>
      </c>
      <c r="D246" s="49" t="s">
        <v>2589</v>
      </c>
      <c r="G246" s="49" t="s">
        <v>15408</v>
      </c>
      <c r="H246" s="49" t="s">
        <v>2590</v>
      </c>
      <c r="I246" s="49" t="s">
        <v>2591</v>
      </c>
      <c r="J246" s="49" t="s">
        <v>2592</v>
      </c>
      <c r="K246" s="49" t="s">
        <v>2593</v>
      </c>
      <c r="L246" s="49" t="s">
        <v>2594</v>
      </c>
      <c r="M246" s="49" t="s">
        <v>2595</v>
      </c>
      <c r="N246" s="49" t="s">
        <v>2596</v>
      </c>
      <c r="O246" s="49" t="s">
        <v>10148</v>
      </c>
      <c r="P246" s="49" t="s">
        <v>10149</v>
      </c>
      <c r="Q246" s="49" t="s">
        <v>10150</v>
      </c>
      <c r="R246" s="49" t="s">
        <v>10151</v>
      </c>
      <c r="S246" s="49" t="s">
        <v>10152</v>
      </c>
      <c r="T246" s="49" t="s">
        <v>10153</v>
      </c>
    </row>
    <row r="247" spans="1:21" x14ac:dyDescent="0.2">
      <c r="A247" s="49" t="s">
        <v>30</v>
      </c>
      <c r="D247" s="49" t="s">
        <v>1058</v>
      </c>
      <c r="G247" s="49" t="s">
        <v>15413</v>
      </c>
      <c r="H247" s="49" t="s">
        <v>1059</v>
      </c>
      <c r="I247" s="49" t="s">
        <v>1060</v>
      </c>
      <c r="J247" s="49" t="s">
        <v>1061</v>
      </c>
      <c r="K247" s="49" t="s">
        <v>1062</v>
      </c>
      <c r="L247" s="49" t="s">
        <v>1063</v>
      </c>
      <c r="M247" s="49" t="s">
        <v>1064</v>
      </c>
      <c r="N247" s="49" t="s">
        <v>1065</v>
      </c>
      <c r="O247" s="49" t="s">
        <v>9067</v>
      </c>
      <c r="P247" s="49" t="s">
        <v>9068</v>
      </c>
      <c r="Q247" s="49" t="s">
        <v>9069</v>
      </c>
      <c r="R247" s="49" t="s">
        <v>9070</v>
      </c>
      <c r="S247" s="49" t="s">
        <v>9071</v>
      </c>
      <c r="T247" s="49" t="s">
        <v>9072</v>
      </c>
    </row>
    <row r="248" spans="1:21" x14ac:dyDescent="0.2">
      <c r="A248" s="49" t="s">
        <v>30</v>
      </c>
    </row>
    <row r="249" spans="1:21" x14ac:dyDescent="0.2">
      <c r="A249" s="49" t="s">
        <v>30</v>
      </c>
      <c r="E249" s="49" t="s">
        <v>31</v>
      </c>
      <c r="F249" s="49" t="s">
        <v>31</v>
      </c>
      <c r="G249" s="49" t="s">
        <v>31</v>
      </c>
      <c r="J249" s="49" t="s">
        <v>31</v>
      </c>
      <c r="K249" s="49" t="s">
        <v>31</v>
      </c>
      <c r="L249" s="49" t="s">
        <v>31</v>
      </c>
      <c r="M249" s="49" t="s">
        <v>31</v>
      </c>
    </row>
    <row r="250" spans="1:21" x14ac:dyDescent="0.2">
      <c r="A250" s="49" t="s">
        <v>30</v>
      </c>
      <c r="D250" s="49" t="s">
        <v>10154</v>
      </c>
      <c r="E250" s="49" t="s">
        <v>5159</v>
      </c>
      <c r="F250" s="49" t="s">
        <v>10155</v>
      </c>
      <c r="H250" s="49" t="s">
        <v>10156</v>
      </c>
      <c r="O250" s="49" t="s">
        <v>38504</v>
      </c>
      <c r="P250" s="49" t="s">
        <v>38505</v>
      </c>
      <c r="Q250" s="49" t="s">
        <v>38506</v>
      </c>
      <c r="R250" s="49" t="s">
        <v>38507</v>
      </c>
      <c r="S250" s="49" t="s">
        <v>38508</v>
      </c>
      <c r="T250" s="49" t="s">
        <v>38509</v>
      </c>
      <c r="U250" s="49" t="s">
        <v>38510</v>
      </c>
    </row>
    <row r="251" spans="1:21" x14ac:dyDescent="0.2">
      <c r="A251" s="49" t="s">
        <v>30</v>
      </c>
      <c r="D251" s="49" t="s">
        <v>1066</v>
      </c>
      <c r="G251" s="49" t="s">
        <v>10157</v>
      </c>
      <c r="H251" s="49" t="s">
        <v>1067</v>
      </c>
      <c r="I251" s="49" t="s">
        <v>1068</v>
      </c>
      <c r="J251" s="49" t="s">
        <v>1069</v>
      </c>
      <c r="K251" s="49" t="s">
        <v>1070</v>
      </c>
      <c r="L251" s="49" t="s">
        <v>1071</v>
      </c>
      <c r="M251" s="49" t="s">
        <v>1072</v>
      </c>
      <c r="N251" s="49" t="s">
        <v>1073</v>
      </c>
      <c r="O251" s="49" t="s">
        <v>10158</v>
      </c>
      <c r="P251" s="49" t="s">
        <v>10159</v>
      </c>
      <c r="Q251" s="49" t="s">
        <v>10160</v>
      </c>
      <c r="R251" s="49" t="s">
        <v>10161</v>
      </c>
      <c r="S251" s="49" t="s">
        <v>10162</v>
      </c>
      <c r="T251" s="49" t="s">
        <v>10163</v>
      </c>
    </row>
    <row r="252" spans="1:21" x14ac:dyDescent="0.2">
      <c r="A252" s="49" t="s">
        <v>30</v>
      </c>
      <c r="D252" s="49" t="s">
        <v>1074</v>
      </c>
      <c r="G252" s="49" t="s">
        <v>15443</v>
      </c>
      <c r="H252" s="49" t="s">
        <v>1075</v>
      </c>
      <c r="I252" s="49" t="s">
        <v>1076</v>
      </c>
      <c r="J252" s="49" t="s">
        <v>1077</v>
      </c>
      <c r="K252" s="49" t="s">
        <v>1078</v>
      </c>
      <c r="L252" s="49" t="s">
        <v>1079</v>
      </c>
      <c r="M252" s="49" t="s">
        <v>1080</v>
      </c>
      <c r="N252" s="49" t="s">
        <v>1081</v>
      </c>
      <c r="O252" s="49" t="s">
        <v>9090</v>
      </c>
      <c r="P252" s="49" t="s">
        <v>9091</v>
      </c>
      <c r="Q252" s="49" t="s">
        <v>9092</v>
      </c>
      <c r="R252" s="49" t="s">
        <v>9093</v>
      </c>
      <c r="S252" s="49" t="s">
        <v>9094</v>
      </c>
      <c r="T252" s="49" t="s">
        <v>9095</v>
      </c>
    </row>
    <row r="253" spans="1:21" x14ac:dyDescent="0.2">
      <c r="A253" s="49" t="s">
        <v>30</v>
      </c>
      <c r="D253" s="49" t="s">
        <v>1082</v>
      </c>
      <c r="G253" s="49" t="s">
        <v>15454</v>
      </c>
      <c r="H253" s="49" t="s">
        <v>1083</v>
      </c>
      <c r="I253" s="49" t="s">
        <v>1084</v>
      </c>
      <c r="J253" s="49" t="s">
        <v>1085</v>
      </c>
      <c r="K253" s="49" t="s">
        <v>1086</v>
      </c>
      <c r="L253" s="49" t="s">
        <v>1087</v>
      </c>
      <c r="M253" s="49" t="s">
        <v>1088</v>
      </c>
      <c r="N253" s="49" t="s">
        <v>1089</v>
      </c>
      <c r="O253" s="49" t="s">
        <v>33014</v>
      </c>
      <c r="P253" s="49" t="s">
        <v>33015</v>
      </c>
      <c r="Q253" s="49" t="s">
        <v>33016</v>
      </c>
      <c r="R253" s="49" t="s">
        <v>33017</v>
      </c>
      <c r="S253" s="49" t="s">
        <v>33018</v>
      </c>
      <c r="T253" s="49" t="s">
        <v>33019</v>
      </c>
    </row>
    <row r="254" spans="1:21" x14ac:dyDescent="0.2">
      <c r="A254" s="49" t="s">
        <v>30</v>
      </c>
      <c r="D254" s="49" t="s">
        <v>2597</v>
      </c>
      <c r="G254" s="49" t="s">
        <v>15463</v>
      </c>
      <c r="H254" s="49" t="s">
        <v>2598</v>
      </c>
      <c r="I254" s="49" t="s">
        <v>2599</v>
      </c>
      <c r="J254" s="49" t="s">
        <v>2600</v>
      </c>
      <c r="K254" s="49" t="s">
        <v>2601</v>
      </c>
      <c r="L254" s="49" t="s">
        <v>2602</v>
      </c>
      <c r="M254" s="49" t="s">
        <v>2603</v>
      </c>
      <c r="N254" s="49" t="s">
        <v>2604</v>
      </c>
      <c r="O254" s="49" t="s">
        <v>9637</v>
      </c>
      <c r="P254" s="49" t="s">
        <v>9638</v>
      </c>
      <c r="Q254" s="49" t="s">
        <v>9639</v>
      </c>
      <c r="R254" s="49" t="s">
        <v>9640</v>
      </c>
      <c r="S254" s="49" t="s">
        <v>9641</v>
      </c>
      <c r="T254" s="49" t="s">
        <v>9642</v>
      </c>
    </row>
    <row r="255" spans="1:21" x14ac:dyDescent="0.2">
      <c r="A255" s="49" t="s">
        <v>30</v>
      </c>
    </row>
    <row r="256" spans="1:21" x14ac:dyDescent="0.2">
      <c r="A256" s="49" t="s">
        <v>30</v>
      </c>
      <c r="E256" s="49" t="s">
        <v>31</v>
      </c>
      <c r="F256" s="49" t="s">
        <v>31</v>
      </c>
      <c r="G256" s="49" t="s">
        <v>31</v>
      </c>
      <c r="J256" s="49" t="s">
        <v>31</v>
      </c>
      <c r="K256" s="49" t="s">
        <v>31</v>
      </c>
      <c r="L256" s="49" t="s">
        <v>31</v>
      </c>
      <c r="M256" s="49" t="s">
        <v>31</v>
      </c>
    </row>
    <row r="257" spans="1:21" x14ac:dyDescent="0.2">
      <c r="A257" s="49" t="s">
        <v>30</v>
      </c>
      <c r="D257" s="49" t="s">
        <v>9643</v>
      </c>
      <c r="E257" s="49" t="s">
        <v>5174</v>
      </c>
      <c r="F257" s="49" t="s">
        <v>9644</v>
      </c>
      <c r="H257" s="49" t="s">
        <v>9645</v>
      </c>
      <c r="O257" s="49" t="s">
        <v>38511</v>
      </c>
      <c r="P257" s="49" t="s">
        <v>38512</v>
      </c>
      <c r="Q257" s="49" t="s">
        <v>38513</v>
      </c>
      <c r="R257" s="49" t="s">
        <v>38514</v>
      </c>
      <c r="S257" s="49" t="s">
        <v>38515</v>
      </c>
      <c r="T257" s="49" t="s">
        <v>38516</v>
      </c>
      <c r="U257" s="49" t="s">
        <v>38517</v>
      </c>
    </row>
    <row r="258" spans="1:21" x14ac:dyDescent="0.2">
      <c r="A258" s="49" t="s">
        <v>30</v>
      </c>
      <c r="D258" s="49" t="s">
        <v>1098</v>
      </c>
      <c r="G258" s="49" t="s">
        <v>9646</v>
      </c>
      <c r="H258" s="49" t="s">
        <v>1099</v>
      </c>
      <c r="I258" s="49" t="s">
        <v>1100</v>
      </c>
      <c r="J258" s="49" t="s">
        <v>1101</v>
      </c>
      <c r="K258" s="49" t="s">
        <v>1102</v>
      </c>
      <c r="L258" s="49" t="s">
        <v>1103</v>
      </c>
      <c r="M258" s="49" t="s">
        <v>1104</v>
      </c>
      <c r="N258" s="49" t="s">
        <v>1105</v>
      </c>
      <c r="O258" s="49" t="s">
        <v>9106</v>
      </c>
      <c r="P258" s="49" t="s">
        <v>9107</v>
      </c>
      <c r="Q258" s="49" t="s">
        <v>9108</v>
      </c>
      <c r="R258" s="49" t="s">
        <v>9109</v>
      </c>
      <c r="S258" s="49" t="s">
        <v>9110</v>
      </c>
      <c r="T258" s="49" t="s">
        <v>9111</v>
      </c>
    </row>
    <row r="259" spans="1:21" x14ac:dyDescent="0.2">
      <c r="A259" s="49" t="s">
        <v>30</v>
      </c>
      <c r="D259" s="49" t="s">
        <v>1106</v>
      </c>
      <c r="G259" s="49" t="s">
        <v>15509</v>
      </c>
      <c r="H259" s="49" t="s">
        <v>1107</v>
      </c>
      <c r="I259" s="49" t="s">
        <v>1108</v>
      </c>
      <c r="J259" s="49" t="s">
        <v>1109</v>
      </c>
      <c r="K259" s="49" t="s">
        <v>1110</v>
      </c>
      <c r="L259" s="49" t="s">
        <v>1111</v>
      </c>
      <c r="M259" s="49" t="s">
        <v>1112</v>
      </c>
      <c r="N259" s="49" t="s">
        <v>1113</v>
      </c>
      <c r="O259" s="49" t="s">
        <v>9647</v>
      </c>
      <c r="P259" s="49" t="s">
        <v>9648</v>
      </c>
      <c r="Q259" s="49" t="s">
        <v>9649</v>
      </c>
      <c r="R259" s="49" t="s">
        <v>9650</v>
      </c>
      <c r="S259" s="49" t="s">
        <v>9651</v>
      </c>
      <c r="T259" s="49" t="s">
        <v>9652</v>
      </c>
    </row>
    <row r="260" spans="1:21" x14ac:dyDescent="0.2">
      <c r="A260" s="49" t="s">
        <v>30</v>
      </c>
      <c r="D260" s="49" t="s">
        <v>2113</v>
      </c>
      <c r="G260" s="49" t="s">
        <v>15510</v>
      </c>
      <c r="H260" s="49" t="s">
        <v>2114</v>
      </c>
      <c r="I260" s="49" t="s">
        <v>2115</v>
      </c>
      <c r="J260" s="49" t="s">
        <v>2116</v>
      </c>
      <c r="K260" s="49" t="s">
        <v>2117</v>
      </c>
      <c r="L260" s="49" t="s">
        <v>2118</v>
      </c>
      <c r="M260" s="49" t="s">
        <v>2119</v>
      </c>
      <c r="N260" s="49" t="s">
        <v>2120</v>
      </c>
      <c r="O260" s="49" t="s">
        <v>13239</v>
      </c>
      <c r="P260" s="49" t="s">
        <v>13240</v>
      </c>
      <c r="Q260" s="49" t="s">
        <v>13241</v>
      </c>
      <c r="R260" s="49" t="s">
        <v>13242</v>
      </c>
      <c r="S260" s="49" t="s">
        <v>13243</v>
      </c>
      <c r="T260" s="49" t="s">
        <v>13244</v>
      </c>
    </row>
    <row r="261" spans="1:21" x14ac:dyDescent="0.2">
      <c r="A261" s="49" t="s">
        <v>30</v>
      </c>
    </row>
    <row r="262" spans="1:21" x14ac:dyDescent="0.2">
      <c r="A262" s="49" t="s">
        <v>30</v>
      </c>
      <c r="E262" s="49" t="s">
        <v>31</v>
      </c>
      <c r="F262" s="49" t="s">
        <v>31</v>
      </c>
      <c r="G262" s="49" t="s">
        <v>31</v>
      </c>
      <c r="J262" s="49" t="s">
        <v>31</v>
      </c>
      <c r="K262" s="49" t="s">
        <v>31</v>
      </c>
      <c r="L262" s="49" t="s">
        <v>31</v>
      </c>
      <c r="M262" s="49" t="s">
        <v>31</v>
      </c>
    </row>
    <row r="263" spans="1:21" x14ac:dyDescent="0.2">
      <c r="A263" s="49" t="s">
        <v>30</v>
      </c>
      <c r="D263" s="49" t="s">
        <v>4759</v>
      </c>
      <c r="E263" s="49" t="s">
        <v>5189</v>
      </c>
      <c r="F263" s="49" t="s">
        <v>4761</v>
      </c>
      <c r="H263" s="49" t="s">
        <v>4762</v>
      </c>
      <c r="O263" s="49" t="s">
        <v>13245</v>
      </c>
      <c r="P263" s="49" t="s">
        <v>13246</v>
      </c>
      <c r="Q263" s="49" t="s">
        <v>13247</v>
      </c>
      <c r="R263" s="49" t="s">
        <v>13248</v>
      </c>
      <c r="S263" s="49" t="s">
        <v>13249</v>
      </c>
      <c r="T263" s="49" t="s">
        <v>13250</v>
      </c>
      <c r="U263" s="49" t="s">
        <v>13251</v>
      </c>
    </row>
    <row r="264" spans="1:21" x14ac:dyDescent="0.2">
      <c r="A264" s="49" t="s">
        <v>30</v>
      </c>
      <c r="D264" s="49" t="s">
        <v>1122</v>
      </c>
      <c r="G264" s="49" t="s">
        <v>13252</v>
      </c>
      <c r="H264" s="49" t="s">
        <v>1123</v>
      </c>
      <c r="I264" s="49" t="s">
        <v>1124</v>
      </c>
      <c r="J264" s="49" t="s">
        <v>1125</v>
      </c>
      <c r="K264" s="49" t="s">
        <v>1126</v>
      </c>
      <c r="L264" s="49" t="s">
        <v>1127</v>
      </c>
      <c r="M264" s="49" t="s">
        <v>1128</v>
      </c>
      <c r="N264" s="49" t="s">
        <v>1129</v>
      </c>
      <c r="O264" s="49" t="s">
        <v>13253</v>
      </c>
      <c r="P264" s="49" t="s">
        <v>13254</v>
      </c>
      <c r="Q264" s="49" t="s">
        <v>13255</v>
      </c>
      <c r="R264" s="49" t="s">
        <v>13256</v>
      </c>
      <c r="S264" s="49" t="s">
        <v>13257</v>
      </c>
      <c r="T264" s="49" t="s">
        <v>13258</v>
      </c>
    </row>
    <row r="265" spans="1:21" x14ac:dyDescent="0.2">
      <c r="A265" s="49" t="s">
        <v>30</v>
      </c>
    </row>
    <row r="266" spans="1:21" x14ac:dyDescent="0.2">
      <c r="A266" s="49" t="s">
        <v>30</v>
      </c>
      <c r="E266" s="49" t="s">
        <v>31</v>
      </c>
      <c r="F266" s="49" t="s">
        <v>31</v>
      </c>
      <c r="G266" s="49" t="s">
        <v>31</v>
      </c>
      <c r="J266" s="49" t="s">
        <v>31</v>
      </c>
      <c r="K266" s="49" t="s">
        <v>31</v>
      </c>
      <c r="L266" s="49" t="s">
        <v>31</v>
      </c>
      <c r="M266" s="49" t="s">
        <v>31</v>
      </c>
    </row>
    <row r="267" spans="1:21" x14ac:dyDescent="0.2">
      <c r="A267" s="49" t="s">
        <v>30</v>
      </c>
      <c r="D267" s="49" t="s">
        <v>13259</v>
      </c>
      <c r="E267" s="49" t="s">
        <v>5226</v>
      </c>
      <c r="F267" s="49" t="s">
        <v>13260</v>
      </c>
      <c r="H267" s="49" t="s">
        <v>13261</v>
      </c>
      <c r="O267" s="49" t="s">
        <v>13262</v>
      </c>
      <c r="P267" s="49" t="s">
        <v>13263</v>
      </c>
      <c r="Q267" s="49" t="s">
        <v>13264</v>
      </c>
      <c r="R267" s="49" t="s">
        <v>13265</v>
      </c>
      <c r="S267" s="49" t="s">
        <v>13266</v>
      </c>
      <c r="T267" s="49" t="s">
        <v>13267</v>
      </c>
      <c r="U267" s="49" t="s">
        <v>13268</v>
      </c>
    </row>
    <row r="268" spans="1:21" x14ac:dyDescent="0.2">
      <c r="A268" s="49" t="s">
        <v>30</v>
      </c>
      <c r="D268" s="49" t="s">
        <v>2403</v>
      </c>
      <c r="G268" s="49" t="s">
        <v>13269</v>
      </c>
      <c r="H268" s="49" t="s">
        <v>2404</v>
      </c>
      <c r="I268" s="49" t="s">
        <v>2405</v>
      </c>
      <c r="J268" s="49" t="s">
        <v>2406</v>
      </c>
      <c r="K268" s="49" t="s">
        <v>2407</v>
      </c>
      <c r="L268" s="49" t="s">
        <v>2408</v>
      </c>
      <c r="M268" s="49" t="s">
        <v>2409</v>
      </c>
      <c r="N268" s="49" t="s">
        <v>2410</v>
      </c>
      <c r="O268" s="49" t="s">
        <v>9653</v>
      </c>
      <c r="P268" s="49" t="s">
        <v>9654</v>
      </c>
      <c r="Q268" s="49" t="s">
        <v>9655</v>
      </c>
      <c r="R268" s="49" t="s">
        <v>9656</v>
      </c>
      <c r="S268" s="49" t="s">
        <v>9657</v>
      </c>
      <c r="T268" s="49" t="s">
        <v>9658</v>
      </c>
    </row>
    <row r="269" spans="1:21" x14ac:dyDescent="0.2">
      <c r="A269" s="49" t="s">
        <v>30</v>
      </c>
    </row>
    <row r="270" spans="1:21" x14ac:dyDescent="0.2">
      <c r="A270" s="49" t="s">
        <v>30</v>
      </c>
      <c r="E270" s="49" t="s">
        <v>31</v>
      </c>
      <c r="F270" s="49" t="s">
        <v>31</v>
      </c>
      <c r="G270" s="49" t="s">
        <v>31</v>
      </c>
      <c r="J270" s="49" t="s">
        <v>31</v>
      </c>
      <c r="K270" s="49" t="s">
        <v>31</v>
      </c>
      <c r="L270" s="49" t="s">
        <v>31</v>
      </c>
      <c r="M270" s="49" t="s">
        <v>31</v>
      </c>
    </row>
    <row r="271" spans="1:21" x14ac:dyDescent="0.2">
      <c r="A271" s="49" t="s">
        <v>30</v>
      </c>
      <c r="D271" s="49" t="s">
        <v>2411</v>
      </c>
      <c r="E271" s="49" t="s">
        <v>5256</v>
      </c>
      <c r="F271" s="49" t="s">
        <v>2412</v>
      </c>
      <c r="H271" s="49" t="s">
        <v>2413</v>
      </c>
      <c r="O271" s="49" t="s">
        <v>13270</v>
      </c>
      <c r="P271" s="49" t="s">
        <v>13271</v>
      </c>
      <c r="Q271" s="49" t="s">
        <v>13272</v>
      </c>
      <c r="R271" s="49" t="s">
        <v>13273</v>
      </c>
      <c r="S271" s="49" t="s">
        <v>13274</v>
      </c>
      <c r="T271" s="49" t="s">
        <v>13275</v>
      </c>
      <c r="U271" s="49" t="s">
        <v>13276</v>
      </c>
    </row>
    <row r="272" spans="1:21" x14ac:dyDescent="0.2">
      <c r="A272" s="49" t="s">
        <v>30</v>
      </c>
      <c r="D272" s="49" t="s">
        <v>1138</v>
      </c>
      <c r="G272" s="49" t="s">
        <v>9659</v>
      </c>
      <c r="H272" s="49" t="s">
        <v>1139</v>
      </c>
      <c r="I272" s="49" t="s">
        <v>1140</v>
      </c>
      <c r="J272" s="49" t="s">
        <v>1141</v>
      </c>
      <c r="K272" s="49" t="s">
        <v>1142</v>
      </c>
      <c r="L272" s="49" t="s">
        <v>1143</v>
      </c>
      <c r="M272" s="49" t="s">
        <v>1144</v>
      </c>
      <c r="N272" s="49" t="s">
        <v>1145</v>
      </c>
      <c r="O272" s="49" t="s">
        <v>9140</v>
      </c>
      <c r="P272" s="49" t="s">
        <v>9141</v>
      </c>
      <c r="Q272" s="49" t="s">
        <v>9142</v>
      </c>
      <c r="R272" s="49" t="s">
        <v>9143</v>
      </c>
      <c r="S272" s="49" t="s">
        <v>9144</v>
      </c>
      <c r="T272" s="49" t="s">
        <v>9145</v>
      </c>
    </row>
    <row r="273" spans="1:21" x14ac:dyDescent="0.2">
      <c r="A273" s="49" t="s">
        <v>30</v>
      </c>
    </row>
    <row r="274" spans="1:21" x14ac:dyDescent="0.2">
      <c r="A274" s="49" t="s">
        <v>30</v>
      </c>
      <c r="E274" s="49" t="s">
        <v>31</v>
      </c>
      <c r="F274" s="49" t="s">
        <v>31</v>
      </c>
      <c r="G274" s="49" t="s">
        <v>31</v>
      </c>
      <c r="J274" s="49" t="s">
        <v>31</v>
      </c>
      <c r="K274" s="49" t="s">
        <v>31</v>
      </c>
      <c r="L274" s="49" t="s">
        <v>31</v>
      </c>
      <c r="M274" s="49" t="s">
        <v>31</v>
      </c>
    </row>
    <row r="275" spans="1:21" x14ac:dyDescent="0.2">
      <c r="A275" s="49" t="s">
        <v>30</v>
      </c>
      <c r="D275" s="49" t="s">
        <v>9146</v>
      </c>
      <c r="E275" s="49" t="s">
        <v>5301</v>
      </c>
      <c r="F275" s="49" t="s">
        <v>9147</v>
      </c>
      <c r="H275" s="49" t="s">
        <v>9148</v>
      </c>
      <c r="O275" s="49" t="s">
        <v>9149</v>
      </c>
      <c r="P275" s="49" t="s">
        <v>9150</v>
      </c>
      <c r="Q275" s="49" t="s">
        <v>9151</v>
      </c>
      <c r="R275" s="49" t="s">
        <v>9152</v>
      </c>
      <c r="S275" s="49" t="s">
        <v>9153</v>
      </c>
      <c r="T275" s="49" t="s">
        <v>9154</v>
      </c>
      <c r="U275" s="49" t="s">
        <v>9155</v>
      </c>
    </row>
    <row r="276" spans="1:21" x14ac:dyDescent="0.2">
      <c r="A276" s="49" t="s">
        <v>30</v>
      </c>
      <c r="D276" s="49" t="s">
        <v>1162</v>
      </c>
      <c r="G276" s="49" t="s">
        <v>9156</v>
      </c>
      <c r="H276" s="49" t="s">
        <v>1163</v>
      </c>
      <c r="I276" s="49" t="s">
        <v>1164</v>
      </c>
      <c r="J276" s="49" t="s">
        <v>1165</v>
      </c>
      <c r="K276" s="49" t="s">
        <v>1166</v>
      </c>
      <c r="L276" s="49" t="s">
        <v>1167</v>
      </c>
      <c r="M276" s="49" t="s">
        <v>1168</v>
      </c>
      <c r="N276" s="49" t="s">
        <v>1169</v>
      </c>
      <c r="O276" s="49" t="s">
        <v>9157</v>
      </c>
      <c r="P276" s="49" t="s">
        <v>9158</v>
      </c>
      <c r="Q276" s="49" t="s">
        <v>9159</v>
      </c>
      <c r="R276" s="49" t="s">
        <v>9160</v>
      </c>
      <c r="S276" s="49" t="s">
        <v>9161</v>
      </c>
      <c r="T276" s="49" t="s">
        <v>9162</v>
      </c>
    </row>
    <row r="277" spans="1:21" x14ac:dyDescent="0.2">
      <c r="A277" s="49" t="s">
        <v>30</v>
      </c>
    </row>
    <row r="278" spans="1:21" x14ac:dyDescent="0.2">
      <c r="A278" s="49" t="s">
        <v>30</v>
      </c>
      <c r="E278" s="49" t="s">
        <v>31</v>
      </c>
      <c r="F278" s="49" t="s">
        <v>31</v>
      </c>
      <c r="G278" s="49" t="s">
        <v>31</v>
      </c>
      <c r="J278" s="49" t="s">
        <v>31</v>
      </c>
      <c r="K278" s="49" t="s">
        <v>31</v>
      </c>
      <c r="L278" s="49" t="s">
        <v>31</v>
      </c>
      <c r="M278" s="49" t="s">
        <v>31</v>
      </c>
    </row>
    <row r="279" spans="1:21" x14ac:dyDescent="0.2">
      <c r="A279" s="49" t="s">
        <v>30</v>
      </c>
      <c r="D279" s="49" t="s">
        <v>9163</v>
      </c>
      <c r="E279" s="49" t="s">
        <v>5316</v>
      </c>
      <c r="F279" s="49" t="s">
        <v>9164</v>
      </c>
      <c r="H279" s="49" t="s">
        <v>9165</v>
      </c>
      <c r="O279" s="49" t="s">
        <v>9166</v>
      </c>
      <c r="P279" s="49" t="s">
        <v>9167</v>
      </c>
      <c r="Q279" s="49" t="s">
        <v>9168</v>
      </c>
      <c r="R279" s="49" t="s">
        <v>9169</v>
      </c>
      <c r="S279" s="49" t="s">
        <v>9170</v>
      </c>
      <c r="T279" s="49" t="s">
        <v>9171</v>
      </c>
      <c r="U279" s="49" t="s">
        <v>9172</v>
      </c>
    </row>
    <row r="280" spans="1:21" x14ac:dyDescent="0.2">
      <c r="A280" s="49" t="s">
        <v>30</v>
      </c>
      <c r="D280" s="49" t="s">
        <v>2813</v>
      </c>
      <c r="G280" s="49" t="s">
        <v>9173</v>
      </c>
      <c r="H280" s="49" t="s">
        <v>2814</v>
      </c>
      <c r="I280" s="49" t="s">
        <v>2815</v>
      </c>
      <c r="J280" s="49" t="s">
        <v>2816</v>
      </c>
      <c r="K280" s="49" t="s">
        <v>2817</v>
      </c>
      <c r="L280" s="49" t="s">
        <v>2818</v>
      </c>
      <c r="M280" s="49" t="s">
        <v>2819</v>
      </c>
      <c r="N280" s="49" t="s">
        <v>2820</v>
      </c>
      <c r="O280" s="49" t="s">
        <v>9174</v>
      </c>
      <c r="P280" s="49" t="s">
        <v>9175</v>
      </c>
      <c r="Q280" s="49" t="s">
        <v>9176</v>
      </c>
      <c r="R280" s="49" t="s">
        <v>9177</v>
      </c>
      <c r="S280" s="49" t="s">
        <v>9178</v>
      </c>
      <c r="T280" s="49" t="s">
        <v>9179</v>
      </c>
    </row>
    <row r="281" spans="1:21" x14ac:dyDescent="0.2">
      <c r="A281" s="49" t="s">
        <v>30</v>
      </c>
    </row>
    <row r="282" spans="1:21" x14ac:dyDescent="0.2">
      <c r="A282" s="49" t="s">
        <v>30</v>
      </c>
      <c r="E282" s="49" t="s">
        <v>31</v>
      </c>
      <c r="F282" s="49" t="s">
        <v>31</v>
      </c>
      <c r="G282" s="49" t="s">
        <v>31</v>
      </c>
      <c r="J282" s="49" t="s">
        <v>31</v>
      </c>
      <c r="K282" s="49" t="s">
        <v>31</v>
      </c>
      <c r="L282" s="49" t="s">
        <v>31</v>
      </c>
      <c r="M282" s="49" t="s">
        <v>31</v>
      </c>
    </row>
    <row r="283" spans="1:21" x14ac:dyDescent="0.2">
      <c r="A283" s="49" t="s">
        <v>30</v>
      </c>
      <c r="D283" s="49" t="s">
        <v>4048</v>
      </c>
      <c r="E283" s="49" t="s">
        <v>15665</v>
      </c>
      <c r="F283" s="49" t="s">
        <v>4049</v>
      </c>
      <c r="H283" s="49" t="s">
        <v>4050</v>
      </c>
      <c r="O283" s="49" t="s">
        <v>9180</v>
      </c>
      <c r="P283" s="49" t="s">
        <v>9181</v>
      </c>
      <c r="Q283" s="49" t="s">
        <v>9182</v>
      </c>
      <c r="R283" s="49" t="s">
        <v>9183</v>
      </c>
      <c r="S283" s="49" t="s">
        <v>9184</v>
      </c>
      <c r="T283" s="49" t="s">
        <v>9185</v>
      </c>
      <c r="U283" s="49" t="s">
        <v>9186</v>
      </c>
    </row>
    <row r="284" spans="1:21" x14ac:dyDescent="0.2">
      <c r="A284" s="49" t="s">
        <v>30</v>
      </c>
      <c r="D284" s="49" t="s">
        <v>2723</v>
      </c>
      <c r="G284" s="49" t="s">
        <v>9187</v>
      </c>
      <c r="H284" s="49" t="s">
        <v>2724</v>
      </c>
      <c r="I284" s="49" t="s">
        <v>2725</v>
      </c>
      <c r="J284" s="49" t="s">
        <v>2726</v>
      </c>
      <c r="K284" s="49" t="s">
        <v>2727</v>
      </c>
      <c r="L284" s="49" t="s">
        <v>2728</v>
      </c>
      <c r="M284" s="49" t="s">
        <v>2729</v>
      </c>
      <c r="N284" s="49" t="s">
        <v>2730</v>
      </c>
      <c r="O284" s="49" t="s">
        <v>9188</v>
      </c>
      <c r="P284" s="49" t="s">
        <v>9189</v>
      </c>
      <c r="Q284" s="49" t="s">
        <v>9190</v>
      </c>
      <c r="R284" s="49" t="s">
        <v>9191</v>
      </c>
      <c r="S284" s="49" t="s">
        <v>9192</v>
      </c>
      <c r="T284" s="49" t="s">
        <v>9193</v>
      </c>
    </row>
    <row r="285" spans="1:21" x14ac:dyDescent="0.2">
      <c r="A285" s="49" t="s">
        <v>30</v>
      </c>
    </row>
    <row r="286" spans="1:21" x14ac:dyDescent="0.2">
      <c r="A286" s="49" t="s">
        <v>30</v>
      </c>
      <c r="E286" s="49" t="s">
        <v>31</v>
      </c>
      <c r="F286" s="49" t="s">
        <v>31</v>
      </c>
      <c r="G286" s="49" t="s">
        <v>31</v>
      </c>
      <c r="J286" s="49" t="s">
        <v>31</v>
      </c>
      <c r="K286" s="49" t="s">
        <v>31</v>
      </c>
      <c r="L286" s="49" t="s">
        <v>31</v>
      </c>
      <c r="M286" s="49" t="s">
        <v>31</v>
      </c>
    </row>
    <row r="287" spans="1:21" x14ac:dyDescent="0.2">
      <c r="A287" s="49" t="s">
        <v>30</v>
      </c>
      <c r="D287" s="49" t="s">
        <v>9194</v>
      </c>
      <c r="E287" s="49" t="s">
        <v>5331</v>
      </c>
      <c r="F287" s="49" t="s">
        <v>9195</v>
      </c>
      <c r="H287" s="49" t="s">
        <v>9196</v>
      </c>
      <c r="O287" s="49" t="s">
        <v>13277</v>
      </c>
      <c r="P287" s="49" t="s">
        <v>13278</v>
      </c>
      <c r="Q287" s="49" t="s">
        <v>13279</v>
      </c>
      <c r="R287" s="49" t="s">
        <v>13280</v>
      </c>
      <c r="S287" s="49" t="s">
        <v>13281</v>
      </c>
      <c r="T287" s="49" t="s">
        <v>13282</v>
      </c>
      <c r="U287" s="49" t="s">
        <v>13283</v>
      </c>
    </row>
    <row r="288" spans="1:21" x14ac:dyDescent="0.2">
      <c r="A288" s="49" t="s">
        <v>30</v>
      </c>
      <c r="D288" s="49" t="s">
        <v>1186</v>
      </c>
      <c r="G288" s="49" t="s">
        <v>9197</v>
      </c>
      <c r="H288" s="49" t="s">
        <v>1187</v>
      </c>
      <c r="I288" s="49" t="s">
        <v>1188</v>
      </c>
      <c r="J288" s="49" t="s">
        <v>1189</v>
      </c>
      <c r="K288" s="49" t="s">
        <v>1190</v>
      </c>
      <c r="L288" s="49" t="s">
        <v>1191</v>
      </c>
      <c r="M288" s="49" t="s">
        <v>1192</v>
      </c>
      <c r="N288" s="49" t="s">
        <v>1193</v>
      </c>
      <c r="O288" s="49" t="s">
        <v>9198</v>
      </c>
      <c r="P288" s="49" t="s">
        <v>9199</v>
      </c>
      <c r="Q288" s="49" t="s">
        <v>9200</v>
      </c>
      <c r="R288" s="49" t="s">
        <v>9201</v>
      </c>
      <c r="S288" s="49" t="s">
        <v>9202</v>
      </c>
      <c r="T288" s="49" t="s">
        <v>9203</v>
      </c>
    </row>
    <row r="289" spans="1:21" x14ac:dyDescent="0.2">
      <c r="A289" s="49" t="s">
        <v>30</v>
      </c>
      <c r="D289" s="49" t="s">
        <v>1194</v>
      </c>
      <c r="G289" s="49" t="s">
        <v>15709</v>
      </c>
      <c r="H289" s="49" t="s">
        <v>1195</v>
      </c>
      <c r="I289" s="49" t="s">
        <v>1196</v>
      </c>
      <c r="J289" s="49" t="s">
        <v>1197</v>
      </c>
      <c r="K289" s="49" t="s">
        <v>1198</v>
      </c>
      <c r="L289" s="49" t="s">
        <v>1199</v>
      </c>
      <c r="M289" s="49" t="s">
        <v>1200</v>
      </c>
      <c r="N289" s="49" t="s">
        <v>1201</v>
      </c>
      <c r="O289" s="49" t="s">
        <v>9694</v>
      </c>
      <c r="P289" s="49" t="s">
        <v>9695</v>
      </c>
      <c r="Q289" s="49" t="s">
        <v>9696</v>
      </c>
      <c r="R289" s="49" t="s">
        <v>9697</v>
      </c>
      <c r="S289" s="49" t="s">
        <v>9698</v>
      </c>
      <c r="T289" s="49" t="s">
        <v>9699</v>
      </c>
    </row>
    <row r="290" spans="1:21" x14ac:dyDescent="0.2">
      <c r="A290" s="49" t="s">
        <v>30</v>
      </c>
    </row>
    <row r="291" spans="1:21" x14ac:dyDescent="0.2">
      <c r="A291" s="49" t="s">
        <v>30</v>
      </c>
      <c r="E291" s="49" t="s">
        <v>31</v>
      </c>
      <c r="F291" s="49" t="s">
        <v>31</v>
      </c>
      <c r="G291" s="49" t="s">
        <v>31</v>
      </c>
      <c r="J291" s="49" t="s">
        <v>31</v>
      </c>
      <c r="K291" s="49" t="s">
        <v>31</v>
      </c>
      <c r="L291" s="49" t="s">
        <v>31</v>
      </c>
      <c r="M291" s="49" t="s">
        <v>31</v>
      </c>
    </row>
    <row r="292" spans="1:21" x14ac:dyDescent="0.2">
      <c r="A292" s="49" t="s">
        <v>30</v>
      </c>
      <c r="D292" s="49" t="s">
        <v>9700</v>
      </c>
      <c r="E292" s="49" t="s">
        <v>5416</v>
      </c>
      <c r="F292" s="49" t="s">
        <v>9701</v>
      </c>
      <c r="H292" s="49" t="s">
        <v>9702</v>
      </c>
      <c r="O292" s="49" t="s">
        <v>9703</v>
      </c>
      <c r="P292" s="49" t="s">
        <v>9704</v>
      </c>
      <c r="Q292" s="49" t="s">
        <v>9705</v>
      </c>
      <c r="R292" s="49" t="s">
        <v>9706</v>
      </c>
      <c r="S292" s="49" t="s">
        <v>9707</v>
      </c>
      <c r="T292" s="49" t="s">
        <v>9708</v>
      </c>
      <c r="U292" s="49" t="s">
        <v>9709</v>
      </c>
    </row>
    <row r="293" spans="1:21" x14ac:dyDescent="0.2">
      <c r="A293" s="49" t="s">
        <v>30</v>
      </c>
      <c r="D293" s="49" t="s">
        <v>1202</v>
      </c>
      <c r="G293" s="49" t="s">
        <v>9710</v>
      </c>
      <c r="H293" s="49" t="s">
        <v>1203</v>
      </c>
      <c r="I293" s="49" t="s">
        <v>1204</v>
      </c>
      <c r="J293" s="49" t="s">
        <v>1205</v>
      </c>
      <c r="K293" s="49" t="s">
        <v>1206</v>
      </c>
      <c r="L293" s="49" t="s">
        <v>1207</v>
      </c>
      <c r="M293" s="49" t="s">
        <v>1208</v>
      </c>
      <c r="N293" s="49" t="s">
        <v>1209</v>
      </c>
      <c r="O293" s="49" t="s">
        <v>9711</v>
      </c>
      <c r="P293" s="49" t="s">
        <v>9712</v>
      </c>
      <c r="Q293" s="49" t="s">
        <v>9713</v>
      </c>
      <c r="R293" s="49" t="s">
        <v>9714</v>
      </c>
      <c r="S293" s="49" t="s">
        <v>9715</v>
      </c>
      <c r="T293" s="49" t="s">
        <v>9716</v>
      </c>
    </row>
    <row r="294" spans="1:21" x14ac:dyDescent="0.2">
      <c r="A294" s="49" t="s">
        <v>30</v>
      </c>
    </row>
    <row r="295" spans="1:21" x14ac:dyDescent="0.2">
      <c r="A295" s="49" t="s">
        <v>30</v>
      </c>
      <c r="E295" s="49" t="s">
        <v>31</v>
      </c>
      <c r="F295" s="49" t="s">
        <v>31</v>
      </c>
      <c r="G295" s="49" t="s">
        <v>31</v>
      </c>
      <c r="J295" s="49" t="s">
        <v>31</v>
      </c>
      <c r="K295" s="49" t="s">
        <v>31</v>
      </c>
      <c r="L295" s="49" t="s">
        <v>31</v>
      </c>
      <c r="M295" s="49" t="s">
        <v>31</v>
      </c>
    </row>
    <row r="296" spans="1:21" x14ac:dyDescent="0.2">
      <c r="A296" s="49" t="s">
        <v>30</v>
      </c>
      <c r="D296" s="49" t="s">
        <v>4840</v>
      </c>
      <c r="E296" s="49" t="s">
        <v>5459</v>
      </c>
      <c r="F296" s="49" t="s">
        <v>4842</v>
      </c>
      <c r="H296" s="49" t="s">
        <v>4843</v>
      </c>
      <c r="O296" s="49" t="s">
        <v>10427</v>
      </c>
      <c r="P296" s="49" t="s">
        <v>10428</v>
      </c>
      <c r="Q296" s="49" t="s">
        <v>10429</v>
      </c>
      <c r="R296" s="49" t="s">
        <v>10430</v>
      </c>
      <c r="S296" s="49" t="s">
        <v>10431</v>
      </c>
      <c r="T296" s="49" t="s">
        <v>10432</v>
      </c>
      <c r="U296" s="49" t="s">
        <v>10433</v>
      </c>
    </row>
    <row r="297" spans="1:21" x14ac:dyDescent="0.2">
      <c r="A297" s="49" t="s">
        <v>30</v>
      </c>
      <c r="D297" s="49" t="s">
        <v>2430</v>
      </c>
      <c r="G297" s="49" t="s">
        <v>9717</v>
      </c>
      <c r="H297" s="49" t="s">
        <v>2431</v>
      </c>
      <c r="I297" s="49" t="s">
        <v>2432</v>
      </c>
      <c r="J297" s="49" t="s">
        <v>2433</v>
      </c>
      <c r="K297" s="49" t="s">
        <v>2434</v>
      </c>
      <c r="L297" s="49" t="s">
        <v>2435</v>
      </c>
      <c r="M297" s="49" t="s">
        <v>2436</v>
      </c>
      <c r="N297" s="49" t="s">
        <v>2437</v>
      </c>
      <c r="O297" s="49" t="s">
        <v>9718</v>
      </c>
      <c r="P297" s="49" t="s">
        <v>9719</v>
      </c>
      <c r="Q297" s="49" t="s">
        <v>9720</v>
      </c>
      <c r="R297" s="49" t="s">
        <v>9721</v>
      </c>
      <c r="S297" s="49" t="s">
        <v>9722</v>
      </c>
      <c r="T297" s="49" t="s">
        <v>9723</v>
      </c>
    </row>
    <row r="298" spans="1:21" x14ac:dyDescent="0.2">
      <c r="A298" s="49" t="s">
        <v>30</v>
      </c>
    </row>
    <row r="299" spans="1:21" x14ac:dyDescent="0.2">
      <c r="A299" s="49" t="s">
        <v>30</v>
      </c>
      <c r="E299" s="49" t="s">
        <v>31</v>
      </c>
      <c r="F299" s="49" t="s">
        <v>31</v>
      </c>
      <c r="G299" s="49" t="s">
        <v>31</v>
      </c>
      <c r="J299" s="49" t="s">
        <v>31</v>
      </c>
      <c r="K299" s="49" t="s">
        <v>31</v>
      </c>
      <c r="L299" s="49" t="s">
        <v>31</v>
      </c>
      <c r="M299" s="49" t="s">
        <v>31</v>
      </c>
    </row>
    <row r="300" spans="1:21" x14ac:dyDescent="0.2">
      <c r="A300" s="49" t="s">
        <v>30</v>
      </c>
      <c r="D300" s="49" t="s">
        <v>10434</v>
      </c>
      <c r="E300" s="49" t="s">
        <v>5498</v>
      </c>
      <c r="F300" s="49" t="s">
        <v>10435</v>
      </c>
      <c r="H300" s="49" t="s">
        <v>10436</v>
      </c>
      <c r="O300" s="49" t="s">
        <v>13469</v>
      </c>
      <c r="P300" s="49" t="s">
        <v>13470</v>
      </c>
      <c r="Q300" s="49" t="s">
        <v>13471</v>
      </c>
      <c r="R300" s="49" t="s">
        <v>13472</v>
      </c>
      <c r="S300" s="49" t="s">
        <v>13473</v>
      </c>
      <c r="T300" s="49" t="s">
        <v>13474</v>
      </c>
      <c r="U300" s="49" t="s">
        <v>13475</v>
      </c>
    </row>
    <row r="301" spans="1:21" x14ac:dyDescent="0.2">
      <c r="A301" s="49" t="s">
        <v>30</v>
      </c>
      <c r="D301" s="49" t="s">
        <v>2438</v>
      </c>
      <c r="G301" s="49" t="s">
        <v>10437</v>
      </c>
      <c r="H301" s="49" t="s">
        <v>2439</v>
      </c>
      <c r="I301" s="49" t="s">
        <v>2440</v>
      </c>
      <c r="J301" s="49" t="s">
        <v>2441</v>
      </c>
      <c r="K301" s="49" t="s">
        <v>2442</v>
      </c>
      <c r="L301" s="49" t="s">
        <v>2443</v>
      </c>
      <c r="M301" s="49" t="s">
        <v>2444</v>
      </c>
      <c r="N301" s="49" t="s">
        <v>2445</v>
      </c>
      <c r="O301" s="49" t="s">
        <v>10438</v>
      </c>
      <c r="P301" s="49" t="s">
        <v>10439</v>
      </c>
      <c r="Q301" s="49" t="s">
        <v>10440</v>
      </c>
      <c r="R301" s="49" t="s">
        <v>10441</v>
      </c>
      <c r="S301" s="49" t="s">
        <v>10442</v>
      </c>
      <c r="T301" s="49" t="s">
        <v>10443</v>
      </c>
    </row>
    <row r="302" spans="1:21" x14ac:dyDescent="0.2">
      <c r="A302" s="49" t="s">
        <v>30</v>
      </c>
    </row>
    <row r="303" spans="1:21" x14ac:dyDescent="0.2">
      <c r="A303" s="49" t="s">
        <v>30</v>
      </c>
      <c r="E303" s="49" t="s">
        <v>31</v>
      </c>
      <c r="F303" s="49" t="s">
        <v>31</v>
      </c>
      <c r="G303" s="49" t="s">
        <v>31</v>
      </c>
      <c r="J303" s="49" t="s">
        <v>31</v>
      </c>
      <c r="K303" s="49" t="s">
        <v>31</v>
      </c>
      <c r="L303" s="49" t="s">
        <v>31</v>
      </c>
      <c r="M303" s="49" t="s">
        <v>31</v>
      </c>
    </row>
    <row r="304" spans="1:21" x14ac:dyDescent="0.2">
      <c r="A304" s="49" t="s">
        <v>30</v>
      </c>
      <c r="D304" s="49" t="s">
        <v>13476</v>
      </c>
      <c r="E304" s="49" t="s">
        <v>5584</v>
      </c>
      <c r="F304" s="49" t="s">
        <v>13477</v>
      </c>
      <c r="H304" s="49" t="s">
        <v>13478</v>
      </c>
      <c r="O304" s="49" t="s">
        <v>13479</v>
      </c>
      <c r="P304" s="49" t="s">
        <v>13480</v>
      </c>
      <c r="Q304" s="49" t="s">
        <v>13481</v>
      </c>
      <c r="R304" s="49" t="s">
        <v>13482</v>
      </c>
      <c r="S304" s="49" t="s">
        <v>13483</v>
      </c>
      <c r="T304" s="49" t="s">
        <v>13484</v>
      </c>
      <c r="U304" s="49" t="s">
        <v>13485</v>
      </c>
    </row>
    <row r="305" spans="1:21" x14ac:dyDescent="0.2">
      <c r="A305" s="49" t="s">
        <v>30</v>
      </c>
      <c r="D305" s="49" t="s">
        <v>1242</v>
      </c>
      <c r="G305" s="49" t="s">
        <v>13486</v>
      </c>
      <c r="H305" s="49" t="s">
        <v>1243</v>
      </c>
      <c r="I305" s="49" t="s">
        <v>1244</v>
      </c>
      <c r="J305" s="49" t="s">
        <v>1245</v>
      </c>
      <c r="K305" s="49" t="s">
        <v>1246</v>
      </c>
      <c r="L305" s="49" t="s">
        <v>1247</v>
      </c>
      <c r="M305" s="49" t="s">
        <v>1248</v>
      </c>
      <c r="N305" s="49" t="s">
        <v>1249</v>
      </c>
      <c r="O305" s="49" t="s">
        <v>9236</v>
      </c>
      <c r="P305" s="49" t="s">
        <v>9237</v>
      </c>
      <c r="Q305" s="49" t="s">
        <v>9238</v>
      </c>
      <c r="R305" s="49" t="s">
        <v>9239</v>
      </c>
      <c r="S305" s="49" t="s">
        <v>9240</v>
      </c>
      <c r="T305" s="49" t="s">
        <v>9241</v>
      </c>
    </row>
    <row r="306" spans="1:21" x14ac:dyDescent="0.2">
      <c r="A306" s="49" t="s">
        <v>30</v>
      </c>
    </row>
    <row r="307" spans="1:21" x14ac:dyDescent="0.2">
      <c r="A307" s="49" t="s">
        <v>30</v>
      </c>
      <c r="E307" s="49" t="s">
        <v>31</v>
      </c>
      <c r="F307" s="49" t="s">
        <v>31</v>
      </c>
      <c r="G307" s="49" t="s">
        <v>31</v>
      </c>
      <c r="J307" s="49" t="s">
        <v>31</v>
      </c>
      <c r="K307" s="49" t="s">
        <v>31</v>
      </c>
      <c r="L307" s="49" t="s">
        <v>31</v>
      </c>
      <c r="M307" s="49" t="s">
        <v>31</v>
      </c>
    </row>
    <row r="308" spans="1:21" x14ac:dyDescent="0.2">
      <c r="A308" s="49" t="s">
        <v>30</v>
      </c>
      <c r="D308" s="49" t="s">
        <v>9242</v>
      </c>
      <c r="E308" s="49" t="s">
        <v>5627</v>
      </c>
      <c r="F308" s="49" t="s">
        <v>9243</v>
      </c>
      <c r="H308" s="49" t="s">
        <v>9244</v>
      </c>
      <c r="O308" s="49" t="s">
        <v>9245</v>
      </c>
      <c r="P308" s="49" t="s">
        <v>9246</v>
      </c>
      <c r="Q308" s="49" t="s">
        <v>9247</v>
      </c>
      <c r="R308" s="49" t="s">
        <v>9248</v>
      </c>
      <c r="S308" s="49" t="s">
        <v>9249</v>
      </c>
      <c r="T308" s="49" t="s">
        <v>9250</v>
      </c>
      <c r="U308" s="49" t="s">
        <v>9251</v>
      </c>
    </row>
    <row r="309" spans="1:21" x14ac:dyDescent="0.2">
      <c r="A309" s="49" t="s">
        <v>30</v>
      </c>
      <c r="D309" s="49" t="s">
        <v>1250</v>
      </c>
      <c r="G309" s="49" t="s">
        <v>9252</v>
      </c>
      <c r="H309" s="49" t="s">
        <v>1251</v>
      </c>
      <c r="I309" s="49" t="s">
        <v>1252</v>
      </c>
      <c r="J309" s="49" t="s">
        <v>1253</v>
      </c>
      <c r="K309" s="49" t="s">
        <v>1254</v>
      </c>
      <c r="L309" s="49" t="s">
        <v>1255</v>
      </c>
      <c r="M309" s="49" t="s">
        <v>1256</v>
      </c>
      <c r="N309" s="49" t="s">
        <v>1257</v>
      </c>
      <c r="O309" s="49" t="s">
        <v>9253</v>
      </c>
      <c r="P309" s="49" t="s">
        <v>9254</v>
      </c>
      <c r="Q309" s="49" t="s">
        <v>9255</v>
      </c>
      <c r="R309" s="49" t="s">
        <v>9256</v>
      </c>
      <c r="S309" s="49" t="s">
        <v>9257</v>
      </c>
      <c r="T309" s="49" t="s">
        <v>9258</v>
      </c>
    </row>
    <row r="310" spans="1:21" x14ac:dyDescent="0.2">
      <c r="A310" s="49" t="s">
        <v>30</v>
      </c>
    </row>
    <row r="311" spans="1:21" x14ac:dyDescent="0.2">
      <c r="A311" s="49" t="s">
        <v>30</v>
      </c>
      <c r="E311" s="49" t="s">
        <v>31</v>
      </c>
      <c r="F311" s="49" t="s">
        <v>31</v>
      </c>
      <c r="G311" s="49" t="s">
        <v>31</v>
      </c>
      <c r="J311" s="49" t="s">
        <v>31</v>
      </c>
      <c r="K311" s="49" t="s">
        <v>31</v>
      </c>
      <c r="L311" s="49" t="s">
        <v>31</v>
      </c>
      <c r="M311" s="49" t="s">
        <v>31</v>
      </c>
    </row>
    <row r="312" spans="1:21" x14ac:dyDescent="0.2">
      <c r="A312" s="49" t="s">
        <v>30</v>
      </c>
      <c r="D312" s="49" t="s">
        <v>9259</v>
      </c>
      <c r="E312" s="49" t="s">
        <v>5698</v>
      </c>
      <c r="F312" s="49" t="s">
        <v>9260</v>
      </c>
      <c r="H312" s="49" t="s">
        <v>9261</v>
      </c>
      <c r="O312" s="49" t="s">
        <v>13487</v>
      </c>
      <c r="P312" s="49" t="s">
        <v>13488</v>
      </c>
      <c r="Q312" s="49" t="s">
        <v>13489</v>
      </c>
      <c r="R312" s="49" t="s">
        <v>13490</v>
      </c>
      <c r="S312" s="49" t="s">
        <v>13491</v>
      </c>
      <c r="T312" s="49" t="s">
        <v>13492</v>
      </c>
      <c r="U312" s="49" t="s">
        <v>13493</v>
      </c>
    </row>
    <row r="313" spans="1:21" x14ac:dyDescent="0.2">
      <c r="A313" s="49" t="s">
        <v>30</v>
      </c>
      <c r="D313" s="49" t="s">
        <v>4859</v>
      </c>
      <c r="G313" s="49" t="s">
        <v>9262</v>
      </c>
      <c r="H313" s="49" t="s">
        <v>4860</v>
      </c>
      <c r="I313" s="49" t="s">
        <v>4861</v>
      </c>
      <c r="J313" s="49" t="s">
        <v>4862</v>
      </c>
      <c r="K313" s="49" t="s">
        <v>4863</v>
      </c>
      <c r="L313" s="49" t="s">
        <v>4864</v>
      </c>
      <c r="M313" s="49" t="s">
        <v>4865</v>
      </c>
      <c r="N313" s="49" t="s">
        <v>4866</v>
      </c>
      <c r="O313" s="49" t="s">
        <v>9263</v>
      </c>
      <c r="P313" s="49" t="s">
        <v>9264</v>
      </c>
      <c r="Q313" s="49" t="s">
        <v>9265</v>
      </c>
      <c r="R313" s="49" t="s">
        <v>9266</v>
      </c>
      <c r="S313" s="49" t="s">
        <v>9267</v>
      </c>
      <c r="T313" s="49" t="s">
        <v>9268</v>
      </c>
    </row>
    <row r="314" spans="1:21" x14ac:dyDescent="0.2">
      <c r="A314" s="49" t="s">
        <v>30</v>
      </c>
    </row>
    <row r="315" spans="1:21" x14ac:dyDescent="0.2">
      <c r="A315" s="49" t="s">
        <v>30</v>
      </c>
      <c r="E315" s="49" t="s">
        <v>31</v>
      </c>
      <c r="F315" s="49" t="s">
        <v>31</v>
      </c>
      <c r="G315" s="49" t="s">
        <v>31</v>
      </c>
      <c r="J315" s="49" t="s">
        <v>31</v>
      </c>
      <c r="K315" s="49" t="s">
        <v>31</v>
      </c>
      <c r="L315" s="49" t="s">
        <v>31</v>
      </c>
      <c r="M315" s="49" t="s">
        <v>31</v>
      </c>
    </row>
    <row r="316" spans="1:21" x14ac:dyDescent="0.2">
      <c r="A316" s="49" t="s">
        <v>30</v>
      </c>
      <c r="D316" s="49" t="s">
        <v>10450</v>
      </c>
      <c r="E316" s="49" t="s">
        <v>5805</v>
      </c>
      <c r="F316" s="49" t="s">
        <v>10451</v>
      </c>
      <c r="H316" s="49" t="s">
        <v>10452</v>
      </c>
      <c r="O316" s="49" t="s">
        <v>13494</v>
      </c>
      <c r="P316" s="49" t="s">
        <v>13495</v>
      </c>
      <c r="Q316" s="49" t="s">
        <v>13496</v>
      </c>
      <c r="R316" s="49" t="s">
        <v>13497</v>
      </c>
      <c r="S316" s="49" t="s">
        <v>13498</v>
      </c>
      <c r="T316" s="49" t="s">
        <v>13499</v>
      </c>
      <c r="U316" s="49" t="s">
        <v>13500</v>
      </c>
    </row>
    <row r="317" spans="1:21" x14ac:dyDescent="0.2">
      <c r="A317" s="49" t="s">
        <v>30</v>
      </c>
      <c r="D317" s="49" t="s">
        <v>1274</v>
      </c>
      <c r="G317" s="49" t="s">
        <v>10453</v>
      </c>
      <c r="H317" s="49" t="s">
        <v>1275</v>
      </c>
      <c r="I317" s="49" t="s">
        <v>1276</v>
      </c>
      <c r="J317" s="49" t="s">
        <v>1277</v>
      </c>
      <c r="K317" s="49" t="s">
        <v>1278</v>
      </c>
      <c r="L317" s="49" t="s">
        <v>1279</v>
      </c>
      <c r="M317" s="49" t="s">
        <v>1280</v>
      </c>
      <c r="N317" s="49" t="s">
        <v>1281</v>
      </c>
      <c r="O317" s="49" t="s">
        <v>10454</v>
      </c>
      <c r="P317" s="49" t="s">
        <v>10455</v>
      </c>
      <c r="Q317" s="49" t="s">
        <v>10456</v>
      </c>
      <c r="R317" s="49" t="s">
        <v>10457</v>
      </c>
      <c r="S317" s="49" t="s">
        <v>10458</v>
      </c>
      <c r="T317" s="49" t="s">
        <v>10459</v>
      </c>
    </row>
    <row r="318" spans="1:21" x14ac:dyDescent="0.2">
      <c r="A318" s="49" t="s">
        <v>30</v>
      </c>
    </row>
    <row r="319" spans="1:21" x14ac:dyDescent="0.2">
      <c r="A319" s="49" t="s">
        <v>30</v>
      </c>
      <c r="E319" s="49" t="s">
        <v>31</v>
      </c>
      <c r="F319" s="49" t="s">
        <v>31</v>
      </c>
      <c r="G319" s="49" t="s">
        <v>31</v>
      </c>
      <c r="J319" s="49" t="s">
        <v>31</v>
      </c>
      <c r="K319" s="49" t="s">
        <v>31</v>
      </c>
      <c r="L319" s="49" t="s">
        <v>31</v>
      </c>
      <c r="M319" s="49" t="s">
        <v>31</v>
      </c>
    </row>
    <row r="320" spans="1:21" x14ac:dyDescent="0.2">
      <c r="A320" s="49" t="s">
        <v>30</v>
      </c>
      <c r="D320" s="49" t="s">
        <v>13501</v>
      </c>
      <c r="E320" s="49" t="s">
        <v>5890</v>
      </c>
      <c r="F320" s="49" t="s">
        <v>13502</v>
      </c>
      <c r="H320" s="49" t="s">
        <v>13503</v>
      </c>
      <c r="O320" s="49" t="s">
        <v>38518</v>
      </c>
      <c r="P320" s="49" t="s">
        <v>38519</v>
      </c>
      <c r="Q320" s="49" t="s">
        <v>38520</v>
      </c>
      <c r="R320" s="49" t="s">
        <v>38521</v>
      </c>
      <c r="S320" s="49" t="s">
        <v>38522</v>
      </c>
      <c r="T320" s="49" t="s">
        <v>38523</v>
      </c>
      <c r="U320" s="49" t="s">
        <v>38524</v>
      </c>
    </row>
    <row r="321" spans="1:21" x14ac:dyDescent="0.2">
      <c r="A321" s="49" t="s">
        <v>30</v>
      </c>
      <c r="D321" s="49" t="s">
        <v>1282</v>
      </c>
      <c r="G321" s="49" t="s">
        <v>13504</v>
      </c>
      <c r="H321" s="49" t="s">
        <v>1283</v>
      </c>
      <c r="I321" s="49" t="s">
        <v>1284</v>
      </c>
      <c r="J321" s="49" t="s">
        <v>1285</v>
      </c>
      <c r="K321" s="49" t="s">
        <v>1286</v>
      </c>
      <c r="L321" s="49" t="s">
        <v>1287</v>
      </c>
      <c r="M321" s="49" t="s">
        <v>1288</v>
      </c>
      <c r="N321" s="49" t="s">
        <v>1289</v>
      </c>
      <c r="O321" s="49" t="s">
        <v>9758</v>
      </c>
      <c r="P321" s="49" t="s">
        <v>9759</v>
      </c>
      <c r="Q321" s="49" t="s">
        <v>9760</v>
      </c>
      <c r="R321" s="49" t="s">
        <v>9761</v>
      </c>
      <c r="S321" s="49" t="s">
        <v>9762</v>
      </c>
      <c r="T321" s="49" t="s">
        <v>9763</v>
      </c>
    </row>
    <row r="322" spans="1:21" x14ac:dyDescent="0.2">
      <c r="A322" s="49" t="s">
        <v>30</v>
      </c>
    </row>
    <row r="323" spans="1:21" x14ac:dyDescent="0.2">
      <c r="A323" s="49" t="s">
        <v>30</v>
      </c>
      <c r="E323" s="49" t="s">
        <v>31</v>
      </c>
      <c r="F323" s="49" t="s">
        <v>31</v>
      </c>
      <c r="G323" s="49" t="s">
        <v>31</v>
      </c>
      <c r="J323" s="49" t="s">
        <v>31</v>
      </c>
      <c r="K323" s="49" t="s">
        <v>31</v>
      </c>
      <c r="L323" s="49" t="s">
        <v>31</v>
      </c>
      <c r="M323" s="49" t="s">
        <v>31</v>
      </c>
    </row>
    <row r="324" spans="1:21" x14ac:dyDescent="0.2">
      <c r="A324" s="49" t="s">
        <v>30</v>
      </c>
      <c r="D324" s="49" t="s">
        <v>13285</v>
      </c>
      <c r="E324" s="49" t="s">
        <v>5985</v>
      </c>
      <c r="F324" s="49" t="s">
        <v>13286</v>
      </c>
      <c r="H324" s="49" t="s">
        <v>13287</v>
      </c>
      <c r="O324" s="49" t="s">
        <v>38525</v>
      </c>
      <c r="P324" s="49" t="s">
        <v>38526</v>
      </c>
      <c r="Q324" s="49" t="s">
        <v>38527</v>
      </c>
      <c r="R324" s="49" t="s">
        <v>38528</v>
      </c>
      <c r="S324" s="49" t="s">
        <v>38529</v>
      </c>
      <c r="T324" s="49" t="s">
        <v>38530</v>
      </c>
      <c r="U324" s="49" t="s">
        <v>38531</v>
      </c>
    </row>
    <row r="325" spans="1:21" x14ac:dyDescent="0.2">
      <c r="A325" s="49" t="s">
        <v>30</v>
      </c>
      <c r="D325" s="49" t="s">
        <v>2161</v>
      </c>
      <c r="G325" s="49" t="s">
        <v>13288</v>
      </c>
      <c r="H325" s="49" t="s">
        <v>2162</v>
      </c>
      <c r="I325" s="49" t="s">
        <v>2163</v>
      </c>
      <c r="J325" s="49" t="s">
        <v>2164</v>
      </c>
      <c r="K325" s="49" t="s">
        <v>2165</v>
      </c>
      <c r="L325" s="49" t="s">
        <v>2166</v>
      </c>
      <c r="M325" s="49" t="s">
        <v>2167</v>
      </c>
      <c r="N325" s="49" t="s">
        <v>2168</v>
      </c>
      <c r="O325" s="49" t="s">
        <v>10208</v>
      </c>
      <c r="P325" s="49" t="s">
        <v>10209</v>
      </c>
      <c r="Q325" s="49" t="s">
        <v>10210</v>
      </c>
      <c r="R325" s="49" t="s">
        <v>10211</v>
      </c>
      <c r="S325" s="49" t="s">
        <v>10212</v>
      </c>
      <c r="T325" s="49" t="s">
        <v>10213</v>
      </c>
    </row>
    <row r="326" spans="1:21" x14ac:dyDescent="0.2">
      <c r="A326" s="49" t="s">
        <v>30</v>
      </c>
      <c r="D326" s="49" t="s">
        <v>1298</v>
      </c>
      <c r="G326" s="49" t="s">
        <v>16098</v>
      </c>
      <c r="H326" s="49" t="s">
        <v>1299</v>
      </c>
      <c r="I326" s="49" t="s">
        <v>1300</v>
      </c>
      <c r="J326" s="49" t="s">
        <v>1301</v>
      </c>
      <c r="K326" s="49" t="s">
        <v>1302</v>
      </c>
      <c r="L326" s="49" t="s">
        <v>1303</v>
      </c>
      <c r="M326" s="49" t="s">
        <v>1304</v>
      </c>
      <c r="N326" s="49" t="s">
        <v>1305</v>
      </c>
      <c r="O326" s="49" t="s">
        <v>9282</v>
      </c>
      <c r="P326" s="49" t="s">
        <v>9283</v>
      </c>
      <c r="Q326" s="49" t="s">
        <v>9284</v>
      </c>
      <c r="R326" s="49" t="s">
        <v>9285</v>
      </c>
      <c r="S326" s="49" t="s">
        <v>9286</v>
      </c>
      <c r="T326" s="49" t="s">
        <v>9287</v>
      </c>
    </row>
    <row r="327" spans="1:21" x14ac:dyDescent="0.2">
      <c r="A327" s="49" t="s">
        <v>30</v>
      </c>
    </row>
    <row r="328" spans="1:21" x14ac:dyDescent="0.2">
      <c r="A328" s="49" t="s">
        <v>30</v>
      </c>
      <c r="E328" s="49" t="s">
        <v>31</v>
      </c>
      <c r="F328" s="49" t="s">
        <v>31</v>
      </c>
      <c r="G328" s="49" t="s">
        <v>31</v>
      </c>
      <c r="J328" s="49" t="s">
        <v>31</v>
      </c>
      <c r="K328" s="49" t="s">
        <v>31</v>
      </c>
      <c r="L328" s="49" t="s">
        <v>31</v>
      </c>
      <c r="M328" s="49" t="s">
        <v>31</v>
      </c>
    </row>
    <row r="329" spans="1:21" x14ac:dyDescent="0.2">
      <c r="A329" s="49" t="s">
        <v>30</v>
      </c>
      <c r="D329" s="49" t="s">
        <v>13505</v>
      </c>
      <c r="E329" s="49" t="s">
        <v>6114</v>
      </c>
      <c r="F329" s="49" t="s">
        <v>13506</v>
      </c>
      <c r="H329" s="49" t="s">
        <v>13507</v>
      </c>
      <c r="O329" s="49" t="s">
        <v>13760</v>
      </c>
      <c r="P329" s="49" t="s">
        <v>13761</v>
      </c>
      <c r="Q329" s="49" t="s">
        <v>13762</v>
      </c>
      <c r="R329" s="49" t="s">
        <v>13763</v>
      </c>
      <c r="S329" s="49" t="s">
        <v>13764</v>
      </c>
      <c r="T329" s="49" t="s">
        <v>13765</v>
      </c>
      <c r="U329" s="49" t="s">
        <v>13766</v>
      </c>
    </row>
    <row r="330" spans="1:21" x14ac:dyDescent="0.2">
      <c r="A330" s="49" t="s">
        <v>30</v>
      </c>
      <c r="D330" s="49" t="s">
        <v>1306</v>
      </c>
      <c r="G330" s="49" t="s">
        <v>13508</v>
      </c>
      <c r="H330" s="49" t="s">
        <v>1307</v>
      </c>
      <c r="I330" s="49" t="s">
        <v>1308</v>
      </c>
      <c r="J330" s="49" t="s">
        <v>1309</v>
      </c>
      <c r="K330" s="49" t="s">
        <v>1310</v>
      </c>
      <c r="L330" s="49" t="s">
        <v>1311</v>
      </c>
      <c r="M330" s="49" t="s">
        <v>1312</v>
      </c>
      <c r="N330" s="49" t="s">
        <v>1313</v>
      </c>
      <c r="O330" s="49" t="s">
        <v>9776</v>
      </c>
      <c r="P330" s="49" t="s">
        <v>9777</v>
      </c>
      <c r="Q330" s="49" t="s">
        <v>9778</v>
      </c>
      <c r="R330" s="49" t="s">
        <v>9779</v>
      </c>
      <c r="S330" s="49" t="s">
        <v>9780</v>
      </c>
      <c r="T330" s="49" t="s">
        <v>9781</v>
      </c>
    </row>
    <row r="331" spans="1:21" x14ac:dyDescent="0.2">
      <c r="A331" s="49" t="s">
        <v>30</v>
      </c>
      <c r="D331" s="49" t="s">
        <v>1314</v>
      </c>
      <c r="G331" s="49" t="s">
        <v>16164</v>
      </c>
      <c r="H331" s="49" t="s">
        <v>1315</v>
      </c>
      <c r="I331" s="49" t="s">
        <v>1316</v>
      </c>
      <c r="J331" s="49" t="s">
        <v>1317</v>
      </c>
      <c r="K331" s="49" t="s">
        <v>1318</v>
      </c>
      <c r="L331" s="49" t="s">
        <v>1319</v>
      </c>
      <c r="M331" s="49" t="s">
        <v>1320</v>
      </c>
      <c r="N331" s="49" t="s">
        <v>1321</v>
      </c>
      <c r="O331" s="49" t="s">
        <v>9288</v>
      </c>
      <c r="P331" s="49" t="s">
        <v>9289</v>
      </c>
      <c r="Q331" s="49" t="s">
        <v>9290</v>
      </c>
      <c r="R331" s="49" t="s">
        <v>9291</v>
      </c>
      <c r="S331" s="49" t="s">
        <v>9292</v>
      </c>
      <c r="T331" s="49" t="s">
        <v>9293</v>
      </c>
    </row>
    <row r="332" spans="1:21" x14ac:dyDescent="0.2">
      <c r="A332" s="49" t="s">
        <v>30</v>
      </c>
    </row>
    <row r="333" spans="1:21" x14ac:dyDescent="0.2">
      <c r="A333" s="49" t="s">
        <v>30</v>
      </c>
      <c r="E333" s="49" t="s">
        <v>31</v>
      </c>
      <c r="F333" s="49" t="s">
        <v>31</v>
      </c>
      <c r="G333" s="49" t="s">
        <v>31</v>
      </c>
      <c r="J333" s="49" t="s">
        <v>31</v>
      </c>
      <c r="K333" s="49" t="s">
        <v>31</v>
      </c>
      <c r="L333" s="49" t="s">
        <v>31</v>
      </c>
      <c r="M333" s="49" t="s">
        <v>31</v>
      </c>
    </row>
    <row r="334" spans="1:21" x14ac:dyDescent="0.2">
      <c r="A334" s="49" t="s">
        <v>30</v>
      </c>
      <c r="D334" s="49" t="s">
        <v>9782</v>
      </c>
      <c r="E334" s="49" t="s">
        <v>6242</v>
      </c>
      <c r="F334" s="49" t="s">
        <v>9783</v>
      </c>
      <c r="H334" s="49" t="s">
        <v>9784</v>
      </c>
      <c r="O334" s="49" t="s">
        <v>38532</v>
      </c>
      <c r="P334" s="49" t="s">
        <v>38533</v>
      </c>
      <c r="Q334" s="49" t="s">
        <v>38534</v>
      </c>
      <c r="R334" s="49" t="s">
        <v>38535</v>
      </c>
      <c r="S334" s="49" t="s">
        <v>38536</v>
      </c>
      <c r="T334" s="49" t="s">
        <v>38537</v>
      </c>
      <c r="U334" s="49" t="s">
        <v>38538</v>
      </c>
    </row>
    <row r="335" spans="1:21" x14ac:dyDescent="0.2">
      <c r="A335" s="49" t="s">
        <v>30</v>
      </c>
      <c r="D335" s="49" t="s">
        <v>4884</v>
      </c>
      <c r="G335" s="49" t="s">
        <v>9785</v>
      </c>
      <c r="H335" s="49" t="s">
        <v>4885</v>
      </c>
      <c r="I335" s="49" t="s">
        <v>4886</v>
      </c>
      <c r="J335" s="49" t="s">
        <v>4887</v>
      </c>
      <c r="K335" s="49" t="s">
        <v>4888</v>
      </c>
      <c r="L335" s="49" t="s">
        <v>4889</v>
      </c>
      <c r="M335" s="49" t="s">
        <v>4890</v>
      </c>
      <c r="N335" s="49" t="s">
        <v>4891</v>
      </c>
      <c r="O335" s="49" t="s">
        <v>9786</v>
      </c>
      <c r="P335" s="49" t="s">
        <v>9787</v>
      </c>
      <c r="Q335" s="49" t="s">
        <v>9788</v>
      </c>
      <c r="R335" s="49" t="s">
        <v>9789</v>
      </c>
      <c r="S335" s="49" t="s">
        <v>9790</v>
      </c>
      <c r="T335" s="49" t="s">
        <v>9791</v>
      </c>
    </row>
    <row r="336" spans="1:21" x14ac:dyDescent="0.2">
      <c r="A336" s="49" t="s">
        <v>30</v>
      </c>
    </row>
    <row r="337" spans="1:21" x14ac:dyDescent="0.2">
      <c r="A337" s="49" t="s">
        <v>30</v>
      </c>
      <c r="E337" s="49" t="s">
        <v>31</v>
      </c>
      <c r="F337" s="49" t="s">
        <v>31</v>
      </c>
      <c r="G337" s="49" t="s">
        <v>31</v>
      </c>
      <c r="J337" s="49" t="s">
        <v>31</v>
      </c>
      <c r="K337" s="49" t="s">
        <v>31</v>
      </c>
      <c r="L337" s="49" t="s">
        <v>31</v>
      </c>
      <c r="M337" s="49" t="s">
        <v>31</v>
      </c>
    </row>
    <row r="338" spans="1:21" x14ac:dyDescent="0.2">
      <c r="A338" s="49" t="s">
        <v>30</v>
      </c>
      <c r="D338" s="49" t="s">
        <v>13299</v>
      </c>
      <c r="E338" s="49" t="s">
        <v>6351</v>
      </c>
      <c r="F338" s="49" t="s">
        <v>13300</v>
      </c>
      <c r="H338" s="49" t="s">
        <v>13301</v>
      </c>
      <c r="O338" s="49" t="s">
        <v>38539</v>
      </c>
      <c r="P338" s="49" t="s">
        <v>38540</v>
      </c>
      <c r="Q338" s="49" t="s">
        <v>38541</v>
      </c>
      <c r="R338" s="49" t="s">
        <v>38542</v>
      </c>
      <c r="S338" s="49" t="s">
        <v>38543</v>
      </c>
      <c r="T338" s="49" t="s">
        <v>38544</v>
      </c>
      <c r="U338" s="49" t="s">
        <v>38545</v>
      </c>
    </row>
    <row r="339" spans="1:21" x14ac:dyDescent="0.2">
      <c r="A339" s="49" t="s">
        <v>30</v>
      </c>
      <c r="D339" s="49" t="s">
        <v>2462</v>
      </c>
      <c r="G339" s="49" t="s">
        <v>13302</v>
      </c>
      <c r="H339" s="49" t="s">
        <v>2463</v>
      </c>
      <c r="I339" s="49" t="s">
        <v>2464</v>
      </c>
      <c r="J339" s="49" t="s">
        <v>2465</v>
      </c>
      <c r="K339" s="49" t="s">
        <v>2466</v>
      </c>
      <c r="L339" s="49" t="s">
        <v>2467</v>
      </c>
      <c r="M339" s="49" t="s">
        <v>2468</v>
      </c>
      <c r="N339" s="49" t="s">
        <v>2469</v>
      </c>
      <c r="O339" s="49" t="s">
        <v>13303</v>
      </c>
      <c r="P339" s="49" t="s">
        <v>13304</v>
      </c>
      <c r="Q339" s="49" t="s">
        <v>13305</v>
      </c>
      <c r="R339" s="49" t="s">
        <v>13306</v>
      </c>
      <c r="S339" s="49" t="s">
        <v>13307</v>
      </c>
      <c r="T339" s="49" t="s">
        <v>13308</v>
      </c>
    </row>
    <row r="340" spans="1:21" x14ac:dyDescent="0.2">
      <c r="A340" s="49" t="s">
        <v>30</v>
      </c>
      <c r="D340" s="49" t="s">
        <v>1346</v>
      </c>
      <c r="G340" s="49" t="s">
        <v>16310</v>
      </c>
      <c r="H340" s="49" t="s">
        <v>1347</v>
      </c>
      <c r="I340" s="49" t="s">
        <v>1348</v>
      </c>
      <c r="J340" s="49" t="s">
        <v>1349</v>
      </c>
      <c r="K340" s="49" t="s">
        <v>1350</v>
      </c>
      <c r="L340" s="49" t="s">
        <v>1351</v>
      </c>
      <c r="M340" s="49" t="s">
        <v>1352</v>
      </c>
      <c r="N340" s="49" t="s">
        <v>1353</v>
      </c>
      <c r="O340" s="49" t="s">
        <v>10218</v>
      </c>
      <c r="P340" s="49" t="s">
        <v>10219</v>
      </c>
      <c r="Q340" s="49" t="s">
        <v>10220</v>
      </c>
      <c r="R340" s="49" t="s">
        <v>10221</v>
      </c>
      <c r="S340" s="49" t="s">
        <v>10222</v>
      </c>
      <c r="T340" s="49" t="s">
        <v>10223</v>
      </c>
    </row>
    <row r="341" spans="1:21" x14ac:dyDescent="0.2">
      <c r="A341" s="49" t="s">
        <v>30</v>
      </c>
    </row>
    <row r="342" spans="1:21" x14ac:dyDescent="0.2">
      <c r="A342" s="49" t="s">
        <v>30</v>
      </c>
      <c r="E342" s="49" t="s">
        <v>31</v>
      </c>
      <c r="F342" s="49" t="s">
        <v>31</v>
      </c>
      <c r="G342" s="49" t="s">
        <v>31</v>
      </c>
      <c r="J342" s="49" t="s">
        <v>31</v>
      </c>
      <c r="K342" s="49" t="s">
        <v>31</v>
      </c>
      <c r="L342" s="49" t="s">
        <v>31</v>
      </c>
      <c r="M342" s="49" t="s">
        <v>31</v>
      </c>
    </row>
    <row r="343" spans="1:21" x14ac:dyDescent="0.2">
      <c r="A343" s="49" t="s">
        <v>30</v>
      </c>
      <c r="D343" s="49" t="s">
        <v>13901</v>
      </c>
      <c r="E343" s="49" t="s">
        <v>6446</v>
      </c>
      <c r="F343" s="49" t="s">
        <v>13902</v>
      </c>
      <c r="H343" s="49" t="s">
        <v>13903</v>
      </c>
      <c r="O343" s="49" t="s">
        <v>13904</v>
      </c>
      <c r="P343" s="49" t="s">
        <v>13905</v>
      </c>
      <c r="Q343" s="49" t="s">
        <v>13906</v>
      </c>
      <c r="R343" s="49" t="s">
        <v>13907</v>
      </c>
      <c r="S343" s="49" t="s">
        <v>13908</v>
      </c>
      <c r="T343" s="49" t="s">
        <v>13909</v>
      </c>
      <c r="U343" s="49" t="s">
        <v>13910</v>
      </c>
    </row>
    <row r="344" spans="1:21" x14ac:dyDescent="0.2">
      <c r="A344" s="49" t="s">
        <v>30</v>
      </c>
      <c r="D344" s="49" t="s">
        <v>1378</v>
      </c>
      <c r="G344" s="49" t="s">
        <v>13911</v>
      </c>
      <c r="H344" s="49" t="s">
        <v>1379</v>
      </c>
      <c r="I344" s="49" t="s">
        <v>1380</v>
      </c>
      <c r="J344" s="49" t="s">
        <v>1381</v>
      </c>
      <c r="K344" s="49" t="s">
        <v>1382</v>
      </c>
      <c r="L344" s="49" t="s">
        <v>1383</v>
      </c>
      <c r="M344" s="49" t="s">
        <v>1384</v>
      </c>
      <c r="N344" s="49" t="s">
        <v>1385</v>
      </c>
      <c r="O344" s="49" t="s">
        <v>13309</v>
      </c>
      <c r="P344" s="49" t="s">
        <v>13310</v>
      </c>
      <c r="Q344" s="49" t="s">
        <v>13311</v>
      </c>
      <c r="R344" s="49" t="s">
        <v>13312</v>
      </c>
      <c r="S344" s="49" t="s">
        <v>13313</v>
      </c>
      <c r="T344" s="49" t="s">
        <v>13314</v>
      </c>
    </row>
    <row r="345" spans="1:21" x14ac:dyDescent="0.2">
      <c r="A345" s="49" t="s">
        <v>30</v>
      </c>
    </row>
    <row r="346" spans="1:21" x14ac:dyDescent="0.2">
      <c r="A346" s="49" t="s">
        <v>30</v>
      </c>
      <c r="E346" s="49" t="s">
        <v>31</v>
      </c>
      <c r="F346" s="49" t="s">
        <v>31</v>
      </c>
      <c r="G346" s="49" t="s">
        <v>31</v>
      </c>
      <c r="J346" s="49" t="s">
        <v>31</v>
      </c>
      <c r="K346" s="49" t="s">
        <v>31</v>
      </c>
      <c r="L346" s="49" t="s">
        <v>31</v>
      </c>
      <c r="M346" s="49" t="s">
        <v>31</v>
      </c>
    </row>
    <row r="347" spans="1:21" x14ac:dyDescent="0.2">
      <c r="A347" s="49" t="s">
        <v>30</v>
      </c>
      <c r="D347" s="49" t="s">
        <v>13315</v>
      </c>
      <c r="E347" s="49" t="s">
        <v>6601</v>
      </c>
      <c r="F347" s="49" t="s">
        <v>13316</v>
      </c>
      <c r="H347" s="49" t="s">
        <v>13317</v>
      </c>
      <c r="O347" s="49" t="s">
        <v>13318</v>
      </c>
      <c r="P347" s="49" t="s">
        <v>13319</v>
      </c>
      <c r="Q347" s="49" t="s">
        <v>13320</v>
      </c>
      <c r="R347" s="49" t="s">
        <v>13321</v>
      </c>
      <c r="S347" s="49" t="s">
        <v>13322</v>
      </c>
      <c r="T347" s="49" t="s">
        <v>13323</v>
      </c>
      <c r="U347" s="49" t="s">
        <v>13324</v>
      </c>
    </row>
    <row r="348" spans="1:21" x14ac:dyDescent="0.2">
      <c r="A348" s="49" t="s">
        <v>30</v>
      </c>
      <c r="D348" s="49" t="s">
        <v>4935</v>
      </c>
      <c r="G348" s="49" t="s">
        <v>13325</v>
      </c>
      <c r="H348" s="49" t="s">
        <v>4936</v>
      </c>
      <c r="I348" s="49" t="s">
        <v>4937</v>
      </c>
      <c r="J348" s="49" t="s">
        <v>4938</v>
      </c>
      <c r="K348" s="49" t="s">
        <v>4939</v>
      </c>
      <c r="L348" s="49" t="s">
        <v>4940</v>
      </c>
      <c r="M348" s="49" t="s">
        <v>4941</v>
      </c>
      <c r="N348" s="49" t="s">
        <v>4942</v>
      </c>
      <c r="O348" s="49" t="s">
        <v>10464</v>
      </c>
      <c r="P348" s="49" t="s">
        <v>10465</v>
      </c>
      <c r="Q348" s="49" t="s">
        <v>10466</v>
      </c>
      <c r="R348" s="49" t="s">
        <v>10467</v>
      </c>
      <c r="S348" s="49" t="s">
        <v>10468</v>
      </c>
      <c r="T348" s="49" t="s">
        <v>10469</v>
      </c>
    </row>
    <row r="349" spans="1:21" x14ac:dyDescent="0.2">
      <c r="A349" s="49" t="s">
        <v>30</v>
      </c>
      <c r="D349" s="49" t="s">
        <v>10470</v>
      </c>
      <c r="G349" s="49" t="s">
        <v>16525</v>
      </c>
      <c r="H349" s="49" t="s">
        <v>10471</v>
      </c>
      <c r="I349" s="49" t="s">
        <v>10472</v>
      </c>
      <c r="J349" s="49" t="s">
        <v>10473</v>
      </c>
      <c r="K349" s="49" t="s">
        <v>10474</v>
      </c>
      <c r="L349" s="49" t="s">
        <v>10475</v>
      </c>
      <c r="M349" s="49" t="s">
        <v>10476</v>
      </c>
      <c r="N349" s="49" t="s">
        <v>10477</v>
      </c>
      <c r="O349" s="49" t="s">
        <v>10478</v>
      </c>
      <c r="P349" s="49" t="s">
        <v>10479</v>
      </c>
      <c r="Q349" s="49" t="s">
        <v>10480</v>
      </c>
      <c r="R349" s="49" t="s">
        <v>10481</v>
      </c>
      <c r="S349" s="49" t="s">
        <v>10482</v>
      </c>
      <c r="T349" s="49" t="s">
        <v>10483</v>
      </c>
    </row>
    <row r="350" spans="1:21" x14ac:dyDescent="0.2">
      <c r="A350" s="49" t="s">
        <v>30</v>
      </c>
    </row>
    <row r="351" spans="1:21" x14ac:dyDescent="0.2">
      <c r="A351" s="49" t="s">
        <v>30</v>
      </c>
      <c r="E351" s="49" t="s">
        <v>31</v>
      </c>
      <c r="F351" s="49" t="s">
        <v>31</v>
      </c>
      <c r="G351" s="49" t="s">
        <v>31</v>
      </c>
      <c r="J351" s="49" t="s">
        <v>31</v>
      </c>
      <c r="K351" s="49" t="s">
        <v>31</v>
      </c>
      <c r="L351" s="49" t="s">
        <v>31</v>
      </c>
      <c r="M351" s="49" t="s">
        <v>31</v>
      </c>
    </row>
    <row r="352" spans="1:21" x14ac:dyDescent="0.2">
      <c r="A352" s="49" t="s">
        <v>30</v>
      </c>
      <c r="D352" s="49" t="s">
        <v>10484</v>
      </c>
      <c r="E352" s="49" t="s">
        <v>6666</v>
      </c>
      <c r="F352" s="49" t="s">
        <v>10485</v>
      </c>
      <c r="H352" s="49" t="s">
        <v>10486</v>
      </c>
      <c r="O352" s="49" t="s">
        <v>10487</v>
      </c>
      <c r="P352" s="49" t="s">
        <v>10488</v>
      </c>
      <c r="Q352" s="49" t="s">
        <v>10489</v>
      </c>
      <c r="R352" s="49" t="s">
        <v>10490</v>
      </c>
      <c r="S352" s="49" t="s">
        <v>10491</v>
      </c>
      <c r="T352" s="49" t="s">
        <v>10492</v>
      </c>
      <c r="U352" s="49" t="s">
        <v>10493</v>
      </c>
    </row>
    <row r="353" spans="1:21" x14ac:dyDescent="0.2">
      <c r="A353" s="49" t="s">
        <v>30</v>
      </c>
      <c r="D353" s="49" t="s">
        <v>2470</v>
      </c>
      <c r="G353" s="49" t="s">
        <v>10494</v>
      </c>
      <c r="H353" s="49" t="s">
        <v>2471</v>
      </c>
      <c r="I353" s="49" t="s">
        <v>2472</v>
      </c>
      <c r="J353" s="49" t="s">
        <v>2473</v>
      </c>
      <c r="K353" s="49" t="s">
        <v>2474</v>
      </c>
      <c r="L353" s="49" t="s">
        <v>2475</v>
      </c>
      <c r="M353" s="49" t="s">
        <v>2476</v>
      </c>
      <c r="N353" s="49" t="s">
        <v>2477</v>
      </c>
      <c r="O353" s="49" t="s">
        <v>10495</v>
      </c>
      <c r="P353" s="49" t="s">
        <v>10496</v>
      </c>
      <c r="Q353" s="49" t="s">
        <v>10497</v>
      </c>
      <c r="R353" s="49" t="s">
        <v>10498</v>
      </c>
      <c r="S353" s="49" t="s">
        <v>10499</v>
      </c>
      <c r="T353" s="49" t="s">
        <v>10500</v>
      </c>
    </row>
    <row r="354" spans="1:21" x14ac:dyDescent="0.2">
      <c r="A354" s="49" t="s">
        <v>30</v>
      </c>
      <c r="D354" s="49" t="s">
        <v>2763</v>
      </c>
      <c r="G354" s="49" t="s">
        <v>16645</v>
      </c>
      <c r="H354" s="49" t="s">
        <v>2764</v>
      </c>
      <c r="I354" s="49" t="s">
        <v>2765</v>
      </c>
      <c r="J354" s="49" t="s">
        <v>2766</v>
      </c>
      <c r="K354" s="49" t="s">
        <v>2767</v>
      </c>
      <c r="L354" s="49" t="s">
        <v>2768</v>
      </c>
      <c r="M354" s="49" t="s">
        <v>2769</v>
      </c>
      <c r="N354" s="49" t="s">
        <v>2770</v>
      </c>
      <c r="O354" s="49" t="s">
        <v>10501</v>
      </c>
      <c r="P354" s="49" t="s">
        <v>10502</v>
      </c>
      <c r="Q354" s="49" t="s">
        <v>10503</v>
      </c>
      <c r="R354" s="49" t="s">
        <v>10504</v>
      </c>
      <c r="S354" s="49" t="s">
        <v>10505</v>
      </c>
      <c r="T354" s="49" t="s">
        <v>10506</v>
      </c>
    </row>
    <row r="355" spans="1:21" x14ac:dyDescent="0.2">
      <c r="A355" s="49" t="s">
        <v>30</v>
      </c>
    </row>
    <row r="356" spans="1:21" x14ac:dyDescent="0.2">
      <c r="A356" s="49" t="s">
        <v>30</v>
      </c>
      <c r="E356" s="49" t="s">
        <v>31</v>
      </c>
      <c r="F356" s="49" t="s">
        <v>31</v>
      </c>
      <c r="G356" s="49" t="s">
        <v>31</v>
      </c>
      <c r="J356" s="49" t="s">
        <v>31</v>
      </c>
      <c r="K356" s="49" t="s">
        <v>31</v>
      </c>
      <c r="L356" s="49" t="s">
        <v>31</v>
      </c>
      <c r="M356" s="49" t="s">
        <v>31</v>
      </c>
    </row>
    <row r="357" spans="1:21" x14ac:dyDescent="0.2">
      <c r="A357" s="49" t="s">
        <v>30</v>
      </c>
      <c r="D357" s="49" t="s">
        <v>10507</v>
      </c>
      <c r="E357" s="49" t="s">
        <v>6803</v>
      </c>
      <c r="F357" s="49" t="s">
        <v>10508</v>
      </c>
      <c r="H357" s="49" t="s">
        <v>10509</v>
      </c>
      <c r="O357" s="49" t="s">
        <v>38546</v>
      </c>
      <c r="P357" s="49" t="s">
        <v>38547</v>
      </c>
      <c r="Q357" s="49" t="s">
        <v>38548</v>
      </c>
      <c r="R357" s="49" t="s">
        <v>38549</v>
      </c>
      <c r="S357" s="49" t="s">
        <v>38550</v>
      </c>
      <c r="T357" s="49" t="s">
        <v>38551</v>
      </c>
      <c r="U357" s="49" t="s">
        <v>38552</v>
      </c>
    </row>
    <row r="358" spans="1:21" x14ac:dyDescent="0.2">
      <c r="A358" s="49" t="s">
        <v>30</v>
      </c>
      <c r="D358" s="49" t="s">
        <v>1426</v>
      </c>
      <c r="G358" s="49" t="s">
        <v>10510</v>
      </c>
      <c r="H358" s="49" t="s">
        <v>1427</v>
      </c>
      <c r="I358" s="49" t="s">
        <v>1428</v>
      </c>
      <c r="J358" s="49" t="s">
        <v>1429</v>
      </c>
      <c r="K358" s="49" t="s">
        <v>1430</v>
      </c>
      <c r="L358" s="49" t="s">
        <v>1431</v>
      </c>
      <c r="M358" s="49" t="s">
        <v>1432</v>
      </c>
      <c r="N358" s="49" t="s">
        <v>1433</v>
      </c>
      <c r="O358" s="49" t="s">
        <v>10511</v>
      </c>
      <c r="P358" s="49" t="s">
        <v>10512</v>
      </c>
      <c r="Q358" s="49" t="s">
        <v>10513</v>
      </c>
      <c r="R358" s="49" t="s">
        <v>10514</v>
      </c>
      <c r="S358" s="49" t="s">
        <v>10515</v>
      </c>
      <c r="T358" s="49" t="s">
        <v>10516</v>
      </c>
    </row>
    <row r="359" spans="1:21" x14ac:dyDescent="0.2">
      <c r="A359" s="49" t="s">
        <v>30</v>
      </c>
      <c r="D359" s="49" t="s">
        <v>9337</v>
      </c>
      <c r="G359" s="49" t="s">
        <v>16795</v>
      </c>
      <c r="H359" s="49" t="s">
        <v>9338</v>
      </c>
      <c r="I359" s="49" t="s">
        <v>9339</v>
      </c>
      <c r="J359" s="49" t="s">
        <v>9340</v>
      </c>
      <c r="K359" s="49" t="s">
        <v>9341</v>
      </c>
      <c r="L359" s="49" t="s">
        <v>9342</v>
      </c>
      <c r="M359" s="49" t="s">
        <v>9343</v>
      </c>
      <c r="N359" s="49" t="s">
        <v>9344</v>
      </c>
      <c r="O359" s="49" t="s">
        <v>9345</v>
      </c>
      <c r="P359" s="49" t="s">
        <v>9346</v>
      </c>
      <c r="Q359" s="49" t="s">
        <v>9347</v>
      </c>
      <c r="R359" s="49" t="s">
        <v>9348</v>
      </c>
      <c r="S359" s="49" t="s">
        <v>9349</v>
      </c>
      <c r="T359" s="49" t="s">
        <v>9350</v>
      </c>
    </row>
    <row r="360" spans="1:21" x14ac:dyDescent="0.2">
      <c r="A360" s="49" t="s">
        <v>30</v>
      </c>
      <c r="D360" s="49" t="s">
        <v>9351</v>
      </c>
      <c r="G360" s="49" t="s">
        <v>16830</v>
      </c>
      <c r="H360" s="49" t="s">
        <v>9352</v>
      </c>
      <c r="I360" s="49" t="s">
        <v>9353</v>
      </c>
      <c r="J360" s="49" t="s">
        <v>9354</v>
      </c>
      <c r="K360" s="49" t="s">
        <v>9355</v>
      </c>
      <c r="L360" s="49" t="s">
        <v>9356</v>
      </c>
      <c r="M360" s="49" t="s">
        <v>9357</v>
      </c>
      <c r="N360" s="49" t="s">
        <v>9358</v>
      </c>
      <c r="O360" s="49" t="s">
        <v>9359</v>
      </c>
      <c r="P360" s="49" t="s">
        <v>9360</v>
      </c>
      <c r="Q360" s="49" t="s">
        <v>9361</v>
      </c>
      <c r="R360" s="49" t="s">
        <v>9362</v>
      </c>
      <c r="S360" s="49" t="s">
        <v>9363</v>
      </c>
      <c r="T360" s="49" t="s">
        <v>9364</v>
      </c>
    </row>
    <row r="361" spans="1:21" x14ac:dyDescent="0.2">
      <c r="A361" s="49" t="s">
        <v>30</v>
      </c>
      <c r="D361" s="49" t="s">
        <v>4954</v>
      </c>
      <c r="G361" s="49" t="s">
        <v>16880</v>
      </c>
      <c r="H361" s="49" t="s">
        <v>4955</v>
      </c>
      <c r="I361" s="49" t="s">
        <v>4956</v>
      </c>
      <c r="J361" s="49" t="s">
        <v>4957</v>
      </c>
      <c r="K361" s="49" t="s">
        <v>4958</v>
      </c>
      <c r="L361" s="49" t="s">
        <v>4959</v>
      </c>
      <c r="M361" s="49" t="s">
        <v>4960</v>
      </c>
      <c r="N361" s="49" t="s">
        <v>4961</v>
      </c>
      <c r="O361" s="49" t="s">
        <v>10224</v>
      </c>
      <c r="P361" s="49" t="s">
        <v>10225</v>
      </c>
      <c r="Q361" s="49" t="s">
        <v>10226</v>
      </c>
      <c r="R361" s="49" t="s">
        <v>10227</v>
      </c>
      <c r="S361" s="49" t="s">
        <v>10228</v>
      </c>
      <c r="T361" s="49" t="s">
        <v>10229</v>
      </c>
    </row>
    <row r="362" spans="1:21" x14ac:dyDescent="0.2">
      <c r="A362" s="49" t="s">
        <v>30</v>
      </c>
      <c r="D362" s="49" t="s">
        <v>2478</v>
      </c>
      <c r="G362" s="49" t="s">
        <v>16905</v>
      </c>
      <c r="H362" s="49" t="s">
        <v>2479</v>
      </c>
      <c r="I362" s="49" t="s">
        <v>2480</v>
      </c>
      <c r="J362" s="49" t="s">
        <v>2481</v>
      </c>
      <c r="K362" s="49" t="s">
        <v>2482</v>
      </c>
      <c r="L362" s="49" t="s">
        <v>2483</v>
      </c>
      <c r="M362" s="49" t="s">
        <v>2484</v>
      </c>
      <c r="N362" s="49" t="s">
        <v>2485</v>
      </c>
      <c r="O362" s="49" t="s">
        <v>10230</v>
      </c>
      <c r="P362" s="49" t="s">
        <v>10231</v>
      </c>
      <c r="Q362" s="49" t="s">
        <v>10232</v>
      </c>
      <c r="R362" s="49" t="s">
        <v>10233</v>
      </c>
      <c r="S362" s="49" t="s">
        <v>10234</v>
      </c>
      <c r="T362" s="49" t="s">
        <v>10235</v>
      </c>
    </row>
    <row r="363" spans="1:21" x14ac:dyDescent="0.2">
      <c r="A363" s="49" t="s">
        <v>30</v>
      </c>
      <c r="D363" s="49" t="s">
        <v>1434</v>
      </c>
      <c r="G363" s="49" t="s">
        <v>16910</v>
      </c>
      <c r="H363" s="49" t="s">
        <v>1435</v>
      </c>
      <c r="I363" s="49" t="s">
        <v>1436</v>
      </c>
      <c r="J363" s="49" t="s">
        <v>1437</v>
      </c>
      <c r="K363" s="49" t="s">
        <v>1438</v>
      </c>
      <c r="L363" s="49" t="s">
        <v>1439</v>
      </c>
      <c r="M363" s="49" t="s">
        <v>1440</v>
      </c>
      <c r="N363" s="49" t="s">
        <v>1441</v>
      </c>
      <c r="O363" s="49" t="s">
        <v>10517</v>
      </c>
      <c r="P363" s="49" t="s">
        <v>10518</v>
      </c>
      <c r="Q363" s="49" t="s">
        <v>10519</v>
      </c>
      <c r="R363" s="49" t="s">
        <v>10520</v>
      </c>
      <c r="S363" s="49" t="s">
        <v>10521</v>
      </c>
      <c r="T363" s="49" t="s">
        <v>10522</v>
      </c>
    </row>
    <row r="364" spans="1:21" x14ac:dyDescent="0.2">
      <c r="A364" s="49" t="s">
        <v>30</v>
      </c>
    </row>
    <row r="365" spans="1:21" x14ac:dyDescent="0.2">
      <c r="A365" s="49" t="s">
        <v>30</v>
      </c>
      <c r="E365" s="49" t="s">
        <v>31</v>
      </c>
      <c r="F365" s="49" t="s">
        <v>31</v>
      </c>
      <c r="G365" s="49" t="s">
        <v>31</v>
      </c>
      <c r="J365" s="49" t="s">
        <v>31</v>
      </c>
      <c r="K365" s="49" t="s">
        <v>31</v>
      </c>
      <c r="L365" s="49" t="s">
        <v>31</v>
      </c>
      <c r="M365" s="49" t="s">
        <v>31</v>
      </c>
    </row>
    <row r="366" spans="1:21" x14ac:dyDescent="0.2">
      <c r="A366" s="49" t="s">
        <v>30</v>
      </c>
      <c r="D366" s="49" t="s">
        <v>13326</v>
      </c>
      <c r="E366" s="49" t="s">
        <v>6962</v>
      </c>
      <c r="F366" s="49" t="s">
        <v>13327</v>
      </c>
      <c r="H366" s="49" t="s">
        <v>13328</v>
      </c>
      <c r="O366" s="49" t="s">
        <v>38553</v>
      </c>
      <c r="P366" s="49" t="s">
        <v>38554</v>
      </c>
      <c r="Q366" s="49" t="s">
        <v>38555</v>
      </c>
      <c r="R366" s="49" t="s">
        <v>38556</v>
      </c>
      <c r="S366" s="49" t="s">
        <v>38557</v>
      </c>
      <c r="T366" s="49" t="s">
        <v>38558</v>
      </c>
      <c r="U366" s="49" t="s">
        <v>38559</v>
      </c>
    </row>
    <row r="367" spans="1:21" x14ac:dyDescent="0.2">
      <c r="A367" s="49" t="s">
        <v>30</v>
      </c>
      <c r="D367" s="49" t="s">
        <v>1466</v>
      </c>
      <c r="G367" s="49" t="s">
        <v>13329</v>
      </c>
      <c r="H367" s="49" t="s">
        <v>1467</v>
      </c>
      <c r="I367" s="49" t="s">
        <v>1468</v>
      </c>
      <c r="J367" s="49" t="s">
        <v>1469</v>
      </c>
      <c r="K367" s="49" t="s">
        <v>1470</v>
      </c>
      <c r="L367" s="49" t="s">
        <v>1471</v>
      </c>
      <c r="M367" s="49" t="s">
        <v>1472</v>
      </c>
      <c r="N367" s="49" t="s">
        <v>1473</v>
      </c>
      <c r="O367" s="49" t="s">
        <v>10242</v>
      </c>
      <c r="P367" s="49" t="s">
        <v>10243</v>
      </c>
      <c r="Q367" s="49" t="s">
        <v>10244</v>
      </c>
      <c r="R367" s="49" t="s">
        <v>10245</v>
      </c>
      <c r="S367" s="49" t="s">
        <v>10246</v>
      </c>
      <c r="T367" s="49" t="s">
        <v>10247</v>
      </c>
    </row>
    <row r="368" spans="1:21" x14ac:dyDescent="0.2">
      <c r="A368" s="49" t="s">
        <v>30</v>
      </c>
      <c r="D368" s="49" t="s">
        <v>32729</v>
      </c>
      <c r="G368" s="49" t="s">
        <v>16970</v>
      </c>
      <c r="H368" s="49" t="s">
        <v>32731</v>
      </c>
      <c r="I368" s="49" t="s">
        <v>32732</v>
      </c>
      <c r="J368" s="49" t="s">
        <v>32733</v>
      </c>
      <c r="K368" s="49" t="s">
        <v>32734</v>
      </c>
      <c r="L368" s="49" t="s">
        <v>32735</v>
      </c>
      <c r="M368" s="49" t="s">
        <v>32736</v>
      </c>
      <c r="N368" s="49" t="s">
        <v>32737</v>
      </c>
      <c r="O368" s="49" t="s">
        <v>32738</v>
      </c>
      <c r="P368" s="49" t="s">
        <v>32739</v>
      </c>
      <c r="Q368" s="49" t="s">
        <v>32740</v>
      </c>
      <c r="R368" s="49" t="s">
        <v>32741</v>
      </c>
      <c r="S368" s="49" t="s">
        <v>32742</v>
      </c>
      <c r="T368" s="49" t="s">
        <v>32743</v>
      </c>
    </row>
    <row r="369" spans="1:21" x14ac:dyDescent="0.2">
      <c r="A369" s="49" t="s">
        <v>30</v>
      </c>
    </row>
    <row r="370" spans="1:21" x14ac:dyDescent="0.2">
      <c r="A370" s="49" t="s">
        <v>30</v>
      </c>
      <c r="E370" s="49" t="s">
        <v>31</v>
      </c>
      <c r="F370" s="49" t="s">
        <v>31</v>
      </c>
      <c r="G370" s="49" t="s">
        <v>31</v>
      </c>
      <c r="J370" s="49" t="s">
        <v>31</v>
      </c>
      <c r="K370" s="49" t="s">
        <v>31</v>
      </c>
      <c r="L370" s="49" t="s">
        <v>31</v>
      </c>
      <c r="M370" s="49" t="s">
        <v>31</v>
      </c>
    </row>
    <row r="371" spans="1:21" x14ac:dyDescent="0.2">
      <c r="A371" s="49" t="s">
        <v>30</v>
      </c>
      <c r="D371" s="49" t="s">
        <v>32744</v>
      </c>
      <c r="E371" s="49" t="s">
        <v>7041</v>
      </c>
      <c r="F371" s="49" t="s">
        <v>32745</v>
      </c>
      <c r="H371" s="49" t="s">
        <v>32746</v>
      </c>
      <c r="O371" s="49" t="s">
        <v>38560</v>
      </c>
      <c r="P371" s="49" t="s">
        <v>38561</v>
      </c>
      <c r="Q371" s="49" t="s">
        <v>38562</v>
      </c>
      <c r="R371" s="49" t="s">
        <v>38563</v>
      </c>
      <c r="S371" s="49" t="s">
        <v>38564</v>
      </c>
      <c r="T371" s="49" t="s">
        <v>38565</v>
      </c>
      <c r="U371" s="49" t="s">
        <v>38566</v>
      </c>
    </row>
    <row r="372" spans="1:21" x14ac:dyDescent="0.2">
      <c r="A372" s="49" t="s">
        <v>30</v>
      </c>
      <c r="D372" s="49" t="s">
        <v>14519</v>
      </c>
      <c r="G372" s="49" t="s">
        <v>32754</v>
      </c>
      <c r="H372" s="49" t="s">
        <v>31482</v>
      </c>
      <c r="I372" s="49" t="s">
        <v>31485</v>
      </c>
      <c r="J372" s="49" t="s">
        <v>31524</v>
      </c>
      <c r="K372" s="49" t="s">
        <v>31527</v>
      </c>
      <c r="L372" s="49" t="s">
        <v>14521</v>
      </c>
      <c r="M372" s="49" t="s">
        <v>14522</v>
      </c>
      <c r="N372" s="49" t="s">
        <v>14523</v>
      </c>
      <c r="O372" s="49" t="s">
        <v>32755</v>
      </c>
      <c r="P372" s="49" t="s">
        <v>32756</v>
      </c>
      <c r="Q372" s="49" t="s">
        <v>32757</v>
      </c>
      <c r="R372" s="49" t="s">
        <v>32758</v>
      </c>
      <c r="S372" s="49" t="s">
        <v>32759</v>
      </c>
      <c r="T372" s="49" t="s">
        <v>32760</v>
      </c>
    </row>
    <row r="373" spans="1:21" x14ac:dyDescent="0.2">
      <c r="A373" s="49" t="s">
        <v>30</v>
      </c>
      <c r="D373" s="49" t="s">
        <v>14524</v>
      </c>
      <c r="G373" s="49" t="s">
        <v>17070</v>
      </c>
      <c r="H373" s="49" t="s">
        <v>31483</v>
      </c>
      <c r="I373" s="49" t="s">
        <v>31486</v>
      </c>
      <c r="J373" s="49" t="s">
        <v>31525</v>
      </c>
      <c r="K373" s="49" t="s">
        <v>31528</v>
      </c>
      <c r="L373" s="49" t="s">
        <v>14526</v>
      </c>
      <c r="M373" s="49" t="s">
        <v>14527</v>
      </c>
      <c r="N373" s="49" t="s">
        <v>14528</v>
      </c>
      <c r="O373" s="49" t="s">
        <v>35851</v>
      </c>
      <c r="P373" s="49" t="s">
        <v>35852</v>
      </c>
      <c r="Q373" s="49" t="s">
        <v>35853</v>
      </c>
      <c r="R373" s="49" t="s">
        <v>35854</v>
      </c>
      <c r="S373" s="49" t="s">
        <v>35855</v>
      </c>
      <c r="T373" s="49" t="s">
        <v>35856</v>
      </c>
    </row>
    <row r="374" spans="1:21" x14ac:dyDescent="0.2">
      <c r="A374" s="49" t="s">
        <v>30</v>
      </c>
      <c r="D374" s="49" t="s">
        <v>14529</v>
      </c>
      <c r="G374" s="49" t="s">
        <v>17080</v>
      </c>
      <c r="H374" s="49" t="s">
        <v>31484</v>
      </c>
      <c r="I374" s="49" t="s">
        <v>31487</v>
      </c>
      <c r="J374" s="49" t="s">
        <v>31526</v>
      </c>
      <c r="K374" s="49" t="s">
        <v>31529</v>
      </c>
      <c r="L374" s="49" t="s">
        <v>14531</v>
      </c>
      <c r="M374" s="49" t="s">
        <v>14532</v>
      </c>
      <c r="N374" s="49" t="s">
        <v>14533</v>
      </c>
      <c r="O374" s="49" t="s">
        <v>39083</v>
      </c>
      <c r="P374" s="49" t="s">
        <v>39084</v>
      </c>
      <c r="Q374" s="49" t="s">
        <v>39085</v>
      </c>
      <c r="R374" s="49" t="s">
        <v>39086</v>
      </c>
      <c r="S374" s="49" t="s">
        <v>39087</v>
      </c>
      <c r="T374" s="49" t="s">
        <v>39088</v>
      </c>
    </row>
    <row r="375" spans="1:21" x14ac:dyDescent="0.2">
      <c r="A375" s="49" t="s">
        <v>30</v>
      </c>
    </row>
    <row r="376" spans="1:21" x14ac:dyDescent="0.2">
      <c r="A376" s="49" t="s">
        <v>30</v>
      </c>
      <c r="E376" s="49" t="s">
        <v>31</v>
      </c>
      <c r="F376" s="49" t="s">
        <v>31</v>
      </c>
      <c r="G376" s="49" t="s">
        <v>31</v>
      </c>
      <c r="J376" s="49" t="s">
        <v>31</v>
      </c>
      <c r="K376" s="49" t="s">
        <v>31</v>
      </c>
      <c r="L376" s="49" t="s">
        <v>31</v>
      </c>
      <c r="M376" s="49" t="s">
        <v>31</v>
      </c>
    </row>
    <row r="377" spans="1:21" x14ac:dyDescent="0.2">
      <c r="A377" s="49" t="s">
        <v>30</v>
      </c>
      <c r="D377" s="49" t="s">
        <v>38567</v>
      </c>
      <c r="E377" s="49" t="s">
        <v>7084</v>
      </c>
      <c r="F377" s="49" t="s">
        <v>38568</v>
      </c>
      <c r="H377" s="49" t="s">
        <v>38569</v>
      </c>
      <c r="O377" s="49" t="s">
        <v>38570</v>
      </c>
      <c r="P377" s="49" t="s">
        <v>38571</v>
      </c>
      <c r="Q377" s="49" t="s">
        <v>38572</v>
      </c>
      <c r="R377" s="49" t="s">
        <v>38573</v>
      </c>
      <c r="S377" s="49" t="s">
        <v>38574</v>
      </c>
      <c r="T377" s="49" t="s">
        <v>38575</v>
      </c>
      <c r="U377" s="49" t="s">
        <v>38576</v>
      </c>
    </row>
    <row r="378" spans="1:21" x14ac:dyDescent="0.2">
      <c r="A378" s="49" t="s">
        <v>30</v>
      </c>
      <c r="D378" s="49" t="s">
        <v>1482</v>
      </c>
      <c r="G378" s="49" t="s">
        <v>38577</v>
      </c>
      <c r="H378" s="49" t="s">
        <v>1483</v>
      </c>
      <c r="I378" s="49" t="s">
        <v>1484</v>
      </c>
      <c r="J378" s="49" t="s">
        <v>1485</v>
      </c>
      <c r="K378" s="49" t="s">
        <v>1486</v>
      </c>
      <c r="L378" s="49" t="s">
        <v>1487</v>
      </c>
      <c r="M378" s="49" t="s">
        <v>1488</v>
      </c>
      <c r="N378" s="49" t="s">
        <v>1489</v>
      </c>
      <c r="O378" s="49" t="s">
        <v>9820</v>
      </c>
      <c r="P378" s="49" t="s">
        <v>9821</v>
      </c>
      <c r="Q378" s="49" t="s">
        <v>9822</v>
      </c>
      <c r="R378" s="49" t="s">
        <v>9823</v>
      </c>
      <c r="S378" s="49" t="s">
        <v>9824</v>
      </c>
      <c r="T378" s="49" t="s">
        <v>9825</v>
      </c>
    </row>
    <row r="379" spans="1:21" x14ac:dyDescent="0.2">
      <c r="A379" s="49" t="s">
        <v>30</v>
      </c>
      <c r="D379" s="49" t="s">
        <v>1490</v>
      </c>
      <c r="G379" s="49" t="s">
        <v>17125</v>
      </c>
      <c r="H379" s="49" t="s">
        <v>1491</v>
      </c>
      <c r="I379" s="49" t="s">
        <v>1492</v>
      </c>
      <c r="J379" s="49" t="s">
        <v>1493</v>
      </c>
      <c r="K379" s="49" t="s">
        <v>1494</v>
      </c>
      <c r="L379" s="49" t="s">
        <v>1495</v>
      </c>
      <c r="M379" s="49" t="s">
        <v>1496</v>
      </c>
      <c r="N379" s="49" t="s">
        <v>1497</v>
      </c>
      <c r="O379" s="49" t="s">
        <v>9377</v>
      </c>
      <c r="P379" s="49" t="s">
        <v>9378</v>
      </c>
      <c r="Q379" s="49" t="s">
        <v>9379</v>
      </c>
      <c r="R379" s="49" t="s">
        <v>9380</v>
      </c>
      <c r="S379" s="49" t="s">
        <v>9381</v>
      </c>
      <c r="T379" s="49" t="s">
        <v>9382</v>
      </c>
    </row>
    <row r="380" spans="1:21" x14ac:dyDescent="0.2">
      <c r="A380" s="49" t="s">
        <v>30</v>
      </c>
      <c r="D380" s="49" t="s">
        <v>1498</v>
      </c>
      <c r="G380" s="49" t="s">
        <v>17140</v>
      </c>
      <c r="H380" s="49" t="s">
        <v>1499</v>
      </c>
      <c r="I380" s="49" t="s">
        <v>1500</v>
      </c>
      <c r="J380" s="49" t="s">
        <v>1501</v>
      </c>
      <c r="K380" s="49" t="s">
        <v>1502</v>
      </c>
      <c r="L380" s="49" t="s">
        <v>1503</v>
      </c>
      <c r="M380" s="49" t="s">
        <v>1504</v>
      </c>
      <c r="N380" s="49" t="s">
        <v>1505</v>
      </c>
      <c r="O380" s="49" t="s">
        <v>10529</v>
      </c>
      <c r="P380" s="49" t="s">
        <v>10530</v>
      </c>
      <c r="Q380" s="49" t="s">
        <v>10531</v>
      </c>
      <c r="R380" s="49" t="s">
        <v>10532</v>
      </c>
      <c r="S380" s="49" t="s">
        <v>10533</v>
      </c>
      <c r="T380" s="49" t="s">
        <v>10534</v>
      </c>
    </row>
    <row r="381" spans="1:21" x14ac:dyDescent="0.2">
      <c r="A381" s="49" t="s">
        <v>30</v>
      </c>
      <c r="D381" s="49" t="s">
        <v>1506</v>
      </c>
      <c r="G381" s="49" t="s">
        <v>17190</v>
      </c>
      <c r="H381" s="49" t="s">
        <v>1507</v>
      </c>
      <c r="I381" s="49" t="s">
        <v>1508</v>
      </c>
      <c r="J381" s="49" t="s">
        <v>1509</v>
      </c>
      <c r="K381" s="49" t="s">
        <v>1510</v>
      </c>
      <c r="L381" s="49" t="s">
        <v>1511</v>
      </c>
      <c r="M381" s="49" t="s">
        <v>1512</v>
      </c>
      <c r="N381" s="49" t="s">
        <v>1513</v>
      </c>
      <c r="O381" s="49" t="s">
        <v>10535</v>
      </c>
      <c r="P381" s="49" t="s">
        <v>10536</v>
      </c>
      <c r="Q381" s="49" t="s">
        <v>10537</v>
      </c>
      <c r="R381" s="49" t="s">
        <v>10538</v>
      </c>
      <c r="S381" s="49" t="s">
        <v>10539</v>
      </c>
      <c r="T381" s="49" t="s">
        <v>10540</v>
      </c>
    </row>
    <row r="382" spans="1:21" x14ac:dyDescent="0.2">
      <c r="A382" s="49" t="s">
        <v>30</v>
      </c>
      <c r="D382" s="49" t="s">
        <v>1514</v>
      </c>
      <c r="G382" s="49" t="s">
        <v>17205</v>
      </c>
      <c r="H382" s="49" t="s">
        <v>1515</v>
      </c>
      <c r="I382" s="49" t="s">
        <v>1516</v>
      </c>
      <c r="J382" s="49" t="s">
        <v>1517</v>
      </c>
      <c r="K382" s="49" t="s">
        <v>1518</v>
      </c>
      <c r="L382" s="49" t="s">
        <v>1519</v>
      </c>
      <c r="M382" s="49" t="s">
        <v>1520</v>
      </c>
      <c r="N382" s="49" t="s">
        <v>1521</v>
      </c>
      <c r="O382" s="49" t="s">
        <v>13336</v>
      </c>
      <c r="P382" s="49" t="s">
        <v>13337</v>
      </c>
      <c r="Q382" s="49" t="s">
        <v>13338</v>
      </c>
      <c r="R382" s="49" t="s">
        <v>13339</v>
      </c>
      <c r="S382" s="49" t="s">
        <v>13340</v>
      </c>
      <c r="T382" s="49" t="s">
        <v>13341</v>
      </c>
    </row>
    <row r="383" spans="1:21" x14ac:dyDescent="0.2">
      <c r="A383" s="49" t="s">
        <v>30</v>
      </c>
      <c r="D383" s="49" t="s">
        <v>1522</v>
      </c>
      <c r="G383" s="49" t="s">
        <v>17210</v>
      </c>
      <c r="H383" s="49" t="s">
        <v>1523</v>
      </c>
      <c r="I383" s="49" t="s">
        <v>1524</v>
      </c>
      <c r="J383" s="49" t="s">
        <v>1525</v>
      </c>
      <c r="K383" s="49" t="s">
        <v>1526</v>
      </c>
      <c r="L383" s="49" t="s">
        <v>1527</v>
      </c>
      <c r="M383" s="49" t="s">
        <v>1528</v>
      </c>
      <c r="N383" s="49" t="s">
        <v>1529</v>
      </c>
      <c r="O383" s="49" t="s">
        <v>34654</v>
      </c>
      <c r="P383" s="49" t="s">
        <v>34655</v>
      </c>
      <c r="Q383" s="49" t="s">
        <v>34656</v>
      </c>
      <c r="R383" s="49" t="s">
        <v>34657</v>
      </c>
      <c r="S383" s="49" t="s">
        <v>34658</v>
      </c>
      <c r="T383" s="49" t="s">
        <v>34659</v>
      </c>
    </row>
    <row r="384" spans="1:21" x14ac:dyDescent="0.2">
      <c r="A384" s="49" t="s">
        <v>30</v>
      </c>
    </row>
    <row r="385" spans="1:21" x14ac:dyDescent="0.2">
      <c r="A385" s="49" t="s">
        <v>30</v>
      </c>
      <c r="E385" s="49" t="s">
        <v>31</v>
      </c>
      <c r="F385" s="49" t="s">
        <v>31</v>
      </c>
      <c r="G385" s="49" t="s">
        <v>31</v>
      </c>
      <c r="J385" s="49" t="s">
        <v>31</v>
      </c>
      <c r="K385" s="49" t="s">
        <v>31</v>
      </c>
      <c r="L385" s="49" t="s">
        <v>31</v>
      </c>
      <c r="M385" s="49" t="s">
        <v>31</v>
      </c>
    </row>
    <row r="386" spans="1:21" x14ac:dyDescent="0.2">
      <c r="A386" s="49" t="s">
        <v>30</v>
      </c>
      <c r="D386" s="49" t="s">
        <v>38578</v>
      </c>
      <c r="E386" s="49" t="s">
        <v>7180</v>
      </c>
      <c r="F386" s="49" t="s">
        <v>38579</v>
      </c>
      <c r="H386" s="49" t="s">
        <v>38580</v>
      </c>
      <c r="O386" s="49" t="s">
        <v>38581</v>
      </c>
      <c r="P386" s="49" t="s">
        <v>38582</v>
      </c>
      <c r="Q386" s="49" t="s">
        <v>38583</v>
      </c>
      <c r="R386" s="49" t="s">
        <v>38584</v>
      </c>
      <c r="S386" s="49" t="s">
        <v>38585</v>
      </c>
      <c r="T386" s="49" t="s">
        <v>38586</v>
      </c>
      <c r="U386" s="49" t="s">
        <v>38587</v>
      </c>
    </row>
    <row r="387" spans="1:21" x14ac:dyDescent="0.2">
      <c r="A387" s="49" t="s">
        <v>30</v>
      </c>
      <c r="D387" s="49" t="s">
        <v>14550</v>
      </c>
      <c r="G387" s="49" t="s">
        <v>38588</v>
      </c>
      <c r="H387" s="49" t="s">
        <v>31384</v>
      </c>
      <c r="I387" s="49" t="s">
        <v>31392</v>
      </c>
      <c r="J387" s="49" t="s">
        <v>31466</v>
      </c>
      <c r="K387" s="49" t="s">
        <v>31474</v>
      </c>
      <c r="L387" s="49" t="s">
        <v>14552</v>
      </c>
      <c r="M387" s="49" t="s">
        <v>14553</v>
      </c>
      <c r="N387" s="49" t="s">
        <v>14554</v>
      </c>
      <c r="O387" s="49" t="s">
        <v>35845</v>
      </c>
      <c r="P387" s="49" t="s">
        <v>35846</v>
      </c>
      <c r="Q387" s="49" t="s">
        <v>35847</v>
      </c>
      <c r="R387" s="49" t="s">
        <v>35848</v>
      </c>
      <c r="S387" s="49" t="s">
        <v>35849</v>
      </c>
      <c r="T387" s="49" t="s">
        <v>35850</v>
      </c>
    </row>
    <row r="388" spans="1:21" x14ac:dyDescent="0.2">
      <c r="A388" s="49" t="s">
        <v>30</v>
      </c>
      <c r="D388" s="49" t="s">
        <v>14555</v>
      </c>
      <c r="G388" s="49" t="s">
        <v>17340</v>
      </c>
      <c r="H388" s="49" t="s">
        <v>31385</v>
      </c>
      <c r="I388" s="49" t="s">
        <v>31393</v>
      </c>
      <c r="J388" s="49" t="s">
        <v>31467</v>
      </c>
      <c r="K388" s="49" t="s">
        <v>31475</v>
      </c>
      <c r="L388" s="49" t="s">
        <v>14557</v>
      </c>
      <c r="M388" s="49" t="s">
        <v>14558</v>
      </c>
      <c r="N388" s="49" t="s">
        <v>14559</v>
      </c>
      <c r="O388" s="49" t="s">
        <v>32984</v>
      </c>
      <c r="P388" s="49" t="s">
        <v>32985</v>
      </c>
      <c r="Q388" s="49" t="s">
        <v>32986</v>
      </c>
      <c r="R388" s="49" t="s">
        <v>32987</v>
      </c>
      <c r="S388" s="49" t="s">
        <v>32988</v>
      </c>
      <c r="T388" s="49" t="s">
        <v>32989</v>
      </c>
    </row>
    <row r="389" spans="1:21" x14ac:dyDescent="0.2">
      <c r="A389" s="49" t="s">
        <v>30</v>
      </c>
      <c r="D389" s="49" t="s">
        <v>2201</v>
      </c>
      <c r="G389" s="49" t="s">
        <v>17345</v>
      </c>
      <c r="H389" s="49" t="s">
        <v>2202</v>
      </c>
      <c r="I389" s="49" t="s">
        <v>2203</v>
      </c>
      <c r="J389" s="49" t="s">
        <v>2204</v>
      </c>
      <c r="K389" s="49" t="s">
        <v>2205</v>
      </c>
      <c r="L389" s="49" t="s">
        <v>2206</v>
      </c>
      <c r="M389" s="49" t="s">
        <v>2207</v>
      </c>
      <c r="N389" s="49" t="s">
        <v>2208</v>
      </c>
      <c r="O389" s="49" t="s">
        <v>10547</v>
      </c>
      <c r="P389" s="49" t="s">
        <v>10548</v>
      </c>
      <c r="Q389" s="49" t="s">
        <v>10549</v>
      </c>
      <c r="R389" s="49" t="s">
        <v>10550</v>
      </c>
      <c r="S389" s="49" t="s">
        <v>10551</v>
      </c>
      <c r="T389" s="49" t="s">
        <v>10552</v>
      </c>
    </row>
    <row r="390" spans="1:21" x14ac:dyDescent="0.2">
      <c r="A390" s="49" t="s">
        <v>30</v>
      </c>
      <c r="D390" s="49" t="s">
        <v>2209</v>
      </c>
      <c r="G390" s="49" t="s">
        <v>17350</v>
      </c>
      <c r="H390" s="49" t="s">
        <v>2210</v>
      </c>
      <c r="I390" s="49" t="s">
        <v>2211</v>
      </c>
      <c r="J390" s="49" t="s">
        <v>2212</v>
      </c>
      <c r="K390" s="49" t="s">
        <v>2213</v>
      </c>
      <c r="L390" s="49" t="s">
        <v>2214</v>
      </c>
      <c r="M390" s="49" t="s">
        <v>2215</v>
      </c>
      <c r="N390" s="49" t="s">
        <v>2216</v>
      </c>
      <c r="O390" s="49" t="s">
        <v>10553</v>
      </c>
      <c r="P390" s="49" t="s">
        <v>10554</v>
      </c>
      <c r="Q390" s="49" t="s">
        <v>10555</v>
      </c>
      <c r="R390" s="49" t="s">
        <v>10556</v>
      </c>
      <c r="S390" s="49" t="s">
        <v>10557</v>
      </c>
      <c r="T390" s="49" t="s">
        <v>10558</v>
      </c>
    </row>
    <row r="391" spans="1:21" x14ac:dyDescent="0.2">
      <c r="A391" s="49" t="s">
        <v>30</v>
      </c>
      <c r="D391" s="49" t="s">
        <v>1554</v>
      </c>
      <c r="G391" s="49" t="s">
        <v>17355</v>
      </c>
      <c r="H391" s="49" t="s">
        <v>1555</v>
      </c>
      <c r="I391" s="49" t="s">
        <v>1556</v>
      </c>
      <c r="J391" s="49" t="s">
        <v>1557</v>
      </c>
      <c r="K391" s="49" t="s">
        <v>1558</v>
      </c>
      <c r="L391" s="49" t="s">
        <v>1559</v>
      </c>
      <c r="M391" s="49" t="s">
        <v>1560</v>
      </c>
      <c r="N391" s="49" t="s">
        <v>1561</v>
      </c>
      <c r="O391" s="49" t="s">
        <v>34642</v>
      </c>
      <c r="P391" s="49" t="s">
        <v>34644</v>
      </c>
      <c r="Q391" s="49" t="s">
        <v>34646</v>
      </c>
      <c r="R391" s="49" t="s">
        <v>34648</v>
      </c>
      <c r="S391" s="49" t="s">
        <v>34650</v>
      </c>
      <c r="T391" s="49" t="s">
        <v>34652</v>
      </c>
    </row>
    <row r="392" spans="1:21" x14ac:dyDescent="0.2">
      <c r="A392" s="49" t="s">
        <v>30</v>
      </c>
    </row>
    <row r="393" spans="1:21" x14ac:dyDescent="0.2">
      <c r="A393" s="49" t="s">
        <v>30</v>
      </c>
      <c r="E393" s="49" t="s">
        <v>31</v>
      </c>
      <c r="F393" s="49" t="s">
        <v>31</v>
      </c>
      <c r="G393" s="49" t="s">
        <v>31</v>
      </c>
      <c r="J393" s="49" t="s">
        <v>31</v>
      </c>
      <c r="K393" s="49" t="s">
        <v>31</v>
      </c>
      <c r="L393" s="49" t="s">
        <v>31</v>
      </c>
      <c r="M393" s="49" t="s">
        <v>31</v>
      </c>
    </row>
    <row r="394" spans="1:21" x14ac:dyDescent="0.2">
      <c r="A394" s="49" t="s">
        <v>30</v>
      </c>
      <c r="D394" s="49" t="s">
        <v>1562</v>
      </c>
      <c r="E394" s="49" t="s">
        <v>7291</v>
      </c>
      <c r="F394" s="49" t="s">
        <v>1563</v>
      </c>
      <c r="H394" s="49" t="s">
        <v>1564</v>
      </c>
      <c r="O394" s="49" t="s">
        <v>38589</v>
      </c>
      <c r="P394" s="49" t="s">
        <v>38590</v>
      </c>
      <c r="Q394" s="49" t="s">
        <v>38591</v>
      </c>
      <c r="R394" s="49" t="s">
        <v>38592</v>
      </c>
      <c r="S394" s="49" t="s">
        <v>38593</v>
      </c>
      <c r="T394" s="49" t="s">
        <v>38594</v>
      </c>
      <c r="U394" s="49" t="s">
        <v>38595</v>
      </c>
    </row>
    <row r="395" spans="1:21" x14ac:dyDescent="0.2">
      <c r="A395" s="49" t="s">
        <v>30</v>
      </c>
      <c r="D395" s="49" t="s">
        <v>1565</v>
      </c>
      <c r="G395" s="49" t="s">
        <v>38596</v>
      </c>
      <c r="H395" s="49" t="s">
        <v>1566</v>
      </c>
      <c r="I395" s="49" t="s">
        <v>1567</v>
      </c>
      <c r="J395" s="49" t="s">
        <v>1568</v>
      </c>
      <c r="K395" s="49" t="s">
        <v>1569</v>
      </c>
      <c r="L395" s="49" t="s">
        <v>1570</v>
      </c>
      <c r="M395" s="49" t="s">
        <v>1571</v>
      </c>
      <c r="N395" s="49" t="s">
        <v>1572</v>
      </c>
      <c r="O395" s="49" t="s">
        <v>38129</v>
      </c>
      <c r="P395" s="49" t="s">
        <v>38130</v>
      </c>
      <c r="Q395" s="49" t="s">
        <v>38131</v>
      </c>
      <c r="R395" s="49" t="s">
        <v>38132</v>
      </c>
      <c r="S395" s="49" t="s">
        <v>38133</v>
      </c>
      <c r="T395" s="49" t="s">
        <v>38134</v>
      </c>
    </row>
    <row r="396" spans="1:21" x14ac:dyDescent="0.2">
      <c r="A396" s="49" t="s">
        <v>30</v>
      </c>
    </row>
    <row r="397" spans="1:21" x14ac:dyDescent="0.2">
      <c r="A397" s="49" t="s">
        <v>30</v>
      </c>
      <c r="E397" s="49" t="s">
        <v>31</v>
      </c>
      <c r="F397" s="49" t="s">
        <v>31</v>
      </c>
      <c r="G397" s="49" t="s">
        <v>31</v>
      </c>
      <c r="J397" s="49" t="s">
        <v>31</v>
      </c>
      <c r="K397" s="49" t="s">
        <v>31</v>
      </c>
      <c r="L397" s="49" t="s">
        <v>31</v>
      </c>
      <c r="M397" s="49" t="s">
        <v>31</v>
      </c>
    </row>
    <row r="398" spans="1:21" x14ac:dyDescent="0.2">
      <c r="A398" s="49" t="s">
        <v>30</v>
      </c>
      <c r="D398" s="49" t="s">
        <v>36223</v>
      </c>
      <c r="E398" s="49" t="s">
        <v>7328</v>
      </c>
      <c r="F398" s="49" t="s">
        <v>36224</v>
      </c>
      <c r="H398" s="49" t="s">
        <v>36225</v>
      </c>
      <c r="O398" s="49" t="s">
        <v>38597</v>
      </c>
      <c r="P398" s="49" t="s">
        <v>38598</v>
      </c>
      <c r="Q398" s="49" t="s">
        <v>38599</v>
      </c>
      <c r="R398" s="49" t="s">
        <v>38600</v>
      </c>
      <c r="S398" s="49" t="s">
        <v>38601</v>
      </c>
      <c r="T398" s="49" t="s">
        <v>38602</v>
      </c>
      <c r="U398" s="49" t="s">
        <v>38603</v>
      </c>
    </row>
    <row r="399" spans="1:21" x14ac:dyDescent="0.2">
      <c r="A399" s="49" t="s">
        <v>30</v>
      </c>
      <c r="D399" s="49" t="s">
        <v>14574</v>
      </c>
      <c r="G399" s="49" t="s">
        <v>36233</v>
      </c>
      <c r="H399" s="49" t="s">
        <v>31387</v>
      </c>
      <c r="I399" s="49" t="s">
        <v>31395</v>
      </c>
      <c r="J399" s="49" t="s">
        <v>31469</v>
      </c>
      <c r="K399" s="49" t="s">
        <v>31477</v>
      </c>
      <c r="L399" s="49" t="s">
        <v>14576</v>
      </c>
      <c r="M399" s="49" t="s">
        <v>14577</v>
      </c>
      <c r="N399" s="49" t="s">
        <v>14578</v>
      </c>
      <c r="O399" s="49" t="s">
        <v>32808</v>
      </c>
      <c r="P399" s="49" t="s">
        <v>32809</v>
      </c>
      <c r="Q399" s="49" t="s">
        <v>32810</v>
      </c>
      <c r="R399" s="49" t="s">
        <v>32811</v>
      </c>
      <c r="S399" s="49" t="s">
        <v>32812</v>
      </c>
      <c r="T399" s="49" t="s">
        <v>32813</v>
      </c>
    </row>
    <row r="400" spans="1:21" x14ac:dyDescent="0.2">
      <c r="A400" s="49" t="s">
        <v>30</v>
      </c>
      <c r="D400" s="49" t="s">
        <v>14579</v>
      </c>
      <c r="G400" s="49" t="s">
        <v>17455</v>
      </c>
      <c r="H400" s="49" t="s">
        <v>31388</v>
      </c>
      <c r="I400" s="49" t="s">
        <v>31396</v>
      </c>
      <c r="J400" s="49" t="s">
        <v>31470</v>
      </c>
      <c r="K400" s="49" t="s">
        <v>31478</v>
      </c>
      <c r="L400" s="49" t="s">
        <v>14581</v>
      </c>
      <c r="M400" s="49" t="s">
        <v>14582</v>
      </c>
      <c r="N400" s="49" t="s">
        <v>14583</v>
      </c>
      <c r="O400" s="49" t="s">
        <v>35839</v>
      </c>
      <c r="P400" s="49" t="s">
        <v>35840</v>
      </c>
      <c r="Q400" s="49" t="s">
        <v>35841</v>
      </c>
      <c r="R400" s="49" t="s">
        <v>35842</v>
      </c>
      <c r="S400" s="49" t="s">
        <v>35843</v>
      </c>
      <c r="T400" s="49" t="s">
        <v>35844</v>
      </c>
    </row>
    <row r="401" spans="1:21" x14ac:dyDescent="0.2">
      <c r="A401" s="49" t="s">
        <v>30</v>
      </c>
    </row>
    <row r="402" spans="1:21" x14ac:dyDescent="0.2">
      <c r="A402" s="49" t="s">
        <v>30</v>
      </c>
      <c r="E402" s="49" t="s">
        <v>31</v>
      </c>
      <c r="F402" s="49" t="s">
        <v>31</v>
      </c>
      <c r="G402" s="49" t="s">
        <v>31</v>
      </c>
      <c r="J402" s="49" t="s">
        <v>31</v>
      </c>
      <c r="K402" s="49" t="s">
        <v>31</v>
      </c>
      <c r="L402" s="49" t="s">
        <v>31</v>
      </c>
      <c r="M402" s="49" t="s">
        <v>31</v>
      </c>
    </row>
    <row r="403" spans="1:21" x14ac:dyDescent="0.2">
      <c r="A403" s="49" t="s">
        <v>30</v>
      </c>
      <c r="D403" s="49" t="s">
        <v>35200</v>
      </c>
      <c r="E403" s="49" t="s">
        <v>7357</v>
      </c>
      <c r="F403" s="49" t="s">
        <v>35201</v>
      </c>
      <c r="H403" s="49" t="s">
        <v>35202</v>
      </c>
      <c r="O403" s="49" t="s">
        <v>38604</v>
      </c>
      <c r="P403" s="49" t="s">
        <v>38605</v>
      </c>
      <c r="Q403" s="49" t="s">
        <v>38606</v>
      </c>
      <c r="R403" s="49" t="s">
        <v>38607</v>
      </c>
      <c r="S403" s="49" t="s">
        <v>38608</v>
      </c>
      <c r="T403" s="49" t="s">
        <v>38609</v>
      </c>
      <c r="U403" s="49" t="s">
        <v>38610</v>
      </c>
    </row>
    <row r="404" spans="1:21" x14ac:dyDescent="0.2">
      <c r="A404" s="49" t="s">
        <v>30</v>
      </c>
      <c r="D404" s="49" t="s">
        <v>14591</v>
      </c>
      <c r="G404" s="49" t="s">
        <v>35210</v>
      </c>
      <c r="H404" s="49" t="s">
        <v>31390</v>
      </c>
      <c r="I404" s="49" t="s">
        <v>31398</v>
      </c>
      <c r="J404" s="49" t="s">
        <v>31472</v>
      </c>
      <c r="K404" s="49" t="s">
        <v>31480</v>
      </c>
      <c r="L404" s="49" t="s">
        <v>14593</v>
      </c>
      <c r="M404" s="49" t="s">
        <v>14594</v>
      </c>
      <c r="N404" s="49" t="s">
        <v>14595</v>
      </c>
      <c r="O404" s="49" t="s">
        <v>32831</v>
      </c>
      <c r="P404" s="49" t="s">
        <v>32832</v>
      </c>
      <c r="Q404" s="49" t="s">
        <v>32833</v>
      </c>
      <c r="R404" s="49" t="s">
        <v>32834</v>
      </c>
      <c r="S404" s="49" t="s">
        <v>32835</v>
      </c>
      <c r="T404" s="49" t="s">
        <v>32836</v>
      </c>
    </row>
    <row r="405" spans="1:21" x14ac:dyDescent="0.2">
      <c r="A405" s="49" t="s">
        <v>30</v>
      </c>
    </row>
    <row r="406" spans="1:21" x14ac:dyDescent="0.2">
      <c r="A406" s="49" t="s">
        <v>30</v>
      </c>
      <c r="E406" s="49" t="s">
        <v>31</v>
      </c>
      <c r="F406" s="49" t="s">
        <v>31</v>
      </c>
      <c r="G406" s="49" t="s">
        <v>31</v>
      </c>
      <c r="J406" s="49" t="s">
        <v>31</v>
      </c>
      <c r="K406" s="49" t="s">
        <v>31</v>
      </c>
      <c r="L406" s="49" t="s">
        <v>31</v>
      </c>
      <c r="M406" s="49" t="s">
        <v>31</v>
      </c>
    </row>
    <row r="407" spans="1:21" x14ac:dyDescent="0.2">
      <c r="A407" s="49" t="s">
        <v>30</v>
      </c>
      <c r="D407" s="49" t="s">
        <v>32837</v>
      </c>
      <c r="E407" s="49" t="s">
        <v>7358</v>
      </c>
      <c r="F407" s="49" t="s">
        <v>32838</v>
      </c>
      <c r="H407" s="49" t="s">
        <v>32839</v>
      </c>
      <c r="O407" s="49" t="s">
        <v>38611</v>
      </c>
      <c r="P407" s="49" t="s">
        <v>38612</v>
      </c>
      <c r="Q407" s="49" t="s">
        <v>38613</v>
      </c>
      <c r="R407" s="49" t="s">
        <v>38614</v>
      </c>
      <c r="S407" s="49" t="s">
        <v>38615</v>
      </c>
      <c r="T407" s="49" t="s">
        <v>38616</v>
      </c>
      <c r="U407" s="49" t="s">
        <v>38617</v>
      </c>
    </row>
    <row r="408" spans="1:21" x14ac:dyDescent="0.2">
      <c r="A408" s="49" t="s">
        <v>30</v>
      </c>
      <c r="D408" s="49" t="s">
        <v>5003</v>
      </c>
      <c r="G408" s="49" t="s">
        <v>32847</v>
      </c>
      <c r="H408" s="49" t="s">
        <v>5004</v>
      </c>
      <c r="I408" s="49" t="s">
        <v>5005</v>
      </c>
      <c r="J408" s="49" t="s">
        <v>5006</v>
      </c>
      <c r="K408" s="49" t="s">
        <v>5007</v>
      </c>
      <c r="L408" s="49" t="s">
        <v>5008</v>
      </c>
      <c r="M408" s="49" t="s">
        <v>5009</v>
      </c>
      <c r="N408" s="49" t="s">
        <v>5010</v>
      </c>
      <c r="O408" s="49" t="s">
        <v>32972</v>
      </c>
      <c r="P408" s="49" t="s">
        <v>32974</v>
      </c>
      <c r="Q408" s="49" t="s">
        <v>32976</v>
      </c>
      <c r="R408" s="49" t="s">
        <v>32978</v>
      </c>
      <c r="S408" s="49" t="s">
        <v>32980</v>
      </c>
      <c r="T408" s="49" t="s">
        <v>32982</v>
      </c>
    </row>
    <row r="409" spans="1:21" x14ac:dyDescent="0.2">
      <c r="A409" s="49" t="s">
        <v>30</v>
      </c>
    </row>
    <row r="410" spans="1:21" x14ac:dyDescent="0.2">
      <c r="A410" s="49" t="s">
        <v>30</v>
      </c>
      <c r="E410" s="49" t="s">
        <v>31</v>
      </c>
      <c r="F410" s="49" t="s">
        <v>31</v>
      </c>
      <c r="G410" s="49" t="s">
        <v>31</v>
      </c>
      <c r="J410" s="49" t="s">
        <v>31</v>
      </c>
      <c r="K410" s="49" t="s">
        <v>31</v>
      </c>
      <c r="L410" s="49" t="s">
        <v>31</v>
      </c>
      <c r="M410" s="49" t="s">
        <v>31</v>
      </c>
    </row>
    <row r="411" spans="1:21" x14ac:dyDescent="0.2">
      <c r="A411" s="49" t="s">
        <v>30</v>
      </c>
      <c r="D411" s="49" t="s">
        <v>38618</v>
      </c>
      <c r="E411" s="49" t="s">
        <v>7373</v>
      </c>
      <c r="F411" s="49" t="s">
        <v>38619</v>
      </c>
      <c r="H411" s="49" t="s">
        <v>38620</v>
      </c>
      <c r="O411" s="49" t="s">
        <v>38621</v>
      </c>
      <c r="P411" s="49" t="s">
        <v>38622</v>
      </c>
      <c r="Q411" s="49" t="s">
        <v>38623</v>
      </c>
      <c r="R411" s="49" t="s">
        <v>38624</v>
      </c>
      <c r="S411" s="49" t="s">
        <v>38625</v>
      </c>
      <c r="T411" s="49" t="s">
        <v>38626</v>
      </c>
      <c r="U411" s="49" t="s">
        <v>38627</v>
      </c>
    </row>
    <row r="412" spans="1:21" x14ac:dyDescent="0.2">
      <c r="A412" s="49" t="s">
        <v>30</v>
      </c>
      <c r="D412" s="49" t="s">
        <v>9838</v>
      </c>
      <c r="G412" s="49" t="s">
        <v>38628</v>
      </c>
      <c r="H412" s="49" t="s">
        <v>9839</v>
      </c>
      <c r="I412" s="49" t="s">
        <v>9840</v>
      </c>
      <c r="J412" s="49" t="s">
        <v>9841</v>
      </c>
      <c r="K412" s="49" t="s">
        <v>9842</v>
      </c>
      <c r="L412" s="49" t="s">
        <v>9843</v>
      </c>
      <c r="M412" s="49" t="s">
        <v>9844</v>
      </c>
      <c r="N412" s="49" t="s">
        <v>9845</v>
      </c>
      <c r="O412" s="49" t="s">
        <v>34607</v>
      </c>
      <c r="P412" s="49" t="s">
        <v>34610</v>
      </c>
      <c r="Q412" s="49" t="s">
        <v>34613</v>
      </c>
      <c r="R412" s="49" t="s">
        <v>34616</v>
      </c>
      <c r="S412" s="49" t="s">
        <v>34619</v>
      </c>
      <c r="T412" s="49" t="s">
        <v>34622</v>
      </c>
    </row>
    <row r="413" spans="1:21" x14ac:dyDescent="0.2">
      <c r="A413" s="49" t="s">
        <v>30</v>
      </c>
    </row>
    <row r="414" spans="1:21" x14ac:dyDescent="0.2">
      <c r="A414" s="49" t="s">
        <v>30</v>
      </c>
      <c r="E414" s="49" t="s">
        <v>31</v>
      </c>
      <c r="F414" s="49" t="s">
        <v>31</v>
      </c>
      <c r="G414" s="49" t="s">
        <v>31</v>
      </c>
      <c r="J414" s="49" t="s">
        <v>31</v>
      </c>
      <c r="K414" s="49" t="s">
        <v>31</v>
      </c>
      <c r="L414" s="49" t="s">
        <v>31</v>
      </c>
      <c r="M414" s="49" t="s">
        <v>31</v>
      </c>
    </row>
    <row r="415" spans="1:21" x14ac:dyDescent="0.2">
      <c r="A415" s="49" t="s">
        <v>30</v>
      </c>
      <c r="D415" s="49" t="s">
        <v>38629</v>
      </c>
      <c r="E415" s="49" t="s">
        <v>7374</v>
      </c>
      <c r="F415" s="49" t="s">
        <v>38630</v>
      </c>
      <c r="H415" s="49" t="s">
        <v>38631</v>
      </c>
      <c r="O415" s="49" t="s">
        <v>38632</v>
      </c>
      <c r="P415" s="49" t="s">
        <v>38633</v>
      </c>
      <c r="Q415" s="49" t="s">
        <v>38634</v>
      </c>
      <c r="R415" s="49" t="s">
        <v>38635</v>
      </c>
      <c r="S415" s="49" t="s">
        <v>38636</v>
      </c>
      <c r="T415" s="49" t="s">
        <v>38637</v>
      </c>
      <c r="U415" s="49" t="s">
        <v>38638</v>
      </c>
    </row>
    <row r="416" spans="1:21" x14ac:dyDescent="0.2">
      <c r="A416" s="49" t="s">
        <v>30</v>
      </c>
      <c r="D416" s="49" t="s">
        <v>14618</v>
      </c>
      <c r="G416" s="49" t="s">
        <v>38639</v>
      </c>
      <c r="H416" s="49" t="s">
        <v>31310</v>
      </c>
      <c r="I416" s="49" t="s">
        <v>31315</v>
      </c>
      <c r="J416" s="49" t="s">
        <v>31374</v>
      </c>
      <c r="K416" s="49" t="s">
        <v>31379</v>
      </c>
      <c r="L416" s="49" t="s">
        <v>14620</v>
      </c>
      <c r="M416" s="49" t="s">
        <v>14621</v>
      </c>
      <c r="N416" s="49" t="s">
        <v>14622</v>
      </c>
      <c r="O416" s="49" t="s">
        <v>35827</v>
      </c>
      <c r="P416" s="49" t="s">
        <v>35829</v>
      </c>
      <c r="Q416" s="49" t="s">
        <v>35831</v>
      </c>
      <c r="R416" s="49" t="s">
        <v>35833</v>
      </c>
      <c r="S416" s="49" t="s">
        <v>35835</v>
      </c>
      <c r="T416" s="49" t="s">
        <v>35837</v>
      </c>
    </row>
    <row r="417" spans="1:21" x14ac:dyDescent="0.2">
      <c r="A417" s="49" t="s">
        <v>30</v>
      </c>
    </row>
    <row r="418" spans="1:21" x14ac:dyDescent="0.2">
      <c r="A418" s="49" t="s">
        <v>30</v>
      </c>
      <c r="E418" s="49" t="s">
        <v>31</v>
      </c>
      <c r="F418" s="49" t="s">
        <v>31</v>
      </c>
      <c r="G418" s="49" t="s">
        <v>31</v>
      </c>
      <c r="J418" s="49" t="s">
        <v>31</v>
      </c>
      <c r="K418" s="49" t="s">
        <v>31</v>
      </c>
      <c r="L418" s="49" t="s">
        <v>31</v>
      </c>
      <c r="M418" s="49" t="s">
        <v>31</v>
      </c>
    </row>
    <row r="419" spans="1:21" x14ac:dyDescent="0.2">
      <c r="A419" s="49" t="s">
        <v>30</v>
      </c>
      <c r="D419" s="49" t="s">
        <v>38640</v>
      </c>
      <c r="E419" s="49" t="s">
        <v>7417</v>
      </c>
      <c r="F419" s="49" t="s">
        <v>38641</v>
      </c>
      <c r="H419" s="49" t="s">
        <v>38642</v>
      </c>
      <c r="O419" s="49" t="s">
        <v>38643</v>
      </c>
      <c r="P419" s="49" t="s">
        <v>38644</v>
      </c>
      <c r="Q419" s="49" t="s">
        <v>38645</v>
      </c>
      <c r="R419" s="49" t="s">
        <v>38646</v>
      </c>
      <c r="S419" s="49" t="s">
        <v>38647</v>
      </c>
      <c r="T419" s="49" t="s">
        <v>38648</v>
      </c>
      <c r="U419" s="49" t="s">
        <v>38649</v>
      </c>
    </row>
    <row r="420" spans="1:21" x14ac:dyDescent="0.2">
      <c r="A420" s="49" t="s">
        <v>30</v>
      </c>
      <c r="D420" s="49" t="s">
        <v>14630</v>
      </c>
      <c r="G420" s="49" t="s">
        <v>38650</v>
      </c>
      <c r="H420" s="49" t="s">
        <v>31312</v>
      </c>
      <c r="I420" s="49" t="s">
        <v>31317</v>
      </c>
      <c r="J420" s="49" t="s">
        <v>31376</v>
      </c>
      <c r="K420" s="49" t="s">
        <v>31381</v>
      </c>
      <c r="L420" s="49" t="s">
        <v>14632</v>
      </c>
      <c r="M420" s="49" t="s">
        <v>14633</v>
      </c>
      <c r="N420" s="49" t="s">
        <v>14634</v>
      </c>
      <c r="O420" s="49" t="s">
        <v>34600</v>
      </c>
      <c r="P420" s="49" t="s">
        <v>34601</v>
      </c>
      <c r="Q420" s="49" t="s">
        <v>34602</v>
      </c>
      <c r="R420" s="49" t="s">
        <v>34603</v>
      </c>
      <c r="S420" s="49" t="s">
        <v>34604</v>
      </c>
      <c r="T420" s="49" t="s">
        <v>34605</v>
      </c>
    </row>
    <row r="421" spans="1:21" x14ac:dyDescent="0.2">
      <c r="A421" s="49" t="s">
        <v>30</v>
      </c>
    </row>
    <row r="422" spans="1:21" x14ac:dyDescent="0.2">
      <c r="A422" s="49" t="s">
        <v>30</v>
      </c>
      <c r="E422" s="49" t="s">
        <v>31</v>
      </c>
      <c r="F422" s="49" t="s">
        <v>31</v>
      </c>
      <c r="G422" s="49" t="s">
        <v>31</v>
      </c>
      <c r="J422" s="49" t="s">
        <v>31</v>
      </c>
      <c r="K422" s="49" t="s">
        <v>31</v>
      </c>
      <c r="L422" s="49" t="s">
        <v>31</v>
      </c>
      <c r="M422" s="49" t="s">
        <v>31</v>
      </c>
    </row>
    <row r="423" spans="1:21" x14ac:dyDescent="0.2">
      <c r="A423" s="49" t="s">
        <v>30</v>
      </c>
      <c r="D423" s="49" t="s">
        <v>33530</v>
      </c>
      <c r="E423" s="49" t="s">
        <v>7447</v>
      </c>
      <c r="F423" s="49" t="s">
        <v>33531</v>
      </c>
      <c r="H423" s="49" t="s">
        <v>33532</v>
      </c>
      <c r="O423" s="49" t="s">
        <v>38651</v>
      </c>
      <c r="P423" s="49" t="s">
        <v>38652</v>
      </c>
      <c r="Q423" s="49" t="s">
        <v>38653</v>
      </c>
      <c r="R423" s="49" t="s">
        <v>38654</v>
      </c>
      <c r="S423" s="49" t="s">
        <v>38655</v>
      </c>
      <c r="T423" s="49" t="s">
        <v>38656</v>
      </c>
      <c r="U423" s="49" t="s">
        <v>38657</v>
      </c>
    </row>
    <row r="424" spans="1:21" x14ac:dyDescent="0.2">
      <c r="A424" s="49" t="s">
        <v>30</v>
      </c>
      <c r="D424" s="49" t="s">
        <v>14642</v>
      </c>
      <c r="G424" s="49" t="s">
        <v>33540</v>
      </c>
      <c r="H424" s="49" t="s">
        <v>31314</v>
      </c>
      <c r="I424" s="49" t="s">
        <v>31319</v>
      </c>
      <c r="J424" s="49" t="s">
        <v>31378</v>
      </c>
      <c r="K424" s="49" t="s">
        <v>31383</v>
      </c>
      <c r="L424" s="49" t="s">
        <v>14644</v>
      </c>
      <c r="M424" s="49" t="s">
        <v>14645</v>
      </c>
      <c r="N424" s="49" t="s">
        <v>14646</v>
      </c>
      <c r="O424" s="49" t="s">
        <v>32960</v>
      </c>
      <c r="P424" s="49" t="s">
        <v>32962</v>
      </c>
      <c r="Q424" s="49" t="s">
        <v>32964</v>
      </c>
      <c r="R424" s="49" t="s">
        <v>32966</v>
      </c>
      <c r="S424" s="49" t="s">
        <v>32968</v>
      </c>
      <c r="T424" s="49" t="s">
        <v>32970</v>
      </c>
    </row>
    <row r="425" spans="1:21" x14ac:dyDescent="0.2">
      <c r="A425" s="49" t="s">
        <v>30</v>
      </c>
    </row>
    <row r="426" spans="1:21" x14ac:dyDescent="0.2">
      <c r="A426" s="49" t="s">
        <v>30</v>
      </c>
      <c r="E426" s="49" t="s">
        <v>31</v>
      </c>
      <c r="F426" s="49" t="s">
        <v>31</v>
      </c>
      <c r="G426" s="49" t="s">
        <v>31</v>
      </c>
      <c r="J426" s="49" t="s">
        <v>31</v>
      </c>
      <c r="K426" s="49" t="s">
        <v>31</v>
      </c>
      <c r="L426" s="49" t="s">
        <v>31</v>
      </c>
      <c r="M426" s="49" t="s">
        <v>31</v>
      </c>
    </row>
    <row r="427" spans="1:21" x14ac:dyDescent="0.2">
      <c r="A427" s="49" t="s">
        <v>30</v>
      </c>
      <c r="D427" s="49" t="s">
        <v>38658</v>
      </c>
      <c r="E427" s="49" t="s">
        <v>7479</v>
      </c>
      <c r="F427" s="49" t="s">
        <v>38659</v>
      </c>
      <c r="H427" s="49" t="s">
        <v>38660</v>
      </c>
      <c r="O427" s="49" t="s">
        <v>38661</v>
      </c>
      <c r="P427" s="49" t="s">
        <v>38662</v>
      </c>
      <c r="Q427" s="49" t="s">
        <v>38663</v>
      </c>
      <c r="R427" s="49" t="s">
        <v>38664</v>
      </c>
      <c r="S427" s="49" t="s">
        <v>38665</v>
      </c>
      <c r="T427" s="49" t="s">
        <v>38666</v>
      </c>
      <c r="U427" s="49" t="s">
        <v>38667</v>
      </c>
    </row>
    <row r="428" spans="1:21" x14ac:dyDescent="0.2">
      <c r="A428" s="49" t="s">
        <v>30</v>
      </c>
      <c r="D428" s="49" t="s">
        <v>9852</v>
      </c>
      <c r="G428" s="49" t="s">
        <v>38668</v>
      </c>
      <c r="H428" s="49" t="s">
        <v>9853</v>
      </c>
      <c r="I428" s="49" t="s">
        <v>9854</v>
      </c>
      <c r="J428" s="49" t="s">
        <v>9855</v>
      </c>
      <c r="K428" s="49" t="s">
        <v>9856</v>
      </c>
      <c r="L428" s="49" t="s">
        <v>9857</v>
      </c>
      <c r="M428" s="49" t="s">
        <v>9858</v>
      </c>
      <c r="N428" s="49" t="s">
        <v>9859</v>
      </c>
      <c r="O428" s="49" t="s">
        <v>9860</v>
      </c>
      <c r="P428" s="49" t="s">
        <v>9861</v>
      </c>
      <c r="Q428" s="49" t="s">
        <v>9862</v>
      </c>
      <c r="R428" s="49" t="s">
        <v>9863</v>
      </c>
      <c r="S428" s="49" t="s">
        <v>9864</v>
      </c>
      <c r="T428" s="49" t="s">
        <v>9865</v>
      </c>
    </row>
    <row r="429" spans="1:21" x14ac:dyDescent="0.2">
      <c r="A429" s="49" t="s">
        <v>30</v>
      </c>
    </row>
    <row r="430" spans="1:21" x14ac:dyDescent="0.2">
      <c r="A430" s="49" t="s">
        <v>30</v>
      </c>
      <c r="E430" s="49" t="s">
        <v>31</v>
      </c>
      <c r="F430" s="49" t="s">
        <v>31</v>
      </c>
      <c r="G430" s="49" t="s">
        <v>31</v>
      </c>
      <c r="J430" s="49" t="s">
        <v>31</v>
      </c>
      <c r="K430" s="49" t="s">
        <v>31</v>
      </c>
      <c r="L430" s="49" t="s">
        <v>31</v>
      </c>
      <c r="M430" s="49" t="s">
        <v>31</v>
      </c>
    </row>
    <row r="431" spans="1:21" x14ac:dyDescent="0.2">
      <c r="A431" s="49" t="s">
        <v>30</v>
      </c>
      <c r="D431" s="49" t="s">
        <v>13579</v>
      </c>
      <c r="E431" s="49" t="s">
        <v>7530</v>
      </c>
      <c r="F431" s="49" t="s">
        <v>13580</v>
      </c>
      <c r="H431" s="49" t="s">
        <v>13581</v>
      </c>
      <c r="O431" s="49" t="s">
        <v>38669</v>
      </c>
      <c r="P431" s="49" t="s">
        <v>38670</v>
      </c>
      <c r="Q431" s="49" t="s">
        <v>38671</v>
      </c>
      <c r="R431" s="49" t="s">
        <v>38672</v>
      </c>
      <c r="S431" s="49" t="s">
        <v>38673</v>
      </c>
      <c r="T431" s="49" t="s">
        <v>38674</v>
      </c>
      <c r="U431" s="49" t="s">
        <v>38675</v>
      </c>
    </row>
    <row r="432" spans="1:21" x14ac:dyDescent="0.2">
      <c r="A432" s="49" t="s">
        <v>30</v>
      </c>
      <c r="D432" s="49" t="s">
        <v>13589</v>
      </c>
      <c r="G432" s="49" t="s">
        <v>13590</v>
      </c>
      <c r="H432" s="49" t="s">
        <v>13591</v>
      </c>
      <c r="I432" s="49" t="s">
        <v>13592</v>
      </c>
      <c r="J432" s="49" t="s">
        <v>13593</v>
      </c>
      <c r="K432" s="49" t="s">
        <v>13594</v>
      </c>
      <c r="L432" s="49" t="s">
        <v>13595</v>
      </c>
      <c r="M432" s="49" t="s">
        <v>13596</v>
      </c>
      <c r="N432" s="49" t="s">
        <v>13597</v>
      </c>
      <c r="O432" s="49" t="s">
        <v>13598</v>
      </c>
      <c r="P432" s="49" t="s">
        <v>13599</v>
      </c>
      <c r="Q432" s="49" t="s">
        <v>13600</v>
      </c>
      <c r="R432" s="49" t="s">
        <v>13601</v>
      </c>
      <c r="S432" s="49" t="s">
        <v>13602</v>
      </c>
      <c r="T432" s="49" t="s">
        <v>13603</v>
      </c>
    </row>
    <row r="433" spans="1:21" x14ac:dyDescent="0.2">
      <c r="A433" s="49" t="s">
        <v>30</v>
      </c>
      <c r="D433" s="49" t="s">
        <v>14659</v>
      </c>
      <c r="G433" s="49" t="s">
        <v>17845</v>
      </c>
      <c r="H433" s="49" t="s">
        <v>31242</v>
      </c>
      <c r="I433" s="49" t="s">
        <v>31247</v>
      </c>
      <c r="J433" s="49" t="s">
        <v>31300</v>
      </c>
      <c r="K433" s="49" t="s">
        <v>31305</v>
      </c>
      <c r="L433" s="49" t="s">
        <v>14661</v>
      </c>
      <c r="M433" s="49" t="s">
        <v>14662</v>
      </c>
      <c r="N433" s="49" t="s">
        <v>14663</v>
      </c>
      <c r="O433" s="49" t="s">
        <v>32907</v>
      </c>
      <c r="P433" s="49" t="s">
        <v>32908</v>
      </c>
      <c r="Q433" s="49" t="s">
        <v>32909</v>
      </c>
      <c r="R433" s="49" t="s">
        <v>32910</v>
      </c>
      <c r="S433" s="49" t="s">
        <v>32911</v>
      </c>
      <c r="T433" s="49" t="s">
        <v>32912</v>
      </c>
    </row>
    <row r="434" spans="1:21" x14ac:dyDescent="0.2">
      <c r="A434" s="49" t="s">
        <v>30</v>
      </c>
    </row>
    <row r="435" spans="1:21" x14ac:dyDescent="0.2">
      <c r="A435" s="49" t="s">
        <v>30</v>
      </c>
      <c r="E435" s="49" t="s">
        <v>31</v>
      </c>
      <c r="F435" s="49" t="s">
        <v>31</v>
      </c>
      <c r="G435" s="49" t="s">
        <v>31</v>
      </c>
      <c r="J435" s="49" t="s">
        <v>31</v>
      </c>
      <c r="K435" s="49" t="s">
        <v>31</v>
      </c>
      <c r="L435" s="49" t="s">
        <v>31</v>
      </c>
      <c r="M435" s="49" t="s">
        <v>31</v>
      </c>
    </row>
    <row r="436" spans="1:21" x14ac:dyDescent="0.2">
      <c r="A436" s="49" t="s">
        <v>30</v>
      </c>
      <c r="D436" s="49" t="s">
        <v>33556</v>
      </c>
      <c r="E436" s="49" t="s">
        <v>7545</v>
      </c>
      <c r="F436" s="49" t="s">
        <v>33557</v>
      </c>
      <c r="H436" s="49" t="s">
        <v>33558</v>
      </c>
      <c r="O436" s="49" t="s">
        <v>33559</v>
      </c>
      <c r="P436" s="49" t="s">
        <v>33560</v>
      </c>
      <c r="Q436" s="49" t="s">
        <v>33561</v>
      </c>
      <c r="R436" s="49" t="s">
        <v>33562</v>
      </c>
      <c r="S436" s="49" t="s">
        <v>33563</v>
      </c>
      <c r="T436" s="49" t="s">
        <v>33564</v>
      </c>
      <c r="U436" s="49" t="s">
        <v>33565</v>
      </c>
    </row>
    <row r="437" spans="1:21" x14ac:dyDescent="0.2">
      <c r="A437" s="49" t="s">
        <v>30</v>
      </c>
      <c r="D437" s="49" t="s">
        <v>14667</v>
      </c>
      <c r="G437" s="49" t="s">
        <v>33566</v>
      </c>
      <c r="H437" s="49" t="s">
        <v>31243</v>
      </c>
      <c r="I437" s="49" t="s">
        <v>31248</v>
      </c>
      <c r="J437" s="49" t="s">
        <v>31301</v>
      </c>
      <c r="K437" s="49" t="s">
        <v>31306</v>
      </c>
      <c r="L437" s="49" t="s">
        <v>14669</v>
      </c>
      <c r="M437" s="49" t="s">
        <v>14670</v>
      </c>
      <c r="N437" s="49" t="s">
        <v>14671</v>
      </c>
      <c r="O437" s="49" t="s">
        <v>33567</v>
      </c>
      <c r="P437" s="49" t="s">
        <v>33568</v>
      </c>
      <c r="Q437" s="49" t="s">
        <v>33569</v>
      </c>
      <c r="R437" s="49" t="s">
        <v>33570</v>
      </c>
      <c r="S437" s="49" t="s">
        <v>33571</v>
      </c>
      <c r="T437" s="49" t="s">
        <v>33572</v>
      </c>
    </row>
    <row r="438" spans="1:21" x14ac:dyDescent="0.2">
      <c r="A438" s="49" t="s">
        <v>30</v>
      </c>
    </row>
    <row r="439" spans="1:21" x14ac:dyDescent="0.2">
      <c r="A439" s="49" t="s">
        <v>30</v>
      </c>
      <c r="E439" s="49" t="s">
        <v>31</v>
      </c>
      <c r="F439" s="49" t="s">
        <v>31</v>
      </c>
      <c r="G439" s="49" t="s">
        <v>31</v>
      </c>
      <c r="J439" s="49" t="s">
        <v>31</v>
      </c>
      <c r="K439" s="49" t="s">
        <v>31</v>
      </c>
      <c r="L439" s="49" t="s">
        <v>31</v>
      </c>
      <c r="M439" s="49" t="s">
        <v>31</v>
      </c>
    </row>
    <row r="440" spans="1:21" x14ac:dyDescent="0.2">
      <c r="A440" s="49" t="s">
        <v>30</v>
      </c>
      <c r="D440" s="49" t="s">
        <v>33573</v>
      </c>
      <c r="E440" s="49" t="s">
        <v>17950</v>
      </c>
      <c r="F440" s="49" t="s">
        <v>33574</v>
      </c>
      <c r="H440" s="49" t="s">
        <v>33575</v>
      </c>
      <c r="O440" s="49" t="s">
        <v>38676</v>
      </c>
      <c r="P440" s="49" t="s">
        <v>38677</v>
      </c>
      <c r="Q440" s="49" t="s">
        <v>38678</v>
      </c>
      <c r="R440" s="49" t="s">
        <v>38679</v>
      </c>
      <c r="S440" s="49" t="s">
        <v>38680</v>
      </c>
      <c r="T440" s="49" t="s">
        <v>38681</v>
      </c>
      <c r="U440" s="49" t="s">
        <v>38682</v>
      </c>
    </row>
    <row r="441" spans="1:21" x14ac:dyDescent="0.2">
      <c r="A441" s="49" t="s">
        <v>30</v>
      </c>
      <c r="D441" s="49" t="s">
        <v>9874</v>
      </c>
      <c r="G441" s="49" t="s">
        <v>33583</v>
      </c>
      <c r="H441" s="49" t="s">
        <v>9875</v>
      </c>
      <c r="I441" s="49" t="s">
        <v>9876</v>
      </c>
      <c r="J441" s="49" t="s">
        <v>9877</v>
      </c>
      <c r="K441" s="49" t="s">
        <v>9878</v>
      </c>
      <c r="L441" s="49" t="s">
        <v>9879</v>
      </c>
      <c r="M441" s="49" t="s">
        <v>9880</v>
      </c>
      <c r="N441" s="49" t="s">
        <v>9881</v>
      </c>
      <c r="O441" s="49" t="s">
        <v>34566</v>
      </c>
      <c r="P441" s="49" t="s">
        <v>34568</v>
      </c>
      <c r="Q441" s="49" t="s">
        <v>34570</v>
      </c>
      <c r="R441" s="49" t="s">
        <v>34572</v>
      </c>
      <c r="S441" s="49" t="s">
        <v>34574</v>
      </c>
      <c r="T441" s="49" t="s">
        <v>34576</v>
      </c>
    </row>
    <row r="442" spans="1:21" x14ac:dyDescent="0.2">
      <c r="A442" s="49" t="s">
        <v>30</v>
      </c>
      <c r="D442" s="49" t="s">
        <v>14680</v>
      </c>
      <c r="G442" s="49" t="s">
        <v>17996</v>
      </c>
      <c r="H442" s="49" t="s">
        <v>31245</v>
      </c>
      <c r="I442" s="49" t="s">
        <v>31250</v>
      </c>
      <c r="J442" s="49" t="s">
        <v>31303</v>
      </c>
      <c r="K442" s="49" t="s">
        <v>31308</v>
      </c>
      <c r="L442" s="49" t="s">
        <v>14682</v>
      </c>
      <c r="M442" s="49" t="s">
        <v>14683</v>
      </c>
      <c r="N442" s="49" t="s">
        <v>14684</v>
      </c>
      <c r="O442" s="49" t="s">
        <v>32947</v>
      </c>
      <c r="P442" s="49" t="s">
        <v>32948</v>
      </c>
      <c r="Q442" s="49" t="s">
        <v>32949</v>
      </c>
      <c r="R442" s="49" t="s">
        <v>32950</v>
      </c>
      <c r="S442" s="49" t="s">
        <v>32951</v>
      </c>
      <c r="T442" s="49" t="s">
        <v>32952</v>
      </c>
    </row>
    <row r="443" spans="1:21" x14ac:dyDescent="0.2">
      <c r="A443" s="49" t="s">
        <v>30</v>
      </c>
    </row>
    <row r="444" spans="1:21" x14ac:dyDescent="0.2">
      <c r="A444" s="49" t="s">
        <v>30</v>
      </c>
      <c r="E444" s="49" t="s">
        <v>31</v>
      </c>
      <c r="F444" s="49" t="s">
        <v>31</v>
      </c>
      <c r="G444" s="49" t="s">
        <v>31</v>
      </c>
      <c r="J444" s="49" t="s">
        <v>31</v>
      </c>
      <c r="K444" s="49" t="s">
        <v>31</v>
      </c>
      <c r="L444" s="49" t="s">
        <v>31</v>
      </c>
      <c r="M444" s="49" t="s">
        <v>31</v>
      </c>
    </row>
    <row r="445" spans="1:21" x14ac:dyDescent="0.2">
      <c r="A445" s="49" t="s">
        <v>30</v>
      </c>
      <c r="D445" s="49" t="s">
        <v>38683</v>
      </c>
      <c r="E445" s="49" t="s">
        <v>7574</v>
      </c>
      <c r="F445" s="49" t="s">
        <v>38684</v>
      </c>
      <c r="H445" s="49" t="s">
        <v>38685</v>
      </c>
      <c r="O445" s="49" t="s">
        <v>38686</v>
      </c>
      <c r="P445" s="49" t="s">
        <v>38687</v>
      </c>
      <c r="Q445" s="49" t="s">
        <v>38688</v>
      </c>
      <c r="R445" s="49" t="s">
        <v>38689</v>
      </c>
      <c r="S445" s="49" t="s">
        <v>38690</v>
      </c>
      <c r="T445" s="49" t="s">
        <v>38691</v>
      </c>
      <c r="U445" s="49" t="s">
        <v>38692</v>
      </c>
    </row>
    <row r="446" spans="1:21" x14ac:dyDescent="0.2">
      <c r="A446" s="49" t="s">
        <v>30</v>
      </c>
      <c r="D446" s="49" t="s">
        <v>9882</v>
      </c>
      <c r="G446" s="49" t="s">
        <v>38693</v>
      </c>
      <c r="H446" s="49" t="s">
        <v>9883</v>
      </c>
      <c r="I446" s="49" t="s">
        <v>9884</v>
      </c>
      <c r="J446" s="49" t="s">
        <v>9885</v>
      </c>
      <c r="K446" s="49" t="s">
        <v>9886</v>
      </c>
      <c r="L446" s="49" t="s">
        <v>9887</v>
      </c>
      <c r="M446" s="49" t="s">
        <v>9888</v>
      </c>
      <c r="N446" s="49" t="s">
        <v>9889</v>
      </c>
      <c r="O446" s="49" t="s">
        <v>38106</v>
      </c>
      <c r="P446" s="49" t="s">
        <v>38108</v>
      </c>
      <c r="Q446" s="49" t="s">
        <v>38110</v>
      </c>
      <c r="R446" s="49" t="s">
        <v>38112</v>
      </c>
      <c r="S446" s="49" t="s">
        <v>38114</v>
      </c>
      <c r="T446" s="49" t="s">
        <v>38116</v>
      </c>
    </row>
    <row r="447" spans="1:21" x14ac:dyDescent="0.2">
      <c r="A447" s="49" t="s">
        <v>30</v>
      </c>
    </row>
    <row r="448" spans="1:21" x14ac:dyDescent="0.2">
      <c r="A448" s="49" t="s">
        <v>30</v>
      </c>
      <c r="E448" s="49" t="s">
        <v>31</v>
      </c>
      <c r="F448" s="49" t="s">
        <v>31</v>
      </c>
      <c r="G448" s="49" t="s">
        <v>31</v>
      </c>
      <c r="J448" s="49" t="s">
        <v>31</v>
      </c>
      <c r="K448" s="49" t="s">
        <v>31</v>
      </c>
      <c r="L448" s="49" t="s">
        <v>31</v>
      </c>
      <c r="M448" s="49" t="s">
        <v>31</v>
      </c>
    </row>
    <row r="449" spans="1:21" x14ac:dyDescent="0.2">
      <c r="A449" s="49" t="s">
        <v>30</v>
      </c>
      <c r="D449" s="49" t="s">
        <v>38694</v>
      </c>
      <c r="E449" s="49" t="s">
        <v>7617</v>
      </c>
      <c r="F449" s="49" t="s">
        <v>38695</v>
      </c>
      <c r="H449" s="49" t="s">
        <v>38696</v>
      </c>
      <c r="O449" s="49" t="s">
        <v>38697</v>
      </c>
      <c r="P449" s="49" t="s">
        <v>38698</v>
      </c>
      <c r="Q449" s="49" t="s">
        <v>38699</v>
      </c>
      <c r="R449" s="49" t="s">
        <v>38700</v>
      </c>
      <c r="S449" s="49" t="s">
        <v>38701</v>
      </c>
      <c r="T449" s="49" t="s">
        <v>38702</v>
      </c>
      <c r="U449" s="49" t="s">
        <v>38703</v>
      </c>
    </row>
    <row r="450" spans="1:21" x14ac:dyDescent="0.2">
      <c r="A450" s="49" t="s">
        <v>30</v>
      </c>
      <c r="D450" s="49" t="s">
        <v>38704</v>
      </c>
      <c r="G450" s="49" t="s">
        <v>38705</v>
      </c>
      <c r="H450" s="49" t="s">
        <v>38706</v>
      </c>
      <c r="I450" s="49" t="s">
        <v>38707</v>
      </c>
      <c r="J450" s="49" t="s">
        <v>38708</v>
      </c>
      <c r="K450" s="49" t="s">
        <v>38709</v>
      </c>
      <c r="L450" s="49" t="s">
        <v>38710</v>
      </c>
      <c r="M450" s="49" t="s">
        <v>38711</v>
      </c>
      <c r="N450" s="49" t="s">
        <v>38712</v>
      </c>
      <c r="O450" s="49" t="s">
        <v>38713</v>
      </c>
      <c r="P450" s="49" t="s">
        <v>38714</v>
      </c>
      <c r="Q450" s="49" t="s">
        <v>38715</v>
      </c>
      <c r="R450" s="49" t="s">
        <v>38716</v>
      </c>
      <c r="S450" s="49" t="s">
        <v>38717</v>
      </c>
      <c r="T450" s="49" t="s">
        <v>38718</v>
      </c>
    </row>
    <row r="451" spans="1:21" x14ac:dyDescent="0.2">
      <c r="A451" s="49" t="s">
        <v>30</v>
      </c>
    </row>
    <row r="452" spans="1:21" x14ac:dyDescent="0.2">
      <c r="A452" s="49" t="s">
        <v>30</v>
      </c>
      <c r="E452" s="49" t="s">
        <v>31</v>
      </c>
      <c r="F452" s="49" t="s">
        <v>31</v>
      </c>
      <c r="G452" s="49" t="s">
        <v>31</v>
      </c>
      <c r="J452" s="49" t="s">
        <v>31</v>
      </c>
      <c r="K452" s="49" t="s">
        <v>31</v>
      </c>
      <c r="L452" s="49" t="s">
        <v>31</v>
      </c>
      <c r="M452" s="49" t="s">
        <v>31</v>
      </c>
    </row>
    <row r="453" spans="1:21" x14ac:dyDescent="0.2">
      <c r="A453" s="49" t="s">
        <v>30</v>
      </c>
      <c r="D453" s="49" t="s">
        <v>38719</v>
      </c>
      <c r="E453" s="49" t="s">
        <v>7632</v>
      </c>
      <c r="F453" s="49" t="s">
        <v>38720</v>
      </c>
      <c r="H453" s="49" t="s">
        <v>38721</v>
      </c>
      <c r="O453" s="49" t="s">
        <v>38722</v>
      </c>
      <c r="P453" s="49" t="s">
        <v>38723</v>
      </c>
      <c r="Q453" s="49" t="s">
        <v>38724</v>
      </c>
      <c r="R453" s="49" t="s">
        <v>38725</v>
      </c>
      <c r="S453" s="49" t="s">
        <v>38726</v>
      </c>
      <c r="T453" s="49" t="s">
        <v>38727</v>
      </c>
      <c r="U453" s="49" t="s">
        <v>38728</v>
      </c>
    </row>
    <row r="454" spans="1:21" x14ac:dyDescent="0.2">
      <c r="A454" s="49" t="s">
        <v>30</v>
      </c>
      <c r="D454" s="49" t="s">
        <v>5145</v>
      </c>
      <c r="G454" s="49" t="s">
        <v>38729</v>
      </c>
      <c r="H454" s="49" t="s">
        <v>5146</v>
      </c>
      <c r="I454" s="49" t="s">
        <v>5147</v>
      </c>
      <c r="J454" s="49" t="s">
        <v>5148</v>
      </c>
      <c r="K454" s="49" t="s">
        <v>5149</v>
      </c>
      <c r="L454" s="49" t="s">
        <v>5150</v>
      </c>
      <c r="M454" s="49" t="s">
        <v>5151</v>
      </c>
      <c r="N454" s="49" t="s">
        <v>5152</v>
      </c>
      <c r="O454" s="49" t="s">
        <v>38093</v>
      </c>
      <c r="P454" s="49" t="s">
        <v>38095</v>
      </c>
      <c r="Q454" s="49" t="s">
        <v>38097</v>
      </c>
      <c r="R454" s="49" t="s">
        <v>38099</v>
      </c>
      <c r="S454" s="49" t="s">
        <v>38101</v>
      </c>
      <c r="T454" s="49" t="s">
        <v>38103</v>
      </c>
    </row>
    <row r="455" spans="1:21" x14ac:dyDescent="0.2">
      <c r="A455" s="49" t="s">
        <v>30</v>
      </c>
    </row>
    <row r="456" spans="1:21" x14ac:dyDescent="0.2">
      <c r="A456" s="49" t="s">
        <v>30</v>
      </c>
      <c r="E456" s="49" t="s">
        <v>31</v>
      </c>
      <c r="F456" s="49" t="s">
        <v>31</v>
      </c>
      <c r="G456" s="49" t="s">
        <v>31</v>
      </c>
      <c r="J456" s="49" t="s">
        <v>31</v>
      </c>
      <c r="K456" s="49" t="s">
        <v>31</v>
      </c>
      <c r="L456" s="49" t="s">
        <v>31</v>
      </c>
      <c r="M456" s="49" t="s">
        <v>31</v>
      </c>
    </row>
    <row r="457" spans="1:21" x14ac:dyDescent="0.2">
      <c r="A457" s="49" t="s">
        <v>30</v>
      </c>
      <c r="D457" s="49" t="s">
        <v>10986</v>
      </c>
      <c r="E457" s="49" t="s">
        <v>7745</v>
      </c>
      <c r="F457" s="49" t="s">
        <v>10987</v>
      </c>
      <c r="H457" s="49" t="s">
        <v>10988</v>
      </c>
      <c r="O457" s="49" t="s">
        <v>38730</v>
      </c>
      <c r="P457" s="49" t="s">
        <v>38731</v>
      </c>
      <c r="Q457" s="49" t="s">
        <v>38732</v>
      </c>
      <c r="R457" s="49" t="s">
        <v>38733</v>
      </c>
      <c r="S457" s="49" t="s">
        <v>38734</v>
      </c>
      <c r="T457" s="49" t="s">
        <v>38735</v>
      </c>
      <c r="U457" s="49" t="s">
        <v>38736</v>
      </c>
    </row>
    <row r="458" spans="1:21" x14ac:dyDescent="0.2">
      <c r="A458" s="49" t="s">
        <v>30</v>
      </c>
      <c r="D458" s="49" t="s">
        <v>10989</v>
      </c>
      <c r="G458" s="49" t="s">
        <v>38737</v>
      </c>
      <c r="H458" s="49" t="s">
        <v>12580</v>
      </c>
      <c r="I458" s="49" t="s">
        <v>12584</v>
      </c>
      <c r="J458" s="49" t="s">
        <v>12618</v>
      </c>
      <c r="K458" s="49" t="s">
        <v>12622</v>
      </c>
      <c r="L458" s="49" t="s">
        <v>10990</v>
      </c>
      <c r="M458" s="49" t="s">
        <v>10991</v>
      </c>
      <c r="N458" s="49" t="s">
        <v>10992</v>
      </c>
      <c r="O458" s="49" t="s">
        <v>38738</v>
      </c>
      <c r="P458" s="49" t="s">
        <v>38739</v>
      </c>
      <c r="Q458" s="49" t="s">
        <v>38740</v>
      </c>
      <c r="R458" s="49" t="s">
        <v>38741</v>
      </c>
      <c r="S458" s="49" t="s">
        <v>38742</v>
      </c>
      <c r="T458" s="49" t="s">
        <v>38743</v>
      </c>
    </row>
    <row r="459" spans="1:21" x14ac:dyDescent="0.2">
      <c r="A459" s="49" t="s">
        <v>30</v>
      </c>
    </row>
    <row r="460" spans="1:21" x14ac:dyDescent="0.2">
      <c r="A460" s="49" t="s">
        <v>30</v>
      </c>
      <c r="E460" s="49" t="s">
        <v>31</v>
      </c>
      <c r="F460" s="49" t="s">
        <v>31</v>
      </c>
      <c r="G460" s="49" t="s">
        <v>31</v>
      </c>
      <c r="J460" s="49" t="s">
        <v>31</v>
      </c>
      <c r="K460" s="49" t="s">
        <v>31</v>
      </c>
      <c r="L460" s="49" t="s">
        <v>31</v>
      </c>
      <c r="M460" s="49" t="s">
        <v>31</v>
      </c>
    </row>
    <row r="461" spans="1:21" x14ac:dyDescent="0.2">
      <c r="A461" s="49" t="s">
        <v>30</v>
      </c>
      <c r="D461" s="49" t="s">
        <v>38744</v>
      </c>
      <c r="E461" s="49" t="s">
        <v>7760</v>
      </c>
      <c r="F461" s="49" t="s">
        <v>38745</v>
      </c>
      <c r="H461" s="49" t="s">
        <v>38746</v>
      </c>
      <c r="O461" s="49" t="s">
        <v>38747</v>
      </c>
      <c r="P461" s="49" t="s">
        <v>38748</v>
      </c>
      <c r="Q461" s="49" t="s">
        <v>38749</v>
      </c>
      <c r="R461" s="49" t="s">
        <v>38750</v>
      </c>
      <c r="S461" s="49" t="s">
        <v>38751</v>
      </c>
      <c r="T461" s="49" t="s">
        <v>38752</v>
      </c>
      <c r="U461" s="49" t="s">
        <v>38753</v>
      </c>
    </row>
    <row r="462" spans="1:21" x14ac:dyDescent="0.2">
      <c r="A462" s="49" t="s">
        <v>30</v>
      </c>
      <c r="D462" s="49" t="s">
        <v>10993</v>
      </c>
      <c r="G462" s="49" t="s">
        <v>38754</v>
      </c>
      <c r="H462" s="49" t="s">
        <v>12581</v>
      </c>
      <c r="I462" s="49" t="s">
        <v>12585</v>
      </c>
      <c r="J462" s="49" t="s">
        <v>12619</v>
      </c>
      <c r="K462" s="49" t="s">
        <v>12623</v>
      </c>
      <c r="L462" s="49" t="s">
        <v>10994</v>
      </c>
      <c r="M462" s="49" t="s">
        <v>10995</v>
      </c>
      <c r="N462" s="49" t="s">
        <v>10996</v>
      </c>
      <c r="O462" s="49" t="s">
        <v>38075</v>
      </c>
      <c r="P462" s="49" t="s">
        <v>38078</v>
      </c>
      <c r="Q462" s="49" t="s">
        <v>38081</v>
      </c>
      <c r="R462" s="49" t="s">
        <v>38084</v>
      </c>
      <c r="S462" s="49" t="s">
        <v>38087</v>
      </c>
      <c r="T462" s="49" t="s">
        <v>38090</v>
      </c>
    </row>
    <row r="463" spans="1:21" x14ac:dyDescent="0.2">
      <c r="A463" s="49" t="s">
        <v>30</v>
      </c>
    </row>
    <row r="464" spans="1:21" x14ac:dyDescent="0.2">
      <c r="A464" s="49" t="s">
        <v>30</v>
      </c>
      <c r="E464" s="49" t="s">
        <v>31</v>
      </c>
      <c r="F464" s="49" t="s">
        <v>31</v>
      </c>
      <c r="G464" s="49" t="s">
        <v>31</v>
      </c>
      <c r="J464" s="49" t="s">
        <v>31</v>
      </c>
      <c r="K464" s="49" t="s">
        <v>31</v>
      </c>
      <c r="L464" s="49" t="s">
        <v>31</v>
      </c>
      <c r="M464" s="49" t="s">
        <v>31</v>
      </c>
    </row>
    <row r="465" spans="1:21" x14ac:dyDescent="0.2">
      <c r="A465" s="49" t="s">
        <v>30</v>
      </c>
      <c r="D465" s="49" t="s">
        <v>38755</v>
      </c>
      <c r="E465" s="49" t="s">
        <v>7803</v>
      </c>
      <c r="F465" s="49" t="s">
        <v>38756</v>
      </c>
      <c r="H465" s="49" t="s">
        <v>38757</v>
      </c>
      <c r="O465" s="49" t="s">
        <v>38758</v>
      </c>
      <c r="P465" s="49" t="s">
        <v>38759</v>
      </c>
      <c r="Q465" s="49" t="s">
        <v>38760</v>
      </c>
      <c r="R465" s="49" t="s">
        <v>38761</v>
      </c>
      <c r="S465" s="49" t="s">
        <v>38762</v>
      </c>
      <c r="T465" s="49" t="s">
        <v>38763</v>
      </c>
      <c r="U465" s="49" t="s">
        <v>38764</v>
      </c>
    </row>
    <row r="466" spans="1:21" x14ac:dyDescent="0.2">
      <c r="A466" s="49" t="s">
        <v>30</v>
      </c>
      <c r="D466" s="49" t="s">
        <v>11001</v>
      </c>
      <c r="G466" s="49" t="s">
        <v>38765</v>
      </c>
      <c r="H466" s="49" t="s">
        <v>12583</v>
      </c>
      <c r="I466" s="49" t="s">
        <v>12587</v>
      </c>
      <c r="J466" s="49" t="s">
        <v>12621</v>
      </c>
      <c r="K466" s="49" t="s">
        <v>12625</v>
      </c>
      <c r="L466" s="49" t="s">
        <v>11002</v>
      </c>
      <c r="M466" s="49" t="s">
        <v>11003</v>
      </c>
      <c r="N466" s="49" t="s">
        <v>11004</v>
      </c>
      <c r="O466" s="49" t="s">
        <v>34549</v>
      </c>
      <c r="P466" s="49" t="s">
        <v>34552</v>
      </c>
      <c r="Q466" s="49" t="s">
        <v>34555</v>
      </c>
      <c r="R466" s="49" t="s">
        <v>34558</v>
      </c>
      <c r="S466" s="49" t="s">
        <v>34561</v>
      </c>
      <c r="T466" s="49" t="s">
        <v>34564</v>
      </c>
    </row>
    <row r="467" spans="1:21" x14ac:dyDescent="0.2">
      <c r="A467" s="49" t="s">
        <v>30</v>
      </c>
    </row>
    <row r="468" spans="1:21" x14ac:dyDescent="0.2">
      <c r="A468" s="49" t="s">
        <v>30</v>
      </c>
      <c r="E468" s="49" t="s">
        <v>31</v>
      </c>
      <c r="F468" s="49" t="s">
        <v>31</v>
      </c>
      <c r="G468" s="49" t="s">
        <v>31</v>
      </c>
      <c r="J468" s="49" t="s">
        <v>31</v>
      </c>
      <c r="K468" s="49" t="s">
        <v>31</v>
      </c>
      <c r="L468" s="49" t="s">
        <v>31</v>
      </c>
      <c r="M468" s="49" t="s">
        <v>31</v>
      </c>
    </row>
    <row r="469" spans="1:21" x14ac:dyDescent="0.2">
      <c r="A469" s="49" t="s">
        <v>30</v>
      </c>
      <c r="D469" s="49" t="s">
        <v>38766</v>
      </c>
      <c r="E469" s="49" t="s">
        <v>18336</v>
      </c>
      <c r="F469" s="49" t="s">
        <v>38767</v>
      </c>
      <c r="H469" s="49" t="s">
        <v>38768</v>
      </c>
      <c r="O469" s="49" t="s">
        <v>38769</v>
      </c>
      <c r="P469" s="49" t="s">
        <v>38770</v>
      </c>
      <c r="Q469" s="49" t="s">
        <v>38771</v>
      </c>
      <c r="R469" s="49" t="s">
        <v>38772</v>
      </c>
      <c r="S469" s="49" t="s">
        <v>38773</v>
      </c>
      <c r="T469" s="49" t="s">
        <v>38774</v>
      </c>
      <c r="U469" s="49" t="s">
        <v>38775</v>
      </c>
    </row>
    <row r="470" spans="1:21" x14ac:dyDescent="0.2">
      <c r="A470" s="49" t="s">
        <v>30</v>
      </c>
      <c r="D470" s="49" t="s">
        <v>14742</v>
      </c>
      <c r="G470" s="49" t="s">
        <v>38776</v>
      </c>
      <c r="H470" s="49" t="s">
        <v>31116</v>
      </c>
      <c r="I470" s="49" t="s">
        <v>31125</v>
      </c>
      <c r="J470" s="49" t="s">
        <v>31188</v>
      </c>
      <c r="K470" s="49" t="s">
        <v>31197</v>
      </c>
      <c r="L470" s="49" t="s">
        <v>14744</v>
      </c>
      <c r="M470" s="49" t="s">
        <v>14745</v>
      </c>
      <c r="N470" s="49" t="s">
        <v>14746</v>
      </c>
      <c r="O470" s="49" t="s">
        <v>35804</v>
      </c>
      <c r="P470" s="49" t="s">
        <v>35806</v>
      </c>
      <c r="Q470" s="49" t="s">
        <v>35808</v>
      </c>
      <c r="R470" s="49" t="s">
        <v>35810</v>
      </c>
      <c r="S470" s="49" t="s">
        <v>35812</v>
      </c>
      <c r="T470" s="49" t="s">
        <v>35814</v>
      </c>
    </row>
    <row r="471" spans="1:21" x14ac:dyDescent="0.2">
      <c r="A471" s="49" t="s">
        <v>30</v>
      </c>
    </row>
    <row r="472" spans="1:21" x14ac:dyDescent="0.2">
      <c r="A472" s="49" t="s">
        <v>30</v>
      </c>
      <c r="E472" s="49" t="s">
        <v>31</v>
      </c>
      <c r="F472" s="49" t="s">
        <v>31</v>
      </c>
      <c r="G472" s="49" t="s">
        <v>31</v>
      </c>
      <c r="J472" s="49" t="s">
        <v>31</v>
      </c>
      <c r="K472" s="49" t="s">
        <v>31</v>
      </c>
      <c r="L472" s="49" t="s">
        <v>31</v>
      </c>
      <c r="M472" s="49" t="s">
        <v>31</v>
      </c>
    </row>
    <row r="473" spans="1:21" x14ac:dyDescent="0.2">
      <c r="A473" s="49" t="s">
        <v>30</v>
      </c>
      <c r="D473" s="49" t="s">
        <v>38777</v>
      </c>
      <c r="E473" s="49" t="s">
        <v>7818</v>
      </c>
      <c r="F473" s="49" t="s">
        <v>38778</v>
      </c>
      <c r="H473" s="49" t="s">
        <v>38779</v>
      </c>
      <c r="O473" s="49" t="s">
        <v>38780</v>
      </c>
      <c r="P473" s="49" t="s">
        <v>38781</v>
      </c>
      <c r="Q473" s="49" t="s">
        <v>38782</v>
      </c>
      <c r="R473" s="49" t="s">
        <v>38783</v>
      </c>
      <c r="S473" s="49" t="s">
        <v>38784</v>
      </c>
      <c r="T473" s="49" t="s">
        <v>38785</v>
      </c>
      <c r="U473" s="49" t="s">
        <v>38786</v>
      </c>
    </row>
    <row r="474" spans="1:21" x14ac:dyDescent="0.2">
      <c r="A474" s="49" t="s">
        <v>30</v>
      </c>
      <c r="D474" s="49" t="s">
        <v>9914</v>
      </c>
      <c r="G474" s="49" t="s">
        <v>38787</v>
      </c>
      <c r="H474" s="49" t="s">
        <v>9915</v>
      </c>
      <c r="I474" s="49" t="s">
        <v>9916</v>
      </c>
      <c r="J474" s="49" t="s">
        <v>9917</v>
      </c>
      <c r="K474" s="49" t="s">
        <v>9918</v>
      </c>
      <c r="L474" s="49" t="s">
        <v>9919</v>
      </c>
      <c r="M474" s="49" t="s">
        <v>9920</v>
      </c>
      <c r="N474" s="49" t="s">
        <v>9921</v>
      </c>
      <c r="O474" s="49" t="s">
        <v>38059</v>
      </c>
      <c r="P474" s="49" t="s">
        <v>38062</v>
      </c>
      <c r="Q474" s="49" t="s">
        <v>38065</v>
      </c>
      <c r="R474" s="49" t="s">
        <v>38068</v>
      </c>
      <c r="S474" s="49" t="s">
        <v>38071</v>
      </c>
      <c r="T474" s="49" t="s">
        <v>38074</v>
      </c>
    </row>
    <row r="475" spans="1:21" x14ac:dyDescent="0.2">
      <c r="A475" s="49" t="s">
        <v>30</v>
      </c>
    </row>
    <row r="476" spans="1:21" x14ac:dyDescent="0.2">
      <c r="A476" s="49" t="s">
        <v>30</v>
      </c>
      <c r="E476" s="49" t="s">
        <v>31</v>
      </c>
      <c r="F476" s="49" t="s">
        <v>31</v>
      </c>
      <c r="G476" s="49" t="s">
        <v>31</v>
      </c>
      <c r="J476" s="49" t="s">
        <v>31</v>
      </c>
      <c r="K476" s="49" t="s">
        <v>31</v>
      </c>
      <c r="L476" s="49" t="s">
        <v>31</v>
      </c>
      <c r="M476" s="49" t="s">
        <v>31</v>
      </c>
    </row>
    <row r="477" spans="1:21" x14ac:dyDescent="0.2">
      <c r="A477" s="49" t="s">
        <v>30</v>
      </c>
      <c r="D477" s="49" t="s">
        <v>36299</v>
      </c>
      <c r="E477" s="49" t="s">
        <v>7819</v>
      </c>
      <c r="F477" s="49" t="s">
        <v>36300</v>
      </c>
      <c r="H477" s="49" t="s">
        <v>36301</v>
      </c>
      <c r="O477" s="49" t="s">
        <v>38788</v>
      </c>
      <c r="P477" s="49" t="s">
        <v>38789</v>
      </c>
      <c r="Q477" s="49" t="s">
        <v>38790</v>
      </c>
      <c r="R477" s="49" t="s">
        <v>38791</v>
      </c>
      <c r="S477" s="49" t="s">
        <v>38792</v>
      </c>
      <c r="T477" s="49" t="s">
        <v>38793</v>
      </c>
      <c r="U477" s="49" t="s">
        <v>38794</v>
      </c>
    </row>
    <row r="478" spans="1:21" x14ac:dyDescent="0.2">
      <c r="A478" s="49" t="s">
        <v>30</v>
      </c>
      <c r="D478" s="49" t="s">
        <v>14762</v>
      </c>
      <c r="G478" s="49" t="s">
        <v>36309</v>
      </c>
      <c r="H478" s="49" t="s">
        <v>31119</v>
      </c>
      <c r="I478" s="49" t="s">
        <v>31128</v>
      </c>
      <c r="J478" s="49" t="s">
        <v>31191</v>
      </c>
      <c r="K478" s="49" t="s">
        <v>31200</v>
      </c>
      <c r="L478" s="49" t="s">
        <v>14764</v>
      </c>
      <c r="M478" s="49" t="s">
        <v>14765</v>
      </c>
      <c r="N478" s="49" t="s">
        <v>14766</v>
      </c>
      <c r="O478" s="49" t="s">
        <v>38045</v>
      </c>
      <c r="P478" s="49" t="s">
        <v>38047</v>
      </c>
      <c r="Q478" s="49" t="s">
        <v>38049</v>
      </c>
      <c r="R478" s="49" t="s">
        <v>38051</v>
      </c>
      <c r="S478" s="49" t="s">
        <v>38053</v>
      </c>
      <c r="T478" s="49" t="s">
        <v>38055</v>
      </c>
    </row>
    <row r="479" spans="1:21" x14ac:dyDescent="0.2">
      <c r="A479" s="49" t="s">
        <v>30</v>
      </c>
    </row>
    <row r="480" spans="1:21" x14ac:dyDescent="0.2">
      <c r="A480" s="49" t="s">
        <v>30</v>
      </c>
      <c r="E480" s="49" t="s">
        <v>31</v>
      </c>
      <c r="F480" s="49" t="s">
        <v>31</v>
      </c>
      <c r="G480" s="49" t="s">
        <v>31</v>
      </c>
      <c r="J480" s="49" t="s">
        <v>31</v>
      </c>
      <c r="K480" s="49" t="s">
        <v>31</v>
      </c>
      <c r="L480" s="49" t="s">
        <v>31</v>
      </c>
      <c r="M480" s="49" t="s">
        <v>31</v>
      </c>
    </row>
    <row r="481" spans="1:21" x14ac:dyDescent="0.2">
      <c r="A481" s="49" t="s">
        <v>30</v>
      </c>
      <c r="D481" s="49" t="s">
        <v>38795</v>
      </c>
      <c r="E481" s="49" t="s">
        <v>7820</v>
      </c>
      <c r="F481" s="49" t="s">
        <v>38796</v>
      </c>
      <c r="H481" s="49" t="s">
        <v>38797</v>
      </c>
      <c r="O481" s="49" t="s">
        <v>38798</v>
      </c>
      <c r="P481" s="49" t="s">
        <v>38799</v>
      </c>
      <c r="Q481" s="49" t="s">
        <v>38800</v>
      </c>
      <c r="R481" s="49" t="s">
        <v>38801</v>
      </c>
      <c r="S481" s="49" t="s">
        <v>38802</v>
      </c>
      <c r="T481" s="49" t="s">
        <v>38803</v>
      </c>
      <c r="U481" s="49" t="s">
        <v>38804</v>
      </c>
    </row>
    <row r="482" spans="1:21" x14ac:dyDescent="0.2">
      <c r="A482" s="49" t="s">
        <v>30</v>
      </c>
      <c r="D482" s="49" t="s">
        <v>5273</v>
      </c>
      <c r="G482" s="49" t="s">
        <v>38805</v>
      </c>
      <c r="H482" s="49" t="s">
        <v>5274</v>
      </c>
      <c r="I482" s="49" t="s">
        <v>5275</v>
      </c>
      <c r="J482" s="49" t="s">
        <v>5276</v>
      </c>
      <c r="K482" s="49" t="s">
        <v>5277</v>
      </c>
      <c r="L482" s="49" t="s">
        <v>5278</v>
      </c>
      <c r="M482" s="49" t="s">
        <v>5279</v>
      </c>
      <c r="N482" s="49" t="s">
        <v>5280</v>
      </c>
      <c r="O482" s="49" t="s">
        <v>34513</v>
      </c>
      <c r="P482" s="49" t="s">
        <v>34516</v>
      </c>
      <c r="Q482" s="49" t="s">
        <v>34519</v>
      </c>
      <c r="R482" s="49" t="s">
        <v>34522</v>
      </c>
      <c r="S482" s="49" t="s">
        <v>34525</v>
      </c>
      <c r="T482" s="49" t="s">
        <v>34528</v>
      </c>
    </row>
    <row r="483" spans="1:21" x14ac:dyDescent="0.2">
      <c r="A483" s="49" t="s">
        <v>30</v>
      </c>
    </row>
    <row r="484" spans="1:21" x14ac:dyDescent="0.2">
      <c r="A484" s="49" t="s">
        <v>30</v>
      </c>
      <c r="E484" s="49" t="s">
        <v>31</v>
      </c>
      <c r="F484" s="49" t="s">
        <v>31</v>
      </c>
      <c r="G484" s="49" t="s">
        <v>31</v>
      </c>
      <c r="J484" s="49" t="s">
        <v>31</v>
      </c>
      <c r="K484" s="49" t="s">
        <v>31</v>
      </c>
      <c r="L484" s="49" t="s">
        <v>31</v>
      </c>
      <c r="M484" s="49" t="s">
        <v>31</v>
      </c>
    </row>
    <row r="485" spans="1:21" x14ac:dyDescent="0.2">
      <c r="A485" s="49" t="s">
        <v>30</v>
      </c>
      <c r="D485" s="49" t="s">
        <v>35318</v>
      </c>
      <c r="E485" s="49" t="s">
        <v>7849</v>
      </c>
      <c r="F485" s="49" t="s">
        <v>35319</v>
      </c>
      <c r="H485" s="49" t="s">
        <v>35320</v>
      </c>
      <c r="O485" s="49" t="s">
        <v>38806</v>
      </c>
      <c r="P485" s="49" t="s">
        <v>38807</v>
      </c>
      <c r="Q485" s="49" t="s">
        <v>38808</v>
      </c>
      <c r="R485" s="49" t="s">
        <v>38809</v>
      </c>
      <c r="S485" s="49" t="s">
        <v>38810</v>
      </c>
      <c r="T485" s="49" t="s">
        <v>38811</v>
      </c>
      <c r="U485" s="49" t="s">
        <v>38812</v>
      </c>
    </row>
    <row r="486" spans="1:21" x14ac:dyDescent="0.2">
      <c r="A486" s="49" t="s">
        <v>30</v>
      </c>
      <c r="D486" s="49" t="s">
        <v>11009</v>
      </c>
      <c r="G486" s="49" t="s">
        <v>35328</v>
      </c>
      <c r="H486" s="49" t="s">
        <v>12536</v>
      </c>
      <c r="I486" s="49" t="s">
        <v>12537</v>
      </c>
      <c r="J486" s="49" t="s">
        <v>12556</v>
      </c>
      <c r="K486" s="49" t="s">
        <v>12557</v>
      </c>
      <c r="L486" s="49" t="s">
        <v>11010</v>
      </c>
      <c r="M486" s="49" t="s">
        <v>11011</v>
      </c>
      <c r="N486" s="49" t="s">
        <v>11012</v>
      </c>
      <c r="O486" s="49" t="s">
        <v>35329</v>
      </c>
      <c r="P486" s="49" t="s">
        <v>35330</v>
      </c>
      <c r="Q486" s="49" t="s">
        <v>35331</v>
      </c>
      <c r="R486" s="49" t="s">
        <v>35332</v>
      </c>
      <c r="S486" s="49" t="s">
        <v>35333</v>
      </c>
      <c r="T486" s="49" t="s">
        <v>35334</v>
      </c>
    </row>
    <row r="487" spans="1:21" x14ac:dyDescent="0.2">
      <c r="A487" s="49" t="s">
        <v>30</v>
      </c>
    </row>
    <row r="488" spans="1:21" x14ac:dyDescent="0.2">
      <c r="A488" s="49" t="s">
        <v>30</v>
      </c>
      <c r="E488" s="49" t="s">
        <v>31</v>
      </c>
      <c r="F488" s="49" t="s">
        <v>31</v>
      </c>
      <c r="G488" s="49" t="s">
        <v>31</v>
      </c>
      <c r="J488" s="49" t="s">
        <v>31</v>
      </c>
      <c r="K488" s="49" t="s">
        <v>31</v>
      </c>
      <c r="L488" s="49" t="s">
        <v>31</v>
      </c>
      <c r="M488" s="49" t="s">
        <v>31</v>
      </c>
    </row>
    <row r="489" spans="1:21" x14ac:dyDescent="0.2">
      <c r="A489" s="49" t="s">
        <v>30</v>
      </c>
      <c r="D489" s="49" t="s">
        <v>11013</v>
      </c>
      <c r="E489" s="49" t="s">
        <v>7864</v>
      </c>
      <c r="F489" s="49" t="s">
        <v>11014</v>
      </c>
      <c r="H489" s="49" t="s">
        <v>11015</v>
      </c>
      <c r="O489" s="49" t="s">
        <v>38813</v>
      </c>
      <c r="P489" s="49" t="s">
        <v>38814</v>
      </c>
      <c r="Q489" s="49" t="s">
        <v>38815</v>
      </c>
      <c r="R489" s="49" t="s">
        <v>38816</v>
      </c>
      <c r="S489" s="49" t="s">
        <v>38817</v>
      </c>
      <c r="T489" s="49" t="s">
        <v>38818</v>
      </c>
      <c r="U489" s="49" t="s">
        <v>38819</v>
      </c>
    </row>
    <row r="490" spans="1:21" x14ac:dyDescent="0.2">
      <c r="A490" s="49" t="s">
        <v>30</v>
      </c>
      <c r="D490" s="49" t="s">
        <v>5302</v>
      </c>
      <c r="G490" s="49" t="s">
        <v>38820</v>
      </c>
      <c r="H490" s="49" t="s">
        <v>5303</v>
      </c>
      <c r="I490" s="49" t="s">
        <v>5304</v>
      </c>
      <c r="J490" s="49" t="s">
        <v>5305</v>
      </c>
      <c r="K490" s="49" t="s">
        <v>5306</v>
      </c>
      <c r="L490" s="49" t="s">
        <v>5307</v>
      </c>
      <c r="M490" s="49" t="s">
        <v>5308</v>
      </c>
      <c r="N490" s="49" t="s">
        <v>5309</v>
      </c>
      <c r="O490" s="49" t="s">
        <v>38821</v>
      </c>
      <c r="P490" s="49" t="s">
        <v>38822</v>
      </c>
      <c r="Q490" s="49" t="s">
        <v>38823</v>
      </c>
      <c r="R490" s="49" t="s">
        <v>38824</v>
      </c>
      <c r="S490" s="49" t="s">
        <v>38825</v>
      </c>
      <c r="T490" s="49" t="s">
        <v>38826</v>
      </c>
    </row>
    <row r="491" spans="1:21" x14ac:dyDescent="0.2">
      <c r="A491" s="49" t="s">
        <v>30</v>
      </c>
      <c r="D491" s="49" t="s">
        <v>11016</v>
      </c>
      <c r="G491" s="49" t="s">
        <v>18697</v>
      </c>
      <c r="H491" s="49" t="s">
        <v>11017</v>
      </c>
      <c r="I491" s="49" t="s">
        <v>11018</v>
      </c>
      <c r="J491" s="49" t="s">
        <v>11019</v>
      </c>
      <c r="K491" s="49" t="s">
        <v>11020</v>
      </c>
      <c r="L491" s="49" t="s">
        <v>11021</v>
      </c>
      <c r="M491" s="49" t="s">
        <v>11022</v>
      </c>
      <c r="N491" s="49" t="s">
        <v>11023</v>
      </c>
      <c r="O491" s="49" t="s">
        <v>33730</v>
      </c>
      <c r="P491" s="49" t="s">
        <v>33731</v>
      </c>
      <c r="Q491" s="49" t="s">
        <v>33732</v>
      </c>
      <c r="R491" s="49" t="s">
        <v>33733</v>
      </c>
      <c r="S491" s="49" t="s">
        <v>33734</v>
      </c>
      <c r="T491" s="49" t="s">
        <v>33735</v>
      </c>
    </row>
    <row r="492" spans="1:21" x14ac:dyDescent="0.2">
      <c r="A492" s="49" t="s">
        <v>30</v>
      </c>
    </row>
    <row r="493" spans="1:21" x14ac:dyDescent="0.2">
      <c r="A493" s="49" t="s">
        <v>30</v>
      </c>
      <c r="E493" s="49" t="s">
        <v>31</v>
      </c>
      <c r="F493" s="49" t="s">
        <v>31</v>
      </c>
      <c r="G493" s="49" t="s">
        <v>31</v>
      </c>
      <c r="J493" s="49" t="s">
        <v>31</v>
      </c>
      <c r="K493" s="49" t="s">
        <v>31</v>
      </c>
      <c r="L493" s="49" t="s">
        <v>31</v>
      </c>
      <c r="M493" s="49" t="s">
        <v>31</v>
      </c>
    </row>
    <row r="494" spans="1:21" x14ac:dyDescent="0.2">
      <c r="A494" s="49" t="s">
        <v>30</v>
      </c>
      <c r="D494" s="49" t="s">
        <v>14800</v>
      </c>
      <c r="E494" s="49" t="s">
        <v>7949</v>
      </c>
      <c r="F494" s="49" t="s">
        <v>14801</v>
      </c>
      <c r="H494" s="49" t="s">
        <v>14802</v>
      </c>
      <c r="O494" s="49" t="s">
        <v>38827</v>
      </c>
      <c r="P494" s="49" t="s">
        <v>38828</v>
      </c>
      <c r="Q494" s="49" t="s">
        <v>38829</v>
      </c>
      <c r="R494" s="49" t="s">
        <v>38830</v>
      </c>
      <c r="S494" s="49" t="s">
        <v>38831</v>
      </c>
      <c r="T494" s="49" t="s">
        <v>38832</v>
      </c>
      <c r="U494" s="49" t="s">
        <v>38833</v>
      </c>
    </row>
    <row r="495" spans="1:21" x14ac:dyDescent="0.2">
      <c r="A495" s="49" t="s">
        <v>30</v>
      </c>
      <c r="D495" s="49" t="s">
        <v>14810</v>
      </c>
      <c r="G495" s="49" t="s">
        <v>35349</v>
      </c>
      <c r="H495" s="49" t="s">
        <v>31036</v>
      </c>
      <c r="I495" s="49" t="s">
        <v>31044</v>
      </c>
      <c r="J495" s="49" t="s">
        <v>31100</v>
      </c>
      <c r="K495" s="49" t="s">
        <v>31108</v>
      </c>
      <c r="L495" s="49" t="s">
        <v>14812</v>
      </c>
      <c r="M495" s="49" t="s">
        <v>14813</v>
      </c>
      <c r="N495" s="49" t="s">
        <v>14814</v>
      </c>
      <c r="O495" s="49" t="s">
        <v>35785</v>
      </c>
      <c r="P495" s="49" t="s">
        <v>35787</v>
      </c>
      <c r="Q495" s="49" t="s">
        <v>35789</v>
      </c>
      <c r="R495" s="49" t="s">
        <v>35791</v>
      </c>
      <c r="S495" s="49" t="s">
        <v>35793</v>
      </c>
      <c r="T495" s="49" t="s">
        <v>35795</v>
      </c>
    </row>
    <row r="496" spans="1:21" x14ac:dyDescent="0.2">
      <c r="A496" s="49" t="s">
        <v>30</v>
      </c>
      <c r="D496" s="49" t="s">
        <v>14815</v>
      </c>
      <c r="G496" s="49" t="s">
        <v>18762</v>
      </c>
      <c r="H496" s="49" t="s">
        <v>31037</v>
      </c>
      <c r="I496" s="49" t="s">
        <v>31045</v>
      </c>
      <c r="J496" s="49" t="s">
        <v>31101</v>
      </c>
      <c r="K496" s="49" t="s">
        <v>31109</v>
      </c>
      <c r="L496" s="49" t="s">
        <v>14817</v>
      </c>
      <c r="M496" s="49" t="s">
        <v>14818</v>
      </c>
      <c r="N496" s="49" t="s">
        <v>14819</v>
      </c>
      <c r="O496" s="49" t="s">
        <v>33753</v>
      </c>
      <c r="P496" s="49" t="s">
        <v>33754</v>
      </c>
      <c r="Q496" s="49" t="s">
        <v>33755</v>
      </c>
      <c r="R496" s="49" t="s">
        <v>33756</v>
      </c>
      <c r="S496" s="49" t="s">
        <v>33757</v>
      </c>
      <c r="T496" s="49" t="s">
        <v>33758</v>
      </c>
    </row>
    <row r="497" spans="1:21" x14ac:dyDescent="0.2">
      <c r="A497" s="49" t="s">
        <v>30</v>
      </c>
    </row>
    <row r="498" spans="1:21" x14ac:dyDescent="0.2">
      <c r="A498" s="49" t="s">
        <v>30</v>
      </c>
      <c r="E498" s="49" t="s">
        <v>31</v>
      </c>
      <c r="F498" s="49" t="s">
        <v>31</v>
      </c>
      <c r="G498" s="49" t="s">
        <v>31</v>
      </c>
      <c r="J498" s="49" t="s">
        <v>31</v>
      </c>
      <c r="K498" s="49" t="s">
        <v>31</v>
      </c>
      <c r="L498" s="49" t="s">
        <v>31</v>
      </c>
      <c r="M498" s="49" t="s">
        <v>31</v>
      </c>
    </row>
    <row r="499" spans="1:21" x14ac:dyDescent="0.2">
      <c r="A499" s="49" t="s">
        <v>30</v>
      </c>
      <c r="D499" s="49" t="s">
        <v>33759</v>
      </c>
      <c r="E499" s="49" t="s">
        <v>8020</v>
      </c>
      <c r="F499" s="49" t="s">
        <v>33760</v>
      </c>
      <c r="H499" s="49" t="s">
        <v>33761</v>
      </c>
      <c r="O499" s="49" t="s">
        <v>33762</v>
      </c>
      <c r="P499" s="49" t="s">
        <v>33763</v>
      </c>
      <c r="Q499" s="49" t="s">
        <v>33764</v>
      </c>
      <c r="R499" s="49" t="s">
        <v>33765</v>
      </c>
      <c r="S499" s="49" t="s">
        <v>33766</v>
      </c>
      <c r="T499" s="49" t="s">
        <v>33767</v>
      </c>
      <c r="U499" s="49" t="s">
        <v>33768</v>
      </c>
    </row>
    <row r="500" spans="1:21" x14ac:dyDescent="0.2">
      <c r="A500" s="49" t="s">
        <v>30</v>
      </c>
      <c r="D500" s="49" t="s">
        <v>11066</v>
      </c>
      <c r="G500" s="49" t="s">
        <v>33769</v>
      </c>
      <c r="H500" s="49" t="s">
        <v>11067</v>
      </c>
      <c r="I500" s="49" t="s">
        <v>11068</v>
      </c>
      <c r="J500" s="49" t="s">
        <v>11069</v>
      </c>
      <c r="K500" s="49" t="s">
        <v>11070</v>
      </c>
      <c r="L500" s="49" t="s">
        <v>11071</v>
      </c>
      <c r="M500" s="49" t="s">
        <v>11072</v>
      </c>
      <c r="N500" s="49" t="s">
        <v>11073</v>
      </c>
      <c r="O500" s="49" t="s">
        <v>33770</v>
      </c>
      <c r="P500" s="49" t="s">
        <v>33771</v>
      </c>
      <c r="Q500" s="49" t="s">
        <v>33772</v>
      </c>
      <c r="R500" s="49" t="s">
        <v>33773</v>
      </c>
      <c r="S500" s="49" t="s">
        <v>33774</v>
      </c>
      <c r="T500" s="49" t="s">
        <v>33775</v>
      </c>
    </row>
    <row r="501" spans="1:21" x14ac:dyDescent="0.2">
      <c r="A501" s="49" t="s">
        <v>30</v>
      </c>
    </row>
    <row r="502" spans="1:21" x14ac:dyDescent="0.2">
      <c r="A502" s="49" t="s">
        <v>30</v>
      </c>
      <c r="E502" s="49" t="s">
        <v>31</v>
      </c>
      <c r="F502" s="49" t="s">
        <v>31</v>
      </c>
      <c r="G502" s="49" t="s">
        <v>31</v>
      </c>
      <c r="J502" s="49" t="s">
        <v>31</v>
      </c>
      <c r="K502" s="49" t="s">
        <v>31</v>
      </c>
      <c r="L502" s="49" t="s">
        <v>31</v>
      </c>
      <c r="M502" s="49" t="s">
        <v>31</v>
      </c>
    </row>
    <row r="503" spans="1:21" x14ac:dyDescent="0.2">
      <c r="A503" s="49" t="s">
        <v>30</v>
      </c>
      <c r="D503" s="49" t="s">
        <v>11080</v>
      </c>
      <c r="E503" s="49" t="s">
        <v>8077</v>
      </c>
      <c r="F503" s="49" t="s">
        <v>11081</v>
      </c>
      <c r="H503" s="49" t="s">
        <v>11082</v>
      </c>
      <c r="O503" s="49" t="s">
        <v>38834</v>
      </c>
      <c r="P503" s="49" t="s">
        <v>38835</v>
      </c>
      <c r="Q503" s="49" t="s">
        <v>38836</v>
      </c>
      <c r="R503" s="49" t="s">
        <v>38837</v>
      </c>
      <c r="S503" s="49" t="s">
        <v>38838</v>
      </c>
      <c r="T503" s="49" t="s">
        <v>38839</v>
      </c>
      <c r="U503" s="49" t="s">
        <v>38840</v>
      </c>
    </row>
    <row r="504" spans="1:21" x14ac:dyDescent="0.2">
      <c r="A504" s="49" t="s">
        <v>30</v>
      </c>
      <c r="D504" s="49" t="s">
        <v>5332</v>
      </c>
      <c r="G504" s="49" t="s">
        <v>33776</v>
      </c>
      <c r="H504" s="49" t="s">
        <v>5333</v>
      </c>
      <c r="I504" s="49" t="s">
        <v>5334</v>
      </c>
      <c r="J504" s="49" t="s">
        <v>5335</v>
      </c>
      <c r="K504" s="49" t="s">
        <v>5336</v>
      </c>
      <c r="L504" s="49" t="s">
        <v>5337</v>
      </c>
      <c r="M504" s="49" t="s">
        <v>5338</v>
      </c>
      <c r="N504" s="49" t="s">
        <v>5339</v>
      </c>
      <c r="O504" s="49" t="s">
        <v>34494</v>
      </c>
      <c r="P504" s="49" t="s">
        <v>34497</v>
      </c>
      <c r="Q504" s="49" t="s">
        <v>34500</v>
      </c>
      <c r="R504" s="49" t="s">
        <v>34503</v>
      </c>
      <c r="S504" s="49" t="s">
        <v>34506</v>
      </c>
      <c r="T504" s="49" t="s">
        <v>34509</v>
      </c>
    </row>
    <row r="505" spans="1:21" x14ac:dyDescent="0.2">
      <c r="A505" s="49" t="s">
        <v>30</v>
      </c>
      <c r="D505" s="49" t="s">
        <v>5346</v>
      </c>
      <c r="G505" s="49" t="s">
        <v>18957</v>
      </c>
      <c r="H505" s="49" t="s">
        <v>5347</v>
      </c>
      <c r="I505" s="49" t="s">
        <v>5348</v>
      </c>
      <c r="J505" s="49" t="s">
        <v>5349</v>
      </c>
      <c r="K505" s="49" t="s">
        <v>5350</v>
      </c>
      <c r="L505" s="49" t="s">
        <v>5351</v>
      </c>
      <c r="M505" s="49" t="s">
        <v>5352</v>
      </c>
      <c r="N505" s="49" t="s">
        <v>5353</v>
      </c>
      <c r="O505" s="49" t="s">
        <v>34495</v>
      </c>
      <c r="P505" s="49" t="s">
        <v>34498</v>
      </c>
      <c r="Q505" s="49" t="s">
        <v>34501</v>
      </c>
      <c r="R505" s="49" t="s">
        <v>34504</v>
      </c>
      <c r="S505" s="49" t="s">
        <v>34507</v>
      </c>
      <c r="T505" s="49" t="s">
        <v>34510</v>
      </c>
    </row>
    <row r="506" spans="1:21" x14ac:dyDescent="0.2">
      <c r="A506" s="49" t="s">
        <v>30</v>
      </c>
    </row>
    <row r="507" spans="1:21" x14ac:dyDescent="0.2">
      <c r="A507" s="49" t="s">
        <v>30</v>
      </c>
      <c r="E507" s="49" t="s">
        <v>31</v>
      </c>
      <c r="F507" s="49" t="s">
        <v>31</v>
      </c>
      <c r="G507" s="49" t="s">
        <v>31</v>
      </c>
      <c r="J507" s="49" t="s">
        <v>31</v>
      </c>
      <c r="K507" s="49" t="s">
        <v>31</v>
      </c>
      <c r="L507" s="49" t="s">
        <v>31</v>
      </c>
      <c r="M507" s="49" t="s">
        <v>31</v>
      </c>
    </row>
    <row r="508" spans="1:21" x14ac:dyDescent="0.2">
      <c r="A508" s="49" t="s">
        <v>30</v>
      </c>
      <c r="D508" s="49" t="s">
        <v>38841</v>
      </c>
      <c r="E508" s="49" t="s">
        <v>8162</v>
      </c>
      <c r="F508" s="49" t="s">
        <v>38842</v>
      </c>
      <c r="H508" s="49" t="s">
        <v>38843</v>
      </c>
      <c r="O508" s="49" t="s">
        <v>38844</v>
      </c>
      <c r="P508" s="49" t="s">
        <v>38845</v>
      </c>
      <c r="Q508" s="49" t="s">
        <v>38846</v>
      </c>
      <c r="R508" s="49" t="s">
        <v>38847</v>
      </c>
      <c r="S508" s="49" t="s">
        <v>38848</v>
      </c>
      <c r="T508" s="49" t="s">
        <v>38849</v>
      </c>
      <c r="U508" s="49" t="s">
        <v>38850</v>
      </c>
    </row>
    <row r="509" spans="1:21" x14ac:dyDescent="0.2">
      <c r="A509" s="49" t="s">
        <v>30</v>
      </c>
      <c r="D509" s="49" t="s">
        <v>14852</v>
      </c>
      <c r="G509" s="49" t="s">
        <v>38851</v>
      </c>
      <c r="H509" s="49" t="s">
        <v>31043</v>
      </c>
      <c r="I509" s="49" t="s">
        <v>31051</v>
      </c>
      <c r="J509" s="49" t="s">
        <v>31107</v>
      </c>
      <c r="K509" s="49" t="s">
        <v>31115</v>
      </c>
      <c r="L509" s="49" t="s">
        <v>14854</v>
      </c>
      <c r="M509" s="49" t="s">
        <v>14855</v>
      </c>
      <c r="N509" s="49" t="s">
        <v>14856</v>
      </c>
      <c r="O509" s="49" t="s">
        <v>35751</v>
      </c>
      <c r="P509" s="49" t="s">
        <v>35754</v>
      </c>
      <c r="Q509" s="49" t="s">
        <v>35757</v>
      </c>
      <c r="R509" s="49" t="s">
        <v>35760</v>
      </c>
      <c r="S509" s="49" t="s">
        <v>35763</v>
      </c>
      <c r="T509" s="49" t="s">
        <v>35766</v>
      </c>
    </row>
    <row r="510" spans="1:21" x14ac:dyDescent="0.2">
      <c r="A510" s="49" t="s">
        <v>30</v>
      </c>
      <c r="D510" s="49" t="s">
        <v>5374</v>
      </c>
      <c r="G510" s="49" t="s">
        <v>19057</v>
      </c>
      <c r="H510" s="49" t="s">
        <v>5375</v>
      </c>
      <c r="I510" s="49" t="s">
        <v>5376</v>
      </c>
      <c r="J510" s="49" t="s">
        <v>5377</v>
      </c>
      <c r="K510" s="49" t="s">
        <v>5378</v>
      </c>
      <c r="L510" s="49" t="s">
        <v>5379</v>
      </c>
      <c r="M510" s="49" t="s">
        <v>5380</v>
      </c>
      <c r="N510" s="49" t="s">
        <v>5381</v>
      </c>
      <c r="O510" s="49" t="s">
        <v>34476</v>
      </c>
      <c r="P510" s="49" t="s">
        <v>34479</v>
      </c>
      <c r="Q510" s="49" t="s">
        <v>34482</v>
      </c>
      <c r="R510" s="49" t="s">
        <v>34485</v>
      </c>
      <c r="S510" s="49" t="s">
        <v>34488</v>
      </c>
      <c r="T510" s="49" t="s">
        <v>34491</v>
      </c>
    </row>
    <row r="511" spans="1:21" x14ac:dyDescent="0.2">
      <c r="A511" s="49" t="s">
        <v>30</v>
      </c>
    </row>
    <row r="512" spans="1:21" x14ac:dyDescent="0.2">
      <c r="A512" s="49" t="s">
        <v>30</v>
      </c>
      <c r="E512" s="49" t="s">
        <v>31</v>
      </c>
      <c r="F512" s="49" t="s">
        <v>31</v>
      </c>
      <c r="G512" s="49" t="s">
        <v>31</v>
      </c>
      <c r="J512" s="49" t="s">
        <v>31</v>
      </c>
      <c r="K512" s="49" t="s">
        <v>31</v>
      </c>
      <c r="L512" s="49" t="s">
        <v>31</v>
      </c>
      <c r="M512" s="49" t="s">
        <v>31</v>
      </c>
    </row>
    <row r="513" spans="1:21" x14ac:dyDescent="0.2">
      <c r="A513" s="49" t="s">
        <v>30</v>
      </c>
      <c r="D513" s="49" t="s">
        <v>35372</v>
      </c>
      <c r="E513" s="49" t="s">
        <v>8205</v>
      </c>
      <c r="F513" s="49" t="s">
        <v>35373</v>
      </c>
      <c r="H513" s="49" t="s">
        <v>35374</v>
      </c>
      <c r="O513" s="49" t="s">
        <v>38852</v>
      </c>
      <c r="P513" s="49" t="s">
        <v>38853</v>
      </c>
      <c r="Q513" s="49" t="s">
        <v>38854</v>
      </c>
      <c r="R513" s="49" t="s">
        <v>38855</v>
      </c>
      <c r="S513" s="49" t="s">
        <v>38856</v>
      </c>
      <c r="T513" s="49" t="s">
        <v>38857</v>
      </c>
      <c r="U513" s="49" t="s">
        <v>38858</v>
      </c>
    </row>
    <row r="514" spans="1:21" x14ac:dyDescent="0.2">
      <c r="A514" s="49" t="s">
        <v>30</v>
      </c>
      <c r="D514" s="49" t="s">
        <v>11093</v>
      </c>
      <c r="G514" s="49" t="s">
        <v>35382</v>
      </c>
      <c r="H514" s="49" t="s">
        <v>12526</v>
      </c>
      <c r="I514" s="49" t="s">
        <v>12527</v>
      </c>
      <c r="J514" s="49" t="s">
        <v>12534</v>
      </c>
      <c r="K514" s="49" t="s">
        <v>12535</v>
      </c>
      <c r="L514" s="49" t="s">
        <v>11094</v>
      </c>
      <c r="M514" s="49" t="s">
        <v>11095</v>
      </c>
      <c r="N514" s="49" t="s">
        <v>11096</v>
      </c>
      <c r="O514" s="49" t="s">
        <v>35729</v>
      </c>
      <c r="P514" s="49" t="s">
        <v>35732</v>
      </c>
      <c r="Q514" s="49" t="s">
        <v>35735</v>
      </c>
      <c r="R514" s="49" t="s">
        <v>35738</v>
      </c>
      <c r="S514" s="49" t="s">
        <v>35741</v>
      </c>
      <c r="T514" s="49" t="s">
        <v>35744</v>
      </c>
    </row>
    <row r="515" spans="1:21" x14ac:dyDescent="0.2">
      <c r="A515" s="49" t="s">
        <v>30</v>
      </c>
    </row>
    <row r="516" spans="1:21" x14ac:dyDescent="0.2">
      <c r="A516" s="49" t="s">
        <v>30</v>
      </c>
      <c r="E516" s="49" t="s">
        <v>31</v>
      </c>
      <c r="F516" s="49" t="s">
        <v>31</v>
      </c>
      <c r="G516" s="49" t="s">
        <v>31</v>
      </c>
      <c r="J516" s="49" t="s">
        <v>31</v>
      </c>
      <c r="K516" s="49" t="s">
        <v>31</v>
      </c>
      <c r="L516" s="49" t="s">
        <v>31</v>
      </c>
      <c r="M516" s="49" t="s">
        <v>31</v>
      </c>
    </row>
    <row r="517" spans="1:21" x14ac:dyDescent="0.2">
      <c r="A517" s="49" t="s">
        <v>30</v>
      </c>
      <c r="D517" s="49" t="s">
        <v>11097</v>
      </c>
      <c r="E517" s="49" t="s">
        <v>8262</v>
      </c>
      <c r="F517" s="49" t="s">
        <v>11098</v>
      </c>
      <c r="H517" s="49" t="s">
        <v>11099</v>
      </c>
      <c r="O517" s="49" t="s">
        <v>38859</v>
      </c>
      <c r="P517" s="49" t="s">
        <v>38860</v>
      </c>
      <c r="Q517" s="49" t="s">
        <v>38861</v>
      </c>
      <c r="R517" s="49" t="s">
        <v>38862</v>
      </c>
      <c r="S517" s="49" t="s">
        <v>38863</v>
      </c>
      <c r="T517" s="49" t="s">
        <v>38864</v>
      </c>
      <c r="U517" s="49" t="s">
        <v>38865</v>
      </c>
    </row>
    <row r="518" spans="1:21" x14ac:dyDescent="0.2">
      <c r="A518" s="49" t="s">
        <v>30</v>
      </c>
      <c r="D518" s="49" t="s">
        <v>5417</v>
      </c>
      <c r="G518" s="49" t="s">
        <v>38866</v>
      </c>
      <c r="H518" s="49" t="s">
        <v>5418</v>
      </c>
      <c r="I518" s="49" t="s">
        <v>5419</v>
      </c>
      <c r="J518" s="49" t="s">
        <v>5420</v>
      </c>
      <c r="K518" s="49" t="s">
        <v>5421</v>
      </c>
      <c r="L518" s="49" t="s">
        <v>5422</v>
      </c>
      <c r="M518" s="49" t="s">
        <v>5423</v>
      </c>
      <c r="N518" s="49" t="s">
        <v>5424</v>
      </c>
      <c r="O518" s="49" t="s">
        <v>35731</v>
      </c>
      <c r="P518" s="49" t="s">
        <v>35734</v>
      </c>
      <c r="Q518" s="49" t="s">
        <v>35737</v>
      </c>
      <c r="R518" s="49" t="s">
        <v>35740</v>
      </c>
      <c r="S518" s="49" t="s">
        <v>35743</v>
      </c>
      <c r="T518" s="49" t="s">
        <v>35746</v>
      </c>
    </row>
    <row r="519" spans="1:21" x14ac:dyDescent="0.2">
      <c r="A519" s="49" t="s">
        <v>30</v>
      </c>
    </row>
    <row r="520" spans="1:21" x14ac:dyDescent="0.2">
      <c r="A520" s="49" t="s">
        <v>30</v>
      </c>
      <c r="E520" s="49" t="s">
        <v>31</v>
      </c>
      <c r="F520" s="49" t="s">
        <v>31</v>
      </c>
      <c r="G520" s="49" t="s">
        <v>31</v>
      </c>
      <c r="J520" s="49" t="s">
        <v>31</v>
      </c>
      <c r="K520" s="49" t="s">
        <v>31</v>
      </c>
      <c r="L520" s="49" t="s">
        <v>31</v>
      </c>
      <c r="M520" s="49" t="s">
        <v>31</v>
      </c>
    </row>
    <row r="521" spans="1:21" x14ac:dyDescent="0.2">
      <c r="A521" s="49" t="s">
        <v>30</v>
      </c>
      <c r="D521" s="49" t="s">
        <v>35387</v>
      </c>
      <c r="E521" s="49" t="s">
        <v>8333</v>
      </c>
      <c r="F521" s="49" t="s">
        <v>35388</v>
      </c>
      <c r="H521" s="49" t="s">
        <v>35389</v>
      </c>
      <c r="O521" s="49" t="s">
        <v>35390</v>
      </c>
      <c r="P521" s="49" t="s">
        <v>35391</v>
      </c>
      <c r="Q521" s="49" t="s">
        <v>35392</v>
      </c>
      <c r="R521" s="49" t="s">
        <v>35393</v>
      </c>
      <c r="S521" s="49" t="s">
        <v>35394</v>
      </c>
      <c r="T521" s="49" t="s">
        <v>35395</v>
      </c>
      <c r="U521" s="49" t="s">
        <v>35396</v>
      </c>
    </row>
    <row r="522" spans="1:21" x14ac:dyDescent="0.2">
      <c r="A522" s="49" t="s">
        <v>30</v>
      </c>
      <c r="D522" s="49" t="s">
        <v>11104</v>
      </c>
      <c r="G522" s="49" t="s">
        <v>35397</v>
      </c>
      <c r="H522" s="49" t="s">
        <v>12497</v>
      </c>
      <c r="I522" s="49" t="s">
        <v>12500</v>
      </c>
      <c r="J522" s="49" t="s">
        <v>12521</v>
      </c>
      <c r="K522" s="49" t="s">
        <v>12524</v>
      </c>
      <c r="L522" s="49" t="s">
        <v>11105</v>
      </c>
      <c r="M522" s="49" t="s">
        <v>11106</v>
      </c>
      <c r="N522" s="49" t="s">
        <v>11107</v>
      </c>
      <c r="O522" s="49" t="s">
        <v>34459</v>
      </c>
      <c r="P522" s="49" t="s">
        <v>34462</v>
      </c>
      <c r="Q522" s="49" t="s">
        <v>34465</v>
      </c>
      <c r="R522" s="49" t="s">
        <v>34468</v>
      </c>
      <c r="S522" s="49" t="s">
        <v>34471</v>
      </c>
      <c r="T522" s="49" t="s">
        <v>34474</v>
      </c>
    </row>
    <row r="523" spans="1:21" x14ac:dyDescent="0.2">
      <c r="A523" s="49" t="s">
        <v>30</v>
      </c>
      <c r="D523" s="49" t="s">
        <v>11108</v>
      </c>
      <c r="G523" s="49" t="s">
        <v>19277</v>
      </c>
      <c r="H523" s="49" t="s">
        <v>12498</v>
      </c>
      <c r="I523" s="49" t="s">
        <v>12501</v>
      </c>
      <c r="J523" s="49" t="s">
        <v>12522</v>
      </c>
      <c r="K523" s="49" t="s">
        <v>12525</v>
      </c>
      <c r="L523" s="49" t="s">
        <v>11109</v>
      </c>
      <c r="M523" s="49" t="s">
        <v>11110</v>
      </c>
      <c r="N523" s="49" t="s">
        <v>11111</v>
      </c>
      <c r="O523" s="49" t="s">
        <v>34460</v>
      </c>
      <c r="P523" s="49" t="s">
        <v>34463</v>
      </c>
      <c r="Q523" s="49" t="s">
        <v>34466</v>
      </c>
      <c r="R523" s="49" t="s">
        <v>34469</v>
      </c>
      <c r="S523" s="49" t="s">
        <v>34472</v>
      </c>
      <c r="T523" s="49" t="s">
        <v>34475</v>
      </c>
    </row>
    <row r="524" spans="1:21" x14ac:dyDescent="0.2">
      <c r="A524" s="49" t="s">
        <v>30</v>
      </c>
    </row>
    <row r="525" spans="1:21" x14ac:dyDescent="0.2">
      <c r="A525" s="49" t="s">
        <v>30</v>
      </c>
      <c r="E525" s="49" t="s">
        <v>31</v>
      </c>
      <c r="F525" s="49" t="s">
        <v>31</v>
      </c>
      <c r="G525" s="49" t="s">
        <v>31</v>
      </c>
      <c r="J525" s="49" t="s">
        <v>31</v>
      </c>
      <c r="K525" s="49" t="s">
        <v>31</v>
      </c>
      <c r="L525" s="49" t="s">
        <v>31</v>
      </c>
      <c r="M525" s="49" t="s">
        <v>31</v>
      </c>
    </row>
    <row r="526" spans="1:21" x14ac:dyDescent="0.2">
      <c r="A526" s="49" t="s">
        <v>30</v>
      </c>
      <c r="D526" s="49" t="s">
        <v>33827</v>
      </c>
      <c r="E526" s="49" t="s">
        <v>8404</v>
      </c>
      <c r="F526" s="49" t="s">
        <v>33828</v>
      </c>
      <c r="H526" s="49" t="s">
        <v>33829</v>
      </c>
      <c r="O526" s="49" t="s">
        <v>38867</v>
      </c>
      <c r="P526" s="49" t="s">
        <v>38868</v>
      </c>
      <c r="Q526" s="49" t="s">
        <v>38869</v>
      </c>
      <c r="R526" s="49" t="s">
        <v>38870</v>
      </c>
      <c r="S526" s="49" t="s">
        <v>38871</v>
      </c>
      <c r="T526" s="49" t="s">
        <v>38872</v>
      </c>
      <c r="U526" s="49" t="s">
        <v>38873</v>
      </c>
    </row>
    <row r="527" spans="1:21" x14ac:dyDescent="0.2">
      <c r="A527" s="49" t="s">
        <v>30</v>
      </c>
      <c r="D527" s="49" t="s">
        <v>5490</v>
      </c>
      <c r="G527" s="49" t="s">
        <v>33837</v>
      </c>
      <c r="H527" s="49" t="s">
        <v>5491</v>
      </c>
      <c r="I527" s="49" t="s">
        <v>5492</v>
      </c>
      <c r="J527" s="49" t="s">
        <v>5493</v>
      </c>
      <c r="K527" s="49" t="s">
        <v>5494</v>
      </c>
      <c r="L527" s="49" t="s">
        <v>5495</v>
      </c>
      <c r="M527" s="49" t="s">
        <v>5496</v>
      </c>
      <c r="N527" s="49" t="s">
        <v>5497</v>
      </c>
      <c r="O527" s="49" t="s">
        <v>34434</v>
      </c>
      <c r="P527" s="49" t="s">
        <v>34438</v>
      </c>
      <c r="Q527" s="49" t="s">
        <v>34442</v>
      </c>
      <c r="R527" s="49" t="s">
        <v>34446</v>
      </c>
      <c r="S527" s="49" t="s">
        <v>34450</v>
      </c>
      <c r="T527" s="49" t="s">
        <v>34454</v>
      </c>
    </row>
    <row r="528" spans="1:21" x14ac:dyDescent="0.2">
      <c r="A528" s="49" t="s">
        <v>30</v>
      </c>
    </row>
    <row r="529" spans="1:21" x14ac:dyDescent="0.2">
      <c r="A529" s="49" t="s">
        <v>30</v>
      </c>
      <c r="E529" s="49" t="s">
        <v>31</v>
      </c>
      <c r="F529" s="49" t="s">
        <v>31</v>
      </c>
      <c r="G529" s="49" t="s">
        <v>31</v>
      </c>
      <c r="J529" s="49" t="s">
        <v>31</v>
      </c>
      <c r="K529" s="49" t="s">
        <v>31</v>
      </c>
      <c r="L529" s="49" t="s">
        <v>31</v>
      </c>
      <c r="M529" s="49" t="s">
        <v>31</v>
      </c>
    </row>
    <row r="530" spans="1:21" x14ac:dyDescent="0.2">
      <c r="A530" s="49" t="s">
        <v>30</v>
      </c>
      <c r="D530" s="49" t="s">
        <v>11112</v>
      </c>
      <c r="E530" s="49" t="s">
        <v>8475</v>
      </c>
      <c r="F530" s="49" t="s">
        <v>11113</v>
      </c>
      <c r="H530" s="49" t="s">
        <v>11114</v>
      </c>
      <c r="O530" s="49" t="s">
        <v>38874</v>
      </c>
      <c r="P530" s="49" t="s">
        <v>38875</v>
      </c>
      <c r="Q530" s="49" t="s">
        <v>38876</v>
      </c>
      <c r="R530" s="49" t="s">
        <v>38877</v>
      </c>
      <c r="S530" s="49" t="s">
        <v>38878</v>
      </c>
      <c r="T530" s="49" t="s">
        <v>38879</v>
      </c>
      <c r="U530" s="49" t="s">
        <v>38880</v>
      </c>
    </row>
    <row r="531" spans="1:21" x14ac:dyDescent="0.2">
      <c r="A531" s="49" t="s">
        <v>30</v>
      </c>
      <c r="D531" s="49" t="s">
        <v>11115</v>
      </c>
      <c r="G531" s="49" t="s">
        <v>38881</v>
      </c>
      <c r="H531" s="49" t="s">
        <v>12446</v>
      </c>
      <c r="I531" s="49" t="s">
        <v>12451</v>
      </c>
      <c r="J531" s="49" t="s">
        <v>12486</v>
      </c>
      <c r="K531" s="49" t="s">
        <v>12491</v>
      </c>
      <c r="L531" s="49" t="s">
        <v>11116</v>
      </c>
      <c r="M531" s="49" t="s">
        <v>11117</v>
      </c>
      <c r="N531" s="49" t="s">
        <v>11118</v>
      </c>
      <c r="O531" s="49" t="s">
        <v>38882</v>
      </c>
      <c r="P531" s="49" t="s">
        <v>38883</v>
      </c>
      <c r="Q531" s="49" t="s">
        <v>38884</v>
      </c>
      <c r="R531" s="49" t="s">
        <v>38885</v>
      </c>
      <c r="S531" s="49" t="s">
        <v>38886</v>
      </c>
      <c r="T531" s="49" t="s">
        <v>38887</v>
      </c>
    </row>
    <row r="532" spans="1:21" x14ac:dyDescent="0.2">
      <c r="A532" s="49" t="s">
        <v>30</v>
      </c>
      <c r="D532" s="49" t="s">
        <v>11119</v>
      </c>
      <c r="G532" s="49" t="s">
        <v>19497</v>
      </c>
      <c r="H532" s="49" t="s">
        <v>12447</v>
      </c>
      <c r="I532" s="49" t="s">
        <v>12452</v>
      </c>
      <c r="J532" s="49" t="s">
        <v>12487</v>
      </c>
      <c r="K532" s="49" t="s">
        <v>12492</v>
      </c>
      <c r="L532" s="49" t="s">
        <v>11120</v>
      </c>
      <c r="M532" s="49" t="s">
        <v>11121</v>
      </c>
      <c r="N532" s="49" t="s">
        <v>11122</v>
      </c>
      <c r="O532" s="49" t="s">
        <v>38888</v>
      </c>
      <c r="P532" s="49" t="s">
        <v>38889</v>
      </c>
      <c r="Q532" s="49" t="s">
        <v>38890</v>
      </c>
      <c r="R532" s="49" t="s">
        <v>38891</v>
      </c>
      <c r="S532" s="49" t="s">
        <v>38892</v>
      </c>
      <c r="T532" s="49" t="s">
        <v>38893</v>
      </c>
    </row>
    <row r="533" spans="1:21" x14ac:dyDescent="0.2">
      <c r="A533" s="49" t="s">
        <v>30</v>
      </c>
    </row>
    <row r="534" spans="1:21" x14ac:dyDescent="0.2">
      <c r="A534" s="49" t="s">
        <v>30</v>
      </c>
      <c r="E534" s="49" t="s">
        <v>31</v>
      </c>
      <c r="F534" s="49" t="s">
        <v>31</v>
      </c>
      <c r="G534" s="49" t="s">
        <v>31</v>
      </c>
      <c r="J534" s="49" t="s">
        <v>31</v>
      </c>
      <c r="K534" s="49" t="s">
        <v>31</v>
      </c>
      <c r="L534" s="49" t="s">
        <v>31</v>
      </c>
      <c r="M534" s="49" t="s">
        <v>31</v>
      </c>
    </row>
    <row r="535" spans="1:21" x14ac:dyDescent="0.2">
      <c r="A535" s="49" t="s">
        <v>30</v>
      </c>
      <c r="D535" s="49" t="s">
        <v>38894</v>
      </c>
      <c r="E535" s="49" t="s">
        <v>8518</v>
      </c>
      <c r="F535" s="49" t="s">
        <v>38895</v>
      </c>
      <c r="H535" s="49" t="s">
        <v>38896</v>
      </c>
      <c r="O535" s="49" t="s">
        <v>38897</v>
      </c>
      <c r="P535" s="49" t="s">
        <v>38898</v>
      </c>
      <c r="Q535" s="49" t="s">
        <v>38899</v>
      </c>
      <c r="R535" s="49" t="s">
        <v>38900</v>
      </c>
      <c r="S535" s="49" t="s">
        <v>38901</v>
      </c>
      <c r="T535" s="49" t="s">
        <v>38902</v>
      </c>
      <c r="U535" s="49" t="s">
        <v>38903</v>
      </c>
    </row>
    <row r="536" spans="1:21" x14ac:dyDescent="0.2">
      <c r="A536" s="49" t="s">
        <v>30</v>
      </c>
      <c r="D536" s="49" t="s">
        <v>5541</v>
      </c>
      <c r="G536" s="49" t="s">
        <v>38904</v>
      </c>
      <c r="H536" s="49" t="s">
        <v>5542</v>
      </c>
      <c r="I536" s="49" t="s">
        <v>5543</v>
      </c>
      <c r="J536" s="49" t="s">
        <v>5544</v>
      </c>
      <c r="K536" s="49" t="s">
        <v>5545</v>
      </c>
      <c r="L536" s="49" t="s">
        <v>5546</v>
      </c>
      <c r="M536" s="49" t="s">
        <v>5547</v>
      </c>
      <c r="N536" s="49" t="s">
        <v>5548</v>
      </c>
      <c r="O536" s="49" t="s">
        <v>34418</v>
      </c>
      <c r="P536" s="49" t="s">
        <v>34421</v>
      </c>
      <c r="Q536" s="49" t="s">
        <v>34424</v>
      </c>
      <c r="R536" s="49" t="s">
        <v>34427</v>
      </c>
      <c r="S536" s="49" t="s">
        <v>34430</v>
      </c>
      <c r="T536" s="49" t="s">
        <v>34433</v>
      </c>
    </row>
    <row r="537" spans="1:21" x14ac:dyDescent="0.2">
      <c r="A537" s="49" t="s">
        <v>30</v>
      </c>
    </row>
    <row r="538" spans="1:21" x14ac:dyDescent="0.2">
      <c r="A538" s="49" t="s">
        <v>30</v>
      </c>
      <c r="E538" s="49" t="s">
        <v>31</v>
      </c>
      <c r="F538" s="49" t="s">
        <v>31</v>
      </c>
      <c r="G538" s="49" t="s">
        <v>31</v>
      </c>
      <c r="J538" s="49" t="s">
        <v>31</v>
      </c>
      <c r="K538" s="49" t="s">
        <v>31</v>
      </c>
      <c r="L538" s="49" t="s">
        <v>31</v>
      </c>
      <c r="M538" s="49" t="s">
        <v>31</v>
      </c>
    </row>
    <row r="539" spans="1:21" x14ac:dyDescent="0.2">
      <c r="A539" s="49" t="s">
        <v>30</v>
      </c>
      <c r="D539" s="49" t="s">
        <v>33849</v>
      </c>
      <c r="E539" s="49" t="s">
        <v>8617</v>
      </c>
      <c r="F539" s="49" t="s">
        <v>33850</v>
      </c>
      <c r="H539" s="49" t="s">
        <v>33851</v>
      </c>
      <c r="O539" s="49" t="s">
        <v>38905</v>
      </c>
      <c r="P539" s="49" t="s">
        <v>38906</v>
      </c>
      <c r="Q539" s="49" t="s">
        <v>38907</v>
      </c>
      <c r="R539" s="49" t="s">
        <v>38908</v>
      </c>
      <c r="S539" s="49" t="s">
        <v>38909</v>
      </c>
      <c r="T539" s="49" t="s">
        <v>38910</v>
      </c>
      <c r="U539" s="49" t="s">
        <v>38911</v>
      </c>
    </row>
    <row r="540" spans="1:21" x14ac:dyDescent="0.2">
      <c r="A540" s="49" t="s">
        <v>30</v>
      </c>
      <c r="D540" s="49" t="s">
        <v>14917</v>
      </c>
      <c r="G540" s="49" t="s">
        <v>33859</v>
      </c>
      <c r="H540" s="49" t="s">
        <v>30969</v>
      </c>
      <c r="I540" s="49" t="s">
        <v>30975</v>
      </c>
      <c r="J540" s="49" t="s">
        <v>31017</v>
      </c>
      <c r="K540" s="49" t="s">
        <v>31023</v>
      </c>
      <c r="L540" s="49" t="s">
        <v>14919</v>
      </c>
      <c r="M540" s="49" t="s">
        <v>14920</v>
      </c>
      <c r="N540" s="49" t="s">
        <v>14921</v>
      </c>
      <c r="O540" s="49" t="s">
        <v>34392</v>
      </c>
      <c r="P540" s="49" t="s">
        <v>34396</v>
      </c>
      <c r="Q540" s="49" t="s">
        <v>34400</v>
      </c>
      <c r="R540" s="49" t="s">
        <v>34404</v>
      </c>
      <c r="S540" s="49" t="s">
        <v>34408</v>
      </c>
      <c r="T540" s="49" t="s">
        <v>34412</v>
      </c>
    </row>
    <row r="541" spans="1:21" x14ac:dyDescent="0.2">
      <c r="A541" s="49" t="s">
        <v>30</v>
      </c>
      <c r="D541" s="49" t="s">
        <v>14922</v>
      </c>
      <c r="G541" s="49" t="s">
        <v>19692</v>
      </c>
      <c r="H541" s="49" t="s">
        <v>30970</v>
      </c>
      <c r="I541" s="49" t="s">
        <v>30976</v>
      </c>
      <c r="J541" s="49" t="s">
        <v>31018</v>
      </c>
      <c r="K541" s="49" t="s">
        <v>31024</v>
      </c>
      <c r="L541" s="49" t="s">
        <v>14924</v>
      </c>
      <c r="M541" s="49" t="s">
        <v>14925</v>
      </c>
      <c r="N541" s="49" t="s">
        <v>14926</v>
      </c>
      <c r="O541" s="49" t="s">
        <v>34393</v>
      </c>
      <c r="P541" s="49" t="s">
        <v>34397</v>
      </c>
      <c r="Q541" s="49" t="s">
        <v>34401</v>
      </c>
      <c r="R541" s="49" t="s">
        <v>34405</v>
      </c>
      <c r="S541" s="49" t="s">
        <v>34409</v>
      </c>
      <c r="T541" s="49" t="s">
        <v>34413</v>
      </c>
    </row>
    <row r="542" spans="1:21" x14ac:dyDescent="0.2">
      <c r="A542" s="49" t="s">
        <v>30</v>
      </c>
    </row>
    <row r="543" spans="1:21" x14ac:dyDescent="0.2">
      <c r="A543" s="49" t="s">
        <v>30</v>
      </c>
      <c r="E543" s="49" t="s">
        <v>31</v>
      </c>
      <c r="F543" s="49" t="s">
        <v>31</v>
      </c>
      <c r="G543" s="49" t="s">
        <v>31</v>
      </c>
      <c r="J543" s="49" t="s">
        <v>31</v>
      </c>
      <c r="K543" s="49" t="s">
        <v>31</v>
      </c>
      <c r="L543" s="49" t="s">
        <v>31</v>
      </c>
      <c r="M543" s="49" t="s">
        <v>31</v>
      </c>
    </row>
    <row r="544" spans="1:21" x14ac:dyDescent="0.2">
      <c r="A544" s="49" t="s">
        <v>30</v>
      </c>
      <c r="D544" s="49" t="s">
        <v>38912</v>
      </c>
      <c r="E544" s="49" t="s">
        <v>8760</v>
      </c>
      <c r="F544" s="49" t="s">
        <v>38913</v>
      </c>
      <c r="H544" s="49" t="s">
        <v>38914</v>
      </c>
      <c r="O544" s="49" t="s">
        <v>38915</v>
      </c>
      <c r="P544" s="49" t="s">
        <v>38916</v>
      </c>
      <c r="Q544" s="49" t="s">
        <v>38917</v>
      </c>
      <c r="R544" s="49" t="s">
        <v>38918</v>
      </c>
      <c r="S544" s="49" t="s">
        <v>38919</v>
      </c>
      <c r="T544" s="49" t="s">
        <v>38920</v>
      </c>
      <c r="U544" s="49" t="s">
        <v>38921</v>
      </c>
    </row>
    <row r="545" spans="1:21" x14ac:dyDescent="0.2">
      <c r="A545" s="49" t="s">
        <v>30</v>
      </c>
      <c r="D545" s="49" t="s">
        <v>11138</v>
      </c>
      <c r="G545" s="49" t="s">
        <v>38922</v>
      </c>
      <c r="H545" s="49" t="s">
        <v>12416</v>
      </c>
      <c r="I545" s="49" t="s">
        <v>12419</v>
      </c>
      <c r="J545" s="49" t="s">
        <v>12440</v>
      </c>
      <c r="K545" s="49" t="s">
        <v>12443</v>
      </c>
      <c r="L545" s="49" t="s">
        <v>11139</v>
      </c>
      <c r="M545" s="49" t="s">
        <v>11140</v>
      </c>
      <c r="N545" s="49" t="s">
        <v>11141</v>
      </c>
      <c r="O545" s="49" t="s">
        <v>38016</v>
      </c>
      <c r="P545" s="49" t="s">
        <v>38018</v>
      </c>
      <c r="Q545" s="49" t="s">
        <v>38020</v>
      </c>
      <c r="R545" s="49" t="s">
        <v>38022</v>
      </c>
      <c r="S545" s="49" t="s">
        <v>38024</v>
      </c>
      <c r="T545" s="49" t="s">
        <v>38026</v>
      </c>
    </row>
    <row r="546" spans="1:21" x14ac:dyDescent="0.2">
      <c r="A546" s="49" t="s">
        <v>30</v>
      </c>
      <c r="D546" s="49" t="s">
        <v>11142</v>
      </c>
      <c r="G546" s="49" t="s">
        <v>19897</v>
      </c>
      <c r="H546" s="49" t="s">
        <v>12417</v>
      </c>
      <c r="I546" s="49" t="s">
        <v>12420</v>
      </c>
      <c r="J546" s="49" t="s">
        <v>12441</v>
      </c>
      <c r="K546" s="49" t="s">
        <v>12444</v>
      </c>
      <c r="L546" s="49" t="s">
        <v>11143</v>
      </c>
      <c r="M546" s="49" t="s">
        <v>11144</v>
      </c>
      <c r="N546" s="49" t="s">
        <v>11145</v>
      </c>
      <c r="O546" s="49" t="s">
        <v>38923</v>
      </c>
      <c r="P546" s="49" t="s">
        <v>38924</v>
      </c>
      <c r="Q546" s="49" t="s">
        <v>38925</v>
      </c>
      <c r="R546" s="49" t="s">
        <v>38926</v>
      </c>
      <c r="S546" s="49" t="s">
        <v>38927</v>
      </c>
      <c r="T546" s="49" t="s">
        <v>38928</v>
      </c>
    </row>
    <row r="547" spans="1:21" x14ac:dyDescent="0.2">
      <c r="A547" s="49" t="s">
        <v>30</v>
      </c>
    </row>
    <row r="548" spans="1:21" x14ac:dyDescent="0.2">
      <c r="A548" s="49" t="s">
        <v>30</v>
      </c>
      <c r="E548" s="49" t="s">
        <v>31</v>
      </c>
      <c r="F548" s="49" t="s">
        <v>31</v>
      </c>
      <c r="G548" s="49" t="s">
        <v>31</v>
      </c>
      <c r="J548" s="49" t="s">
        <v>31</v>
      </c>
      <c r="K548" s="49" t="s">
        <v>31</v>
      </c>
      <c r="L548" s="49" t="s">
        <v>31</v>
      </c>
      <c r="M548" s="49" t="s">
        <v>31</v>
      </c>
    </row>
    <row r="549" spans="1:21" x14ac:dyDescent="0.2">
      <c r="A549" s="49" t="s">
        <v>30</v>
      </c>
      <c r="D549" s="49" t="s">
        <v>38929</v>
      </c>
      <c r="E549" s="49" t="s">
        <v>8775</v>
      </c>
      <c r="F549" s="49" t="s">
        <v>38930</v>
      </c>
      <c r="H549" s="49" t="s">
        <v>38931</v>
      </c>
      <c r="O549" s="49" t="s">
        <v>38932</v>
      </c>
      <c r="P549" s="49" t="s">
        <v>38933</v>
      </c>
      <c r="Q549" s="49" t="s">
        <v>38934</v>
      </c>
      <c r="R549" s="49" t="s">
        <v>38935</v>
      </c>
      <c r="S549" s="49" t="s">
        <v>38936</v>
      </c>
      <c r="T549" s="49" t="s">
        <v>38937</v>
      </c>
      <c r="U549" s="49" t="s">
        <v>38938</v>
      </c>
    </row>
    <row r="550" spans="1:21" x14ac:dyDescent="0.2">
      <c r="A550" s="49" t="s">
        <v>30</v>
      </c>
      <c r="D550" s="49" t="s">
        <v>5613</v>
      </c>
      <c r="G550" s="49" t="s">
        <v>38939</v>
      </c>
      <c r="H550" s="49" t="s">
        <v>5614</v>
      </c>
      <c r="I550" s="49" t="s">
        <v>5615</v>
      </c>
      <c r="J550" s="49" t="s">
        <v>5616</v>
      </c>
      <c r="K550" s="49" t="s">
        <v>5617</v>
      </c>
      <c r="L550" s="49" t="s">
        <v>5618</v>
      </c>
      <c r="M550" s="49" t="s">
        <v>5619</v>
      </c>
      <c r="N550" s="49" t="s">
        <v>5620</v>
      </c>
      <c r="O550" s="49" t="s">
        <v>38001</v>
      </c>
      <c r="P550" s="49" t="s">
        <v>38003</v>
      </c>
      <c r="Q550" s="49" t="s">
        <v>38005</v>
      </c>
      <c r="R550" s="49" t="s">
        <v>38007</v>
      </c>
      <c r="S550" s="49" t="s">
        <v>38009</v>
      </c>
      <c r="T550" s="49" t="s">
        <v>38011</v>
      </c>
    </row>
    <row r="551" spans="1:21" x14ac:dyDescent="0.2">
      <c r="A551" s="49" t="s">
        <v>30</v>
      </c>
      <c r="D551" s="49" t="s">
        <v>36441</v>
      </c>
      <c r="G551" s="49" t="s">
        <v>19962</v>
      </c>
      <c r="H551" s="49" t="s">
        <v>37999</v>
      </c>
      <c r="I551" s="49" t="s">
        <v>38000</v>
      </c>
      <c r="J551" s="49" t="s">
        <v>38013</v>
      </c>
      <c r="K551" s="49" t="s">
        <v>38014</v>
      </c>
      <c r="L551" s="49" t="s">
        <v>36442</v>
      </c>
      <c r="M551" s="49" t="s">
        <v>36443</v>
      </c>
      <c r="N551" s="49" t="s">
        <v>36444</v>
      </c>
      <c r="O551" s="49" t="s">
        <v>38002</v>
      </c>
      <c r="P551" s="49" t="s">
        <v>38004</v>
      </c>
      <c r="Q551" s="49" t="s">
        <v>38006</v>
      </c>
      <c r="R551" s="49" t="s">
        <v>38008</v>
      </c>
      <c r="S551" s="49" t="s">
        <v>38010</v>
      </c>
      <c r="T551" s="49" t="s">
        <v>38012</v>
      </c>
    </row>
    <row r="552" spans="1:21" x14ac:dyDescent="0.2">
      <c r="A552" s="49" t="s">
        <v>30</v>
      </c>
      <c r="D552" s="49" t="s">
        <v>33893</v>
      </c>
      <c r="G552" s="49" t="s">
        <v>19967</v>
      </c>
      <c r="H552" s="49" t="s">
        <v>33895</v>
      </c>
      <c r="I552" s="49" t="s">
        <v>33896</v>
      </c>
      <c r="J552" s="49" t="s">
        <v>33897</v>
      </c>
      <c r="K552" s="49" t="s">
        <v>33898</v>
      </c>
      <c r="L552" s="49" t="s">
        <v>33899</v>
      </c>
      <c r="M552" s="49" t="s">
        <v>33900</v>
      </c>
      <c r="N552" s="49" t="s">
        <v>33901</v>
      </c>
      <c r="O552" s="49" t="s">
        <v>33902</v>
      </c>
      <c r="P552" s="49" t="s">
        <v>33903</v>
      </c>
      <c r="Q552" s="49" t="s">
        <v>33904</v>
      </c>
      <c r="R552" s="49" t="s">
        <v>33905</v>
      </c>
      <c r="S552" s="49" t="s">
        <v>33906</v>
      </c>
      <c r="T552" s="49" t="s">
        <v>33907</v>
      </c>
    </row>
    <row r="553" spans="1:21" x14ac:dyDescent="0.2">
      <c r="A553" s="49" t="s">
        <v>30</v>
      </c>
    </row>
    <row r="554" spans="1:21" x14ac:dyDescent="0.2">
      <c r="A554" s="49" t="s">
        <v>30</v>
      </c>
      <c r="E554" s="49" t="s">
        <v>31</v>
      </c>
      <c r="F554" s="49" t="s">
        <v>31</v>
      </c>
      <c r="G554" s="49" t="s">
        <v>31</v>
      </c>
      <c r="J554" s="49" t="s">
        <v>31</v>
      </c>
      <c r="K554" s="49" t="s">
        <v>31</v>
      </c>
      <c r="L554" s="49" t="s">
        <v>31</v>
      </c>
      <c r="M554" s="49" t="s">
        <v>31</v>
      </c>
    </row>
    <row r="555" spans="1:21" x14ac:dyDescent="0.2">
      <c r="A555" s="49" t="s">
        <v>30</v>
      </c>
      <c r="D555" s="49" t="s">
        <v>33908</v>
      </c>
      <c r="E555" s="49" t="s">
        <v>8832</v>
      </c>
      <c r="F555" s="49" t="s">
        <v>33909</v>
      </c>
      <c r="H555" s="49" t="s">
        <v>33910</v>
      </c>
      <c r="O555" s="49" t="s">
        <v>38940</v>
      </c>
      <c r="P555" s="49" t="s">
        <v>38941</v>
      </c>
      <c r="Q555" s="49" t="s">
        <v>38942</v>
      </c>
      <c r="R555" s="49" t="s">
        <v>38943</v>
      </c>
      <c r="S555" s="49" t="s">
        <v>38944</v>
      </c>
      <c r="T555" s="49" t="s">
        <v>38945</v>
      </c>
      <c r="U555" s="49" t="s">
        <v>38946</v>
      </c>
    </row>
    <row r="556" spans="1:21" x14ac:dyDescent="0.2">
      <c r="A556" s="49" t="s">
        <v>30</v>
      </c>
      <c r="D556" s="49" t="s">
        <v>5642</v>
      </c>
      <c r="G556" s="49" t="s">
        <v>33918</v>
      </c>
      <c r="H556" s="49" t="s">
        <v>5643</v>
      </c>
      <c r="I556" s="49" t="s">
        <v>5644</v>
      </c>
      <c r="J556" s="49" t="s">
        <v>5645</v>
      </c>
      <c r="K556" s="49" t="s">
        <v>5646</v>
      </c>
      <c r="L556" s="49" t="s">
        <v>5647</v>
      </c>
      <c r="M556" s="49" t="s">
        <v>5648</v>
      </c>
      <c r="N556" s="49" t="s">
        <v>5649</v>
      </c>
      <c r="O556" s="49" t="s">
        <v>34368</v>
      </c>
      <c r="P556" s="49" t="s">
        <v>34372</v>
      </c>
      <c r="Q556" s="49" t="s">
        <v>34376</v>
      </c>
      <c r="R556" s="49" t="s">
        <v>34380</v>
      </c>
      <c r="S556" s="49" t="s">
        <v>34384</v>
      </c>
      <c r="T556" s="49" t="s">
        <v>34388</v>
      </c>
    </row>
    <row r="557" spans="1:21" x14ac:dyDescent="0.2">
      <c r="A557" s="49" t="s">
        <v>30</v>
      </c>
    </row>
    <row r="558" spans="1:21" x14ac:dyDescent="0.2">
      <c r="A558" s="49" t="s">
        <v>30</v>
      </c>
      <c r="E558" s="49" t="s">
        <v>31</v>
      </c>
      <c r="F558" s="49" t="s">
        <v>31</v>
      </c>
      <c r="G558" s="49" t="s">
        <v>31</v>
      </c>
      <c r="J558" s="49" t="s">
        <v>31</v>
      </c>
      <c r="K558" s="49" t="s">
        <v>31</v>
      </c>
      <c r="L558" s="49" t="s">
        <v>31</v>
      </c>
      <c r="M558" s="49" t="s">
        <v>31</v>
      </c>
    </row>
    <row r="559" spans="1:21" x14ac:dyDescent="0.2">
      <c r="A559" s="49" t="s">
        <v>30</v>
      </c>
      <c r="D559" s="49" t="s">
        <v>38947</v>
      </c>
      <c r="E559" s="49" t="s">
        <v>8834</v>
      </c>
      <c r="F559" s="49" t="s">
        <v>38948</v>
      </c>
      <c r="H559" s="49" t="s">
        <v>38949</v>
      </c>
      <c r="O559" s="49" t="s">
        <v>38950</v>
      </c>
      <c r="P559" s="49" t="s">
        <v>38951</v>
      </c>
      <c r="Q559" s="49" t="s">
        <v>38952</v>
      </c>
      <c r="R559" s="49" t="s">
        <v>38953</v>
      </c>
      <c r="S559" s="49" t="s">
        <v>38954</v>
      </c>
      <c r="T559" s="49" t="s">
        <v>38955</v>
      </c>
      <c r="U559" s="49" t="s">
        <v>38956</v>
      </c>
    </row>
    <row r="560" spans="1:21" x14ac:dyDescent="0.2">
      <c r="A560" s="49" t="s">
        <v>30</v>
      </c>
      <c r="D560" s="49" t="s">
        <v>11158</v>
      </c>
      <c r="G560" s="49" t="s">
        <v>38957</v>
      </c>
      <c r="H560" s="49" t="s">
        <v>12383</v>
      </c>
      <c r="I560" s="49" t="s">
        <v>12387</v>
      </c>
      <c r="J560" s="49" t="s">
        <v>12409</v>
      </c>
      <c r="K560" s="49" t="s">
        <v>12413</v>
      </c>
      <c r="L560" s="49" t="s">
        <v>11159</v>
      </c>
      <c r="M560" s="49" t="s">
        <v>11160</v>
      </c>
      <c r="N560" s="49" t="s">
        <v>11161</v>
      </c>
      <c r="O560" s="49" t="s">
        <v>35661</v>
      </c>
      <c r="P560" s="49" t="s">
        <v>35665</v>
      </c>
      <c r="Q560" s="49" t="s">
        <v>35669</v>
      </c>
      <c r="R560" s="49" t="s">
        <v>35673</v>
      </c>
      <c r="S560" s="49" t="s">
        <v>35677</v>
      </c>
      <c r="T560" s="49" t="s">
        <v>35681</v>
      </c>
    </row>
    <row r="561" spans="1:21" x14ac:dyDescent="0.2">
      <c r="A561" s="49" t="s">
        <v>30</v>
      </c>
      <c r="D561" s="49" t="s">
        <v>11162</v>
      </c>
      <c r="G561" s="49" t="s">
        <v>20247</v>
      </c>
      <c r="H561" s="49" t="s">
        <v>12384</v>
      </c>
      <c r="I561" s="49" t="s">
        <v>12388</v>
      </c>
      <c r="J561" s="49" t="s">
        <v>12410</v>
      </c>
      <c r="K561" s="49" t="s">
        <v>12414</v>
      </c>
      <c r="L561" s="49" t="s">
        <v>11163</v>
      </c>
      <c r="M561" s="49" t="s">
        <v>11164</v>
      </c>
      <c r="N561" s="49" t="s">
        <v>11165</v>
      </c>
      <c r="O561" s="49" t="s">
        <v>35662</v>
      </c>
      <c r="P561" s="49" t="s">
        <v>35666</v>
      </c>
      <c r="Q561" s="49" t="s">
        <v>35670</v>
      </c>
      <c r="R561" s="49" t="s">
        <v>35674</v>
      </c>
      <c r="S561" s="49" t="s">
        <v>35678</v>
      </c>
      <c r="T561" s="49" t="s">
        <v>35682</v>
      </c>
    </row>
    <row r="562" spans="1:21" x14ac:dyDescent="0.2">
      <c r="A562" s="49" t="s">
        <v>30</v>
      </c>
      <c r="D562" s="49" t="s">
        <v>11166</v>
      </c>
      <c r="G562" s="49" t="s">
        <v>20287</v>
      </c>
      <c r="H562" s="49" t="s">
        <v>12385</v>
      </c>
      <c r="I562" s="49" t="s">
        <v>12389</v>
      </c>
      <c r="J562" s="49" t="s">
        <v>12411</v>
      </c>
      <c r="K562" s="49" t="s">
        <v>12415</v>
      </c>
      <c r="L562" s="49" t="s">
        <v>11167</v>
      </c>
      <c r="M562" s="49" t="s">
        <v>11168</v>
      </c>
      <c r="N562" s="49" t="s">
        <v>11169</v>
      </c>
      <c r="O562" s="49" t="s">
        <v>35663</v>
      </c>
      <c r="P562" s="49" t="s">
        <v>35667</v>
      </c>
      <c r="Q562" s="49" t="s">
        <v>35671</v>
      </c>
      <c r="R562" s="49" t="s">
        <v>35675</v>
      </c>
      <c r="S562" s="49" t="s">
        <v>35679</v>
      </c>
      <c r="T562" s="49" t="s">
        <v>35683</v>
      </c>
    </row>
    <row r="563" spans="1:21" x14ac:dyDescent="0.2">
      <c r="A563" s="49" t="s">
        <v>30</v>
      </c>
    </row>
    <row r="564" spans="1:21" x14ac:dyDescent="0.2">
      <c r="A564" s="49" t="s">
        <v>30</v>
      </c>
      <c r="E564" s="49" t="s">
        <v>31</v>
      </c>
      <c r="F564" s="49" t="s">
        <v>31</v>
      </c>
      <c r="G564" s="49" t="s">
        <v>31</v>
      </c>
      <c r="J564" s="49" t="s">
        <v>31</v>
      </c>
      <c r="K564" s="49" t="s">
        <v>31</v>
      </c>
      <c r="L564" s="49" t="s">
        <v>31</v>
      </c>
      <c r="M564" s="49" t="s">
        <v>31</v>
      </c>
    </row>
    <row r="565" spans="1:21" x14ac:dyDescent="0.2">
      <c r="A565" s="49" t="s">
        <v>30</v>
      </c>
      <c r="D565" s="49" t="s">
        <v>38958</v>
      </c>
      <c r="E565" s="49" t="s">
        <v>8835</v>
      </c>
      <c r="F565" s="49" t="s">
        <v>38959</v>
      </c>
      <c r="H565" s="49" t="s">
        <v>38960</v>
      </c>
      <c r="O565" s="49" t="s">
        <v>38961</v>
      </c>
      <c r="P565" s="49" t="s">
        <v>38962</v>
      </c>
      <c r="Q565" s="49" t="s">
        <v>38963</v>
      </c>
      <c r="R565" s="49" t="s">
        <v>38964</v>
      </c>
      <c r="S565" s="49" t="s">
        <v>38965</v>
      </c>
      <c r="T565" s="49" t="s">
        <v>38966</v>
      </c>
      <c r="U565" s="49" t="s">
        <v>38967</v>
      </c>
    </row>
    <row r="566" spans="1:21" x14ac:dyDescent="0.2">
      <c r="A566" s="49" t="s">
        <v>30</v>
      </c>
      <c r="D566" s="49" t="s">
        <v>14969</v>
      </c>
      <c r="G566" s="49" t="s">
        <v>38968</v>
      </c>
      <c r="H566" s="49" t="s">
        <v>30947</v>
      </c>
      <c r="I566" s="49" t="s">
        <v>30949</v>
      </c>
      <c r="J566" s="49" t="s">
        <v>30963</v>
      </c>
      <c r="K566" s="49" t="s">
        <v>30965</v>
      </c>
      <c r="L566" s="49" t="s">
        <v>14971</v>
      </c>
      <c r="M566" s="49" t="s">
        <v>14972</v>
      </c>
      <c r="N566" s="49" t="s">
        <v>14973</v>
      </c>
      <c r="O566" s="49" t="s">
        <v>39077</v>
      </c>
      <c r="P566" s="49" t="s">
        <v>39078</v>
      </c>
      <c r="Q566" s="49" t="s">
        <v>39079</v>
      </c>
      <c r="R566" s="49" t="s">
        <v>39080</v>
      </c>
      <c r="S566" s="49" t="s">
        <v>39081</v>
      </c>
      <c r="T566" s="49" t="s">
        <v>39082</v>
      </c>
    </row>
    <row r="567" spans="1:21" x14ac:dyDescent="0.2">
      <c r="A567" s="49" t="s">
        <v>30</v>
      </c>
      <c r="D567" s="49" t="s">
        <v>5707</v>
      </c>
      <c r="G567" s="49" t="s">
        <v>20377</v>
      </c>
      <c r="H567" s="49" t="s">
        <v>5708</v>
      </c>
      <c r="I567" s="49" t="s">
        <v>5709</v>
      </c>
      <c r="J567" s="49" t="s">
        <v>5710</v>
      </c>
      <c r="K567" s="49" t="s">
        <v>5711</v>
      </c>
      <c r="L567" s="49" t="s">
        <v>5712</v>
      </c>
      <c r="M567" s="49" t="s">
        <v>5713</v>
      </c>
      <c r="N567" s="49" t="s">
        <v>5714</v>
      </c>
      <c r="O567" s="49" t="s">
        <v>33944</v>
      </c>
      <c r="P567" s="49" t="s">
        <v>33945</v>
      </c>
      <c r="Q567" s="49" t="s">
        <v>33946</v>
      </c>
      <c r="R567" s="49" t="s">
        <v>33947</v>
      </c>
      <c r="S567" s="49" t="s">
        <v>33948</v>
      </c>
      <c r="T567" s="49" t="s">
        <v>33949</v>
      </c>
    </row>
    <row r="568" spans="1:21" x14ac:dyDescent="0.2">
      <c r="A568" s="49" t="s">
        <v>30</v>
      </c>
      <c r="D568" s="49" t="s">
        <v>5721</v>
      </c>
      <c r="G568" s="49" t="s">
        <v>20437</v>
      </c>
      <c r="H568" s="49" t="s">
        <v>5722</v>
      </c>
      <c r="I568" s="49" t="s">
        <v>5723</v>
      </c>
      <c r="J568" s="49" t="s">
        <v>5724</v>
      </c>
      <c r="K568" s="49" t="s">
        <v>5725</v>
      </c>
      <c r="L568" s="49" t="s">
        <v>5726</v>
      </c>
      <c r="M568" s="49" t="s">
        <v>5727</v>
      </c>
      <c r="N568" s="49" t="s">
        <v>5728</v>
      </c>
      <c r="O568" s="49" t="s">
        <v>33950</v>
      </c>
      <c r="P568" s="49" t="s">
        <v>33951</v>
      </c>
      <c r="Q568" s="49" t="s">
        <v>33952</v>
      </c>
      <c r="R568" s="49" t="s">
        <v>33953</v>
      </c>
      <c r="S568" s="49" t="s">
        <v>33954</v>
      </c>
      <c r="T568" s="49" t="s">
        <v>33955</v>
      </c>
    </row>
    <row r="569" spans="1:21" x14ac:dyDescent="0.2">
      <c r="A569" s="49" t="s">
        <v>30</v>
      </c>
    </row>
    <row r="570" spans="1:21" x14ac:dyDescent="0.2">
      <c r="A570" s="49" t="s">
        <v>30</v>
      </c>
      <c r="E570" s="49" t="s">
        <v>31</v>
      </c>
      <c r="F570" s="49" t="s">
        <v>31</v>
      </c>
      <c r="G570" s="49" t="s">
        <v>31</v>
      </c>
      <c r="J570" s="49" t="s">
        <v>31</v>
      </c>
      <c r="K570" s="49" t="s">
        <v>31</v>
      </c>
      <c r="L570" s="49" t="s">
        <v>31</v>
      </c>
      <c r="M570" s="49" t="s">
        <v>31</v>
      </c>
    </row>
    <row r="571" spans="1:21" x14ac:dyDescent="0.2">
      <c r="A571" s="49" t="s">
        <v>30</v>
      </c>
      <c r="D571" s="49" t="s">
        <v>33956</v>
      </c>
      <c r="E571" s="49" t="s">
        <v>8836</v>
      </c>
      <c r="F571" s="49" t="s">
        <v>33957</v>
      </c>
      <c r="H571" s="49" t="s">
        <v>33958</v>
      </c>
      <c r="O571" s="49" t="s">
        <v>38969</v>
      </c>
      <c r="P571" s="49" t="s">
        <v>38970</v>
      </c>
      <c r="Q571" s="49" t="s">
        <v>38971</v>
      </c>
      <c r="R571" s="49" t="s">
        <v>38972</v>
      </c>
      <c r="S571" s="49" t="s">
        <v>38973</v>
      </c>
      <c r="T571" s="49" t="s">
        <v>38974</v>
      </c>
      <c r="U571" s="49" t="s">
        <v>38975</v>
      </c>
    </row>
    <row r="572" spans="1:21" x14ac:dyDescent="0.2">
      <c r="A572" s="49" t="s">
        <v>30</v>
      </c>
      <c r="D572" s="49" t="s">
        <v>5777</v>
      </c>
      <c r="G572" s="49" t="s">
        <v>33966</v>
      </c>
      <c r="H572" s="49" t="s">
        <v>5778</v>
      </c>
      <c r="I572" s="49" t="s">
        <v>5779</v>
      </c>
      <c r="J572" s="49" t="s">
        <v>5780</v>
      </c>
      <c r="K572" s="49" t="s">
        <v>5781</v>
      </c>
      <c r="L572" s="49" t="s">
        <v>5782</v>
      </c>
      <c r="M572" s="49" t="s">
        <v>5783</v>
      </c>
      <c r="N572" s="49" t="s">
        <v>5784</v>
      </c>
      <c r="O572" s="49" t="s">
        <v>33967</v>
      </c>
      <c r="P572" s="49" t="s">
        <v>33968</v>
      </c>
      <c r="Q572" s="49" t="s">
        <v>33969</v>
      </c>
      <c r="R572" s="49" t="s">
        <v>33970</v>
      </c>
      <c r="S572" s="49" t="s">
        <v>33971</v>
      </c>
      <c r="T572" s="49" t="s">
        <v>33972</v>
      </c>
    </row>
    <row r="573" spans="1:21" x14ac:dyDescent="0.2">
      <c r="A573" s="49" t="s">
        <v>30</v>
      </c>
      <c r="D573" s="49" t="s">
        <v>5791</v>
      </c>
      <c r="G573" s="49" t="s">
        <v>20572</v>
      </c>
      <c r="H573" s="49" t="s">
        <v>5792</v>
      </c>
      <c r="I573" s="49" t="s">
        <v>5793</v>
      </c>
      <c r="J573" s="49" t="s">
        <v>5794</v>
      </c>
      <c r="K573" s="49" t="s">
        <v>5795</v>
      </c>
      <c r="L573" s="49" t="s">
        <v>5796</v>
      </c>
      <c r="M573" s="49" t="s">
        <v>5797</v>
      </c>
      <c r="N573" s="49" t="s">
        <v>5798</v>
      </c>
      <c r="O573" s="49" t="s">
        <v>37988</v>
      </c>
      <c r="P573" s="49" t="s">
        <v>37990</v>
      </c>
      <c r="Q573" s="49" t="s">
        <v>37992</v>
      </c>
      <c r="R573" s="49" t="s">
        <v>37994</v>
      </c>
      <c r="S573" s="49" t="s">
        <v>37996</v>
      </c>
      <c r="T573" s="49" t="s">
        <v>37998</v>
      </c>
    </row>
    <row r="574" spans="1:21" x14ac:dyDescent="0.2">
      <c r="A574" s="49" t="s">
        <v>30</v>
      </c>
    </row>
    <row r="575" spans="1:21" x14ac:dyDescent="0.2">
      <c r="A575" s="49" t="s">
        <v>30</v>
      </c>
      <c r="E575" s="49" t="s">
        <v>31</v>
      </c>
      <c r="F575" s="49" t="s">
        <v>31</v>
      </c>
      <c r="G575" s="49" t="s">
        <v>31</v>
      </c>
      <c r="J575" s="49" t="s">
        <v>31</v>
      </c>
      <c r="K575" s="49" t="s">
        <v>31</v>
      </c>
      <c r="L575" s="49" t="s">
        <v>31</v>
      </c>
      <c r="M575" s="49" t="s">
        <v>31</v>
      </c>
    </row>
    <row r="576" spans="1:21" x14ac:dyDescent="0.2">
      <c r="A576" s="49" t="s">
        <v>30</v>
      </c>
      <c r="D576" s="49" t="s">
        <v>36484</v>
      </c>
      <c r="E576" s="49" t="s">
        <v>8837</v>
      </c>
      <c r="F576" s="49" t="s">
        <v>36485</v>
      </c>
      <c r="H576" s="49" t="s">
        <v>36486</v>
      </c>
      <c r="O576" s="49" t="s">
        <v>38976</v>
      </c>
      <c r="P576" s="49" t="s">
        <v>38977</v>
      </c>
      <c r="Q576" s="49" t="s">
        <v>38978</v>
      </c>
      <c r="R576" s="49" t="s">
        <v>38979</v>
      </c>
      <c r="S576" s="49" t="s">
        <v>38980</v>
      </c>
      <c r="T576" s="49" t="s">
        <v>38981</v>
      </c>
      <c r="U576" s="49" t="s">
        <v>38982</v>
      </c>
    </row>
    <row r="577" spans="1:21" x14ac:dyDescent="0.2">
      <c r="A577" s="49" t="s">
        <v>30</v>
      </c>
      <c r="D577" s="49" t="s">
        <v>33990</v>
      </c>
      <c r="G577" s="49" t="s">
        <v>36494</v>
      </c>
      <c r="H577" s="49" t="s">
        <v>33991</v>
      </c>
      <c r="I577" s="49" t="s">
        <v>33992</v>
      </c>
      <c r="J577" s="49" t="s">
        <v>33993</v>
      </c>
      <c r="K577" s="49" t="s">
        <v>33994</v>
      </c>
      <c r="L577" s="49" t="s">
        <v>33995</v>
      </c>
      <c r="M577" s="49" t="s">
        <v>33996</v>
      </c>
      <c r="N577" s="49" t="s">
        <v>33997</v>
      </c>
      <c r="O577" s="49" t="s">
        <v>33998</v>
      </c>
      <c r="P577" s="49" t="s">
        <v>33999</v>
      </c>
      <c r="Q577" s="49" t="s">
        <v>34000</v>
      </c>
      <c r="R577" s="49" t="s">
        <v>34001</v>
      </c>
      <c r="S577" s="49" t="s">
        <v>34002</v>
      </c>
      <c r="T577" s="49" t="s">
        <v>34003</v>
      </c>
    </row>
    <row r="578" spans="1:21" x14ac:dyDescent="0.2">
      <c r="A578" s="49" t="s">
        <v>30</v>
      </c>
    </row>
    <row r="579" spans="1:21" x14ac:dyDescent="0.2">
      <c r="A579" s="49" t="s">
        <v>30</v>
      </c>
      <c r="E579" s="49" t="s">
        <v>31</v>
      </c>
      <c r="F579" s="49" t="s">
        <v>31</v>
      </c>
      <c r="G579" s="49" t="s">
        <v>31</v>
      </c>
      <c r="J579" s="49" t="s">
        <v>31</v>
      </c>
      <c r="K579" s="49" t="s">
        <v>31</v>
      </c>
      <c r="L579" s="49" t="s">
        <v>31</v>
      </c>
      <c r="M579" s="49" t="s">
        <v>31</v>
      </c>
    </row>
    <row r="580" spans="1:21" x14ac:dyDescent="0.2">
      <c r="A580" s="49" t="s">
        <v>30</v>
      </c>
      <c r="D580" s="49" t="s">
        <v>34004</v>
      </c>
      <c r="E580" s="49" t="s">
        <v>8838</v>
      </c>
      <c r="F580" s="49" t="s">
        <v>34005</v>
      </c>
      <c r="H580" s="49" t="s">
        <v>34006</v>
      </c>
      <c r="O580" s="49" t="s">
        <v>38983</v>
      </c>
      <c r="P580" s="49" t="s">
        <v>38984</v>
      </c>
      <c r="Q580" s="49" t="s">
        <v>38985</v>
      </c>
      <c r="R580" s="49" t="s">
        <v>38986</v>
      </c>
      <c r="S580" s="49" t="s">
        <v>38987</v>
      </c>
      <c r="T580" s="49" t="s">
        <v>38988</v>
      </c>
      <c r="U580" s="49" t="s">
        <v>38989</v>
      </c>
    </row>
    <row r="581" spans="1:21" x14ac:dyDescent="0.2">
      <c r="A581" s="49" t="s">
        <v>30</v>
      </c>
      <c r="D581" s="49" t="s">
        <v>5820</v>
      </c>
      <c r="G581" s="49" t="s">
        <v>34014</v>
      </c>
      <c r="H581" s="49" t="s">
        <v>5821</v>
      </c>
      <c r="I581" s="49" t="s">
        <v>5822</v>
      </c>
      <c r="J581" s="49" t="s">
        <v>5823</v>
      </c>
      <c r="K581" s="49" t="s">
        <v>5824</v>
      </c>
      <c r="L581" s="49" t="s">
        <v>5825</v>
      </c>
      <c r="M581" s="49" t="s">
        <v>5826</v>
      </c>
      <c r="N581" s="49" t="s">
        <v>5827</v>
      </c>
      <c r="O581" s="49" t="s">
        <v>34015</v>
      </c>
      <c r="P581" s="49" t="s">
        <v>34016</v>
      </c>
      <c r="Q581" s="49" t="s">
        <v>34017</v>
      </c>
      <c r="R581" s="49" t="s">
        <v>34018</v>
      </c>
      <c r="S581" s="49" t="s">
        <v>34019</v>
      </c>
      <c r="T581" s="49" t="s">
        <v>34020</v>
      </c>
    </row>
    <row r="582" spans="1:21" x14ac:dyDescent="0.2">
      <c r="A582" s="49" t="s">
        <v>30</v>
      </c>
    </row>
    <row r="583" spans="1:21" x14ac:dyDescent="0.2">
      <c r="A583" s="49" t="s">
        <v>30</v>
      </c>
      <c r="E583" s="49" t="s">
        <v>31</v>
      </c>
      <c r="F583" s="49" t="s">
        <v>31</v>
      </c>
      <c r="G583" s="49" t="s">
        <v>31</v>
      </c>
      <c r="J583" s="49" t="s">
        <v>31</v>
      </c>
      <c r="K583" s="49" t="s">
        <v>31</v>
      </c>
      <c r="L583" s="49" t="s">
        <v>31</v>
      </c>
      <c r="M583" s="49" t="s">
        <v>31</v>
      </c>
    </row>
    <row r="584" spans="1:21" x14ac:dyDescent="0.2">
      <c r="A584" s="49" t="s">
        <v>30</v>
      </c>
      <c r="D584" s="49" t="s">
        <v>38990</v>
      </c>
      <c r="E584" s="49" t="s">
        <v>8839</v>
      </c>
      <c r="F584" s="49" t="s">
        <v>38991</v>
      </c>
      <c r="H584" s="49" t="s">
        <v>38992</v>
      </c>
      <c r="O584" s="49" t="s">
        <v>38993</v>
      </c>
      <c r="P584" s="49" t="s">
        <v>38994</v>
      </c>
      <c r="Q584" s="49" t="s">
        <v>38995</v>
      </c>
      <c r="R584" s="49" t="s">
        <v>38996</v>
      </c>
      <c r="S584" s="49" t="s">
        <v>38997</v>
      </c>
      <c r="T584" s="49" t="s">
        <v>38998</v>
      </c>
      <c r="U584" s="49" t="s">
        <v>38999</v>
      </c>
    </row>
    <row r="585" spans="1:21" x14ac:dyDescent="0.2">
      <c r="A585" s="49" t="s">
        <v>30</v>
      </c>
      <c r="D585" s="49" t="s">
        <v>5876</v>
      </c>
      <c r="G585" s="49" t="s">
        <v>39000</v>
      </c>
      <c r="H585" s="49" t="s">
        <v>5877</v>
      </c>
      <c r="I585" s="49" t="s">
        <v>5878</v>
      </c>
      <c r="J585" s="49" t="s">
        <v>5879</v>
      </c>
      <c r="K585" s="49" t="s">
        <v>5880</v>
      </c>
      <c r="L585" s="49" t="s">
        <v>5881</v>
      </c>
      <c r="M585" s="49" t="s">
        <v>5882</v>
      </c>
      <c r="N585" s="49" t="s">
        <v>5883</v>
      </c>
      <c r="O585" s="49" t="s">
        <v>35597</v>
      </c>
      <c r="P585" s="49" t="s">
        <v>35601</v>
      </c>
      <c r="Q585" s="49" t="s">
        <v>35605</v>
      </c>
      <c r="R585" s="49" t="s">
        <v>35609</v>
      </c>
      <c r="S585" s="49" t="s">
        <v>35613</v>
      </c>
      <c r="T585" s="49" t="s">
        <v>35617</v>
      </c>
    </row>
    <row r="586" spans="1:21" x14ac:dyDescent="0.2">
      <c r="A586" s="49" t="s">
        <v>30</v>
      </c>
    </row>
    <row r="587" spans="1:21" x14ac:dyDescent="0.2">
      <c r="A587" s="49" t="s">
        <v>30</v>
      </c>
      <c r="E587" s="49" t="s">
        <v>31</v>
      </c>
      <c r="F587" s="49" t="s">
        <v>31</v>
      </c>
      <c r="G587" s="49" t="s">
        <v>31</v>
      </c>
      <c r="J587" s="49" t="s">
        <v>31</v>
      </c>
      <c r="K587" s="49" t="s">
        <v>31</v>
      </c>
      <c r="L587" s="49" t="s">
        <v>31</v>
      </c>
      <c r="M587" s="49" t="s">
        <v>31</v>
      </c>
    </row>
    <row r="588" spans="1:21" x14ac:dyDescent="0.2">
      <c r="A588" s="49" t="s">
        <v>30</v>
      </c>
      <c r="D588" s="49" t="s">
        <v>39001</v>
      </c>
      <c r="E588" s="49" t="s">
        <v>8840</v>
      </c>
      <c r="F588" s="49" t="s">
        <v>39002</v>
      </c>
      <c r="H588" s="49" t="s">
        <v>39003</v>
      </c>
      <c r="O588" s="49" t="s">
        <v>39004</v>
      </c>
      <c r="P588" s="49" t="s">
        <v>39005</v>
      </c>
      <c r="Q588" s="49" t="s">
        <v>39006</v>
      </c>
      <c r="R588" s="49" t="s">
        <v>39007</v>
      </c>
      <c r="S588" s="49" t="s">
        <v>39008</v>
      </c>
      <c r="T588" s="49" t="s">
        <v>39009</v>
      </c>
      <c r="U588" s="49" t="s">
        <v>39010</v>
      </c>
    </row>
    <row r="589" spans="1:21" x14ac:dyDescent="0.2">
      <c r="A589" s="49" t="s">
        <v>30</v>
      </c>
      <c r="D589" s="49" t="s">
        <v>15015</v>
      </c>
      <c r="G589" s="49" t="s">
        <v>39011</v>
      </c>
      <c r="H589" s="49" t="s">
        <v>30909</v>
      </c>
      <c r="I589" s="49" t="s">
        <v>30913</v>
      </c>
      <c r="J589" s="49" t="s">
        <v>30941</v>
      </c>
      <c r="K589" s="49" t="s">
        <v>30945</v>
      </c>
      <c r="L589" s="49" t="s">
        <v>15017</v>
      </c>
      <c r="M589" s="49" t="s">
        <v>15018</v>
      </c>
      <c r="N589" s="49" t="s">
        <v>15019</v>
      </c>
      <c r="O589" s="49" t="s">
        <v>37975</v>
      </c>
      <c r="P589" s="49" t="s">
        <v>37977</v>
      </c>
      <c r="Q589" s="49" t="s">
        <v>37979</v>
      </c>
      <c r="R589" s="49" t="s">
        <v>37981</v>
      </c>
      <c r="S589" s="49" t="s">
        <v>37983</v>
      </c>
      <c r="T589" s="49" t="s">
        <v>37985</v>
      </c>
    </row>
    <row r="590" spans="1:21" x14ac:dyDescent="0.2">
      <c r="A590" s="49" t="s">
        <v>30</v>
      </c>
    </row>
    <row r="591" spans="1:21" x14ac:dyDescent="0.2">
      <c r="A591" s="49" t="s">
        <v>30</v>
      </c>
      <c r="E591" s="49" t="s">
        <v>31</v>
      </c>
      <c r="F591" s="49" t="s">
        <v>31</v>
      </c>
      <c r="G591" s="49" t="s">
        <v>31</v>
      </c>
      <c r="J591" s="49" t="s">
        <v>31</v>
      </c>
      <c r="K591" s="49" t="s">
        <v>31</v>
      </c>
      <c r="L591" s="49" t="s">
        <v>31</v>
      </c>
      <c r="M591" s="49" t="s">
        <v>31</v>
      </c>
    </row>
    <row r="592" spans="1:21" x14ac:dyDescent="0.2">
      <c r="A592" s="49" t="s">
        <v>30</v>
      </c>
      <c r="D592" s="49" t="s">
        <v>15020</v>
      </c>
      <c r="E592" s="49" t="s">
        <v>20925</v>
      </c>
      <c r="F592" s="49" t="s">
        <v>15021</v>
      </c>
      <c r="H592" s="49" t="s">
        <v>15022</v>
      </c>
      <c r="O592" s="49" t="s">
        <v>39012</v>
      </c>
      <c r="P592" s="49" t="s">
        <v>39013</v>
      </c>
      <c r="Q592" s="49" t="s">
        <v>39014</v>
      </c>
      <c r="R592" s="49" t="s">
        <v>39015</v>
      </c>
      <c r="S592" s="49" t="s">
        <v>39016</v>
      </c>
      <c r="T592" s="49" t="s">
        <v>39017</v>
      </c>
      <c r="U592" s="49" t="s">
        <v>39018</v>
      </c>
    </row>
    <row r="593" spans="1:21" x14ac:dyDescent="0.2">
      <c r="A593" s="49" t="s">
        <v>30</v>
      </c>
      <c r="D593" s="49" t="s">
        <v>5915</v>
      </c>
      <c r="G593" s="49" t="s">
        <v>39019</v>
      </c>
      <c r="H593" s="49" t="s">
        <v>5916</v>
      </c>
      <c r="I593" s="49" t="s">
        <v>5917</v>
      </c>
      <c r="J593" s="49" t="s">
        <v>5918</v>
      </c>
      <c r="K593" s="49" t="s">
        <v>5919</v>
      </c>
      <c r="L593" s="49" t="s">
        <v>5920</v>
      </c>
      <c r="M593" s="49" t="s">
        <v>5921</v>
      </c>
      <c r="N593" s="49" t="s">
        <v>5922</v>
      </c>
      <c r="O593" s="49" t="s">
        <v>34340</v>
      </c>
      <c r="P593" s="49" t="s">
        <v>34345</v>
      </c>
      <c r="Q593" s="49" t="s">
        <v>34350</v>
      </c>
      <c r="R593" s="49" t="s">
        <v>34355</v>
      </c>
      <c r="S593" s="49" t="s">
        <v>34360</v>
      </c>
      <c r="T593" s="49" t="s">
        <v>34365</v>
      </c>
    </row>
    <row r="594" spans="1:21" x14ac:dyDescent="0.2">
      <c r="A594" s="49" t="s">
        <v>30</v>
      </c>
    </row>
    <row r="595" spans="1:21" x14ac:dyDescent="0.2">
      <c r="A595" s="49" t="s">
        <v>30</v>
      </c>
      <c r="E595" s="49" t="s">
        <v>31</v>
      </c>
      <c r="F595" s="49" t="s">
        <v>31</v>
      </c>
      <c r="G595" s="49" t="s">
        <v>31</v>
      </c>
      <c r="J595" s="49" t="s">
        <v>31</v>
      </c>
      <c r="K595" s="49" t="s">
        <v>31</v>
      </c>
      <c r="L595" s="49" t="s">
        <v>31</v>
      </c>
      <c r="M595" s="49" t="s">
        <v>31</v>
      </c>
    </row>
    <row r="596" spans="1:21" x14ac:dyDescent="0.2">
      <c r="A596" s="49" t="s">
        <v>30</v>
      </c>
      <c r="D596" s="49" t="s">
        <v>39020</v>
      </c>
      <c r="E596" s="49" t="s">
        <v>21054</v>
      </c>
      <c r="F596" s="49" t="s">
        <v>39021</v>
      </c>
      <c r="H596" s="49" t="s">
        <v>39022</v>
      </c>
      <c r="O596" s="49" t="s">
        <v>39023</v>
      </c>
      <c r="P596" s="49" t="s">
        <v>39024</v>
      </c>
      <c r="Q596" s="49" t="s">
        <v>39025</v>
      </c>
      <c r="R596" s="49" t="s">
        <v>39026</v>
      </c>
      <c r="S596" s="49" t="s">
        <v>39027</v>
      </c>
      <c r="T596" s="49" t="s">
        <v>39028</v>
      </c>
      <c r="U596" s="49" t="s">
        <v>39029</v>
      </c>
    </row>
    <row r="597" spans="1:21" x14ac:dyDescent="0.2">
      <c r="A597" s="49" t="s">
        <v>30</v>
      </c>
      <c r="D597" s="49" t="s">
        <v>5971</v>
      </c>
      <c r="G597" s="49" t="s">
        <v>39030</v>
      </c>
      <c r="H597" s="49" t="s">
        <v>5972</v>
      </c>
      <c r="I597" s="49" t="s">
        <v>5973</v>
      </c>
      <c r="J597" s="49" t="s">
        <v>5974</v>
      </c>
      <c r="K597" s="49" t="s">
        <v>5975</v>
      </c>
      <c r="L597" s="49" t="s">
        <v>5976</v>
      </c>
      <c r="M597" s="49" t="s">
        <v>5977</v>
      </c>
      <c r="N597" s="49" t="s">
        <v>5978</v>
      </c>
      <c r="O597" s="49" t="s">
        <v>37969</v>
      </c>
      <c r="P597" s="49" t="s">
        <v>37970</v>
      </c>
      <c r="Q597" s="49" t="s">
        <v>37971</v>
      </c>
      <c r="R597" s="49" t="s">
        <v>37972</v>
      </c>
      <c r="S597" s="49" t="s">
        <v>37973</v>
      </c>
      <c r="T597" s="49" t="s">
        <v>37974</v>
      </c>
    </row>
    <row r="598" spans="1:21" x14ac:dyDescent="0.2">
      <c r="A598" s="49" t="s">
        <v>30</v>
      </c>
    </row>
    <row r="599" spans="1:21" x14ac:dyDescent="0.2">
      <c r="A599" s="49" t="s">
        <v>30</v>
      </c>
      <c r="E599" s="49" t="s">
        <v>31</v>
      </c>
      <c r="F599" s="49" t="s">
        <v>31</v>
      </c>
      <c r="G599" s="49" t="s">
        <v>31</v>
      </c>
      <c r="J599" s="49" t="s">
        <v>31</v>
      </c>
      <c r="K599" s="49" t="s">
        <v>31</v>
      </c>
      <c r="L599" s="49" t="s">
        <v>31</v>
      </c>
      <c r="M599" s="49" t="s">
        <v>31</v>
      </c>
    </row>
    <row r="600" spans="1:21" x14ac:dyDescent="0.2">
      <c r="A600" s="49" t="s">
        <v>30</v>
      </c>
      <c r="D600" s="49" t="s">
        <v>36528</v>
      </c>
      <c r="E600" s="49" t="s">
        <v>21121</v>
      </c>
      <c r="F600" s="49" t="s">
        <v>36529</v>
      </c>
      <c r="H600" s="49" t="s">
        <v>36530</v>
      </c>
      <c r="O600" s="49" t="s">
        <v>39031</v>
      </c>
      <c r="P600" s="49" t="s">
        <v>39032</v>
      </c>
      <c r="Q600" s="49" t="s">
        <v>39033</v>
      </c>
      <c r="R600" s="49" t="s">
        <v>39034</v>
      </c>
      <c r="S600" s="49" t="s">
        <v>39035</v>
      </c>
      <c r="T600" s="49" t="s">
        <v>39036</v>
      </c>
      <c r="U600" s="49" t="s">
        <v>39037</v>
      </c>
    </row>
    <row r="601" spans="1:21" x14ac:dyDescent="0.2">
      <c r="A601" s="49" t="s">
        <v>30</v>
      </c>
      <c r="D601" s="49" t="s">
        <v>15042</v>
      </c>
      <c r="G601" s="49" t="s">
        <v>36538</v>
      </c>
      <c r="H601" s="49" t="s">
        <v>30887</v>
      </c>
      <c r="I601" s="49" t="s">
        <v>30889</v>
      </c>
      <c r="J601" s="49" t="s">
        <v>30903</v>
      </c>
      <c r="K601" s="49" t="s">
        <v>30905</v>
      </c>
      <c r="L601" s="49" t="s">
        <v>15044</v>
      </c>
      <c r="M601" s="49" t="s">
        <v>15045</v>
      </c>
      <c r="N601" s="49" t="s">
        <v>15046</v>
      </c>
      <c r="O601" s="49" t="s">
        <v>37955</v>
      </c>
      <c r="P601" s="49" t="s">
        <v>37957</v>
      </c>
      <c r="Q601" s="49" t="s">
        <v>37959</v>
      </c>
      <c r="R601" s="49" t="s">
        <v>37961</v>
      </c>
      <c r="S601" s="49" t="s">
        <v>37963</v>
      </c>
      <c r="T601" s="49" t="s">
        <v>37965</v>
      </c>
    </row>
    <row r="602" spans="1:21" x14ac:dyDescent="0.2">
      <c r="A602" s="49" t="s">
        <v>30</v>
      </c>
    </row>
    <row r="603" spans="1:21" x14ac:dyDescent="0.2">
      <c r="A603" s="49" t="s">
        <v>30</v>
      </c>
      <c r="E603" s="49" t="s">
        <v>31</v>
      </c>
      <c r="F603" s="49" t="s">
        <v>31</v>
      </c>
      <c r="G603" s="49" t="s">
        <v>31</v>
      </c>
      <c r="J603" s="49" t="s">
        <v>31</v>
      </c>
      <c r="K603" s="49" t="s">
        <v>31</v>
      </c>
      <c r="L603" s="49" t="s">
        <v>31</v>
      </c>
      <c r="M603" s="49" t="s">
        <v>31</v>
      </c>
    </row>
    <row r="604" spans="1:21" x14ac:dyDescent="0.2">
      <c r="A604" s="49" t="s">
        <v>30</v>
      </c>
      <c r="D604" s="49" t="s">
        <v>15047</v>
      </c>
      <c r="E604" s="49" t="s">
        <v>21229</v>
      </c>
      <c r="F604" s="49" t="s">
        <v>15048</v>
      </c>
      <c r="H604" s="49" t="s">
        <v>15049</v>
      </c>
      <c r="O604" s="49" t="s">
        <v>39038</v>
      </c>
      <c r="P604" s="49" t="s">
        <v>39039</v>
      </c>
      <c r="Q604" s="49" t="s">
        <v>39040</v>
      </c>
      <c r="R604" s="49" t="s">
        <v>39041</v>
      </c>
      <c r="S604" s="49" t="s">
        <v>39042</v>
      </c>
      <c r="T604" s="49" t="s">
        <v>39043</v>
      </c>
      <c r="U604" s="49" t="s">
        <v>39044</v>
      </c>
    </row>
    <row r="605" spans="1:21" x14ac:dyDescent="0.2">
      <c r="A605" s="49" t="s">
        <v>30</v>
      </c>
      <c r="D605" s="49" t="s">
        <v>6002</v>
      </c>
      <c r="G605" s="49" t="s">
        <v>39045</v>
      </c>
      <c r="H605" s="49" t="s">
        <v>6003</v>
      </c>
      <c r="I605" s="49" t="s">
        <v>6004</v>
      </c>
      <c r="J605" s="49" t="s">
        <v>6005</v>
      </c>
      <c r="K605" s="49" t="s">
        <v>6006</v>
      </c>
      <c r="L605" s="49" t="s">
        <v>6007</v>
      </c>
      <c r="M605" s="49" t="s">
        <v>6008</v>
      </c>
      <c r="N605" s="49" t="s">
        <v>6009</v>
      </c>
      <c r="O605" s="49" t="s">
        <v>39046</v>
      </c>
      <c r="P605" s="49" t="s">
        <v>39047</v>
      </c>
      <c r="Q605" s="49" t="s">
        <v>39048</v>
      </c>
      <c r="R605" s="49" t="s">
        <v>39049</v>
      </c>
      <c r="S605" s="49" t="s">
        <v>39050</v>
      </c>
      <c r="T605" s="49" t="s">
        <v>39051</v>
      </c>
    </row>
    <row r="606" spans="1:21" x14ac:dyDescent="0.2">
      <c r="A606" s="49" t="s">
        <v>30</v>
      </c>
    </row>
    <row r="607" spans="1:21" x14ac:dyDescent="0.2">
      <c r="A607" s="49" t="s">
        <v>30</v>
      </c>
      <c r="E607" s="49" t="s">
        <v>31</v>
      </c>
      <c r="F607" s="49" t="s">
        <v>31</v>
      </c>
      <c r="G607" s="49" t="s">
        <v>31</v>
      </c>
      <c r="J607" s="49" t="s">
        <v>31</v>
      </c>
      <c r="K607" s="49" t="s">
        <v>31</v>
      </c>
      <c r="L607" s="49" t="s">
        <v>31</v>
      </c>
      <c r="M607" s="49" t="s">
        <v>31</v>
      </c>
    </row>
    <row r="608" spans="1:21" x14ac:dyDescent="0.2">
      <c r="A608" s="49" t="s">
        <v>30</v>
      </c>
      <c r="D608" s="49" t="s">
        <v>39052</v>
      </c>
      <c r="E608" s="49" t="s">
        <v>21353</v>
      </c>
      <c r="F608" s="49" t="s">
        <v>39053</v>
      </c>
      <c r="H608" s="49" t="s">
        <v>39054</v>
      </c>
      <c r="O608" s="49" t="s">
        <v>39055</v>
      </c>
      <c r="P608" s="49" t="s">
        <v>39056</v>
      </c>
      <c r="Q608" s="49" t="s">
        <v>39057</v>
      </c>
      <c r="R608" s="49" t="s">
        <v>39058</v>
      </c>
      <c r="S608" s="49" t="s">
        <v>39059</v>
      </c>
      <c r="T608" s="49" t="s">
        <v>39060</v>
      </c>
      <c r="U608" s="49" t="s">
        <v>39061</v>
      </c>
    </row>
    <row r="609" spans="1:21" x14ac:dyDescent="0.2">
      <c r="A609" s="49" t="s">
        <v>30</v>
      </c>
      <c r="D609" s="49" t="s">
        <v>6058</v>
      </c>
      <c r="G609" s="49" t="s">
        <v>39062</v>
      </c>
      <c r="H609" s="49" t="s">
        <v>6059</v>
      </c>
      <c r="I609" s="49" t="s">
        <v>6060</v>
      </c>
      <c r="J609" s="49" t="s">
        <v>6061</v>
      </c>
      <c r="K609" s="49" t="s">
        <v>6062</v>
      </c>
      <c r="L609" s="49" t="s">
        <v>6063</v>
      </c>
      <c r="M609" s="49" t="s">
        <v>6064</v>
      </c>
      <c r="N609" s="49" t="s">
        <v>6065</v>
      </c>
      <c r="O609" s="49" t="s">
        <v>34115</v>
      </c>
      <c r="P609" s="49" t="s">
        <v>34116</v>
      </c>
      <c r="Q609" s="49" t="s">
        <v>34117</v>
      </c>
      <c r="R609" s="49" t="s">
        <v>34118</v>
      </c>
      <c r="S609" s="49" t="s">
        <v>34119</v>
      </c>
      <c r="T609" s="49" t="s">
        <v>34120</v>
      </c>
    </row>
    <row r="610" spans="1:21" x14ac:dyDescent="0.2">
      <c r="A610" s="49" t="s">
        <v>30</v>
      </c>
    </row>
    <row r="611" spans="1:21" x14ac:dyDescent="0.2">
      <c r="A611" s="49" t="s">
        <v>30</v>
      </c>
      <c r="E611" s="49" t="s">
        <v>31</v>
      </c>
      <c r="F611" s="49" t="s">
        <v>31</v>
      </c>
      <c r="G611" s="49" t="s">
        <v>31</v>
      </c>
      <c r="J611" s="49" t="s">
        <v>31</v>
      </c>
      <c r="K611" s="49" t="s">
        <v>31</v>
      </c>
      <c r="L611" s="49" t="s">
        <v>31</v>
      </c>
      <c r="M611" s="49" t="s">
        <v>31</v>
      </c>
    </row>
    <row r="612" spans="1:21" x14ac:dyDescent="0.2">
      <c r="A612" s="49" t="s">
        <v>30</v>
      </c>
      <c r="D612" s="49" t="s">
        <v>34121</v>
      </c>
      <c r="E612" s="49" t="s">
        <v>21394</v>
      </c>
      <c r="F612" s="49" t="s">
        <v>34122</v>
      </c>
      <c r="H612" s="49" t="s">
        <v>34123</v>
      </c>
      <c r="O612" s="49" t="s">
        <v>39063</v>
      </c>
      <c r="P612" s="49" t="s">
        <v>39064</v>
      </c>
      <c r="Q612" s="49" t="s">
        <v>39065</v>
      </c>
      <c r="R612" s="49" t="s">
        <v>39066</v>
      </c>
      <c r="S612" s="49" t="s">
        <v>39067</v>
      </c>
      <c r="T612" s="49" t="s">
        <v>39068</v>
      </c>
      <c r="U612" s="49" t="s">
        <v>39069</v>
      </c>
    </row>
    <row r="613" spans="1:21" x14ac:dyDescent="0.2">
      <c r="A613" s="49" t="s">
        <v>30</v>
      </c>
      <c r="D613" s="49" t="s">
        <v>11200</v>
      </c>
      <c r="G613" s="49" t="s">
        <v>34131</v>
      </c>
      <c r="H613" s="49" t="s">
        <v>12314</v>
      </c>
      <c r="I613" s="49" t="s">
        <v>12316</v>
      </c>
      <c r="J613" s="49" t="s">
        <v>12324</v>
      </c>
      <c r="K613" s="49" t="s">
        <v>12326</v>
      </c>
      <c r="L613" s="49" t="s">
        <v>11201</v>
      </c>
      <c r="M613" s="49" t="s">
        <v>11202</v>
      </c>
      <c r="N613" s="49" t="s">
        <v>11203</v>
      </c>
      <c r="O613" s="49" t="s">
        <v>34310</v>
      </c>
      <c r="P613" s="49" t="s">
        <v>34314</v>
      </c>
      <c r="Q613" s="49" t="s">
        <v>34318</v>
      </c>
      <c r="R613" s="49" t="s">
        <v>34322</v>
      </c>
      <c r="S613" s="49" t="s">
        <v>34326</v>
      </c>
      <c r="T613" s="49" t="s">
        <v>34330</v>
      </c>
    </row>
    <row r="614" spans="1:21" x14ac:dyDescent="0.2">
      <c r="A614" s="49" t="s">
        <v>30</v>
      </c>
    </row>
    <row r="615" spans="1:21" x14ac:dyDescent="0.2">
      <c r="A615" s="49" t="s">
        <v>30</v>
      </c>
      <c r="E615" s="49" t="s">
        <v>31</v>
      </c>
      <c r="F615" s="49" t="s">
        <v>31</v>
      </c>
      <c r="G615" s="49" t="s">
        <v>31</v>
      </c>
      <c r="J615" s="49" t="s">
        <v>31</v>
      </c>
      <c r="K615" s="49" t="s">
        <v>31</v>
      </c>
      <c r="L615" s="49" t="s">
        <v>31</v>
      </c>
      <c r="M615" s="49" t="s">
        <v>31</v>
      </c>
    </row>
    <row r="617" spans="1:21" x14ac:dyDescent="0.2">
      <c r="N617" s="49" t="s">
        <v>32</v>
      </c>
      <c r="O617" s="49" t="s">
        <v>39070</v>
      </c>
      <c r="P617" s="49" t="s">
        <v>39071</v>
      </c>
      <c r="Q617" s="49" t="s">
        <v>39072</v>
      </c>
      <c r="R617" s="49" t="s">
        <v>39073</v>
      </c>
      <c r="S617" s="49" t="s">
        <v>39074</v>
      </c>
      <c r="T617" s="49" t="s">
        <v>39075</v>
      </c>
      <c r="U617" s="49" t="s">
        <v>39076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4"/>
  <sheetViews>
    <sheetView workbookViewId="0"/>
  </sheetViews>
  <sheetFormatPr defaultRowHeight="12.75" x14ac:dyDescent="0.2"/>
  <sheetData>
    <row r="1" spans="1:21" x14ac:dyDescent="0.2">
      <c r="A1" s="49" t="s">
        <v>39284</v>
      </c>
      <c r="B1" s="49" t="s">
        <v>9</v>
      </c>
      <c r="C1" s="49" t="s">
        <v>9</v>
      </c>
      <c r="D1" s="49" t="s">
        <v>10</v>
      </c>
      <c r="E1" s="49" t="s">
        <v>9</v>
      </c>
      <c r="F1" s="49" t="s">
        <v>9</v>
      </c>
      <c r="G1" s="49" t="s">
        <v>10</v>
      </c>
      <c r="H1" s="49" t="s">
        <v>9</v>
      </c>
      <c r="J1" s="49" t="s">
        <v>9</v>
      </c>
      <c r="K1" s="49" t="s">
        <v>9</v>
      </c>
      <c r="L1" s="49" t="s">
        <v>9</v>
      </c>
      <c r="M1" s="49" t="s">
        <v>9</v>
      </c>
      <c r="O1" s="49" t="s">
        <v>9</v>
      </c>
      <c r="P1" s="49" t="s">
        <v>9</v>
      </c>
      <c r="Q1" s="49" t="s">
        <v>9</v>
      </c>
      <c r="R1" s="49" t="s">
        <v>9</v>
      </c>
      <c r="S1" s="49" t="s">
        <v>9</v>
      </c>
      <c r="T1" s="49" t="s">
        <v>9</v>
      </c>
      <c r="U1" s="49" t="s">
        <v>9</v>
      </c>
    </row>
    <row r="3" spans="1:21" x14ac:dyDescent="0.2">
      <c r="E3" s="49" t="s">
        <v>11</v>
      </c>
    </row>
    <row r="4" spans="1:21" x14ac:dyDescent="0.2">
      <c r="K4" s="49" t="s">
        <v>2856</v>
      </c>
      <c r="L4" s="49" t="s">
        <v>43</v>
      </c>
    </row>
    <row r="5" spans="1:21" x14ac:dyDescent="0.2">
      <c r="E5" s="49" t="s">
        <v>8</v>
      </c>
      <c r="K5" s="49" t="s">
        <v>5</v>
      </c>
      <c r="L5" s="49" t="s">
        <v>44</v>
      </c>
    </row>
    <row r="6" spans="1:21" x14ac:dyDescent="0.2">
      <c r="E6" s="49" t="s">
        <v>10715</v>
      </c>
      <c r="K6" s="49" t="s">
        <v>6</v>
      </c>
      <c r="L6" s="49" t="s">
        <v>45</v>
      </c>
    </row>
    <row r="7" spans="1:21" x14ac:dyDescent="0.2">
      <c r="K7" s="49" t="s">
        <v>12</v>
      </c>
      <c r="L7" s="49" t="s">
        <v>46</v>
      </c>
    </row>
    <row r="9" spans="1:21" x14ac:dyDescent="0.2">
      <c r="E9" s="49" t="s">
        <v>6</v>
      </c>
      <c r="F9" s="49" t="s">
        <v>15</v>
      </c>
      <c r="H9" s="49" t="s">
        <v>16</v>
      </c>
    </row>
    <row r="10" spans="1:21" x14ac:dyDescent="0.2">
      <c r="H10" s="49" t="s">
        <v>17</v>
      </c>
      <c r="I10" s="49" t="s">
        <v>18</v>
      </c>
      <c r="J10" s="49" t="s">
        <v>19</v>
      </c>
      <c r="K10" s="49" t="s">
        <v>20</v>
      </c>
      <c r="L10" s="49" t="s">
        <v>21</v>
      </c>
      <c r="M10" s="49" t="s">
        <v>22</v>
      </c>
      <c r="N10" s="49" t="s">
        <v>14</v>
      </c>
      <c r="O10" s="49" t="s">
        <v>23</v>
      </c>
      <c r="P10" s="49" t="s">
        <v>24</v>
      </c>
      <c r="Q10" s="49" t="s">
        <v>25</v>
      </c>
      <c r="R10" s="49" t="s">
        <v>26</v>
      </c>
      <c r="S10" s="49" t="s">
        <v>27</v>
      </c>
      <c r="T10" s="49" t="s">
        <v>28</v>
      </c>
      <c r="U10" s="49" t="s">
        <v>29</v>
      </c>
    </row>
    <row r="12" spans="1:21" x14ac:dyDescent="0.2">
      <c r="D12" s="49" t="s">
        <v>2857</v>
      </c>
      <c r="E12" s="49" t="s">
        <v>2891</v>
      </c>
      <c r="F12" s="49" t="s">
        <v>2859</v>
      </c>
      <c r="H12" s="49" t="s">
        <v>2860</v>
      </c>
      <c r="O12" s="49" t="s">
        <v>2861</v>
      </c>
      <c r="P12" s="49" t="s">
        <v>2862</v>
      </c>
      <c r="Q12" s="49" t="s">
        <v>2863</v>
      </c>
      <c r="R12" s="49" t="s">
        <v>2864</v>
      </c>
      <c r="S12" s="49" t="s">
        <v>2865</v>
      </c>
      <c r="T12" s="49" t="s">
        <v>2866</v>
      </c>
      <c r="U12" s="49" t="s">
        <v>2867</v>
      </c>
    </row>
    <row r="13" spans="1:21" x14ac:dyDescent="0.2">
      <c r="D13" s="49" t="s">
        <v>2868</v>
      </c>
      <c r="G13" s="49" t="s">
        <v>2892</v>
      </c>
      <c r="H13" s="49" t="s">
        <v>2870</v>
      </c>
      <c r="I13" s="49" t="s">
        <v>2871</v>
      </c>
      <c r="J13" s="49" t="s">
        <v>2872</v>
      </c>
      <c r="K13" s="49" t="s">
        <v>2873</v>
      </c>
      <c r="L13" s="49" t="s">
        <v>2874</v>
      </c>
      <c r="M13" s="49" t="s">
        <v>2875</v>
      </c>
      <c r="N13" s="49" t="s">
        <v>2876</v>
      </c>
      <c r="O13" s="49" t="s">
        <v>2893</v>
      </c>
      <c r="P13" s="49" t="s">
        <v>2894</v>
      </c>
      <c r="Q13" s="49" t="s">
        <v>2895</v>
      </c>
      <c r="R13" s="49" t="s">
        <v>2896</v>
      </c>
      <c r="S13" s="49" t="s">
        <v>2897</v>
      </c>
      <c r="T13" s="49" t="s">
        <v>2898</v>
      </c>
    </row>
    <row r="15" spans="1:21" x14ac:dyDescent="0.2">
      <c r="E15" s="49" t="s">
        <v>31</v>
      </c>
      <c r="F15" s="49" t="s">
        <v>31</v>
      </c>
      <c r="G15" s="49" t="s">
        <v>31</v>
      </c>
      <c r="J15" s="49" t="s">
        <v>31</v>
      </c>
      <c r="K15" s="49" t="s">
        <v>31</v>
      </c>
      <c r="L15" s="49" t="s">
        <v>31</v>
      </c>
      <c r="M15" s="49" t="s">
        <v>31</v>
      </c>
    </row>
    <row r="16" spans="1:21" x14ac:dyDescent="0.2">
      <c r="A16" s="49" t="s">
        <v>30</v>
      </c>
      <c r="D16" s="49" t="s">
        <v>3332</v>
      </c>
      <c r="E16" s="49" t="s">
        <v>4551</v>
      </c>
      <c r="F16" s="49" t="s">
        <v>3333</v>
      </c>
      <c r="H16" s="49" t="s">
        <v>3334</v>
      </c>
      <c r="O16" s="49" t="s">
        <v>8841</v>
      </c>
      <c r="P16" s="49" t="s">
        <v>8842</v>
      </c>
      <c r="Q16" s="49" t="s">
        <v>8843</v>
      </c>
      <c r="R16" s="49" t="s">
        <v>8844</v>
      </c>
      <c r="S16" s="49" t="s">
        <v>8845</v>
      </c>
      <c r="T16" s="49" t="s">
        <v>8846</v>
      </c>
      <c r="U16" s="49" t="s">
        <v>8847</v>
      </c>
    </row>
    <row r="17" spans="1:21" x14ac:dyDescent="0.2">
      <c r="A17" s="49" t="s">
        <v>30</v>
      </c>
      <c r="D17" s="49" t="s">
        <v>2266</v>
      </c>
      <c r="G17" s="49" t="s">
        <v>3342</v>
      </c>
      <c r="H17" s="49" t="s">
        <v>2267</v>
      </c>
      <c r="I17" s="49" t="s">
        <v>2268</v>
      </c>
      <c r="J17" s="49" t="s">
        <v>2269</v>
      </c>
      <c r="K17" s="49" t="s">
        <v>2270</v>
      </c>
      <c r="L17" s="49" t="s">
        <v>2271</v>
      </c>
      <c r="M17" s="49" t="s">
        <v>2272</v>
      </c>
      <c r="N17" s="49" t="s">
        <v>2273</v>
      </c>
      <c r="O17" s="49" t="s">
        <v>3343</v>
      </c>
      <c r="P17" s="49" t="s">
        <v>3344</v>
      </c>
      <c r="Q17" s="49" t="s">
        <v>3345</v>
      </c>
      <c r="R17" s="49" t="s">
        <v>3346</v>
      </c>
      <c r="S17" s="49" t="s">
        <v>3347</v>
      </c>
      <c r="T17" s="49" t="s">
        <v>3348</v>
      </c>
    </row>
    <row r="18" spans="1:21" x14ac:dyDescent="0.2">
      <c r="A18" s="49" t="s">
        <v>30</v>
      </c>
      <c r="D18" s="49" t="s">
        <v>3551</v>
      </c>
      <c r="G18" s="49" t="s">
        <v>14099</v>
      </c>
      <c r="H18" s="49" t="s">
        <v>3553</v>
      </c>
      <c r="I18" s="49" t="s">
        <v>3554</v>
      </c>
      <c r="J18" s="49" t="s">
        <v>3555</v>
      </c>
      <c r="K18" s="49" t="s">
        <v>3556</v>
      </c>
      <c r="L18" s="49" t="s">
        <v>3557</v>
      </c>
      <c r="M18" s="49" t="s">
        <v>3558</v>
      </c>
      <c r="N18" s="49" t="s">
        <v>3559</v>
      </c>
      <c r="O18" s="49" t="s">
        <v>3560</v>
      </c>
      <c r="P18" s="49" t="s">
        <v>3561</v>
      </c>
      <c r="Q18" s="49" t="s">
        <v>3562</v>
      </c>
      <c r="R18" s="49" t="s">
        <v>3563</v>
      </c>
      <c r="S18" s="49" t="s">
        <v>3564</v>
      </c>
      <c r="T18" s="49" t="s">
        <v>3565</v>
      </c>
    </row>
    <row r="19" spans="1:21" x14ac:dyDescent="0.2">
      <c r="A19" s="49" t="s">
        <v>30</v>
      </c>
    </row>
    <row r="20" spans="1:21" x14ac:dyDescent="0.2">
      <c r="A20" s="49" t="s">
        <v>30</v>
      </c>
      <c r="E20" s="49" t="s">
        <v>31</v>
      </c>
      <c r="F20" s="49" t="s">
        <v>31</v>
      </c>
      <c r="G20" s="49" t="s">
        <v>31</v>
      </c>
      <c r="J20" s="49" t="s">
        <v>31</v>
      </c>
      <c r="K20" s="49" t="s">
        <v>31</v>
      </c>
      <c r="L20" s="49" t="s">
        <v>31</v>
      </c>
      <c r="M20" s="49" t="s">
        <v>31</v>
      </c>
    </row>
    <row r="21" spans="1:21" x14ac:dyDescent="0.2">
      <c r="A21" s="49" t="s">
        <v>30</v>
      </c>
      <c r="D21" s="49" t="s">
        <v>8848</v>
      </c>
      <c r="E21" s="49" t="s">
        <v>4552</v>
      </c>
      <c r="F21" s="49" t="s">
        <v>8849</v>
      </c>
      <c r="H21" s="49" t="s">
        <v>8850</v>
      </c>
      <c r="O21" s="49" t="s">
        <v>8851</v>
      </c>
      <c r="P21" s="49" t="s">
        <v>8852</v>
      </c>
      <c r="Q21" s="49" t="s">
        <v>8853</v>
      </c>
      <c r="R21" s="49" t="s">
        <v>8854</v>
      </c>
      <c r="S21" s="49" t="s">
        <v>8855</v>
      </c>
      <c r="T21" s="49" t="s">
        <v>8856</v>
      </c>
      <c r="U21" s="49" t="s">
        <v>8857</v>
      </c>
    </row>
    <row r="22" spans="1:21" x14ac:dyDescent="0.2">
      <c r="A22" s="49" t="s">
        <v>30</v>
      </c>
      <c r="D22" s="49" t="s">
        <v>2645</v>
      </c>
      <c r="G22" s="49" t="s">
        <v>8858</v>
      </c>
      <c r="H22" s="49" t="s">
        <v>2646</v>
      </c>
      <c r="I22" s="49" t="s">
        <v>2647</v>
      </c>
      <c r="J22" s="49" t="s">
        <v>2648</v>
      </c>
      <c r="K22" s="49" t="s">
        <v>2649</v>
      </c>
      <c r="L22" s="49" t="s">
        <v>2650</v>
      </c>
      <c r="M22" s="49" t="s">
        <v>2651</v>
      </c>
      <c r="N22" s="49" t="s">
        <v>2652</v>
      </c>
      <c r="O22" s="49" t="s">
        <v>3566</v>
      </c>
      <c r="P22" s="49" t="s">
        <v>3567</v>
      </c>
      <c r="Q22" s="49" t="s">
        <v>3568</v>
      </c>
      <c r="R22" s="49" t="s">
        <v>3569</v>
      </c>
      <c r="S22" s="49" t="s">
        <v>3570</v>
      </c>
      <c r="T22" s="49" t="s">
        <v>3571</v>
      </c>
    </row>
    <row r="23" spans="1:21" x14ac:dyDescent="0.2">
      <c r="A23" s="49" t="s">
        <v>30</v>
      </c>
      <c r="D23" s="49" t="s">
        <v>1648</v>
      </c>
      <c r="G23" s="49" t="s">
        <v>14132</v>
      </c>
      <c r="H23" s="49" t="s">
        <v>1649</v>
      </c>
      <c r="I23" s="49" t="s">
        <v>1650</v>
      </c>
      <c r="J23" s="49" t="s">
        <v>1651</v>
      </c>
      <c r="K23" s="49" t="s">
        <v>1652</v>
      </c>
      <c r="L23" s="49" t="s">
        <v>1653</v>
      </c>
      <c r="M23" s="49" t="s">
        <v>1654</v>
      </c>
      <c r="N23" s="49" t="s">
        <v>1655</v>
      </c>
      <c r="O23" s="49" t="s">
        <v>3572</v>
      </c>
      <c r="P23" s="49" t="s">
        <v>3573</v>
      </c>
      <c r="Q23" s="49" t="s">
        <v>3574</v>
      </c>
      <c r="R23" s="49" t="s">
        <v>3575</v>
      </c>
      <c r="S23" s="49" t="s">
        <v>3576</v>
      </c>
      <c r="T23" s="49" t="s">
        <v>3577</v>
      </c>
    </row>
    <row r="24" spans="1:21" x14ac:dyDescent="0.2">
      <c r="A24" s="49" t="s">
        <v>30</v>
      </c>
    </row>
    <row r="25" spans="1:21" x14ac:dyDescent="0.2">
      <c r="A25" s="49" t="s">
        <v>30</v>
      </c>
      <c r="E25" s="49" t="s">
        <v>31</v>
      </c>
      <c r="F25" s="49" t="s">
        <v>31</v>
      </c>
      <c r="G25" s="49" t="s">
        <v>31</v>
      </c>
      <c r="J25" s="49" t="s">
        <v>31</v>
      </c>
      <c r="K25" s="49" t="s">
        <v>31</v>
      </c>
      <c r="L25" s="49" t="s">
        <v>31</v>
      </c>
      <c r="M25" s="49" t="s">
        <v>31</v>
      </c>
    </row>
    <row r="26" spans="1:21" x14ac:dyDescent="0.2">
      <c r="A26" s="49" t="s">
        <v>30</v>
      </c>
      <c r="D26" s="49" t="s">
        <v>1656</v>
      </c>
      <c r="E26" s="49" t="s">
        <v>14258</v>
      </c>
      <c r="F26" s="49" t="s">
        <v>1657</v>
      </c>
      <c r="H26" s="49" t="s">
        <v>1658</v>
      </c>
      <c r="O26" s="49" t="s">
        <v>9967</v>
      </c>
      <c r="P26" s="49" t="s">
        <v>9968</v>
      </c>
      <c r="Q26" s="49" t="s">
        <v>9969</v>
      </c>
      <c r="R26" s="49" t="s">
        <v>9970</v>
      </c>
      <c r="S26" s="49" t="s">
        <v>9971</v>
      </c>
      <c r="T26" s="49" t="s">
        <v>9972</v>
      </c>
      <c r="U26" s="49" t="s">
        <v>9973</v>
      </c>
    </row>
    <row r="27" spans="1:21" x14ac:dyDescent="0.2">
      <c r="A27" s="49" t="s">
        <v>30</v>
      </c>
      <c r="D27" s="49" t="s">
        <v>106</v>
      </c>
      <c r="G27" s="49" t="s">
        <v>4547</v>
      </c>
      <c r="H27" s="49" t="s">
        <v>107</v>
      </c>
      <c r="I27" s="49" t="s">
        <v>108</v>
      </c>
      <c r="J27" s="49" t="s">
        <v>109</v>
      </c>
      <c r="K27" s="49" t="s">
        <v>110</v>
      </c>
      <c r="L27" s="49" t="s">
        <v>111</v>
      </c>
      <c r="M27" s="49" t="s">
        <v>112</v>
      </c>
      <c r="N27" s="49" t="s">
        <v>113</v>
      </c>
      <c r="O27" s="49" t="s">
        <v>3890</v>
      </c>
      <c r="P27" s="49" t="s">
        <v>3891</v>
      </c>
      <c r="Q27" s="49" t="s">
        <v>3892</v>
      </c>
      <c r="R27" s="49" t="s">
        <v>3893</v>
      </c>
      <c r="S27" s="49" t="s">
        <v>3894</v>
      </c>
      <c r="T27" s="49" t="s">
        <v>3895</v>
      </c>
    </row>
    <row r="28" spans="1:21" x14ac:dyDescent="0.2">
      <c r="A28" s="49" t="s">
        <v>30</v>
      </c>
    </row>
    <row r="29" spans="1:21" x14ac:dyDescent="0.2">
      <c r="A29" s="49" t="s">
        <v>30</v>
      </c>
      <c r="E29" s="49" t="s">
        <v>31</v>
      </c>
      <c r="F29" s="49" t="s">
        <v>31</v>
      </c>
      <c r="G29" s="49" t="s">
        <v>31</v>
      </c>
      <c r="J29" s="49" t="s">
        <v>31</v>
      </c>
      <c r="K29" s="49" t="s">
        <v>31</v>
      </c>
      <c r="L29" s="49" t="s">
        <v>31</v>
      </c>
      <c r="M29" s="49" t="s">
        <v>31</v>
      </c>
    </row>
    <row r="30" spans="1:21" x14ac:dyDescent="0.2">
      <c r="A30" s="49" t="s">
        <v>30</v>
      </c>
      <c r="D30" s="49" t="s">
        <v>9974</v>
      </c>
      <c r="E30" s="49" t="s">
        <v>4615</v>
      </c>
      <c r="F30" s="49" t="s">
        <v>9975</v>
      </c>
      <c r="H30" s="49" t="s">
        <v>9976</v>
      </c>
      <c r="O30" s="49" t="s">
        <v>9977</v>
      </c>
      <c r="P30" s="49" t="s">
        <v>9978</v>
      </c>
      <c r="Q30" s="49" t="s">
        <v>9979</v>
      </c>
      <c r="R30" s="49" t="s">
        <v>9980</v>
      </c>
      <c r="S30" s="49" t="s">
        <v>9981</v>
      </c>
      <c r="T30" s="49" t="s">
        <v>9982</v>
      </c>
      <c r="U30" s="49" t="s">
        <v>9983</v>
      </c>
    </row>
    <row r="31" spans="1:21" x14ac:dyDescent="0.2">
      <c r="A31" s="49" t="s">
        <v>30</v>
      </c>
      <c r="D31" s="49" t="s">
        <v>1659</v>
      </c>
      <c r="G31" s="49" t="s">
        <v>9984</v>
      </c>
      <c r="H31" s="49" t="s">
        <v>1660</v>
      </c>
      <c r="I31" s="49" t="s">
        <v>1661</v>
      </c>
      <c r="J31" s="49" t="s">
        <v>1662</v>
      </c>
      <c r="K31" s="49" t="s">
        <v>1663</v>
      </c>
      <c r="L31" s="49" t="s">
        <v>1664</v>
      </c>
      <c r="M31" s="49" t="s">
        <v>1665</v>
      </c>
      <c r="N31" s="49" t="s">
        <v>1666</v>
      </c>
      <c r="O31" s="49" t="s">
        <v>3379</v>
      </c>
      <c r="P31" s="49" t="s">
        <v>3380</v>
      </c>
      <c r="Q31" s="49" t="s">
        <v>3381</v>
      </c>
      <c r="R31" s="49" t="s">
        <v>3382</v>
      </c>
      <c r="S31" s="49" t="s">
        <v>3383</v>
      </c>
      <c r="T31" s="49" t="s">
        <v>3384</v>
      </c>
    </row>
    <row r="32" spans="1:21" x14ac:dyDescent="0.2">
      <c r="A32" s="49" t="s">
        <v>30</v>
      </c>
      <c r="D32" s="49" t="s">
        <v>1797</v>
      </c>
      <c r="G32" s="49" t="s">
        <v>14383</v>
      </c>
      <c r="H32" s="49" t="s">
        <v>1798</v>
      </c>
      <c r="I32" s="49" t="s">
        <v>1799</v>
      </c>
      <c r="J32" s="49" t="s">
        <v>1800</v>
      </c>
      <c r="K32" s="49" t="s">
        <v>1801</v>
      </c>
      <c r="L32" s="49" t="s">
        <v>1802</v>
      </c>
      <c r="M32" s="49" t="s">
        <v>1803</v>
      </c>
      <c r="N32" s="49" t="s">
        <v>1804</v>
      </c>
      <c r="O32" s="49" t="s">
        <v>3902</v>
      </c>
      <c r="P32" s="49" t="s">
        <v>3903</v>
      </c>
      <c r="Q32" s="49" t="s">
        <v>3904</v>
      </c>
      <c r="R32" s="49" t="s">
        <v>3905</v>
      </c>
      <c r="S32" s="49" t="s">
        <v>3906</v>
      </c>
      <c r="T32" s="49" t="s">
        <v>3907</v>
      </c>
    </row>
    <row r="33" spans="1:21" x14ac:dyDescent="0.2">
      <c r="A33" s="49" t="s">
        <v>30</v>
      </c>
    </row>
    <row r="34" spans="1:21" x14ac:dyDescent="0.2">
      <c r="A34" s="49" t="s">
        <v>30</v>
      </c>
      <c r="E34" s="49" t="s">
        <v>31</v>
      </c>
      <c r="F34" s="49" t="s">
        <v>31</v>
      </c>
      <c r="G34" s="49" t="s">
        <v>31</v>
      </c>
      <c r="J34" s="49" t="s">
        <v>31</v>
      </c>
      <c r="K34" s="49" t="s">
        <v>31</v>
      </c>
      <c r="L34" s="49" t="s">
        <v>31</v>
      </c>
      <c r="M34" s="49" t="s">
        <v>31</v>
      </c>
    </row>
    <row r="35" spans="1:21" x14ac:dyDescent="0.2">
      <c r="A35" s="49" t="s">
        <v>30</v>
      </c>
      <c r="D35" s="49" t="s">
        <v>1805</v>
      </c>
      <c r="E35" s="49" t="s">
        <v>4618</v>
      </c>
      <c r="F35" s="49" t="s">
        <v>1806</v>
      </c>
      <c r="H35" s="49" t="s">
        <v>1807</v>
      </c>
      <c r="O35" s="49" t="s">
        <v>39091</v>
      </c>
      <c r="P35" s="49" t="s">
        <v>39092</v>
      </c>
      <c r="Q35" s="49" t="s">
        <v>39093</v>
      </c>
      <c r="R35" s="49" t="s">
        <v>39094</v>
      </c>
      <c r="S35" s="49" t="s">
        <v>39095</v>
      </c>
      <c r="T35" s="49" t="s">
        <v>39096</v>
      </c>
      <c r="U35" s="49" t="s">
        <v>39097</v>
      </c>
    </row>
    <row r="36" spans="1:21" x14ac:dyDescent="0.2">
      <c r="A36" s="49" t="s">
        <v>30</v>
      </c>
      <c r="D36" s="49" t="s">
        <v>157</v>
      </c>
      <c r="G36" s="49" t="s">
        <v>3908</v>
      </c>
      <c r="H36" s="49" t="s">
        <v>158</v>
      </c>
      <c r="I36" s="49" t="s">
        <v>159</v>
      </c>
      <c r="J36" s="49" t="s">
        <v>160</v>
      </c>
      <c r="K36" s="49" t="s">
        <v>161</v>
      </c>
      <c r="L36" s="49" t="s">
        <v>162</v>
      </c>
      <c r="M36" s="49" t="s">
        <v>163</v>
      </c>
      <c r="N36" s="49" t="s">
        <v>164</v>
      </c>
      <c r="O36" s="49" t="s">
        <v>3391</v>
      </c>
      <c r="P36" s="49" t="s">
        <v>3392</v>
      </c>
      <c r="Q36" s="49" t="s">
        <v>3393</v>
      </c>
      <c r="R36" s="49" t="s">
        <v>3394</v>
      </c>
      <c r="S36" s="49" t="s">
        <v>3395</v>
      </c>
      <c r="T36" s="49" t="s">
        <v>3396</v>
      </c>
    </row>
    <row r="37" spans="1:21" x14ac:dyDescent="0.2">
      <c r="A37" s="49" t="s">
        <v>30</v>
      </c>
      <c r="D37" s="49" t="s">
        <v>165</v>
      </c>
      <c r="G37" s="49" t="s">
        <v>14407</v>
      </c>
      <c r="H37" s="49" t="s">
        <v>166</v>
      </c>
      <c r="I37" s="49" t="s">
        <v>167</v>
      </c>
      <c r="J37" s="49" t="s">
        <v>168</v>
      </c>
      <c r="K37" s="49" t="s">
        <v>169</v>
      </c>
      <c r="L37" s="49" t="s">
        <v>170</v>
      </c>
      <c r="M37" s="49" t="s">
        <v>171</v>
      </c>
      <c r="N37" s="49" t="s">
        <v>172</v>
      </c>
      <c r="O37" s="49" t="s">
        <v>3397</v>
      </c>
      <c r="P37" s="49" t="s">
        <v>3398</v>
      </c>
      <c r="Q37" s="49" t="s">
        <v>3399</v>
      </c>
      <c r="R37" s="49" t="s">
        <v>3400</v>
      </c>
      <c r="S37" s="49" t="s">
        <v>3401</v>
      </c>
      <c r="T37" s="49" t="s">
        <v>3402</v>
      </c>
    </row>
    <row r="38" spans="1:21" x14ac:dyDescent="0.2">
      <c r="A38" s="49" t="s">
        <v>30</v>
      </c>
      <c r="D38" s="49" t="s">
        <v>173</v>
      </c>
      <c r="G38" s="49" t="s">
        <v>14409</v>
      </c>
      <c r="H38" s="49" t="s">
        <v>174</v>
      </c>
      <c r="I38" s="49" t="s">
        <v>175</v>
      </c>
      <c r="J38" s="49" t="s">
        <v>176</v>
      </c>
      <c r="K38" s="49" t="s">
        <v>177</v>
      </c>
      <c r="L38" s="49" t="s">
        <v>178</v>
      </c>
      <c r="M38" s="49" t="s">
        <v>179</v>
      </c>
      <c r="N38" s="49" t="s">
        <v>180</v>
      </c>
      <c r="O38" s="49" t="s">
        <v>3841</v>
      </c>
      <c r="P38" s="49" t="s">
        <v>3842</v>
      </c>
      <c r="Q38" s="49" t="s">
        <v>3843</v>
      </c>
      <c r="R38" s="49" t="s">
        <v>3844</v>
      </c>
      <c r="S38" s="49" t="s">
        <v>3845</v>
      </c>
      <c r="T38" s="49" t="s">
        <v>3846</v>
      </c>
    </row>
    <row r="39" spans="1:21" x14ac:dyDescent="0.2">
      <c r="A39" s="49" t="s">
        <v>30</v>
      </c>
    </row>
    <row r="40" spans="1:21" x14ac:dyDescent="0.2">
      <c r="A40" s="49" t="s">
        <v>30</v>
      </c>
      <c r="E40" s="49" t="s">
        <v>31</v>
      </c>
      <c r="F40" s="49" t="s">
        <v>31</v>
      </c>
      <c r="G40" s="49" t="s">
        <v>31</v>
      </c>
      <c r="J40" s="49" t="s">
        <v>31</v>
      </c>
      <c r="K40" s="49" t="s">
        <v>31</v>
      </c>
      <c r="L40" s="49" t="s">
        <v>31</v>
      </c>
      <c r="M40" s="49" t="s">
        <v>31</v>
      </c>
    </row>
    <row r="41" spans="1:21" x14ac:dyDescent="0.2">
      <c r="A41" s="49" t="s">
        <v>30</v>
      </c>
      <c r="D41" s="49" t="s">
        <v>181</v>
      </c>
      <c r="E41" s="49" t="s">
        <v>4655</v>
      </c>
      <c r="F41" s="49" t="s">
        <v>182</v>
      </c>
      <c r="H41" s="49" t="s">
        <v>183</v>
      </c>
      <c r="O41" s="49" t="s">
        <v>13348</v>
      </c>
      <c r="P41" s="49" t="s">
        <v>13349</v>
      </c>
      <c r="Q41" s="49" t="s">
        <v>13350</v>
      </c>
      <c r="R41" s="49" t="s">
        <v>13351</v>
      </c>
      <c r="S41" s="49" t="s">
        <v>13352</v>
      </c>
      <c r="T41" s="49" t="s">
        <v>13353</v>
      </c>
      <c r="U41" s="49" t="s">
        <v>13354</v>
      </c>
    </row>
    <row r="42" spans="1:21" x14ac:dyDescent="0.2">
      <c r="A42" s="49" t="s">
        <v>30</v>
      </c>
      <c r="D42" s="49" t="s">
        <v>184</v>
      </c>
      <c r="G42" s="49" t="s">
        <v>3847</v>
      </c>
      <c r="H42" s="49" t="s">
        <v>185</v>
      </c>
      <c r="I42" s="49" t="s">
        <v>186</v>
      </c>
      <c r="J42" s="49" t="s">
        <v>187</v>
      </c>
      <c r="K42" s="49" t="s">
        <v>188</v>
      </c>
      <c r="L42" s="49" t="s">
        <v>189</v>
      </c>
      <c r="M42" s="49" t="s">
        <v>190</v>
      </c>
      <c r="N42" s="49" t="s">
        <v>191</v>
      </c>
      <c r="O42" s="49" t="s">
        <v>3591</v>
      </c>
      <c r="P42" s="49" t="s">
        <v>3592</v>
      </c>
      <c r="Q42" s="49" t="s">
        <v>3593</v>
      </c>
      <c r="R42" s="49" t="s">
        <v>3594</v>
      </c>
      <c r="S42" s="49" t="s">
        <v>3595</v>
      </c>
      <c r="T42" s="49" t="s">
        <v>3596</v>
      </c>
    </row>
    <row r="43" spans="1:21" x14ac:dyDescent="0.2">
      <c r="A43" s="49" t="s">
        <v>30</v>
      </c>
      <c r="D43" s="49" t="s">
        <v>192</v>
      </c>
      <c r="G43" s="49" t="s">
        <v>14466</v>
      </c>
      <c r="H43" s="49" t="s">
        <v>193</v>
      </c>
      <c r="I43" s="49" t="s">
        <v>194</v>
      </c>
      <c r="J43" s="49" t="s">
        <v>195</v>
      </c>
      <c r="K43" s="49" t="s">
        <v>196</v>
      </c>
      <c r="L43" s="49" t="s">
        <v>197</v>
      </c>
      <c r="M43" s="49" t="s">
        <v>198</v>
      </c>
      <c r="N43" s="49" t="s">
        <v>199</v>
      </c>
      <c r="O43" s="49" t="s">
        <v>3597</v>
      </c>
      <c r="P43" s="49" t="s">
        <v>3598</v>
      </c>
      <c r="Q43" s="49" t="s">
        <v>3599</v>
      </c>
      <c r="R43" s="49" t="s">
        <v>3600</v>
      </c>
      <c r="S43" s="49" t="s">
        <v>3601</v>
      </c>
      <c r="T43" s="49" t="s">
        <v>3602</v>
      </c>
    </row>
    <row r="44" spans="1:21" x14ac:dyDescent="0.2">
      <c r="A44" s="49" t="s">
        <v>30</v>
      </c>
    </row>
    <row r="45" spans="1:21" x14ac:dyDescent="0.2">
      <c r="A45" s="49" t="s">
        <v>30</v>
      </c>
      <c r="E45" s="49" t="s">
        <v>31</v>
      </c>
      <c r="F45" s="49" t="s">
        <v>31</v>
      </c>
      <c r="G45" s="49" t="s">
        <v>31</v>
      </c>
      <c r="J45" s="49" t="s">
        <v>31</v>
      </c>
      <c r="K45" s="49" t="s">
        <v>31</v>
      </c>
      <c r="L45" s="49" t="s">
        <v>31</v>
      </c>
      <c r="M45" s="49" t="s">
        <v>31</v>
      </c>
    </row>
    <row r="46" spans="1:21" x14ac:dyDescent="0.2">
      <c r="A46" s="49" t="s">
        <v>30</v>
      </c>
      <c r="D46" s="49" t="s">
        <v>10612</v>
      </c>
      <c r="E46" s="49" t="s">
        <v>4675</v>
      </c>
      <c r="F46" s="49" t="s">
        <v>10613</v>
      </c>
      <c r="H46" s="49" t="s">
        <v>10614</v>
      </c>
      <c r="O46" s="49" t="s">
        <v>10615</v>
      </c>
      <c r="P46" s="49" t="s">
        <v>10616</v>
      </c>
      <c r="Q46" s="49" t="s">
        <v>10617</v>
      </c>
      <c r="R46" s="49" t="s">
        <v>10618</v>
      </c>
      <c r="S46" s="49" t="s">
        <v>10619</v>
      </c>
      <c r="T46" s="49" t="s">
        <v>10620</v>
      </c>
      <c r="U46" s="49" t="s">
        <v>10621</v>
      </c>
    </row>
    <row r="47" spans="1:21" x14ac:dyDescent="0.2">
      <c r="A47" s="49" t="s">
        <v>30</v>
      </c>
      <c r="D47" s="49" t="s">
        <v>200</v>
      </c>
      <c r="G47" s="49" t="s">
        <v>10622</v>
      </c>
      <c r="H47" s="49" t="s">
        <v>201</v>
      </c>
      <c r="I47" s="49" t="s">
        <v>202</v>
      </c>
      <c r="J47" s="49" t="s">
        <v>203</v>
      </c>
      <c r="K47" s="49" t="s">
        <v>204</v>
      </c>
      <c r="L47" s="49" t="s">
        <v>205</v>
      </c>
      <c r="M47" s="49" t="s">
        <v>206</v>
      </c>
      <c r="N47" s="49" t="s">
        <v>207</v>
      </c>
      <c r="O47" s="49" t="s">
        <v>4052</v>
      </c>
      <c r="P47" s="49" t="s">
        <v>4053</v>
      </c>
      <c r="Q47" s="49" t="s">
        <v>4054</v>
      </c>
      <c r="R47" s="49" t="s">
        <v>4055</v>
      </c>
      <c r="S47" s="49" t="s">
        <v>4056</v>
      </c>
      <c r="T47" s="49" t="s">
        <v>4057</v>
      </c>
    </row>
    <row r="48" spans="1:21" x14ac:dyDescent="0.2">
      <c r="A48" s="49" t="s">
        <v>30</v>
      </c>
      <c r="D48" s="49" t="s">
        <v>208</v>
      </c>
      <c r="G48" s="49" t="s">
        <v>14500</v>
      </c>
      <c r="H48" s="49" t="s">
        <v>209</v>
      </c>
      <c r="I48" s="49" t="s">
        <v>210</v>
      </c>
      <c r="J48" s="49" t="s">
        <v>211</v>
      </c>
      <c r="K48" s="49" t="s">
        <v>212</v>
      </c>
      <c r="L48" s="49" t="s">
        <v>213</v>
      </c>
      <c r="M48" s="49" t="s">
        <v>214</v>
      </c>
      <c r="N48" s="49" t="s">
        <v>215</v>
      </c>
      <c r="O48" s="49" t="s">
        <v>3609</v>
      </c>
      <c r="P48" s="49" t="s">
        <v>3610</v>
      </c>
      <c r="Q48" s="49" t="s">
        <v>3611</v>
      </c>
      <c r="R48" s="49" t="s">
        <v>3612</v>
      </c>
      <c r="S48" s="49" t="s">
        <v>3613</v>
      </c>
      <c r="T48" s="49" t="s">
        <v>3614</v>
      </c>
    </row>
    <row r="49" spans="1:21" x14ac:dyDescent="0.2">
      <c r="A49" s="49" t="s">
        <v>30</v>
      </c>
    </row>
    <row r="50" spans="1:21" x14ac:dyDescent="0.2">
      <c r="A50" s="49" t="s">
        <v>30</v>
      </c>
      <c r="E50" s="49" t="s">
        <v>31</v>
      </c>
      <c r="F50" s="49" t="s">
        <v>31</v>
      </c>
      <c r="G50" s="49" t="s">
        <v>31</v>
      </c>
      <c r="J50" s="49" t="s">
        <v>31</v>
      </c>
      <c r="K50" s="49" t="s">
        <v>31</v>
      </c>
      <c r="L50" s="49" t="s">
        <v>31</v>
      </c>
      <c r="M50" s="49" t="s">
        <v>31</v>
      </c>
    </row>
    <row r="51" spans="1:21" x14ac:dyDescent="0.2">
      <c r="A51" s="49" t="s">
        <v>30</v>
      </c>
      <c r="D51" s="49" t="s">
        <v>2225</v>
      </c>
      <c r="E51" s="49" t="s">
        <v>4679</v>
      </c>
      <c r="F51" s="49" t="s">
        <v>2226</v>
      </c>
      <c r="H51" s="49" t="s">
        <v>2227</v>
      </c>
      <c r="O51" s="49" t="s">
        <v>38162</v>
      </c>
      <c r="P51" s="49" t="s">
        <v>38163</v>
      </c>
      <c r="Q51" s="49" t="s">
        <v>38164</v>
      </c>
      <c r="R51" s="49" t="s">
        <v>38165</v>
      </c>
      <c r="S51" s="49" t="s">
        <v>38166</v>
      </c>
      <c r="T51" s="49" t="s">
        <v>38167</v>
      </c>
      <c r="U51" s="49" t="s">
        <v>38168</v>
      </c>
    </row>
    <row r="52" spans="1:21" x14ac:dyDescent="0.2">
      <c r="A52" s="49" t="s">
        <v>30</v>
      </c>
      <c r="D52" s="49" t="s">
        <v>2228</v>
      </c>
      <c r="G52" s="49" t="s">
        <v>3978</v>
      </c>
      <c r="H52" s="49" t="s">
        <v>2229</v>
      </c>
      <c r="I52" s="49" t="s">
        <v>2230</v>
      </c>
      <c r="J52" s="49" t="s">
        <v>2231</v>
      </c>
      <c r="K52" s="49" t="s">
        <v>2232</v>
      </c>
      <c r="L52" s="49" t="s">
        <v>2233</v>
      </c>
      <c r="M52" s="49" t="s">
        <v>2234</v>
      </c>
      <c r="N52" s="49" t="s">
        <v>2235</v>
      </c>
      <c r="O52" s="49" t="s">
        <v>3979</v>
      </c>
      <c r="P52" s="49" t="s">
        <v>3980</v>
      </c>
      <c r="Q52" s="49" t="s">
        <v>3981</v>
      </c>
      <c r="R52" s="49" t="s">
        <v>3982</v>
      </c>
      <c r="S52" s="49" t="s">
        <v>3983</v>
      </c>
      <c r="T52" s="49" t="s">
        <v>3984</v>
      </c>
    </row>
    <row r="53" spans="1:21" x14ac:dyDescent="0.2">
      <c r="A53" s="49" t="s">
        <v>30</v>
      </c>
    </row>
    <row r="54" spans="1:21" x14ac:dyDescent="0.2">
      <c r="A54" s="49" t="s">
        <v>30</v>
      </c>
      <c r="E54" s="49" t="s">
        <v>31</v>
      </c>
      <c r="F54" s="49" t="s">
        <v>31</v>
      </c>
      <c r="G54" s="49" t="s">
        <v>31</v>
      </c>
      <c r="J54" s="49" t="s">
        <v>31</v>
      </c>
      <c r="K54" s="49" t="s">
        <v>31</v>
      </c>
      <c r="L54" s="49" t="s">
        <v>31</v>
      </c>
      <c r="M54" s="49" t="s">
        <v>31</v>
      </c>
    </row>
    <row r="55" spans="1:21" x14ac:dyDescent="0.2">
      <c r="A55" s="49" t="s">
        <v>30</v>
      </c>
      <c r="D55" s="49" t="s">
        <v>34705</v>
      </c>
      <c r="E55" s="49" t="s">
        <v>4683</v>
      </c>
      <c r="F55" s="49" t="s">
        <v>34706</v>
      </c>
      <c r="H55" s="49" t="s">
        <v>34707</v>
      </c>
      <c r="O55" s="49" t="s">
        <v>39098</v>
      </c>
      <c r="P55" s="49" t="s">
        <v>39099</v>
      </c>
      <c r="Q55" s="49" t="s">
        <v>39100</v>
      </c>
      <c r="R55" s="49" t="s">
        <v>39101</v>
      </c>
      <c r="S55" s="49" t="s">
        <v>39102</v>
      </c>
      <c r="T55" s="49" t="s">
        <v>39103</v>
      </c>
      <c r="U55" s="49" t="s">
        <v>39104</v>
      </c>
    </row>
    <row r="56" spans="1:21" x14ac:dyDescent="0.2">
      <c r="A56" s="49" t="s">
        <v>30</v>
      </c>
      <c r="D56" s="49" t="s">
        <v>251</v>
      </c>
      <c r="G56" s="49" t="s">
        <v>34715</v>
      </c>
      <c r="H56" s="49" t="s">
        <v>252</v>
      </c>
      <c r="I56" s="49" t="s">
        <v>253</v>
      </c>
      <c r="J56" s="49" t="s">
        <v>254</v>
      </c>
      <c r="K56" s="49" t="s">
        <v>255</v>
      </c>
      <c r="L56" s="49" t="s">
        <v>256</v>
      </c>
      <c r="M56" s="49" t="s">
        <v>257</v>
      </c>
      <c r="N56" s="49" t="s">
        <v>258</v>
      </c>
      <c r="O56" s="49" t="s">
        <v>4348</v>
      </c>
      <c r="P56" s="49" t="s">
        <v>4349</v>
      </c>
      <c r="Q56" s="49" t="s">
        <v>4350</v>
      </c>
      <c r="R56" s="49" t="s">
        <v>4351</v>
      </c>
      <c r="S56" s="49" t="s">
        <v>4352</v>
      </c>
      <c r="T56" s="49" t="s">
        <v>4353</v>
      </c>
    </row>
    <row r="57" spans="1:21" x14ac:dyDescent="0.2">
      <c r="A57" s="49" t="s">
        <v>30</v>
      </c>
      <c r="D57" s="49" t="s">
        <v>259</v>
      </c>
      <c r="G57" s="49" t="s">
        <v>14569</v>
      </c>
      <c r="H57" s="49" t="s">
        <v>260</v>
      </c>
      <c r="I57" s="49" t="s">
        <v>261</v>
      </c>
      <c r="J57" s="49" t="s">
        <v>262</v>
      </c>
      <c r="K57" s="49" t="s">
        <v>263</v>
      </c>
      <c r="L57" s="49" t="s">
        <v>264</v>
      </c>
      <c r="M57" s="49" t="s">
        <v>265</v>
      </c>
      <c r="N57" s="49" t="s">
        <v>266</v>
      </c>
      <c r="O57" s="49" t="s">
        <v>3429</v>
      </c>
      <c r="P57" s="49" t="s">
        <v>3430</v>
      </c>
      <c r="Q57" s="49" t="s">
        <v>3431</v>
      </c>
      <c r="R57" s="49" t="s">
        <v>3432</v>
      </c>
      <c r="S57" s="49" t="s">
        <v>3433</v>
      </c>
      <c r="T57" s="49" t="s">
        <v>3434</v>
      </c>
    </row>
    <row r="58" spans="1:21" x14ac:dyDescent="0.2">
      <c r="A58" s="49" t="s">
        <v>30</v>
      </c>
      <c r="D58" s="49" t="s">
        <v>267</v>
      </c>
      <c r="G58" s="49" t="s">
        <v>14585</v>
      </c>
      <c r="H58" s="49" t="s">
        <v>268</v>
      </c>
      <c r="I58" s="49" t="s">
        <v>269</v>
      </c>
      <c r="J58" s="49" t="s">
        <v>270</v>
      </c>
      <c r="K58" s="49" t="s">
        <v>271</v>
      </c>
      <c r="L58" s="49" t="s">
        <v>272</v>
      </c>
      <c r="M58" s="49" t="s">
        <v>273</v>
      </c>
      <c r="N58" s="49" t="s">
        <v>274</v>
      </c>
      <c r="O58" s="49" t="s">
        <v>3615</v>
      </c>
      <c r="P58" s="49" t="s">
        <v>3616</v>
      </c>
      <c r="Q58" s="49" t="s">
        <v>3617</v>
      </c>
      <c r="R58" s="49" t="s">
        <v>3618</v>
      </c>
      <c r="S58" s="49" t="s">
        <v>3619</v>
      </c>
      <c r="T58" s="49" t="s">
        <v>3620</v>
      </c>
    </row>
    <row r="59" spans="1:21" x14ac:dyDescent="0.2">
      <c r="A59" s="49" t="s">
        <v>30</v>
      </c>
    </row>
    <row r="60" spans="1:21" x14ac:dyDescent="0.2">
      <c r="A60" s="49" t="s">
        <v>30</v>
      </c>
      <c r="E60" s="49" t="s">
        <v>31</v>
      </c>
      <c r="F60" s="49" t="s">
        <v>31</v>
      </c>
      <c r="G60" s="49" t="s">
        <v>31</v>
      </c>
      <c r="J60" s="49" t="s">
        <v>31</v>
      </c>
      <c r="K60" s="49" t="s">
        <v>31</v>
      </c>
      <c r="L60" s="49" t="s">
        <v>31</v>
      </c>
      <c r="M60" s="49" t="s">
        <v>31</v>
      </c>
    </row>
    <row r="61" spans="1:21" x14ac:dyDescent="0.2">
      <c r="A61" s="49" t="s">
        <v>30</v>
      </c>
      <c r="D61" s="49" t="s">
        <v>275</v>
      </c>
      <c r="E61" s="49" t="s">
        <v>4805</v>
      </c>
      <c r="F61" s="49" t="s">
        <v>276</v>
      </c>
      <c r="H61" s="49" t="s">
        <v>277</v>
      </c>
      <c r="O61" s="49" t="s">
        <v>10280</v>
      </c>
      <c r="P61" s="49" t="s">
        <v>10281</v>
      </c>
      <c r="Q61" s="49" t="s">
        <v>10282</v>
      </c>
      <c r="R61" s="49" t="s">
        <v>10283</v>
      </c>
      <c r="S61" s="49" t="s">
        <v>10284</v>
      </c>
      <c r="T61" s="49" t="s">
        <v>10285</v>
      </c>
      <c r="U61" s="49" t="s">
        <v>10286</v>
      </c>
    </row>
    <row r="62" spans="1:21" x14ac:dyDescent="0.2">
      <c r="A62" s="49" t="s">
        <v>30</v>
      </c>
      <c r="D62" s="49" t="s">
        <v>278</v>
      </c>
      <c r="G62" s="49" t="s">
        <v>3862</v>
      </c>
      <c r="H62" s="49" t="s">
        <v>279</v>
      </c>
      <c r="I62" s="49" t="s">
        <v>280</v>
      </c>
      <c r="J62" s="49" t="s">
        <v>281</v>
      </c>
      <c r="K62" s="49" t="s">
        <v>282</v>
      </c>
      <c r="L62" s="49" t="s">
        <v>283</v>
      </c>
      <c r="M62" s="49" t="s">
        <v>284</v>
      </c>
      <c r="N62" s="49" t="s">
        <v>285</v>
      </c>
      <c r="O62" s="49" t="s">
        <v>3863</v>
      </c>
      <c r="P62" s="49" t="s">
        <v>3864</v>
      </c>
      <c r="Q62" s="49" t="s">
        <v>3865</v>
      </c>
      <c r="R62" s="49" t="s">
        <v>3866</v>
      </c>
      <c r="S62" s="49" t="s">
        <v>3867</v>
      </c>
      <c r="T62" s="49" t="s">
        <v>3868</v>
      </c>
    </row>
    <row r="63" spans="1:21" x14ac:dyDescent="0.2">
      <c r="A63" s="49" t="s">
        <v>30</v>
      </c>
      <c r="D63" s="49" t="s">
        <v>286</v>
      </c>
      <c r="G63" s="49" t="s">
        <v>14853</v>
      </c>
      <c r="H63" s="49" t="s">
        <v>287</v>
      </c>
      <c r="I63" s="49" t="s">
        <v>288</v>
      </c>
      <c r="J63" s="49" t="s">
        <v>289</v>
      </c>
      <c r="K63" s="49" t="s">
        <v>290</v>
      </c>
      <c r="L63" s="49" t="s">
        <v>291</v>
      </c>
      <c r="M63" s="49" t="s">
        <v>292</v>
      </c>
      <c r="N63" s="49" t="s">
        <v>293</v>
      </c>
      <c r="O63" s="49" t="s">
        <v>4072</v>
      </c>
      <c r="P63" s="49" t="s">
        <v>4073</v>
      </c>
      <c r="Q63" s="49" t="s">
        <v>4074</v>
      </c>
      <c r="R63" s="49" t="s">
        <v>4075</v>
      </c>
      <c r="S63" s="49" t="s">
        <v>4076</v>
      </c>
      <c r="T63" s="49" t="s">
        <v>4077</v>
      </c>
    </row>
    <row r="64" spans="1:21" x14ac:dyDescent="0.2">
      <c r="A64" s="49" t="s">
        <v>30</v>
      </c>
    </row>
    <row r="65" spans="1:21" x14ac:dyDescent="0.2">
      <c r="A65" s="49" t="s">
        <v>30</v>
      </c>
      <c r="E65" s="49" t="s">
        <v>31</v>
      </c>
      <c r="F65" s="49" t="s">
        <v>31</v>
      </c>
      <c r="G65" s="49" t="s">
        <v>31</v>
      </c>
      <c r="J65" s="49" t="s">
        <v>31</v>
      </c>
      <c r="K65" s="49" t="s">
        <v>31</v>
      </c>
      <c r="L65" s="49" t="s">
        <v>31</v>
      </c>
      <c r="M65" s="49" t="s">
        <v>31</v>
      </c>
    </row>
    <row r="66" spans="1:21" x14ac:dyDescent="0.2">
      <c r="A66" s="49" t="s">
        <v>30</v>
      </c>
      <c r="D66" s="49" t="s">
        <v>9989</v>
      </c>
      <c r="E66" s="49" t="s">
        <v>4841</v>
      </c>
      <c r="F66" s="49" t="s">
        <v>9990</v>
      </c>
      <c r="H66" s="49" t="s">
        <v>9991</v>
      </c>
      <c r="O66" s="49" t="s">
        <v>39105</v>
      </c>
      <c r="P66" s="49" t="s">
        <v>39106</v>
      </c>
      <c r="Q66" s="49" t="s">
        <v>39107</v>
      </c>
      <c r="R66" s="49" t="s">
        <v>39108</v>
      </c>
      <c r="S66" s="49" t="s">
        <v>39109</v>
      </c>
      <c r="T66" s="49" t="s">
        <v>39110</v>
      </c>
      <c r="U66" s="49" t="s">
        <v>39111</v>
      </c>
    </row>
    <row r="67" spans="1:21" x14ac:dyDescent="0.2">
      <c r="A67" s="49" t="s">
        <v>30</v>
      </c>
      <c r="D67" s="49" t="s">
        <v>1689</v>
      </c>
      <c r="G67" s="49" t="s">
        <v>9992</v>
      </c>
      <c r="H67" s="49" t="s">
        <v>1690</v>
      </c>
      <c r="I67" s="49" t="s">
        <v>1691</v>
      </c>
      <c r="J67" s="49" t="s">
        <v>1692</v>
      </c>
      <c r="K67" s="49" t="s">
        <v>1693</v>
      </c>
      <c r="L67" s="49" t="s">
        <v>1694</v>
      </c>
      <c r="M67" s="49" t="s">
        <v>1695</v>
      </c>
      <c r="N67" s="49" t="s">
        <v>1696</v>
      </c>
      <c r="O67" s="49" t="s">
        <v>3909</v>
      </c>
      <c r="P67" s="49" t="s">
        <v>3910</v>
      </c>
      <c r="Q67" s="49" t="s">
        <v>3911</v>
      </c>
      <c r="R67" s="49" t="s">
        <v>3912</v>
      </c>
      <c r="S67" s="49" t="s">
        <v>3913</v>
      </c>
      <c r="T67" s="49" t="s">
        <v>3914</v>
      </c>
    </row>
    <row r="68" spans="1:21" x14ac:dyDescent="0.2">
      <c r="A68" s="49" t="s">
        <v>30</v>
      </c>
      <c r="D68" s="49" t="s">
        <v>302</v>
      </c>
      <c r="G68" s="49" t="s">
        <v>14913</v>
      </c>
      <c r="H68" s="49" t="s">
        <v>303</v>
      </c>
      <c r="I68" s="49" t="s">
        <v>304</v>
      </c>
      <c r="J68" s="49" t="s">
        <v>305</v>
      </c>
      <c r="K68" s="49" t="s">
        <v>306</v>
      </c>
      <c r="L68" s="49" t="s">
        <v>307</v>
      </c>
      <c r="M68" s="49" t="s">
        <v>308</v>
      </c>
      <c r="N68" s="49" t="s">
        <v>309</v>
      </c>
      <c r="O68" s="49" t="s">
        <v>3633</v>
      </c>
      <c r="P68" s="49" t="s">
        <v>3634</v>
      </c>
      <c r="Q68" s="49" t="s">
        <v>3635</v>
      </c>
      <c r="R68" s="49" t="s">
        <v>3636</v>
      </c>
      <c r="S68" s="49" t="s">
        <v>3637</v>
      </c>
      <c r="T68" s="49" t="s">
        <v>3638</v>
      </c>
    </row>
    <row r="69" spans="1:21" x14ac:dyDescent="0.2">
      <c r="A69" s="49" t="s">
        <v>30</v>
      </c>
      <c r="D69" s="49" t="s">
        <v>1843</v>
      </c>
      <c r="G69" s="49" t="s">
        <v>14915</v>
      </c>
      <c r="H69" s="49" t="s">
        <v>1844</v>
      </c>
      <c r="I69" s="49" t="s">
        <v>1845</v>
      </c>
      <c r="J69" s="49" t="s">
        <v>1846</v>
      </c>
      <c r="K69" s="49" t="s">
        <v>1847</v>
      </c>
      <c r="L69" s="49" t="s">
        <v>1848</v>
      </c>
      <c r="M69" s="49" t="s">
        <v>1849</v>
      </c>
      <c r="N69" s="49" t="s">
        <v>1850</v>
      </c>
      <c r="O69" s="49" t="s">
        <v>13005</v>
      </c>
      <c r="P69" s="49" t="s">
        <v>13006</v>
      </c>
      <c r="Q69" s="49" t="s">
        <v>13007</v>
      </c>
      <c r="R69" s="49" t="s">
        <v>13008</v>
      </c>
      <c r="S69" s="49" t="s">
        <v>13009</v>
      </c>
      <c r="T69" s="49" t="s">
        <v>13010</v>
      </c>
    </row>
    <row r="70" spans="1:21" x14ac:dyDescent="0.2">
      <c r="A70" s="49" t="s">
        <v>30</v>
      </c>
    </row>
    <row r="71" spans="1:21" x14ac:dyDescent="0.2">
      <c r="A71" s="49" t="s">
        <v>30</v>
      </c>
      <c r="E71" s="49" t="s">
        <v>31</v>
      </c>
      <c r="F71" s="49" t="s">
        <v>31</v>
      </c>
      <c r="G71" s="49" t="s">
        <v>31</v>
      </c>
      <c r="J71" s="49" t="s">
        <v>31</v>
      </c>
      <c r="K71" s="49" t="s">
        <v>31</v>
      </c>
      <c r="L71" s="49" t="s">
        <v>31</v>
      </c>
      <c r="M71" s="49" t="s">
        <v>31</v>
      </c>
    </row>
    <row r="72" spans="1:21" x14ac:dyDescent="0.2">
      <c r="A72" s="49" t="s">
        <v>30</v>
      </c>
      <c r="D72" s="49" t="s">
        <v>13011</v>
      </c>
      <c r="E72" s="49" t="s">
        <v>4969</v>
      </c>
      <c r="F72" s="49" t="s">
        <v>13012</v>
      </c>
      <c r="H72" s="49" t="s">
        <v>13013</v>
      </c>
      <c r="O72" s="49" t="s">
        <v>13014</v>
      </c>
      <c r="P72" s="49" t="s">
        <v>13015</v>
      </c>
      <c r="Q72" s="49" t="s">
        <v>13016</v>
      </c>
      <c r="R72" s="49" t="s">
        <v>13017</v>
      </c>
      <c r="S72" s="49" t="s">
        <v>13018</v>
      </c>
      <c r="T72" s="49" t="s">
        <v>13019</v>
      </c>
      <c r="U72" s="49" t="s">
        <v>13020</v>
      </c>
    </row>
    <row r="73" spans="1:21" x14ac:dyDescent="0.2">
      <c r="A73" s="49" t="s">
        <v>30</v>
      </c>
      <c r="D73" s="49" t="s">
        <v>1851</v>
      </c>
      <c r="G73" s="49" t="s">
        <v>13021</v>
      </c>
      <c r="H73" s="49" t="s">
        <v>1852</v>
      </c>
      <c r="I73" s="49" t="s">
        <v>1853</v>
      </c>
      <c r="J73" s="49" t="s">
        <v>1854</v>
      </c>
      <c r="K73" s="49" t="s">
        <v>1855</v>
      </c>
      <c r="L73" s="49" t="s">
        <v>1856</v>
      </c>
      <c r="M73" s="49" t="s">
        <v>1857</v>
      </c>
      <c r="N73" s="49" t="s">
        <v>1858</v>
      </c>
      <c r="O73" s="49" t="s">
        <v>3448</v>
      </c>
      <c r="P73" s="49" t="s">
        <v>3449</v>
      </c>
      <c r="Q73" s="49" t="s">
        <v>3450</v>
      </c>
      <c r="R73" s="49" t="s">
        <v>3451</v>
      </c>
      <c r="S73" s="49" t="s">
        <v>3452</v>
      </c>
      <c r="T73" s="49" t="s">
        <v>3453</v>
      </c>
    </row>
    <row r="74" spans="1:21" x14ac:dyDescent="0.2">
      <c r="A74" s="49" t="s">
        <v>30</v>
      </c>
    </row>
    <row r="75" spans="1:21" x14ac:dyDescent="0.2">
      <c r="A75" s="49" t="s">
        <v>30</v>
      </c>
      <c r="E75" s="49" t="s">
        <v>31</v>
      </c>
      <c r="F75" s="49" t="s">
        <v>31</v>
      </c>
      <c r="G75" s="49" t="s">
        <v>31</v>
      </c>
      <c r="J75" s="49" t="s">
        <v>31</v>
      </c>
      <c r="K75" s="49" t="s">
        <v>31</v>
      </c>
      <c r="L75" s="49" t="s">
        <v>31</v>
      </c>
      <c r="M75" s="49" t="s">
        <v>31</v>
      </c>
    </row>
    <row r="76" spans="1:21" x14ac:dyDescent="0.2">
      <c r="A76" s="49" t="s">
        <v>30</v>
      </c>
      <c r="D76" s="49" t="s">
        <v>13022</v>
      </c>
      <c r="E76" s="49" t="s">
        <v>5189</v>
      </c>
      <c r="F76" s="49" t="s">
        <v>13023</v>
      </c>
      <c r="H76" s="49" t="s">
        <v>13024</v>
      </c>
      <c r="O76" s="49" t="s">
        <v>13025</v>
      </c>
      <c r="P76" s="49" t="s">
        <v>13026</v>
      </c>
      <c r="Q76" s="49" t="s">
        <v>13027</v>
      </c>
      <c r="R76" s="49" t="s">
        <v>13028</v>
      </c>
      <c r="S76" s="49" t="s">
        <v>13029</v>
      </c>
      <c r="T76" s="49" t="s">
        <v>13030</v>
      </c>
      <c r="U76" s="49" t="s">
        <v>13031</v>
      </c>
    </row>
    <row r="77" spans="1:21" x14ac:dyDescent="0.2">
      <c r="A77" s="49" t="s">
        <v>30</v>
      </c>
      <c r="D77" s="49" t="s">
        <v>13032</v>
      </c>
      <c r="G77" s="49" t="s">
        <v>13033</v>
      </c>
      <c r="H77" s="49" t="s">
        <v>13034</v>
      </c>
      <c r="I77" s="49" t="s">
        <v>13035</v>
      </c>
      <c r="J77" s="49" t="s">
        <v>13036</v>
      </c>
      <c r="K77" s="49" t="s">
        <v>13037</v>
      </c>
      <c r="L77" s="49" t="s">
        <v>13038</v>
      </c>
      <c r="M77" s="49" t="s">
        <v>13039</v>
      </c>
      <c r="N77" s="49" t="s">
        <v>13040</v>
      </c>
      <c r="O77" s="49" t="s">
        <v>13041</v>
      </c>
      <c r="P77" s="49" t="s">
        <v>13042</v>
      </c>
      <c r="Q77" s="49" t="s">
        <v>13043</v>
      </c>
      <c r="R77" s="49" t="s">
        <v>13044</v>
      </c>
      <c r="S77" s="49" t="s">
        <v>13045</v>
      </c>
      <c r="T77" s="49" t="s">
        <v>13046</v>
      </c>
    </row>
    <row r="78" spans="1:21" x14ac:dyDescent="0.2">
      <c r="A78" s="49" t="s">
        <v>30</v>
      </c>
    </row>
    <row r="79" spans="1:21" x14ac:dyDescent="0.2">
      <c r="A79" s="49" t="s">
        <v>30</v>
      </c>
      <c r="E79" s="49" t="s">
        <v>31</v>
      </c>
      <c r="F79" s="49" t="s">
        <v>31</v>
      </c>
      <c r="G79" s="49" t="s">
        <v>31</v>
      </c>
      <c r="J79" s="49" t="s">
        <v>31</v>
      </c>
      <c r="K79" s="49" t="s">
        <v>31</v>
      </c>
      <c r="L79" s="49" t="s">
        <v>31</v>
      </c>
      <c r="M79" s="49" t="s">
        <v>31</v>
      </c>
    </row>
    <row r="80" spans="1:21" x14ac:dyDescent="0.2">
      <c r="A80" s="49" t="s">
        <v>30</v>
      </c>
      <c r="D80" s="49" t="s">
        <v>13047</v>
      </c>
      <c r="E80" s="49" t="s">
        <v>5226</v>
      </c>
      <c r="F80" s="49" t="s">
        <v>13048</v>
      </c>
      <c r="H80" s="49" t="s">
        <v>13049</v>
      </c>
      <c r="O80" s="49" t="s">
        <v>39112</v>
      </c>
      <c r="P80" s="49" t="s">
        <v>39113</v>
      </c>
      <c r="Q80" s="49" t="s">
        <v>39114</v>
      </c>
      <c r="R80" s="49" t="s">
        <v>39115</v>
      </c>
      <c r="S80" s="49" t="s">
        <v>39116</v>
      </c>
      <c r="T80" s="49" t="s">
        <v>39117</v>
      </c>
      <c r="U80" s="49" t="s">
        <v>39118</v>
      </c>
    </row>
    <row r="81" spans="1:21" x14ac:dyDescent="0.2">
      <c r="A81" s="49" t="s">
        <v>30</v>
      </c>
      <c r="D81" s="49" t="s">
        <v>1883</v>
      </c>
      <c r="G81" s="49" t="s">
        <v>13057</v>
      </c>
      <c r="H81" s="49" t="s">
        <v>1884</v>
      </c>
      <c r="I81" s="49" t="s">
        <v>1885</v>
      </c>
      <c r="J81" s="49" t="s">
        <v>1886</v>
      </c>
      <c r="K81" s="49" t="s">
        <v>1887</v>
      </c>
      <c r="L81" s="49" t="s">
        <v>1888</v>
      </c>
      <c r="M81" s="49" t="s">
        <v>1889</v>
      </c>
      <c r="N81" s="49" t="s">
        <v>1890</v>
      </c>
      <c r="O81" s="49" t="s">
        <v>3454</v>
      </c>
      <c r="P81" s="49" t="s">
        <v>3455</v>
      </c>
      <c r="Q81" s="49" t="s">
        <v>3456</v>
      </c>
      <c r="R81" s="49" t="s">
        <v>3457</v>
      </c>
      <c r="S81" s="49" t="s">
        <v>3458</v>
      </c>
      <c r="T81" s="49" t="s">
        <v>3459</v>
      </c>
    </row>
    <row r="82" spans="1:21" x14ac:dyDescent="0.2">
      <c r="A82" s="49" t="s">
        <v>30</v>
      </c>
      <c r="D82" s="49" t="s">
        <v>337</v>
      </c>
      <c r="G82" s="49" t="s">
        <v>15577</v>
      </c>
      <c r="H82" s="49" t="s">
        <v>338</v>
      </c>
      <c r="I82" s="49" t="s">
        <v>339</v>
      </c>
      <c r="J82" s="49" t="s">
        <v>340</v>
      </c>
      <c r="K82" s="49" t="s">
        <v>341</v>
      </c>
      <c r="L82" s="49" t="s">
        <v>342</v>
      </c>
      <c r="M82" s="49" t="s">
        <v>343</v>
      </c>
      <c r="N82" s="49" t="s">
        <v>344</v>
      </c>
      <c r="O82" s="49" t="s">
        <v>3653</v>
      </c>
      <c r="P82" s="49" t="s">
        <v>3654</v>
      </c>
      <c r="Q82" s="49" t="s">
        <v>3655</v>
      </c>
      <c r="R82" s="49" t="s">
        <v>3656</v>
      </c>
      <c r="S82" s="49" t="s">
        <v>3657</v>
      </c>
      <c r="T82" s="49" t="s">
        <v>3658</v>
      </c>
    </row>
    <row r="83" spans="1:21" x14ac:dyDescent="0.2">
      <c r="A83" s="49" t="s">
        <v>30</v>
      </c>
    </row>
    <row r="84" spans="1:21" x14ac:dyDescent="0.2">
      <c r="A84" s="49" t="s">
        <v>30</v>
      </c>
      <c r="E84" s="49" t="s">
        <v>31</v>
      </c>
      <c r="F84" s="49" t="s">
        <v>31</v>
      </c>
      <c r="G84" s="49" t="s">
        <v>31</v>
      </c>
      <c r="J84" s="49" t="s">
        <v>31</v>
      </c>
      <c r="K84" s="49" t="s">
        <v>31</v>
      </c>
      <c r="L84" s="49" t="s">
        <v>31</v>
      </c>
      <c r="M84" s="49" t="s">
        <v>31</v>
      </c>
    </row>
    <row r="85" spans="1:21" x14ac:dyDescent="0.2">
      <c r="A85" s="49" t="s">
        <v>30</v>
      </c>
      <c r="D85" s="49" t="s">
        <v>2556</v>
      </c>
      <c r="E85" s="49" t="s">
        <v>5256</v>
      </c>
      <c r="F85" s="49" t="s">
        <v>2557</v>
      </c>
      <c r="H85" s="49" t="s">
        <v>2558</v>
      </c>
      <c r="O85" s="49" t="s">
        <v>10716</v>
      </c>
      <c r="P85" s="49" t="s">
        <v>10717</v>
      </c>
      <c r="Q85" s="49" t="s">
        <v>10718</v>
      </c>
      <c r="R85" s="49" t="s">
        <v>10719</v>
      </c>
      <c r="S85" s="49" t="s">
        <v>10720</v>
      </c>
      <c r="T85" s="49" t="s">
        <v>10721</v>
      </c>
      <c r="U85" s="49" t="s">
        <v>10722</v>
      </c>
    </row>
    <row r="86" spans="1:21" x14ac:dyDescent="0.2">
      <c r="A86" s="49" t="s">
        <v>30</v>
      </c>
      <c r="D86" s="49" t="s">
        <v>2325</v>
      </c>
      <c r="G86" s="49" t="s">
        <v>4090</v>
      </c>
      <c r="H86" s="49" t="s">
        <v>2326</v>
      </c>
      <c r="I86" s="49" t="s">
        <v>2327</v>
      </c>
      <c r="J86" s="49" t="s">
        <v>2328</v>
      </c>
      <c r="K86" s="49" t="s">
        <v>2329</v>
      </c>
      <c r="L86" s="49" t="s">
        <v>2330</v>
      </c>
      <c r="M86" s="49" t="s">
        <v>2331</v>
      </c>
      <c r="N86" s="49" t="s">
        <v>2332</v>
      </c>
      <c r="O86" s="49" t="s">
        <v>4091</v>
      </c>
      <c r="P86" s="49" t="s">
        <v>4092</v>
      </c>
      <c r="Q86" s="49" t="s">
        <v>4093</v>
      </c>
      <c r="R86" s="49" t="s">
        <v>4094</v>
      </c>
      <c r="S86" s="49" t="s">
        <v>4095</v>
      </c>
      <c r="T86" s="49" t="s">
        <v>4096</v>
      </c>
    </row>
    <row r="87" spans="1:21" x14ac:dyDescent="0.2">
      <c r="A87" s="49" t="s">
        <v>30</v>
      </c>
    </row>
    <row r="88" spans="1:21" x14ac:dyDescent="0.2">
      <c r="A88" s="49" t="s">
        <v>30</v>
      </c>
      <c r="E88" s="49" t="s">
        <v>31</v>
      </c>
      <c r="F88" s="49" t="s">
        <v>31</v>
      </c>
      <c r="G88" s="49" t="s">
        <v>31</v>
      </c>
      <c r="J88" s="49" t="s">
        <v>31</v>
      </c>
      <c r="K88" s="49" t="s">
        <v>31</v>
      </c>
      <c r="L88" s="49" t="s">
        <v>31</v>
      </c>
      <c r="M88" s="49" t="s">
        <v>31</v>
      </c>
    </row>
    <row r="89" spans="1:21" x14ac:dyDescent="0.2">
      <c r="A89" s="49" t="s">
        <v>30</v>
      </c>
      <c r="D89" s="49" t="s">
        <v>10582</v>
      </c>
      <c r="E89" s="49" t="s">
        <v>5316</v>
      </c>
      <c r="F89" s="49" t="s">
        <v>10583</v>
      </c>
      <c r="H89" s="49" t="s">
        <v>10584</v>
      </c>
      <c r="O89" s="49" t="s">
        <v>10623</v>
      </c>
      <c r="P89" s="49" t="s">
        <v>10624</v>
      </c>
      <c r="Q89" s="49" t="s">
        <v>10625</v>
      </c>
      <c r="R89" s="49" t="s">
        <v>10626</v>
      </c>
      <c r="S89" s="49" t="s">
        <v>10627</v>
      </c>
      <c r="T89" s="49" t="s">
        <v>10628</v>
      </c>
      <c r="U89" s="49" t="s">
        <v>10629</v>
      </c>
    </row>
    <row r="90" spans="1:21" x14ac:dyDescent="0.2">
      <c r="A90" s="49" t="s">
        <v>30</v>
      </c>
      <c r="D90" s="49" t="s">
        <v>372</v>
      </c>
      <c r="G90" s="49" t="s">
        <v>10585</v>
      </c>
      <c r="H90" s="49" t="s">
        <v>373</v>
      </c>
      <c r="I90" s="49" t="s">
        <v>374</v>
      </c>
      <c r="J90" s="49" t="s">
        <v>375</v>
      </c>
      <c r="K90" s="49" t="s">
        <v>376</v>
      </c>
      <c r="L90" s="49" t="s">
        <v>377</v>
      </c>
      <c r="M90" s="49" t="s">
        <v>378</v>
      </c>
      <c r="N90" s="49" t="s">
        <v>379</v>
      </c>
      <c r="O90" s="49" t="s">
        <v>4097</v>
      </c>
      <c r="P90" s="49" t="s">
        <v>4098</v>
      </c>
      <c r="Q90" s="49" t="s">
        <v>4099</v>
      </c>
      <c r="R90" s="49" t="s">
        <v>4100</v>
      </c>
      <c r="S90" s="49" t="s">
        <v>4101</v>
      </c>
      <c r="T90" s="49" t="s">
        <v>4102</v>
      </c>
    </row>
    <row r="91" spans="1:21" x14ac:dyDescent="0.2">
      <c r="A91" s="49" t="s">
        <v>30</v>
      </c>
      <c r="D91" s="49" t="s">
        <v>380</v>
      </c>
      <c r="G91" s="49" t="s">
        <v>15660</v>
      </c>
      <c r="H91" s="49" t="s">
        <v>381</v>
      </c>
      <c r="I91" s="49" t="s">
        <v>382</v>
      </c>
      <c r="J91" s="49" t="s">
        <v>383</v>
      </c>
      <c r="K91" s="49" t="s">
        <v>384</v>
      </c>
      <c r="L91" s="49" t="s">
        <v>385</v>
      </c>
      <c r="M91" s="49" t="s">
        <v>386</v>
      </c>
      <c r="N91" s="49" t="s">
        <v>387</v>
      </c>
      <c r="O91" s="49" t="s">
        <v>3672</v>
      </c>
      <c r="P91" s="49" t="s">
        <v>3673</v>
      </c>
      <c r="Q91" s="49" t="s">
        <v>3674</v>
      </c>
      <c r="R91" s="49" t="s">
        <v>3675</v>
      </c>
      <c r="S91" s="49" t="s">
        <v>3676</v>
      </c>
      <c r="T91" s="49" t="s">
        <v>3677</v>
      </c>
    </row>
    <row r="92" spans="1:21" x14ac:dyDescent="0.2">
      <c r="A92" s="49" t="s">
        <v>30</v>
      </c>
    </row>
    <row r="93" spans="1:21" x14ac:dyDescent="0.2">
      <c r="A93" s="49" t="s">
        <v>30</v>
      </c>
      <c r="E93" s="49" t="s">
        <v>31</v>
      </c>
      <c r="F93" s="49" t="s">
        <v>31</v>
      </c>
      <c r="G93" s="49" t="s">
        <v>31</v>
      </c>
      <c r="J93" s="49" t="s">
        <v>31</v>
      </c>
      <c r="K93" s="49" t="s">
        <v>31</v>
      </c>
      <c r="L93" s="49" t="s">
        <v>31</v>
      </c>
      <c r="M93" s="49" t="s">
        <v>31</v>
      </c>
    </row>
    <row r="94" spans="1:21" x14ac:dyDescent="0.2">
      <c r="A94" s="49" t="s">
        <v>30</v>
      </c>
      <c r="D94" s="49" t="s">
        <v>9423</v>
      </c>
      <c r="E94" s="49" t="s">
        <v>5331</v>
      </c>
      <c r="F94" s="49" t="s">
        <v>9424</v>
      </c>
      <c r="H94" s="49" t="s">
        <v>9425</v>
      </c>
      <c r="O94" s="49" t="s">
        <v>39119</v>
      </c>
      <c r="P94" s="49" t="s">
        <v>39120</v>
      </c>
      <c r="Q94" s="49" t="s">
        <v>39121</v>
      </c>
      <c r="R94" s="49" t="s">
        <v>39122</v>
      </c>
      <c r="S94" s="49" t="s">
        <v>39123</v>
      </c>
      <c r="T94" s="49" t="s">
        <v>39124</v>
      </c>
      <c r="U94" s="49" t="s">
        <v>39125</v>
      </c>
    </row>
    <row r="95" spans="1:21" x14ac:dyDescent="0.2">
      <c r="A95" s="49" t="s">
        <v>30</v>
      </c>
      <c r="D95" s="49" t="s">
        <v>9426</v>
      </c>
      <c r="G95" s="49" t="s">
        <v>9427</v>
      </c>
      <c r="H95" s="49" t="s">
        <v>9428</v>
      </c>
      <c r="I95" s="49" t="s">
        <v>9429</v>
      </c>
      <c r="J95" s="49" t="s">
        <v>9430</v>
      </c>
      <c r="K95" s="49" t="s">
        <v>9431</v>
      </c>
      <c r="L95" s="49" t="s">
        <v>9432</v>
      </c>
      <c r="M95" s="49" t="s">
        <v>9433</v>
      </c>
      <c r="N95" s="49" t="s">
        <v>9434</v>
      </c>
      <c r="O95" s="49" t="s">
        <v>9435</v>
      </c>
      <c r="P95" s="49" t="s">
        <v>9436</v>
      </c>
      <c r="Q95" s="49" t="s">
        <v>9437</v>
      </c>
      <c r="R95" s="49" t="s">
        <v>9438</v>
      </c>
      <c r="S95" s="49" t="s">
        <v>9439</v>
      </c>
      <c r="T95" s="49" t="s">
        <v>9440</v>
      </c>
    </row>
    <row r="96" spans="1:21" x14ac:dyDescent="0.2">
      <c r="A96" s="49" t="s">
        <v>30</v>
      </c>
      <c r="D96" s="49" t="s">
        <v>388</v>
      </c>
      <c r="G96" s="49" t="s">
        <v>15706</v>
      </c>
      <c r="H96" s="49" t="s">
        <v>389</v>
      </c>
      <c r="I96" s="49" t="s">
        <v>390</v>
      </c>
      <c r="J96" s="49" t="s">
        <v>391</v>
      </c>
      <c r="K96" s="49" t="s">
        <v>392</v>
      </c>
      <c r="L96" s="49" t="s">
        <v>393</v>
      </c>
      <c r="M96" s="49" t="s">
        <v>394</v>
      </c>
      <c r="N96" s="49" t="s">
        <v>395</v>
      </c>
      <c r="O96" s="49" t="s">
        <v>3685</v>
      </c>
      <c r="P96" s="49" t="s">
        <v>3686</v>
      </c>
      <c r="Q96" s="49" t="s">
        <v>3687</v>
      </c>
      <c r="R96" s="49" t="s">
        <v>3688</v>
      </c>
      <c r="S96" s="49" t="s">
        <v>3689</v>
      </c>
      <c r="T96" s="49" t="s">
        <v>3690</v>
      </c>
    </row>
    <row r="97" spans="1:21" x14ac:dyDescent="0.2">
      <c r="A97" s="49" t="s">
        <v>30</v>
      </c>
      <c r="D97" s="49" t="s">
        <v>396</v>
      </c>
      <c r="G97" s="49" t="s">
        <v>15724</v>
      </c>
      <c r="H97" s="49" t="s">
        <v>397</v>
      </c>
      <c r="I97" s="49" t="s">
        <v>398</v>
      </c>
      <c r="J97" s="49" t="s">
        <v>399</v>
      </c>
      <c r="K97" s="49" t="s">
        <v>400</v>
      </c>
      <c r="L97" s="49" t="s">
        <v>401</v>
      </c>
      <c r="M97" s="49" t="s">
        <v>402</v>
      </c>
      <c r="N97" s="49" t="s">
        <v>403</v>
      </c>
      <c r="O97" s="49" t="s">
        <v>3466</v>
      </c>
      <c r="P97" s="49" t="s">
        <v>3467</v>
      </c>
      <c r="Q97" s="49" t="s">
        <v>3468</v>
      </c>
      <c r="R97" s="49" t="s">
        <v>3469</v>
      </c>
      <c r="S97" s="49" t="s">
        <v>3470</v>
      </c>
      <c r="T97" s="49" t="s">
        <v>3471</v>
      </c>
    </row>
    <row r="98" spans="1:21" x14ac:dyDescent="0.2">
      <c r="A98" s="49" t="s">
        <v>30</v>
      </c>
    </row>
    <row r="99" spans="1:21" x14ac:dyDescent="0.2">
      <c r="A99" s="49" t="s">
        <v>30</v>
      </c>
      <c r="E99" s="49" t="s">
        <v>31</v>
      </c>
      <c r="F99" s="49" t="s">
        <v>31</v>
      </c>
      <c r="G99" s="49" t="s">
        <v>31</v>
      </c>
      <c r="J99" s="49" t="s">
        <v>31</v>
      </c>
      <c r="K99" s="49" t="s">
        <v>31</v>
      </c>
      <c r="L99" s="49" t="s">
        <v>31</v>
      </c>
      <c r="M99" s="49" t="s">
        <v>31</v>
      </c>
    </row>
    <row r="100" spans="1:21" x14ac:dyDescent="0.2">
      <c r="A100" s="49" t="s">
        <v>30</v>
      </c>
      <c r="D100" s="49" t="s">
        <v>1726</v>
      </c>
      <c r="E100" s="49" t="s">
        <v>5498</v>
      </c>
      <c r="F100" s="49" t="s">
        <v>1727</v>
      </c>
      <c r="H100" s="49" t="s">
        <v>1728</v>
      </c>
      <c r="O100" s="49" t="s">
        <v>13688</v>
      </c>
      <c r="P100" s="49" t="s">
        <v>13689</v>
      </c>
      <c r="Q100" s="49" t="s">
        <v>13690</v>
      </c>
      <c r="R100" s="49" t="s">
        <v>13691</v>
      </c>
      <c r="S100" s="49" t="s">
        <v>13692</v>
      </c>
      <c r="T100" s="49" t="s">
        <v>13693</v>
      </c>
      <c r="U100" s="49" t="s">
        <v>13694</v>
      </c>
    </row>
    <row r="101" spans="1:21" x14ac:dyDescent="0.2">
      <c r="A101" s="49" t="s">
        <v>30</v>
      </c>
      <c r="D101" s="49" t="s">
        <v>1729</v>
      </c>
      <c r="G101" s="49" t="s">
        <v>3472</v>
      </c>
      <c r="H101" s="49" t="s">
        <v>1730</v>
      </c>
      <c r="I101" s="49" t="s">
        <v>1731</v>
      </c>
      <c r="J101" s="49" t="s">
        <v>1732</v>
      </c>
      <c r="K101" s="49" t="s">
        <v>1733</v>
      </c>
      <c r="L101" s="49" t="s">
        <v>1734</v>
      </c>
      <c r="M101" s="49" t="s">
        <v>1735</v>
      </c>
      <c r="N101" s="49" t="s">
        <v>1736</v>
      </c>
      <c r="O101" s="49" t="s">
        <v>3473</v>
      </c>
      <c r="P101" s="49" t="s">
        <v>3474</v>
      </c>
      <c r="Q101" s="49" t="s">
        <v>3475</v>
      </c>
      <c r="R101" s="49" t="s">
        <v>3476</v>
      </c>
      <c r="S101" s="49" t="s">
        <v>3477</v>
      </c>
      <c r="T101" s="49" t="s">
        <v>3478</v>
      </c>
    </row>
    <row r="102" spans="1:21" x14ac:dyDescent="0.2">
      <c r="A102" s="49" t="s">
        <v>30</v>
      </c>
    </row>
    <row r="103" spans="1:21" x14ac:dyDescent="0.2">
      <c r="A103" s="49" t="s">
        <v>30</v>
      </c>
      <c r="E103" s="49" t="s">
        <v>31</v>
      </c>
      <c r="F103" s="49" t="s">
        <v>31</v>
      </c>
      <c r="G103" s="49" t="s">
        <v>31</v>
      </c>
      <c r="J103" s="49" t="s">
        <v>31</v>
      </c>
      <c r="K103" s="49" t="s">
        <v>31</v>
      </c>
      <c r="L103" s="49" t="s">
        <v>31</v>
      </c>
      <c r="M103" s="49" t="s">
        <v>31</v>
      </c>
    </row>
    <row r="104" spans="1:21" x14ac:dyDescent="0.2">
      <c r="A104" s="49" t="s">
        <v>30</v>
      </c>
      <c r="D104" s="49" t="s">
        <v>1907</v>
      </c>
      <c r="E104" s="49" t="s">
        <v>5555</v>
      </c>
      <c r="F104" s="49" t="s">
        <v>1908</v>
      </c>
      <c r="H104" s="49" t="s">
        <v>1909</v>
      </c>
      <c r="O104" s="49" t="s">
        <v>38194</v>
      </c>
      <c r="P104" s="49" t="s">
        <v>38195</v>
      </c>
      <c r="Q104" s="49" t="s">
        <v>38196</v>
      </c>
      <c r="R104" s="49" t="s">
        <v>38197</v>
      </c>
      <c r="S104" s="49" t="s">
        <v>38198</v>
      </c>
      <c r="T104" s="49" t="s">
        <v>38199</v>
      </c>
      <c r="U104" s="49" t="s">
        <v>38200</v>
      </c>
    </row>
    <row r="105" spans="1:21" x14ac:dyDescent="0.2">
      <c r="A105" s="49" t="s">
        <v>30</v>
      </c>
      <c r="D105" s="49" t="s">
        <v>1910</v>
      </c>
      <c r="G105" s="49" t="s">
        <v>3479</v>
      </c>
      <c r="H105" s="49" t="s">
        <v>1911</v>
      </c>
      <c r="I105" s="49" t="s">
        <v>1912</v>
      </c>
      <c r="J105" s="49" t="s">
        <v>1913</v>
      </c>
      <c r="K105" s="49" t="s">
        <v>1914</v>
      </c>
      <c r="L105" s="49" t="s">
        <v>1915</v>
      </c>
      <c r="M105" s="49" t="s">
        <v>1916</v>
      </c>
      <c r="N105" s="49" t="s">
        <v>1917</v>
      </c>
      <c r="O105" s="49" t="s">
        <v>3480</v>
      </c>
      <c r="P105" s="49" t="s">
        <v>3481</v>
      </c>
      <c r="Q105" s="49" t="s">
        <v>3482</v>
      </c>
      <c r="R105" s="49" t="s">
        <v>3483</v>
      </c>
      <c r="S105" s="49" t="s">
        <v>3484</v>
      </c>
      <c r="T105" s="49" t="s">
        <v>3485</v>
      </c>
    </row>
    <row r="106" spans="1:21" x14ac:dyDescent="0.2">
      <c r="A106" s="49" t="s">
        <v>30</v>
      </c>
      <c r="D106" s="49" t="s">
        <v>1918</v>
      </c>
      <c r="G106" s="49" t="s">
        <v>15842</v>
      </c>
      <c r="H106" s="49" t="s">
        <v>1919</v>
      </c>
      <c r="I106" s="49" t="s">
        <v>1920</v>
      </c>
      <c r="J106" s="49" t="s">
        <v>1921</v>
      </c>
      <c r="K106" s="49" t="s">
        <v>1922</v>
      </c>
      <c r="L106" s="49" t="s">
        <v>1923</v>
      </c>
      <c r="M106" s="49" t="s">
        <v>1924</v>
      </c>
      <c r="N106" s="49" t="s">
        <v>1925</v>
      </c>
      <c r="O106" s="49" t="s">
        <v>3915</v>
      </c>
      <c r="P106" s="49" t="s">
        <v>3916</v>
      </c>
      <c r="Q106" s="49" t="s">
        <v>3917</v>
      </c>
      <c r="R106" s="49" t="s">
        <v>3918</v>
      </c>
      <c r="S106" s="49" t="s">
        <v>3919</v>
      </c>
      <c r="T106" s="49" t="s">
        <v>3920</v>
      </c>
    </row>
    <row r="107" spans="1:21" x14ac:dyDescent="0.2">
      <c r="A107" s="49" t="s">
        <v>30</v>
      </c>
    </row>
    <row r="108" spans="1:21" x14ac:dyDescent="0.2">
      <c r="A108" s="49" t="s">
        <v>30</v>
      </c>
      <c r="E108" s="49" t="s">
        <v>31</v>
      </c>
      <c r="F108" s="49" t="s">
        <v>31</v>
      </c>
      <c r="G108" s="49" t="s">
        <v>31</v>
      </c>
      <c r="J108" s="49" t="s">
        <v>31</v>
      </c>
      <c r="K108" s="49" t="s">
        <v>31</v>
      </c>
      <c r="L108" s="49" t="s">
        <v>31</v>
      </c>
      <c r="M108" s="49" t="s">
        <v>31</v>
      </c>
    </row>
    <row r="109" spans="1:21" x14ac:dyDescent="0.2">
      <c r="A109" s="49" t="s">
        <v>30</v>
      </c>
      <c r="D109" s="49" t="s">
        <v>10001</v>
      </c>
      <c r="E109" s="49" t="s">
        <v>5584</v>
      </c>
      <c r="F109" s="49" t="s">
        <v>10002</v>
      </c>
      <c r="H109" s="49" t="s">
        <v>10003</v>
      </c>
      <c r="O109" s="49" t="s">
        <v>39126</v>
      </c>
      <c r="P109" s="49" t="s">
        <v>39127</v>
      </c>
      <c r="Q109" s="49" t="s">
        <v>39128</v>
      </c>
      <c r="R109" s="49" t="s">
        <v>39129</v>
      </c>
      <c r="S109" s="49" t="s">
        <v>39130</v>
      </c>
      <c r="T109" s="49" t="s">
        <v>39131</v>
      </c>
      <c r="U109" s="49" t="s">
        <v>39132</v>
      </c>
    </row>
    <row r="110" spans="1:21" x14ac:dyDescent="0.2">
      <c r="A110" s="49" t="s">
        <v>30</v>
      </c>
      <c r="D110" s="49" t="s">
        <v>1926</v>
      </c>
      <c r="G110" s="49" t="s">
        <v>10004</v>
      </c>
      <c r="H110" s="49" t="s">
        <v>1927</v>
      </c>
      <c r="I110" s="49" t="s">
        <v>1928</v>
      </c>
      <c r="J110" s="49" t="s">
        <v>1929</v>
      </c>
      <c r="K110" s="49" t="s">
        <v>1930</v>
      </c>
      <c r="L110" s="49" t="s">
        <v>1931</v>
      </c>
      <c r="M110" s="49" t="s">
        <v>1932</v>
      </c>
      <c r="N110" s="49" t="s">
        <v>1933</v>
      </c>
      <c r="O110" s="49" t="s">
        <v>3722</v>
      </c>
      <c r="P110" s="49" t="s">
        <v>3723</v>
      </c>
      <c r="Q110" s="49" t="s">
        <v>3724</v>
      </c>
      <c r="R110" s="49" t="s">
        <v>3725</v>
      </c>
      <c r="S110" s="49" t="s">
        <v>3726</v>
      </c>
      <c r="T110" s="49" t="s">
        <v>3727</v>
      </c>
    </row>
    <row r="111" spans="1:21" x14ac:dyDescent="0.2">
      <c r="A111" s="49" t="s">
        <v>30</v>
      </c>
      <c r="D111" s="49" t="s">
        <v>2570</v>
      </c>
      <c r="G111" s="49" t="s">
        <v>15867</v>
      </c>
      <c r="H111" s="49" t="s">
        <v>2571</v>
      </c>
      <c r="I111" s="49" t="s">
        <v>2572</v>
      </c>
      <c r="J111" s="49" t="s">
        <v>2573</v>
      </c>
      <c r="K111" s="49" t="s">
        <v>2574</v>
      </c>
      <c r="L111" s="49" t="s">
        <v>2575</v>
      </c>
      <c r="M111" s="49" t="s">
        <v>2576</v>
      </c>
      <c r="N111" s="49" t="s">
        <v>2577</v>
      </c>
      <c r="O111" s="49" t="s">
        <v>3921</v>
      </c>
      <c r="P111" s="49" t="s">
        <v>3922</v>
      </c>
      <c r="Q111" s="49" t="s">
        <v>3923</v>
      </c>
      <c r="R111" s="49" t="s">
        <v>3924</v>
      </c>
      <c r="S111" s="49" t="s">
        <v>3925</v>
      </c>
      <c r="T111" s="49" t="s">
        <v>3926</v>
      </c>
    </row>
    <row r="112" spans="1:21" x14ac:dyDescent="0.2">
      <c r="A112" s="49" t="s">
        <v>30</v>
      </c>
      <c r="D112" s="49" t="s">
        <v>447</v>
      </c>
      <c r="G112" s="49" t="s">
        <v>15869</v>
      </c>
      <c r="H112" s="49" t="s">
        <v>448</v>
      </c>
      <c r="I112" s="49" t="s">
        <v>449</v>
      </c>
      <c r="J112" s="49" t="s">
        <v>450</v>
      </c>
      <c r="K112" s="49" t="s">
        <v>451</v>
      </c>
      <c r="L112" s="49" t="s">
        <v>452</v>
      </c>
      <c r="M112" s="49" t="s">
        <v>453</v>
      </c>
      <c r="N112" s="49" t="s">
        <v>454</v>
      </c>
      <c r="O112" s="49" t="s">
        <v>3927</v>
      </c>
      <c r="P112" s="49" t="s">
        <v>3928</v>
      </c>
      <c r="Q112" s="49" t="s">
        <v>3929</v>
      </c>
      <c r="R112" s="49" t="s">
        <v>3930</v>
      </c>
      <c r="S112" s="49" t="s">
        <v>3931</v>
      </c>
      <c r="T112" s="49" t="s">
        <v>3932</v>
      </c>
    </row>
    <row r="113" spans="1:21" x14ac:dyDescent="0.2">
      <c r="A113" s="49" t="s">
        <v>30</v>
      </c>
    </row>
    <row r="114" spans="1:21" x14ac:dyDescent="0.2">
      <c r="A114" s="49" t="s">
        <v>30</v>
      </c>
      <c r="E114" s="49" t="s">
        <v>31</v>
      </c>
      <c r="F114" s="49" t="s">
        <v>31</v>
      </c>
      <c r="G114" s="49" t="s">
        <v>31</v>
      </c>
      <c r="J114" s="49" t="s">
        <v>31</v>
      </c>
      <c r="K114" s="49" t="s">
        <v>31</v>
      </c>
      <c r="L114" s="49" t="s">
        <v>31</v>
      </c>
      <c r="M114" s="49" t="s">
        <v>31</v>
      </c>
    </row>
    <row r="115" spans="1:21" x14ac:dyDescent="0.2">
      <c r="A115" s="49" t="s">
        <v>30</v>
      </c>
      <c r="D115" s="49" t="s">
        <v>2810</v>
      </c>
      <c r="E115" s="49" t="s">
        <v>5698</v>
      </c>
      <c r="F115" s="49" t="s">
        <v>2811</v>
      </c>
      <c r="H115" s="49" t="s">
        <v>2812</v>
      </c>
      <c r="O115" s="49" t="s">
        <v>39133</v>
      </c>
      <c r="P115" s="49" t="s">
        <v>39134</v>
      </c>
      <c r="Q115" s="49" t="s">
        <v>39135</v>
      </c>
      <c r="R115" s="49" t="s">
        <v>39136</v>
      </c>
      <c r="S115" s="49" t="s">
        <v>39137</v>
      </c>
      <c r="T115" s="49" t="s">
        <v>39138</v>
      </c>
      <c r="U115" s="49" t="s">
        <v>39139</v>
      </c>
    </row>
    <row r="116" spans="1:21" x14ac:dyDescent="0.2">
      <c r="A116" s="49" t="s">
        <v>30</v>
      </c>
      <c r="D116" s="49" t="s">
        <v>2777</v>
      </c>
      <c r="G116" s="49" t="s">
        <v>3933</v>
      </c>
      <c r="H116" s="49" t="s">
        <v>2778</v>
      </c>
      <c r="I116" s="49" t="s">
        <v>2779</v>
      </c>
      <c r="J116" s="49" t="s">
        <v>2780</v>
      </c>
      <c r="K116" s="49" t="s">
        <v>2781</v>
      </c>
      <c r="L116" s="49" t="s">
        <v>2782</v>
      </c>
      <c r="M116" s="49" t="s">
        <v>2783</v>
      </c>
      <c r="N116" s="49" t="s">
        <v>2784</v>
      </c>
      <c r="O116" s="49" t="s">
        <v>3734</v>
      </c>
      <c r="P116" s="49" t="s">
        <v>3735</v>
      </c>
      <c r="Q116" s="49" t="s">
        <v>3736</v>
      </c>
      <c r="R116" s="49" t="s">
        <v>3737</v>
      </c>
      <c r="S116" s="49" t="s">
        <v>3738</v>
      </c>
      <c r="T116" s="49" t="s">
        <v>3739</v>
      </c>
    </row>
    <row r="117" spans="1:21" x14ac:dyDescent="0.2">
      <c r="A117" s="49" t="s">
        <v>30</v>
      </c>
      <c r="D117" s="49" t="s">
        <v>1737</v>
      </c>
      <c r="G117" s="49" t="s">
        <v>15955</v>
      </c>
      <c r="H117" s="49" t="s">
        <v>1738</v>
      </c>
      <c r="I117" s="49" t="s">
        <v>1739</v>
      </c>
      <c r="J117" s="49" t="s">
        <v>1740</v>
      </c>
      <c r="K117" s="49" t="s">
        <v>1741</v>
      </c>
      <c r="L117" s="49" t="s">
        <v>1742</v>
      </c>
      <c r="M117" s="49" t="s">
        <v>1743</v>
      </c>
      <c r="N117" s="49" t="s">
        <v>1744</v>
      </c>
      <c r="O117" s="49" t="s">
        <v>3934</v>
      </c>
      <c r="P117" s="49" t="s">
        <v>3935</v>
      </c>
      <c r="Q117" s="49" t="s">
        <v>3936</v>
      </c>
      <c r="R117" s="49" t="s">
        <v>3937</v>
      </c>
      <c r="S117" s="49" t="s">
        <v>3938</v>
      </c>
      <c r="T117" s="49" t="s">
        <v>3939</v>
      </c>
    </row>
    <row r="118" spans="1:21" x14ac:dyDescent="0.2">
      <c r="A118" s="49" t="s">
        <v>30</v>
      </c>
      <c r="D118" s="49" t="s">
        <v>1934</v>
      </c>
      <c r="G118" s="49" t="s">
        <v>15960</v>
      </c>
      <c r="H118" s="49" t="s">
        <v>1935</v>
      </c>
      <c r="I118" s="49" t="s">
        <v>1936</v>
      </c>
      <c r="J118" s="49" t="s">
        <v>1937</v>
      </c>
      <c r="K118" s="49" t="s">
        <v>1938</v>
      </c>
      <c r="L118" s="49" t="s">
        <v>1939</v>
      </c>
      <c r="M118" s="49" t="s">
        <v>1940</v>
      </c>
      <c r="N118" s="49" t="s">
        <v>1941</v>
      </c>
      <c r="O118" s="49" t="s">
        <v>13695</v>
      </c>
      <c r="P118" s="49" t="s">
        <v>13696</v>
      </c>
      <c r="Q118" s="49" t="s">
        <v>13697</v>
      </c>
      <c r="R118" s="49" t="s">
        <v>13698</v>
      </c>
      <c r="S118" s="49" t="s">
        <v>13699</v>
      </c>
      <c r="T118" s="49" t="s">
        <v>13700</v>
      </c>
    </row>
    <row r="119" spans="1:21" x14ac:dyDescent="0.2">
      <c r="A119" s="49" t="s">
        <v>30</v>
      </c>
    </row>
    <row r="120" spans="1:21" x14ac:dyDescent="0.2">
      <c r="A120" s="49" t="s">
        <v>30</v>
      </c>
      <c r="E120" s="49" t="s">
        <v>31</v>
      </c>
      <c r="F120" s="49" t="s">
        <v>31</v>
      </c>
      <c r="G120" s="49" t="s">
        <v>31</v>
      </c>
      <c r="J120" s="49" t="s">
        <v>31</v>
      </c>
      <c r="K120" s="49" t="s">
        <v>31</v>
      </c>
      <c r="L120" s="49" t="s">
        <v>31</v>
      </c>
      <c r="M120" s="49" t="s">
        <v>31</v>
      </c>
    </row>
    <row r="121" spans="1:21" x14ac:dyDescent="0.2">
      <c r="A121" s="49" t="s">
        <v>30</v>
      </c>
      <c r="D121" s="49" t="s">
        <v>1942</v>
      </c>
      <c r="E121" s="49" t="s">
        <v>5805</v>
      </c>
      <c r="F121" s="49" t="s">
        <v>1943</v>
      </c>
      <c r="H121" s="49" t="s">
        <v>1944</v>
      </c>
      <c r="O121" s="49" t="s">
        <v>13771</v>
      </c>
      <c r="P121" s="49" t="s">
        <v>13772</v>
      </c>
      <c r="Q121" s="49" t="s">
        <v>13773</v>
      </c>
      <c r="R121" s="49" t="s">
        <v>13774</v>
      </c>
      <c r="S121" s="49" t="s">
        <v>13775</v>
      </c>
      <c r="T121" s="49" t="s">
        <v>13776</v>
      </c>
      <c r="U121" s="49" t="s">
        <v>13777</v>
      </c>
    </row>
    <row r="122" spans="1:21" x14ac:dyDescent="0.2">
      <c r="A122" s="49" t="s">
        <v>30</v>
      </c>
      <c r="D122" s="49" t="s">
        <v>495</v>
      </c>
      <c r="G122" s="49" t="s">
        <v>13778</v>
      </c>
      <c r="H122" s="49" t="s">
        <v>496</v>
      </c>
      <c r="I122" s="49" t="s">
        <v>497</v>
      </c>
      <c r="J122" s="49" t="s">
        <v>498</v>
      </c>
      <c r="K122" s="49" t="s">
        <v>499</v>
      </c>
      <c r="L122" s="49" t="s">
        <v>500</v>
      </c>
      <c r="M122" s="49" t="s">
        <v>501</v>
      </c>
      <c r="N122" s="49" t="s">
        <v>502</v>
      </c>
      <c r="O122" s="49" t="s">
        <v>3492</v>
      </c>
      <c r="P122" s="49" t="s">
        <v>3493</v>
      </c>
      <c r="Q122" s="49" t="s">
        <v>3494</v>
      </c>
      <c r="R122" s="49" t="s">
        <v>3495</v>
      </c>
      <c r="S122" s="49" t="s">
        <v>3496</v>
      </c>
      <c r="T122" s="49" t="s">
        <v>3497</v>
      </c>
    </row>
    <row r="123" spans="1:21" x14ac:dyDescent="0.2">
      <c r="A123" s="49" t="s">
        <v>30</v>
      </c>
    </row>
    <row r="124" spans="1:21" x14ac:dyDescent="0.2">
      <c r="A124" s="49" t="s">
        <v>30</v>
      </c>
      <c r="E124" s="49" t="s">
        <v>31</v>
      </c>
      <c r="F124" s="49" t="s">
        <v>31</v>
      </c>
      <c r="G124" s="49" t="s">
        <v>31</v>
      </c>
      <c r="J124" s="49" t="s">
        <v>31</v>
      </c>
      <c r="K124" s="49" t="s">
        <v>31</v>
      </c>
      <c r="L124" s="49" t="s">
        <v>31</v>
      </c>
      <c r="M124" s="49" t="s">
        <v>31</v>
      </c>
    </row>
    <row r="125" spans="1:21" x14ac:dyDescent="0.2">
      <c r="A125" s="49" t="s">
        <v>30</v>
      </c>
      <c r="D125" s="49" t="s">
        <v>13386</v>
      </c>
      <c r="E125" s="49" t="s">
        <v>5890</v>
      </c>
      <c r="F125" s="49" t="s">
        <v>13387</v>
      </c>
      <c r="H125" s="49" t="s">
        <v>13388</v>
      </c>
      <c r="O125" s="49" t="s">
        <v>39140</v>
      </c>
      <c r="P125" s="49" t="s">
        <v>39141</v>
      </c>
      <c r="Q125" s="49" t="s">
        <v>39142</v>
      </c>
      <c r="R125" s="49" t="s">
        <v>39143</v>
      </c>
      <c r="S125" s="49" t="s">
        <v>39144</v>
      </c>
      <c r="T125" s="49" t="s">
        <v>39145</v>
      </c>
      <c r="U125" s="49" t="s">
        <v>39146</v>
      </c>
    </row>
    <row r="126" spans="1:21" x14ac:dyDescent="0.2">
      <c r="A126" s="49" t="s">
        <v>30</v>
      </c>
      <c r="D126" s="49" t="s">
        <v>1945</v>
      </c>
      <c r="G126" s="49" t="s">
        <v>13389</v>
      </c>
      <c r="H126" s="49" t="s">
        <v>1946</v>
      </c>
      <c r="I126" s="49" t="s">
        <v>1947</v>
      </c>
      <c r="J126" s="49" t="s">
        <v>1948</v>
      </c>
      <c r="K126" s="49" t="s">
        <v>1949</v>
      </c>
      <c r="L126" s="49" t="s">
        <v>1950</v>
      </c>
      <c r="M126" s="49" t="s">
        <v>1951</v>
      </c>
      <c r="N126" s="49" t="s">
        <v>1952</v>
      </c>
      <c r="O126" s="49" t="s">
        <v>13390</v>
      </c>
      <c r="P126" s="49" t="s">
        <v>13391</v>
      </c>
      <c r="Q126" s="49" t="s">
        <v>13392</v>
      </c>
      <c r="R126" s="49" t="s">
        <v>13393</v>
      </c>
      <c r="S126" s="49" t="s">
        <v>13394</v>
      </c>
      <c r="T126" s="49" t="s">
        <v>13395</v>
      </c>
    </row>
    <row r="127" spans="1:21" x14ac:dyDescent="0.2">
      <c r="A127" s="49" t="s">
        <v>30</v>
      </c>
      <c r="D127" s="49" t="s">
        <v>1953</v>
      </c>
      <c r="G127" s="49" t="s">
        <v>16063</v>
      </c>
      <c r="H127" s="49" t="s">
        <v>1954</v>
      </c>
      <c r="I127" s="49" t="s">
        <v>1955</v>
      </c>
      <c r="J127" s="49" t="s">
        <v>1956</v>
      </c>
      <c r="K127" s="49" t="s">
        <v>1957</v>
      </c>
      <c r="L127" s="49" t="s">
        <v>1958</v>
      </c>
      <c r="M127" s="49" t="s">
        <v>1959</v>
      </c>
      <c r="N127" s="49" t="s">
        <v>1960</v>
      </c>
      <c r="O127" s="49" t="s">
        <v>3498</v>
      </c>
      <c r="P127" s="49" t="s">
        <v>3499</v>
      </c>
      <c r="Q127" s="49" t="s">
        <v>3500</v>
      </c>
      <c r="R127" s="49" t="s">
        <v>3501</v>
      </c>
      <c r="S127" s="49" t="s">
        <v>3502</v>
      </c>
      <c r="T127" s="49" t="s">
        <v>3503</v>
      </c>
    </row>
    <row r="128" spans="1:21" x14ac:dyDescent="0.2">
      <c r="A128" s="49" t="s">
        <v>30</v>
      </c>
    </row>
    <row r="129" spans="1:21" x14ac:dyDescent="0.2">
      <c r="A129" s="49" t="s">
        <v>30</v>
      </c>
      <c r="E129" s="49" t="s">
        <v>31</v>
      </c>
      <c r="F129" s="49" t="s">
        <v>31</v>
      </c>
      <c r="G129" s="49" t="s">
        <v>31</v>
      </c>
      <c r="J129" s="49" t="s">
        <v>31</v>
      </c>
      <c r="K129" s="49" t="s">
        <v>31</v>
      </c>
      <c r="L129" s="49" t="s">
        <v>31</v>
      </c>
      <c r="M129" s="49" t="s">
        <v>31</v>
      </c>
    </row>
    <row r="130" spans="1:21" x14ac:dyDescent="0.2">
      <c r="A130" s="49" t="s">
        <v>30</v>
      </c>
      <c r="D130" s="49" t="s">
        <v>2578</v>
      </c>
      <c r="E130" s="49" t="s">
        <v>5985</v>
      </c>
      <c r="F130" s="49" t="s">
        <v>2579</v>
      </c>
      <c r="H130" s="49" t="s">
        <v>2580</v>
      </c>
      <c r="O130" s="49" t="s">
        <v>34913</v>
      </c>
      <c r="P130" s="49" t="s">
        <v>34914</v>
      </c>
      <c r="Q130" s="49" t="s">
        <v>34915</v>
      </c>
      <c r="R130" s="49" t="s">
        <v>34916</v>
      </c>
      <c r="S130" s="49" t="s">
        <v>34917</v>
      </c>
      <c r="T130" s="49" t="s">
        <v>34918</v>
      </c>
      <c r="U130" s="49" t="s">
        <v>34919</v>
      </c>
    </row>
    <row r="131" spans="1:21" x14ac:dyDescent="0.2">
      <c r="A131" s="49" t="s">
        <v>30</v>
      </c>
      <c r="D131" s="49" t="s">
        <v>543</v>
      </c>
      <c r="G131" s="49" t="s">
        <v>3504</v>
      </c>
      <c r="H131" s="49" t="s">
        <v>544</v>
      </c>
      <c r="I131" s="49" t="s">
        <v>545</v>
      </c>
      <c r="J131" s="49" t="s">
        <v>546</v>
      </c>
      <c r="K131" s="49" t="s">
        <v>547</v>
      </c>
      <c r="L131" s="49" t="s">
        <v>548</v>
      </c>
      <c r="M131" s="49" t="s">
        <v>549</v>
      </c>
      <c r="N131" s="49" t="s">
        <v>550</v>
      </c>
      <c r="O131" s="49" t="s">
        <v>3505</v>
      </c>
      <c r="P131" s="49" t="s">
        <v>3506</v>
      </c>
      <c r="Q131" s="49" t="s">
        <v>3507</v>
      </c>
      <c r="R131" s="49" t="s">
        <v>3508</v>
      </c>
      <c r="S131" s="49" t="s">
        <v>3509</v>
      </c>
      <c r="T131" s="49" t="s">
        <v>3510</v>
      </c>
    </row>
    <row r="132" spans="1:21" x14ac:dyDescent="0.2">
      <c r="A132" s="49" t="s">
        <v>30</v>
      </c>
      <c r="D132" s="49" t="s">
        <v>551</v>
      </c>
      <c r="G132" s="49" t="s">
        <v>16118</v>
      </c>
      <c r="H132" s="49" t="s">
        <v>552</v>
      </c>
      <c r="I132" s="49" t="s">
        <v>553</v>
      </c>
      <c r="J132" s="49" t="s">
        <v>554</v>
      </c>
      <c r="K132" s="49" t="s">
        <v>555</v>
      </c>
      <c r="L132" s="49" t="s">
        <v>556</v>
      </c>
      <c r="M132" s="49" t="s">
        <v>557</v>
      </c>
      <c r="N132" s="49" t="s">
        <v>558</v>
      </c>
      <c r="O132" s="49" t="s">
        <v>3511</v>
      </c>
      <c r="P132" s="49" t="s">
        <v>3512</v>
      </c>
      <c r="Q132" s="49" t="s">
        <v>3513</v>
      </c>
      <c r="R132" s="49" t="s">
        <v>3514</v>
      </c>
      <c r="S132" s="49" t="s">
        <v>3515</v>
      </c>
      <c r="T132" s="49" t="s">
        <v>3516</v>
      </c>
    </row>
    <row r="133" spans="1:21" x14ac:dyDescent="0.2">
      <c r="A133" s="49" t="s">
        <v>30</v>
      </c>
      <c r="D133" s="49" t="s">
        <v>1748</v>
      </c>
      <c r="G133" s="49" t="s">
        <v>16122</v>
      </c>
      <c r="H133" s="49" t="s">
        <v>1749</v>
      </c>
      <c r="I133" s="49" t="s">
        <v>1750</v>
      </c>
      <c r="J133" s="49" t="s">
        <v>1751</v>
      </c>
      <c r="K133" s="49" t="s">
        <v>1752</v>
      </c>
      <c r="L133" s="49" t="s">
        <v>1753</v>
      </c>
      <c r="M133" s="49" t="s">
        <v>1754</v>
      </c>
      <c r="N133" s="49" t="s">
        <v>1755</v>
      </c>
      <c r="O133" s="49" t="s">
        <v>3765</v>
      </c>
      <c r="P133" s="49" t="s">
        <v>3766</v>
      </c>
      <c r="Q133" s="49" t="s">
        <v>3767</v>
      </c>
      <c r="R133" s="49" t="s">
        <v>3768</v>
      </c>
      <c r="S133" s="49" t="s">
        <v>3769</v>
      </c>
      <c r="T133" s="49" t="s">
        <v>3770</v>
      </c>
    </row>
    <row r="134" spans="1:21" x14ac:dyDescent="0.2">
      <c r="A134" s="49" t="s">
        <v>30</v>
      </c>
      <c r="D134" s="49" t="s">
        <v>2656</v>
      </c>
      <c r="G134" s="49" t="s">
        <v>16124</v>
      </c>
      <c r="H134" s="49" t="s">
        <v>2657</v>
      </c>
      <c r="I134" s="49" t="s">
        <v>2658</v>
      </c>
      <c r="J134" s="49" t="s">
        <v>2659</v>
      </c>
      <c r="K134" s="49" t="s">
        <v>2660</v>
      </c>
      <c r="L134" s="49" t="s">
        <v>2661</v>
      </c>
      <c r="M134" s="49" t="s">
        <v>2662</v>
      </c>
      <c r="N134" s="49" t="s">
        <v>2663</v>
      </c>
      <c r="O134" s="49" t="s">
        <v>3771</v>
      </c>
      <c r="P134" s="49" t="s">
        <v>3772</v>
      </c>
      <c r="Q134" s="49" t="s">
        <v>3773</v>
      </c>
      <c r="R134" s="49" t="s">
        <v>3774</v>
      </c>
      <c r="S134" s="49" t="s">
        <v>3775</v>
      </c>
      <c r="T134" s="49" t="s">
        <v>3776</v>
      </c>
    </row>
    <row r="135" spans="1:21" x14ac:dyDescent="0.2">
      <c r="A135" s="49" t="s">
        <v>30</v>
      </c>
    </row>
    <row r="136" spans="1:21" x14ac:dyDescent="0.2">
      <c r="A136" s="49" t="s">
        <v>30</v>
      </c>
      <c r="E136" s="49" t="s">
        <v>31</v>
      </c>
      <c r="F136" s="49" t="s">
        <v>31</v>
      </c>
      <c r="G136" s="49" t="s">
        <v>31</v>
      </c>
      <c r="J136" s="49" t="s">
        <v>31</v>
      </c>
      <c r="K136" s="49" t="s">
        <v>31</v>
      </c>
      <c r="L136" s="49" t="s">
        <v>31</v>
      </c>
      <c r="M136" s="49" t="s">
        <v>31</v>
      </c>
    </row>
    <row r="137" spans="1:21" x14ac:dyDescent="0.2">
      <c r="A137" s="49" t="s">
        <v>30</v>
      </c>
      <c r="D137" s="49" t="s">
        <v>2791</v>
      </c>
      <c r="E137" s="49" t="s">
        <v>6242</v>
      </c>
      <c r="F137" s="49" t="s">
        <v>2792</v>
      </c>
      <c r="H137" s="49" t="s">
        <v>2793</v>
      </c>
      <c r="O137" s="49" t="s">
        <v>38243</v>
      </c>
      <c r="P137" s="49" t="s">
        <v>38244</v>
      </c>
      <c r="Q137" s="49" t="s">
        <v>38245</v>
      </c>
      <c r="R137" s="49" t="s">
        <v>38246</v>
      </c>
      <c r="S137" s="49" t="s">
        <v>38247</v>
      </c>
      <c r="T137" s="49" t="s">
        <v>38248</v>
      </c>
      <c r="U137" s="49" t="s">
        <v>38249</v>
      </c>
    </row>
    <row r="138" spans="1:21" x14ac:dyDescent="0.2">
      <c r="A138" s="49" t="s">
        <v>30</v>
      </c>
      <c r="D138" s="49" t="s">
        <v>575</v>
      </c>
      <c r="G138" s="49" t="s">
        <v>3946</v>
      </c>
      <c r="H138" s="49" t="s">
        <v>576</v>
      </c>
      <c r="I138" s="49" t="s">
        <v>577</v>
      </c>
      <c r="J138" s="49" t="s">
        <v>578</v>
      </c>
      <c r="K138" s="49" t="s">
        <v>579</v>
      </c>
      <c r="L138" s="49" t="s">
        <v>580</v>
      </c>
      <c r="M138" s="49" t="s">
        <v>581</v>
      </c>
      <c r="N138" s="49" t="s">
        <v>582</v>
      </c>
      <c r="O138" s="49" t="s">
        <v>3947</v>
      </c>
      <c r="P138" s="49" t="s">
        <v>3948</v>
      </c>
      <c r="Q138" s="49" t="s">
        <v>3949</v>
      </c>
      <c r="R138" s="49" t="s">
        <v>3950</v>
      </c>
      <c r="S138" s="49" t="s">
        <v>3951</v>
      </c>
      <c r="T138" s="49" t="s">
        <v>3952</v>
      </c>
    </row>
    <row r="139" spans="1:21" x14ac:dyDescent="0.2">
      <c r="A139" s="49" t="s">
        <v>30</v>
      </c>
    </row>
    <row r="140" spans="1:21" x14ac:dyDescent="0.2">
      <c r="A140" s="49" t="s">
        <v>30</v>
      </c>
      <c r="E140" s="49" t="s">
        <v>31</v>
      </c>
      <c r="F140" s="49" t="s">
        <v>31</v>
      </c>
      <c r="G140" s="49" t="s">
        <v>31</v>
      </c>
      <c r="J140" s="49" t="s">
        <v>31</v>
      </c>
      <c r="K140" s="49" t="s">
        <v>31</v>
      </c>
      <c r="L140" s="49" t="s">
        <v>31</v>
      </c>
      <c r="M140" s="49" t="s">
        <v>31</v>
      </c>
    </row>
    <row r="141" spans="1:21" x14ac:dyDescent="0.2">
      <c r="A141" s="49" t="s">
        <v>30</v>
      </c>
      <c r="D141" s="49" t="s">
        <v>10648</v>
      </c>
      <c r="E141" s="49" t="s">
        <v>6351</v>
      </c>
      <c r="F141" s="49" t="s">
        <v>10649</v>
      </c>
      <c r="H141" s="49" t="s">
        <v>10650</v>
      </c>
      <c r="O141" s="49" t="s">
        <v>32299</v>
      </c>
      <c r="P141" s="49" t="s">
        <v>32300</v>
      </c>
      <c r="Q141" s="49" t="s">
        <v>32301</v>
      </c>
      <c r="R141" s="49" t="s">
        <v>32302</v>
      </c>
      <c r="S141" s="49" t="s">
        <v>32303</v>
      </c>
      <c r="T141" s="49" t="s">
        <v>32304</v>
      </c>
      <c r="U141" s="49" t="s">
        <v>32305</v>
      </c>
    </row>
    <row r="142" spans="1:21" x14ac:dyDescent="0.2">
      <c r="A142" s="49" t="s">
        <v>30</v>
      </c>
      <c r="D142" s="49" t="s">
        <v>1756</v>
      </c>
      <c r="G142" s="49" t="s">
        <v>10658</v>
      </c>
      <c r="H142" s="49" t="s">
        <v>1757</v>
      </c>
      <c r="I142" s="49" t="s">
        <v>1758</v>
      </c>
      <c r="J142" s="49" t="s">
        <v>1759</v>
      </c>
      <c r="K142" s="49" t="s">
        <v>1760</v>
      </c>
      <c r="L142" s="49" t="s">
        <v>1761</v>
      </c>
      <c r="M142" s="49" t="s">
        <v>1762</v>
      </c>
      <c r="N142" s="49" t="s">
        <v>1763</v>
      </c>
      <c r="O142" s="49" t="s">
        <v>3953</v>
      </c>
      <c r="P142" s="49" t="s">
        <v>3954</v>
      </c>
      <c r="Q142" s="49" t="s">
        <v>3955</v>
      </c>
      <c r="R142" s="49" t="s">
        <v>3956</v>
      </c>
      <c r="S142" s="49" t="s">
        <v>3957</v>
      </c>
      <c r="T142" s="49" t="s">
        <v>3958</v>
      </c>
    </row>
    <row r="143" spans="1:21" x14ac:dyDescent="0.2">
      <c r="A143" s="49" t="s">
        <v>30</v>
      </c>
      <c r="D143" s="49" t="s">
        <v>2355</v>
      </c>
      <c r="G143" s="49" t="s">
        <v>16325</v>
      </c>
      <c r="H143" s="49" t="s">
        <v>2356</v>
      </c>
      <c r="I143" s="49" t="s">
        <v>2357</v>
      </c>
      <c r="J143" s="49" t="s">
        <v>2358</v>
      </c>
      <c r="K143" s="49" t="s">
        <v>2359</v>
      </c>
      <c r="L143" s="49" t="s">
        <v>2360</v>
      </c>
      <c r="M143" s="49" t="s">
        <v>2361</v>
      </c>
      <c r="N143" s="49" t="s">
        <v>2362</v>
      </c>
      <c r="O143" s="49" t="s">
        <v>4470</v>
      </c>
      <c r="P143" s="49" t="s">
        <v>4471</v>
      </c>
      <c r="Q143" s="49" t="s">
        <v>4472</v>
      </c>
      <c r="R143" s="49" t="s">
        <v>4473</v>
      </c>
      <c r="S143" s="49" t="s">
        <v>4474</v>
      </c>
      <c r="T143" s="49" t="s">
        <v>4475</v>
      </c>
    </row>
    <row r="144" spans="1:21" x14ac:dyDescent="0.2">
      <c r="A144" s="49" t="s">
        <v>30</v>
      </c>
    </row>
    <row r="145" spans="1:21" x14ac:dyDescent="0.2">
      <c r="A145" s="49" t="s">
        <v>30</v>
      </c>
      <c r="E145" s="49" t="s">
        <v>31</v>
      </c>
      <c r="F145" s="49" t="s">
        <v>31</v>
      </c>
      <c r="G145" s="49" t="s">
        <v>31</v>
      </c>
      <c r="J145" s="49" t="s">
        <v>31</v>
      </c>
      <c r="K145" s="49" t="s">
        <v>31</v>
      </c>
      <c r="L145" s="49" t="s">
        <v>31</v>
      </c>
      <c r="M145" s="49" t="s">
        <v>31</v>
      </c>
    </row>
    <row r="146" spans="1:21" x14ac:dyDescent="0.2">
      <c r="A146" s="49" t="s">
        <v>30</v>
      </c>
      <c r="D146" s="49" t="s">
        <v>32306</v>
      </c>
      <c r="E146" s="49" t="s">
        <v>6601</v>
      </c>
      <c r="F146" s="49" t="s">
        <v>32307</v>
      </c>
      <c r="H146" s="49" t="s">
        <v>32308</v>
      </c>
      <c r="O146" s="49" t="s">
        <v>39147</v>
      </c>
      <c r="P146" s="49" t="s">
        <v>39148</v>
      </c>
      <c r="Q146" s="49" t="s">
        <v>39149</v>
      </c>
      <c r="R146" s="49" t="s">
        <v>39150</v>
      </c>
      <c r="S146" s="49" t="s">
        <v>39151</v>
      </c>
      <c r="T146" s="49" t="s">
        <v>39152</v>
      </c>
      <c r="U146" s="49" t="s">
        <v>39153</v>
      </c>
    </row>
    <row r="147" spans="1:21" x14ac:dyDescent="0.2">
      <c r="A147" s="49" t="s">
        <v>30</v>
      </c>
      <c r="D147" s="49" t="s">
        <v>14192</v>
      </c>
      <c r="G147" s="49" t="s">
        <v>32316</v>
      </c>
      <c r="H147" s="49" t="s">
        <v>31900</v>
      </c>
      <c r="I147" s="49" t="s">
        <v>31901</v>
      </c>
      <c r="J147" s="49" t="s">
        <v>31920</v>
      </c>
      <c r="K147" s="49" t="s">
        <v>31921</v>
      </c>
      <c r="L147" s="49" t="s">
        <v>14194</v>
      </c>
      <c r="M147" s="49" t="s">
        <v>14195</v>
      </c>
      <c r="N147" s="49" t="s">
        <v>14196</v>
      </c>
      <c r="O147" s="49" t="s">
        <v>32317</v>
      </c>
      <c r="P147" s="49" t="s">
        <v>32318</v>
      </c>
      <c r="Q147" s="49" t="s">
        <v>32319</v>
      </c>
      <c r="R147" s="49" t="s">
        <v>32320</v>
      </c>
      <c r="S147" s="49" t="s">
        <v>32321</v>
      </c>
      <c r="T147" s="49" t="s">
        <v>32322</v>
      </c>
    </row>
    <row r="148" spans="1:21" x14ac:dyDescent="0.2">
      <c r="A148" s="49" t="s">
        <v>30</v>
      </c>
      <c r="D148" s="49" t="s">
        <v>623</v>
      </c>
      <c r="G148" s="49" t="s">
        <v>16545</v>
      </c>
      <c r="H148" s="49" t="s">
        <v>624</v>
      </c>
      <c r="I148" s="49" t="s">
        <v>625</v>
      </c>
      <c r="J148" s="49" t="s">
        <v>626</v>
      </c>
      <c r="K148" s="49" t="s">
        <v>627</v>
      </c>
      <c r="L148" s="49" t="s">
        <v>628</v>
      </c>
      <c r="M148" s="49" t="s">
        <v>629</v>
      </c>
      <c r="N148" s="49" t="s">
        <v>630</v>
      </c>
      <c r="O148" s="49" t="s">
        <v>13705</v>
      </c>
      <c r="P148" s="49" t="s">
        <v>13706</v>
      </c>
      <c r="Q148" s="49" t="s">
        <v>13707</v>
      </c>
      <c r="R148" s="49" t="s">
        <v>13708</v>
      </c>
      <c r="S148" s="49" t="s">
        <v>13709</v>
      </c>
      <c r="T148" s="49" t="s">
        <v>13710</v>
      </c>
    </row>
    <row r="149" spans="1:21" x14ac:dyDescent="0.2">
      <c r="A149" s="49" t="s">
        <v>30</v>
      </c>
      <c r="D149" s="49" t="s">
        <v>631</v>
      </c>
      <c r="G149" s="49" t="s">
        <v>16570</v>
      </c>
      <c r="H149" s="49" t="s">
        <v>632</v>
      </c>
      <c r="I149" s="49" t="s">
        <v>633</v>
      </c>
      <c r="J149" s="49" t="s">
        <v>634</v>
      </c>
      <c r="K149" s="49" t="s">
        <v>635</v>
      </c>
      <c r="L149" s="49" t="s">
        <v>636</v>
      </c>
      <c r="M149" s="49" t="s">
        <v>637</v>
      </c>
      <c r="N149" s="49" t="s">
        <v>638</v>
      </c>
      <c r="O149" s="49" t="s">
        <v>4476</v>
      </c>
      <c r="P149" s="49" t="s">
        <v>4477</v>
      </c>
      <c r="Q149" s="49" t="s">
        <v>4478</v>
      </c>
      <c r="R149" s="49" t="s">
        <v>4479</v>
      </c>
      <c r="S149" s="49" t="s">
        <v>4480</v>
      </c>
      <c r="T149" s="49" t="s">
        <v>4481</v>
      </c>
    </row>
    <row r="150" spans="1:21" x14ac:dyDescent="0.2">
      <c r="A150" s="49" t="s">
        <v>30</v>
      </c>
      <c r="D150" s="49" t="s">
        <v>639</v>
      </c>
      <c r="G150" s="49" t="s">
        <v>16580</v>
      </c>
      <c r="H150" s="49" t="s">
        <v>640</v>
      </c>
      <c r="I150" s="49" t="s">
        <v>641</v>
      </c>
      <c r="J150" s="49" t="s">
        <v>642</v>
      </c>
      <c r="K150" s="49" t="s">
        <v>643</v>
      </c>
      <c r="L150" s="49" t="s">
        <v>644</v>
      </c>
      <c r="M150" s="49" t="s">
        <v>645</v>
      </c>
      <c r="N150" s="49" t="s">
        <v>646</v>
      </c>
      <c r="O150" s="49" t="s">
        <v>3793</v>
      </c>
      <c r="P150" s="49" t="s">
        <v>3794</v>
      </c>
      <c r="Q150" s="49" t="s">
        <v>3795</v>
      </c>
      <c r="R150" s="49" t="s">
        <v>3796</v>
      </c>
      <c r="S150" s="49" t="s">
        <v>3797</v>
      </c>
      <c r="T150" s="49" t="s">
        <v>3798</v>
      </c>
    </row>
    <row r="151" spans="1:21" x14ac:dyDescent="0.2">
      <c r="A151" s="49" t="s">
        <v>30</v>
      </c>
    </row>
    <row r="152" spans="1:21" x14ac:dyDescent="0.2">
      <c r="A152" s="49" t="s">
        <v>30</v>
      </c>
      <c r="E152" s="49" t="s">
        <v>31</v>
      </c>
      <c r="F152" s="49" t="s">
        <v>31</v>
      </c>
      <c r="G152" s="49" t="s">
        <v>31</v>
      </c>
      <c r="J152" s="49" t="s">
        <v>31</v>
      </c>
      <c r="K152" s="49" t="s">
        <v>31</v>
      </c>
      <c r="L152" s="49" t="s">
        <v>31</v>
      </c>
      <c r="M152" s="49" t="s">
        <v>31</v>
      </c>
    </row>
    <row r="153" spans="1:21" x14ac:dyDescent="0.2">
      <c r="A153" s="49" t="s">
        <v>30</v>
      </c>
      <c r="D153" s="49" t="s">
        <v>10031</v>
      </c>
      <c r="E153" s="49" t="s">
        <v>6666</v>
      </c>
      <c r="F153" s="49" t="s">
        <v>10032</v>
      </c>
      <c r="H153" s="49" t="s">
        <v>10033</v>
      </c>
      <c r="O153" s="49" t="s">
        <v>39154</v>
      </c>
      <c r="P153" s="49" t="s">
        <v>39155</v>
      </c>
      <c r="Q153" s="49" t="s">
        <v>39156</v>
      </c>
      <c r="R153" s="49" t="s">
        <v>39157</v>
      </c>
      <c r="S153" s="49" t="s">
        <v>39158</v>
      </c>
      <c r="T153" s="49" t="s">
        <v>39159</v>
      </c>
      <c r="U153" s="49" t="s">
        <v>39160</v>
      </c>
    </row>
    <row r="154" spans="1:21" x14ac:dyDescent="0.2">
      <c r="A154" s="49" t="s">
        <v>30</v>
      </c>
      <c r="D154" s="49" t="s">
        <v>671</v>
      </c>
      <c r="G154" s="49" t="s">
        <v>10034</v>
      </c>
      <c r="H154" s="49" t="s">
        <v>672</v>
      </c>
      <c r="I154" s="49" t="s">
        <v>673</v>
      </c>
      <c r="J154" s="49" t="s">
        <v>674</v>
      </c>
      <c r="K154" s="49" t="s">
        <v>675</v>
      </c>
      <c r="L154" s="49" t="s">
        <v>676</v>
      </c>
      <c r="M154" s="49" t="s">
        <v>677</v>
      </c>
      <c r="N154" s="49" t="s">
        <v>678</v>
      </c>
      <c r="O154" s="49" t="s">
        <v>3799</v>
      </c>
      <c r="P154" s="49" t="s">
        <v>3800</v>
      </c>
      <c r="Q154" s="49" t="s">
        <v>3801</v>
      </c>
      <c r="R154" s="49" t="s">
        <v>3802</v>
      </c>
      <c r="S154" s="49" t="s">
        <v>3803</v>
      </c>
      <c r="T154" s="49" t="s">
        <v>3804</v>
      </c>
    </row>
    <row r="155" spans="1:21" x14ac:dyDescent="0.2">
      <c r="A155" s="49" t="s">
        <v>30</v>
      </c>
      <c r="D155" s="49" t="s">
        <v>679</v>
      </c>
      <c r="G155" s="49" t="s">
        <v>16640</v>
      </c>
      <c r="H155" s="49" t="s">
        <v>680</v>
      </c>
      <c r="I155" s="49" t="s">
        <v>681</v>
      </c>
      <c r="J155" s="49" t="s">
        <v>682</v>
      </c>
      <c r="K155" s="49" t="s">
        <v>683</v>
      </c>
      <c r="L155" s="49" t="s">
        <v>684</v>
      </c>
      <c r="M155" s="49" t="s">
        <v>685</v>
      </c>
      <c r="N155" s="49" t="s">
        <v>686</v>
      </c>
      <c r="O155" s="49" t="s">
        <v>3959</v>
      </c>
      <c r="P155" s="49" t="s">
        <v>3960</v>
      </c>
      <c r="Q155" s="49" t="s">
        <v>3961</v>
      </c>
      <c r="R155" s="49" t="s">
        <v>3962</v>
      </c>
      <c r="S155" s="49" t="s">
        <v>3963</v>
      </c>
      <c r="T155" s="49" t="s">
        <v>3964</v>
      </c>
    </row>
    <row r="156" spans="1:21" x14ac:dyDescent="0.2">
      <c r="A156" s="49" t="s">
        <v>30</v>
      </c>
      <c r="D156" s="49" t="s">
        <v>14209</v>
      </c>
      <c r="G156" s="49" t="s">
        <v>16690</v>
      </c>
      <c r="H156" s="49" t="s">
        <v>31878</v>
      </c>
      <c r="I156" s="49" t="s">
        <v>31879</v>
      </c>
      <c r="J156" s="49" t="s">
        <v>31898</v>
      </c>
      <c r="K156" s="49" t="s">
        <v>31899</v>
      </c>
      <c r="L156" s="49" t="s">
        <v>14211</v>
      </c>
      <c r="M156" s="49" t="s">
        <v>14212</v>
      </c>
      <c r="N156" s="49" t="s">
        <v>14213</v>
      </c>
      <c r="O156" s="49" t="s">
        <v>32351</v>
      </c>
      <c r="P156" s="49" t="s">
        <v>32352</v>
      </c>
      <c r="Q156" s="49" t="s">
        <v>32353</v>
      </c>
      <c r="R156" s="49" t="s">
        <v>32354</v>
      </c>
      <c r="S156" s="49" t="s">
        <v>32355</v>
      </c>
      <c r="T156" s="49" t="s">
        <v>32356</v>
      </c>
    </row>
    <row r="157" spans="1:21" x14ac:dyDescent="0.2">
      <c r="A157" s="49" t="s">
        <v>30</v>
      </c>
    </row>
    <row r="158" spans="1:21" x14ac:dyDescent="0.2">
      <c r="A158" s="49" t="s">
        <v>30</v>
      </c>
      <c r="E158" s="49" t="s">
        <v>31</v>
      </c>
      <c r="F158" s="49" t="s">
        <v>31</v>
      </c>
      <c r="G158" s="49" t="s">
        <v>31</v>
      </c>
      <c r="J158" s="49" t="s">
        <v>31</v>
      </c>
      <c r="K158" s="49" t="s">
        <v>31</v>
      </c>
      <c r="L158" s="49" t="s">
        <v>31</v>
      </c>
      <c r="M158" s="49" t="s">
        <v>31</v>
      </c>
    </row>
    <row r="159" spans="1:21" x14ac:dyDescent="0.2">
      <c r="A159" s="49" t="s">
        <v>30</v>
      </c>
      <c r="D159" s="49" t="s">
        <v>32357</v>
      </c>
      <c r="E159" s="49" t="s">
        <v>6803</v>
      </c>
      <c r="F159" s="49" t="s">
        <v>32358</v>
      </c>
      <c r="H159" s="49" t="s">
        <v>32359</v>
      </c>
      <c r="O159" s="49" t="s">
        <v>32360</v>
      </c>
      <c r="P159" s="49" t="s">
        <v>32361</v>
      </c>
      <c r="Q159" s="49" t="s">
        <v>32362</v>
      </c>
      <c r="R159" s="49" t="s">
        <v>32363</v>
      </c>
      <c r="S159" s="49" t="s">
        <v>32364</v>
      </c>
      <c r="T159" s="49" t="s">
        <v>32365</v>
      </c>
      <c r="U159" s="49" t="s">
        <v>32366</v>
      </c>
    </row>
    <row r="160" spans="1:21" x14ac:dyDescent="0.2">
      <c r="A160" s="49" t="s">
        <v>30</v>
      </c>
      <c r="D160" s="49" t="s">
        <v>698</v>
      </c>
      <c r="G160" s="49" t="s">
        <v>32367</v>
      </c>
      <c r="H160" s="49" t="s">
        <v>699</v>
      </c>
      <c r="I160" s="49" t="s">
        <v>700</v>
      </c>
      <c r="J160" s="49" t="s">
        <v>701</v>
      </c>
      <c r="K160" s="49" t="s">
        <v>702</v>
      </c>
      <c r="L160" s="49" t="s">
        <v>703</v>
      </c>
      <c r="M160" s="49" t="s">
        <v>704</v>
      </c>
      <c r="N160" s="49" t="s">
        <v>705</v>
      </c>
      <c r="O160" s="49" t="s">
        <v>8927</v>
      </c>
      <c r="P160" s="49" t="s">
        <v>8928</v>
      </c>
      <c r="Q160" s="49" t="s">
        <v>8929</v>
      </c>
      <c r="R160" s="49" t="s">
        <v>8930</v>
      </c>
      <c r="S160" s="49" t="s">
        <v>8931</v>
      </c>
      <c r="T160" s="49" t="s">
        <v>8932</v>
      </c>
    </row>
    <row r="161" spans="1:21" x14ac:dyDescent="0.2">
      <c r="A161" s="49" t="s">
        <v>30</v>
      </c>
      <c r="D161" s="49" t="s">
        <v>706</v>
      </c>
      <c r="G161" s="49" t="s">
        <v>16875</v>
      </c>
      <c r="H161" s="49" t="s">
        <v>707</v>
      </c>
      <c r="I161" s="49" t="s">
        <v>708</v>
      </c>
      <c r="J161" s="49" t="s">
        <v>709</v>
      </c>
      <c r="K161" s="49" t="s">
        <v>710</v>
      </c>
      <c r="L161" s="49" t="s">
        <v>711</v>
      </c>
      <c r="M161" s="49" t="s">
        <v>712</v>
      </c>
      <c r="N161" s="49" t="s">
        <v>713</v>
      </c>
      <c r="O161" s="49" t="s">
        <v>3811</v>
      </c>
      <c r="P161" s="49" t="s">
        <v>3812</v>
      </c>
      <c r="Q161" s="49" t="s">
        <v>3813</v>
      </c>
      <c r="R161" s="49" t="s">
        <v>3814</v>
      </c>
      <c r="S161" s="49" t="s">
        <v>3815</v>
      </c>
      <c r="T161" s="49" t="s">
        <v>3816</v>
      </c>
    </row>
    <row r="162" spans="1:21" x14ac:dyDescent="0.2">
      <c r="A162" s="49" t="s">
        <v>30</v>
      </c>
    </row>
    <row r="163" spans="1:21" x14ac:dyDescent="0.2">
      <c r="A163" s="49" t="s">
        <v>30</v>
      </c>
      <c r="E163" s="49" t="s">
        <v>31</v>
      </c>
      <c r="F163" s="49" t="s">
        <v>31</v>
      </c>
      <c r="G163" s="49" t="s">
        <v>31</v>
      </c>
      <c r="J163" s="49" t="s">
        <v>31</v>
      </c>
      <c r="K163" s="49" t="s">
        <v>31</v>
      </c>
      <c r="L163" s="49" t="s">
        <v>31</v>
      </c>
      <c r="M163" s="49" t="s">
        <v>31</v>
      </c>
    </row>
    <row r="164" spans="1:21" x14ac:dyDescent="0.2">
      <c r="A164" s="49" t="s">
        <v>30</v>
      </c>
      <c r="D164" s="49" t="s">
        <v>4488</v>
      </c>
      <c r="E164" s="49" t="s">
        <v>7084</v>
      </c>
      <c r="F164" s="49" t="s">
        <v>4489</v>
      </c>
      <c r="H164" s="49" t="s">
        <v>4490</v>
      </c>
      <c r="O164" s="49" t="s">
        <v>4491</v>
      </c>
      <c r="P164" s="49" t="s">
        <v>4492</v>
      </c>
      <c r="Q164" s="49" t="s">
        <v>4493</v>
      </c>
      <c r="R164" s="49" t="s">
        <v>4494</v>
      </c>
      <c r="S164" s="49" t="s">
        <v>4495</v>
      </c>
      <c r="T164" s="49" t="s">
        <v>4496</v>
      </c>
      <c r="U164" s="49" t="s">
        <v>4497</v>
      </c>
    </row>
    <row r="165" spans="1:21" x14ac:dyDescent="0.2">
      <c r="A165" s="49" t="s">
        <v>30</v>
      </c>
      <c r="D165" s="49" t="s">
        <v>2832</v>
      </c>
      <c r="G165" s="49" t="s">
        <v>4498</v>
      </c>
      <c r="H165" s="49" t="s">
        <v>2833</v>
      </c>
      <c r="I165" s="49" t="s">
        <v>2834</v>
      </c>
      <c r="J165" s="49" t="s">
        <v>2835</v>
      </c>
      <c r="K165" s="49" t="s">
        <v>2836</v>
      </c>
      <c r="L165" s="49" t="s">
        <v>2837</v>
      </c>
      <c r="M165" s="49" t="s">
        <v>2838</v>
      </c>
      <c r="N165" s="49" t="s">
        <v>2839</v>
      </c>
      <c r="O165" s="49" t="s">
        <v>3966</v>
      </c>
      <c r="P165" s="49" t="s">
        <v>3967</v>
      </c>
      <c r="Q165" s="49" t="s">
        <v>3968</v>
      </c>
      <c r="R165" s="49" t="s">
        <v>3969</v>
      </c>
      <c r="S165" s="49" t="s">
        <v>3970</v>
      </c>
      <c r="T165" s="49" t="s">
        <v>3971</v>
      </c>
    </row>
    <row r="166" spans="1:21" x14ac:dyDescent="0.2">
      <c r="A166" s="49" t="s">
        <v>30</v>
      </c>
    </row>
    <row r="167" spans="1:21" x14ac:dyDescent="0.2">
      <c r="A167" s="49" t="s">
        <v>30</v>
      </c>
      <c r="E167" s="49" t="s">
        <v>31</v>
      </c>
      <c r="F167" s="49" t="s">
        <v>31</v>
      </c>
      <c r="G167" s="49" t="s">
        <v>31</v>
      </c>
      <c r="J167" s="49" t="s">
        <v>31</v>
      </c>
      <c r="K167" s="49" t="s">
        <v>31</v>
      </c>
      <c r="L167" s="49" t="s">
        <v>31</v>
      </c>
      <c r="M167" s="49" t="s">
        <v>31</v>
      </c>
    </row>
    <row r="168" spans="1:21" x14ac:dyDescent="0.2">
      <c r="A168" s="49" t="s">
        <v>30</v>
      </c>
      <c r="D168" s="49" t="s">
        <v>2840</v>
      </c>
      <c r="E168" s="49" t="s">
        <v>7291</v>
      </c>
      <c r="F168" s="49" t="s">
        <v>2841</v>
      </c>
      <c r="H168" s="49" t="s">
        <v>2842</v>
      </c>
      <c r="O168" s="49" t="s">
        <v>2843</v>
      </c>
      <c r="P168" s="49" t="s">
        <v>2844</v>
      </c>
      <c r="Q168" s="49" t="s">
        <v>2845</v>
      </c>
      <c r="R168" s="49" t="s">
        <v>2846</v>
      </c>
      <c r="S168" s="49" t="s">
        <v>2847</v>
      </c>
      <c r="T168" s="49" t="s">
        <v>2848</v>
      </c>
      <c r="U168" s="49" t="s">
        <v>2849</v>
      </c>
    </row>
    <row r="169" spans="1:21" x14ac:dyDescent="0.2">
      <c r="A169" s="49" t="s">
        <v>30</v>
      </c>
      <c r="D169" s="49" t="s">
        <v>738</v>
      </c>
      <c r="G169" s="49" t="s">
        <v>4499</v>
      </c>
      <c r="H169" s="49" t="s">
        <v>739</v>
      </c>
      <c r="I169" s="49" t="s">
        <v>740</v>
      </c>
      <c r="J169" s="49" t="s">
        <v>741</v>
      </c>
      <c r="K169" s="49" t="s">
        <v>742</v>
      </c>
      <c r="L169" s="49" t="s">
        <v>743</v>
      </c>
      <c r="M169" s="49" t="s">
        <v>744</v>
      </c>
      <c r="N169" s="49" t="s">
        <v>745</v>
      </c>
      <c r="O169" s="49" t="s">
        <v>4500</v>
      </c>
      <c r="P169" s="49" t="s">
        <v>4501</v>
      </c>
      <c r="Q169" s="49" t="s">
        <v>4502</v>
      </c>
      <c r="R169" s="49" t="s">
        <v>4503</v>
      </c>
      <c r="S169" s="49" t="s">
        <v>4504</v>
      </c>
      <c r="T169" s="49" t="s">
        <v>4505</v>
      </c>
    </row>
    <row r="170" spans="1:21" x14ac:dyDescent="0.2">
      <c r="A170" s="49" t="s">
        <v>30</v>
      </c>
    </row>
    <row r="171" spans="1:21" x14ac:dyDescent="0.2">
      <c r="A171" s="49" t="s">
        <v>30</v>
      </c>
      <c r="E171" s="49" t="s">
        <v>31</v>
      </c>
      <c r="F171" s="49" t="s">
        <v>31</v>
      </c>
      <c r="G171" s="49" t="s">
        <v>31</v>
      </c>
      <c r="J171" s="49" t="s">
        <v>31</v>
      </c>
      <c r="K171" s="49" t="s">
        <v>31</v>
      </c>
      <c r="L171" s="49" t="s">
        <v>31</v>
      </c>
      <c r="M171" s="49" t="s">
        <v>31</v>
      </c>
    </row>
    <row r="172" spans="1:21" x14ac:dyDescent="0.2">
      <c r="A172" s="49" t="s">
        <v>30</v>
      </c>
      <c r="D172" s="49" t="s">
        <v>2850</v>
      </c>
      <c r="E172" s="49" t="s">
        <v>7328</v>
      </c>
      <c r="F172" s="49" t="s">
        <v>2851</v>
      </c>
      <c r="H172" s="49" t="s">
        <v>2852</v>
      </c>
      <c r="O172" s="49" t="s">
        <v>32368</v>
      </c>
      <c r="P172" s="49" t="s">
        <v>32369</v>
      </c>
      <c r="Q172" s="49" t="s">
        <v>32370</v>
      </c>
      <c r="R172" s="49" t="s">
        <v>32371</v>
      </c>
      <c r="S172" s="49" t="s">
        <v>32372</v>
      </c>
      <c r="T172" s="49" t="s">
        <v>32373</v>
      </c>
      <c r="U172" s="49" t="s">
        <v>32374</v>
      </c>
    </row>
    <row r="173" spans="1:21" x14ac:dyDescent="0.2">
      <c r="A173" s="49" t="s">
        <v>30</v>
      </c>
      <c r="D173" s="49" t="s">
        <v>2672</v>
      </c>
      <c r="G173" s="49" t="s">
        <v>4506</v>
      </c>
      <c r="H173" s="49" t="s">
        <v>2673</v>
      </c>
      <c r="I173" s="49" t="s">
        <v>2674</v>
      </c>
      <c r="J173" s="49" t="s">
        <v>2675</v>
      </c>
      <c r="K173" s="49" t="s">
        <v>2676</v>
      </c>
      <c r="L173" s="49" t="s">
        <v>2677</v>
      </c>
      <c r="M173" s="49" t="s">
        <v>2678</v>
      </c>
      <c r="N173" s="49" t="s">
        <v>2679</v>
      </c>
      <c r="O173" s="49" t="s">
        <v>4507</v>
      </c>
      <c r="P173" s="49" t="s">
        <v>4508</v>
      </c>
      <c r="Q173" s="49" t="s">
        <v>4509</v>
      </c>
      <c r="R173" s="49" t="s">
        <v>4510</v>
      </c>
      <c r="S173" s="49" t="s">
        <v>4511</v>
      </c>
      <c r="T173" s="49" t="s">
        <v>4512</v>
      </c>
    </row>
    <row r="174" spans="1:21" x14ac:dyDescent="0.2">
      <c r="A174" s="49" t="s">
        <v>30</v>
      </c>
    </row>
    <row r="175" spans="1:21" x14ac:dyDescent="0.2">
      <c r="A175" s="49" t="s">
        <v>30</v>
      </c>
      <c r="E175" s="49" t="s">
        <v>31</v>
      </c>
      <c r="F175" s="49" t="s">
        <v>31</v>
      </c>
      <c r="G175" s="49" t="s">
        <v>31</v>
      </c>
      <c r="J175" s="49" t="s">
        <v>31</v>
      </c>
      <c r="K175" s="49" t="s">
        <v>31</v>
      </c>
      <c r="L175" s="49" t="s">
        <v>31</v>
      </c>
      <c r="M175" s="49" t="s">
        <v>31</v>
      </c>
    </row>
    <row r="176" spans="1:21" x14ac:dyDescent="0.2">
      <c r="A176" s="49" t="s">
        <v>30</v>
      </c>
      <c r="D176" s="49" t="s">
        <v>14239</v>
      </c>
      <c r="E176" s="49" t="s">
        <v>7357</v>
      </c>
      <c r="F176" s="49" t="s">
        <v>14240</v>
      </c>
      <c r="H176" s="49" t="s">
        <v>14241</v>
      </c>
      <c r="O176" s="49" t="s">
        <v>39161</v>
      </c>
      <c r="P176" s="49" t="s">
        <v>39162</v>
      </c>
      <c r="Q176" s="49" t="s">
        <v>39163</v>
      </c>
      <c r="R176" s="49" t="s">
        <v>39164</v>
      </c>
      <c r="S176" s="49" t="s">
        <v>39165</v>
      </c>
      <c r="T176" s="49" t="s">
        <v>39166</v>
      </c>
      <c r="U176" s="49" t="s">
        <v>39167</v>
      </c>
    </row>
    <row r="177" spans="1:21" x14ac:dyDescent="0.2">
      <c r="A177" s="49" t="s">
        <v>30</v>
      </c>
      <c r="D177" s="49" t="s">
        <v>762</v>
      </c>
      <c r="G177" s="49" t="s">
        <v>32382</v>
      </c>
      <c r="H177" s="49" t="s">
        <v>763</v>
      </c>
      <c r="I177" s="49" t="s">
        <v>764</v>
      </c>
      <c r="J177" s="49" t="s">
        <v>765</v>
      </c>
      <c r="K177" s="49" t="s">
        <v>766</v>
      </c>
      <c r="L177" s="49" t="s">
        <v>767</v>
      </c>
      <c r="M177" s="49" t="s">
        <v>768</v>
      </c>
      <c r="N177" s="49" t="s">
        <v>769</v>
      </c>
      <c r="O177" s="49" t="s">
        <v>32383</v>
      </c>
      <c r="P177" s="49" t="s">
        <v>32384</v>
      </c>
      <c r="Q177" s="49" t="s">
        <v>32385</v>
      </c>
      <c r="R177" s="49" t="s">
        <v>32386</v>
      </c>
      <c r="S177" s="49" t="s">
        <v>32387</v>
      </c>
      <c r="T177" s="49" t="s">
        <v>32388</v>
      </c>
    </row>
    <row r="178" spans="1:21" x14ac:dyDescent="0.2">
      <c r="A178" s="49" t="s">
        <v>30</v>
      </c>
      <c r="D178" s="49" t="s">
        <v>770</v>
      </c>
      <c r="G178" s="49" t="s">
        <v>17520</v>
      </c>
      <c r="H178" s="49" t="s">
        <v>771</v>
      </c>
      <c r="I178" s="49" t="s">
        <v>772</v>
      </c>
      <c r="J178" s="49" t="s">
        <v>773</v>
      </c>
      <c r="K178" s="49" t="s">
        <v>774</v>
      </c>
      <c r="L178" s="49" t="s">
        <v>775</v>
      </c>
      <c r="M178" s="49" t="s">
        <v>776</v>
      </c>
      <c r="N178" s="49" t="s">
        <v>777</v>
      </c>
      <c r="O178" s="49" t="s">
        <v>10327</v>
      </c>
      <c r="P178" s="49" t="s">
        <v>10328</v>
      </c>
      <c r="Q178" s="49" t="s">
        <v>10329</v>
      </c>
      <c r="R178" s="49" t="s">
        <v>10330</v>
      </c>
      <c r="S178" s="49" t="s">
        <v>10331</v>
      </c>
      <c r="T178" s="49" t="s">
        <v>10332</v>
      </c>
    </row>
    <row r="179" spans="1:21" x14ac:dyDescent="0.2">
      <c r="A179" s="49" t="s">
        <v>30</v>
      </c>
      <c r="D179" s="49" t="s">
        <v>778</v>
      </c>
      <c r="G179" s="49" t="s">
        <v>17525</v>
      </c>
      <c r="H179" s="49" t="s">
        <v>779</v>
      </c>
      <c r="I179" s="49" t="s">
        <v>780</v>
      </c>
      <c r="J179" s="49" t="s">
        <v>781</v>
      </c>
      <c r="K179" s="49" t="s">
        <v>782</v>
      </c>
      <c r="L179" s="49" t="s">
        <v>783</v>
      </c>
      <c r="M179" s="49" t="s">
        <v>784</v>
      </c>
      <c r="N179" s="49" t="s">
        <v>785</v>
      </c>
      <c r="O179" s="49" t="s">
        <v>4520</v>
      </c>
      <c r="P179" s="49" t="s">
        <v>4521</v>
      </c>
      <c r="Q179" s="49" t="s">
        <v>4522</v>
      </c>
      <c r="R179" s="49" t="s">
        <v>4523</v>
      </c>
      <c r="S179" s="49" t="s">
        <v>4524</v>
      </c>
      <c r="T179" s="49" t="s">
        <v>4525</v>
      </c>
    </row>
    <row r="180" spans="1:21" x14ac:dyDescent="0.2">
      <c r="A180" s="49" t="s">
        <v>30</v>
      </c>
    </row>
    <row r="181" spans="1:21" x14ac:dyDescent="0.2">
      <c r="A181" s="49" t="s">
        <v>30</v>
      </c>
      <c r="E181" s="49" t="s">
        <v>31</v>
      </c>
      <c r="F181" s="49" t="s">
        <v>31</v>
      </c>
      <c r="G181" s="49" t="s">
        <v>31</v>
      </c>
      <c r="J181" s="49" t="s">
        <v>31</v>
      </c>
      <c r="K181" s="49" t="s">
        <v>31</v>
      </c>
      <c r="L181" s="49" t="s">
        <v>31</v>
      </c>
      <c r="M181" s="49" t="s">
        <v>31</v>
      </c>
    </row>
    <row r="182" spans="1:21" x14ac:dyDescent="0.2">
      <c r="A182" s="49" t="s">
        <v>30</v>
      </c>
      <c r="D182" s="49" t="s">
        <v>1775</v>
      </c>
      <c r="E182" s="49" t="s">
        <v>7358</v>
      </c>
      <c r="F182" s="49" t="s">
        <v>1776</v>
      </c>
      <c r="H182" s="49" t="s">
        <v>1777</v>
      </c>
      <c r="O182" s="49" t="s">
        <v>13135</v>
      </c>
      <c r="P182" s="49" t="s">
        <v>13136</v>
      </c>
      <c r="Q182" s="49" t="s">
        <v>13137</v>
      </c>
      <c r="R182" s="49" t="s">
        <v>13138</v>
      </c>
      <c r="S182" s="49" t="s">
        <v>13139</v>
      </c>
      <c r="T182" s="49" t="s">
        <v>13140</v>
      </c>
      <c r="U182" s="49" t="s">
        <v>13141</v>
      </c>
    </row>
    <row r="183" spans="1:21" x14ac:dyDescent="0.2">
      <c r="A183" s="49" t="s">
        <v>30</v>
      </c>
      <c r="D183" s="49" t="s">
        <v>810</v>
      </c>
      <c r="G183" s="49" t="s">
        <v>4526</v>
      </c>
      <c r="H183" s="49" t="s">
        <v>811</v>
      </c>
      <c r="I183" s="49" t="s">
        <v>812</v>
      </c>
      <c r="J183" s="49" t="s">
        <v>813</v>
      </c>
      <c r="K183" s="49" t="s">
        <v>814</v>
      </c>
      <c r="L183" s="49" t="s">
        <v>815</v>
      </c>
      <c r="M183" s="49" t="s">
        <v>816</v>
      </c>
      <c r="N183" s="49" t="s">
        <v>817</v>
      </c>
      <c r="O183" s="49" t="s">
        <v>4527</v>
      </c>
      <c r="P183" s="49" t="s">
        <v>4528</v>
      </c>
      <c r="Q183" s="49" t="s">
        <v>4529</v>
      </c>
      <c r="R183" s="49" t="s">
        <v>4530</v>
      </c>
      <c r="S183" s="49" t="s">
        <v>4531</v>
      </c>
      <c r="T183" s="49" t="s">
        <v>4532</v>
      </c>
    </row>
    <row r="184" spans="1:21" x14ac:dyDescent="0.2">
      <c r="A184" s="49" t="s">
        <v>30</v>
      </c>
    </row>
    <row r="185" spans="1:21" x14ac:dyDescent="0.2">
      <c r="A185" s="49" t="s">
        <v>30</v>
      </c>
      <c r="E185" s="49" t="s">
        <v>31</v>
      </c>
      <c r="F185" s="49" t="s">
        <v>31</v>
      </c>
      <c r="G185" s="49" t="s">
        <v>31</v>
      </c>
      <c r="J185" s="49" t="s">
        <v>31</v>
      </c>
      <c r="K185" s="49" t="s">
        <v>31</v>
      </c>
      <c r="L185" s="49" t="s">
        <v>31</v>
      </c>
      <c r="M185" s="49" t="s">
        <v>31</v>
      </c>
    </row>
    <row r="186" spans="1:21" x14ac:dyDescent="0.2">
      <c r="A186" s="49" t="s">
        <v>30</v>
      </c>
      <c r="D186" s="49" t="s">
        <v>13142</v>
      </c>
      <c r="E186" s="49" t="s">
        <v>7373</v>
      </c>
      <c r="F186" s="49" t="s">
        <v>13143</v>
      </c>
      <c r="H186" s="49" t="s">
        <v>13144</v>
      </c>
      <c r="O186" s="49" t="s">
        <v>13942</v>
      </c>
      <c r="P186" s="49" t="s">
        <v>13943</v>
      </c>
      <c r="Q186" s="49" t="s">
        <v>13944</v>
      </c>
      <c r="R186" s="49" t="s">
        <v>13945</v>
      </c>
      <c r="S186" s="49" t="s">
        <v>13946</v>
      </c>
      <c r="T186" s="49" t="s">
        <v>13947</v>
      </c>
      <c r="U186" s="49" t="s">
        <v>13948</v>
      </c>
    </row>
    <row r="187" spans="1:21" x14ac:dyDescent="0.2">
      <c r="A187" s="49" t="s">
        <v>30</v>
      </c>
      <c r="D187" s="49" t="s">
        <v>1778</v>
      </c>
      <c r="G187" s="49" t="s">
        <v>13152</v>
      </c>
      <c r="H187" s="49" t="s">
        <v>1779</v>
      </c>
      <c r="I187" s="49" t="s">
        <v>1780</v>
      </c>
      <c r="J187" s="49" t="s">
        <v>1781</v>
      </c>
      <c r="K187" s="49" t="s">
        <v>1782</v>
      </c>
      <c r="L187" s="49" t="s">
        <v>1783</v>
      </c>
      <c r="M187" s="49" t="s">
        <v>1784</v>
      </c>
      <c r="N187" s="49" t="s">
        <v>1785</v>
      </c>
      <c r="O187" s="49" t="s">
        <v>4533</v>
      </c>
      <c r="P187" s="49" t="s">
        <v>4534</v>
      </c>
      <c r="Q187" s="49" t="s">
        <v>4535</v>
      </c>
      <c r="R187" s="49" t="s">
        <v>4536</v>
      </c>
      <c r="S187" s="49" t="s">
        <v>4537</v>
      </c>
      <c r="T187" s="49" t="s">
        <v>4538</v>
      </c>
    </row>
    <row r="188" spans="1:21" x14ac:dyDescent="0.2">
      <c r="A188" s="49" t="s">
        <v>30</v>
      </c>
      <c r="D188" s="49" t="s">
        <v>818</v>
      </c>
      <c r="G188" s="49" t="s">
        <v>17640</v>
      </c>
      <c r="H188" s="49" t="s">
        <v>819</v>
      </c>
      <c r="I188" s="49" t="s">
        <v>820</v>
      </c>
      <c r="J188" s="49" t="s">
        <v>821</v>
      </c>
      <c r="K188" s="49" t="s">
        <v>822</v>
      </c>
      <c r="L188" s="49" t="s">
        <v>823</v>
      </c>
      <c r="M188" s="49" t="s">
        <v>824</v>
      </c>
      <c r="N188" s="49" t="s">
        <v>825</v>
      </c>
      <c r="O188" s="49" t="s">
        <v>10081</v>
      </c>
      <c r="P188" s="49" t="s">
        <v>10082</v>
      </c>
      <c r="Q188" s="49" t="s">
        <v>10083</v>
      </c>
      <c r="R188" s="49" t="s">
        <v>10084</v>
      </c>
      <c r="S188" s="49" t="s">
        <v>10085</v>
      </c>
      <c r="T188" s="49" t="s">
        <v>10086</v>
      </c>
    </row>
    <row r="189" spans="1:21" x14ac:dyDescent="0.2">
      <c r="A189" s="49" t="s">
        <v>30</v>
      </c>
    </row>
    <row r="190" spans="1:21" x14ac:dyDescent="0.2">
      <c r="A190" s="49" t="s">
        <v>30</v>
      </c>
      <c r="E190" s="49" t="s">
        <v>31</v>
      </c>
      <c r="F190" s="49" t="s">
        <v>31</v>
      </c>
      <c r="G190" s="49" t="s">
        <v>31</v>
      </c>
      <c r="J190" s="49" t="s">
        <v>31</v>
      </c>
      <c r="K190" s="49" t="s">
        <v>31</v>
      </c>
      <c r="L190" s="49" t="s">
        <v>31</v>
      </c>
      <c r="M190" s="49" t="s">
        <v>31</v>
      </c>
    </row>
    <row r="191" spans="1:21" x14ac:dyDescent="0.2">
      <c r="A191" s="49" t="s">
        <v>30</v>
      </c>
      <c r="D191" s="49" t="s">
        <v>10087</v>
      </c>
      <c r="E191" s="49" t="s">
        <v>7447</v>
      </c>
      <c r="F191" s="49" t="s">
        <v>10088</v>
      </c>
      <c r="H191" s="49" t="s">
        <v>10089</v>
      </c>
      <c r="O191" s="49" t="s">
        <v>13711</v>
      </c>
      <c r="P191" s="49" t="s">
        <v>13712</v>
      </c>
      <c r="Q191" s="49" t="s">
        <v>13713</v>
      </c>
      <c r="R191" s="49" t="s">
        <v>13714</v>
      </c>
      <c r="S191" s="49" t="s">
        <v>13715</v>
      </c>
      <c r="T191" s="49" t="s">
        <v>13716</v>
      </c>
      <c r="U191" s="49" t="s">
        <v>13717</v>
      </c>
    </row>
    <row r="192" spans="1:21" x14ac:dyDescent="0.2">
      <c r="A192" s="49" t="s">
        <v>30</v>
      </c>
      <c r="D192" s="49" t="s">
        <v>850</v>
      </c>
      <c r="G192" s="49" t="s">
        <v>10090</v>
      </c>
      <c r="H192" s="49" t="s">
        <v>851</v>
      </c>
      <c r="I192" s="49" t="s">
        <v>852</v>
      </c>
      <c r="J192" s="49" t="s">
        <v>853</v>
      </c>
      <c r="K192" s="49" t="s">
        <v>854</v>
      </c>
      <c r="L192" s="49" t="s">
        <v>855</v>
      </c>
      <c r="M192" s="49" t="s">
        <v>856</v>
      </c>
      <c r="N192" s="49" t="s">
        <v>857</v>
      </c>
      <c r="O192" s="49" t="s">
        <v>9488</v>
      </c>
      <c r="P192" s="49" t="s">
        <v>9489</v>
      </c>
      <c r="Q192" s="49" t="s">
        <v>9490</v>
      </c>
      <c r="R192" s="49" t="s">
        <v>9491</v>
      </c>
      <c r="S192" s="49" t="s">
        <v>9492</v>
      </c>
      <c r="T192" s="49" t="s">
        <v>9493</v>
      </c>
    </row>
    <row r="193" spans="1:21" x14ac:dyDescent="0.2">
      <c r="A193" s="49" t="s">
        <v>30</v>
      </c>
    </row>
    <row r="194" spans="1:21" x14ac:dyDescent="0.2">
      <c r="A194" s="49" t="s">
        <v>30</v>
      </c>
      <c r="E194" s="49" t="s">
        <v>31</v>
      </c>
      <c r="F194" s="49" t="s">
        <v>31</v>
      </c>
      <c r="G194" s="49" t="s">
        <v>31</v>
      </c>
      <c r="J194" s="49" t="s">
        <v>31</v>
      </c>
      <c r="K194" s="49" t="s">
        <v>31</v>
      </c>
      <c r="L194" s="49" t="s">
        <v>31</v>
      </c>
      <c r="M194" s="49" t="s">
        <v>31</v>
      </c>
    </row>
    <row r="195" spans="1:21" x14ac:dyDescent="0.2">
      <c r="A195" s="49" t="s">
        <v>30</v>
      </c>
      <c r="D195" s="49" t="s">
        <v>10358</v>
      </c>
      <c r="E195" s="49" t="s">
        <v>7530</v>
      </c>
      <c r="F195" s="49" t="s">
        <v>10359</v>
      </c>
      <c r="H195" s="49" t="s">
        <v>10360</v>
      </c>
      <c r="O195" s="49" t="s">
        <v>13153</v>
      </c>
      <c r="P195" s="49" t="s">
        <v>13154</v>
      </c>
      <c r="Q195" s="49" t="s">
        <v>13155</v>
      </c>
      <c r="R195" s="49" t="s">
        <v>13156</v>
      </c>
      <c r="S195" s="49" t="s">
        <v>13157</v>
      </c>
      <c r="T195" s="49" t="s">
        <v>13158</v>
      </c>
      <c r="U195" s="49" t="s">
        <v>13159</v>
      </c>
    </row>
    <row r="196" spans="1:21" x14ac:dyDescent="0.2">
      <c r="A196" s="49" t="s">
        <v>30</v>
      </c>
      <c r="D196" s="49" t="s">
        <v>858</v>
      </c>
      <c r="G196" s="49" t="s">
        <v>10361</v>
      </c>
      <c r="H196" s="49" t="s">
        <v>859</v>
      </c>
      <c r="I196" s="49" t="s">
        <v>860</v>
      </c>
      <c r="J196" s="49" t="s">
        <v>861</v>
      </c>
      <c r="K196" s="49" t="s">
        <v>862</v>
      </c>
      <c r="L196" s="49" t="s">
        <v>863</v>
      </c>
      <c r="M196" s="49" t="s">
        <v>864</v>
      </c>
      <c r="N196" s="49" t="s">
        <v>865</v>
      </c>
      <c r="O196" s="49" t="s">
        <v>10362</v>
      </c>
      <c r="P196" s="49" t="s">
        <v>10363</v>
      </c>
      <c r="Q196" s="49" t="s">
        <v>10364</v>
      </c>
      <c r="R196" s="49" t="s">
        <v>10365</v>
      </c>
      <c r="S196" s="49" t="s">
        <v>10366</v>
      </c>
      <c r="T196" s="49" t="s">
        <v>10367</v>
      </c>
    </row>
    <row r="197" spans="1:21" x14ac:dyDescent="0.2">
      <c r="A197" s="49" t="s">
        <v>30</v>
      </c>
    </row>
    <row r="198" spans="1:21" x14ac:dyDescent="0.2">
      <c r="A198" s="49" t="s">
        <v>30</v>
      </c>
      <c r="E198" s="49" t="s">
        <v>31</v>
      </c>
      <c r="F198" s="49" t="s">
        <v>31</v>
      </c>
      <c r="G198" s="49" t="s">
        <v>31</v>
      </c>
      <c r="J198" s="49" t="s">
        <v>31</v>
      </c>
      <c r="K198" s="49" t="s">
        <v>31</v>
      </c>
      <c r="L198" s="49" t="s">
        <v>31</v>
      </c>
      <c r="M198" s="49" t="s">
        <v>31</v>
      </c>
    </row>
    <row r="199" spans="1:21" x14ac:dyDescent="0.2">
      <c r="A199" s="49" t="s">
        <v>30</v>
      </c>
      <c r="D199" s="49" t="s">
        <v>13160</v>
      </c>
      <c r="E199" s="49" t="s">
        <v>7545</v>
      </c>
      <c r="F199" s="49" t="s">
        <v>13161</v>
      </c>
      <c r="H199" s="49" t="s">
        <v>13162</v>
      </c>
      <c r="O199" s="49" t="s">
        <v>13718</v>
      </c>
      <c r="P199" s="49" t="s">
        <v>13719</v>
      </c>
      <c r="Q199" s="49" t="s">
        <v>13720</v>
      </c>
      <c r="R199" s="49" t="s">
        <v>13721</v>
      </c>
      <c r="S199" s="49" t="s">
        <v>13722</v>
      </c>
      <c r="T199" s="49" t="s">
        <v>13723</v>
      </c>
      <c r="U199" s="49" t="s">
        <v>13724</v>
      </c>
    </row>
    <row r="200" spans="1:21" x14ac:dyDescent="0.2">
      <c r="A200" s="49" t="s">
        <v>30</v>
      </c>
      <c r="D200" s="49" t="s">
        <v>2017</v>
      </c>
      <c r="G200" s="49" t="s">
        <v>13163</v>
      </c>
      <c r="H200" s="49" t="s">
        <v>2018</v>
      </c>
      <c r="I200" s="49" t="s">
        <v>2019</v>
      </c>
      <c r="J200" s="49" t="s">
        <v>2020</v>
      </c>
      <c r="K200" s="49" t="s">
        <v>2021</v>
      </c>
      <c r="L200" s="49" t="s">
        <v>2022</v>
      </c>
      <c r="M200" s="49" t="s">
        <v>2023</v>
      </c>
      <c r="N200" s="49" t="s">
        <v>2024</v>
      </c>
      <c r="O200" s="49" t="s">
        <v>13164</v>
      </c>
      <c r="P200" s="49" t="s">
        <v>13165</v>
      </c>
      <c r="Q200" s="49" t="s">
        <v>13166</v>
      </c>
      <c r="R200" s="49" t="s">
        <v>13167</v>
      </c>
      <c r="S200" s="49" t="s">
        <v>13168</v>
      </c>
      <c r="T200" s="49" t="s">
        <v>13169</v>
      </c>
    </row>
    <row r="201" spans="1:21" x14ac:dyDescent="0.2">
      <c r="A201" s="49" t="s">
        <v>30</v>
      </c>
      <c r="D201" s="49" t="s">
        <v>2025</v>
      </c>
      <c r="G201" s="49" t="s">
        <v>17915</v>
      </c>
      <c r="H201" s="49" t="s">
        <v>2026</v>
      </c>
      <c r="I201" s="49" t="s">
        <v>2027</v>
      </c>
      <c r="J201" s="49" t="s">
        <v>2028</v>
      </c>
      <c r="K201" s="49" t="s">
        <v>2029</v>
      </c>
      <c r="L201" s="49" t="s">
        <v>2030</v>
      </c>
      <c r="M201" s="49" t="s">
        <v>2031</v>
      </c>
      <c r="N201" s="49" t="s">
        <v>2032</v>
      </c>
      <c r="O201" s="49" t="s">
        <v>9509</v>
      </c>
      <c r="P201" s="49" t="s">
        <v>9510</v>
      </c>
      <c r="Q201" s="49" t="s">
        <v>9511</v>
      </c>
      <c r="R201" s="49" t="s">
        <v>9512</v>
      </c>
      <c r="S201" s="49" t="s">
        <v>9513</v>
      </c>
      <c r="T201" s="49" t="s">
        <v>9514</v>
      </c>
    </row>
    <row r="202" spans="1:21" x14ac:dyDescent="0.2">
      <c r="A202" s="49" t="s">
        <v>30</v>
      </c>
      <c r="D202" s="49" t="s">
        <v>882</v>
      </c>
      <c r="G202" s="49" t="s">
        <v>17920</v>
      </c>
      <c r="H202" s="49" t="s">
        <v>883</v>
      </c>
      <c r="I202" s="49" t="s">
        <v>884</v>
      </c>
      <c r="J202" s="49" t="s">
        <v>885</v>
      </c>
      <c r="K202" s="49" t="s">
        <v>886</v>
      </c>
      <c r="L202" s="49" t="s">
        <v>887</v>
      </c>
      <c r="M202" s="49" t="s">
        <v>888</v>
      </c>
      <c r="N202" s="49" t="s">
        <v>889</v>
      </c>
      <c r="O202" s="49" t="s">
        <v>8981</v>
      </c>
      <c r="P202" s="49" t="s">
        <v>8982</v>
      </c>
      <c r="Q202" s="49" t="s">
        <v>8983</v>
      </c>
      <c r="R202" s="49" t="s">
        <v>8984</v>
      </c>
      <c r="S202" s="49" t="s">
        <v>8985</v>
      </c>
      <c r="T202" s="49" t="s">
        <v>8986</v>
      </c>
    </row>
    <row r="203" spans="1:21" x14ac:dyDescent="0.2">
      <c r="A203" s="49" t="s">
        <v>30</v>
      </c>
    </row>
    <row r="204" spans="1:21" x14ac:dyDescent="0.2">
      <c r="A204" s="49" t="s">
        <v>30</v>
      </c>
      <c r="E204" s="49" t="s">
        <v>31</v>
      </c>
      <c r="F204" s="49" t="s">
        <v>31</v>
      </c>
      <c r="G204" s="49" t="s">
        <v>31</v>
      </c>
      <c r="J204" s="49" t="s">
        <v>31</v>
      </c>
      <c r="K204" s="49" t="s">
        <v>31</v>
      </c>
      <c r="L204" s="49" t="s">
        <v>31</v>
      </c>
      <c r="M204" s="49" t="s">
        <v>31</v>
      </c>
    </row>
    <row r="205" spans="1:21" x14ac:dyDescent="0.2">
      <c r="A205" s="49" t="s">
        <v>30</v>
      </c>
      <c r="D205" s="49" t="s">
        <v>10091</v>
      </c>
      <c r="E205" s="49" t="s">
        <v>17950</v>
      </c>
      <c r="F205" s="49" t="s">
        <v>10092</v>
      </c>
      <c r="H205" s="49" t="s">
        <v>10093</v>
      </c>
      <c r="O205" s="49" t="s">
        <v>13725</v>
      </c>
      <c r="P205" s="49" t="s">
        <v>13726</v>
      </c>
      <c r="Q205" s="49" t="s">
        <v>13727</v>
      </c>
      <c r="R205" s="49" t="s">
        <v>13728</v>
      </c>
      <c r="S205" s="49" t="s">
        <v>13729</v>
      </c>
      <c r="T205" s="49" t="s">
        <v>13730</v>
      </c>
      <c r="U205" s="49" t="s">
        <v>13731</v>
      </c>
    </row>
    <row r="206" spans="1:21" x14ac:dyDescent="0.2">
      <c r="A206" s="49" t="s">
        <v>30</v>
      </c>
      <c r="D206" s="49" t="s">
        <v>914</v>
      </c>
      <c r="G206" s="49" t="s">
        <v>10094</v>
      </c>
      <c r="H206" s="49" t="s">
        <v>915</v>
      </c>
      <c r="I206" s="49" t="s">
        <v>916</v>
      </c>
      <c r="J206" s="49" t="s">
        <v>917</v>
      </c>
      <c r="K206" s="49" t="s">
        <v>918</v>
      </c>
      <c r="L206" s="49" t="s">
        <v>919</v>
      </c>
      <c r="M206" s="49" t="s">
        <v>920</v>
      </c>
      <c r="N206" s="49" t="s">
        <v>921</v>
      </c>
      <c r="O206" s="49" t="s">
        <v>10095</v>
      </c>
      <c r="P206" s="49" t="s">
        <v>10096</v>
      </c>
      <c r="Q206" s="49" t="s">
        <v>10097</v>
      </c>
      <c r="R206" s="49" t="s">
        <v>10098</v>
      </c>
      <c r="S206" s="49" t="s">
        <v>10099</v>
      </c>
      <c r="T206" s="49" t="s">
        <v>10100</v>
      </c>
    </row>
    <row r="207" spans="1:21" x14ac:dyDescent="0.2">
      <c r="A207" s="49" t="s">
        <v>30</v>
      </c>
    </row>
    <row r="208" spans="1:21" x14ac:dyDescent="0.2">
      <c r="A208" s="49" t="s">
        <v>30</v>
      </c>
      <c r="E208" s="49" t="s">
        <v>31</v>
      </c>
      <c r="F208" s="49" t="s">
        <v>31</v>
      </c>
      <c r="G208" s="49" t="s">
        <v>31</v>
      </c>
      <c r="J208" s="49" t="s">
        <v>31</v>
      </c>
      <c r="K208" s="49" t="s">
        <v>31</v>
      </c>
      <c r="L208" s="49" t="s">
        <v>31</v>
      </c>
      <c r="M208" s="49" t="s">
        <v>31</v>
      </c>
    </row>
    <row r="209" spans="1:21" x14ac:dyDescent="0.2">
      <c r="A209" s="49" t="s">
        <v>30</v>
      </c>
      <c r="D209" s="49" t="s">
        <v>4682</v>
      </c>
      <c r="E209" s="49" t="s">
        <v>7745</v>
      </c>
      <c r="F209" s="49" t="s">
        <v>4684</v>
      </c>
      <c r="H209" s="49" t="s">
        <v>4685</v>
      </c>
      <c r="O209" s="49" t="s">
        <v>13170</v>
      </c>
      <c r="P209" s="49" t="s">
        <v>13171</v>
      </c>
      <c r="Q209" s="49" t="s">
        <v>13172</v>
      </c>
      <c r="R209" s="49" t="s">
        <v>13173</v>
      </c>
      <c r="S209" s="49" t="s">
        <v>13174</v>
      </c>
      <c r="T209" s="49" t="s">
        <v>13175</v>
      </c>
      <c r="U209" s="49" t="s">
        <v>13176</v>
      </c>
    </row>
    <row r="210" spans="1:21" x14ac:dyDescent="0.2">
      <c r="A210" s="49" t="s">
        <v>30</v>
      </c>
      <c r="D210" s="49" t="s">
        <v>2033</v>
      </c>
      <c r="G210" s="49" t="s">
        <v>13177</v>
      </c>
      <c r="H210" s="49" t="s">
        <v>2034</v>
      </c>
      <c r="I210" s="49" t="s">
        <v>2035</v>
      </c>
      <c r="J210" s="49" t="s">
        <v>2036</v>
      </c>
      <c r="K210" s="49" t="s">
        <v>2037</v>
      </c>
      <c r="L210" s="49" t="s">
        <v>2038</v>
      </c>
      <c r="M210" s="49" t="s">
        <v>2039</v>
      </c>
      <c r="N210" s="49" t="s">
        <v>2040</v>
      </c>
      <c r="O210" s="49" t="s">
        <v>10380</v>
      </c>
      <c r="P210" s="49" t="s">
        <v>10381</v>
      </c>
      <c r="Q210" s="49" t="s">
        <v>10382</v>
      </c>
      <c r="R210" s="49" t="s">
        <v>10383</v>
      </c>
      <c r="S210" s="49" t="s">
        <v>10384</v>
      </c>
      <c r="T210" s="49" t="s">
        <v>10385</v>
      </c>
    </row>
    <row r="211" spans="1:21" x14ac:dyDescent="0.2">
      <c r="A211" s="49" t="s">
        <v>30</v>
      </c>
    </row>
    <row r="212" spans="1:21" x14ac:dyDescent="0.2">
      <c r="A212" s="49" t="s">
        <v>30</v>
      </c>
      <c r="E212" s="49" t="s">
        <v>31</v>
      </c>
      <c r="F212" s="49" t="s">
        <v>31</v>
      </c>
      <c r="G212" s="49" t="s">
        <v>31</v>
      </c>
      <c r="J212" s="49" t="s">
        <v>31</v>
      </c>
      <c r="K212" s="49" t="s">
        <v>31</v>
      </c>
      <c r="L212" s="49" t="s">
        <v>31</v>
      </c>
      <c r="M212" s="49" t="s">
        <v>31</v>
      </c>
    </row>
    <row r="213" spans="1:21" x14ac:dyDescent="0.2">
      <c r="A213" s="49" t="s">
        <v>30</v>
      </c>
      <c r="D213" s="49" t="s">
        <v>10386</v>
      </c>
      <c r="E213" s="49" t="s">
        <v>7760</v>
      </c>
      <c r="F213" s="49" t="s">
        <v>10387</v>
      </c>
      <c r="H213" s="49" t="s">
        <v>10388</v>
      </c>
      <c r="O213" s="49" t="s">
        <v>13178</v>
      </c>
      <c r="P213" s="49" t="s">
        <v>13179</v>
      </c>
      <c r="Q213" s="49" t="s">
        <v>13180</v>
      </c>
      <c r="R213" s="49" t="s">
        <v>13181</v>
      </c>
      <c r="S213" s="49" t="s">
        <v>13182</v>
      </c>
      <c r="T213" s="49" t="s">
        <v>13183</v>
      </c>
      <c r="U213" s="49" t="s">
        <v>13184</v>
      </c>
    </row>
    <row r="214" spans="1:21" x14ac:dyDescent="0.2">
      <c r="A214" s="49" t="s">
        <v>30</v>
      </c>
      <c r="D214" s="49" t="s">
        <v>954</v>
      </c>
      <c r="G214" s="49" t="s">
        <v>10389</v>
      </c>
      <c r="H214" s="49" t="s">
        <v>955</v>
      </c>
      <c r="I214" s="49" t="s">
        <v>956</v>
      </c>
      <c r="J214" s="49" t="s">
        <v>957</v>
      </c>
      <c r="K214" s="49" t="s">
        <v>958</v>
      </c>
      <c r="L214" s="49" t="s">
        <v>959</v>
      </c>
      <c r="M214" s="49" t="s">
        <v>960</v>
      </c>
      <c r="N214" s="49" t="s">
        <v>961</v>
      </c>
      <c r="O214" s="49" t="s">
        <v>10390</v>
      </c>
      <c r="P214" s="49" t="s">
        <v>10391</v>
      </c>
      <c r="Q214" s="49" t="s">
        <v>10392</v>
      </c>
      <c r="R214" s="49" t="s">
        <v>10393</v>
      </c>
      <c r="S214" s="49" t="s">
        <v>10394</v>
      </c>
      <c r="T214" s="49" t="s">
        <v>10395</v>
      </c>
    </row>
    <row r="215" spans="1:21" x14ac:dyDescent="0.2">
      <c r="A215" s="49" t="s">
        <v>30</v>
      </c>
    </row>
    <row r="216" spans="1:21" x14ac:dyDescent="0.2">
      <c r="A216" s="49" t="s">
        <v>30</v>
      </c>
      <c r="E216" s="49" t="s">
        <v>31</v>
      </c>
      <c r="F216" s="49" t="s">
        <v>31</v>
      </c>
      <c r="G216" s="49" t="s">
        <v>31</v>
      </c>
      <c r="J216" s="49" t="s">
        <v>31</v>
      </c>
      <c r="K216" s="49" t="s">
        <v>31</v>
      </c>
      <c r="L216" s="49" t="s">
        <v>31</v>
      </c>
      <c r="M216" s="49" t="s">
        <v>31</v>
      </c>
    </row>
    <row r="217" spans="1:21" x14ac:dyDescent="0.2">
      <c r="A217" s="49" t="s">
        <v>30</v>
      </c>
      <c r="D217" s="49" t="s">
        <v>13185</v>
      </c>
      <c r="E217" s="49" t="s">
        <v>7803</v>
      </c>
      <c r="F217" s="49" t="s">
        <v>13186</v>
      </c>
      <c r="H217" s="49" t="s">
        <v>13187</v>
      </c>
      <c r="O217" s="49" t="s">
        <v>13188</v>
      </c>
      <c r="P217" s="49" t="s">
        <v>13189</v>
      </c>
      <c r="Q217" s="49" t="s">
        <v>13190</v>
      </c>
      <c r="R217" s="49" t="s">
        <v>13191</v>
      </c>
      <c r="S217" s="49" t="s">
        <v>13192</v>
      </c>
      <c r="T217" s="49" t="s">
        <v>13193</v>
      </c>
      <c r="U217" s="49" t="s">
        <v>13194</v>
      </c>
    </row>
    <row r="218" spans="1:21" x14ac:dyDescent="0.2">
      <c r="A218" s="49" t="s">
        <v>30</v>
      </c>
      <c r="D218" s="49" t="s">
        <v>986</v>
      </c>
      <c r="G218" s="49" t="s">
        <v>13195</v>
      </c>
      <c r="H218" s="49" t="s">
        <v>987</v>
      </c>
      <c r="I218" s="49" t="s">
        <v>988</v>
      </c>
      <c r="J218" s="49" t="s">
        <v>989</v>
      </c>
      <c r="K218" s="49" t="s">
        <v>990</v>
      </c>
      <c r="L218" s="49" t="s">
        <v>991</v>
      </c>
      <c r="M218" s="49" t="s">
        <v>992</v>
      </c>
      <c r="N218" s="49" t="s">
        <v>993</v>
      </c>
      <c r="O218" s="49" t="s">
        <v>9525</v>
      </c>
      <c r="P218" s="49" t="s">
        <v>9526</v>
      </c>
      <c r="Q218" s="49" t="s">
        <v>9527</v>
      </c>
      <c r="R218" s="49" t="s">
        <v>9528</v>
      </c>
      <c r="S218" s="49" t="s">
        <v>9529</v>
      </c>
      <c r="T218" s="49" t="s">
        <v>9530</v>
      </c>
    </row>
    <row r="219" spans="1:21" x14ac:dyDescent="0.2">
      <c r="A219" s="49" t="s">
        <v>30</v>
      </c>
    </row>
    <row r="220" spans="1:21" x14ac:dyDescent="0.2">
      <c r="A220" s="49" t="s">
        <v>30</v>
      </c>
      <c r="E220" s="49" t="s">
        <v>31</v>
      </c>
      <c r="F220" s="49" t="s">
        <v>31</v>
      </c>
      <c r="G220" s="49" t="s">
        <v>31</v>
      </c>
      <c r="J220" s="49" t="s">
        <v>31</v>
      </c>
      <c r="K220" s="49" t="s">
        <v>31</v>
      </c>
      <c r="L220" s="49" t="s">
        <v>31</v>
      </c>
      <c r="M220" s="49" t="s">
        <v>31</v>
      </c>
    </row>
    <row r="221" spans="1:21" x14ac:dyDescent="0.2">
      <c r="A221" s="49" t="s">
        <v>30</v>
      </c>
      <c r="D221" s="49" t="s">
        <v>9531</v>
      </c>
      <c r="E221" s="49" t="s">
        <v>18336</v>
      </c>
      <c r="F221" s="49" t="s">
        <v>9532</v>
      </c>
      <c r="H221" s="49" t="s">
        <v>9533</v>
      </c>
      <c r="O221" s="49" t="s">
        <v>13196</v>
      </c>
      <c r="P221" s="49" t="s">
        <v>13197</v>
      </c>
      <c r="Q221" s="49" t="s">
        <v>13198</v>
      </c>
      <c r="R221" s="49" t="s">
        <v>13199</v>
      </c>
      <c r="S221" s="49" t="s">
        <v>13200</v>
      </c>
      <c r="T221" s="49" t="s">
        <v>13201</v>
      </c>
      <c r="U221" s="49" t="s">
        <v>13202</v>
      </c>
    </row>
    <row r="222" spans="1:21" x14ac:dyDescent="0.2">
      <c r="A222" s="49" t="s">
        <v>30</v>
      </c>
      <c r="D222" s="49" t="s">
        <v>9534</v>
      </c>
      <c r="G222" s="49" t="s">
        <v>9535</v>
      </c>
      <c r="H222" s="49" t="s">
        <v>9536</v>
      </c>
      <c r="I222" s="49" t="s">
        <v>9537</v>
      </c>
      <c r="J222" s="49" t="s">
        <v>9538</v>
      </c>
      <c r="K222" s="49" t="s">
        <v>9539</v>
      </c>
      <c r="L222" s="49" t="s">
        <v>9540</v>
      </c>
      <c r="M222" s="49" t="s">
        <v>9541</v>
      </c>
      <c r="N222" s="49" t="s">
        <v>9542</v>
      </c>
      <c r="O222" s="49" t="s">
        <v>9543</v>
      </c>
      <c r="P222" s="49" t="s">
        <v>9544</v>
      </c>
      <c r="Q222" s="49" t="s">
        <v>9545</v>
      </c>
      <c r="R222" s="49" t="s">
        <v>9546</v>
      </c>
      <c r="S222" s="49" t="s">
        <v>9547</v>
      </c>
      <c r="T222" s="49" t="s">
        <v>9548</v>
      </c>
    </row>
    <row r="223" spans="1:21" x14ac:dyDescent="0.2">
      <c r="A223" s="49" t="s">
        <v>30</v>
      </c>
    </row>
    <row r="224" spans="1:21" x14ac:dyDescent="0.2">
      <c r="A224" s="49" t="s">
        <v>30</v>
      </c>
      <c r="E224" s="49" t="s">
        <v>31</v>
      </c>
      <c r="F224" s="49" t="s">
        <v>31</v>
      </c>
      <c r="G224" s="49" t="s">
        <v>31</v>
      </c>
      <c r="J224" s="49" t="s">
        <v>31</v>
      </c>
      <c r="K224" s="49" t="s">
        <v>31</v>
      </c>
      <c r="L224" s="49" t="s">
        <v>31</v>
      </c>
      <c r="M224" s="49" t="s">
        <v>31</v>
      </c>
    </row>
    <row r="225" spans="1:21" x14ac:dyDescent="0.2">
      <c r="A225" s="49" t="s">
        <v>30</v>
      </c>
      <c r="D225" s="49" t="s">
        <v>10781</v>
      </c>
      <c r="E225" s="49" t="s">
        <v>7818</v>
      </c>
      <c r="F225" s="49" t="s">
        <v>10782</v>
      </c>
      <c r="H225" s="49" t="s">
        <v>10783</v>
      </c>
      <c r="O225" s="49" t="s">
        <v>39168</v>
      </c>
      <c r="P225" s="49" t="s">
        <v>39169</v>
      </c>
      <c r="Q225" s="49" t="s">
        <v>39170</v>
      </c>
      <c r="R225" s="49" t="s">
        <v>39171</v>
      </c>
      <c r="S225" s="49" t="s">
        <v>39172</v>
      </c>
      <c r="T225" s="49" t="s">
        <v>39173</v>
      </c>
      <c r="U225" s="49" t="s">
        <v>39174</v>
      </c>
    </row>
    <row r="226" spans="1:21" x14ac:dyDescent="0.2">
      <c r="A226" s="49" t="s">
        <v>30</v>
      </c>
      <c r="D226" s="49" t="s">
        <v>4687</v>
      </c>
      <c r="G226" s="49" t="s">
        <v>13203</v>
      </c>
      <c r="H226" s="49" t="s">
        <v>4688</v>
      </c>
      <c r="I226" s="49" t="s">
        <v>4689</v>
      </c>
      <c r="J226" s="49" t="s">
        <v>4690</v>
      </c>
      <c r="K226" s="49" t="s">
        <v>4691</v>
      </c>
      <c r="L226" s="49" t="s">
        <v>4692</v>
      </c>
      <c r="M226" s="49" t="s">
        <v>4693</v>
      </c>
      <c r="N226" s="49" t="s">
        <v>4694</v>
      </c>
      <c r="O226" s="49" t="s">
        <v>10409</v>
      </c>
      <c r="P226" s="49" t="s">
        <v>10410</v>
      </c>
      <c r="Q226" s="49" t="s">
        <v>10411</v>
      </c>
      <c r="R226" s="49" t="s">
        <v>10412</v>
      </c>
      <c r="S226" s="49" t="s">
        <v>10413</v>
      </c>
      <c r="T226" s="49" t="s">
        <v>10414</v>
      </c>
    </row>
    <row r="227" spans="1:21" x14ac:dyDescent="0.2">
      <c r="A227" s="49" t="s">
        <v>30</v>
      </c>
    </row>
    <row r="228" spans="1:21" x14ac:dyDescent="0.2">
      <c r="A228" s="49" t="s">
        <v>30</v>
      </c>
      <c r="E228" s="49" t="s">
        <v>31</v>
      </c>
      <c r="F228" s="49" t="s">
        <v>31</v>
      </c>
      <c r="G228" s="49" t="s">
        <v>31</v>
      </c>
      <c r="J228" s="49" t="s">
        <v>31</v>
      </c>
      <c r="K228" s="49" t="s">
        <v>31</v>
      </c>
      <c r="L228" s="49" t="s">
        <v>31</v>
      </c>
      <c r="M228" s="49" t="s">
        <v>31</v>
      </c>
    </row>
    <row r="229" spans="1:21" x14ac:dyDescent="0.2">
      <c r="A229" s="49" t="s">
        <v>30</v>
      </c>
      <c r="D229" s="49" t="s">
        <v>13956</v>
      </c>
      <c r="E229" s="49" t="s">
        <v>7819</v>
      </c>
      <c r="F229" s="49" t="s">
        <v>13957</v>
      </c>
      <c r="H229" s="49" t="s">
        <v>13958</v>
      </c>
      <c r="O229" s="49" t="s">
        <v>13959</v>
      </c>
      <c r="P229" s="49" t="s">
        <v>13960</v>
      </c>
      <c r="Q229" s="49" t="s">
        <v>13961</v>
      </c>
      <c r="R229" s="49" t="s">
        <v>13962</v>
      </c>
      <c r="S229" s="49" t="s">
        <v>13963</v>
      </c>
      <c r="T229" s="49" t="s">
        <v>13964</v>
      </c>
      <c r="U229" s="49" t="s">
        <v>13965</v>
      </c>
    </row>
    <row r="230" spans="1:21" x14ac:dyDescent="0.2">
      <c r="A230" s="49" t="s">
        <v>30</v>
      </c>
      <c r="D230" s="49" t="s">
        <v>1018</v>
      </c>
      <c r="G230" s="49" t="s">
        <v>13966</v>
      </c>
      <c r="H230" s="49" t="s">
        <v>1019</v>
      </c>
      <c r="I230" s="49" t="s">
        <v>1020</v>
      </c>
      <c r="J230" s="49" t="s">
        <v>1021</v>
      </c>
      <c r="K230" s="49" t="s">
        <v>1022</v>
      </c>
      <c r="L230" s="49" t="s">
        <v>1023</v>
      </c>
      <c r="M230" s="49" t="s">
        <v>1024</v>
      </c>
      <c r="N230" s="49" t="s">
        <v>1025</v>
      </c>
      <c r="O230" s="49" t="s">
        <v>13967</v>
      </c>
      <c r="P230" s="49" t="s">
        <v>13968</v>
      </c>
      <c r="Q230" s="49" t="s">
        <v>13969</v>
      </c>
      <c r="R230" s="49" t="s">
        <v>13970</v>
      </c>
      <c r="S230" s="49" t="s">
        <v>13971</v>
      </c>
      <c r="T230" s="49" t="s">
        <v>13972</v>
      </c>
    </row>
    <row r="231" spans="1:21" x14ac:dyDescent="0.2">
      <c r="A231" s="49" t="s">
        <v>30</v>
      </c>
    </row>
    <row r="232" spans="1:21" x14ac:dyDescent="0.2">
      <c r="A232" s="49" t="s">
        <v>30</v>
      </c>
      <c r="E232" s="49" t="s">
        <v>31</v>
      </c>
      <c r="F232" s="49" t="s">
        <v>31</v>
      </c>
      <c r="G232" s="49" t="s">
        <v>31</v>
      </c>
      <c r="J232" s="49" t="s">
        <v>31</v>
      </c>
      <c r="K232" s="49" t="s">
        <v>31</v>
      </c>
      <c r="L232" s="49" t="s">
        <v>31</v>
      </c>
      <c r="M232" s="49" t="s">
        <v>31</v>
      </c>
    </row>
    <row r="233" spans="1:21" x14ac:dyDescent="0.2">
      <c r="A233" s="49" t="s">
        <v>30</v>
      </c>
      <c r="D233" s="49" t="s">
        <v>13973</v>
      </c>
      <c r="E233" s="49" t="s">
        <v>7849</v>
      </c>
      <c r="F233" s="49" t="s">
        <v>13974</v>
      </c>
      <c r="H233" s="49" t="s">
        <v>13975</v>
      </c>
      <c r="O233" s="49" t="s">
        <v>13976</v>
      </c>
      <c r="P233" s="49" t="s">
        <v>13977</v>
      </c>
      <c r="Q233" s="49" t="s">
        <v>13978</v>
      </c>
      <c r="R233" s="49" t="s">
        <v>13979</v>
      </c>
      <c r="S233" s="49" t="s">
        <v>13980</v>
      </c>
      <c r="T233" s="49" t="s">
        <v>13981</v>
      </c>
      <c r="U233" s="49" t="s">
        <v>13982</v>
      </c>
    </row>
    <row r="234" spans="1:21" x14ac:dyDescent="0.2">
      <c r="A234" s="49" t="s">
        <v>30</v>
      </c>
      <c r="D234" s="49" t="s">
        <v>1026</v>
      </c>
      <c r="G234" s="49" t="s">
        <v>13983</v>
      </c>
      <c r="H234" s="49" t="s">
        <v>1027</v>
      </c>
      <c r="I234" s="49" t="s">
        <v>1028</v>
      </c>
      <c r="J234" s="49" t="s">
        <v>1029</v>
      </c>
      <c r="K234" s="49" t="s">
        <v>1030</v>
      </c>
      <c r="L234" s="49" t="s">
        <v>1031</v>
      </c>
      <c r="M234" s="49" t="s">
        <v>1032</v>
      </c>
      <c r="N234" s="49" t="s">
        <v>1033</v>
      </c>
      <c r="O234" s="49" t="s">
        <v>10135</v>
      </c>
      <c r="P234" s="49" t="s">
        <v>10136</v>
      </c>
      <c r="Q234" s="49" t="s">
        <v>10137</v>
      </c>
      <c r="R234" s="49" t="s">
        <v>10138</v>
      </c>
      <c r="S234" s="49" t="s">
        <v>10139</v>
      </c>
      <c r="T234" s="49" t="s">
        <v>10140</v>
      </c>
    </row>
    <row r="235" spans="1:21" x14ac:dyDescent="0.2">
      <c r="A235" s="49" t="s">
        <v>30</v>
      </c>
    </row>
    <row r="236" spans="1:21" x14ac:dyDescent="0.2">
      <c r="A236" s="49" t="s">
        <v>30</v>
      </c>
      <c r="E236" s="49" t="s">
        <v>31</v>
      </c>
      <c r="F236" s="49" t="s">
        <v>31</v>
      </c>
      <c r="G236" s="49" t="s">
        <v>31</v>
      </c>
      <c r="J236" s="49" t="s">
        <v>31</v>
      </c>
      <c r="K236" s="49" t="s">
        <v>31</v>
      </c>
      <c r="L236" s="49" t="s">
        <v>31</v>
      </c>
      <c r="M236" s="49" t="s">
        <v>31</v>
      </c>
    </row>
    <row r="237" spans="1:21" x14ac:dyDescent="0.2">
      <c r="A237" s="49" t="s">
        <v>30</v>
      </c>
      <c r="D237" s="49" t="s">
        <v>10141</v>
      </c>
      <c r="E237" s="49" t="s">
        <v>7864</v>
      </c>
      <c r="F237" s="49" t="s">
        <v>10142</v>
      </c>
      <c r="H237" s="49" t="s">
        <v>10143</v>
      </c>
      <c r="O237" s="49" t="s">
        <v>33282</v>
      </c>
      <c r="P237" s="49" t="s">
        <v>33283</v>
      </c>
      <c r="Q237" s="49" t="s">
        <v>33284</v>
      </c>
      <c r="R237" s="49" t="s">
        <v>33285</v>
      </c>
      <c r="S237" s="49" t="s">
        <v>33286</v>
      </c>
      <c r="T237" s="49" t="s">
        <v>33287</v>
      </c>
      <c r="U237" s="49" t="s">
        <v>33288</v>
      </c>
    </row>
    <row r="238" spans="1:21" x14ac:dyDescent="0.2">
      <c r="A238" s="49" t="s">
        <v>30</v>
      </c>
      <c r="D238" s="49" t="s">
        <v>2379</v>
      </c>
      <c r="G238" s="49" t="s">
        <v>10144</v>
      </c>
      <c r="H238" s="49" t="s">
        <v>2380</v>
      </c>
      <c r="I238" s="49" t="s">
        <v>2381</v>
      </c>
      <c r="J238" s="49" t="s">
        <v>2382</v>
      </c>
      <c r="K238" s="49" t="s">
        <v>2383</v>
      </c>
      <c r="L238" s="49" t="s">
        <v>2384</v>
      </c>
      <c r="M238" s="49" t="s">
        <v>2385</v>
      </c>
      <c r="N238" s="49" t="s">
        <v>2386</v>
      </c>
      <c r="O238" s="49" t="s">
        <v>9055</v>
      </c>
      <c r="P238" s="49" t="s">
        <v>9056</v>
      </c>
      <c r="Q238" s="49" t="s">
        <v>9057</v>
      </c>
      <c r="R238" s="49" t="s">
        <v>9058</v>
      </c>
      <c r="S238" s="49" t="s">
        <v>9059</v>
      </c>
      <c r="T238" s="49" t="s">
        <v>9060</v>
      </c>
    </row>
    <row r="239" spans="1:21" x14ac:dyDescent="0.2">
      <c r="A239" s="49" t="s">
        <v>30</v>
      </c>
      <c r="D239" s="49" t="s">
        <v>1042</v>
      </c>
      <c r="G239" s="49" t="s">
        <v>18702</v>
      </c>
      <c r="H239" s="49" t="s">
        <v>1043</v>
      </c>
      <c r="I239" s="49" t="s">
        <v>1044</v>
      </c>
      <c r="J239" s="49" t="s">
        <v>1045</v>
      </c>
      <c r="K239" s="49" t="s">
        <v>1046</v>
      </c>
      <c r="L239" s="49" t="s">
        <v>1047</v>
      </c>
      <c r="M239" s="49" t="s">
        <v>1048</v>
      </c>
      <c r="N239" s="49" t="s">
        <v>1049</v>
      </c>
      <c r="O239" s="49" t="s">
        <v>9588</v>
      </c>
      <c r="P239" s="49" t="s">
        <v>9589</v>
      </c>
      <c r="Q239" s="49" t="s">
        <v>9590</v>
      </c>
      <c r="R239" s="49" t="s">
        <v>9591</v>
      </c>
      <c r="S239" s="49" t="s">
        <v>9592</v>
      </c>
      <c r="T239" s="49" t="s">
        <v>9593</v>
      </c>
    </row>
    <row r="240" spans="1:21" x14ac:dyDescent="0.2">
      <c r="A240" s="49" t="s">
        <v>30</v>
      </c>
    </row>
    <row r="241" spans="1:21" x14ac:dyDescent="0.2">
      <c r="A241" s="49" t="s">
        <v>30</v>
      </c>
      <c r="E241" s="49" t="s">
        <v>31</v>
      </c>
      <c r="F241" s="49" t="s">
        <v>31</v>
      </c>
      <c r="G241" s="49" t="s">
        <v>31</v>
      </c>
      <c r="J241" s="49" t="s">
        <v>31</v>
      </c>
      <c r="K241" s="49" t="s">
        <v>31</v>
      </c>
      <c r="L241" s="49" t="s">
        <v>31</v>
      </c>
      <c r="M241" s="49" t="s">
        <v>31</v>
      </c>
    </row>
    <row r="242" spans="1:21" x14ac:dyDescent="0.2">
      <c r="A242" s="49" t="s">
        <v>30</v>
      </c>
      <c r="D242" s="49" t="s">
        <v>33289</v>
      </c>
      <c r="E242" s="49" t="s">
        <v>8020</v>
      </c>
      <c r="F242" s="49" t="s">
        <v>33290</v>
      </c>
      <c r="H242" s="49" t="s">
        <v>33291</v>
      </c>
      <c r="O242" s="49" t="s">
        <v>39175</v>
      </c>
      <c r="P242" s="49" t="s">
        <v>39176</v>
      </c>
      <c r="Q242" s="49" t="s">
        <v>39177</v>
      </c>
      <c r="R242" s="49" t="s">
        <v>39178</v>
      </c>
      <c r="S242" s="49" t="s">
        <v>39179</v>
      </c>
      <c r="T242" s="49" t="s">
        <v>39180</v>
      </c>
      <c r="U242" s="49" t="s">
        <v>39181</v>
      </c>
    </row>
    <row r="243" spans="1:21" x14ac:dyDescent="0.2">
      <c r="A243" s="49" t="s">
        <v>30</v>
      </c>
      <c r="D243" s="49" t="s">
        <v>1050</v>
      </c>
      <c r="G243" s="49" t="s">
        <v>33299</v>
      </c>
      <c r="H243" s="49" t="s">
        <v>1051</v>
      </c>
      <c r="I243" s="49" t="s">
        <v>1052</v>
      </c>
      <c r="J243" s="49" t="s">
        <v>1053</v>
      </c>
      <c r="K243" s="49" t="s">
        <v>1054</v>
      </c>
      <c r="L243" s="49" t="s">
        <v>1055</v>
      </c>
      <c r="M243" s="49" t="s">
        <v>1056</v>
      </c>
      <c r="N243" s="49" t="s">
        <v>1057</v>
      </c>
      <c r="O243" s="49" t="s">
        <v>9061</v>
      </c>
      <c r="P243" s="49" t="s">
        <v>9062</v>
      </c>
      <c r="Q243" s="49" t="s">
        <v>9063</v>
      </c>
      <c r="R243" s="49" t="s">
        <v>9064</v>
      </c>
      <c r="S243" s="49" t="s">
        <v>9065</v>
      </c>
      <c r="T243" s="49" t="s">
        <v>9066</v>
      </c>
    </row>
    <row r="244" spans="1:21" x14ac:dyDescent="0.2">
      <c r="A244" s="49" t="s">
        <v>30</v>
      </c>
      <c r="D244" s="49" t="s">
        <v>2387</v>
      </c>
      <c r="G244" s="49" t="s">
        <v>18877</v>
      </c>
      <c r="H244" s="49" t="s">
        <v>2388</v>
      </c>
      <c r="I244" s="49" t="s">
        <v>2389</v>
      </c>
      <c r="J244" s="49" t="s">
        <v>2390</v>
      </c>
      <c r="K244" s="49" t="s">
        <v>2391</v>
      </c>
      <c r="L244" s="49" t="s">
        <v>2392</v>
      </c>
      <c r="M244" s="49" t="s">
        <v>2393</v>
      </c>
      <c r="N244" s="49" t="s">
        <v>2394</v>
      </c>
      <c r="O244" s="49" t="s">
        <v>9594</v>
      </c>
      <c r="P244" s="49" t="s">
        <v>9595</v>
      </c>
      <c r="Q244" s="49" t="s">
        <v>9596</v>
      </c>
      <c r="R244" s="49" t="s">
        <v>9597</v>
      </c>
      <c r="S244" s="49" t="s">
        <v>9598</v>
      </c>
      <c r="T244" s="49" t="s">
        <v>9599</v>
      </c>
    </row>
    <row r="245" spans="1:21" x14ac:dyDescent="0.2">
      <c r="A245" s="49" t="s">
        <v>30</v>
      </c>
      <c r="D245" s="49" t="s">
        <v>2081</v>
      </c>
      <c r="G245" s="49" t="s">
        <v>18882</v>
      </c>
      <c r="H245" s="49" t="s">
        <v>2082</v>
      </c>
      <c r="I245" s="49" t="s">
        <v>2083</v>
      </c>
      <c r="J245" s="49" t="s">
        <v>2084</v>
      </c>
      <c r="K245" s="49" t="s">
        <v>2085</v>
      </c>
      <c r="L245" s="49" t="s">
        <v>2086</v>
      </c>
      <c r="M245" s="49" t="s">
        <v>2087</v>
      </c>
      <c r="N245" s="49" t="s">
        <v>2088</v>
      </c>
      <c r="O245" s="49" t="s">
        <v>9600</v>
      </c>
      <c r="P245" s="49" t="s">
        <v>9601</v>
      </c>
      <c r="Q245" s="49" t="s">
        <v>9602</v>
      </c>
      <c r="R245" s="49" t="s">
        <v>9603</v>
      </c>
      <c r="S245" s="49" t="s">
        <v>9604</v>
      </c>
      <c r="T245" s="49" t="s">
        <v>9605</v>
      </c>
    </row>
    <row r="246" spans="1:21" x14ac:dyDescent="0.2">
      <c r="A246" s="49" t="s">
        <v>30</v>
      </c>
    </row>
    <row r="247" spans="1:21" x14ac:dyDescent="0.2">
      <c r="A247" s="49" t="s">
        <v>30</v>
      </c>
      <c r="E247" s="49" t="s">
        <v>31</v>
      </c>
      <c r="F247" s="49" t="s">
        <v>31</v>
      </c>
      <c r="G247" s="49" t="s">
        <v>31</v>
      </c>
      <c r="J247" s="49" t="s">
        <v>31</v>
      </c>
      <c r="K247" s="49" t="s">
        <v>31</v>
      </c>
      <c r="L247" s="49" t="s">
        <v>31</v>
      </c>
      <c r="M247" s="49" t="s">
        <v>31</v>
      </c>
    </row>
    <row r="248" spans="1:21" x14ac:dyDescent="0.2">
      <c r="A248" s="49" t="s">
        <v>30</v>
      </c>
      <c r="D248" s="49" t="s">
        <v>4755</v>
      </c>
      <c r="E248" s="49" t="s">
        <v>8077</v>
      </c>
      <c r="F248" s="49" t="s">
        <v>4757</v>
      </c>
      <c r="H248" s="49" t="s">
        <v>4758</v>
      </c>
      <c r="O248" s="49" t="s">
        <v>9606</v>
      </c>
      <c r="P248" s="49" t="s">
        <v>9607</v>
      </c>
      <c r="Q248" s="49" t="s">
        <v>9608</v>
      </c>
      <c r="R248" s="49" t="s">
        <v>9609</v>
      </c>
      <c r="S248" s="49" t="s">
        <v>9610</v>
      </c>
      <c r="T248" s="49" t="s">
        <v>9611</v>
      </c>
      <c r="U248" s="49" t="s">
        <v>9612</v>
      </c>
    </row>
    <row r="249" spans="1:21" x14ac:dyDescent="0.2">
      <c r="A249" s="49" t="s">
        <v>30</v>
      </c>
      <c r="D249" s="49" t="s">
        <v>2089</v>
      </c>
      <c r="G249" s="49" t="s">
        <v>9613</v>
      </c>
      <c r="H249" s="49" t="s">
        <v>2090</v>
      </c>
      <c r="I249" s="49" t="s">
        <v>2091</v>
      </c>
      <c r="J249" s="49" t="s">
        <v>2092</v>
      </c>
      <c r="K249" s="49" t="s">
        <v>2093</v>
      </c>
      <c r="L249" s="49" t="s">
        <v>2094</v>
      </c>
      <c r="M249" s="49" t="s">
        <v>2095</v>
      </c>
      <c r="N249" s="49" t="s">
        <v>2096</v>
      </c>
      <c r="O249" s="49" t="s">
        <v>9614</v>
      </c>
      <c r="P249" s="49" t="s">
        <v>9615</v>
      </c>
      <c r="Q249" s="49" t="s">
        <v>9616</v>
      </c>
      <c r="R249" s="49" t="s">
        <v>9617</v>
      </c>
      <c r="S249" s="49" t="s">
        <v>9618</v>
      </c>
      <c r="T249" s="49" t="s">
        <v>9619</v>
      </c>
    </row>
    <row r="250" spans="1:21" x14ac:dyDescent="0.2">
      <c r="A250" s="49" t="s">
        <v>30</v>
      </c>
      <c r="D250" s="49" t="s">
        <v>2097</v>
      </c>
      <c r="G250" s="49" t="s">
        <v>18967</v>
      </c>
      <c r="H250" s="49" t="s">
        <v>2098</v>
      </c>
      <c r="I250" s="49" t="s">
        <v>2099</v>
      </c>
      <c r="J250" s="49" t="s">
        <v>2100</v>
      </c>
      <c r="K250" s="49" t="s">
        <v>2101</v>
      </c>
      <c r="L250" s="49" t="s">
        <v>2102</v>
      </c>
      <c r="M250" s="49" t="s">
        <v>2103</v>
      </c>
      <c r="N250" s="49" t="s">
        <v>2104</v>
      </c>
      <c r="O250" s="49" t="s">
        <v>9620</v>
      </c>
      <c r="P250" s="49" t="s">
        <v>9621</v>
      </c>
      <c r="Q250" s="49" t="s">
        <v>9622</v>
      </c>
      <c r="R250" s="49" t="s">
        <v>9623</v>
      </c>
      <c r="S250" s="49" t="s">
        <v>9624</v>
      </c>
      <c r="T250" s="49" t="s">
        <v>9625</v>
      </c>
    </row>
    <row r="251" spans="1:21" x14ac:dyDescent="0.2">
      <c r="A251" s="49" t="s">
        <v>30</v>
      </c>
    </row>
    <row r="252" spans="1:21" x14ac:dyDescent="0.2">
      <c r="A252" s="49" t="s">
        <v>30</v>
      </c>
      <c r="E252" s="49" t="s">
        <v>31</v>
      </c>
      <c r="F252" s="49" t="s">
        <v>31</v>
      </c>
      <c r="G252" s="49" t="s">
        <v>31</v>
      </c>
      <c r="J252" s="49" t="s">
        <v>31</v>
      </c>
      <c r="K252" s="49" t="s">
        <v>31</v>
      </c>
      <c r="L252" s="49" t="s">
        <v>31</v>
      </c>
      <c r="M252" s="49" t="s">
        <v>31</v>
      </c>
    </row>
    <row r="253" spans="1:21" x14ac:dyDescent="0.2">
      <c r="A253" s="49" t="s">
        <v>30</v>
      </c>
      <c r="D253" s="49" t="s">
        <v>9626</v>
      </c>
      <c r="E253" s="49" t="s">
        <v>8162</v>
      </c>
      <c r="F253" s="49" t="s">
        <v>9627</v>
      </c>
      <c r="H253" s="49" t="s">
        <v>9628</v>
      </c>
      <c r="O253" s="49" t="s">
        <v>9629</v>
      </c>
      <c r="P253" s="49" t="s">
        <v>9630</v>
      </c>
      <c r="Q253" s="49" t="s">
        <v>9631</v>
      </c>
      <c r="R253" s="49" t="s">
        <v>9632</v>
      </c>
      <c r="S253" s="49" t="s">
        <v>9633</v>
      </c>
      <c r="T253" s="49" t="s">
        <v>9634</v>
      </c>
      <c r="U253" s="49" t="s">
        <v>9635</v>
      </c>
    </row>
    <row r="254" spans="1:21" x14ac:dyDescent="0.2">
      <c r="A254" s="49" t="s">
        <v>30</v>
      </c>
      <c r="D254" s="49" t="s">
        <v>2597</v>
      </c>
      <c r="G254" s="49" t="s">
        <v>9636</v>
      </c>
      <c r="H254" s="49" t="s">
        <v>2598</v>
      </c>
      <c r="I254" s="49" t="s">
        <v>2599</v>
      </c>
      <c r="J254" s="49" t="s">
        <v>2600</v>
      </c>
      <c r="K254" s="49" t="s">
        <v>2601</v>
      </c>
      <c r="L254" s="49" t="s">
        <v>2602</v>
      </c>
      <c r="M254" s="49" t="s">
        <v>2603</v>
      </c>
      <c r="N254" s="49" t="s">
        <v>2604</v>
      </c>
      <c r="O254" s="49" t="s">
        <v>9637</v>
      </c>
      <c r="P254" s="49" t="s">
        <v>9638</v>
      </c>
      <c r="Q254" s="49" t="s">
        <v>9639</v>
      </c>
      <c r="R254" s="49" t="s">
        <v>9640</v>
      </c>
      <c r="S254" s="49" t="s">
        <v>9641</v>
      </c>
      <c r="T254" s="49" t="s">
        <v>9642</v>
      </c>
    </row>
    <row r="255" spans="1:21" x14ac:dyDescent="0.2">
      <c r="A255" s="49" t="s">
        <v>30</v>
      </c>
    </row>
    <row r="256" spans="1:21" x14ac:dyDescent="0.2">
      <c r="A256" s="49" t="s">
        <v>30</v>
      </c>
      <c r="E256" s="49" t="s">
        <v>31</v>
      </c>
      <c r="F256" s="49" t="s">
        <v>31</v>
      </c>
      <c r="G256" s="49" t="s">
        <v>31</v>
      </c>
      <c r="J256" s="49" t="s">
        <v>31</v>
      </c>
      <c r="K256" s="49" t="s">
        <v>31</v>
      </c>
      <c r="L256" s="49" t="s">
        <v>31</v>
      </c>
      <c r="M256" s="49" t="s">
        <v>31</v>
      </c>
    </row>
    <row r="257" spans="1:21" x14ac:dyDescent="0.2">
      <c r="A257" s="49" t="s">
        <v>30</v>
      </c>
      <c r="D257" s="49" t="s">
        <v>9643</v>
      </c>
      <c r="E257" s="49" t="s">
        <v>8262</v>
      </c>
      <c r="F257" s="49" t="s">
        <v>9644</v>
      </c>
      <c r="H257" s="49" t="s">
        <v>9645</v>
      </c>
      <c r="O257" s="49" t="s">
        <v>39182</v>
      </c>
      <c r="P257" s="49" t="s">
        <v>39183</v>
      </c>
      <c r="Q257" s="49" t="s">
        <v>39184</v>
      </c>
      <c r="R257" s="49" t="s">
        <v>39185</v>
      </c>
      <c r="S257" s="49" t="s">
        <v>39186</v>
      </c>
      <c r="T257" s="49" t="s">
        <v>39187</v>
      </c>
      <c r="U257" s="49" t="s">
        <v>39188</v>
      </c>
    </row>
    <row r="258" spans="1:21" x14ac:dyDescent="0.2">
      <c r="A258" s="49" t="s">
        <v>30</v>
      </c>
      <c r="D258" s="49" t="s">
        <v>1098</v>
      </c>
      <c r="G258" s="49" t="s">
        <v>9646</v>
      </c>
      <c r="H258" s="49" t="s">
        <v>1099</v>
      </c>
      <c r="I258" s="49" t="s">
        <v>1100</v>
      </c>
      <c r="J258" s="49" t="s">
        <v>1101</v>
      </c>
      <c r="K258" s="49" t="s">
        <v>1102</v>
      </c>
      <c r="L258" s="49" t="s">
        <v>1103</v>
      </c>
      <c r="M258" s="49" t="s">
        <v>1104</v>
      </c>
      <c r="N258" s="49" t="s">
        <v>1105</v>
      </c>
      <c r="O258" s="49" t="s">
        <v>9106</v>
      </c>
      <c r="P258" s="49" t="s">
        <v>9107</v>
      </c>
      <c r="Q258" s="49" t="s">
        <v>9108</v>
      </c>
      <c r="R258" s="49" t="s">
        <v>9109</v>
      </c>
      <c r="S258" s="49" t="s">
        <v>9110</v>
      </c>
      <c r="T258" s="49" t="s">
        <v>9111</v>
      </c>
    </row>
    <row r="259" spans="1:21" x14ac:dyDescent="0.2">
      <c r="A259" s="49" t="s">
        <v>30</v>
      </c>
      <c r="D259" s="49" t="s">
        <v>1106</v>
      </c>
      <c r="G259" s="49" t="s">
        <v>19197</v>
      </c>
      <c r="H259" s="49" t="s">
        <v>1107</v>
      </c>
      <c r="I259" s="49" t="s">
        <v>1108</v>
      </c>
      <c r="J259" s="49" t="s">
        <v>1109</v>
      </c>
      <c r="K259" s="49" t="s">
        <v>1110</v>
      </c>
      <c r="L259" s="49" t="s">
        <v>1111</v>
      </c>
      <c r="M259" s="49" t="s">
        <v>1112</v>
      </c>
      <c r="N259" s="49" t="s">
        <v>1113</v>
      </c>
      <c r="O259" s="49" t="s">
        <v>9647</v>
      </c>
      <c r="P259" s="49" t="s">
        <v>9648</v>
      </c>
      <c r="Q259" s="49" t="s">
        <v>9649</v>
      </c>
      <c r="R259" s="49" t="s">
        <v>9650</v>
      </c>
      <c r="S259" s="49" t="s">
        <v>9651</v>
      </c>
      <c r="T259" s="49" t="s">
        <v>9652</v>
      </c>
    </row>
    <row r="260" spans="1:21" x14ac:dyDescent="0.2">
      <c r="A260" s="49" t="s">
        <v>30</v>
      </c>
    </row>
    <row r="261" spans="1:21" x14ac:dyDescent="0.2">
      <c r="A261" s="49" t="s">
        <v>30</v>
      </c>
      <c r="E261" s="49" t="s">
        <v>31</v>
      </c>
      <c r="F261" s="49" t="s">
        <v>31</v>
      </c>
      <c r="G261" s="49" t="s">
        <v>31</v>
      </c>
      <c r="J261" s="49" t="s">
        <v>31</v>
      </c>
      <c r="K261" s="49" t="s">
        <v>31</v>
      </c>
      <c r="L261" s="49" t="s">
        <v>31</v>
      </c>
      <c r="M261" s="49" t="s">
        <v>31</v>
      </c>
    </row>
    <row r="262" spans="1:21" x14ac:dyDescent="0.2">
      <c r="A262" s="49" t="s">
        <v>30</v>
      </c>
      <c r="D262" s="49" t="s">
        <v>39189</v>
      </c>
      <c r="E262" s="49" t="s">
        <v>8333</v>
      </c>
      <c r="F262" s="49" t="s">
        <v>39190</v>
      </c>
      <c r="H262" s="49" t="s">
        <v>39191</v>
      </c>
      <c r="O262" s="49" t="s">
        <v>39192</v>
      </c>
      <c r="P262" s="49" t="s">
        <v>39193</v>
      </c>
      <c r="Q262" s="49" t="s">
        <v>39194</v>
      </c>
      <c r="R262" s="49" t="s">
        <v>39195</v>
      </c>
      <c r="S262" s="49" t="s">
        <v>39196</v>
      </c>
      <c r="T262" s="49" t="s">
        <v>39197</v>
      </c>
      <c r="U262" s="49" t="s">
        <v>39198</v>
      </c>
    </row>
    <row r="263" spans="1:21" x14ac:dyDescent="0.2">
      <c r="A263" s="49" t="s">
        <v>30</v>
      </c>
      <c r="D263" s="49" t="s">
        <v>1114</v>
      </c>
      <c r="G263" s="49" t="s">
        <v>39199</v>
      </c>
      <c r="H263" s="49" t="s">
        <v>1115</v>
      </c>
      <c r="I263" s="49" t="s">
        <v>1116</v>
      </c>
      <c r="J263" s="49" t="s">
        <v>1117</v>
      </c>
      <c r="K263" s="49" t="s">
        <v>1118</v>
      </c>
      <c r="L263" s="49" t="s">
        <v>1119</v>
      </c>
      <c r="M263" s="49" t="s">
        <v>1120</v>
      </c>
      <c r="N263" s="49" t="s">
        <v>1121</v>
      </c>
      <c r="O263" s="49" t="s">
        <v>39200</v>
      </c>
      <c r="P263" s="49" t="s">
        <v>39201</v>
      </c>
      <c r="Q263" s="49" t="s">
        <v>39202</v>
      </c>
      <c r="R263" s="49" t="s">
        <v>39203</v>
      </c>
      <c r="S263" s="49" t="s">
        <v>39204</v>
      </c>
      <c r="T263" s="49" t="s">
        <v>39205</v>
      </c>
    </row>
    <row r="264" spans="1:21" x14ac:dyDescent="0.2">
      <c r="A264" s="49" t="s">
        <v>30</v>
      </c>
    </row>
    <row r="265" spans="1:21" x14ac:dyDescent="0.2">
      <c r="A265" s="49" t="s">
        <v>30</v>
      </c>
      <c r="E265" s="49" t="s">
        <v>31</v>
      </c>
      <c r="F265" s="49" t="s">
        <v>31</v>
      </c>
      <c r="G265" s="49" t="s">
        <v>31</v>
      </c>
      <c r="J265" s="49" t="s">
        <v>31</v>
      </c>
      <c r="K265" s="49" t="s">
        <v>31</v>
      </c>
      <c r="L265" s="49" t="s">
        <v>31</v>
      </c>
      <c r="M265" s="49" t="s">
        <v>31</v>
      </c>
    </row>
    <row r="266" spans="1:21" x14ac:dyDescent="0.2">
      <c r="A266" s="49" t="s">
        <v>30</v>
      </c>
      <c r="D266" s="49" t="s">
        <v>39206</v>
      </c>
      <c r="E266" s="49" t="s">
        <v>8404</v>
      </c>
      <c r="F266" s="49" t="s">
        <v>39207</v>
      </c>
      <c r="H266" s="49" t="s">
        <v>39208</v>
      </c>
      <c r="O266" s="49" t="s">
        <v>39209</v>
      </c>
      <c r="P266" s="49" t="s">
        <v>39210</v>
      </c>
      <c r="Q266" s="49" t="s">
        <v>39211</v>
      </c>
      <c r="R266" s="49" t="s">
        <v>39212</v>
      </c>
      <c r="S266" s="49" t="s">
        <v>39213</v>
      </c>
      <c r="T266" s="49" t="s">
        <v>39214</v>
      </c>
      <c r="U266" s="49" t="s">
        <v>39215</v>
      </c>
    </row>
    <row r="267" spans="1:21" x14ac:dyDescent="0.2">
      <c r="A267" s="49" t="s">
        <v>30</v>
      </c>
      <c r="D267" s="49" t="s">
        <v>14373</v>
      </c>
      <c r="G267" s="49" t="s">
        <v>39216</v>
      </c>
      <c r="H267" s="49" t="s">
        <v>31704</v>
      </c>
      <c r="I267" s="49" t="s">
        <v>31705</v>
      </c>
      <c r="J267" s="49" t="s">
        <v>31742</v>
      </c>
      <c r="K267" s="49" t="s">
        <v>31743</v>
      </c>
      <c r="L267" s="49" t="s">
        <v>14375</v>
      </c>
      <c r="M267" s="49" t="s">
        <v>14376</v>
      </c>
      <c r="N267" s="49" t="s">
        <v>14377</v>
      </c>
      <c r="O267" s="49" t="s">
        <v>33008</v>
      </c>
      <c r="P267" s="49" t="s">
        <v>33009</v>
      </c>
      <c r="Q267" s="49" t="s">
        <v>33010</v>
      </c>
      <c r="R267" s="49" t="s">
        <v>33011</v>
      </c>
      <c r="S267" s="49" t="s">
        <v>33012</v>
      </c>
      <c r="T267" s="49" t="s">
        <v>33013</v>
      </c>
    </row>
    <row r="268" spans="1:21" x14ac:dyDescent="0.2">
      <c r="A268" s="49" t="s">
        <v>30</v>
      </c>
    </row>
    <row r="269" spans="1:21" x14ac:dyDescent="0.2">
      <c r="A269" s="49" t="s">
        <v>30</v>
      </c>
      <c r="E269" s="49" t="s">
        <v>31</v>
      </c>
      <c r="F269" s="49" t="s">
        <v>31</v>
      </c>
      <c r="G269" s="49" t="s">
        <v>31</v>
      </c>
      <c r="J269" s="49" t="s">
        <v>31</v>
      </c>
      <c r="K269" s="49" t="s">
        <v>31</v>
      </c>
      <c r="L269" s="49" t="s">
        <v>31</v>
      </c>
      <c r="M269" s="49" t="s">
        <v>31</v>
      </c>
    </row>
    <row r="270" spans="1:21" x14ac:dyDescent="0.2">
      <c r="A270" s="49" t="s">
        <v>30</v>
      </c>
      <c r="D270" s="49" t="s">
        <v>32553</v>
      </c>
      <c r="E270" s="49" t="s">
        <v>8518</v>
      </c>
      <c r="F270" s="49" t="s">
        <v>32554</v>
      </c>
      <c r="H270" s="49" t="s">
        <v>32555</v>
      </c>
      <c r="O270" s="49" t="s">
        <v>39217</v>
      </c>
      <c r="P270" s="49" t="s">
        <v>39218</v>
      </c>
      <c r="Q270" s="49" t="s">
        <v>39219</v>
      </c>
      <c r="R270" s="49" t="s">
        <v>39220</v>
      </c>
      <c r="S270" s="49" t="s">
        <v>39221</v>
      </c>
      <c r="T270" s="49" t="s">
        <v>39222</v>
      </c>
      <c r="U270" s="49" t="s">
        <v>39223</v>
      </c>
    </row>
    <row r="271" spans="1:21" x14ac:dyDescent="0.2">
      <c r="A271" s="49" t="s">
        <v>30</v>
      </c>
      <c r="D271" s="49" t="s">
        <v>4791</v>
      </c>
      <c r="G271" s="49" t="s">
        <v>32563</v>
      </c>
      <c r="H271" s="49" t="s">
        <v>4792</v>
      </c>
      <c r="I271" s="49" t="s">
        <v>4793</v>
      </c>
      <c r="J271" s="49" t="s">
        <v>4794</v>
      </c>
      <c r="K271" s="49" t="s">
        <v>4795</v>
      </c>
      <c r="L271" s="49" t="s">
        <v>4796</v>
      </c>
      <c r="M271" s="49" t="s">
        <v>4797</v>
      </c>
      <c r="N271" s="49" t="s">
        <v>4798</v>
      </c>
      <c r="O271" s="49" t="s">
        <v>9134</v>
      </c>
      <c r="P271" s="49" t="s">
        <v>9135</v>
      </c>
      <c r="Q271" s="49" t="s">
        <v>9136</v>
      </c>
      <c r="R271" s="49" t="s">
        <v>9137</v>
      </c>
      <c r="S271" s="49" t="s">
        <v>9138</v>
      </c>
      <c r="T271" s="49" t="s">
        <v>9139</v>
      </c>
    </row>
    <row r="272" spans="1:21" x14ac:dyDescent="0.2">
      <c r="A272" s="49" t="s">
        <v>30</v>
      </c>
      <c r="D272" s="49" t="s">
        <v>1138</v>
      </c>
      <c r="G272" s="49" t="s">
        <v>19602</v>
      </c>
      <c r="H272" s="49" t="s">
        <v>1139</v>
      </c>
      <c r="I272" s="49" t="s">
        <v>1140</v>
      </c>
      <c r="J272" s="49" t="s">
        <v>1141</v>
      </c>
      <c r="K272" s="49" t="s">
        <v>1142</v>
      </c>
      <c r="L272" s="49" t="s">
        <v>1143</v>
      </c>
      <c r="M272" s="49" t="s">
        <v>1144</v>
      </c>
      <c r="N272" s="49" t="s">
        <v>1145</v>
      </c>
      <c r="O272" s="49" t="s">
        <v>9140</v>
      </c>
      <c r="P272" s="49" t="s">
        <v>9141</v>
      </c>
      <c r="Q272" s="49" t="s">
        <v>9142</v>
      </c>
      <c r="R272" s="49" t="s">
        <v>9143</v>
      </c>
      <c r="S272" s="49" t="s">
        <v>9144</v>
      </c>
      <c r="T272" s="49" t="s">
        <v>9145</v>
      </c>
    </row>
    <row r="273" spans="1:21" x14ac:dyDescent="0.2">
      <c r="A273" s="49" t="s">
        <v>30</v>
      </c>
    </row>
    <row r="274" spans="1:21" x14ac:dyDescent="0.2">
      <c r="A274" s="49" t="s">
        <v>30</v>
      </c>
      <c r="E274" s="49" t="s">
        <v>31</v>
      </c>
      <c r="F274" s="49" t="s">
        <v>31</v>
      </c>
      <c r="G274" s="49" t="s">
        <v>31</v>
      </c>
      <c r="J274" s="49" t="s">
        <v>31</v>
      </c>
      <c r="K274" s="49" t="s">
        <v>31</v>
      </c>
      <c r="L274" s="49" t="s">
        <v>31</v>
      </c>
      <c r="M274" s="49" t="s">
        <v>31</v>
      </c>
    </row>
    <row r="275" spans="1:21" x14ac:dyDescent="0.2">
      <c r="A275" s="49" t="s">
        <v>30</v>
      </c>
      <c r="D275" s="49" t="s">
        <v>9146</v>
      </c>
      <c r="E275" s="49" t="s">
        <v>8775</v>
      </c>
      <c r="F275" s="49" t="s">
        <v>9147</v>
      </c>
      <c r="H275" s="49" t="s">
        <v>9148</v>
      </c>
      <c r="O275" s="49" t="s">
        <v>39224</v>
      </c>
      <c r="P275" s="49" t="s">
        <v>39225</v>
      </c>
      <c r="Q275" s="49" t="s">
        <v>39226</v>
      </c>
      <c r="R275" s="49" t="s">
        <v>39227</v>
      </c>
      <c r="S275" s="49" t="s">
        <v>39228</v>
      </c>
      <c r="T275" s="49" t="s">
        <v>39229</v>
      </c>
      <c r="U275" s="49" t="s">
        <v>39230</v>
      </c>
    </row>
    <row r="276" spans="1:21" x14ac:dyDescent="0.2">
      <c r="A276" s="49" t="s">
        <v>30</v>
      </c>
      <c r="D276" s="49" t="s">
        <v>1162</v>
      </c>
      <c r="G276" s="49" t="s">
        <v>9156</v>
      </c>
      <c r="H276" s="49" t="s">
        <v>1163</v>
      </c>
      <c r="I276" s="49" t="s">
        <v>1164</v>
      </c>
      <c r="J276" s="49" t="s">
        <v>1165</v>
      </c>
      <c r="K276" s="49" t="s">
        <v>1166</v>
      </c>
      <c r="L276" s="49" t="s">
        <v>1167</v>
      </c>
      <c r="M276" s="49" t="s">
        <v>1168</v>
      </c>
      <c r="N276" s="49" t="s">
        <v>1169</v>
      </c>
      <c r="O276" s="49" t="s">
        <v>9157</v>
      </c>
      <c r="P276" s="49" t="s">
        <v>9158</v>
      </c>
      <c r="Q276" s="49" t="s">
        <v>9159</v>
      </c>
      <c r="R276" s="49" t="s">
        <v>9160</v>
      </c>
      <c r="S276" s="49" t="s">
        <v>9161</v>
      </c>
      <c r="T276" s="49" t="s">
        <v>9162</v>
      </c>
    </row>
    <row r="277" spans="1:21" x14ac:dyDescent="0.2">
      <c r="A277" s="49" t="s">
        <v>30</v>
      </c>
      <c r="D277" s="49" t="s">
        <v>1170</v>
      </c>
      <c r="G277" s="49" t="s">
        <v>20012</v>
      </c>
      <c r="H277" s="49" t="s">
        <v>1171</v>
      </c>
      <c r="I277" s="49" t="s">
        <v>1172</v>
      </c>
      <c r="J277" s="49" t="s">
        <v>1173</v>
      </c>
      <c r="K277" s="49" t="s">
        <v>1174</v>
      </c>
      <c r="L277" s="49" t="s">
        <v>1175</v>
      </c>
      <c r="M277" s="49" t="s">
        <v>1176</v>
      </c>
      <c r="N277" s="49" t="s">
        <v>1177</v>
      </c>
      <c r="O277" s="49" t="s">
        <v>9660</v>
      </c>
      <c r="P277" s="49" t="s">
        <v>9661</v>
      </c>
      <c r="Q277" s="49" t="s">
        <v>9662</v>
      </c>
      <c r="R277" s="49" t="s">
        <v>9663</v>
      </c>
      <c r="S277" s="49" t="s">
        <v>9664</v>
      </c>
      <c r="T277" s="49" t="s">
        <v>9665</v>
      </c>
    </row>
    <row r="278" spans="1:21" x14ac:dyDescent="0.2">
      <c r="A278" s="49" t="s">
        <v>30</v>
      </c>
    </row>
    <row r="279" spans="1:21" x14ac:dyDescent="0.2">
      <c r="A279" s="49" t="s">
        <v>30</v>
      </c>
      <c r="E279" s="49" t="s">
        <v>31</v>
      </c>
      <c r="F279" s="49" t="s">
        <v>31</v>
      </c>
      <c r="G279" s="49" t="s">
        <v>31</v>
      </c>
      <c r="J279" s="49" t="s">
        <v>31</v>
      </c>
      <c r="K279" s="49" t="s">
        <v>31</v>
      </c>
      <c r="L279" s="49" t="s">
        <v>31</v>
      </c>
      <c r="M279" s="49" t="s">
        <v>31</v>
      </c>
    </row>
    <row r="280" spans="1:21" x14ac:dyDescent="0.2">
      <c r="A280" s="49" t="s">
        <v>30</v>
      </c>
      <c r="D280" s="49" t="s">
        <v>36134</v>
      </c>
      <c r="E280" s="49" t="s">
        <v>8832</v>
      </c>
      <c r="F280" s="49" t="s">
        <v>36135</v>
      </c>
      <c r="H280" s="49" t="s">
        <v>36136</v>
      </c>
      <c r="O280" s="49" t="s">
        <v>36137</v>
      </c>
      <c r="P280" s="49" t="s">
        <v>36138</v>
      </c>
      <c r="Q280" s="49" t="s">
        <v>36139</v>
      </c>
      <c r="R280" s="49" t="s">
        <v>36140</v>
      </c>
      <c r="S280" s="49" t="s">
        <v>36141</v>
      </c>
      <c r="T280" s="49" t="s">
        <v>36142</v>
      </c>
      <c r="U280" s="49" t="s">
        <v>36143</v>
      </c>
    </row>
    <row r="281" spans="1:21" x14ac:dyDescent="0.2">
      <c r="A281" s="49" t="s">
        <v>30</v>
      </c>
      <c r="D281" s="49" t="s">
        <v>4806</v>
      </c>
      <c r="G281" s="49" t="s">
        <v>36144</v>
      </c>
      <c r="H281" s="49" t="s">
        <v>4807</v>
      </c>
      <c r="I281" s="49" t="s">
        <v>4808</v>
      </c>
      <c r="J281" s="49" t="s">
        <v>4809</v>
      </c>
      <c r="K281" s="49" t="s">
        <v>4810</v>
      </c>
      <c r="L281" s="49" t="s">
        <v>4811</v>
      </c>
      <c r="M281" s="49" t="s">
        <v>4812</v>
      </c>
      <c r="N281" s="49" t="s">
        <v>4813</v>
      </c>
      <c r="O281" s="49" t="s">
        <v>10421</v>
      </c>
      <c r="P281" s="49" t="s">
        <v>10422</v>
      </c>
      <c r="Q281" s="49" t="s">
        <v>10423</v>
      </c>
      <c r="R281" s="49" t="s">
        <v>10424</v>
      </c>
      <c r="S281" s="49" t="s">
        <v>10425</v>
      </c>
      <c r="T281" s="49" t="s">
        <v>10426</v>
      </c>
    </row>
    <row r="282" spans="1:21" x14ac:dyDescent="0.2">
      <c r="A282" s="49" t="s">
        <v>30</v>
      </c>
    </row>
    <row r="283" spans="1:21" x14ac:dyDescent="0.2">
      <c r="A283" s="49" t="s">
        <v>30</v>
      </c>
      <c r="E283" s="49" t="s">
        <v>31</v>
      </c>
      <c r="F283" s="49" t="s">
        <v>31</v>
      </c>
      <c r="G283" s="49" t="s">
        <v>31</v>
      </c>
      <c r="J283" s="49" t="s">
        <v>31</v>
      </c>
      <c r="K283" s="49" t="s">
        <v>31</v>
      </c>
      <c r="L283" s="49" t="s">
        <v>31</v>
      </c>
      <c r="M283" s="49" t="s">
        <v>31</v>
      </c>
    </row>
    <row r="284" spans="1:21" x14ac:dyDescent="0.2">
      <c r="A284" s="49" t="s">
        <v>30</v>
      </c>
      <c r="D284" s="49" t="s">
        <v>35043</v>
      </c>
      <c r="E284" s="49" t="s">
        <v>8834</v>
      </c>
      <c r="F284" s="49" t="s">
        <v>35044</v>
      </c>
      <c r="H284" s="49" t="s">
        <v>35045</v>
      </c>
      <c r="O284" s="49" t="s">
        <v>39231</v>
      </c>
      <c r="P284" s="49" t="s">
        <v>39232</v>
      </c>
      <c r="Q284" s="49" t="s">
        <v>39233</v>
      </c>
      <c r="R284" s="49" t="s">
        <v>39234</v>
      </c>
      <c r="S284" s="49" t="s">
        <v>39235</v>
      </c>
      <c r="T284" s="49" t="s">
        <v>39236</v>
      </c>
      <c r="U284" s="49" t="s">
        <v>39237</v>
      </c>
    </row>
    <row r="285" spans="1:21" x14ac:dyDescent="0.2">
      <c r="A285" s="49" t="s">
        <v>30</v>
      </c>
      <c r="D285" s="49" t="s">
        <v>2731</v>
      </c>
      <c r="G285" s="49" t="s">
        <v>35053</v>
      </c>
      <c r="H285" s="49" t="s">
        <v>2732</v>
      </c>
      <c r="I285" s="49" t="s">
        <v>2733</v>
      </c>
      <c r="J285" s="49" t="s">
        <v>2734</v>
      </c>
      <c r="K285" s="49" t="s">
        <v>2735</v>
      </c>
      <c r="L285" s="49" t="s">
        <v>2736</v>
      </c>
      <c r="M285" s="49" t="s">
        <v>2737</v>
      </c>
      <c r="N285" s="49" t="s">
        <v>2738</v>
      </c>
      <c r="O285" s="49" t="s">
        <v>10183</v>
      </c>
      <c r="P285" s="49" t="s">
        <v>10184</v>
      </c>
      <c r="Q285" s="49" t="s">
        <v>10185</v>
      </c>
      <c r="R285" s="49" t="s">
        <v>10186</v>
      </c>
      <c r="S285" s="49" t="s">
        <v>10187</v>
      </c>
      <c r="T285" s="49" t="s">
        <v>10188</v>
      </c>
    </row>
    <row r="286" spans="1:21" x14ac:dyDescent="0.2">
      <c r="A286" s="49" t="s">
        <v>30</v>
      </c>
      <c r="D286" s="49" t="s">
        <v>13448</v>
      </c>
      <c r="G286" s="49" t="s">
        <v>20277</v>
      </c>
      <c r="H286" s="49" t="s">
        <v>13449</v>
      </c>
      <c r="I286" s="49" t="s">
        <v>13450</v>
      </c>
      <c r="J286" s="49" t="s">
        <v>13451</v>
      </c>
      <c r="K286" s="49" t="s">
        <v>13452</v>
      </c>
      <c r="L286" s="49" t="s">
        <v>13453</v>
      </c>
      <c r="M286" s="49" t="s">
        <v>13454</v>
      </c>
      <c r="N286" s="49" t="s">
        <v>13455</v>
      </c>
      <c r="O286" s="49" t="s">
        <v>13456</v>
      </c>
      <c r="P286" s="49" t="s">
        <v>13457</v>
      </c>
      <c r="Q286" s="49" t="s">
        <v>13458</v>
      </c>
      <c r="R286" s="49" t="s">
        <v>13459</v>
      </c>
      <c r="S286" s="49" t="s">
        <v>13460</v>
      </c>
      <c r="T286" s="49" t="s">
        <v>13461</v>
      </c>
    </row>
    <row r="287" spans="1:21" x14ac:dyDescent="0.2">
      <c r="A287" s="49" t="s">
        <v>30</v>
      </c>
      <c r="D287" s="49" t="s">
        <v>1178</v>
      </c>
      <c r="G287" s="49" t="s">
        <v>20282</v>
      </c>
      <c r="H287" s="49" t="s">
        <v>1179</v>
      </c>
      <c r="I287" s="49" t="s">
        <v>1180</v>
      </c>
      <c r="J287" s="49" t="s">
        <v>1181</v>
      </c>
      <c r="K287" s="49" t="s">
        <v>1182</v>
      </c>
      <c r="L287" s="49" t="s">
        <v>1183</v>
      </c>
      <c r="M287" s="49" t="s">
        <v>1184</v>
      </c>
      <c r="N287" s="49" t="s">
        <v>1185</v>
      </c>
      <c r="O287" s="49" t="s">
        <v>9688</v>
      </c>
      <c r="P287" s="49" t="s">
        <v>9689</v>
      </c>
      <c r="Q287" s="49" t="s">
        <v>9690</v>
      </c>
      <c r="R287" s="49" t="s">
        <v>9691</v>
      </c>
      <c r="S287" s="49" t="s">
        <v>9692</v>
      </c>
      <c r="T287" s="49" t="s">
        <v>9693</v>
      </c>
    </row>
    <row r="288" spans="1:21" x14ac:dyDescent="0.2">
      <c r="A288" s="49" t="s">
        <v>30</v>
      </c>
    </row>
    <row r="289" spans="1:21" x14ac:dyDescent="0.2">
      <c r="A289" s="49" t="s">
        <v>30</v>
      </c>
      <c r="E289" s="49" t="s">
        <v>31</v>
      </c>
      <c r="F289" s="49" t="s">
        <v>31</v>
      </c>
      <c r="G289" s="49" t="s">
        <v>31</v>
      </c>
      <c r="J289" s="49" t="s">
        <v>31</v>
      </c>
      <c r="K289" s="49" t="s">
        <v>31</v>
      </c>
      <c r="L289" s="49" t="s">
        <v>31</v>
      </c>
      <c r="M289" s="49" t="s">
        <v>31</v>
      </c>
    </row>
    <row r="290" spans="1:21" x14ac:dyDescent="0.2">
      <c r="A290" s="49" t="s">
        <v>30</v>
      </c>
      <c r="D290" s="49" t="s">
        <v>13750</v>
      </c>
      <c r="E290" s="49" t="s">
        <v>8835</v>
      </c>
      <c r="F290" s="49" t="s">
        <v>13751</v>
      </c>
      <c r="H290" s="49" t="s">
        <v>13752</v>
      </c>
      <c r="O290" s="49" t="s">
        <v>39238</v>
      </c>
      <c r="P290" s="49" t="s">
        <v>39239</v>
      </c>
      <c r="Q290" s="49" t="s">
        <v>39240</v>
      </c>
      <c r="R290" s="49" t="s">
        <v>39241</v>
      </c>
      <c r="S290" s="49" t="s">
        <v>39242</v>
      </c>
      <c r="T290" s="49" t="s">
        <v>39243</v>
      </c>
      <c r="U290" s="49" t="s">
        <v>39244</v>
      </c>
    </row>
    <row r="291" spans="1:21" x14ac:dyDescent="0.2">
      <c r="A291" s="49" t="s">
        <v>30</v>
      </c>
      <c r="D291" s="49" t="s">
        <v>2739</v>
      </c>
      <c r="G291" s="49" t="s">
        <v>13753</v>
      </c>
      <c r="H291" s="49" t="s">
        <v>2740</v>
      </c>
      <c r="I291" s="49" t="s">
        <v>2741</v>
      </c>
      <c r="J291" s="49" t="s">
        <v>2742</v>
      </c>
      <c r="K291" s="49" t="s">
        <v>2743</v>
      </c>
      <c r="L291" s="49" t="s">
        <v>2744</v>
      </c>
      <c r="M291" s="49" t="s">
        <v>2745</v>
      </c>
      <c r="N291" s="49" t="s">
        <v>2746</v>
      </c>
      <c r="O291" s="49" t="s">
        <v>13754</v>
      </c>
      <c r="P291" s="49" t="s">
        <v>13755</v>
      </c>
      <c r="Q291" s="49" t="s">
        <v>13756</v>
      </c>
      <c r="R291" s="49" t="s">
        <v>13757</v>
      </c>
      <c r="S291" s="49" t="s">
        <v>13758</v>
      </c>
      <c r="T291" s="49" t="s">
        <v>13759</v>
      </c>
    </row>
    <row r="292" spans="1:21" x14ac:dyDescent="0.2">
      <c r="A292" s="49" t="s">
        <v>30</v>
      </c>
      <c r="D292" s="49" t="s">
        <v>3817</v>
      </c>
      <c r="G292" s="49" t="s">
        <v>20407</v>
      </c>
      <c r="H292" s="49" t="s">
        <v>3818</v>
      </c>
      <c r="I292" s="49" t="s">
        <v>3819</v>
      </c>
      <c r="J292" s="49" t="s">
        <v>3820</v>
      </c>
      <c r="K292" s="49" t="s">
        <v>3821</v>
      </c>
      <c r="L292" s="49" t="s">
        <v>3822</v>
      </c>
      <c r="M292" s="49" t="s">
        <v>3823</v>
      </c>
      <c r="N292" s="49" t="s">
        <v>3824</v>
      </c>
      <c r="O292" s="49" t="s">
        <v>9208</v>
      </c>
      <c r="P292" s="49" t="s">
        <v>9209</v>
      </c>
      <c r="Q292" s="49" t="s">
        <v>9210</v>
      </c>
      <c r="R292" s="49" t="s">
        <v>9211</v>
      </c>
      <c r="S292" s="49" t="s">
        <v>9212</v>
      </c>
      <c r="T292" s="49" t="s">
        <v>9213</v>
      </c>
    </row>
    <row r="293" spans="1:21" x14ac:dyDescent="0.2">
      <c r="A293" s="49" t="s">
        <v>30</v>
      </c>
    </row>
    <row r="294" spans="1:21" x14ac:dyDescent="0.2">
      <c r="A294" s="49" t="s">
        <v>30</v>
      </c>
      <c r="E294" s="49" t="s">
        <v>31</v>
      </c>
      <c r="F294" s="49" t="s">
        <v>31</v>
      </c>
      <c r="G294" s="49" t="s">
        <v>31</v>
      </c>
      <c r="J294" s="49" t="s">
        <v>31</v>
      </c>
      <c r="K294" s="49" t="s">
        <v>31</v>
      </c>
      <c r="L294" s="49" t="s">
        <v>31</v>
      </c>
      <c r="M294" s="49" t="s">
        <v>31</v>
      </c>
    </row>
    <row r="295" spans="1:21" x14ac:dyDescent="0.2">
      <c r="A295" s="49" t="s">
        <v>30</v>
      </c>
      <c r="D295" s="49" t="s">
        <v>39245</v>
      </c>
      <c r="E295" s="49" t="s">
        <v>8836</v>
      </c>
      <c r="F295" s="49" t="s">
        <v>39246</v>
      </c>
      <c r="H295" s="49" t="s">
        <v>39247</v>
      </c>
      <c r="O295" s="49" t="s">
        <v>39248</v>
      </c>
      <c r="P295" s="49" t="s">
        <v>39249</v>
      </c>
      <c r="Q295" s="49" t="s">
        <v>39250</v>
      </c>
      <c r="R295" s="49" t="s">
        <v>39251</v>
      </c>
      <c r="S295" s="49" t="s">
        <v>39252</v>
      </c>
      <c r="T295" s="49" t="s">
        <v>39253</v>
      </c>
      <c r="U295" s="49" t="s">
        <v>39254</v>
      </c>
    </row>
    <row r="296" spans="1:21" x14ac:dyDescent="0.2">
      <c r="A296" s="49" t="s">
        <v>30</v>
      </c>
      <c r="D296" s="49" t="s">
        <v>2747</v>
      </c>
      <c r="G296" s="49" t="s">
        <v>39255</v>
      </c>
      <c r="H296" s="49" t="s">
        <v>2748</v>
      </c>
      <c r="I296" s="49" t="s">
        <v>2749</v>
      </c>
      <c r="J296" s="49" t="s">
        <v>2750</v>
      </c>
      <c r="K296" s="49" t="s">
        <v>2751</v>
      </c>
      <c r="L296" s="49" t="s">
        <v>2752</v>
      </c>
      <c r="M296" s="49" t="s">
        <v>2753</v>
      </c>
      <c r="N296" s="49" t="s">
        <v>2754</v>
      </c>
      <c r="O296" s="49" t="s">
        <v>9214</v>
      </c>
      <c r="P296" s="49" t="s">
        <v>9215</v>
      </c>
      <c r="Q296" s="49" t="s">
        <v>9216</v>
      </c>
      <c r="R296" s="49" t="s">
        <v>9217</v>
      </c>
      <c r="S296" s="49" t="s">
        <v>9218</v>
      </c>
      <c r="T296" s="49" t="s">
        <v>9219</v>
      </c>
    </row>
    <row r="297" spans="1:21" x14ac:dyDescent="0.2">
      <c r="A297" s="49" t="s">
        <v>30</v>
      </c>
      <c r="D297" s="49" t="s">
        <v>2430</v>
      </c>
      <c r="G297" s="49" t="s">
        <v>20567</v>
      </c>
      <c r="H297" s="49" t="s">
        <v>2431</v>
      </c>
      <c r="I297" s="49" t="s">
        <v>2432</v>
      </c>
      <c r="J297" s="49" t="s">
        <v>2433</v>
      </c>
      <c r="K297" s="49" t="s">
        <v>2434</v>
      </c>
      <c r="L297" s="49" t="s">
        <v>2435</v>
      </c>
      <c r="M297" s="49" t="s">
        <v>2436</v>
      </c>
      <c r="N297" s="49" t="s">
        <v>2437</v>
      </c>
      <c r="O297" s="49" t="s">
        <v>9718</v>
      </c>
      <c r="P297" s="49" t="s">
        <v>9719</v>
      </c>
      <c r="Q297" s="49" t="s">
        <v>9720</v>
      </c>
      <c r="R297" s="49" t="s">
        <v>9721</v>
      </c>
      <c r="S297" s="49" t="s">
        <v>9722</v>
      </c>
      <c r="T297" s="49" t="s">
        <v>9723</v>
      </c>
    </row>
    <row r="298" spans="1:21" x14ac:dyDescent="0.2">
      <c r="A298" s="49" t="s">
        <v>30</v>
      </c>
    </row>
    <row r="299" spans="1:21" x14ac:dyDescent="0.2">
      <c r="A299" s="49" t="s">
        <v>30</v>
      </c>
      <c r="E299" s="49" t="s">
        <v>31</v>
      </c>
      <c r="F299" s="49" t="s">
        <v>31</v>
      </c>
      <c r="G299" s="49" t="s">
        <v>31</v>
      </c>
      <c r="J299" s="49" t="s">
        <v>31</v>
      </c>
      <c r="K299" s="49" t="s">
        <v>31</v>
      </c>
      <c r="L299" s="49" t="s">
        <v>31</v>
      </c>
      <c r="M299" s="49" t="s">
        <v>31</v>
      </c>
    </row>
    <row r="300" spans="1:21" x14ac:dyDescent="0.2">
      <c r="A300" s="49" t="s">
        <v>30</v>
      </c>
      <c r="D300" s="49" t="s">
        <v>10434</v>
      </c>
      <c r="E300" s="49" t="s">
        <v>8838</v>
      </c>
      <c r="F300" s="49" t="s">
        <v>10435</v>
      </c>
      <c r="H300" s="49" t="s">
        <v>10436</v>
      </c>
      <c r="O300" s="49" t="s">
        <v>39256</v>
      </c>
      <c r="P300" s="49" t="s">
        <v>39257</v>
      </c>
      <c r="Q300" s="49" t="s">
        <v>39258</v>
      </c>
      <c r="R300" s="49" t="s">
        <v>39259</v>
      </c>
      <c r="S300" s="49" t="s">
        <v>39260</v>
      </c>
      <c r="T300" s="49" t="s">
        <v>39261</v>
      </c>
      <c r="U300" s="49" t="s">
        <v>39262</v>
      </c>
    </row>
    <row r="301" spans="1:21" x14ac:dyDescent="0.2">
      <c r="A301" s="49" t="s">
        <v>30</v>
      </c>
      <c r="D301" s="49" t="s">
        <v>2438</v>
      </c>
      <c r="G301" s="49" t="s">
        <v>10437</v>
      </c>
      <c r="H301" s="49" t="s">
        <v>2439</v>
      </c>
      <c r="I301" s="49" t="s">
        <v>2440</v>
      </c>
      <c r="J301" s="49" t="s">
        <v>2441</v>
      </c>
      <c r="K301" s="49" t="s">
        <v>2442</v>
      </c>
      <c r="L301" s="49" t="s">
        <v>2443</v>
      </c>
      <c r="M301" s="49" t="s">
        <v>2444</v>
      </c>
      <c r="N301" s="49" t="s">
        <v>2445</v>
      </c>
      <c r="O301" s="49" t="s">
        <v>10438</v>
      </c>
      <c r="P301" s="49" t="s">
        <v>10439</v>
      </c>
      <c r="Q301" s="49" t="s">
        <v>10440</v>
      </c>
      <c r="R301" s="49" t="s">
        <v>10441</v>
      </c>
      <c r="S301" s="49" t="s">
        <v>10442</v>
      </c>
      <c r="T301" s="49" t="s">
        <v>10443</v>
      </c>
    </row>
    <row r="302" spans="1:21" x14ac:dyDescent="0.2">
      <c r="A302" s="49" t="s">
        <v>30</v>
      </c>
      <c r="D302" s="49" t="s">
        <v>2137</v>
      </c>
      <c r="G302" s="49" t="s">
        <v>20677</v>
      </c>
      <c r="H302" s="49" t="s">
        <v>2138</v>
      </c>
      <c r="I302" s="49" t="s">
        <v>2139</v>
      </c>
      <c r="J302" s="49" t="s">
        <v>2140</v>
      </c>
      <c r="K302" s="49" t="s">
        <v>2141</v>
      </c>
      <c r="L302" s="49" t="s">
        <v>2142</v>
      </c>
      <c r="M302" s="49" t="s">
        <v>2143</v>
      </c>
      <c r="N302" s="49" t="s">
        <v>2144</v>
      </c>
      <c r="O302" s="49" t="s">
        <v>10444</v>
      </c>
      <c r="P302" s="49" t="s">
        <v>10445</v>
      </c>
      <c r="Q302" s="49" t="s">
        <v>10446</v>
      </c>
      <c r="R302" s="49" t="s">
        <v>10447</v>
      </c>
      <c r="S302" s="49" t="s">
        <v>10448</v>
      </c>
      <c r="T302" s="49" t="s">
        <v>10449</v>
      </c>
    </row>
    <row r="303" spans="1:21" x14ac:dyDescent="0.2">
      <c r="A303" s="49" t="s">
        <v>30</v>
      </c>
    </row>
    <row r="304" spans="1:21" x14ac:dyDescent="0.2">
      <c r="A304" s="49" t="s">
        <v>30</v>
      </c>
      <c r="E304" s="49" t="s">
        <v>31</v>
      </c>
      <c r="F304" s="49" t="s">
        <v>31</v>
      </c>
      <c r="G304" s="49" t="s">
        <v>31</v>
      </c>
      <c r="J304" s="49" t="s">
        <v>31</v>
      </c>
      <c r="K304" s="49" t="s">
        <v>31</v>
      </c>
      <c r="L304" s="49" t="s">
        <v>31</v>
      </c>
      <c r="M304" s="49" t="s">
        <v>31</v>
      </c>
    </row>
    <row r="305" spans="1:21" x14ac:dyDescent="0.2">
      <c r="A305" s="49" t="s">
        <v>30</v>
      </c>
      <c r="D305" s="49" t="s">
        <v>10701</v>
      </c>
      <c r="E305" s="49" t="s">
        <v>8839</v>
      </c>
      <c r="F305" s="49" t="s">
        <v>10702</v>
      </c>
      <c r="H305" s="49" t="s">
        <v>10703</v>
      </c>
      <c r="O305" s="49" t="s">
        <v>39263</v>
      </c>
      <c r="P305" s="49" t="s">
        <v>39264</v>
      </c>
      <c r="Q305" s="49" t="s">
        <v>39265</v>
      </c>
      <c r="R305" s="49" t="s">
        <v>39266</v>
      </c>
      <c r="S305" s="49" t="s">
        <v>39267</v>
      </c>
      <c r="T305" s="49" t="s">
        <v>39268</v>
      </c>
      <c r="U305" s="49" t="s">
        <v>39269</v>
      </c>
    </row>
    <row r="306" spans="1:21" x14ac:dyDescent="0.2">
      <c r="A306" s="49" t="s">
        <v>30</v>
      </c>
      <c r="D306" s="49" t="s">
        <v>2145</v>
      </c>
      <c r="G306" s="49" t="s">
        <v>10704</v>
      </c>
      <c r="H306" s="49" t="s">
        <v>2146</v>
      </c>
      <c r="I306" s="49" t="s">
        <v>2147</v>
      </c>
      <c r="J306" s="49" t="s">
        <v>2148</v>
      </c>
      <c r="K306" s="49" t="s">
        <v>2149</v>
      </c>
      <c r="L306" s="49" t="s">
        <v>2150</v>
      </c>
      <c r="M306" s="49" t="s">
        <v>2151</v>
      </c>
      <c r="N306" s="49" t="s">
        <v>2152</v>
      </c>
      <c r="O306" s="49" t="s">
        <v>10705</v>
      </c>
      <c r="P306" s="49" t="s">
        <v>10706</v>
      </c>
      <c r="Q306" s="49" t="s">
        <v>10707</v>
      </c>
      <c r="R306" s="49" t="s">
        <v>10708</v>
      </c>
      <c r="S306" s="49" t="s">
        <v>10709</v>
      </c>
      <c r="T306" s="49" t="s">
        <v>10710</v>
      </c>
    </row>
    <row r="307" spans="1:21" x14ac:dyDescent="0.2">
      <c r="A307" s="49" t="s">
        <v>30</v>
      </c>
      <c r="D307" s="49" t="s">
        <v>2755</v>
      </c>
      <c r="G307" s="49" t="s">
        <v>20737</v>
      </c>
      <c r="H307" s="49" t="s">
        <v>2756</v>
      </c>
      <c r="I307" s="49" t="s">
        <v>2757</v>
      </c>
      <c r="J307" s="49" t="s">
        <v>2758</v>
      </c>
      <c r="K307" s="49" t="s">
        <v>2759</v>
      </c>
      <c r="L307" s="49" t="s">
        <v>2760</v>
      </c>
      <c r="M307" s="49" t="s">
        <v>2761</v>
      </c>
      <c r="N307" s="49" t="s">
        <v>2762</v>
      </c>
      <c r="O307" s="49" t="s">
        <v>32607</v>
      </c>
      <c r="P307" s="49" t="s">
        <v>32608</v>
      </c>
      <c r="Q307" s="49" t="s">
        <v>32609</v>
      </c>
      <c r="R307" s="49" t="s">
        <v>32610</v>
      </c>
      <c r="S307" s="49" t="s">
        <v>32611</v>
      </c>
      <c r="T307" s="49" t="s">
        <v>32612</v>
      </c>
    </row>
    <row r="308" spans="1:21" x14ac:dyDescent="0.2">
      <c r="A308" s="49" t="s">
        <v>30</v>
      </c>
    </row>
    <row r="309" spans="1:21" x14ac:dyDescent="0.2">
      <c r="A309" s="49" t="s">
        <v>30</v>
      </c>
      <c r="E309" s="49" t="s">
        <v>31</v>
      </c>
      <c r="F309" s="49" t="s">
        <v>31</v>
      </c>
      <c r="G309" s="49" t="s">
        <v>31</v>
      </c>
      <c r="J309" s="49" t="s">
        <v>31</v>
      </c>
      <c r="K309" s="49" t="s">
        <v>31</v>
      </c>
      <c r="L309" s="49" t="s">
        <v>31</v>
      </c>
      <c r="M309" s="49" t="s">
        <v>31</v>
      </c>
    </row>
    <row r="310" spans="1:21" x14ac:dyDescent="0.2">
      <c r="A310" s="49" t="s">
        <v>30</v>
      </c>
      <c r="D310" s="49" t="s">
        <v>35086</v>
      </c>
      <c r="E310" s="49" t="s">
        <v>8840</v>
      </c>
      <c r="F310" s="49" t="s">
        <v>35087</v>
      </c>
      <c r="H310" s="49" t="s">
        <v>35088</v>
      </c>
      <c r="O310" s="49" t="s">
        <v>39270</v>
      </c>
      <c r="P310" s="49" t="s">
        <v>39271</v>
      </c>
      <c r="Q310" s="49" t="s">
        <v>39272</v>
      </c>
      <c r="R310" s="49" t="s">
        <v>39273</v>
      </c>
      <c r="S310" s="49" t="s">
        <v>39274</v>
      </c>
      <c r="T310" s="49" t="s">
        <v>39275</v>
      </c>
      <c r="U310" s="49" t="s">
        <v>39276</v>
      </c>
    </row>
    <row r="311" spans="1:21" x14ac:dyDescent="0.2">
      <c r="A311" s="49" t="s">
        <v>30</v>
      </c>
      <c r="D311" s="49" t="s">
        <v>2153</v>
      </c>
      <c r="G311" s="49" t="s">
        <v>35096</v>
      </c>
      <c r="H311" s="49" t="s">
        <v>2154</v>
      </c>
      <c r="I311" s="49" t="s">
        <v>2155</v>
      </c>
      <c r="J311" s="49" t="s">
        <v>2156</v>
      </c>
      <c r="K311" s="49" t="s">
        <v>2157</v>
      </c>
      <c r="L311" s="49" t="s">
        <v>2158</v>
      </c>
      <c r="M311" s="49" t="s">
        <v>2159</v>
      </c>
      <c r="N311" s="49" t="s">
        <v>2160</v>
      </c>
      <c r="O311" s="49" t="s">
        <v>9736</v>
      </c>
      <c r="P311" s="49" t="s">
        <v>9737</v>
      </c>
      <c r="Q311" s="49" t="s">
        <v>9738</v>
      </c>
      <c r="R311" s="49" t="s">
        <v>9739</v>
      </c>
      <c r="S311" s="49" t="s">
        <v>9740</v>
      </c>
      <c r="T311" s="49" t="s">
        <v>9741</v>
      </c>
    </row>
    <row r="312" spans="1:21" x14ac:dyDescent="0.2">
      <c r="A312" s="49" t="s">
        <v>30</v>
      </c>
      <c r="D312" s="49" t="s">
        <v>4845</v>
      </c>
      <c r="G312" s="49" t="s">
        <v>20792</v>
      </c>
      <c r="H312" s="49" t="s">
        <v>4846</v>
      </c>
      <c r="I312" s="49" t="s">
        <v>4847</v>
      </c>
      <c r="J312" s="49" t="s">
        <v>4848</v>
      </c>
      <c r="K312" s="49" t="s">
        <v>4849</v>
      </c>
      <c r="L312" s="49" t="s">
        <v>4850</v>
      </c>
      <c r="M312" s="49" t="s">
        <v>4851</v>
      </c>
      <c r="N312" s="49" t="s">
        <v>4852</v>
      </c>
      <c r="O312" s="49" t="s">
        <v>32627</v>
      </c>
      <c r="P312" s="49" t="s">
        <v>32628</v>
      </c>
      <c r="Q312" s="49" t="s">
        <v>32629</v>
      </c>
      <c r="R312" s="49" t="s">
        <v>32630</v>
      </c>
      <c r="S312" s="49" t="s">
        <v>32631</v>
      </c>
      <c r="T312" s="49" t="s">
        <v>32632</v>
      </c>
    </row>
    <row r="313" spans="1:21" x14ac:dyDescent="0.2">
      <c r="A313" s="49" t="s">
        <v>30</v>
      </c>
    </row>
    <row r="314" spans="1:21" x14ac:dyDescent="0.2">
      <c r="A314" s="49" t="s">
        <v>30</v>
      </c>
      <c r="E314" s="49" t="s">
        <v>31</v>
      </c>
      <c r="F314" s="49" t="s">
        <v>31</v>
      </c>
      <c r="G314" s="49" t="s">
        <v>31</v>
      </c>
      <c r="J314" s="49" t="s">
        <v>31</v>
      </c>
      <c r="K314" s="49" t="s">
        <v>31</v>
      </c>
      <c r="L314" s="49" t="s">
        <v>31</v>
      </c>
      <c r="M314" s="49" t="s">
        <v>31</v>
      </c>
    </row>
    <row r="315" spans="1:21" x14ac:dyDescent="0.2">
      <c r="A315" s="49" t="s">
        <v>30</v>
      </c>
      <c r="D315" s="49" t="s">
        <v>14430</v>
      </c>
      <c r="E315" s="49" t="s">
        <v>20884</v>
      </c>
      <c r="F315" s="49" t="s">
        <v>14431</v>
      </c>
      <c r="H315" s="49" t="s">
        <v>14432</v>
      </c>
      <c r="O315" s="49" t="s">
        <v>32633</v>
      </c>
      <c r="P315" s="49" t="s">
        <v>32634</v>
      </c>
      <c r="Q315" s="49" t="s">
        <v>32635</v>
      </c>
      <c r="R315" s="49" t="s">
        <v>32636</v>
      </c>
      <c r="S315" s="49" t="s">
        <v>32637</v>
      </c>
      <c r="T315" s="49" t="s">
        <v>32638</v>
      </c>
      <c r="U315" s="49" t="s">
        <v>32639</v>
      </c>
    </row>
    <row r="316" spans="1:21" x14ac:dyDescent="0.2">
      <c r="A316" s="49" t="s">
        <v>30</v>
      </c>
      <c r="D316" s="49" t="s">
        <v>1266</v>
      </c>
      <c r="G316" s="49" t="s">
        <v>32640</v>
      </c>
      <c r="H316" s="49" t="s">
        <v>1267</v>
      </c>
      <c r="I316" s="49" t="s">
        <v>1268</v>
      </c>
      <c r="J316" s="49" t="s">
        <v>1269</v>
      </c>
      <c r="K316" s="49" t="s">
        <v>1270</v>
      </c>
      <c r="L316" s="49" t="s">
        <v>1271</v>
      </c>
      <c r="M316" s="49" t="s">
        <v>1272</v>
      </c>
      <c r="N316" s="49" t="s">
        <v>1273</v>
      </c>
      <c r="O316" s="49" t="s">
        <v>9742</v>
      </c>
      <c r="P316" s="49" t="s">
        <v>9743</v>
      </c>
      <c r="Q316" s="49" t="s">
        <v>9744</v>
      </c>
      <c r="R316" s="49" t="s">
        <v>9745</v>
      </c>
      <c r="S316" s="49" t="s">
        <v>9746</v>
      </c>
      <c r="T316" s="49" t="s">
        <v>9747</v>
      </c>
    </row>
    <row r="317" spans="1:21" x14ac:dyDescent="0.2">
      <c r="A317" s="49" t="s">
        <v>30</v>
      </c>
    </row>
    <row r="318" spans="1:21" x14ac:dyDescent="0.2">
      <c r="A318" s="49" t="s">
        <v>30</v>
      </c>
      <c r="E318" s="49" t="s">
        <v>31</v>
      </c>
      <c r="F318" s="49" t="s">
        <v>31</v>
      </c>
      <c r="G318" s="49" t="s">
        <v>31</v>
      </c>
      <c r="J318" s="49" t="s">
        <v>31</v>
      </c>
      <c r="K318" s="49" t="s">
        <v>31</v>
      </c>
      <c r="L318" s="49" t="s">
        <v>31</v>
      </c>
      <c r="M318" s="49" t="s">
        <v>31</v>
      </c>
    </row>
    <row r="319" spans="1:21" x14ac:dyDescent="0.2">
      <c r="A319" s="49" t="s">
        <v>30</v>
      </c>
      <c r="D319" s="49" t="s">
        <v>9748</v>
      </c>
      <c r="E319" s="49" t="s">
        <v>21018</v>
      </c>
      <c r="F319" s="49" t="s">
        <v>9749</v>
      </c>
      <c r="H319" s="49" t="s">
        <v>9750</v>
      </c>
      <c r="O319" s="49" t="s">
        <v>32641</v>
      </c>
      <c r="P319" s="49" t="s">
        <v>32642</v>
      </c>
      <c r="Q319" s="49" t="s">
        <v>32643</v>
      </c>
      <c r="R319" s="49" t="s">
        <v>32644</v>
      </c>
      <c r="S319" s="49" t="s">
        <v>32645</v>
      </c>
      <c r="T319" s="49" t="s">
        <v>32646</v>
      </c>
      <c r="U319" s="49" t="s">
        <v>32647</v>
      </c>
    </row>
    <row r="320" spans="1:21" x14ac:dyDescent="0.2">
      <c r="A320" s="49" t="s">
        <v>30</v>
      </c>
      <c r="D320" s="49" t="s">
        <v>2446</v>
      </c>
      <c r="G320" s="49" t="s">
        <v>9751</v>
      </c>
      <c r="H320" s="49" t="s">
        <v>2447</v>
      </c>
      <c r="I320" s="49" t="s">
        <v>2448</v>
      </c>
      <c r="J320" s="49" t="s">
        <v>2449</v>
      </c>
      <c r="K320" s="49" t="s">
        <v>2450</v>
      </c>
      <c r="L320" s="49" t="s">
        <v>2451</v>
      </c>
      <c r="M320" s="49" t="s">
        <v>2452</v>
      </c>
      <c r="N320" s="49" t="s">
        <v>2453</v>
      </c>
      <c r="O320" s="49" t="s">
        <v>9752</v>
      </c>
      <c r="P320" s="49" t="s">
        <v>9753</v>
      </c>
      <c r="Q320" s="49" t="s">
        <v>9754</v>
      </c>
      <c r="R320" s="49" t="s">
        <v>9755</v>
      </c>
      <c r="S320" s="49" t="s">
        <v>9756</v>
      </c>
      <c r="T320" s="49" t="s">
        <v>9757</v>
      </c>
    </row>
    <row r="321" spans="1:21" x14ac:dyDescent="0.2">
      <c r="A321" s="49" t="s">
        <v>30</v>
      </c>
    </row>
    <row r="322" spans="1:21" x14ac:dyDescent="0.2">
      <c r="A322" s="49" t="s">
        <v>30</v>
      </c>
      <c r="E322" s="49" t="s">
        <v>31</v>
      </c>
      <c r="F322" s="49" t="s">
        <v>31</v>
      </c>
      <c r="G322" s="49" t="s">
        <v>31</v>
      </c>
      <c r="J322" s="49" t="s">
        <v>31</v>
      </c>
      <c r="K322" s="49" t="s">
        <v>31</v>
      </c>
      <c r="L322" s="49" t="s">
        <v>31</v>
      </c>
      <c r="M322" s="49" t="s">
        <v>31</v>
      </c>
    </row>
    <row r="323" spans="1:21" x14ac:dyDescent="0.2">
      <c r="A323" s="49" t="s">
        <v>30</v>
      </c>
      <c r="D323" s="49" t="s">
        <v>13879</v>
      </c>
      <c r="E323" s="49" t="s">
        <v>21162</v>
      </c>
      <c r="F323" s="49" t="s">
        <v>13880</v>
      </c>
      <c r="H323" s="49" t="s">
        <v>13881</v>
      </c>
      <c r="O323" s="49" t="s">
        <v>13882</v>
      </c>
      <c r="P323" s="49" t="s">
        <v>13883</v>
      </c>
      <c r="Q323" s="49" t="s">
        <v>13884</v>
      </c>
      <c r="R323" s="49" t="s">
        <v>13885</v>
      </c>
      <c r="S323" s="49" t="s">
        <v>13886</v>
      </c>
      <c r="T323" s="49" t="s">
        <v>13887</v>
      </c>
      <c r="U323" s="49" t="s">
        <v>13888</v>
      </c>
    </row>
    <row r="324" spans="1:21" x14ac:dyDescent="0.2">
      <c r="A324" s="49" t="s">
        <v>30</v>
      </c>
      <c r="D324" s="49" t="s">
        <v>2454</v>
      </c>
      <c r="G324" s="49" t="s">
        <v>13889</v>
      </c>
      <c r="H324" s="49" t="s">
        <v>2455</v>
      </c>
      <c r="I324" s="49" t="s">
        <v>2456</v>
      </c>
      <c r="J324" s="49" t="s">
        <v>2457</v>
      </c>
      <c r="K324" s="49" t="s">
        <v>2458</v>
      </c>
      <c r="L324" s="49" t="s">
        <v>2459</v>
      </c>
      <c r="M324" s="49" t="s">
        <v>2460</v>
      </c>
      <c r="N324" s="49" t="s">
        <v>2461</v>
      </c>
      <c r="O324" s="49" t="s">
        <v>10202</v>
      </c>
      <c r="P324" s="49" t="s">
        <v>10203</v>
      </c>
      <c r="Q324" s="49" t="s">
        <v>10204</v>
      </c>
      <c r="R324" s="49" t="s">
        <v>10205</v>
      </c>
      <c r="S324" s="49" t="s">
        <v>10206</v>
      </c>
      <c r="T324" s="49" t="s">
        <v>10207</v>
      </c>
    </row>
    <row r="325" spans="1:21" x14ac:dyDescent="0.2">
      <c r="A325" s="49" t="s">
        <v>30</v>
      </c>
    </row>
    <row r="326" spans="1:21" x14ac:dyDescent="0.2">
      <c r="A326" s="49" t="s">
        <v>30</v>
      </c>
      <c r="E326" s="49" t="s">
        <v>31</v>
      </c>
      <c r="F326" s="49" t="s">
        <v>31</v>
      </c>
      <c r="G326" s="49" t="s">
        <v>31</v>
      </c>
      <c r="J326" s="49" t="s">
        <v>31</v>
      </c>
      <c r="K326" s="49" t="s">
        <v>31</v>
      </c>
      <c r="L326" s="49" t="s">
        <v>31</v>
      </c>
      <c r="M326" s="49" t="s">
        <v>31</v>
      </c>
    </row>
    <row r="327" spans="1:21" x14ac:dyDescent="0.2">
      <c r="A327" s="49" t="s">
        <v>30</v>
      </c>
      <c r="D327" s="49" t="s">
        <v>13890</v>
      </c>
      <c r="E327" s="49" t="s">
        <v>21203</v>
      </c>
      <c r="F327" s="49" t="s">
        <v>13891</v>
      </c>
      <c r="H327" s="49" t="s">
        <v>13892</v>
      </c>
      <c r="O327" s="49" t="s">
        <v>32648</v>
      </c>
      <c r="P327" s="49" t="s">
        <v>32649</v>
      </c>
      <c r="Q327" s="49" t="s">
        <v>32650</v>
      </c>
      <c r="R327" s="49" t="s">
        <v>32651</v>
      </c>
      <c r="S327" s="49" t="s">
        <v>32652</v>
      </c>
      <c r="T327" s="49" t="s">
        <v>32653</v>
      </c>
      <c r="U327" s="49" t="s">
        <v>32654</v>
      </c>
    </row>
    <row r="328" spans="1:21" x14ac:dyDescent="0.2">
      <c r="A328" s="49" t="s">
        <v>30</v>
      </c>
      <c r="D328" s="49" t="s">
        <v>2629</v>
      </c>
      <c r="G328" s="49" t="s">
        <v>13893</v>
      </c>
      <c r="H328" s="49" t="s">
        <v>2630</v>
      </c>
      <c r="I328" s="49" t="s">
        <v>2631</v>
      </c>
      <c r="J328" s="49" t="s">
        <v>2632</v>
      </c>
      <c r="K328" s="49" t="s">
        <v>2633</v>
      </c>
      <c r="L328" s="49" t="s">
        <v>2634</v>
      </c>
      <c r="M328" s="49" t="s">
        <v>2635</v>
      </c>
      <c r="N328" s="49" t="s">
        <v>2636</v>
      </c>
      <c r="O328" s="49" t="s">
        <v>9764</v>
      </c>
      <c r="P328" s="49" t="s">
        <v>9765</v>
      </c>
      <c r="Q328" s="49" t="s">
        <v>9766</v>
      </c>
      <c r="R328" s="49" t="s">
        <v>9767</v>
      </c>
      <c r="S328" s="49" t="s">
        <v>9768</v>
      </c>
      <c r="T328" s="49" t="s">
        <v>9769</v>
      </c>
    </row>
    <row r="329" spans="1:21" x14ac:dyDescent="0.2">
      <c r="A329" s="49" t="s">
        <v>30</v>
      </c>
    </row>
    <row r="330" spans="1:21" x14ac:dyDescent="0.2">
      <c r="A330" s="49" t="s">
        <v>30</v>
      </c>
      <c r="E330" s="49" t="s">
        <v>31</v>
      </c>
      <c r="F330" s="49" t="s">
        <v>31</v>
      </c>
      <c r="G330" s="49" t="s">
        <v>31</v>
      </c>
      <c r="J330" s="49" t="s">
        <v>31</v>
      </c>
      <c r="K330" s="49" t="s">
        <v>31</v>
      </c>
      <c r="L330" s="49" t="s">
        <v>31</v>
      </c>
      <c r="M330" s="49" t="s">
        <v>31</v>
      </c>
    </row>
    <row r="331" spans="1:21" x14ac:dyDescent="0.2">
      <c r="A331" s="49" t="s">
        <v>30</v>
      </c>
      <c r="D331" s="49" t="s">
        <v>32655</v>
      </c>
      <c r="E331" s="49" t="s">
        <v>21229</v>
      </c>
      <c r="F331" s="49" t="s">
        <v>32656</v>
      </c>
      <c r="H331" s="49" t="s">
        <v>32657</v>
      </c>
      <c r="O331" s="49" t="s">
        <v>32658</v>
      </c>
      <c r="P331" s="49" t="s">
        <v>32659</v>
      </c>
      <c r="Q331" s="49" t="s">
        <v>32660</v>
      </c>
      <c r="R331" s="49" t="s">
        <v>32661</v>
      </c>
      <c r="S331" s="49" t="s">
        <v>32662</v>
      </c>
      <c r="T331" s="49" t="s">
        <v>32663</v>
      </c>
      <c r="U331" s="49" t="s">
        <v>32664</v>
      </c>
    </row>
    <row r="332" spans="1:21" x14ac:dyDescent="0.2">
      <c r="A332" s="49" t="s">
        <v>30</v>
      </c>
      <c r="D332" s="49" t="s">
        <v>1322</v>
      </c>
      <c r="G332" s="49" t="s">
        <v>32665</v>
      </c>
      <c r="H332" s="49" t="s">
        <v>1323</v>
      </c>
      <c r="I332" s="49" t="s">
        <v>1324</v>
      </c>
      <c r="J332" s="49" t="s">
        <v>1325</v>
      </c>
      <c r="K332" s="49" t="s">
        <v>1326</v>
      </c>
      <c r="L332" s="49" t="s">
        <v>1327</v>
      </c>
      <c r="M332" s="49" t="s">
        <v>1328</v>
      </c>
      <c r="N332" s="49" t="s">
        <v>1329</v>
      </c>
      <c r="O332" s="49" t="s">
        <v>32666</v>
      </c>
      <c r="P332" s="49" t="s">
        <v>32667</v>
      </c>
      <c r="Q332" s="49" t="s">
        <v>32668</v>
      </c>
      <c r="R332" s="49" t="s">
        <v>32669</v>
      </c>
      <c r="S332" s="49" t="s">
        <v>32670</v>
      </c>
      <c r="T332" s="49" t="s">
        <v>32671</v>
      </c>
    </row>
    <row r="333" spans="1:21" x14ac:dyDescent="0.2">
      <c r="A333" s="49" t="s">
        <v>30</v>
      </c>
    </row>
    <row r="334" spans="1:21" x14ac:dyDescent="0.2">
      <c r="A334" s="49" t="s">
        <v>30</v>
      </c>
      <c r="E334" s="49" t="s">
        <v>31</v>
      </c>
      <c r="F334" s="49" t="s">
        <v>31</v>
      </c>
      <c r="G334" s="49" t="s">
        <v>31</v>
      </c>
      <c r="J334" s="49" t="s">
        <v>31</v>
      </c>
      <c r="K334" s="49" t="s">
        <v>31</v>
      </c>
      <c r="L334" s="49" t="s">
        <v>31</v>
      </c>
      <c r="M334" s="49" t="s">
        <v>31</v>
      </c>
    </row>
    <row r="335" spans="1:21" x14ac:dyDescent="0.2">
      <c r="A335" s="49" t="s">
        <v>30</v>
      </c>
      <c r="D335" s="49" t="s">
        <v>9294</v>
      </c>
      <c r="E335" s="49" t="s">
        <v>21260</v>
      </c>
      <c r="F335" s="49" t="s">
        <v>9295</v>
      </c>
      <c r="H335" s="49" t="s">
        <v>9296</v>
      </c>
      <c r="O335" s="49" t="s">
        <v>32672</v>
      </c>
      <c r="P335" s="49" t="s">
        <v>32673</v>
      </c>
      <c r="Q335" s="49" t="s">
        <v>32674</v>
      </c>
      <c r="R335" s="49" t="s">
        <v>32675</v>
      </c>
      <c r="S335" s="49" t="s">
        <v>32676</v>
      </c>
      <c r="T335" s="49" t="s">
        <v>32677</v>
      </c>
      <c r="U335" s="49" t="s">
        <v>32678</v>
      </c>
    </row>
    <row r="336" spans="1:21" x14ac:dyDescent="0.2">
      <c r="A336" s="49" t="s">
        <v>30</v>
      </c>
      <c r="D336" s="49" t="s">
        <v>4892</v>
      </c>
      <c r="G336" s="49" t="s">
        <v>32679</v>
      </c>
      <c r="H336" s="49" t="s">
        <v>4893</v>
      </c>
      <c r="I336" s="49" t="s">
        <v>4894</v>
      </c>
      <c r="J336" s="49" t="s">
        <v>4895</v>
      </c>
      <c r="K336" s="49" t="s">
        <v>4896</v>
      </c>
      <c r="L336" s="49" t="s">
        <v>4897</v>
      </c>
      <c r="M336" s="49" t="s">
        <v>4898</v>
      </c>
      <c r="N336" s="49" t="s">
        <v>4899</v>
      </c>
      <c r="O336" s="49" t="s">
        <v>9297</v>
      </c>
      <c r="P336" s="49" t="s">
        <v>9298</v>
      </c>
      <c r="Q336" s="49" t="s">
        <v>9299</v>
      </c>
      <c r="R336" s="49" t="s">
        <v>9300</v>
      </c>
      <c r="S336" s="49" t="s">
        <v>9301</v>
      </c>
      <c r="T336" s="49" t="s">
        <v>9302</v>
      </c>
    </row>
    <row r="337" spans="1:21" x14ac:dyDescent="0.2">
      <c r="A337" s="49" t="s">
        <v>30</v>
      </c>
    </row>
    <row r="338" spans="1:21" x14ac:dyDescent="0.2">
      <c r="A338" s="49" t="s">
        <v>30</v>
      </c>
      <c r="E338" s="49" t="s">
        <v>31</v>
      </c>
      <c r="F338" s="49" t="s">
        <v>31</v>
      </c>
      <c r="G338" s="49" t="s">
        <v>31</v>
      </c>
      <c r="J338" s="49" t="s">
        <v>31</v>
      </c>
      <c r="K338" s="49" t="s">
        <v>31</v>
      </c>
      <c r="L338" s="49" t="s">
        <v>31</v>
      </c>
      <c r="M338" s="49" t="s">
        <v>31</v>
      </c>
    </row>
    <row r="339" spans="1:21" x14ac:dyDescent="0.2">
      <c r="A339" s="49" t="s">
        <v>30</v>
      </c>
      <c r="D339" s="49" t="s">
        <v>10214</v>
      </c>
      <c r="E339" s="49" t="s">
        <v>21446</v>
      </c>
      <c r="F339" s="49" t="s">
        <v>10215</v>
      </c>
      <c r="H339" s="49" t="s">
        <v>10216</v>
      </c>
      <c r="O339" s="49" t="s">
        <v>32680</v>
      </c>
      <c r="P339" s="49" t="s">
        <v>32681</v>
      </c>
      <c r="Q339" s="49" t="s">
        <v>32682</v>
      </c>
      <c r="R339" s="49" t="s">
        <v>32683</v>
      </c>
      <c r="S339" s="49" t="s">
        <v>32684</v>
      </c>
      <c r="T339" s="49" t="s">
        <v>32685</v>
      </c>
      <c r="U339" s="49" t="s">
        <v>32686</v>
      </c>
    </row>
    <row r="340" spans="1:21" x14ac:dyDescent="0.2">
      <c r="A340" s="49" t="s">
        <v>30</v>
      </c>
      <c r="D340" s="49" t="s">
        <v>1346</v>
      </c>
      <c r="G340" s="49" t="s">
        <v>10217</v>
      </c>
      <c r="H340" s="49" t="s">
        <v>1347</v>
      </c>
      <c r="I340" s="49" t="s">
        <v>1348</v>
      </c>
      <c r="J340" s="49" t="s">
        <v>1349</v>
      </c>
      <c r="K340" s="49" t="s">
        <v>1350</v>
      </c>
      <c r="L340" s="49" t="s">
        <v>1351</v>
      </c>
      <c r="M340" s="49" t="s">
        <v>1352</v>
      </c>
      <c r="N340" s="49" t="s">
        <v>1353</v>
      </c>
      <c r="O340" s="49" t="s">
        <v>10218</v>
      </c>
      <c r="P340" s="49" t="s">
        <v>10219</v>
      </c>
      <c r="Q340" s="49" t="s">
        <v>10220</v>
      </c>
      <c r="R340" s="49" t="s">
        <v>10221</v>
      </c>
      <c r="S340" s="49" t="s">
        <v>10222</v>
      </c>
      <c r="T340" s="49" t="s">
        <v>10223</v>
      </c>
    </row>
    <row r="341" spans="1:21" x14ac:dyDescent="0.2">
      <c r="A341" s="49" t="s">
        <v>30</v>
      </c>
    </row>
    <row r="342" spans="1:21" x14ac:dyDescent="0.2">
      <c r="A342" s="49" t="s">
        <v>30</v>
      </c>
      <c r="E342" s="49" t="s">
        <v>31</v>
      </c>
      <c r="F342" s="49" t="s">
        <v>31</v>
      </c>
      <c r="G342" s="49" t="s">
        <v>31</v>
      </c>
      <c r="J342" s="49" t="s">
        <v>31</v>
      </c>
      <c r="K342" s="49" t="s">
        <v>31</v>
      </c>
      <c r="L342" s="49" t="s">
        <v>31</v>
      </c>
      <c r="M342" s="49" t="s">
        <v>31</v>
      </c>
    </row>
    <row r="344" spans="1:21" x14ac:dyDescent="0.2">
      <c r="N344" s="49" t="s">
        <v>32</v>
      </c>
      <c r="O344" s="49" t="s">
        <v>39277</v>
      </c>
      <c r="P344" s="49" t="s">
        <v>39278</v>
      </c>
      <c r="Q344" s="49" t="s">
        <v>39279</v>
      </c>
      <c r="R344" s="49" t="s">
        <v>39280</v>
      </c>
      <c r="S344" s="49" t="s">
        <v>39281</v>
      </c>
      <c r="T344" s="49" t="s">
        <v>39282</v>
      </c>
      <c r="U344" s="49" t="s">
        <v>39283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U2188"/>
  <sheetViews>
    <sheetView showGridLines="0" tabSelected="1" topLeftCell="B1" zoomScale="75" workbookViewId="0">
      <pane ySplit="10" topLeftCell="A11" activePane="bottomLeft" state="frozen"/>
      <selection pane="bottomLeft"/>
    </sheetView>
  </sheetViews>
  <sheetFormatPr defaultRowHeight="14.25" customHeight="1" x14ac:dyDescent="0.25"/>
  <cols>
    <col min="1" max="1" width="9.140625" style="1" hidden="1" customWidth="1"/>
    <col min="2" max="3" width="2.85546875" style="1" bestFit="1" customWidth="1"/>
    <col min="4" max="4" width="11.140625" style="1" hidden="1" customWidth="1"/>
    <col min="5" max="5" width="22.28515625" style="1" bestFit="1" customWidth="1"/>
    <col min="6" max="6" width="60.7109375" style="1" bestFit="1" customWidth="1"/>
    <col min="7" max="7" width="43" style="1" hidden="1" customWidth="1"/>
    <col min="8" max="8" width="14.7109375" style="1" bestFit="1" customWidth="1"/>
    <col min="9" max="9" width="17.42578125" style="1" customWidth="1"/>
    <col min="10" max="10" width="14.42578125" style="1" bestFit="1" customWidth="1"/>
    <col min="11" max="11" width="20.85546875" style="1" bestFit="1" customWidth="1"/>
    <col min="12" max="12" width="35.140625" style="1" bestFit="1" customWidth="1"/>
    <col min="13" max="13" width="33.28515625" style="1" bestFit="1" customWidth="1"/>
    <col min="14" max="14" width="40.5703125" style="1" bestFit="1" customWidth="1"/>
    <col min="15" max="15" width="15" style="1" bestFit="1" customWidth="1"/>
    <col min="16" max="16" width="13.140625" style="1" bestFit="1" customWidth="1"/>
    <col min="17" max="17" width="24.7109375" style="1" bestFit="1" customWidth="1"/>
    <col min="18" max="18" width="14.28515625" style="1" bestFit="1" customWidth="1"/>
    <col min="19" max="19" width="19.85546875" style="1" bestFit="1" customWidth="1"/>
    <col min="20" max="20" width="8.7109375" style="1" bestFit="1" customWidth="1"/>
    <col min="21" max="21" width="26" style="1" bestFit="1" customWidth="1"/>
    <col min="22" max="16384" width="9.140625" style="1"/>
  </cols>
  <sheetData>
    <row r="1" spans="1:21" ht="14.25" hidden="1" customHeight="1" x14ac:dyDescent="0.25">
      <c r="A1" s="15" t="s">
        <v>14015</v>
      </c>
      <c r="B1" s="15" t="s">
        <v>9</v>
      </c>
      <c r="C1" s="15" t="s">
        <v>9</v>
      </c>
      <c r="D1" s="15" t="s">
        <v>10</v>
      </c>
      <c r="E1" s="15" t="s">
        <v>9</v>
      </c>
      <c r="F1" s="15" t="s">
        <v>9</v>
      </c>
      <c r="G1" s="15" t="s">
        <v>10</v>
      </c>
      <c r="H1" s="15" t="s">
        <v>9</v>
      </c>
      <c r="I1" s="15"/>
      <c r="J1" s="15" t="s">
        <v>9</v>
      </c>
      <c r="K1" s="15" t="s">
        <v>9</v>
      </c>
      <c r="L1" s="15" t="s">
        <v>9</v>
      </c>
      <c r="M1" s="15" t="s">
        <v>9</v>
      </c>
      <c r="N1" s="15"/>
      <c r="O1" s="15" t="s">
        <v>9</v>
      </c>
      <c r="P1" s="15" t="s">
        <v>9</v>
      </c>
      <c r="Q1" s="15" t="s">
        <v>9</v>
      </c>
      <c r="R1" s="15" t="s">
        <v>9</v>
      </c>
      <c r="S1" s="15" t="s">
        <v>9</v>
      </c>
      <c r="T1" s="15" t="s">
        <v>9</v>
      </c>
      <c r="U1" s="15" t="s">
        <v>9</v>
      </c>
    </row>
    <row r="2" spans="1:21" ht="14.25" customHeight="1" x14ac:dyDescent="0.25">
      <c r="A2" s="15"/>
    </row>
    <row r="3" spans="1:21" ht="30.75" customHeight="1" x14ac:dyDescent="0.55000000000000004">
      <c r="A3" s="15"/>
      <c r="D3" s="16"/>
      <c r="E3" s="113" t="s">
        <v>11</v>
      </c>
      <c r="F3" s="113"/>
      <c r="G3" s="17"/>
      <c r="H3" s="17"/>
      <c r="I3" s="17"/>
      <c r="J3" s="17"/>
      <c r="K3" s="17"/>
      <c r="L3" s="17"/>
      <c r="O3" s="16"/>
    </row>
    <row r="4" spans="1:21" ht="24" customHeight="1" x14ac:dyDescent="0.3">
      <c r="A4" s="15"/>
      <c r="K4" s="52" t="s">
        <v>2856</v>
      </c>
      <c r="L4" s="51">
        <v>43395.629108796296</v>
      </c>
    </row>
    <row r="5" spans="1:21" ht="26.25" x14ac:dyDescent="0.45">
      <c r="A5" s="15"/>
      <c r="E5" s="21" t="s">
        <v>13</v>
      </c>
      <c r="F5" s="18"/>
      <c r="K5" s="53" t="s">
        <v>5</v>
      </c>
      <c r="L5" s="50" t="str">
        <f>Options!C4</f>
        <v>1/1/2019..1/12/2019</v>
      </c>
    </row>
    <row r="6" spans="1:21" ht="26.25" customHeight="1" x14ac:dyDescent="0.3">
      <c r="A6" s="15"/>
      <c r="K6" s="53" t="s">
        <v>6</v>
      </c>
      <c r="L6" s="50" t="str">
        <f>Options!C5</f>
        <v>*</v>
      </c>
    </row>
    <row r="7" spans="1:21" ht="26.25" customHeight="1" x14ac:dyDescent="0.3">
      <c r="A7" s="15"/>
      <c r="C7" s="19"/>
      <c r="D7" s="19"/>
      <c r="E7" s="19"/>
      <c r="F7" s="19"/>
      <c r="G7" s="19"/>
      <c r="H7" s="20"/>
      <c r="I7" s="20"/>
      <c r="J7" s="19"/>
      <c r="K7" s="53" t="s">
        <v>12</v>
      </c>
      <c r="L7" s="50" t="str">
        <f>Options!C6</f>
        <v>*</v>
      </c>
      <c r="M7" s="19"/>
      <c r="P7" s="20"/>
      <c r="Q7" s="19"/>
      <c r="R7" s="19"/>
      <c r="S7" s="19"/>
      <c r="T7" s="19"/>
      <c r="U7" s="19"/>
    </row>
    <row r="8" spans="1:21" ht="26.25" customHeight="1" x14ac:dyDescent="0.45">
      <c r="A8" s="15"/>
      <c r="C8" s="19"/>
      <c r="D8" s="20"/>
      <c r="E8" s="21"/>
      <c r="F8" s="20"/>
      <c r="G8" s="20"/>
      <c r="H8" s="20"/>
      <c r="I8" s="20"/>
      <c r="J8" s="20"/>
      <c r="K8" s="20"/>
      <c r="L8" s="20"/>
      <c r="M8" s="22"/>
      <c r="N8" s="20"/>
      <c r="O8" s="20"/>
      <c r="P8" s="20"/>
      <c r="Q8" s="20"/>
      <c r="R8" s="20"/>
      <c r="S8" s="20"/>
      <c r="T8" s="20"/>
      <c r="U8" s="20"/>
    </row>
    <row r="9" spans="1:21" ht="20.100000000000001" customHeight="1" x14ac:dyDescent="0.35">
      <c r="A9" s="15"/>
      <c r="C9" s="19"/>
      <c r="D9" s="23"/>
      <c r="E9" s="24" t="s">
        <v>6</v>
      </c>
      <c r="F9" s="25" t="s">
        <v>15</v>
      </c>
      <c r="G9" s="25"/>
      <c r="H9" s="26" t="s">
        <v>16</v>
      </c>
      <c r="I9" s="25"/>
      <c r="J9" s="25"/>
      <c r="K9" s="25"/>
      <c r="L9" s="25"/>
      <c r="M9" s="25"/>
      <c r="N9" s="25"/>
      <c r="O9" s="26"/>
      <c r="P9" s="27"/>
      <c r="Q9" s="28"/>
      <c r="R9" s="28"/>
      <c r="S9" s="28"/>
      <c r="T9" s="28"/>
      <c r="U9" s="29"/>
    </row>
    <row r="10" spans="1:21" ht="20.100000000000001" customHeight="1" x14ac:dyDescent="0.35">
      <c r="A10" s="15"/>
      <c r="C10" s="19"/>
      <c r="D10" s="23"/>
      <c r="E10" s="24"/>
      <c r="F10" s="25"/>
      <c r="G10" s="25"/>
      <c r="H10" s="30" t="s">
        <v>17</v>
      </c>
      <c r="I10" s="30" t="s">
        <v>18</v>
      </c>
      <c r="J10" s="30" t="s">
        <v>19</v>
      </c>
      <c r="K10" s="30" t="s">
        <v>20</v>
      </c>
      <c r="L10" s="30" t="s">
        <v>21</v>
      </c>
      <c r="M10" s="30" t="s">
        <v>22</v>
      </c>
      <c r="N10" s="30" t="s">
        <v>14</v>
      </c>
      <c r="O10" s="31" t="s">
        <v>23</v>
      </c>
      <c r="P10" s="31" t="s">
        <v>24</v>
      </c>
      <c r="Q10" s="31" t="s">
        <v>25</v>
      </c>
      <c r="R10" s="31" t="s">
        <v>26</v>
      </c>
      <c r="S10" s="31" t="s">
        <v>27</v>
      </c>
      <c r="T10" s="31" t="s">
        <v>28</v>
      </c>
      <c r="U10" s="32" t="s">
        <v>29</v>
      </c>
    </row>
    <row r="11" spans="1:21" ht="17.25" customHeight="1" x14ac:dyDescent="0.3">
      <c r="A11" s="15"/>
      <c r="C11" s="19"/>
      <c r="D11" s="33"/>
      <c r="E11" s="33"/>
      <c r="F11" s="34"/>
      <c r="G11" s="34"/>
      <c r="H11" s="34"/>
      <c r="I11" s="34"/>
      <c r="J11" s="34"/>
      <c r="K11" s="34"/>
      <c r="L11" s="34"/>
      <c r="M11" s="34"/>
      <c r="N11" s="34"/>
      <c r="O11" s="34"/>
      <c r="P11" s="34"/>
      <c r="Q11" s="34"/>
      <c r="R11" s="34"/>
      <c r="S11" s="34"/>
      <c r="T11" s="34"/>
      <c r="U11" s="54"/>
    </row>
    <row r="12" spans="1:21" ht="20.25" customHeight="1" x14ac:dyDescent="0.35">
      <c r="A12" s="15"/>
      <c r="C12" s="19"/>
      <c r="D12" s="35" t="str">
        <f>E12</f>
        <v>C100002</v>
      </c>
      <c r="E12" s="36" t="str">
        <f>"C100002"</f>
        <v>C100002</v>
      </c>
      <c r="F12" s="37" t="str">
        <f>"Border Style"</f>
        <v>Border Style</v>
      </c>
      <c r="G12" s="37"/>
      <c r="H12" s="38" t="str">
        <f>"EA"</f>
        <v>EA</v>
      </c>
      <c r="I12" s="37"/>
      <c r="J12" s="37"/>
      <c r="K12" s="37"/>
      <c r="L12" s="37"/>
      <c r="M12" s="37"/>
      <c r="N12" s="37"/>
      <c r="O12" s="39">
        <f>(SUBTOTAL(9,O13:O20))</f>
        <v>900</v>
      </c>
      <c r="P12" s="39">
        <f>(SUBTOTAL(9,P13:P20))</f>
        <v>-289</v>
      </c>
      <c r="Q12" s="39">
        <f>(SUBTOTAL(9,Q13:Q20))</f>
        <v>0</v>
      </c>
      <c r="R12" s="39">
        <f>(SUBTOTAL(9,R13:R20))</f>
        <v>0</v>
      </c>
      <c r="S12" s="39">
        <f>(SUBTOTAL(9,S13:S20))</f>
        <v>0</v>
      </c>
      <c r="T12" s="39">
        <f>(SUBTOTAL(9,T13:T20))</f>
        <v>0</v>
      </c>
      <c r="U12" s="55">
        <f>SUBTOTAL(9,O13:T20)</f>
        <v>611</v>
      </c>
    </row>
    <row r="13" spans="1:21" ht="17.25" customHeight="1" x14ac:dyDescent="0.3">
      <c r="A13" s="15"/>
      <c r="C13" s="19"/>
      <c r="D13" s="33" t="str">
        <f>D12</f>
        <v>C100002</v>
      </c>
      <c r="E13" s="33"/>
      <c r="F13" s="34"/>
      <c r="G13" s="34" t="str">
        <f>"""NAV Direct"",""CRONUS JetCorp USA"",""32"",""1"",""166335"""</f>
        <v>"NAV Direct","CRONUS JetCorp USA","32","1","166335"</v>
      </c>
      <c r="H13" s="40">
        <v>43466</v>
      </c>
      <c r="I13" s="41">
        <v>166335</v>
      </c>
      <c r="J13" s="42" t="str">
        <f>"Vendor"</f>
        <v>Vendor</v>
      </c>
      <c r="K13" s="42" t="str">
        <f>"V100009"</f>
        <v>V100009</v>
      </c>
      <c r="L13" s="42" t="str">
        <f>IF($J13="Customer",_xll.NL("first",$J13,"Name","No.","@@"&amp;$K13),"")</f>
        <v/>
      </c>
      <c r="M13" s="42" t="str">
        <f>"Malay-Dan Export Unit Sdn Bhd"</f>
        <v>Malay-Dan Export Unit Sdn Bhd</v>
      </c>
      <c r="N13" s="42" t="str">
        <f>IF($J13="Item",_xll.NL("first",$J13,"Description","No.","@@"&amp;$K13),"")</f>
        <v/>
      </c>
      <c r="O13" s="43">
        <v>100</v>
      </c>
      <c r="P13" s="43">
        <v>0</v>
      </c>
      <c r="Q13" s="43">
        <v>0</v>
      </c>
      <c r="R13" s="43">
        <v>0</v>
      </c>
      <c r="S13" s="43">
        <v>0</v>
      </c>
      <c r="T13" s="43">
        <v>0</v>
      </c>
      <c r="U13" s="56"/>
    </row>
    <row r="14" spans="1:21" ht="17.25" customHeight="1" x14ac:dyDescent="0.3">
      <c r="A14" s="15" t="s">
        <v>30</v>
      </c>
      <c r="C14" s="19"/>
      <c r="D14" s="33" t="str">
        <f t="shared" ref="D14:D19" si="0">D13</f>
        <v>C100002</v>
      </c>
      <c r="E14" s="33"/>
      <c r="F14" s="34"/>
      <c r="G14" s="34" t="str">
        <f>"""NAV Direct"",""CRONUS JetCorp USA"",""32"",""1"",""166353"""</f>
        <v>"NAV Direct","CRONUS JetCorp USA","32","1","166353"</v>
      </c>
      <c r="H14" s="40">
        <v>43466</v>
      </c>
      <c r="I14" s="41">
        <v>166353</v>
      </c>
      <c r="J14" s="42" t="str">
        <f>"Vendor"</f>
        <v>Vendor</v>
      </c>
      <c r="K14" s="42" t="str">
        <f>"V100040"</f>
        <v>V100040</v>
      </c>
      <c r="L14" s="42" t="str">
        <f>IF($J14="Customer",_xll.NL("first",$J14,"Name","No.","@@"&amp;$K14),"")</f>
        <v/>
      </c>
      <c r="M14" s="42" t="str">
        <f>"Technische Betriebe Rotkreuz"</f>
        <v>Technische Betriebe Rotkreuz</v>
      </c>
      <c r="N14" s="42" t="str">
        <f>IF($J14="Item",_xll.NL("first",$J14,"Description","No.","@@"&amp;$K14),"")</f>
        <v/>
      </c>
      <c r="O14" s="43">
        <v>400</v>
      </c>
      <c r="P14" s="43">
        <v>0</v>
      </c>
      <c r="Q14" s="43">
        <v>0</v>
      </c>
      <c r="R14" s="43">
        <v>0</v>
      </c>
      <c r="S14" s="43">
        <v>0</v>
      </c>
      <c r="T14" s="43">
        <v>0</v>
      </c>
      <c r="U14" s="56"/>
    </row>
    <row r="15" spans="1:21" ht="17.25" customHeight="1" x14ac:dyDescent="0.3">
      <c r="A15" s="15" t="s">
        <v>30</v>
      </c>
      <c r="C15" s="19"/>
      <c r="D15" s="33" t="str">
        <f t="shared" si="0"/>
        <v>C100002</v>
      </c>
      <c r="E15" s="33"/>
      <c r="F15" s="34"/>
      <c r="G15" s="34" t="str">
        <f>"""NAV Direct"",""CRONUS JetCorp USA"",""32"",""1"",""166372"""</f>
        <v>"NAV Direct","CRONUS JetCorp USA","32","1","166372"</v>
      </c>
      <c r="H15" s="40">
        <v>43466</v>
      </c>
      <c r="I15" s="41">
        <v>166372</v>
      </c>
      <c r="J15" s="42" t="str">
        <f>"Vendor"</f>
        <v>Vendor</v>
      </c>
      <c r="K15" s="42" t="str">
        <f>"V100007"</f>
        <v>V100007</v>
      </c>
      <c r="L15" s="42" t="str">
        <f>IF($J15="Customer",_xll.NL("first",$J15,"Name","No.","@@"&amp;$K15),"")</f>
        <v/>
      </c>
      <c r="M15" s="42" t="str">
        <f>"TrendTech"</f>
        <v>TrendTech</v>
      </c>
      <c r="N15" s="42" t="str">
        <f>IF($J15="Item",_xll.NL("first",$J15,"Description","No.","@@"&amp;$K15),"")</f>
        <v/>
      </c>
      <c r="O15" s="43">
        <v>200</v>
      </c>
      <c r="P15" s="43">
        <v>0</v>
      </c>
      <c r="Q15" s="43">
        <v>0</v>
      </c>
      <c r="R15" s="43">
        <v>0</v>
      </c>
      <c r="S15" s="43">
        <v>0</v>
      </c>
      <c r="T15" s="43">
        <v>0</v>
      </c>
      <c r="U15" s="56"/>
    </row>
    <row r="16" spans="1:21" ht="17.25" customHeight="1" x14ac:dyDescent="0.3">
      <c r="A16" s="15" t="s">
        <v>30</v>
      </c>
      <c r="C16" s="19"/>
      <c r="D16" s="33" t="str">
        <f t="shared" si="0"/>
        <v>C100002</v>
      </c>
      <c r="E16" s="33"/>
      <c r="F16" s="34"/>
      <c r="G16" s="34" t="str">
        <f>"""NAV Direct"",""CRONUS JetCorp USA"",""32"",""1"",""166419"""</f>
        <v>"NAV Direct","CRONUS JetCorp USA","32","1","166419"</v>
      </c>
      <c r="H16" s="40">
        <v>43466</v>
      </c>
      <c r="I16" s="41">
        <v>166419</v>
      </c>
      <c r="J16" s="42" t="str">
        <f>"Vendor"</f>
        <v>Vendor</v>
      </c>
      <c r="K16" s="42" t="str">
        <f>"V100003"</f>
        <v>V100003</v>
      </c>
      <c r="L16" s="42" t="str">
        <f>IF($J16="Customer",_xll.NL("first",$J16,"Name","No.","@@"&amp;$K16),"")</f>
        <v/>
      </c>
      <c r="M16" s="42" t="str">
        <f>"LogoMasters"</f>
        <v>LogoMasters</v>
      </c>
      <c r="N16" s="42" t="str">
        <f>IF($J16="Item",_xll.NL("first",$J16,"Description","No.","@@"&amp;$K16),"")</f>
        <v/>
      </c>
      <c r="O16" s="43">
        <v>200</v>
      </c>
      <c r="P16" s="43">
        <v>0</v>
      </c>
      <c r="Q16" s="43">
        <v>0</v>
      </c>
      <c r="R16" s="43">
        <v>0</v>
      </c>
      <c r="S16" s="43">
        <v>0</v>
      </c>
      <c r="T16" s="43">
        <v>0</v>
      </c>
      <c r="U16" s="56"/>
    </row>
    <row r="17" spans="1:21" ht="17.25" customHeight="1" x14ac:dyDescent="0.3">
      <c r="A17" s="15" t="s">
        <v>30</v>
      </c>
      <c r="C17" s="19"/>
      <c r="D17" s="33" t="str">
        <f t="shared" si="0"/>
        <v>C100002</v>
      </c>
      <c r="E17" s="33"/>
      <c r="F17" s="34"/>
      <c r="G17" s="34" t="str">
        <f>"""NAV Direct"",""CRONUS JetCorp USA"",""32"",""1"",""7561"""</f>
        <v>"NAV Direct","CRONUS JetCorp USA","32","1","7561"</v>
      </c>
      <c r="H17" s="40">
        <v>43469</v>
      </c>
      <c r="I17" s="41">
        <v>7561</v>
      </c>
      <c r="J17" s="42" t="str">
        <f>"Customer"</f>
        <v>Customer</v>
      </c>
      <c r="K17" s="42" t="str">
        <f>"C100030"</f>
        <v>C100030</v>
      </c>
      <c r="L17" s="42" t="str">
        <f>IF($J17="Customer",_xll.NL("first",$J17,"Name","No.","@@"&amp;$K17),"")</f>
        <v>Stutringers</v>
      </c>
      <c r="M17" s="42" t="str">
        <f>""</f>
        <v/>
      </c>
      <c r="N17" s="42" t="str">
        <f>IF($J17="Item",_xll.NL("first",$J17,"Description","No.","@@"&amp;$K17),"")</f>
        <v/>
      </c>
      <c r="O17" s="43">
        <v>0</v>
      </c>
      <c r="P17" s="43">
        <v>-1</v>
      </c>
      <c r="Q17" s="43">
        <v>0</v>
      </c>
      <c r="R17" s="43">
        <v>0</v>
      </c>
      <c r="S17" s="43">
        <v>0</v>
      </c>
      <c r="T17" s="43">
        <v>0</v>
      </c>
      <c r="U17" s="56"/>
    </row>
    <row r="18" spans="1:21" ht="17.25" customHeight="1" x14ac:dyDescent="0.3">
      <c r="A18" s="15" t="s">
        <v>30</v>
      </c>
      <c r="C18" s="19"/>
      <c r="D18" s="33" t="str">
        <f t="shared" si="0"/>
        <v>C100002</v>
      </c>
      <c r="E18" s="33"/>
      <c r="F18" s="34"/>
      <c r="G18" s="34" t="str">
        <f>"""NAV Direct"",""CRONUS JetCorp USA"",""32"",""1"",""12457"""</f>
        <v>"NAV Direct","CRONUS JetCorp USA","32","1","12457"</v>
      </c>
      <c r="H18" s="40">
        <v>43471</v>
      </c>
      <c r="I18" s="41">
        <v>12457</v>
      </c>
      <c r="J18" s="42" t="str">
        <f>"Customer"</f>
        <v>Customer</v>
      </c>
      <c r="K18" s="42" t="str">
        <f>"C100041"</f>
        <v>C100041</v>
      </c>
      <c r="L18" s="42" t="str">
        <f>IF($J18="Customer",_xll.NL("first",$J18,"Name","No.","@@"&amp;$K18),"")</f>
        <v>Heimilisprydi</v>
      </c>
      <c r="M18" s="42" t="str">
        <f>""</f>
        <v/>
      </c>
      <c r="N18" s="42" t="str">
        <f>IF($J18="Item",_xll.NL("first",$J18,"Description","No.","@@"&amp;$K18),"")</f>
        <v/>
      </c>
      <c r="O18" s="43">
        <v>0</v>
      </c>
      <c r="P18" s="43">
        <v>-144</v>
      </c>
      <c r="Q18" s="43">
        <v>0</v>
      </c>
      <c r="R18" s="43">
        <v>0</v>
      </c>
      <c r="S18" s="43">
        <v>0</v>
      </c>
      <c r="T18" s="43">
        <v>0</v>
      </c>
      <c r="U18" s="56"/>
    </row>
    <row r="19" spans="1:21" ht="17.25" customHeight="1" x14ac:dyDescent="0.3">
      <c r="A19" s="15" t="s">
        <v>30</v>
      </c>
      <c r="C19" s="19"/>
      <c r="D19" s="33" t="str">
        <f t="shared" si="0"/>
        <v>C100002</v>
      </c>
      <c r="E19" s="33"/>
      <c r="F19" s="34"/>
      <c r="G19" s="34" t="str">
        <f>"""NAV Direct"",""CRONUS JetCorp USA"",""32"",""1"",""3907"""</f>
        <v>"NAV Direct","CRONUS JetCorp USA","32","1","3907"</v>
      </c>
      <c r="H19" s="40">
        <v>43472</v>
      </c>
      <c r="I19" s="41">
        <v>3907</v>
      </c>
      <c r="J19" s="42" t="str">
        <f>"Customer"</f>
        <v>Customer</v>
      </c>
      <c r="K19" s="42" t="str">
        <f>"C100099"</f>
        <v>C100099</v>
      </c>
      <c r="L19" s="42" t="str">
        <f>IF($J19="Customer",_xll.NL("first",$J19,"Name","No.","@@"&amp;$K19),"")</f>
        <v>Voltive Systems</v>
      </c>
      <c r="M19" s="42" t="str">
        <f>""</f>
        <v/>
      </c>
      <c r="N19" s="42" t="str">
        <f>IF($J19="Item",_xll.NL("first",$J19,"Description","No.","@@"&amp;$K19),"")</f>
        <v/>
      </c>
      <c r="O19" s="43">
        <v>0</v>
      </c>
      <c r="P19" s="43">
        <v>-144</v>
      </c>
      <c r="Q19" s="43">
        <v>0</v>
      </c>
      <c r="R19" s="43">
        <v>0</v>
      </c>
      <c r="S19" s="43">
        <v>0</v>
      </c>
      <c r="T19" s="43">
        <v>0</v>
      </c>
      <c r="U19" s="56"/>
    </row>
    <row r="20" spans="1:21" ht="17.25" customHeight="1" x14ac:dyDescent="0.3">
      <c r="A20" s="15"/>
      <c r="C20" s="19"/>
      <c r="D20" s="33"/>
      <c r="E20" s="33"/>
      <c r="F20" s="34"/>
      <c r="G20" s="34"/>
      <c r="H20" s="34"/>
      <c r="I20" s="34"/>
      <c r="J20" s="34"/>
      <c r="K20" s="34"/>
      <c r="L20" s="34"/>
      <c r="M20" s="34"/>
      <c r="N20" s="34"/>
      <c r="O20" s="44"/>
      <c r="P20" s="44"/>
      <c r="Q20" s="44"/>
      <c r="R20" s="44"/>
      <c r="S20" s="44"/>
      <c r="T20" s="44"/>
      <c r="U20" s="57"/>
    </row>
    <row r="21" spans="1:21" ht="17.25" customHeight="1" x14ac:dyDescent="0.3">
      <c r="A21" s="15"/>
      <c r="C21" s="19"/>
      <c r="D21" s="33"/>
      <c r="E21" s="33" t="s">
        <v>31</v>
      </c>
      <c r="F21" s="34" t="s">
        <v>31</v>
      </c>
      <c r="G21" s="34" t="s">
        <v>31</v>
      </c>
      <c r="H21" s="34"/>
      <c r="I21" s="34"/>
      <c r="J21" s="34" t="s">
        <v>31</v>
      </c>
      <c r="K21" s="34" t="s">
        <v>31</v>
      </c>
      <c r="L21" s="34" t="s">
        <v>31</v>
      </c>
      <c r="M21" s="34" t="s">
        <v>31</v>
      </c>
      <c r="N21" s="34"/>
      <c r="U21" s="58"/>
    </row>
    <row r="22" spans="1:21" ht="20.25" customHeight="1" x14ac:dyDescent="0.35">
      <c r="A22" s="15" t="s">
        <v>30</v>
      </c>
      <c r="C22" s="19"/>
      <c r="D22" s="35" t="str">
        <f t="shared" ref="D22" si="1">E22</f>
        <v>C100003</v>
      </c>
      <c r="E22" s="36" t="str">
        <f>"C100003"</f>
        <v>C100003</v>
      </c>
      <c r="F22" s="37" t="str">
        <f>"Cherry Finish Frame"</f>
        <v>Cherry Finish Frame</v>
      </c>
      <c r="G22" s="37"/>
      <c r="H22" s="38" t="str">
        <f>"EA"</f>
        <v>EA</v>
      </c>
      <c r="I22" s="37"/>
      <c r="J22" s="37"/>
      <c r="K22" s="37"/>
      <c r="L22" s="37"/>
      <c r="M22" s="37"/>
      <c r="N22" s="37"/>
      <c r="O22" s="39">
        <f>(SUBTOTAL(9,O23:O38))</f>
        <v>3000</v>
      </c>
      <c r="P22" s="39">
        <f>(SUBTOTAL(9,P23:P38))</f>
        <v>-349</v>
      </c>
      <c r="Q22" s="39">
        <f>(SUBTOTAL(9,Q23:Q38))</f>
        <v>0</v>
      </c>
      <c r="R22" s="39">
        <f>(SUBTOTAL(9,R23:R38))</f>
        <v>0</v>
      </c>
      <c r="S22" s="39">
        <f>(SUBTOTAL(9,S23:S38))</f>
        <v>0</v>
      </c>
      <c r="T22" s="39">
        <f>(SUBTOTAL(9,T23:T38))</f>
        <v>0</v>
      </c>
      <c r="U22" s="55">
        <f t="shared" ref="U22" si="2">SUBTOTAL(9,O23:T38)</f>
        <v>2651</v>
      </c>
    </row>
    <row r="23" spans="1:21" ht="17.25" customHeight="1" x14ac:dyDescent="0.3">
      <c r="A23" s="15" t="s">
        <v>30</v>
      </c>
      <c r="C23" s="19"/>
      <c r="D23" s="33" t="str">
        <f t="shared" ref="D23" si="3">D22</f>
        <v>C100003</v>
      </c>
      <c r="E23" s="33"/>
      <c r="F23" s="34"/>
      <c r="G23" s="34" t="str">
        <f>"""NAV Direct"",""CRONUS JetCorp USA"",""32"",""1"",""166334"""</f>
        <v>"NAV Direct","CRONUS JetCorp USA","32","1","166334"</v>
      </c>
      <c r="H23" s="40">
        <v>43466</v>
      </c>
      <c r="I23" s="41">
        <v>166334</v>
      </c>
      <c r="J23" s="42" t="str">
        <f>"Vendor"</f>
        <v>Vendor</v>
      </c>
      <c r="K23" s="42" t="str">
        <f>"V100009"</f>
        <v>V100009</v>
      </c>
      <c r="L23" s="42" t="str">
        <f>IF($J23="Customer",_xll.NL("first",$J23,"Name","No.","@@"&amp;$K23),"")</f>
        <v/>
      </c>
      <c r="M23" s="42" t="str">
        <f>"Malay-Dan Export Unit Sdn Bhd"</f>
        <v>Malay-Dan Export Unit Sdn Bhd</v>
      </c>
      <c r="N23" s="42" t="str">
        <f>IF($J23="Item",_xll.NL("first",$J23,"Description","No.","@@"&amp;$K23),"")</f>
        <v/>
      </c>
      <c r="O23" s="43">
        <v>100</v>
      </c>
      <c r="P23" s="43">
        <v>0</v>
      </c>
      <c r="Q23" s="43">
        <v>0</v>
      </c>
      <c r="R23" s="43">
        <v>0</v>
      </c>
      <c r="S23" s="43">
        <v>0</v>
      </c>
      <c r="T23" s="43">
        <v>0</v>
      </c>
      <c r="U23" s="56"/>
    </row>
    <row r="24" spans="1:21" ht="17.25" customHeight="1" x14ac:dyDescent="0.3">
      <c r="A24" s="15" t="s">
        <v>30</v>
      </c>
      <c r="C24" s="19"/>
      <c r="D24" s="33" t="str">
        <f t="shared" ref="D24:D37" si="4">D23</f>
        <v>C100003</v>
      </c>
      <c r="E24" s="33"/>
      <c r="F24" s="34"/>
      <c r="G24" s="34" t="str">
        <f>"""NAV Direct"",""CRONUS JetCorp USA"",""32"",""1"",""166352"""</f>
        <v>"NAV Direct","CRONUS JetCorp USA","32","1","166352"</v>
      </c>
      <c r="H24" s="40">
        <v>43466</v>
      </c>
      <c r="I24" s="41">
        <v>166352</v>
      </c>
      <c r="J24" s="42" t="str">
        <f>"Vendor"</f>
        <v>Vendor</v>
      </c>
      <c r="K24" s="42" t="str">
        <f>"V100040"</f>
        <v>V100040</v>
      </c>
      <c r="L24" s="42" t="str">
        <f>IF($J24="Customer",_xll.NL("first",$J24,"Name","No.","@@"&amp;$K24),"")</f>
        <v/>
      </c>
      <c r="M24" s="42" t="str">
        <f>"Technische Betriebe Rotkreuz"</f>
        <v>Technische Betriebe Rotkreuz</v>
      </c>
      <c r="N24" s="42" t="str">
        <f>IF($J24="Item",_xll.NL("first",$J24,"Description","No.","@@"&amp;$K24),"")</f>
        <v/>
      </c>
      <c r="O24" s="43">
        <v>400</v>
      </c>
      <c r="P24" s="43">
        <v>0</v>
      </c>
      <c r="Q24" s="43">
        <v>0</v>
      </c>
      <c r="R24" s="43">
        <v>0</v>
      </c>
      <c r="S24" s="43">
        <v>0</v>
      </c>
      <c r="T24" s="43">
        <v>0</v>
      </c>
      <c r="U24" s="56"/>
    </row>
    <row r="25" spans="1:21" ht="17.25" customHeight="1" x14ac:dyDescent="0.3">
      <c r="A25" s="15" t="s">
        <v>30</v>
      </c>
      <c r="C25" s="19"/>
      <c r="D25" s="33" t="str">
        <f t="shared" si="4"/>
        <v>C100003</v>
      </c>
      <c r="E25" s="33"/>
      <c r="F25" s="34"/>
      <c r="G25" s="34" t="str">
        <f>"""NAV Direct"",""CRONUS JetCorp USA"",""32"",""1"",""166371"""</f>
        <v>"NAV Direct","CRONUS JetCorp USA","32","1","166371"</v>
      </c>
      <c r="H25" s="40">
        <v>43466</v>
      </c>
      <c r="I25" s="41">
        <v>166371</v>
      </c>
      <c r="J25" s="42" t="str">
        <f>"Vendor"</f>
        <v>Vendor</v>
      </c>
      <c r="K25" s="42" t="str">
        <f>"V100007"</f>
        <v>V100007</v>
      </c>
      <c r="L25" s="42" t="str">
        <f>IF($J25="Customer",_xll.NL("first",$J25,"Name","No.","@@"&amp;$K25),"")</f>
        <v/>
      </c>
      <c r="M25" s="42" t="str">
        <f>"TrendTech"</f>
        <v>TrendTech</v>
      </c>
      <c r="N25" s="42" t="str">
        <f>IF($J25="Item",_xll.NL("first",$J25,"Description","No.","@@"&amp;$K25),"")</f>
        <v/>
      </c>
      <c r="O25" s="43">
        <v>400</v>
      </c>
      <c r="P25" s="43">
        <v>0</v>
      </c>
      <c r="Q25" s="43">
        <v>0</v>
      </c>
      <c r="R25" s="43">
        <v>0</v>
      </c>
      <c r="S25" s="43">
        <v>0</v>
      </c>
      <c r="T25" s="43">
        <v>0</v>
      </c>
      <c r="U25" s="56"/>
    </row>
    <row r="26" spans="1:21" ht="17.25" customHeight="1" x14ac:dyDescent="0.3">
      <c r="A26" s="15" t="s">
        <v>30</v>
      </c>
      <c r="C26" s="19"/>
      <c r="D26" s="33" t="str">
        <f t="shared" si="4"/>
        <v>C100003</v>
      </c>
      <c r="E26" s="33"/>
      <c r="F26" s="34"/>
      <c r="G26" s="34" t="str">
        <f>"""NAV Direct"",""CRONUS JetCorp USA"",""32"",""1"",""166389"""</f>
        <v>"NAV Direct","CRONUS JetCorp USA","32","1","166389"</v>
      </c>
      <c r="H26" s="40">
        <v>43466</v>
      </c>
      <c r="I26" s="41">
        <v>166389</v>
      </c>
      <c r="J26" s="42" t="str">
        <f>"Vendor"</f>
        <v>Vendor</v>
      </c>
      <c r="K26" s="42" t="str">
        <f>"V100001"</f>
        <v>V100001</v>
      </c>
      <c r="L26" s="42" t="str">
        <f>IF($J26="Customer",_xll.NL("first",$J26,"Name","No.","@@"&amp;$K26),"")</f>
        <v/>
      </c>
      <c r="M26" s="42" t="str">
        <f>"Greigner, Inc."</f>
        <v>Greigner, Inc.</v>
      </c>
      <c r="N26" s="42" t="str">
        <f>IF($J26="Item",_xll.NL("first",$J26,"Description","No.","@@"&amp;$K26),"")</f>
        <v/>
      </c>
      <c r="O26" s="43">
        <v>1200</v>
      </c>
      <c r="P26" s="43">
        <v>0</v>
      </c>
      <c r="Q26" s="43">
        <v>0</v>
      </c>
      <c r="R26" s="43">
        <v>0</v>
      </c>
      <c r="S26" s="43">
        <v>0</v>
      </c>
      <c r="T26" s="43">
        <v>0</v>
      </c>
      <c r="U26" s="56"/>
    </row>
    <row r="27" spans="1:21" ht="17.25" customHeight="1" x14ac:dyDescent="0.3">
      <c r="A27" s="15" t="s">
        <v>30</v>
      </c>
      <c r="C27" s="19"/>
      <c r="D27" s="33" t="str">
        <f t="shared" si="4"/>
        <v>C100003</v>
      </c>
      <c r="E27" s="33"/>
      <c r="F27" s="34"/>
      <c r="G27" s="34" t="str">
        <f>"""NAV Direct"",""CRONUS JetCorp USA"",""32"",""1"",""166401"""</f>
        <v>"NAV Direct","CRONUS JetCorp USA","32","1","166401"</v>
      </c>
      <c r="H27" s="40">
        <v>43466</v>
      </c>
      <c r="I27" s="41">
        <v>166401</v>
      </c>
      <c r="J27" s="42" t="str">
        <f>"Vendor"</f>
        <v>Vendor</v>
      </c>
      <c r="K27" s="42" t="str">
        <f>"V100047"</f>
        <v>V100047</v>
      </c>
      <c r="L27" s="42" t="str">
        <f>IF($J27="Customer",_xll.NL("first",$J27,"Name","No.","@@"&amp;$K27),"")</f>
        <v/>
      </c>
      <c r="M27" s="42" t="str">
        <f>"WoodMart Supply Co."</f>
        <v>WoodMart Supply Co.</v>
      </c>
      <c r="N27" s="42" t="str">
        <f>IF($J27="Item",_xll.NL("first",$J27,"Description","No.","@@"&amp;$K27),"")</f>
        <v/>
      </c>
      <c r="O27" s="43">
        <v>300</v>
      </c>
      <c r="P27" s="43">
        <v>0</v>
      </c>
      <c r="Q27" s="43">
        <v>0</v>
      </c>
      <c r="R27" s="43">
        <v>0</v>
      </c>
      <c r="S27" s="43">
        <v>0</v>
      </c>
      <c r="T27" s="43">
        <v>0</v>
      </c>
      <c r="U27" s="56"/>
    </row>
    <row r="28" spans="1:21" ht="17.25" customHeight="1" x14ac:dyDescent="0.3">
      <c r="A28" s="15" t="s">
        <v>30</v>
      </c>
      <c r="C28" s="19"/>
      <c r="D28" s="33" t="str">
        <f t="shared" si="4"/>
        <v>C100003</v>
      </c>
      <c r="E28" s="33"/>
      <c r="F28" s="34"/>
      <c r="G28" s="34" t="str">
        <f>"""NAV Direct"",""CRONUS JetCorp USA"",""32"",""1"",""166418"""</f>
        <v>"NAV Direct","CRONUS JetCorp USA","32","1","166418"</v>
      </c>
      <c r="H28" s="40">
        <v>43466</v>
      </c>
      <c r="I28" s="41">
        <v>166418</v>
      </c>
      <c r="J28" s="42" t="str">
        <f>"Vendor"</f>
        <v>Vendor</v>
      </c>
      <c r="K28" s="42" t="str">
        <f>"V100003"</f>
        <v>V100003</v>
      </c>
      <c r="L28" s="42" t="str">
        <f>IF($J28="Customer",_xll.NL("first",$J28,"Name","No.","@@"&amp;$K28),"")</f>
        <v/>
      </c>
      <c r="M28" s="42" t="str">
        <f>"LogoMasters"</f>
        <v>LogoMasters</v>
      </c>
      <c r="N28" s="42" t="str">
        <f>IF($J28="Item",_xll.NL("first",$J28,"Description","No.","@@"&amp;$K28),"")</f>
        <v/>
      </c>
      <c r="O28" s="43">
        <v>600</v>
      </c>
      <c r="P28" s="43">
        <v>0</v>
      </c>
      <c r="Q28" s="43">
        <v>0</v>
      </c>
      <c r="R28" s="43">
        <v>0</v>
      </c>
      <c r="S28" s="43">
        <v>0</v>
      </c>
      <c r="T28" s="43">
        <v>0</v>
      </c>
      <c r="U28" s="56"/>
    </row>
    <row r="29" spans="1:21" ht="17.25" customHeight="1" x14ac:dyDescent="0.3">
      <c r="A29" s="15" t="s">
        <v>30</v>
      </c>
      <c r="C29" s="19"/>
      <c r="D29" s="33" t="str">
        <f t="shared" si="4"/>
        <v>C100003</v>
      </c>
      <c r="E29" s="33"/>
      <c r="F29" s="34"/>
      <c r="G29" s="34" t="str">
        <f>"""NAV Direct"",""CRONUS JetCorp USA"",""32"",""1"",""34319"""</f>
        <v>"NAV Direct","CRONUS JetCorp USA","32","1","34319"</v>
      </c>
      <c r="H29" s="40">
        <v>43470</v>
      </c>
      <c r="I29" s="41">
        <v>34319</v>
      </c>
      <c r="J29" s="42" t="str">
        <f>"Customer"</f>
        <v>Customer</v>
      </c>
      <c r="K29" s="42" t="str">
        <f>"C100050"</f>
        <v>C100050</v>
      </c>
      <c r="L29" s="42" t="str">
        <f>IF($J29="Customer",_xll.NL("first",$J29,"Name","No.","@@"&amp;$K29),"")</f>
        <v>Lauritzen Kontorm¢bler A/S</v>
      </c>
      <c r="M29" s="42" t="str">
        <f>""</f>
        <v/>
      </c>
      <c r="N29" s="42" t="str">
        <f>IF($J29="Item",_xll.NL("first",$J29,"Description","No.","@@"&amp;$K29),"")</f>
        <v/>
      </c>
      <c r="O29" s="43">
        <v>0</v>
      </c>
      <c r="P29" s="43">
        <v>-60</v>
      </c>
      <c r="Q29" s="43">
        <v>0</v>
      </c>
      <c r="R29" s="43">
        <v>0</v>
      </c>
      <c r="S29" s="43">
        <v>0</v>
      </c>
      <c r="T29" s="43">
        <v>0</v>
      </c>
      <c r="U29" s="56"/>
    </row>
    <row r="30" spans="1:21" ht="17.25" customHeight="1" x14ac:dyDescent="0.3">
      <c r="A30" s="15" t="s">
        <v>30</v>
      </c>
      <c r="C30" s="19"/>
      <c r="D30" s="33" t="str">
        <f t="shared" si="4"/>
        <v>C100003</v>
      </c>
      <c r="E30" s="33"/>
      <c r="F30" s="34"/>
      <c r="G30" s="34" t="str">
        <f>"""NAV Direct"",""CRONUS JetCorp USA"",""32"",""1"",""10220"""</f>
        <v>"NAV Direct","CRONUS JetCorp USA","32","1","10220"</v>
      </c>
      <c r="H30" s="40">
        <v>43471</v>
      </c>
      <c r="I30" s="41">
        <v>10220</v>
      </c>
      <c r="J30" s="42" t="str">
        <f>"Customer"</f>
        <v>Customer</v>
      </c>
      <c r="K30" s="42" t="str">
        <f>"C100066"</f>
        <v>C100066</v>
      </c>
      <c r="L30" s="42" t="str">
        <f>IF($J30="Customer",_xll.NL("first",$J30,"Name","No.","@@"&amp;$K30),"")</f>
        <v>Office Solutions</v>
      </c>
      <c r="M30" s="42" t="str">
        <f>""</f>
        <v/>
      </c>
      <c r="N30" s="42" t="str">
        <f>IF($J30="Item",_xll.NL("first",$J30,"Description","No.","@@"&amp;$K30),"")</f>
        <v/>
      </c>
      <c r="O30" s="43">
        <v>0</v>
      </c>
      <c r="P30" s="43">
        <v>-12</v>
      </c>
      <c r="Q30" s="43">
        <v>0</v>
      </c>
      <c r="R30" s="43">
        <v>0</v>
      </c>
      <c r="S30" s="43">
        <v>0</v>
      </c>
      <c r="T30" s="43">
        <v>0</v>
      </c>
      <c r="U30" s="56"/>
    </row>
    <row r="31" spans="1:21" ht="17.25" customHeight="1" x14ac:dyDescent="0.3">
      <c r="A31" s="15" t="s">
        <v>30</v>
      </c>
      <c r="C31" s="19"/>
      <c r="D31" s="33" t="str">
        <f t="shared" si="4"/>
        <v>C100003</v>
      </c>
      <c r="E31" s="33"/>
      <c r="F31" s="34"/>
      <c r="G31" s="34" t="str">
        <f>"""NAV Direct"",""CRONUS JetCorp USA"",""32"",""1"",""12460"""</f>
        <v>"NAV Direct","CRONUS JetCorp USA","32","1","12460"</v>
      </c>
      <c r="H31" s="40">
        <v>43471</v>
      </c>
      <c r="I31" s="41">
        <v>12460</v>
      </c>
      <c r="J31" s="42" t="str">
        <f>"Customer"</f>
        <v>Customer</v>
      </c>
      <c r="K31" s="42" t="str">
        <f>"C100041"</f>
        <v>C100041</v>
      </c>
      <c r="L31" s="42" t="str">
        <f>IF($J31="Customer",_xll.NL("first",$J31,"Name","No.","@@"&amp;$K31),"")</f>
        <v>Heimilisprydi</v>
      </c>
      <c r="M31" s="42" t="str">
        <f>""</f>
        <v/>
      </c>
      <c r="N31" s="42" t="str">
        <f>IF($J31="Item",_xll.NL("first",$J31,"Description","No.","@@"&amp;$K31),"")</f>
        <v/>
      </c>
      <c r="O31" s="43">
        <v>0</v>
      </c>
      <c r="P31" s="43">
        <v>-12</v>
      </c>
      <c r="Q31" s="43">
        <v>0</v>
      </c>
      <c r="R31" s="43">
        <v>0</v>
      </c>
      <c r="S31" s="43">
        <v>0</v>
      </c>
      <c r="T31" s="43">
        <v>0</v>
      </c>
      <c r="U31" s="56"/>
    </row>
    <row r="32" spans="1:21" ht="17.25" customHeight="1" x14ac:dyDescent="0.3">
      <c r="A32" s="15" t="s">
        <v>30</v>
      </c>
      <c r="C32" s="19"/>
      <c r="D32" s="33" t="str">
        <f t="shared" si="4"/>
        <v>C100003</v>
      </c>
      <c r="E32" s="33"/>
      <c r="F32" s="34"/>
      <c r="G32" s="34" t="str">
        <f>"""NAV Direct"",""CRONUS JetCorp USA"",""32"",""1"",""118070"""</f>
        <v>"NAV Direct","CRONUS JetCorp USA","32","1","118070"</v>
      </c>
      <c r="H32" s="40">
        <v>43471</v>
      </c>
      <c r="I32" s="41">
        <v>118070</v>
      </c>
      <c r="J32" s="42" t="str">
        <f>"Customer"</f>
        <v>Customer</v>
      </c>
      <c r="K32" s="42" t="str">
        <f>"C100060"</f>
        <v>C100060</v>
      </c>
      <c r="L32" s="42" t="str">
        <f>IF($J32="Customer",_xll.NL("first",$J32,"Name","No.","@@"&amp;$K32),"")</f>
        <v>MEMA Ljubljana d.o.o.</v>
      </c>
      <c r="M32" s="42" t="str">
        <f>""</f>
        <v/>
      </c>
      <c r="N32" s="42" t="str">
        <f>IF($J32="Item",_xll.NL("first",$J32,"Description","No.","@@"&amp;$K32),"")</f>
        <v/>
      </c>
      <c r="O32" s="43">
        <v>0</v>
      </c>
      <c r="P32" s="43">
        <v>-48</v>
      </c>
      <c r="Q32" s="43">
        <v>0</v>
      </c>
      <c r="R32" s="43">
        <v>0</v>
      </c>
      <c r="S32" s="43">
        <v>0</v>
      </c>
      <c r="T32" s="43">
        <v>0</v>
      </c>
      <c r="U32" s="56"/>
    </row>
    <row r="33" spans="1:21" ht="17.25" customHeight="1" x14ac:dyDescent="0.3">
      <c r="A33" s="15" t="s">
        <v>30</v>
      </c>
      <c r="C33" s="19"/>
      <c r="D33" s="33" t="str">
        <f t="shared" si="4"/>
        <v>C100003</v>
      </c>
      <c r="E33" s="33"/>
      <c r="F33" s="34"/>
      <c r="G33" s="34" t="str">
        <f>"""NAV Direct"",""CRONUS JetCorp USA"",""32"",""1"",""118084"""</f>
        <v>"NAV Direct","CRONUS JetCorp USA","32","1","118084"</v>
      </c>
      <c r="H33" s="40">
        <v>43471</v>
      </c>
      <c r="I33" s="41">
        <v>118084</v>
      </c>
      <c r="J33" s="42" t="str">
        <f>"Customer"</f>
        <v>Customer</v>
      </c>
      <c r="K33" s="42" t="str">
        <f>"C100060"</f>
        <v>C100060</v>
      </c>
      <c r="L33" s="42" t="str">
        <f>IF($J33="Customer",_xll.NL("first",$J33,"Name","No.","@@"&amp;$K33),"")</f>
        <v>MEMA Ljubljana d.o.o.</v>
      </c>
      <c r="M33" s="42" t="str">
        <f>""</f>
        <v/>
      </c>
      <c r="N33" s="42" t="str">
        <f>IF($J33="Item",_xll.NL("first",$J33,"Description","No.","@@"&amp;$K33),"")</f>
        <v/>
      </c>
      <c r="O33" s="43">
        <v>0</v>
      </c>
      <c r="P33" s="43">
        <v>-1</v>
      </c>
      <c r="Q33" s="43">
        <v>0</v>
      </c>
      <c r="R33" s="43">
        <v>0</v>
      </c>
      <c r="S33" s="43">
        <v>0</v>
      </c>
      <c r="T33" s="43">
        <v>0</v>
      </c>
      <c r="U33" s="56"/>
    </row>
    <row r="34" spans="1:21" ht="17.25" customHeight="1" x14ac:dyDescent="0.3">
      <c r="A34" s="15" t="s">
        <v>30</v>
      </c>
      <c r="C34" s="19"/>
      <c r="D34" s="33" t="str">
        <f t="shared" si="4"/>
        <v>C100003</v>
      </c>
      <c r="E34" s="33"/>
      <c r="F34" s="34"/>
      <c r="G34" s="34" t="str">
        <f>"""NAV Direct"",""CRONUS JetCorp USA"",""32"",""1"",""25251"""</f>
        <v>"NAV Direct","CRONUS JetCorp USA","32","1","25251"</v>
      </c>
      <c r="H34" s="40">
        <v>43472</v>
      </c>
      <c r="I34" s="41">
        <v>25251</v>
      </c>
      <c r="J34" s="42" t="str">
        <f>"Customer"</f>
        <v>Customer</v>
      </c>
      <c r="K34" s="42" t="str">
        <f>"C100098"</f>
        <v>C100098</v>
      </c>
      <c r="L34" s="42" t="str">
        <f>IF($J34="Customer",_xll.NL("first",$J34,"Name","No.","@@"&amp;$K34),"")</f>
        <v>BlackCane Motor Works</v>
      </c>
      <c r="M34" s="42" t="str">
        <f>""</f>
        <v/>
      </c>
      <c r="N34" s="42" t="str">
        <f>IF($J34="Item",_xll.NL("first",$J34,"Description","No.","@@"&amp;$K34),"")</f>
        <v/>
      </c>
      <c r="O34" s="43">
        <v>0</v>
      </c>
      <c r="P34" s="43">
        <v>-48</v>
      </c>
      <c r="Q34" s="43">
        <v>0</v>
      </c>
      <c r="R34" s="43">
        <v>0</v>
      </c>
      <c r="S34" s="43">
        <v>0</v>
      </c>
      <c r="T34" s="43">
        <v>0</v>
      </c>
      <c r="U34" s="56"/>
    </row>
    <row r="35" spans="1:21" ht="17.25" customHeight="1" x14ac:dyDescent="0.3">
      <c r="A35" s="15" t="s">
        <v>30</v>
      </c>
      <c r="C35" s="19"/>
      <c r="D35" s="33" t="str">
        <f t="shared" si="4"/>
        <v>C100003</v>
      </c>
      <c r="E35" s="33"/>
      <c r="F35" s="34"/>
      <c r="G35" s="34" t="str">
        <f>"""NAV Direct"",""CRONUS JetCorp USA"",""32"",""1"",""20385"""</f>
        <v>"NAV Direct","CRONUS JetCorp USA","32","1","20385"</v>
      </c>
      <c r="H35" s="40">
        <v>43473</v>
      </c>
      <c r="I35" s="41">
        <v>20385</v>
      </c>
      <c r="J35" s="42" t="str">
        <f>"Customer"</f>
        <v>Customer</v>
      </c>
      <c r="K35" s="42" t="str">
        <f>"C100130"</f>
        <v>C100130</v>
      </c>
      <c r="L35" s="42" t="str">
        <f>IF($J35="Customer",_xll.NL("first",$J35,"Name","No.","@@"&amp;$K35),"")</f>
        <v>Hotspot Systems</v>
      </c>
      <c r="M35" s="42" t="str">
        <f>""</f>
        <v/>
      </c>
      <c r="N35" s="42" t="str">
        <f>IF($J35="Item",_xll.NL("first",$J35,"Description","No.","@@"&amp;$K35),"")</f>
        <v/>
      </c>
      <c r="O35" s="43">
        <v>0</v>
      </c>
      <c r="P35" s="43">
        <v>-12</v>
      </c>
      <c r="Q35" s="43">
        <v>0</v>
      </c>
      <c r="R35" s="43">
        <v>0</v>
      </c>
      <c r="S35" s="43">
        <v>0</v>
      </c>
      <c r="T35" s="43">
        <v>0</v>
      </c>
      <c r="U35" s="56"/>
    </row>
    <row r="36" spans="1:21" ht="17.25" customHeight="1" x14ac:dyDescent="0.3">
      <c r="A36" s="15" t="s">
        <v>30</v>
      </c>
      <c r="C36" s="19"/>
      <c r="D36" s="33" t="str">
        <f t="shared" si="4"/>
        <v>C100003</v>
      </c>
      <c r="E36" s="33"/>
      <c r="F36" s="34"/>
      <c r="G36" s="34" t="str">
        <f>"""NAV Direct"",""CRONUS JetCorp USA"",""32"",""1"",""124548"""</f>
        <v>"NAV Direct","CRONUS JetCorp USA","32","1","124548"</v>
      </c>
      <c r="H36" s="40">
        <v>43473</v>
      </c>
      <c r="I36" s="41">
        <v>124548</v>
      </c>
      <c r="J36" s="42" t="str">
        <f>"Customer"</f>
        <v>Customer</v>
      </c>
      <c r="K36" s="42" t="str">
        <f>"C100035"</f>
        <v>C100035</v>
      </c>
      <c r="L36" s="42" t="str">
        <f>IF($J36="Customer",_xll.NL("first",$J36,"Name","No.","@@"&amp;$K36),"")</f>
        <v>First Touch Marketing</v>
      </c>
      <c r="M36" s="42" t="str">
        <f>""</f>
        <v/>
      </c>
      <c r="N36" s="42" t="str">
        <f>IF($J36="Item",_xll.NL("first",$J36,"Description","No.","@@"&amp;$K36),"")</f>
        <v/>
      </c>
      <c r="O36" s="43">
        <v>0</v>
      </c>
      <c r="P36" s="43">
        <v>-12</v>
      </c>
      <c r="Q36" s="43">
        <v>0</v>
      </c>
      <c r="R36" s="43">
        <v>0</v>
      </c>
      <c r="S36" s="43">
        <v>0</v>
      </c>
      <c r="T36" s="43">
        <v>0</v>
      </c>
      <c r="U36" s="56"/>
    </row>
    <row r="37" spans="1:21" ht="17.25" customHeight="1" x14ac:dyDescent="0.3">
      <c r="A37" s="15" t="s">
        <v>30</v>
      </c>
      <c r="C37" s="19"/>
      <c r="D37" s="33" t="str">
        <f t="shared" si="4"/>
        <v>C100003</v>
      </c>
      <c r="E37" s="33"/>
      <c r="F37" s="34"/>
      <c r="G37" s="34" t="str">
        <f>"""NAV Direct"",""CRONUS JetCorp USA"",""32"",""1"",""36489"""</f>
        <v>"NAV Direct","CRONUS JetCorp USA","32","1","36489"</v>
      </c>
      <c r="H37" s="40">
        <v>43474</v>
      </c>
      <c r="I37" s="41">
        <v>36489</v>
      </c>
      <c r="J37" s="42" t="str">
        <f>"Customer"</f>
        <v>Customer</v>
      </c>
      <c r="K37" s="42" t="str">
        <f>"C100092"</f>
        <v>C100092</v>
      </c>
      <c r="L37" s="42" t="str">
        <f>IF($J37="Customer",_xll.NL("first",$J37,"Name","No.","@@"&amp;$K37),"")</f>
        <v>Zuni Home Crafts Ltd.</v>
      </c>
      <c r="M37" s="42" t="str">
        <f>""</f>
        <v/>
      </c>
      <c r="N37" s="42" t="str">
        <f>IF($J37="Item",_xll.NL("first",$J37,"Description","No.","@@"&amp;$K37),"")</f>
        <v/>
      </c>
      <c r="O37" s="43">
        <v>0</v>
      </c>
      <c r="P37" s="43">
        <v>-144</v>
      </c>
      <c r="Q37" s="43">
        <v>0</v>
      </c>
      <c r="R37" s="43">
        <v>0</v>
      </c>
      <c r="S37" s="43">
        <v>0</v>
      </c>
      <c r="T37" s="43">
        <v>0</v>
      </c>
      <c r="U37" s="56"/>
    </row>
    <row r="38" spans="1:21" ht="17.25" customHeight="1" x14ac:dyDescent="0.3">
      <c r="A38" s="15" t="s">
        <v>30</v>
      </c>
      <c r="C38" s="19"/>
      <c r="D38" s="33"/>
      <c r="E38" s="33"/>
      <c r="F38" s="34"/>
      <c r="G38" s="34"/>
      <c r="H38" s="34"/>
      <c r="I38" s="34"/>
      <c r="J38" s="34"/>
      <c r="K38" s="34"/>
      <c r="L38" s="34"/>
      <c r="M38" s="34"/>
      <c r="N38" s="34"/>
      <c r="O38" s="44"/>
      <c r="P38" s="44"/>
      <c r="Q38" s="44"/>
      <c r="R38" s="44"/>
      <c r="S38" s="44"/>
      <c r="T38" s="44"/>
      <c r="U38" s="57"/>
    </row>
    <row r="39" spans="1:21" ht="17.25" customHeight="1" x14ac:dyDescent="0.3">
      <c r="A39" s="15" t="s">
        <v>30</v>
      </c>
      <c r="C39" s="19"/>
      <c r="D39" s="33"/>
      <c r="E39" s="33" t="s">
        <v>31</v>
      </c>
      <c r="F39" s="34" t="s">
        <v>31</v>
      </c>
      <c r="G39" s="34" t="s">
        <v>31</v>
      </c>
      <c r="H39" s="34"/>
      <c r="I39" s="34"/>
      <c r="J39" s="34" t="s">
        <v>31</v>
      </c>
      <c r="K39" s="34" t="s">
        <v>31</v>
      </c>
      <c r="L39" s="34" t="s">
        <v>31</v>
      </c>
      <c r="M39" s="34" t="s">
        <v>31</v>
      </c>
      <c r="N39" s="34"/>
      <c r="U39" s="58"/>
    </row>
    <row r="40" spans="1:21" ht="20.25" customHeight="1" x14ac:dyDescent="0.35">
      <c r="A40" s="15" t="s">
        <v>30</v>
      </c>
      <c r="C40" s="19"/>
      <c r="D40" s="35" t="str">
        <f t="shared" ref="D40" si="5">E40</f>
        <v>C100004</v>
      </c>
      <c r="E40" s="36" t="str">
        <f>"C100004"</f>
        <v>C100004</v>
      </c>
      <c r="F40" s="37" t="str">
        <f>"Walnut Medallian Plate"</f>
        <v>Walnut Medallian Plate</v>
      </c>
      <c r="G40" s="37"/>
      <c r="H40" s="38" t="str">
        <f>"EA"</f>
        <v>EA</v>
      </c>
      <c r="I40" s="37"/>
      <c r="J40" s="37"/>
      <c r="K40" s="37"/>
      <c r="L40" s="37"/>
      <c r="M40" s="37"/>
      <c r="N40" s="37"/>
      <c r="O40" s="39">
        <f>(SUBTOTAL(9,O41:O59))</f>
        <v>3600</v>
      </c>
      <c r="P40" s="39">
        <f>(SUBTOTAL(9,P41:P59))</f>
        <v>-1070</v>
      </c>
      <c r="Q40" s="39">
        <f>(SUBTOTAL(9,Q41:Q59))</f>
        <v>0</v>
      </c>
      <c r="R40" s="39">
        <f>(SUBTOTAL(9,R41:R59))</f>
        <v>0</v>
      </c>
      <c r="S40" s="39">
        <f>(SUBTOTAL(9,S41:S59))</f>
        <v>0</v>
      </c>
      <c r="T40" s="39">
        <f>(SUBTOTAL(9,T41:T59))</f>
        <v>0</v>
      </c>
      <c r="U40" s="55">
        <f t="shared" ref="U40" si="6">SUBTOTAL(9,O41:T59)</f>
        <v>2530</v>
      </c>
    </row>
    <row r="41" spans="1:21" ht="17.25" customHeight="1" x14ac:dyDescent="0.3">
      <c r="A41" s="15" t="s">
        <v>30</v>
      </c>
      <c r="C41" s="19"/>
      <c r="D41" s="33" t="str">
        <f t="shared" ref="D41" si="7">D40</f>
        <v>C100004</v>
      </c>
      <c r="E41" s="33"/>
      <c r="F41" s="34"/>
      <c r="G41" s="34" t="str">
        <f>"""NAV Direct"",""CRONUS JetCorp USA"",""32"",""1"",""166333"""</f>
        <v>"NAV Direct","CRONUS JetCorp USA","32","1","166333"</v>
      </c>
      <c r="H41" s="40">
        <v>43466</v>
      </c>
      <c r="I41" s="41">
        <v>166333</v>
      </c>
      <c r="J41" s="42" t="str">
        <f>"Vendor"</f>
        <v>Vendor</v>
      </c>
      <c r="K41" s="42" t="str">
        <f>"V100009"</f>
        <v>V100009</v>
      </c>
      <c r="L41" s="42" t="str">
        <f>IF($J41="Customer",_xll.NL("first",$J41,"Name","No.","@@"&amp;$K41),"")</f>
        <v/>
      </c>
      <c r="M41" s="42" t="str">
        <f>"Malay-Dan Export Unit Sdn Bhd"</f>
        <v>Malay-Dan Export Unit Sdn Bhd</v>
      </c>
      <c r="N41" s="42" t="str">
        <f>IF($J41="Item",_xll.NL("first",$J41,"Description","No.","@@"&amp;$K41),"")</f>
        <v/>
      </c>
      <c r="O41" s="43">
        <v>700</v>
      </c>
      <c r="P41" s="43">
        <v>0</v>
      </c>
      <c r="Q41" s="43">
        <v>0</v>
      </c>
      <c r="R41" s="43">
        <v>0</v>
      </c>
      <c r="S41" s="43">
        <v>0</v>
      </c>
      <c r="T41" s="43">
        <v>0</v>
      </c>
      <c r="U41" s="56"/>
    </row>
    <row r="42" spans="1:21" ht="17.25" customHeight="1" x14ac:dyDescent="0.3">
      <c r="A42" s="15" t="s">
        <v>30</v>
      </c>
      <c r="C42" s="19"/>
      <c r="D42" s="33" t="str">
        <f t="shared" ref="D42:D58" si="8">D41</f>
        <v>C100004</v>
      </c>
      <c r="E42" s="33"/>
      <c r="F42" s="34"/>
      <c r="G42" s="34" t="str">
        <f>"""NAV Direct"",""CRONUS JetCorp USA"",""32"",""1"",""166351"""</f>
        <v>"NAV Direct","CRONUS JetCorp USA","32","1","166351"</v>
      </c>
      <c r="H42" s="40">
        <v>43466</v>
      </c>
      <c r="I42" s="41">
        <v>166351</v>
      </c>
      <c r="J42" s="42" t="str">
        <f>"Vendor"</f>
        <v>Vendor</v>
      </c>
      <c r="K42" s="42" t="str">
        <f>"V100040"</f>
        <v>V100040</v>
      </c>
      <c r="L42" s="42" t="str">
        <f>IF($J42="Customer",_xll.NL("first",$J42,"Name","No.","@@"&amp;$K42),"")</f>
        <v/>
      </c>
      <c r="M42" s="42" t="str">
        <f>"Technische Betriebe Rotkreuz"</f>
        <v>Technische Betriebe Rotkreuz</v>
      </c>
      <c r="N42" s="42" t="str">
        <f>IF($J42="Item",_xll.NL("first",$J42,"Description","No.","@@"&amp;$K42),"")</f>
        <v/>
      </c>
      <c r="O42" s="43">
        <v>700</v>
      </c>
      <c r="P42" s="43">
        <v>0</v>
      </c>
      <c r="Q42" s="43">
        <v>0</v>
      </c>
      <c r="R42" s="43">
        <v>0</v>
      </c>
      <c r="S42" s="43">
        <v>0</v>
      </c>
      <c r="T42" s="43">
        <v>0</v>
      </c>
      <c r="U42" s="56"/>
    </row>
    <row r="43" spans="1:21" ht="17.25" customHeight="1" x14ac:dyDescent="0.3">
      <c r="A43" s="15" t="s">
        <v>30</v>
      </c>
      <c r="C43" s="19"/>
      <c r="D43" s="33" t="str">
        <f t="shared" si="8"/>
        <v>C100004</v>
      </c>
      <c r="E43" s="33"/>
      <c r="F43" s="34"/>
      <c r="G43" s="34" t="str">
        <f>"""NAV Direct"",""CRONUS JetCorp USA"",""32"",""1"",""166370"""</f>
        <v>"NAV Direct","CRONUS JetCorp USA","32","1","166370"</v>
      </c>
      <c r="H43" s="40">
        <v>43466</v>
      </c>
      <c r="I43" s="41">
        <v>166370</v>
      </c>
      <c r="J43" s="42" t="str">
        <f>"Vendor"</f>
        <v>Vendor</v>
      </c>
      <c r="K43" s="42" t="str">
        <f>"V100007"</f>
        <v>V100007</v>
      </c>
      <c r="L43" s="42" t="str">
        <f>IF($J43="Customer",_xll.NL("first",$J43,"Name","No.","@@"&amp;$K43),"")</f>
        <v/>
      </c>
      <c r="M43" s="42" t="str">
        <f>"TrendTech"</f>
        <v>TrendTech</v>
      </c>
      <c r="N43" s="42" t="str">
        <f>IF($J43="Item",_xll.NL("first",$J43,"Description","No.","@@"&amp;$K43),"")</f>
        <v/>
      </c>
      <c r="O43" s="43">
        <v>400</v>
      </c>
      <c r="P43" s="43">
        <v>0</v>
      </c>
      <c r="Q43" s="43">
        <v>0</v>
      </c>
      <c r="R43" s="43">
        <v>0</v>
      </c>
      <c r="S43" s="43">
        <v>0</v>
      </c>
      <c r="T43" s="43">
        <v>0</v>
      </c>
      <c r="U43" s="56"/>
    </row>
    <row r="44" spans="1:21" ht="17.25" customHeight="1" x14ac:dyDescent="0.3">
      <c r="A44" s="15" t="s">
        <v>30</v>
      </c>
      <c r="C44" s="19"/>
      <c r="D44" s="33" t="str">
        <f t="shared" si="8"/>
        <v>C100004</v>
      </c>
      <c r="E44" s="33"/>
      <c r="F44" s="34"/>
      <c r="G44" s="34" t="str">
        <f>"""NAV Direct"",""CRONUS JetCorp USA"",""32"",""1"",""166388"""</f>
        <v>"NAV Direct","CRONUS JetCorp USA","32","1","166388"</v>
      </c>
      <c r="H44" s="40">
        <v>43466</v>
      </c>
      <c r="I44" s="41">
        <v>166388</v>
      </c>
      <c r="J44" s="42" t="str">
        <f>"Vendor"</f>
        <v>Vendor</v>
      </c>
      <c r="K44" s="42" t="str">
        <f>"V100001"</f>
        <v>V100001</v>
      </c>
      <c r="L44" s="42" t="str">
        <f>IF($J44="Customer",_xll.NL("first",$J44,"Name","No.","@@"&amp;$K44),"")</f>
        <v/>
      </c>
      <c r="M44" s="42" t="str">
        <f>"Greigner, Inc."</f>
        <v>Greigner, Inc.</v>
      </c>
      <c r="N44" s="42" t="str">
        <f>IF($J44="Item",_xll.NL("first",$J44,"Description","No.","@@"&amp;$K44),"")</f>
        <v/>
      </c>
      <c r="O44" s="43">
        <v>1300</v>
      </c>
      <c r="P44" s="43">
        <v>0</v>
      </c>
      <c r="Q44" s="43">
        <v>0</v>
      </c>
      <c r="R44" s="43">
        <v>0</v>
      </c>
      <c r="S44" s="43">
        <v>0</v>
      </c>
      <c r="T44" s="43">
        <v>0</v>
      </c>
      <c r="U44" s="56"/>
    </row>
    <row r="45" spans="1:21" ht="17.25" customHeight="1" x14ac:dyDescent="0.3">
      <c r="A45" s="15" t="s">
        <v>30</v>
      </c>
      <c r="C45" s="19"/>
      <c r="D45" s="33" t="str">
        <f t="shared" si="8"/>
        <v>C100004</v>
      </c>
      <c r="E45" s="33"/>
      <c r="F45" s="34"/>
      <c r="G45" s="34" t="str">
        <f>"""NAV Direct"",""CRONUS JetCorp USA"",""32"",""1"",""166400"""</f>
        <v>"NAV Direct","CRONUS JetCorp USA","32","1","166400"</v>
      </c>
      <c r="H45" s="40">
        <v>43466</v>
      </c>
      <c r="I45" s="41">
        <v>166400</v>
      </c>
      <c r="J45" s="42" t="str">
        <f>"Vendor"</f>
        <v>Vendor</v>
      </c>
      <c r="K45" s="42" t="str">
        <f>"V100047"</f>
        <v>V100047</v>
      </c>
      <c r="L45" s="42" t="str">
        <f>IF($J45="Customer",_xll.NL("first",$J45,"Name","No.","@@"&amp;$K45),"")</f>
        <v/>
      </c>
      <c r="M45" s="42" t="str">
        <f>"WoodMart Supply Co."</f>
        <v>WoodMart Supply Co.</v>
      </c>
      <c r="N45" s="42" t="str">
        <f>IF($J45="Item",_xll.NL("first",$J45,"Description","No.","@@"&amp;$K45),"")</f>
        <v/>
      </c>
      <c r="O45" s="43">
        <v>100</v>
      </c>
      <c r="P45" s="43">
        <v>0</v>
      </c>
      <c r="Q45" s="43">
        <v>0</v>
      </c>
      <c r="R45" s="43">
        <v>0</v>
      </c>
      <c r="S45" s="43">
        <v>0</v>
      </c>
      <c r="T45" s="43">
        <v>0</v>
      </c>
      <c r="U45" s="56"/>
    </row>
    <row r="46" spans="1:21" ht="17.25" customHeight="1" x14ac:dyDescent="0.3">
      <c r="A46" s="15" t="s">
        <v>30</v>
      </c>
      <c r="C46" s="19"/>
      <c r="D46" s="33" t="str">
        <f t="shared" si="8"/>
        <v>C100004</v>
      </c>
      <c r="E46" s="33"/>
      <c r="F46" s="34"/>
      <c r="G46" s="34" t="str">
        <f>"""NAV Direct"",""CRONUS JetCorp USA"",""32"",""1"",""166417"""</f>
        <v>"NAV Direct","CRONUS JetCorp USA","32","1","166417"</v>
      </c>
      <c r="H46" s="40">
        <v>43466</v>
      </c>
      <c r="I46" s="41">
        <v>166417</v>
      </c>
      <c r="J46" s="42" t="str">
        <f>"Vendor"</f>
        <v>Vendor</v>
      </c>
      <c r="K46" s="42" t="str">
        <f>"V100003"</f>
        <v>V100003</v>
      </c>
      <c r="L46" s="42" t="str">
        <f>IF($J46="Customer",_xll.NL("first",$J46,"Name","No.","@@"&amp;$K46),"")</f>
        <v/>
      </c>
      <c r="M46" s="42" t="str">
        <f>"LogoMasters"</f>
        <v>LogoMasters</v>
      </c>
      <c r="N46" s="42" t="str">
        <f>IF($J46="Item",_xll.NL("first",$J46,"Description","No.","@@"&amp;$K46),"")</f>
        <v/>
      </c>
      <c r="O46" s="43">
        <v>400</v>
      </c>
      <c r="P46" s="43">
        <v>0</v>
      </c>
      <c r="Q46" s="43">
        <v>0</v>
      </c>
      <c r="R46" s="43">
        <v>0</v>
      </c>
      <c r="S46" s="43">
        <v>0</v>
      </c>
      <c r="T46" s="43">
        <v>0</v>
      </c>
      <c r="U46" s="56"/>
    </row>
    <row r="47" spans="1:21" ht="17.25" customHeight="1" x14ac:dyDescent="0.3">
      <c r="A47" s="15" t="s">
        <v>30</v>
      </c>
      <c r="C47" s="19"/>
      <c r="D47" s="33" t="str">
        <f t="shared" si="8"/>
        <v>C100004</v>
      </c>
      <c r="E47" s="33"/>
      <c r="F47" s="34"/>
      <c r="G47" s="34" t="str">
        <f>"""NAV Direct"",""CRONUS JetCorp USA"",""32"",""1"",""114271"""</f>
        <v>"NAV Direct","CRONUS JetCorp USA","32","1","114271"</v>
      </c>
      <c r="H47" s="40">
        <v>43470</v>
      </c>
      <c r="I47" s="41">
        <v>114271</v>
      </c>
      <c r="J47" s="42" t="str">
        <f>"Customer"</f>
        <v>Customer</v>
      </c>
      <c r="K47" s="42" t="str">
        <f>"C100076"</f>
        <v>C100076</v>
      </c>
      <c r="L47" s="42" t="str">
        <f>IF($J47="Customer",_xll.NL("first",$J47,"Name","No.","@@"&amp;$K47),"")</f>
        <v>Showmasters</v>
      </c>
      <c r="M47" s="42" t="str">
        <f>""</f>
        <v/>
      </c>
      <c r="N47" s="42" t="str">
        <f>IF($J47="Item",_xll.NL("first",$J47,"Description","No.","@@"&amp;$K47),"")</f>
        <v/>
      </c>
      <c r="O47" s="43">
        <v>0</v>
      </c>
      <c r="P47" s="43">
        <v>-1</v>
      </c>
      <c r="Q47" s="43">
        <v>0</v>
      </c>
      <c r="R47" s="43">
        <v>0</v>
      </c>
      <c r="S47" s="43">
        <v>0</v>
      </c>
      <c r="T47" s="43">
        <v>0</v>
      </c>
      <c r="U47" s="56"/>
    </row>
    <row r="48" spans="1:21" ht="17.25" customHeight="1" x14ac:dyDescent="0.3">
      <c r="A48" s="15" t="s">
        <v>30</v>
      </c>
      <c r="C48" s="19"/>
      <c r="D48" s="33" t="str">
        <f t="shared" si="8"/>
        <v>C100004</v>
      </c>
      <c r="E48" s="33"/>
      <c r="F48" s="34"/>
      <c r="G48" s="34" t="str">
        <f>"""NAV Direct"",""CRONUS JetCorp USA"",""32"",""1"",""132508"""</f>
        <v>"NAV Direct","CRONUS JetCorp USA","32","1","132508"</v>
      </c>
      <c r="H48" s="40">
        <v>43470</v>
      </c>
      <c r="I48" s="41">
        <v>132508</v>
      </c>
      <c r="J48" s="42" t="str">
        <f>"Customer"</f>
        <v>Customer</v>
      </c>
      <c r="K48" s="42" t="str">
        <f>"C100029"</f>
        <v>C100029</v>
      </c>
      <c r="L48" s="42" t="str">
        <f>IF($J48="Customer",_xll.NL("first",$J48,"Name","No.","@@"&amp;$K48),"")</f>
        <v>Elkhorn Airport</v>
      </c>
      <c r="M48" s="42" t="str">
        <f>""</f>
        <v/>
      </c>
      <c r="N48" s="42" t="str">
        <f>IF($J48="Item",_xll.NL("first",$J48,"Description","No.","@@"&amp;$K48),"")</f>
        <v/>
      </c>
      <c r="O48" s="43">
        <v>0</v>
      </c>
      <c r="P48" s="43">
        <v>-288</v>
      </c>
      <c r="Q48" s="43">
        <v>0</v>
      </c>
      <c r="R48" s="43">
        <v>0</v>
      </c>
      <c r="S48" s="43">
        <v>0</v>
      </c>
      <c r="T48" s="43">
        <v>0</v>
      </c>
      <c r="U48" s="56"/>
    </row>
    <row r="49" spans="1:21" ht="17.25" customHeight="1" x14ac:dyDescent="0.3">
      <c r="A49" s="15" t="s">
        <v>30</v>
      </c>
      <c r="C49" s="19"/>
      <c r="D49" s="33" t="str">
        <f t="shared" si="8"/>
        <v>C100004</v>
      </c>
      <c r="E49" s="33"/>
      <c r="F49" s="34"/>
      <c r="G49" s="34" t="str">
        <f>"""NAV Direct"",""CRONUS JetCorp USA"",""32"",""1"",""25233"""</f>
        <v>"NAV Direct","CRONUS JetCorp USA","32","1","25233"</v>
      </c>
      <c r="H49" s="40">
        <v>43471</v>
      </c>
      <c r="I49" s="41">
        <v>25233</v>
      </c>
      <c r="J49" s="42" t="str">
        <f>"Customer"</f>
        <v>Customer</v>
      </c>
      <c r="K49" s="42" t="str">
        <f>"C100102"</f>
        <v>C100102</v>
      </c>
      <c r="L49" s="42" t="str">
        <f>IF($J49="Customer",_xll.NL("first",$J49,"Name","No.","@@"&amp;$K49),"")</f>
        <v xml:space="preserve">BEI Outfitters </v>
      </c>
      <c r="M49" s="42" t="str">
        <f>""</f>
        <v/>
      </c>
      <c r="N49" s="42" t="str">
        <f>IF($J49="Item",_xll.NL("first",$J49,"Description","No.","@@"&amp;$K49),"")</f>
        <v/>
      </c>
      <c r="O49" s="43">
        <v>0</v>
      </c>
      <c r="P49" s="43">
        <v>-144</v>
      </c>
      <c r="Q49" s="43">
        <v>0</v>
      </c>
      <c r="R49" s="43">
        <v>0</v>
      </c>
      <c r="S49" s="43">
        <v>0</v>
      </c>
      <c r="T49" s="43">
        <v>0</v>
      </c>
      <c r="U49" s="56"/>
    </row>
    <row r="50" spans="1:21" ht="17.25" customHeight="1" x14ac:dyDescent="0.3">
      <c r="A50" s="15" t="s">
        <v>30</v>
      </c>
      <c r="C50" s="19"/>
      <c r="D50" s="33" t="str">
        <f t="shared" si="8"/>
        <v>C100004</v>
      </c>
      <c r="E50" s="33"/>
      <c r="F50" s="34"/>
      <c r="G50" s="34" t="str">
        <f>"""NAV Direct"",""CRONUS JetCorp USA"",""32"",""1"",""38072"""</f>
        <v>"NAV Direct","CRONUS JetCorp USA","32","1","38072"</v>
      </c>
      <c r="H50" s="40">
        <v>43471</v>
      </c>
      <c r="I50" s="41">
        <v>38072</v>
      </c>
      <c r="J50" s="42" t="str">
        <f>"Customer"</f>
        <v>Customer</v>
      </c>
      <c r="K50" s="42" t="str">
        <f>"C100013"</f>
        <v>C100013</v>
      </c>
      <c r="L50" s="42" t="str">
        <f>IF($J50="Customer",_xll.NL("first",$J50,"Name","No.","@@"&amp;$K50),"")</f>
        <v>Candoxy Kontor A/S</v>
      </c>
      <c r="M50" s="42" t="str">
        <f>""</f>
        <v/>
      </c>
      <c r="N50" s="42" t="str">
        <f>IF($J50="Item",_xll.NL("first",$J50,"Description","No.","@@"&amp;$K50),"")</f>
        <v/>
      </c>
      <c r="O50" s="43">
        <v>0</v>
      </c>
      <c r="P50" s="43">
        <v>-144</v>
      </c>
      <c r="Q50" s="43">
        <v>0</v>
      </c>
      <c r="R50" s="43">
        <v>0</v>
      </c>
      <c r="S50" s="43">
        <v>0</v>
      </c>
      <c r="T50" s="43">
        <v>0</v>
      </c>
      <c r="U50" s="56"/>
    </row>
    <row r="51" spans="1:21" ht="17.25" customHeight="1" x14ac:dyDescent="0.3">
      <c r="A51" s="15" t="s">
        <v>30</v>
      </c>
      <c r="C51" s="19"/>
      <c r="D51" s="33" t="str">
        <f t="shared" si="8"/>
        <v>C100004</v>
      </c>
      <c r="E51" s="33"/>
      <c r="F51" s="34"/>
      <c r="G51" s="34" t="str">
        <f>"""NAV Direct"",""CRONUS JetCorp USA"",""32"",""1"",""114282"""</f>
        <v>"NAV Direct","CRONUS JetCorp USA","32","1","114282"</v>
      </c>
      <c r="H51" s="40">
        <v>43473</v>
      </c>
      <c r="I51" s="41">
        <v>114282</v>
      </c>
      <c r="J51" s="42" t="str">
        <f>"Customer"</f>
        <v>Customer</v>
      </c>
      <c r="K51" s="42" t="str">
        <f>"C100083"</f>
        <v>C100083</v>
      </c>
      <c r="L51" s="42" t="str">
        <f>IF($J51="Customer",_xll.NL("first",$J51,"Name","No.","@@"&amp;$K51),"")</f>
        <v>Stanfords</v>
      </c>
      <c r="M51" s="42" t="str">
        <f>""</f>
        <v/>
      </c>
      <c r="N51" s="42" t="str">
        <f>IF($J51="Item",_xll.NL("first",$J51,"Description","No.","@@"&amp;$K51),"")</f>
        <v/>
      </c>
      <c r="O51" s="43">
        <v>0</v>
      </c>
      <c r="P51" s="43">
        <v>-144</v>
      </c>
      <c r="Q51" s="43">
        <v>0</v>
      </c>
      <c r="R51" s="43">
        <v>0</v>
      </c>
      <c r="S51" s="43">
        <v>0</v>
      </c>
      <c r="T51" s="43">
        <v>0</v>
      </c>
      <c r="U51" s="56"/>
    </row>
    <row r="52" spans="1:21" ht="17.25" customHeight="1" x14ac:dyDescent="0.3">
      <c r="A52" s="15" t="s">
        <v>30</v>
      </c>
      <c r="C52" s="19"/>
      <c r="D52" s="33" t="str">
        <f t="shared" si="8"/>
        <v>C100004</v>
      </c>
      <c r="E52" s="33"/>
      <c r="F52" s="34"/>
      <c r="G52" s="34" t="str">
        <f>"""NAV Direct"",""CRONUS JetCorp USA"",""32"",""1"",""116381"""</f>
        <v>"NAV Direct","CRONUS JetCorp USA","32","1","116381"</v>
      </c>
      <c r="H52" s="40">
        <v>43473</v>
      </c>
      <c r="I52" s="41">
        <v>116381</v>
      </c>
      <c r="J52" s="42" t="str">
        <f>"Customer"</f>
        <v>Customer</v>
      </c>
      <c r="K52" s="42" t="str">
        <f>"C100066"</f>
        <v>C100066</v>
      </c>
      <c r="L52" s="42" t="str">
        <f>IF($J52="Customer",_xll.NL("first",$J52,"Name","No.","@@"&amp;$K52),"")</f>
        <v>Office Solutions</v>
      </c>
      <c r="M52" s="42" t="str">
        <f>""</f>
        <v/>
      </c>
      <c r="N52" s="42" t="str">
        <f>IF($J52="Item",_xll.NL("first",$J52,"Description","No.","@@"&amp;$K52),"")</f>
        <v/>
      </c>
      <c r="O52" s="43">
        <v>0</v>
      </c>
      <c r="P52" s="43">
        <v>-1</v>
      </c>
      <c r="Q52" s="43">
        <v>0</v>
      </c>
      <c r="R52" s="43">
        <v>0</v>
      </c>
      <c r="S52" s="43">
        <v>0</v>
      </c>
      <c r="T52" s="43">
        <v>0</v>
      </c>
      <c r="U52" s="56"/>
    </row>
    <row r="53" spans="1:21" ht="17.25" customHeight="1" x14ac:dyDescent="0.3">
      <c r="A53" s="15" t="s">
        <v>30</v>
      </c>
      <c r="C53" s="19"/>
      <c r="D53" s="33" t="str">
        <f t="shared" si="8"/>
        <v>C100004</v>
      </c>
      <c r="E53" s="33"/>
      <c r="F53" s="34"/>
      <c r="G53" s="34" t="str">
        <f>"""NAV Direct"",""CRONUS JetCorp USA"",""32"",""1"",""135816"""</f>
        <v>"NAV Direct","CRONUS JetCorp USA","32","1","135816"</v>
      </c>
      <c r="H53" s="40">
        <v>43474</v>
      </c>
      <c r="I53" s="41">
        <v>135816</v>
      </c>
      <c r="J53" s="42" t="str">
        <f>"Customer"</f>
        <v>Customer</v>
      </c>
      <c r="K53" s="42" t="str">
        <f>"C100050"</f>
        <v>C100050</v>
      </c>
      <c r="L53" s="42" t="str">
        <f>IF($J53="Customer",_xll.NL("first",$J53,"Name","No.","@@"&amp;$K53),"")</f>
        <v>Lauritzen Kontorm¢bler A/S</v>
      </c>
      <c r="M53" s="42" t="str">
        <f>""</f>
        <v/>
      </c>
      <c r="N53" s="42" t="str">
        <f>IF($J53="Item",_xll.NL("first",$J53,"Description","No.","@@"&amp;$K53),"")</f>
        <v/>
      </c>
      <c r="O53" s="43">
        <v>0</v>
      </c>
      <c r="P53" s="43">
        <v>-48</v>
      </c>
      <c r="Q53" s="43">
        <v>0</v>
      </c>
      <c r="R53" s="43">
        <v>0</v>
      </c>
      <c r="S53" s="43">
        <v>0</v>
      </c>
      <c r="T53" s="43">
        <v>0</v>
      </c>
      <c r="U53" s="56"/>
    </row>
    <row r="54" spans="1:21" ht="17.25" customHeight="1" x14ac:dyDescent="0.3">
      <c r="A54" s="15" t="s">
        <v>30</v>
      </c>
      <c r="C54" s="19"/>
      <c r="D54" s="33" t="str">
        <f t="shared" si="8"/>
        <v>C100004</v>
      </c>
      <c r="E54" s="33"/>
      <c r="F54" s="34"/>
      <c r="G54" s="34" t="str">
        <f>"""NAV Direct"",""CRONUS JetCorp USA"",""32"",""1"",""3919"""</f>
        <v>"NAV Direct","CRONUS JetCorp USA","32","1","3919"</v>
      </c>
      <c r="H54" s="40">
        <v>43475</v>
      </c>
      <c r="I54" s="41">
        <v>3919</v>
      </c>
      <c r="J54" s="42" t="str">
        <f>"Customer"</f>
        <v>Customer</v>
      </c>
      <c r="K54" s="42" t="str">
        <f>"C100099"</f>
        <v>C100099</v>
      </c>
      <c r="L54" s="42" t="str">
        <f>IF($J54="Customer",_xll.NL("first",$J54,"Name","No.","@@"&amp;$K54),"")</f>
        <v>Voltive Systems</v>
      </c>
      <c r="M54" s="42" t="str">
        <f>""</f>
        <v/>
      </c>
      <c r="N54" s="42" t="str">
        <f>IF($J54="Item",_xll.NL("first",$J54,"Description","No.","@@"&amp;$K54),"")</f>
        <v/>
      </c>
      <c r="O54" s="43">
        <v>0</v>
      </c>
      <c r="P54" s="43">
        <v>-48</v>
      </c>
      <c r="Q54" s="43">
        <v>0</v>
      </c>
      <c r="R54" s="43">
        <v>0</v>
      </c>
      <c r="S54" s="43">
        <v>0</v>
      </c>
      <c r="T54" s="43">
        <v>0</v>
      </c>
      <c r="U54" s="56"/>
    </row>
    <row r="55" spans="1:21" ht="17.25" customHeight="1" x14ac:dyDescent="0.3">
      <c r="A55" s="15" t="s">
        <v>30</v>
      </c>
      <c r="C55" s="19"/>
      <c r="D55" s="33" t="str">
        <f t="shared" si="8"/>
        <v>C100004</v>
      </c>
      <c r="E55" s="33"/>
      <c r="F55" s="34"/>
      <c r="G55" s="34" t="str">
        <f>"""NAV Direct"",""CRONUS JetCorp USA"",""32"",""1"",""36477"""</f>
        <v>"NAV Direct","CRONUS JetCorp USA","32","1","36477"</v>
      </c>
      <c r="H55" s="40">
        <v>43475</v>
      </c>
      <c r="I55" s="41">
        <v>36477</v>
      </c>
      <c r="J55" s="42" t="str">
        <f>"Customer"</f>
        <v>Customer</v>
      </c>
      <c r="K55" s="42" t="str">
        <f>"C100063"</f>
        <v>C100063</v>
      </c>
      <c r="L55" s="42" t="str">
        <f>IF($J55="Customer",_xll.NL("first",$J55,"Name","No.","@@"&amp;$K55),"")</f>
        <v>Möbel Scherrer AG</v>
      </c>
      <c r="M55" s="42" t="str">
        <f>""</f>
        <v/>
      </c>
      <c r="N55" s="42" t="str">
        <f>IF($J55="Item",_xll.NL("first",$J55,"Description","No.","@@"&amp;$K55),"")</f>
        <v/>
      </c>
      <c r="O55" s="43">
        <v>0</v>
      </c>
      <c r="P55" s="43">
        <v>-48</v>
      </c>
      <c r="Q55" s="43">
        <v>0</v>
      </c>
      <c r="R55" s="43">
        <v>0</v>
      </c>
      <c r="S55" s="43">
        <v>0</v>
      </c>
      <c r="T55" s="43">
        <v>0</v>
      </c>
      <c r="U55" s="56"/>
    </row>
    <row r="56" spans="1:21" ht="17.25" customHeight="1" x14ac:dyDescent="0.3">
      <c r="A56" s="15" t="s">
        <v>30</v>
      </c>
      <c r="C56" s="19"/>
      <c r="D56" s="33" t="str">
        <f t="shared" si="8"/>
        <v>C100004</v>
      </c>
      <c r="E56" s="33"/>
      <c r="F56" s="34"/>
      <c r="G56" s="34" t="str">
        <f>"""NAV Direct"",""CRONUS JetCorp USA"",""32"",""1"",""25267"""</f>
        <v>"NAV Direct","CRONUS JetCorp USA","32","1","25267"</v>
      </c>
      <c r="H56" s="40">
        <v>43476</v>
      </c>
      <c r="I56" s="41">
        <v>25267</v>
      </c>
      <c r="J56" s="42" t="str">
        <f>"Customer"</f>
        <v>Customer</v>
      </c>
      <c r="K56" s="42" t="str">
        <f>"C100102"</f>
        <v>C100102</v>
      </c>
      <c r="L56" s="42" t="str">
        <f>IF($J56="Customer",_xll.NL("first",$J56,"Name","No.","@@"&amp;$K56),"")</f>
        <v xml:space="preserve">BEI Outfitters </v>
      </c>
      <c r="M56" s="42" t="str">
        <f>""</f>
        <v/>
      </c>
      <c r="N56" s="42" t="str">
        <f>IF($J56="Item",_xll.NL("first",$J56,"Description","No.","@@"&amp;$K56),"")</f>
        <v/>
      </c>
      <c r="O56" s="43">
        <v>0</v>
      </c>
      <c r="P56" s="43">
        <v>-12</v>
      </c>
      <c r="Q56" s="43">
        <v>0</v>
      </c>
      <c r="R56" s="43">
        <v>0</v>
      </c>
      <c r="S56" s="43">
        <v>0</v>
      </c>
      <c r="T56" s="43">
        <v>0</v>
      </c>
      <c r="U56" s="56"/>
    </row>
    <row r="57" spans="1:21" ht="17.25" customHeight="1" x14ac:dyDescent="0.3">
      <c r="A57" s="15" t="s">
        <v>30</v>
      </c>
      <c r="C57" s="19"/>
      <c r="D57" s="33" t="str">
        <f t="shared" si="8"/>
        <v>C100004</v>
      </c>
      <c r="E57" s="33"/>
      <c r="F57" s="34"/>
      <c r="G57" s="34" t="str">
        <f>"""NAV Direct"",""CRONUS JetCorp USA"",""32"",""1"",""38084"""</f>
        <v>"NAV Direct","CRONUS JetCorp USA","32","1","38084"</v>
      </c>
      <c r="H57" s="40">
        <v>43477</v>
      </c>
      <c r="I57" s="41">
        <v>38084</v>
      </c>
      <c r="J57" s="42" t="str">
        <f>"Customer"</f>
        <v>Customer</v>
      </c>
      <c r="K57" s="42" t="str">
        <f>"C100038"</f>
        <v>C100038</v>
      </c>
      <c r="L57" s="42" t="str">
        <f>IF($J57="Customer",_xll.NL("first",$J57,"Name","No.","@@"&amp;$K57),"")</f>
        <v>Gagn &amp; Gaman</v>
      </c>
      <c r="M57" s="42" t="str">
        <f>""</f>
        <v/>
      </c>
      <c r="N57" s="42" t="str">
        <f>IF($J57="Item",_xll.NL("first",$J57,"Description","No.","@@"&amp;$K57),"")</f>
        <v/>
      </c>
      <c r="O57" s="43">
        <v>0</v>
      </c>
      <c r="P57" s="43">
        <v>-144</v>
      </c>
      <c r="Q57" s="43">
        <v>0</v>
      </c>
      <c r="R57" s="43">
        <v>0</v>
      </c>
      <c r="S57" s="43">
        <v>0</v>
      </c>
      <c r="T57" s="43">
        <v>0</v>
      </c>
      <c r="U57" s="56"/>
    </row>
    <row r="58" spans="1:21" ht="17.25" customHeight="1" x14ac:dyDescent="0.3">
      <c r="A58" s="15" t="s">
        <v>30</v>
      </c>
      <c r="C58" s="19"/>
      <c r="D58" s="33" t="str">
        <f t="shared" si="8"/>
        <v>C100004</v>
      </c>
      <c r="E58" s="33"/>
      <c r="F58" s="34"/>
      <c r="G58" s="34" t="str">
        <f>"""NAV Direct"",""CRONUS JetCorp USA"",""32"",""1"",""138723"""</f>
        <v>"NAV Direct","CRONUS JetCorp USA","32","1","138723"</v>
      </c>
      <c r="H58" s="40">
        <v>43477</v>
      </c>
      <c r="I58" s="41">
        <v>138723</v>
      </c>
      <c r="J58" s="42" t="str">
        <f>"Customer"</f>
        <v>Customer</v>
      </c>
      <c r="K58" s="42" t="str">
        <f>"C100021"</f>
        <v>C100021</v>
      </c>
      <c r="L58" s="42" t="str">
        <f>IF($J58="Customer",_xll.NL("first",$J58,"Name","No.","@@"&amp;$K58),"")</f>
        <v>Cronus Cardoxy Sales</v>
      </c>
      <c r="M58" s="42" t="str">
        <f>""</f>
        <v/>
      </c>
      <c r="N58" s="42" t="str">
        <f>IF($J58="Item",_xll.NL("first",$J58,"Description","No.","@@"&amp;$K58),"")</f>
        <v/>
      </c>
      <c r="O58" s="43">
        <v>0</v>
      </c>
      <c r="P58" s="43">
        <v>-48</v>
      </c>
      <c r="Q58" s="43">
        <v>0</v>
      </c>
      <c r="R58" s="43">
        <v>0</v>
      </c>
      <c r="S58" s="43">
        <v>0</v>
      </c>
      <c r="T58" s="43">
        <v>0</v>
      </c>
      <c r="U58" s="56"/>
    </row>
    <row r="59" spans="1:21" ht="17.25" customHeight="1" x14ac:dyDescent="0.3">
      <c r="A59" s="15" t="s">
        <v>30</v>
      </c>
      <c r="C59" s="19"/>
      <c r="D59" s="33"/>
      <c r="E59" s="33"/>
      <c r="F59" s="34"/>
      <c r="G59" s="34"/>
      <c r="H59" s="34"/>
      <c r="I59" s="34"/>
      <c r="J59" s="34"/>
      <c r="K59" s="34"/>
      <c r="L59" s="34"/>
      <c r="M59" s="34"/>
      <c r="N59" s="34"/>
      <c r="O59" s="44"/>
      <c r="P59" s="44"/>
      <c r="Q59" s="44"/>
      <c r="R59" s="44"/>
      <c r="S59" s="44"/>
      <c r="T59" s="44"/>
      <c r="U59" s="57"/>
    </row>
    <row r="60" spans="1:21" ht="17.25" customHeight="1" x14ac:dyDescent="0.3">
      <c r="A60" s="15" t="s">
        <v>30</v>
      </c>
      <c r="C60" s="19"/>
      <c r="D60" s="33"/>
      <c r="E60" s="33" t="s">
        <v>31</v>
      </c>
      <c r="F60" s="34" t="s">
        <v>31</v>
      </c>
      <c r="G60" s="34" t="s">
        <v>31</v>
      </c>
      <c r="H60" s="34"/>
      <c r="I60" s="34"/>
      <c r="J60" s="34" t="s">
        <v>31</v>
      </c>
      <c r="K60" s="34" t="s">
        <v>31</v>
      </c>
      <c r="L60" s="34" t="s">
        <v>31</v>
      </c>
      <c r="M60" s="34" t="s">
        <v>31</v>
      </c>
      <c r="N60" s="34"/>
      <c r="U60" s="58"/>
    </row>
    <row r="61" spans="1:21" ht="20.25" customHeight="1" x14ac:dyDescent="0.35">
      <c r="A61" s="15" t="s">
        <v>30</v>
      </c>
      <c r="C61" s="19"/>
      <c r="D61" s="35" t="str">
        <f t="shared" ref="D61" si="9">E61</f>
        <v>C100005</v>
      </c>
      <c r="E61" s="36" t="str">
        <f>"C100005"</f>
        <v>C100005</v>
      </c>
      <c r="F61" s="37" t="str">
        <f>"Cherry Finished Crystal Award"</f>
        <v>Cherry Finished Crystal Award</v>
      </c>
      <c r="G61" s="37"/>
      <c r="H61" s="38" t="str">
        <f>"EA"</f>
        <v>EA</v>
      </c>
      <c r="I61" s="37"/>
      <c r="J61" s="37"/>
      <c r="K61" s="37"/>
      <c r="L61" s="37"/>
      <c r="M61" s="37"/>
      <c r="N61" s="37"/>
      <c r="O61" s="39">
        <f>(SUBTOTAL(9,O62:O85))</f>
        <v>1700</v>
      </c>
      <c r="P61" s="39">
        <f>(SUBTOTAL(9,P62:P85))</f>
        <v>-652</v>
      </c>
      <c r="Q61" s="39">
        <f>(SUBTOTAL(9,Q62:Q85))</f>
        <v>0</v>
      </c>
      <c r="R61" s="39">
        <f>(SUBTOTAL(9,R62:R85))</f>
        <v>0</v>
      </c>
      <c r="S61" s="39">
        <f>(SUBTOTAL(9,S62:S85))</f>
        <v>0</v>
      </c>
      <c r="T61" s="39">
        <f>(SUBTOTAL(9,T62:T85))</f>
        <v>0</v>
      </c>
      <c r="U61" s="55">
        <f t="shared" ref="U61" si="10">SUBTOTAL(9,O62:T85)</f>
        <v>1048</v>
      </c>
    </row>
    <row r="62" spans="1:21" ht="17.25" customHeight="1" x14ac:dyDescent="0.3">
      <c r="A62" s="15" t="s">
        <v>30</v>
      </c>
      <c r="C62" s="19"/>
      <c r="D62" s="33" t="str">
        <f t="shared" ref="D62" si="11">D61</f>
        <v>C100005</v>
      </c>
      <c r="E62" s="33"/>
      <c r="F62" s="34"/>
      <c r="G62" s="34" t="str">
        <f>"""NAV Direct"",""CRONUS JetCorp USA"",""32"",""1"",""166332"""</f>
        <v>"NAV Direct","CRONUS JetCorp USA","32","1","166332"</v>
      </c>
      <c r="H62" s="40">
        <v>43466</v>
      </c>
      <c r="I62" s="41">
        <v>166332</v>
      </c>
      <c r="J62" s="42" t="str">
        <f>"Vendor"</f>
        <v>Vendor</v>
      </c>
      <c r="K62" s="42" t="str">
        <f>"V100009"</f>
        <v>V100009</v>
      </c>
      <c r="L62" s="42" t="str">
        <f>IF($J62="Customer",_xll.NL("first",$J62,"Name","No.","@@"&amp;$K62),"")</f>
        <v/>
      </c>
      <c r="M62" s="42" t="str">
        <f>"Malay-Dan Export Unit Sdn Bhd"</f>
        <v>Malay-Dan Export Unit Sdn Bhd</v>
      </c>
      <c r="N62" s="42" t="str">
        <f>IF($J62="Item",_xll.NL("first",$J62,"Description","No.","@@"&amp;$K62),"")</f>
        <v/>
      </c>
      <c r="O62" s="43">
        <v>200</v>
      </c>
      <c r="P62" s="43">
        <v>0</v>
      </c>
      <c r="Q62" s="43">
        <v>0</v>
      </c>
      <c r="R62" s="43">
        <v>0</v>
      </c>
      <c r="S62" s="43">
        <v>0</v>
      </c>
      <c r="T62" s="43">
        <v>0</v>
      </c>
      <c r="U62" s="56"/>
    </row>
    <row r="63" spans="1:21" ht="17.25" customHeight="1" x14ac:dyDescent="0.3">
      <c r="A63" s="15" t="s">
        <v>30</v>
      </c>
      <c r="C63" s="19"/>
      <c r="D63" s="33" t="str">
        <f t="shared" ref="D63:D84" si="12">D62</f>
        <v>C100005</v>
      </c>
      <c r="E63" s="33"/>
      <c r="F63" s="34"/>
      <c r="G63" s="34" t="str">
        <f>"""NAV Direct"",""CRONUS JetCorp USA"",""32"",""1"",""166350"""</f>
        <v>"NAV Direct","CRONUS JetCorp USA","32","1","166350"</v>
      </c>
      <c r="H63" s="40">
        <v>43466</v>
      </c>
      <c r="I63" s="41">
        <v>166350</v>
      </c>
      <c r="J63" s="42" t="str">
        <f>"Vendor"</f>
        <v>Vendor</v>
      </c>
      <c r="K63" s="42" t="str">
        <f>"V100040"</f>
        <v>V100040</v>
      </c>
      <c r="L63" s="42" t="str">
        <f>IF($J63="Customer",_xll.NL("first",$J63,"Name","No.","@@"&amp;$K63),"")</f>
        <v/>
      </c>
      <c r="M63" s="42" t="str">
        <f>"Technische Betriebe Rotkreuz"</f>
        <v>Technische Betriebe Rotkreuz</v>
      </c>
      <c r="N63" s="42" t="str">
        <f>IF($J63="Item",_xll.NL("first",$J63,"Description","No.","@@"&amp;$K63),"")</f>
        <v/>
      </c>
      <c r="O63" s="43">
        <v>200</v>
      </c>
      <c r="P63" s="43">
        <v>0</v>
      </c>
      <c r="Q63" s="43">
        <v>0</v>
      </c>
      <c r="R63" s="43">
        <v>0</v>
      </c>
      <c r="S63" s="43">
        <v>0</v>
      </c>
      <c r="T63" s="43">
        <v>0</v>
      </c>
      <c r="U63" s="56"/>
    </row>
    <row r="64" spans="1:21" ht="17.25" customHeight="1" x14ac:dyDescent="0.3">
      <c r="A64" s="15" t="s">
        <v>30</v>
      </c>
      <c r="C64" s="19"/>
      <c r="D64" s="33" t="str">
        <f t="shared" si="12"/>
        <v>C100005</v>
      </c>
      <c r="E64" s="33"/>
      <c r="F64" s="34"/>
      <c r="G64" s="34" t="str">
        <f>"""NAV Direct"",""CRONUS JetCorp USA"",""32"",""1"",""166369"""</f>
        <v>"NAV Direct","CRONUS JetCorp USA","32","1","166369"</v>
      </c>
      <c r="H64" s="40">
        <v>43466</v>
      </c>
      <c r="I64" s="41">
        <v>166369</v>
      </c>
      <c r="J64" s="42" t="str">
        <f>"Vendor"</f>
        <v>Vendor</v>
      </c>
      <c r="K64" s="42" t="str">
        <f>"V100007"</f>
        <v>V100007</v>
      </c>
      <c r="L64" s="42" t="str">
        <f>IF($J64="Customer",_xll.NL("first",$J64,"Name","No.","@@"&amp;$K64),"")</f>
        <v/>
      </c>
      <c r="M64" s="42" t="str">
        <f>"TrendTech"</f>
        <v>TrendTech</v>
      </c>
      <c r="N64" s="42" t="str">
        <f>IF($J64="Item",_xll.NL("first",$J64,"Description","No.","@@"&amp;$K64),"")</f>
        <v/>
      </c>
      <c r="O64" s="43">
        <v>499.99999999999994</v>
      </c>
      <c r="P64" s="43">
        <v>0</v>
      </c>
      <c r="Q64" s="43">
        <v>0</v>
      </c>
      <c r="R64" s="43">
        <v>0</v>
      </c>
      <c r="S64" s="43">
        <v>0</v>
      </c>
      <c r="T64" s="43">
        <v>0</v>
      </c>
      <c r="U64" s="56"/>
    </row>
    <row r="65" spans="1:21" ht="17.25" customHeight="1" x14ac:dyDescent="0.3">
      <c r="A65" s="15" t="s">
        <v>30</v>
      </c>
      <c r="C65" s="19"/>
      <c r="D65" s="33" t="str">
        <f t="shared" si="12"/>
        <v>C100005</v>
      </c>
      <c r="E65" s="33"/>
      <c r="F65" s="34"/>
      <c r="G65" s="34" t="str">
        <f>"""NAV Direct"",""CRONUS JetCorp USA"",""32"",""1"",""166387"""</f>
        <v>"NAV Direct","CRONUS JetCorp USA","32","1","166387"</v>
      </c>
      <c r="H65" s="40">
        <v>43466</v>
      </c>
      <c r="I65" s="41">
        <v>166387</v>
      </c>
      <c r="J65" s="42" t="str">
        <f>"Vendor"</f>
        <v>Vendor</v>
      </c>
      <c r="K65" s="42" t="str">
        <f>"V100001"</f>
        <v>V100001</v>
      </c>
      <c r="L65" s="42" t="str">
        <f>IF($J65="Customer",_xll.NL("first",$J65,"Name","No.","@@"&amp;$K65),"")</f>
        <v/>
      </c>
      <c r="M65" s="42" t="str">
        <f>"Greigner, Inc."</f>
        <v>Greigner, Inc.</v>
      </c>
      <c r="N65" s="42" t="str">
        <f>IF($J65="Item",_xll.NL("first",$J65,"Description","No.","@@"&amp;$K65),"")</f>
        <v/>
      </c>
      <c r="O65" s="43">
        <v>499.99999999999994</v>
      </c>
      <c r="P65" s="43">
        <v>0</v>
      </c>
      <c r="Q65" s="43">
        <v>0</v>
      </c>
      <c r="R65" s="43">
        <v>0</v>
      </c>
      <c r="S65" s="43">
        <v>0</v>
      </c>
      <c r="T65" s="43">
        <v>0</v>
      </c>
      <c r="U65" s="56"/>
    </row>
    <row r="66" spans="1:21" ht="17.25" customHeight="1" x14ac:dyDescent="0.3">
      <c r="A66" s="15" t="s">
        <v>30</v>
      </c>
      <c r="C66" s="19"/>
      <c r="D66" s="33" t="str">
        <f t="shared" si="12"/>
        <v>C100005</v>
      </c>
      <c r="E66" s="33"/>
      <c r="F66" s="34"/>
      <c r="G66" s="34" t="str">
        <f>"""NAV Direct"",""CRONUS JetCorp USA"",""32"",""1"",""166399"""</f>
        <v>"NAV Direct","CRONUS JetCorp USA","32","1","166399"</v>
      </c>
      <c r="H66" s="40">
        <v>43466</v>
      </c>
      <c r="I66" s="41">
        <v>166399</v>
      </c>
      <c r="J66" s="42" t="str">
        <f>"Vendor"</f>
        <v>Vendor</v>
      </c>
      <c r="K66" s="42" t="str">
        <f>"V100047"</f>
        <v>V100047</v>
      </c>
      <c r="L66" s="42" t="str">
        <f>IF($J66="Customer",_xll.NL("first",$J66,"Name","No.","@@"&amp;$K66),"")</f>
        <v/>
      </c>
      <c r="M66" s="42" t="str">
        <f>"WoodMart Supply Co."</f>
        <v>WoodMart Supply Co.</v>
      </c>
      <c r="N66" s="42" t="str">
        <f>IF($J66="Item",_xll.NL("first",$J66,"Description","No.","@@"&amp;$K66),"")</f>
        <v/>
      </c>
      <c r="O66" s="43">
        <v>100</v>
      </c>
      <c r="P66" s="43">
        <v>0</v>
      </c>
      <c r="Q66" s="43">
        <v>0</v>
      </c>
      <c r="R66" s="43">
        <v>0</v>
      </c>
      <c r="S66" s="43">
        <v>0</v>
      </c>
      <c r="T66" s="43">
        <v>0</v>
      </c>
      <c r="U66" s="56"/>
    </row>
    <row r="67" spans="1:21" ht="17.25" customHeight="1" x14ac:dyDescent="0.3">
      <c r="A67" s="15" t="s">
        <v>30</v>
      </c>
      <c r="C67" s="19"/>
      <c r="D67" s="33" t="str">
        <f t="shared" si="12"/>
        <v>C100005</v>
      </c>
      <c r="E67" s="33"/>
      <c r="F67" s="34"/>
      <c r="G67" s="34" t="str">
        <f>"""NAV Direct"",""CRONUS JetCorp USA"",""32"",""1"",""166416"""</f>
        <v>"NAV Direct","CRONUS JetCorp USA","32","1","166416"</v>
      </c>
      <c r="H67" s="40">
        <v>43466</v>
      </c>
      <c r="I67" s="41">
        <v>166416</v>
      </c>
      <c r="J67" s="42" t="str">
        <f>"Vendor"</f>
        <v>Vendor</v>
      </c>
      <c r="K67" s="42" t="str">
        <f>"V100003"</f>
        <v>V100003</v>
      </c>
      <c r="L67" s="42" t="str">
        <f>IF($J67="Customer",_xll.NL("first",$J67,"Name","No.","@@"&amp;$K67),"")</f>
        <v/>
      </c>
      <c r="M67" s="42" t="str">
        <f>"LogoMasters"</f>
        <v>LogoMasters</v>
      </c>
      <c r="N67" s="42" t="str">
        <f>IF($J67="Item",_xll.NL("first",$J67,"Description","No.","@@"&amp;$K67),"")</f>
        <v/>
      </c>
      <c r="O67" s="43">
        <v>100</v>
      </c>
      <c r="P67" s="43">
        <v>0</v>
      </c>
      <c r="Q67" s="43">
        <v>0</v>
      </c>
      <c r="R67" s="43">
        <v>0</v>
      </c>
      <c r="S67" s="43">
        <v>0</v>
      </c>
      <c r="T67" s="43">
        <v>0</v>
      </c>
      <c r="U67" s="56"/>
    </row>
    <row r="68" spans="1:21" ht="17.25" customHeight="1" x14ac:dyDescent="0.3">
      <c r="A68" s="15" t="s">
        <v>30</v>
      </c>
      <c r="C68" s="19"/>
      <c r="D68" s="33" t="str">
        <f t="shared" si="12"/>
        <v>C100005</v>
      </c>
      <c r="E68" s="33"/>
      <c r="F68" s="34"/>
      <c r="G68" s="34" t="str">
        <f>"""NAV Direct"",""CRONUS JetCorp USA"",""32"",""1"",""166428"""</f>
        <v>"NAV Direct","CRONUS JetCorp USA","32","1","166428"</v>
      </c>
      <c r="H68" s="40">
        <v>43466</v>
      </c>
      <c r="I68" s="41">
        <v>166428</v>
      </c>
      <c r="J68" s="42" t="str">
        <f>"Vendor"</f>
        <v>Vendor</v>
      </c>
      <c r="K68" s="42" t="str">
        <f>"V100001"</f>
        <v>V100001</v>
      </c>
      <c r="L68" s="42" t="str">
        <f>IF($J68="Customer",_xll.NL("first",$J68,"Name","No.","@@"&amp;$K68),"")</f>
        <v/>
      </c>
      <c r="M68" s="42" t="str">
        <f>"Greigner, Inc."</f>
        <v>Greigner, Inc.</v>
      </c>
      <c r="N68" s="42" t="str">
        <f>IF($J68="Item",_xll.NL("first",$J68,"Description","No.","@@"&amp;$K68),"")</f>
        <v/>
      </c>
      <c r="O68" s="43">
        <v>100</v>
      </c>
      <c r="P68" s="43">
        <v>0</v>
      </c>
      <c r="Q68" s="43">
        <v>0</v>
      </c>
      <c r="R68" s="43">
        <v>0</v>
      </c>
      <c r="S68" s="43">
        <v>0</v>
      </c>
      <c r="T68" s="43">
        <v>0</v>
      </c>
      <c r="U68" s="56"/>
    </row>
    <row r="69" spans="1:21" ht="17.25" customHeight="1" x14ac:dyDescent="0.3">
      <c r="A69" s="15" t="s">
        <v>30</v>
      </c>
      <c r="C69" s="19"/>
      <c r="D69" s="33" t="str">
        <f t="shared" si="12"/>
        <v>C100005</v>
      </c>
      <c r="E69" s="33"/>
      <c r="F69" s="34"/>
      <c r="G69" s="34" t="str">
        <f>"""NAV Direct"",""CRONUS JetCorp USA"",""32"",""1"",""34318"""</f>
        <v>"NAV Direct","CRONUS JetCorp USA","32","1","34318"</v>
      </c>
      <c r="H69" s="40">
        <v>43470</v>
      </c>
      <c r="I69" s="41">
        <v>34318</v>
      </c>
      <c r="J69" s="42" t="str">
        <f>"Customer"</f>
        <v>Customer</v>
      </c>
      <c r="K69" s="42" t="str">
        <f>"C100050"</f>
        <v>C100050</v>
      </c>
      <c r="L69" s="42" t="str">
        <f>IF($J69="Customer",_xll.NL("first",$J69,"Name","No.","@@"&amp;$K69),"")</f>
        <v>Lauritzen Kontorm¢bler A/S</v>
      </c>
      <c r="M69" s="42" t="str">
        <f>""</f>
        <v/>
      </c>
      <c r="N69" s="42" t="str">
        <f>IF($J69="Item",_xll.NL("first",$J69,"Description","No.","@@"&amp;$K69),"")</f>
        <v/>
      </c>
      <c r="O69" s="43">
        <v>0</v>
      </c>
      <c r="P69" s="43">
        <v>-48</v>
      </c>
      <c r="Q69" s="43">
        <v>0</v>
      </c>
      <c r="R69" s="43">
        <v>0</v>
      </c>
      <c r="S69" s="43">
        <v>0</v>
      </c>
      <c r="T69" s="43">
        <v>0</v>
      </c>
      <c r="U69" s="56"/>
    </row>
    <row r="70" spans="1:21" ht="17.25" customHeight="1" x14ac:dyDescent="0.3">
      <c r="A70" s="15" t="s">
        <v>30</v>
      </c>
      <c r="C70" s="19"/>
      <c r="D70" s="33" t="str">
        <f t="shared" si="12"/>
        <v>C100005</v>
      </c>
      <c r="E70" s="33"/>
      <c r="F70" s="34"/>
      <c r="G70" s="34" t="str">
        <f>"""NAV Direct"",""CRONUS JetCorp USA"",""32"",""1"",""124508"""</f>
        <v>"NAV Direct","CRONUS JetCorp USA","32","1","124508"</v>
      </c>
      <c r="H70" s="40">
        <v>43470</v>
      </c>
      <c r="I70" s="41">
        <v>124508</v>
      </c>
      <c r="J70" s="42" t="str">
        <f>"Customer"</f>
        <v>Customer</v>
      </c>
      <c r="K70" s="42" t="str">
        <f>"C100025"</f>
        <v>C100025</v>
      </c>
      <c r="L70" s="42" t="str">
        <f>IF($J70="Customer",_xll.NL("first",$J70,"Name","No.","@@"&amp;$K70),"")</f>
        <v>Derringers Resturants</v>
      </c>
      <c r="M70" s="42" t="str">
        <f>""</f>
        <v/>
      </c>
      <c r="N70" s="42" t="str">
        <f>IF($J70="Item",_xll.NL("first",$J70,"Description","No.","@@"&amp;$K70),"")</f>
        <v/>
      </c>
      <c r="O70" s="43">
        <v>0</v>
      </c>
      <c r="P70" s="43">
        <v>-48</v>
      </c>
      <c r="Q70" s="43">
        <v>0</v>
      </c>
      <c r="R70" s="43">
        <v>0</v>
      </c>
      <c r="S70" s="43">
        <v>0</v>
      </c>
      <c r="T70" s="43">
        <v>0</v>
      </c>
      <c r="U70" s="56"/>
    </row>
    <row r="71" spans="1:21" ht="17.25" customHeight="1" x14ac:dyDescent="0.3">
      <c r="A71" s="15" t="s">
        <v>30</v>
      </c>
      <c r="C71" s="19"/>
      <c r="D71" s="33" t="str">
        <f t="shared" si="12"/>
        <v>C100005</v>
      </c>
      <c r="E71" s="33"/>
      <c r="F71" s="34"/>
      <c r="G71" s="34" t="str">
        <f>"""NAV Direct"",""CRONUS JetCorp USA"",""32"",""1"",""128858"""</f>
        <v>"NAV Direct","CRONUS JetCorp USA","32","1","128858"</v>
      </c>
      <c r="H71" s="40">
        <v>43471</v>
      </c>
      <c r="I71" s="41">
        <v>128858</v>
      </c>
      <c r="J71" s="42" t="str">
        <f>"Customer"</f>
        <v>Customer</v>
      </c>
      <c r="K71" s="42" t="str">
        <f>"C100138"</f>
        <v>C100138</v>
      </c>
      <c r="L71" s="42" t="str">
        <f>IF($J71="Customer",_xll.NL("first",$J71,"Name","No.","@@"&amp;$K71),"")</f>
        <v>Dantons</v>
      </c>
      <c r="M71" s="42" t="str">
        <f>""</f>
        <v/>
      </c>
      <c r="N71" s="42" t="str">
        <f>IF($J71="Item",_xll.NL("first",$J71,"Description","No.","@@"&amp;$K71),"")</f>
        <v/>
      </c>
      <c r="O71" s="43">
        <v>0</v>
      </c>
      <c r="P71" s="43">
        <v>-1</v>
      </c>
      <c r="Q71" s="43">
        <v>0</v>
      </c>
      <c r="R71" s="43">
        <v>0</v>
      </c>
      <c r="S71" s="43">
        <v>0</v>
      </c>
      <c r="T71" s="43">
        <v>0</v>
      </c>
      <c r="U71" s="56"/>
    </row>
    <row r="72" spans="1:21" ht="17.25" customHeight="1" x14ac:dyDescent="0.3">
      <c r="A72" s="15" t="s">
        <v>30</v>
      </c>
      <c r="C72" s="19"/>
      <c r="D72" s="33" t="str">
        <f t="shared" si="12"/>
        <v>C100005</v>
      </c>
      <c r="E72" s="33"/>
      <c r="F72" s="34"/>
      <c r="G72" s="34" t="str">
        <f>"""NAV Direct"",""CRONUS JetCorp USA"",""32"",""1"",""3913"""</f>
        <v>"NAV Direct","CRONUS JetCorp USA","32","1","3913"</v>
      </c>
      <c r="H72" s="40">
        <v>43472</v>
      </c>
      <c r="I72" s="41">
        <v>3913</v>
      </c>
      <c r="J72" s="42" t="str">
        <f>"Customer"</f>
        <v>Customer</v>
      </c>
      <c r="K72" s="42" t="str">
        <f>"C100099"</f>
        <v>C100099</v>
      </c>
      <c r="L72" s="42" t="str">
        <f>IF($J72="Customer",_xll.NL("first",$J72,"Name","No.","@@"&amp;$K72),"")</f>
        <v>Voltive Systems</v>
      </c>
      <c r="M72" s="42" t="str">
        <f>""</f>
        <v/>
      </c>
      <c r="N72" s="42" t="str">
        <f>IF($J72="Item",_xll.NL("first",$J72,"Description","No.","@@"&amp;$K72),"")</f>
        <v/>
      </c>
      <c r="O72" s="43">
        <v>0</v>
      </c>
      <c r="P72" s="43">
        <v>-1</v>
      </c>
      <c r="Q72" s="43">
        <v>0</v>
      </c>
      <c r="R72" s="43">
        <v>0</v>
      </c>
      <c r="S72" s="43">
        <v>0</v>
      </c>
      <c r="T72" s="43">
        <v>0</v>
      </c>
      <c r="U72" s="56"/>
    </row>
    <row r="73" spans="1:21" ht="17.25" customHeight="1" x14ac:dyDescent="0.3">
      <c r="A73" s="15" t="s">
        <v>30</v>
      </c>
      <c r="C73" s="19"/>
      <c r="D73" s="33" t="str">
        <f t="shared" si="12"/>
        <v>C100005</v>
      </c>
      <c r="E73" s="33"/>
      <c r="F73" s="34"/>
      <c r="G73" s="34" t="str">
        <f>"""NAV Direct"",""CRONUS JetCorp USA"",""32"",""1"",""111279"""</f>
        <v>"NAV Direct","CRONUS JetCorp USA","32","1","111279"</v>
      </c>
      <c r="H73" s="40">
        <v>43472</v>
      </c>
      <c r="I73" s="41">
        <v>111279</v>
      </c>
      <c r="J73" s="42" t="str">
        <f>"Customer"</f>
        <v>Customer</v>
      </c>
      <c r="K73" s="42" t="str">
        <f>"C100099"</f>
        <v>C100099</v>
      </c>
      <c r="L73" s="42" t="str">
        <f>IF($J73="Customer",_xll.NL("first",$J73,"Name","No.","@@"&amp;$K73),"")</f>
        <v>Voltive Systems</v>
      </c>
      <c r="M73" s="42" t="str">
        <f>""</f>
        <v/>
      </c>
      <c r="N73" s="42" t="str">
        <f>IF($J73="Item",_xll.NL("first",$J73,"Description","No.","@@"&amp;$K73),"")</f>
        <v/>
      </c>
      <c r="O73" s="43">
        <v>0</v>
      </c>
      <c r="P73" s="43">
        <v>-24</v>
      </c>
      <c r="Q73" s="43">
        <v>0</v>
      </c>
      <c r="R73" s="43">
        <v>0</v>
      </c>
      <c r="S73" s="43">
        <v>0</v>
      </c>
      <c r="T73" s="43">
        <v>0</v>
      </c>
      <c r="U73" s="56"/>
    </row>
    <row r="74" spans="1:21" ht="17.25" customHeight="1" x14ac:dyDescent="0.3">
      <c r="A74" s="15" t="s">
        <v>30</v>
      </c>
      <c r="C74" s="19"/>
      <c r="D74" s="33" t="str">
        <f t="shared" si="12"/>
        <v>C100005</v>
      </c>
      <c r="E74" s="33"/>
      <c r="F74" s="34"/>
      <c r="G74" s="34" t="str">
        <f>"""NAV Direct"",""CRONUS JetCorp USA"",""32"",""1"",""20377"""</f>
        <v>"NAV Direct","CRONUS JetCorp USA","32","1","20377"</v>
      </c>
      <c r="H74" s="40">
        <v>43473</v>
      </c>
      <c r="I74" s="41">
        <v>20377</v>
      </c>
      <c r="J74" s="42" t="str">
        <f>"Customer"</f>
        <v>Customer</v>
      </c>
      <c r="K74" s="42" t="str">
        <f>"C100130"</f>
        <v>C100130</v>
      </c>
      <c r="L74" s="42" t="str">
        <f>IF($J74="Customer",_xll.NL("first",$J74,"Name","No.","@@"&amp;$K74),"")</f>
        <v>Hotspot Systems</v>
      </c>
      <c r="M74" s="42" t="str">
        <f>""</f>
        <v/>
      </c>
      <c r="N74" s="42" t="str">
        <f>IF($J74="Item",_xll.NL("first",$J74,"Description","No.","@@"&amp;$K74),"")</f>
        <v/>
      </c>
      <c r="O74" s="43">
        <v>0</v>
      </c>
      <c r="P74" s="43">
        <v>-48</v>
      </c>
      <c r="Q74" s="43">
        <v>0</v>
      </c>
      <c r="R74" s="43">
        <v>0</v>
      </c>
      <c r="S74" s="43">
        <v>0</v>
      </c>
      <c r="T74" s="43">
        <v>0</v>
      </c>
      <c r="U74" s="56"/>
    </row>
    <row r="75" spans="1:21" ht="17.25" customHeight="1" x14ac:dyDescent="0.3">
      <c r="A75" s="15" t="s">
        <v>30</v>
      </c>
      <c r="C75" s="19"/>
      <c r="D75" s="33" t="str">
        <f t="shared" si="12"/>
        <v>C100005</v>
      </c>
      <c r="E75" s="33"/>
      <c r="F75" s="34"/>
      <c r="G75" s="34" t="str">
        <f>"""NAV Direct"",""CRONUS JetCorp USA"",""32"",""1"",""34307"""</f>
        <v>"NAV Direct","CRONUS JetCorp USA","32","1","34307"</v>
      </c>
      <c r="H75" s="40">
        <v>43473</v>
      </c>
      <c r="I75" s="41">
        <v>34307</v>
      </c>
      <c r="J75" s="42" t="str">
        <f>"Customer"</f>
        <v>Customer</v>
      </c>
      <c r="K75" s="42" t="str">
        <f>"C100059"</f>
        <v>C100059</v>
      </c>
      <c r="L75" s="42" t="str">
        <f>IF($J75="Customer",_xll.NL("first",$J75,"Name","No.","@@"&amp;$K75),"")</f>
        <v>Meersen Meubelen</v>
      </c>
      <c r="M75" s="42" t="str">
        <f>""</f>
        <v/>
      </c>
      <c r="N75" s="42" t="str">
        <f>IF($J75="Item",_xll.NL("first",$J75,"Description","No.","@@"&amp;$K75),"")</f>
        <v/>
      </c>
      <c r="O75" s="43">
        <v>0</v>
      </c>
      <c r="P75" s="43">
        <v>-48</v>
      </c>
      <c r="Q75" s="43">
        <v>0</v>
      </c>
      <c r="R75" s="43">
        <v>0</v>
      </c>
      <c r="S75" s="43">
        <v>0</v>
      </c>
      <c r="T75" s="43">
        <v>0</v>
      </c>
      <c r="U75" s="56"/>
    </row>
    <row r="76" spans="1:21" ht="17.25" customHeight="1" x14ac:dyDescent="0.3">
      <c r="A76" s="15" t="s">
        <v>30</v>
      </c>
      <c r="C76" s="19"/>
      <c r="D76" s="33" t="str">
        <f t="shared" si="12"/>
        <v>C100005</v>
      </c>
      <c r="E76" s="33"/>
      <c r="F76" s="34"/>
      <c r="G76" s="34" t="str">
        <f>"""NAV Direct"",""CRONUS JetCorp USA"",""32"",""1"",""135814"""</f>
        <v>"NAV Direct","CRONUS JetCorp USA","32","1","135814"</v>
      </c>
      <c r="H76" s="40">
        <v>43474</v>
      </c>
      <c r="I76" s="41">
        <v>135814</v>
      </c>
      <c r="J76" s="42" t="str">
        <f>"Customer"</f>
        <v>Customer</v>
      </c>
      <c r="K76" s="42" t="str">
        <f>"C100050"</f>
        <v>C100050</v>
      </c>
      <c r="L76" s="42" t="str">
        <f>IF($J76="Customer",_xll.NL("first",$J76,"Name","No.","@@"&amp;$K76),"")</f>
        <v>Lauritzen Kontorm¢bler A/S</v>
      </c>
      <c r="M76" s="42" t="str">
        <f>""</f>
        <v/>
      </c>
      <c r="N76" s="42" t="str">
        <f>IF($J76="Item",_xll.NL("first",$J76,"Description","No.","@@"&amp;$K76),"")</f>
        <v/>
      </c>
      <c r="O76" s="43">
        <v>0</v>
      </c>
      <c r="P76" s="43">
        <v>-49</v>
      </c>
      <c r="Q76" s="43">
        <v>0</v>
      </c>
      <c r="R76" s="43">
        <v>0</v>
      </c>
      <c r="S76" s="43">
        <v>0</v>
      </c>
      <c r="T76" s="43">
        <v>0</v>
      </c>
      <c r="U76" s="56"/>
    </row>
    <row r="77" spans="1:21" ht="17.25" customHeight="1" x14ac:dyDescent="0.3">
      <c r="A77" s="15" t="s">
        <v>30</v>
      </c>
      <c r="C77" s="19"/>
      <c r="D77" s="33" t="str">
        <f t="shared" si="12"/>
        <v>C100005</v>
      </c>
      <c r="E77" s="33"/>
      <c r="F77" s="34"/>
      <c r="G77" s="34" t="str">
        <f>"""NAV Direct"",""CRONUS JetCorp USA"",""32"",""1"",""36475"""</f>
        <v>"NAV Direct","CRONUS JetCorp USA","32","1","36475"</v>
      </c>
      <c r="H77" s="40">
        <v>43475</v>
      </c>
      <c r="I77" s="41">
        <v>36475</v>
      </c>
      <c r="J77" s="42" t="str">
        <f>"Customer"</f>
        <v>Customer</v>
      </c>
      <c r="K77" s="42" t="str">
        <f>"C100063"</f>
        <v>C100063</v>
      </c>
      <c r="L77" s="42" t="str">
        <f>IF($J77="Customer",_xll.NL("first",$J77,"Name","No.","@@"&amp;$K77),"")</f>
        <v>Möbel Scherrer AG</v>
      </c>
      <c r="M77" s="42" t="str">
        <f>""</f>
        <v/>
      </c>
      <c r="N77" s="42" t="str">
        <f>IF($J77="Item",_xll.NL("first",$J77,"Description","No.","@@"&amp;$K77),"")</f>
        <v/>
      </c>
      <c r="O77" s="43">
        <v>0</v>
      </c>
      <c r="P77" s="43">
        <v>-48</v>
      </c>
      <c r="Q77" s="43">
        <v>0</v>
      </c>
      <c r="R77" s="43">
        <v>0</v>
      </c>
      <c r="S77" s="43">
        <v>0</v>
      </c>
      <c r="T77" s="43">
        <v>0</v>
      </c>
      <c r="U77" s="56"/>
    </row>
    <row r="78" spans="1:21" ht="17.25" customHeight="1" x14ac:dyDescent="0.3">
      <c r="A78" s="15" t="s">
        <v>30</v>
      </c>
      <c r="C78" s="19"/>
      <c r="D78" s="33" t="str">
        <f t="shared" si="12"/>
        <v>C100005</v>
      </c>
      <c r="E78" s="33"/>
      <c r="F78" s="34"/>
      <c r="G78" s="34" t="str">
        <f>"""NAV Direct"",""CRONUS JetCorp USA"",""32"",""1"",""128883"""</f>
        <v>"NAV Direct","CRONUS JetCorp USA","32","1","128883"</v>
      </c>
      <c r="H78" s="40">
        <v>43475</v>
      </c>
      <c r="I78" s="41">
        <v>128883</v>
      </c>
      <c r="J78" s="42" t="str">
        <f>"Customer"</f>
        <v>Customer</v>
      </c>
      <c r="K78" s="42" t="str">
        <f>"C100095"</f>
        <v>C100095</v>
      </c>
      <c r="L78" s="42" t="str">
        <f>IF($J78="Customer",_xll.NL("first",$J78,"Name","No.","@@"&amp;$K78),"")</f>
        <v>Randotax Outfitters</v>
      </c>
      <c r="M78" s="42" t="str">
        <f>""</f>
        <v/>
      </c>
      <c r="N78" s="42" t="str">
        <f>IF($J78="Item",_xll.NL("first",$J78,"Description","No.","@@"&amp;$K78),"")</f>
        <v/>
      </c>
      <c r="O78" s="43">
        <v>0</v>
      </c>
      <c r="P78" s="43">
        <v>-49</v>
      </c>
      <c r="Q78" s="43">
        <v>0</v>
      </c>
      <c r="R78" s="43">
        <v>0</v>
      </c>
      <c r="S78" s="43">
        <v>0</v>
      </c>
      <c r="T78" s="43">
        <v>0</v>
      </c>
      <c r="U78" s="56"/>
    </row>
    <row r="79" spans="1:21" ht="17.25" customHeight="1" x14ac:dyDescent="0.3">
      <c r="A79" s="15" t="s">
        <v>30</v>
      </c>
      <c r="C79" s="19"/>
      <c r="D79" s="33" t="str">
        <f t="shared" si="12"/>
        <v>C100005</v>
      </c>
      <c r="E79" s="33"/>
      <c r="F79" s="34"/>
      <c r="G79" s="34" t="str">
        <f>"""NAV Direct"",""CRONUS JetCorp USA"",""32"",""1"",""7573"""</f>
        <v>"NAV Direct","CRONUS JetCorp USA","32","1","7573"</v>
      </c>
      <c r="H79" s="40">
        <v>43476</v>
      </c>
      <c r="I79" s="41">
        <v>7573</v>
      </c>
      <c r="J79" s="42" t="str">
        <f>"Customer"</f>
        <v>Customer</v>
      </c>
      <c r="K79" s="42" t="str">
        <f>"C100083"</f>
        <v>C100083</v>
      </c>
      <c r="L79" s="42" t="str">
        <f>IF($J79="Customer",_xll.NL("first",$J79,"Name","No.","@@"&amp;$K79),"")</f>
        <v>Stanfords</v>
      </c>
      <c r="M79" s="42" t="str">
        <f>""</f>
        <v/>
      </c>
      <c r="N79" s="42" t="str">
        <f>IF($J79="Item",_xll.NL("first",$J79,"Description","No.","@@"&amp;$K79),"")</f>
        <v/>
      </c>
      <c r="O79" s="43">
        <v>0</v>
      </c>
      <c r="P79" s="43">
        <v>-48</v>
      </c>
      <c r="Q79" s="43">
        <v>0</v>
      </c>
      <c r="R79" s="43">
        <v>0</v>
      </c>
      <c r="S79" s="43">
        <v>0</v>
      </c>
      <c r="T79" s="43">
        <v>0</v>
      </c>
      <c r="U79" s="56"/>
    </row>
    <row r="80" spans="1:21" ht="17.25" customHeight="1" x14ac:dyDescent="0.3">
      <c r="A80" s="15" t="s">
        <v>30</v>
      </c>
      <c r="C80" s="19"/>
      <c r="D80" s="33" t="str">
        <f t="shared" si="12"/>
        <v>C100005</v>
      </c>
      <c r="E80" s="33"/>
      <c r="F80" s="34"/>
      <c r="G80" s="34" t="str">
        <f>"""NAV Direct"",""CRONUS JetCorp USA"",""32"",""1"",""7583"""</f>
        <v>"NAV Direct","CRONUS JetCorp USA","32","1","7583"</v>
      </c>
      <c r="H80" s="40">
        <v>43476</v>
      </c>
      <c r="I80" s="41">
        <v>7583</v>
      </c>
      <c r="J80" s="42" t="str">
        <f>"Customer"</f>
        <v>Customer</v>
      </c>
      <c r="K80" s="42" t="str">
        <f>"C100030"</f>
        <v>C100030</v>
      </c>
      <c r="L80" s="42" t="str">
        <f>IF($J80="Customer",_xll.NL("first",$J80,"Name","No.","@@"&amp;$K80),"")</f>
        <v>Stutringers</v>
      </c>
      <c r="M80" s="42" t="str">
        <f>""</f>
        <v/>
      </c>
      <c r="N80" s="42" t="str">
        <f>IF($J80="Item",_xll.NL("first",$J80,"Description","No.","@@"&amp;$K80),"")</f>
        <v/>
      </c>
      <c r="O80" s="43">
        <v>0</v>
      </c>
      <c r="P80" s="43">
        <v>-48</v>
      </c>
      <c r="Q80" s="43">
        <v>0</v>
      </c>
      <c r="R80" s="43">
        <v>0</v>
      </c>
      <c r="S80" s="43">
        <v>0</v>
      </c>
      <c r="T80" s="43">
        <v>0</v>
      </c>
      <c r="U80" s="56"/>
    </row>
    <row r="81" spans="1:21" ht="17.25" customHeight="1" x14ac:dyDescent="0.3">
      <c r="A81" s="15" t="s">
        <v>30</v>
      </c>
      <c r="C81" s="19"/>
      <c r="D81" s="33" t="str">
        <f t="shared" si="12"/>
        <v>C100005</v>
      </c>
      <c r="E81" s="33"/>
      <c r="F81" s="34"/>
      <c r="G81" s="34" t="str">
        <f>"""NAV Direct"",""CRONUS JetCorp USA"",""32"",""1"",""25260"""</f>
        <v>"NAV Direct","CRONUS JetCorp USA","32","1","25260"</v>
      </c>
      <c r="H81" s="40">
        <v>43476</v>
      </c>
      <c r="I81" s="41">
        <v>25260</v>
      </c>
      <c r="J81" s="42" t="str">
        <f>"Customer"</f>
        <v>Customer</v>
      </c>
      <c r="K81" s="42" t="str">
        <f>"C100102"</f>
        <v>C100102</v>
      </c>
      <c r="L81" s="42" t="str">
        <f>IF($J81="Customer",_xll.NL("first",$J81,"Name","No.","@@"&amp;$K81),"")</f>
        <v xml:space="preserve">BEI Outfitters </v>
      </c>
      <c r="M81" s="42" t="str">
        <f>""</f>
        <v/>
      </c>
      <c r="N81" s="42" t="str">
        <f>IF($J81="Item",_xll.NL("first",$J81,"Description","No.","@@"&amp;$K81),"")</f>
        <v/>
      </c>
      <c r="O81" s="43">
        <v>0</v>
      </c>
      <c r="P81" s="43">
        <v>-48</v>
      </c>
      <c r="Q81" s="43">
        <v>0</v>
      </c>
      <c r="R81" s="43">
        <v>0</v>
      </c>
      <c r="S81" s="43">
        <v>0</v>
      </c>
      <c r="T81" s="43">
        <v>0</v>
      </c>
      <c r="U81" s="56"/>
    </row>
    <row r="82" spans="1:21" ht="17.25" customHeight="1" x14ac:dyDescent="0.3">
      <c r="A82" s="15" t="s">
        <v>30</v>
      </c>
      <c r="C82" s="19"/>
      <c r="D82" s="33" t="str">
        <f t="shared" si="12"/>
        <v>C100005</v>
      </c>
      <c r="E82" s="33"/>
      <c r="F82" s="34"/>
      <c r="G82" s="34" t="str">
        <f>"""NAV Direct"",""CRONUS JetCorp USA"",""32"",""1"",""7564"""</f>
        <v>"NAV Direct","CRONUS JetCorp USA","32","1","7564"</v>
      </c>
      <c r="H82" s="40">
        <v>43477</v>
      </c>
      <c r="I82" s="41">
        <v>7564</v>
      </c>
      <c r="J82" s="42" t="str">
        <f>"Customer"</f>
        <v>Customer</v>
      </c>
      <c r="K82" s="42" t="str">
        <f>"C100076"</f>
        <v>C100076</v>
      </c>
      <c r="L82" s="42" t="str">
        <f>IF($J82="Customer",_xll.NL("first",$J82,"Name","No.","@@"&amp;$K82),"")</f>
        <v>Showmasters</v>
      </c>
      <c r="M82" s="42" t="str">
        <f>""</f>
        <v/>
      </c>
      <c r="N82" s="42" t="str">
        <f>IF($J82="Item",_xll.NL("first",$J82,"Description","No.","@@"&amp;$K82),"")</f>
        <v/>
      </c>
      <c r="O82" s="43">
        <v>0</v>
      </c>
      <c r="P82" s="43">
        <v>-48</v>
      </c>
      <c r="Q82" s="43">
        <v>0</v>
      </c>
      <c r="R82" s="43">
        <v>0</v>
      </c>
      <c r="S82" s="43">
        <v>0</v>
      </c>
      <c r="T82" s="43">
        <v>0</v>
      </c>
      <c r="U82" s="56"/>
    </row>
    <row r="83" spans="1:21" ht="17.25" customHeight="1" x14ac:dyDescent="0.3">
      <c r="A83" s="15" t="s">
        <v>30</v>
      </c>
      <c r="C83" s="19"/>
      <c r="D83" s="33" t="str">
        <f t="shared" si="12"/>
        <v>C100005</v>
      </c>
      <c r="E83" s="33"/>
      <c r="F83" s="34"/>
      <c r="G83" s="34" t="str">
        <f>"""NAV Direct"",""CRONUS JetCorp USA"",""32"",""1"",""20395"""</f>
        <v>"NAV Direct","CRONUS JetCorp USA","32","1","20395"</v>
      </c>
      <c r="H83" s="40">
        <v>43477</v>
      </c>
      <c r="I83" s="41">
        <v>20395</v>
      </c>
      <c r="J83" s="42" t="str">
        <f>"Customer"</f>
        <v>Customer</v>
      </c>
      <c r="K83" s="42" t="str">
        <f>"C100039"</f>
        <v>C100039</v>
      </c>
      <c r="L83" s="42" t="str">
        <f>IF($J83="Customer",_xll.NL("first",$J83,"Name","No.","@@"&amp;$K83),"")</f>
        <v>Gary's Sports</v>
      </c>
      <c r="M83" s="42" t="str">
        <f>""</f>
        <v/>
      </c>
      <c r="N83" s="42" t="str">
        <f>IF($J83="Item",_xll.NL("first",$J83,"Description","No.","@@"&amp;$K83),"")</f>
        <v/>
      </c>
      <c r="O83" s="43">
        <v>0</v>
      </c>
      <c r="P83" s="43">
        <v>-48</v>
      </c>
      <c r="Q83" s="43">
        <v>0</v>
      </c>
      <c r="R83" s="43">
        <v>0</v>
      </c>
      <c r="S83" s="43">
        <v>0</v>
      </c>
      <c r="T83" s="43">
        <v>0</v>
      </c>
      <c r="U83" s="56"/>
    </row>
    <row r="84" spans="1:21" ht="17.25" customHeight="1" x14ac:dyDescent="0.3">
      <c r="A84" s="15" t="s">
        <v>30</v>
      </c>
      <c r="C84" s="19"/>
      <c r="D84" s="33" t="str">
        <f t="shared" si="12"/>
        <v>C100005</v>
      </c>
      <c r="E84" s="33"/>
      <c r="F84" s="34"/>
      <c r="G84" s="34" t="str">
        <f>"""NAV Direct"",""CRONUS JetCorp USA"",""32"",""1"",""138722"""</f>
        <v>"NAV Direct","CRONUS JetCorp USA","32","1","138722"</v>
      </c>
      <c r="H84" s="40">
        <v>43477</v>
      </c>
      <c r="I84" s="41">
        <v>138722</v>
      </c>
      <c r="J84" s="42" t="str">
        <f>"Customer"</f>
        <v>Customer</v>
      </c>
      <c r="K84" s="42" t="str">
        <f>"C100021"</f>
        <v>C100021</v>
      </c>
      <c r="L84" s="42" t="str">
        <f>IF($J84="Customer",_xll.NL("first",$J84,"Name","No.","@@"&amp;$K84),"")</f>
        <v>Cronus Cardoxy Sales</v>
      </c>
      <c r="M84" s="42" t="str">
        <f>""</f>
        <v/>
      </c>
      <c r="N84" s="42" t="str">
        <f>IF($J84="Item",_xll.NL("first",$J84,"Description","No.","@@"&amp;$K84),"")</f>
        <v/>
      </c>
      <c r="O84" s="43">
        <v>0</v>
      </c>
      <c r="P84" s="43">
        <v>-48</v>
      </c>
      <c r="Q84" s="43">
        <v>0</v>
      </c>
      <c r="R84" s="43">
        <v>0</v>
      </c>
      <c r="S84" s="43">
        <v>0</v>
      </c>
      <c r="T84" s="43">
        <v>0</v>
      </c>
      <c r="U84" s="56"/>
    </row>
    <row r="85" spans="1:21" ht="17.25" customHeight="1" x14ac:dyDescent="0.3">
      <c r="A85" s="15" t="s">
        <v>30</v>
      </c>
      <c r="C85" s="19"/>
      <c r="D85" s="33"/>
      <c r="E85" s="33"/>
      <c r="F85" s="34"/>
      <c r="G85" s="34"/>
      <c r="H85" s="34"/>
      <c r="I85" s="34"/>
      <c r="J85" s="34"/>
      <c r="K85" s="34"/>
      <c r="L85" s="34"/>
      <c r="M85" s="34"/>
      <c r="N85" s="34"/>
      <c r="O85" s="44"/>
      <c r="P85" s="44"/>
      <c r="Q85" s="44"/>
      <c r="R85" s="44"/>
      <c r="S85" s="44"/>
      <c r="T85" s="44"/>
      <c r="U85" s="57"/>
    </row>
    <row r="86" spans="1:21" ht="17.25" customHeight="1" x14ac:dyDescent="0.3">
      <c r="A86" s="15" t="s">
        <v>30</v>
      </c>
      <c r="C86" s="19"/>
      <c r="D86" s="33"/>
      <c r="E86" s="33" t="s">
        <v>31</v>
      </c>
      <c r="F86" s="34" t="s">
        <v>31</v>
      </c>
      <c r="G86" s="34" t="s">
        <v>31</v>
      </c>
      <c r="H86" s="34"/>
      <c r="I86" s="34"/>
      <c r="J86" s="34" t="s">
        <v>31</v>
      </c>
      <c r="K86" s="34" t="s">
        <v>31</v>
      </c>
      <c r="L86" s="34" t="s">
        <v>31</v>
      </c>
      <c r="M86" s="34" t="s">
        <v>31</v>
      </c>
      <c r="N86" s="34"/>
      <c r="U86" s="58"/>
    </row>
    <row r="87" spans="1:21" ht="20.25" customHeight="1" x14ac:dyDescent="0.35">
      <c r="A87" s="15" t="s">
        <v>30</v>
      </c>
      <c r="C87" s="19"/>
      <c r="D87" s="35" t="str">
        <f t="shared" ref="D87" si="13">E87</f>
        <v>C100006</v>
      </c>
      <c r="E87" s="36" t="str">
        <f>"C100006"</f>
        <v>C100006</v>
      </c>
      <c r="F87" s="37" t="str">
        <f>"Cherry Finished Crystal Award- Large"</f>
        <v>Cherry Finished Crystal Award- Large</v>
      </c>
      <c r="G87" s="37"/>
      <c r="H87" s="38" t="str">
        <f>"EA"</f>
        <v>EA</v>
      </c>
      <c r="I87" s="37"/>
      <c r="J87" s="37"/>
      <c r="K87" s="37"/>
      <c r="L87" s="37"/>
      <c r="M87" s="37"/>
      <c r="N87" s="37"/>
      <c r="O87" s="39">
        <f>(SUBTOTAL(9,O88:O107))</f>
        <v>1500</v>
      </c>
      <c r="P87" s="39">
        <f>(SUBTOTAL(9,P88:P107))</f>
        <v>-445</v>
      </c>
      <c r="Q87" s="39">
        <f>(SUBTOTAL(9,Q88:Q107))</f>
        <v>0</v>
      </c>
      <c r="R87" s="39">
        <f>(SUBTOTAL(9,R88:R107))</f>
        <v>0</v>
      </c>
      <c r="S87" s="39">
        <f>(SUBTOTAL(9,S88:S107))</f>
        <v>0</v>
      </c>
      <c r="T87" s="39">
        <f>(SUBTOTAL(9,T88:T107))</f>
        <v>0</v>
      </c>
      <c r="U87" s="55">
        <f t="shared" ref="U87" si="14">SUBTOTAL(9,O88:T107)</f>
        <v>1055</v>
      </c>
    </row>
    <row r="88" spans="1:21" ht="17.25" customHeight="1" x14ac:dyDescent="0.3">
      <c r="A88" s="15" t="s">
        <v>30</v>
      </c>
      <c r="C88" s="19"/>
      <c r="D88" s="33" t="str">
        <f t="shared" ref="D88" si="15">D87</f>
        <v>C100006</v>
      </c>
      <c r="E88" s="33"/>
      <c r="F88" s="34"/>
      <c r="G88" s="34" t="str">
        <f>"""NAV Direct"",""CRONUS JetCorp USA"",""32"",""1"",""166331"""</f>
        <v>"NAV Direct","CRONUS JetCorp USA","32","1","166331"</v>
      </c>
      <c r="H88" s="40">
        <v>43466</v>
      </c>
      <c r="I88" s="41">
        <v>166331</v>
      </c>
      <c r="J88" s="42" t="str">
        <f>"Vendor"</f>
        <v>Vendor</v>
      </c>
      <c r="K88" s="42" t="str">
        <f>"V100009"</f>
        <v>V100009</v>
      </c>
      <c r="L88" s="42" t="str">
        <f>IF($J88="Customer",_xll.NL("first",$J88,"Name","No.","@@"&amp;$K88),"")</f>
        <v/>
      </c>
      <c r="M88" s="42" t="str">
        <f>"Malay-Dan Export Unit Sdn Bhd"</f>
        <v>Malay-Dan Export Unit Sdn Bhd</v>
      </c>
      <c r="N88" s="42" t="str">
        <f>IF($J88="Item",_xll.NL("first",$J88,"Description","No.","@@"&amp;$K88),"")</f>
        <v/>
      </c>
      <c r="O88" s="43">
        <v>200</v>
      </c>
      <c r="P88" s="43">
        <v>0</v>
      </c>
      <c r="Q88" s="43">
        <v>0</v>
      </c>
      <c r="R88" s="43">
        <v>0</v>
      </c>
      <c r="S88" s="43">
        <v>0</v>
      </c>
      <c r="T88" s="43">
        <v>0</v>
      </c>
      <c r="U88" s="56"/>
    </row>
    <row r="89" spans="1:21" ht="17.25" customHeight="1" x14ac:dyDescent="0.3">
      <c r="A89" s="15" t="s">
        <v>30</v>
      </c>
      <c r="C89" s="19"/>
      <c r="D89" s="33" t="str">
        <f t="shared" ref="D89:D106" si="16">D88</f>
        <v>C100006</v>
      </c>
      <c r="E89" s="33"/>
      <c r="F89" s="34"/>
      <c r="G89" s="34" t="str">
        <f>"""NAV Direct"",""CRONUS JetCorp USA"",""32"",""1"",""166349"""</f>
        <v>"NAV Direct","CRONUS JetCorp USA","32","1","166349"</v>
      </c>
      <c r="H89" s="40">
        <v>43466</v>
      </c>
      <c r="I89" s="41">
        <v>166349</v>
      </c>
      <c r="J89" s="42" t="str">
        <f>"Vendor"</f>
        <v>Vendor</v>
      </c>
      <c r="K89" s="42" t="str">
        <f>"V100040"</f>
        <v>V100040</v>
      </c>
      <c r="L89" s="42" t="str">
        <f>IF($J89="Customer",_xll.NL("first",$J89,"Name","No.","@@"&amp;$K89),"")</f>
        <v/>
      </c>
      <c r="M89" s="42" t="str">
        <f>"Technische Betriebe Rotkreuz"</f>
        <v>Technische Betriebe Rotkreuz</v>
      </c>
      <c r="N89" s="42" t="str">
        <f>IF($J89="Item",_xll.NL("first",$J89,"Description","No.","@@"&amp;$K89),"")</f>
        <v/>
      </c>
      <c r="O89" s="43">
        <v>300</v>
      </c>
      <c r="P89" s="43">
        <v>0</v>
      </c>
      <c r="Q89" s="43">
        <v>0</v>
      </c>
      <c r="R89" s="43">
        <v>0</v>
      </c>
      <c r="S89" s="43">
        <v>0</v>
      </c>
      <c r="T89" s="43">
        <v>0</v>
      </c>
      <c r="U89" s="56"/>
    </row>
    <row r="90" spans="1:21" ht="17.25" customHeight="1" x14ac:dyDescent="0.3">
      <c r="A90" s="15" t="s">
        <v>30</v>
      </c>
      <c r="C90" s="19"/>
      <c r="D90" s="33" t="str">
        <f t="shared" si="16"/>
        <v>C100006</v>
      </c>
      <c r="E90" s="33"/>
      <c r="F90" s="34"/>
      <c r="G90" s="34" t="str">
        <f>"""NAV Direct"",""CRONUS JetCorp USA"",""32"",""1"",""166368"""</f>
        <v>"NAV Direct","CRONUS JetCorp USA","32","1","166368"</v>
      </c>
      <c r="H90" s="40">
        <v>43466</v>
      </c>
      <c r="I90" s="41">
        <v>166368</v>
      </c>
      <c r="J90" s="42" t="str">
        <f>"Vendor"</f>
        <v>Vendor</v>
      </c>
      <c r="K90" s="42" t="str">
        <f>"V100007"</f>
        <v>V100007</v>
      </c>
      <c r="L90" s="42" t="str">
        <f>IF($J90="Customer",_xll.NL("first",$J90,"Name","No.","@@"&amp;$K90),"")</f>
        <v/>
      </c>
      <c r="M90" s="42" t="str">
        <f>"TrendTech"</f>
        <v>TrendTech</v>
      </c>
      <c r="N90" s="42" t="str">
        <f>IF($J90="Item",_xll.NL("first",$J90,"Description","No.","@@"&amp;$K90),"")</f>
        <v/>
      </c>
      <c r="O90" s="43">
        <v>200</v>
      </c>
      <c r="P90" s="43">
        <v>0</v>
      </c>
      <c r="Q90" s="43">
        <v>0</v>
      </c>
      <c r="R90" s="43">
        <v>0</v>
      </c>
      <c r="S90" s="43">
        <v>0</v>
      </c>
      <c r="T90" s="43">
        <v>0</v>
      </c>
      <c r="U90" s="56"/>
    </row>
    <row r="91" spans="1:21" ht="17.25" customHeight="1" x14ac:dyDescent="0.3">
      <c r="A91" s="15" t="s">
        <v>30</v>
      </c>
      <c r="C91" s="19"/>
      <c r="D91" s="33" t="str">
        <f t="shared" si="16"/>
        <v>C100006</v>
      </c>
      <c r="E91" s="33"/>
      <c r="F91" s="34"/>
      <c r="G91" s="34" t="str">
        <f>"""NAV Direct"",""CRONUS JetCorp USA"",""32"",""1"",""166386"""</f>
        <v>"NAV Direct","CRONUS JetCorp USA","32","1","166386"</v>
      </c>
      <c r="H91" s="40">
        <v>43466</v>
      </c>
      <c r="I91" s="41">
        <v>166386</v>
      </c>
      <c r="J91" s="42" t="str">
        <f>"Vendor"</f>
        <v>Vendor</v>
      </c>
      <c r="K91" s="42" t="str">
        <f>"V100001"</f>
        <v>V100001</v>
      </c>
      <c r="L91" s="42" t="str">
        <f>IF($J91="Customer",_xll.NL("first",$J91,"Name","No.","@@"&amp;$K91),"")</f>
        <v/>
      </c>
      <c r="M91" s="42" t="str">
        <f>"Greigner, Inc."</f>
        <v>Greigner, Inc.</v>
      </c>
      <c r="N91" s="42" t="str">
        <f>IF($J91="Item",_xll.NL("first",$J91,"Description","No.","@@"&amp;$K91),"")</f>
        <v/>
      </c>
      <c r="O91" s="43">
        <v>400</v>
      </c>
      <c r="P91" s="43">
        <v>0</v>
      </c>
      <c r="Q91" s="43">
        <v>0</v>
      </c>
      <c r="R91" s="43">
        <v>0</v>
      </c>
      <c r="S91" s="43">
        <v>0</v>
      </c>
      <c r="T91" s="43">
        <v>0</v>
      </c>
      <c r="U91" s="56"/>
    </row>
    <row r="92" spans="1:21" ht="17.25" customHeight="1" x14ac:dyDescent="0.3">
      <c r="A92" s="15" t="s">
        <v>30</v>
      </c>
      <c r="C92" s="19"/>
      <c r="D92" s="33" t="str">
        <f t="shared" si="16"/>
        <v>C100006</v>
      </c>
      <c r="E92" s="33"/>
      <c r="F92" s="34"/>
      <c r="G92" s="34" t="str">
        <f>"""NAV Direct"",""CRONUS JetCorp USA"",""32"",""1"",""166398"""</f>
        <v>"NAV Direct","CRONUS JetCorp USA","32","1","166398"</v>
      </c>
      <c r="H92" s="40">
        <v>43466</v>
      </c>
      <c r="I92" s="41">
        <v>166398</v>
      </c>
      <c r="J92" s="42" t="str">
        <f>"Vendor"</f>
        <v>Vendor</v>
      </c>
      <c r="K92" s="42" t="str">
        <f>"V100047"</f>
        <v>V100047</v>
      </c>
      <c r="L92" s="42" t="str">
        <f>IF($J92="Customer",_xll.NL("first",$J92,"Name","No.","@@"&amp;$K92),"")</f>
        <v/>
      </c>
      <c r="M92" s="42" t="str">
        <f>"WoodMart Supply Co."</f>
        <v>WoodMart Supply Co.</v>
      </c>
      <c r="N92" s="42" t="str">
        <f>IF($J92="Item",_xll.NL("first",$J92,"Description","No.","@@"&amp;$K92),"")</f>
        <v/>
      </c>
      <c r="O92" s="43">
        <v>100</v>
      </c>
      <c r="P92" s="43">
        <v>0</v>
      </c>
      <c r="Q92" s="43">
        <v>0</v>
      </c>
      <c r="R92" s="43">
        <v>0</v>
      </c>
      <c r="S92" s="43">
        <v>0</v>
      </c>
      <c r="T92" s="43">
        <v>0</v>
      </c>
      <c r="U92" s="56"/>
    </row>
    <row r="93" spans="1:21" ht="17.25" customHeight="1" x14ac:dyDescent="0.3">
      <c r="A93" s="15" t="s">
        <v>30</v>
      </c>
      <c r="C93" s="19"/>
      <c r="D93" s="33" t="str">
        <f t="shared" si="16"/>
        <v>C100006</v>
      </c>
      <c r="E93" s="33"/>
      <c r="F93" s="34"/>
      <c r="G93" s="34" t="str">
        <f>"""NAV Direct"",""CRONUS JetCorp USA"",""32"",""1"",""166415"""</f>
        <v>"NAV Direct","CRONUS JetCorp USA","32","1","166415"</v>
      </c>
      <c r="H93" s="40">
        <v>43466</v>
      </c>
      <c r="I93" s="41">
        <v>166415</v>
      </c>
      <c r="J93" s="42" t="str">
        <f>"Vendor"</f>
        <v>Vendor</v>
      </c>
      <c r="K93" s="42" t="str">
        <f>"V100003"</f>
        <v>V100003</v>
      </c>
      <c r="L93" s="42" t="str">
        <f>IF($J93="Customer",_xll.NL("first",$J93,"Name","No.","@@"&amp;$K93),"")</f>
        <v/>
      </c>
      <c r="M93" s="42" t="str">
        <f>"LogoMasters"</f>
        <v>LogoMasters</v>
      </c>
      <c r="N93" s="42" t="str">
        <f>IF($J93="Item",_xll.NL("first",$J93,"Description","No.","@@"&amp;$K93),"")</f>
        <v/>
      </c>
      <c r="O93" s="43">
        <v>200</v>
      </c>
      <c r="P93" s="43">
        <v>0</v>
      </c>
      <c r="Q93" s="43">
        <v>0</v>
      </c>
      <c r="R93" s="43">
        <v>0</v>
      </c>
      <c r="S93" s="43">
        <v>0</v>
      </c>
      <c r="T93" s="43">
        <v>0</v>
      </c>
      <c r="U93" s="56"/>
    </row>
    <row r="94" spans="1:21" ht="17.25" customHeight="1" x14ac:dyDescent="0.3">
      <c r="A94" s="15" t="s">
        <v>30</v>
      </c>
      <c r="C94" s="19"/>
      <c r="D94" s="33" t="str">
        <f t="shared" si="16"/>
        <v>C100006</v>
      </c>
      <c r="E94" s="33"/>
      <c r="F94" s="34"/>
      <c r="G94" s="34" t="str">
        <f>"""NAV Direct"",""CRONUS JetCorp USA"",""32"",""1"",""166427"""</f>
        <v>"NAV Direct","CRONUS JetCorp USA","32","1","166427"</v>
      </c>
      <c r="H94" s="40">
        <v>43466</v>
      </c>
      <c r="I94" s="41">
        <v>166427</v>
      </c>
      <c r="J94" s="42" t="str">
        <f>"Vendor"</f>
        <v>Vendor</v>
      </c>
      <c r="K94" s="42" t="str">
        <f>"V100001"</f>
        <v>V100001</v>
      </c>
      <c r="L94" s="42" t="str">
        <f>IF($J94="Customer",_xll.NL("first",$J94,"Name","No.","@@"&amp;$K94),"")</f>
        <v/>
      </c>
      <c r="M94" s="42" t="str">
        <f>"Greigner, Inc."</f>
        <v>Greigner, Inc.</v>
      </c>
      <c r="N94" s="42" t="str">
        <f>IF($J94="Item",_xll.NL("first",$J94,"Description","No.","@@"&amp;$K94),"")</f>
        <v/>
      </c>
      <c r="O94" s="43">
        <v>100</v>
      </c>
      <c r="P94" s="43">
        <v>0</v>
      </c>
      <c r="Q94" s="43">
        <v>0</v>
      </c>
      <c r="R94" s="43">
        <v>0</v>
      </c>
      <c r="S94" s="43">
        <v>0</v>
      </c>
      <c r="T94" s="43">
        <v>0</v>
      </c>
      <c r="U94" s="56"/>
    </row>
    <row r="95" spans="1:21" ht="17.25" customHeight="1" x14ac:dyDescent="0.3">
      <c r="A95" s="15" t="s">
        <v>30</v>
      </c>
      <c r="C95" s="19"/>
      <c r="D95" s="33" t="str">
        <f t="shared" si="16"/>
        <v>C100006</v>
      </c>
      <c r="E95" s="33"/>
      <c r="F95" s="34"/>
      <c r="G95" s="34" t="str">
        <f>"""NAV Direct"",""CRONUS JetCorp USA"",""32"",""1"",""20330"""</f>
        <v>"NAV Direct","CRONUS JetCorp USA","32","1","20330"</v>
      </c>
      <c r="H95" s="40">
        <v>43472</v>
      </c>
      <c r="I95" s="41">
        <v>20330</v>
      </c>
      <c r="J95" s="42" t="str">
        <f>"Customer"</f>
        <v>Customer</v>
      </c>
      <c r="K95" s="42" t="str">
        <f>"C100145"</f>
        <v>C100145</v>
      </c>
      <c r="L95" s="42" t="str">
        <f>IF($J95="Customer",_xll.NL("first",$J95,"Name","No.","@@"&amp;$K95),"")</f>
        <v>Dicon Industries</v>
      </c>
      <c r="M95" s="42" t="str">
        <f>""</f>
        <v/>
      </c>
      <c r="N95" s="42" t="str">
        <f>IF($J95="Item",_xll.NL("first",$J95,"Description","No.","@@"&amp;$K95),"")</f>
        <v/>
      </c>
      <c r="O95" s="43">
        <v>0</v>
      </c>
      <c r="P95" s="43">
        <v>-48</v>
      </c>
      <c r="Q95" s="43">
        <v>0</v>
      </c>
      <c r="R95" s="43">
        <v>0</v>
      </c>
      <c r="S95" s="43">
        <v>0</v>
      </c>
      <c r="T95" s="43">
        <v>0</v>
      </c>
      <c r="U95" s="56"/>
    </row>
    <row r="96" spans="1:21" ht="17.25" customHeight="1" x14ac:dyDescent="0.3">
      <c r="A96" s="15" t="s">
        <v>30</v>
      </c>
      <c r="C96" s="19"/>
      <c r="D96" s="33" t="str">
        <f t="shared" si="16"/>
        <v>C100006</v>
      </c>
      <c r="E96" s="33"/>
      <c r="F96" s="34"/>
      <c r="G96" s="34" t="str">
        <f>"""NAV Direct"",""CRONUS JetCorp USA"",""32"",""1"",""25250"""</f>
        <v>"NAV Direct","CRONUS JetCorp USA","32","1","25250"</v>
      </c>
      <c r="H96" s="40">
        <v>43472</v>
      </c>
      <c r="I96" s="41">
        <v>25250</v>
      </c>
      <c r="J96" s="42" t="str">
        <f>"Customer"</f>
        <v>Customer</v>
      </c>
      <c r="K96" s="42" t="str">
        <f>"C100098"</f>
        <v>C100098</v>
      </c>
      <c r="L96" s="42" t="str">
        <f>IF($J96="Customer",_xll.NL("first",$J96,"Name","No.","@@"&amp;$K96),"")</f>
        <v>BlackCane Motor Works</v>
      </c>
      <c r="M96" s="42" t="str">
        <f>""</f>
        <v/>
      </c>
      <c r="N96" s="42" t="str">
        <f>IF($J96="Item",_xll.NL("first",$J96,"Description","No.","@@"&amp;$K96),"")</f>
        <v/>
      </c>
      <c r="O96" s="43">
        <v>0</v>
      </c>
      <c r="P96" s="43">
        <v>-48</v>
      </c>
      <c r="Q96" s="43">
        <v>0</v>
      </c>
      <c r="R96" s="43">
        <v>0</v>
      </c>
      <c r="S96" s="43">
        <v>0</v>
      </c>
      <c r="T96" s="43">
        <v>0</v>
      </c>
      <c r="U96" s="56"/>
    </row>
    <row r="97" spans="1:21" ht="17.25" customHeight="1" x14ac:dyDescent="0.3">
      <c r="A97" s="15" t="s">
        <v>30</v>
      </c>
      <c r="C97" s="19"/>
      <c r="D97" s="33" t="str">
        <f t="shared" si="16"/>
        <v>C100006</v>
      </c>
      <c r="E97" s="33"/>
      <c r="F97" s="34"/>
      <c r="G97" s="34" t="str">
        <f>"""NAV Direct"",""CRONUS JetCorp USA"",""32"",""1"",""111301"""</f>
        <v>"NAV Direct","CRONUS JetCorp USA","32","1","111301"</v>
      </c>
      <c r="H97" s="40">
        <v>43472</v>
      </c>
      <c r="I97" s="41">
        <v>111301</v>
      </c>
      <c r="J97" s="42" t="str">
        <f>"Customer"</f>
        <v>Customer</v>
      </c>
      <c r="K97" s="42" t="str">
        <f>"C100099"</f>
        <v>C100099</v>
      </c>
      <c r="L97" s="42" t="str">
        <f>IF($J97="Customer",_xll.NL("first",$J97,"Name","No.","@@"&amp;$K97),"")</f>
        <v>Voltive Systems</v>
      </c>
      <c r="M97" s="42" t="str">
        <f>""</f>
        <v/>
      </c>
      <c r="N97" s="42" t="str">
        <f>IF($J97="Item",_xll.NL("first",$J97,"Description","No.","@@"&amp;$K97),"")</f>
        <v/>
      </c>
      <c r="O97" s="43">
        <v>0</v>
      </c>
      <c r="P97" s="43">
        <v>-48</v>
      </c>
      <c r="Q97" s="43">
        <v>0</v>
      </c>
      <c r="R97" s="43">
        <v>0</v>
      </c>
      <c r="S97" s="43">
        <v>0</v>
      </c>
      <c r="T97" s="43">
        <v>0</v>
      </c>
      <c r="U97" s="56"/>
    </row>
    <row r="98" spans="1:21" ht="17.25" customHeight="1" x14ac:dyDescent="0.3">
      <c r="A98" s="15" t="s">
        <v>30</v>
      </c>
      <c r="C98" s="19"/>
      <c r="D98" s="33" t="str">
        <f t="shared" si="16"/>
        <v>C100006</v>
      </c>
      <c r="E98" s="33"/>
      <c r="F98" s="34"/>
      <c r="G98" s="34" t="str">
        <f>"""NAV Direct"",""CRONUS JetCorp USA"",""32"",""1"",""114275"""</f>
        <v>"NAV Direct","CRONUS JetCorp USA","32","1","114275"</v>
      </c>
      <c r="H98" s="40">
        <v>43474</v>
      </c>
      <c r="I98" s="41">
        <v>114275</v>
      </c>
      <c r="J98" s="42" t="str">
        <f>"Customer"</f>
        <v>Customer</v>
      </c>
      <c r="K98" s="42" t="str">
        <f>"C100076"</f>
        <v>C100076</v>
      </c>
      <c r="L98" s="42" t="str">
        <f>IF($J98="Customer",_xll.NL("first",$J98,"Name","No.","@@"&amp;$K98),"")</f>
        <v>Showmasters</v>
      </c>
      <c r="M98" s="42" t="str">
        <f>""</f>
        <v/>
      </c>
      <c r="N98" s="42" t="str">
        <f>IF($J98="Item",_xll.NL("first",$J98,"Description","No.","@@"&amp;$K98),"")</f>
        <v/>
      </c>
      <c r="O98" s="43">
        <v>0</v>
      </c>
      <c r="P98" s="43">
        <v>-24</v>
      </c>
      <c r="Q98" s="43">
        <v>0</v>
      </c>
      <c r="R98" s="43">
        <v>0</v>
      </c>
      <c r="S98" s="43">
        <v>0</v>
      </c>
      <c r="T98" s="43">
        <v>0</v>
      </c>
      <c r="U98" s="56"/>
    </row>
    <row r="99" spans="1:21" ht="17.25" customHeight="1" x14ac:dyDescent="0.3">
      <c r="A99" s="15" t="s">
        <v>30</v>
      </c>
      <c r="C99" s="19"/>
      <c r="D99" s="33" t="str">
        <f t="shared" si="16"/>
        <v>C100006</v>
      </c>
      <c r="E99" s="33"/>
      <c r="F99" s="34"/>
      <c r="G99" s="34" t="str">
        <f>"""NAV Direct"",""CRONUS JetCorp USA"",""32"",""1"",""20408"""</f>
        <v>"NAV Direct","CRONUS JetCorp USA","32","1","20408"</v>
      </c>
      <c r="H99" s="40">
        <v>43475</v>
      </c>
      <c r="I99" s="41">
        <v>20408</v>
      </c>
      <c r="J99" s="42" t="str">
        <f>"Customer"</f>
        <v>Customer</v>
      </c>
      <c r="K99" s="42" t="str">
        <f>"C100130"</f>
        <v>C100130</v>
      </c>
      <c r="L99" s="42" t="str">
        <f>IF($J99="Customer",_xll.NL("first",$J99,"Name","No.","@@"&amp;$K99),"")</f>
        <v>Hotspot Systems</v>
      </c>
      <c r="M99" s="42" t="str">
        <f>""</f>
        <v/>
      </c>
      <c r="N99" s="42" t="str">
        <f>IF($J99="Item",_xll.NL("first",$J99,"Description","No.","@@"&amp;$K99),"")</f>
        <v/>
      </c>
      <c r="O99" s="43">
        <v>0</v>
      </c>
      <c r="P99" s="43">
        <v>-96</v>
      </c>
      <c r="Q99" s="43">
        <v>0</v>
      </c>
      <c r="R99" s="43">
        <v>0</v>
      </c>
      <c r="S99" s="43">
        <v>0</v>
      </c>
      <c r="T99" s="43">
        <v>0</v>
      </c>
      <c r="U99" s="56"/>
    </row>
    <row r="100" spans="1:21" ht="17.25" customHeight="1" x14ac:dyDescent="0.3">
      <c r="A100" s="15" t="s">
        <v>30</v>
      </c>
      <c r="C100" s="19"/>
      <c r="D100" s="33" t="str">
        <f t="shared" si="16"/>
        <v>C100006</v>
      </c>
      <c r="E100" s="33"/>
      <c r="F100" s="34"/>
      <c r="G100" s="34" t="str">
        <f>"""NAV Direct"",""CRONUS JetCorp USA"",""32"",""1"",""34327"""</f>
        <v>"NAV Direct","CRONUS JetCorp USA","32","1","34327"</v>
      </c>
      <c r="H100" s="40">
        <v>43475</v>
      </c>
      <c r="I100" s="41">
        <v>34327</v>
      </c>
      <c r="J100" s="42" t="str">
        <f>"Customer"</f>
        <v>Customer</v>
      </c>
      <c r="K100" s="42" t="str">
        <f>"C100008"</f>
        <v>C100008</v>
      </c>
      <c r="L100" s="42" t="str">
        <f>IF($J100="Customer",_xll.NL("first",$J100,"Name","No.","@@"&amp;$K100),"")</f>
        <v>Blanemark Hifi Shop</v>
      </c>
      <c r="M100" s="42" t="str">
        <f>""</f>
        <v/>
      </c>
      <c r="N100" s="42" t="str">
        <f>IF($J100="Item",_xll.NL("first",$J100,"Description","No.","@@"&amp;$K100),"")</f>
        <v/>
      </c>
      <c r="O100" s="43">
        <v>0</v>
      </c>
      <c r="P100" s="43">
        <v>-24</v>
      </c>
      <c r="Q100" s="43">
        <v>0</v>
      </c>
      <c r="R100" s="43">
        <v>0</v>
      </c>
      <c r="S100" s="43">
        <v>0</v>
      </c>
      <c r="T100" s="43">
        <v>0</v>
      </c>
      <c r="U100" s="56"/>
    </row>
    <row r="101" spans="1:21" ht="17.25" customHeight="1" x14ac:dyDescent="0.3">
      <c r="A101" s="15" t="s">
        <v>30</v>
      </c>
      <c r="C101" s="19"/>
      <c r="D101" s="33" t="str">
        <f t="shared" si="16"/>
        <v>C100006</v>
      </c>
      <c r="E101" s="33"/>
      <c r="F101" s="34"/>
      <c r="G101" s="34" t="str">
        <f>"""NAV Direct"",""CRONUS JetCorp USA"",""32"",""1"",""124582"""</f>
        <v>"NAV Direct","CRONUS JetCorp USA","32","1","124582"</v>
      </c>
      <c r="H101" s="40">
        <v>43475</v>
      </c>
      <c r="I101" s="41">
        <v>124582</v>
      </c>
      <c r="J101" s="42" t="str">
        <f>"Customer"</f>
        <v>Customer</v>
      </c>
      <c r="K101" s="42" t="str">
        <f>"C100035"</f>
        <v>C100035</v>
      </c>
      <c r="L101" s="42" t="str">
        <f>IF($J101="Customer",_xll.NL("first",$J101,"Name","No.","@@"&amp;$K101),"")</f>
        <v>First Touch Marketing</v>
      </c>
      <c r="M101" s="42" t="str">
        <f>""</f>
        <v/>
      </c>
      <c r="N101" s="42" t="str">
        <f>IF($J101="Item",_xll.NL("first",$J101,"Description","No.","@@"&amp;$K101),"")</f>
        <v/>
      </c>
      <c r="O101" s="43">
        <v>0</v>
      </c>
      <c r="P101" s="43">
        <v>-24</v>
      </c>
      <c r="Q101" s="43">
        <v>0</v>
      </c>
      <c r="R101" s="43">
        <v>0</v>
      </c>
      <c r="S101" s="43">
        <v>0</v>
      </c>
      <c r="T101" s="43">
        <v>0</v>
      </c>
      <c r="U101" s="56"/>
    </row>
    <row r="102" spans="1:21" ht="17.25" customHeight="1" x14ac:dyDescent="0.3">
      <c r="A102" s="15" t="s">
        <v>30</v>
      </c>
      <c r="C102" s="19"/>
      <c r="D102" s="33" t="str">
        <f t="shared" si="16"/>
        <v>C100006</v>
      </c>
      <c r="E102" s="33"/>
      <c r="F102" s="34"/>
      <c r="G102" s="34" t="str">
        <f>"""NAV Direct"",""CRONUS JetCorp USA"",""32"",""1"",""128882"""</f>
        <v>"NAV Direct","CRONUS JetCorp USA","32","1","128882"</v>
      </c>
      <c r="H102" s="40">
        <v>43475</v>
      </c>
      <c r="I102" s="41">
        <v>128882</v>
      </c>
      <c r="J102" s="42" t="str">
        <f>"Customer"</f>
        <v>Customer</v>
      </c>
      <c r="K102" s="42" t="str">
        <f>"C100095"</f>
        <v>C100095</v>
      </c>
      <c r="L102" s="42" t="str">
        <f>IF($J102="Customer",_xll.NL("first",$J102,"Name","No.","@@"&amp;$K102),"")</f>
        <v>Randotax Outfitters</v>
      </c>
      <c r="M102" s="42" t="str">
        <f>""</f>
        <v/>
      </c>
      <c r="N102" s="42" t="str">
        <f>IF($J102="Item",_xll.NL("first",$J102,"Description","No.","@@"&amp;$K102),"")</f>
        <v/>
      </c>
      <c r="O102" s="43">
        <v>0</v>
      </c>
      <c r="P102" s="43">
        <v>-48</v>
      </c>
      <c r="Q102" s="43">
        <v>0</v>
      </c>
      <c r="R102" s="43">
        <v>0</v>
      </c>
      <c r="S102" s="43">
        <v>0</v>
      </c>
      <c r="T102" s="43">
        <v>0</v>
      </c>
      <c r="U102" s="56"/>
    </row>
    <row r="103" spans="1:21" ht="17.25" customHeight="1" x14ac:dyDescent="0.3">
      <c r="A103" s="15" t="s">
        <v>30</v>
      </c>
      <c r="C103" s="19"/>
      <c r="D103" s="33" t="str">
        <f t="shared" si="16"/>
        <v>C100006</v>
      </c>
      <c r="E103" s="33"/>
      <c r="F103" s="34"/>
      <c r="G103" s="34" t="str">
        <f>"""NAV Direct"",""CRONUS JetCorp USA"",""32"",""1"",""7570"""</f>
        <v>"NAV Direct","CRONUS JetCorp USA","32","1","7570"</v>
      </c>
      <c r="H103" s="40">
        <v>43477</v>
      </c>
      <c r="I103" s="41">
        <v>7570</v>
      </c>
      <c r="J103" s="42" t="str">
        <f>"Customer"</f>
        <v>Customer</v>
      </c>
      <c r="K103" s="42" t="str">
        <f>"C100076"</f>
        <v>C100076</v>
      </c>
      <c r="L103" s="42" t="str">
        <f>IF($J103="Customer",_xll.NL("first",$J103,"Name","No.","@@"&amp;$K103),"")</f>
        <v>Showmasters</v>
      </c>
      <c r="M103" s="42" t="str">
        <f>""</f>
        <v/>
      </c>
      <c r="N103" s="42" t="str">
        <f>IF($J103="Item",_xll.NL("first",$J103,"Description","No.","@@"&amp;$K103),"")</f>
        <v/>
      </c>
      <c r="O103" s="43">
        <v>0</v>
      </c>
      <c r="P103" s="43">
        <v>-1</v>
      </c>
      <c r="Q103" s="43">
        <v>0</v>
      </c>
      <c r="R103" s="43">
        <v>0</v>
      </c>
      <c r="S103" s="43">
        <v>0</v>
      </c>
      <c r="T103" s="43">
        <v>0</v>
      </c>
      <c r="U103" s="56"/>
    </row>
    <row r="104" spans="1:21" ht="17.25" customHeight="1" x14ac:dyDescent="0.3">
      <c r="A104" s="15" t="s">
        <v>30</v>
      </c>
      <c r="C104" s="19"/>
      <c r="D104" s="33" t="str">
        <f t="shared" si="16"/>
        <v>C100006</v>
      </c>
      <c r="E104" s="33"/>
      <c r="F104" s="34"/>
      <c r="G104" s="34" t="str">
        <f>"""NAV Direct"",""CRONUS JetCorp USA"",""32"",""1"",""38085"""</f>
        <v>"NAV Direct","CRONUS JetCorp USA","32","1","38085"</v>
      </c>
      <c r="H104" s="40">
        <v>43477</v>
      </c>
      <c r="I104" s="41">
        <v>38085</v>
      </c>
      <c r="J104" s="42" t="str">
        <f>"Customer"</f>
        <v>Customer</v>
      </c>
      <c r="K104" s="42" t="str">
        <f>"C100038"</f>
        <v>C100038</v>
      </c>
      <c r="L104" s="42" t="str">
        <f>IF($J104="Customer",_xll.NL("first",$J104,"Name","No.","@@"&amp;$K104),"")</f>
        <v>Gagn &amp; Gaman</v>
      </c>
      <c r="M104" s="42" t="str">
        <f>""</f>
        <v/>
      </c>
      <c r="N104" s="42" t="str">
        <f>IF($J104="Item",_xll.NL("first",$J104,"Description","No.","@@"&amp;$K104),"")</f>
        <v/>
      </c>
      <c r="O104" s="43">
        <v>0</v>
      </c>
      <c r="P104" s="43">
        <v>-12</v>
      </c>
      <c r="Q104" s="43">
        <v>0</v>
      </c>
      <c r="R104" s="43">
        <v>0</v>
      </c>
      <c r="S104" s="43">
        <v>0</v>
      </c>
      <c r="T104" s="43">
        <v>0</v>
      </c>
      <c r="U104" s="56"/>
    </row>
    <row r="105" spans="1:21" ht="17.25" customHeight="1" x14ac:dyDescent="0.3">
      <c r="A105" s="15" t="s">
        <v>30</v>
      </c>
      <c r="C105" s="19"/>
      <c r="D105" s="33" t="str">
        <f t="shared" si="16"/>
        <v>C100006</v>
      </c>
      <c r="E105" s="33"/>
      <c r="F105" s="34"/>
      <c r="G105" s="34" t="str">
        <f>"""NAV Direct"",""CRONUS JetCorp USA"",""32"",""1"",""114289"""</f>
        <v>"NAV Direct","CRONUS JetCorp USA","32","1","114289"</v>
      </c>
      <c r="H105" s="40">
        <v>43477</v>
      </c>
      <c r="I105" s="41">
        <v>114289</v>
      </c>
      <c r="J105" s="42" t="str">
        <f>"Customer"</f>
        <v>Customer</v>
      </c>
      <c r="K105" s="42" t="str">
        <f>"C100030"</f>
        <v>C100030</v>
      </c>
      <c r="L105" s="42" t="str">
        <f>IF($J105="Customer",_xll.NL("first",$J105,"Name","No.","@@"&amp;$K105),"")</f>
        <v>Stutringers</v>
      </c>
      <c r="M105" s="42" t="str">
        <f>""</f>
        <v/>
      </c>
      <c r="N105" s="42" t="str">
        <f>IF($J105="Item",_xll.NL("first",$J105,"Description","No.","@@"&amp;$K105),"")</f>
        <v/>
      </c>
      <c r="O105" s="43">
        <v>0</v>
      </c>
      <c r="P105" s="43">
        <v>-24</v>
      </c>
      <c r="Q105" s="43">
        <v>0</v>
      </c>
      <c r="R105" s="43">
        <v>0</v>
      </c>
      <c r="S105" s="43">
        <v>0</v>
      </c>
      <c r="T105" s="43">
        <v>0</v>
      </c>
      <c r="U105" s="56"/>
    </row>
    <row r="106" spans="1:21" ht="17.25" customHeight="1" x14ac:dyDescent="0.3">
      <c r="A106" s="15" t="s">
        <v>30</v>
      </c>
      <c r="C106" s="19"/>
      <c r="D106" s="33" t="str">
        <f t="shared" si="16"/>
        <v>C100006</v>
      </c>
      <c r="E106" s="33"/>
      <c r="F106" s="34"/>
      <c r="G106" s="34" t="str">
        <f>"""NAV Direct"",""CRONUS JetCorp USA"",""32"",""1"",""132518"""</f>
        <v>"NAV Direct","CRONUS JetCorp USA","32","1","132518"</v>
      </c>
      <c r="H106" s="40">
        <v>43477</v>
      </c>
      <c r="I106" s="41">
        <v>132518</v>
      </c>
      <c r="J106" s="42" t="str">
        <f>"Customer"</f>
        <v>Customer</v>
      </c>
      <c r="K106" s="42" t="str">
        <f>"C100082"</f>
        <v>C100082</v>
      </c>
      <c r="L106" s="42" t="str">
        <f>IF($J106="Customer",_xll.NL("first",$J106,"Name","No.","@@"&amp;$K106),"")</f>
        <v>Sporting Goods Emporium</v>
      </c>
      <c r="M106" s="42" t="str">
        <f>""</f>
        <v/>
      </c>
      <c r="N106" s="42" t="str">
        <f>IF($J106="Item",_xll.NL("first",$J106,"Description","No.","@@"&amp;$K106),"")</f>
        <v/>
      </c>
      <c r="O106" s="43">
        <v>0</v>
      </c>
      <c r="P106" s="43">
        <v>-48</v>
      </c>
      <c r="Q106" s="43">
        <v>0</v>
      </c>
      <c r="R106" s="43">
        <v>0</v>
      </c>
      <c r="S106" s="43">
        <v>0</v>
      </c>
      <c r="T106" s="43">
        <v>0</v>
      </c>
      <c r="U106" s="56"/>
    </row>
    <row r="107" spans="1:21" ht="17.25" customHeight="1" x14ac:dyDescent="0.3">
      <c r="A107" s="15" t="s">
        <v>30</v>
      </c>
      <c r="C107" s="19"/>
      <c r="D107" s="33"/>
      <c r="E107" s="33"/>
      <c r="F107" s="34"/>
      <c r="G107" s="34"/>
      <c r="H107" s="34"/>
      <c r="I107" s="34"/>
      <c r="J107" s="34"/>
      <c r="K107" s="34"/>
      <c r="L107" s="34"/>
      <c r="M107" s="34"/>
      <c r="N107" s="34"/>
      <c r="O107" s="44"/>
      <c r="P107" s="44"/>
      <c r="Q107" s="44"/>
      <c r="R107" s="44"/>
      <c r="S107" s="44"/>
      <c r="T107" s="44"/>
      <c r="U107" s="57"/>
    </row>
    <row r="108" spans="1:21" ht="17.25" customHeight="1" x14ac:dyDescent="0.3">
      <c r="A108" s="15" t="s">
        <v>30</v>
      </c>
      <c r="C108" s="19"/>
      <c r="D108" s="33"/>
      <c r="E108" s="33" t="s">
        <v>31</v>
      </c>
      <c r="F108" s="34" t="s">
        <v>31</v>
      </c>
      <c r="G108" s="34" t="s">
        <v>31</v>
      </c>
      <c r="H108" s="34"/>
      <c r="I108" s="34"/>
      <c r="J108" s="34" t="s">
        <v>31</v>
      </c>
      <c r="K108" s="34" t="s">
        <v>31</v>
      </c>
      <c r="L108" s="34" t="s">
        <v>31</v>
      </c>
      <c r="M108" s="34" t="s">
        <v>31</v>
      </c>
      <c r="N108" s="34"/>
      <c r="U108" s="58"/>
    </row>
    <row r="109" spans="1:21" ht="20.25" customHeight="1" x14ac:dyDescent="0.35">
      <c r="A109" s="15" t="s">
        <v>30</v>
      </c>
      <c r="C109" s="19"/>
      <c r="D109" s="35" t="str">
        <f t="shared" ref="D109" si="17">E109</f>
        <v>C100007</v>
      </c>
      <c r="E109" s="36" t="str">
        <f>"C100007"</f>
        <v>C100007</v>
      </c>
      <c r="F109" s="37" t="str">
        <f>"7.5'' Bud Vase"</f>
        <v>7.5'' Bud Vase</v>
      </c>
      <c r="G109" s="37"/>
      <c r="H109" s="38" t="str">
        <f>"EA"</f>
        <v>EA</v>
      </c>
      <c r="I109" s="37"/>
      <c r="J109" s="37"/>
      <c r="K109" s="37"/>
      <c r="L109" s="37"/>
      <c r="M109" s="37"/>
      <c r="N109" s="37"/>
      <c r="O109" s="39">
        <f>(SUBTOTAL(9,O110:O125))</f>
        <v>1500</v>
      </c>
      <c r="P109" s="39">
        <f>(SUBTOTAL(9,P110:P125))</f>
        <v>-611</v>
      </c>
      <c r="Q109" s="39">
        <f>(SUBTOTAL(9,Q110:Q125))</f>
        <v>0</v>
      </c>
      <c r="R109" s="39">
        <f>(SUBTOTAL(9,R110:R125))</f>
        <v>0</v>
      </c>
      <c r="S109" s="39">
        <f>(SUBTOTAL(9,S110:S125))</f>
        <v>0</v>
      </c>
      <c r="T109" s="39">
        <f>(SUBTOTAL(9,T110:T125))</f>
        <v>0</v>
      </c>
      <c r="U109" s="55">
        <f t="shared" ref="U109" si="18">SUBTOTAL(9,O110:T125)</f>
        <v>889</v>
      </c>
    </row>
    <row r="110" spans="1:21" ht="17.25" customHeight="1" x14ac:dyDescent="0.3">
      <c r="A110" s="15" t="s">
        <v>30</v>
      </c>
      <c r="C110" s="19"/>
      <c r="D110" s="33" t="str">
        <f t="shared" ref="D110" si="19">D109</f>
        <v>C100007</v>
      </c>
      <c r="E110" s="33"/>
      <c r="F110" s="34"/>
      <c r="G110" s="34" t="str">
        <f>"""NAV Direct"",""CRONUS JetCorp USA"",""32"",""1"",""166330"""</f>
        <v>"NAV Direct","CRONUS JetCorp USA","32","1","166330"</v>
      </c>
      <c r="H110" s="40">
        <v>43466</v>
      </c>
      <c r="I110" s="41">
        <v>166330</v>
      </c>
      <c r="J110" s="42" t="str">
        <f>"Vendor"</f>
        <v>Vendor</v>
      </c>
      <c r="K110" s="42" t="str">
        <f>"V100009"</f>
        <v>V100009</v>
      </c>
      <c r="L110" s="42" t="str">
        <f>IF($J110="Customer",_xll.NL("first",$J110,"Name","No.","@@"&amp;$K110),"")</f>
        <v/>
      </c>
      <c r="M110" s="42" t="str">
        <f>"Malay-Dan Export Unit Sdn Bhd"</f>
        <v>Malay-Dan Export Unit Sdn Bhd</v>
      </c>
      <c r="N110" s="42" t="str">
        <f>IF($J110="Item",_xll.NL("first",$J110,"Description","No.","@@"&amp;$K110),"")</f>
        <v/>
      </c>
      <c r="O110" s="43">
        <v>300</v>
      </c>
      <c r="P110" s="43">
        <v>0</v>
      </c>
      <c r="Q110" s="43">
        <v>0</v>
      </c>
      <c r="R110" s="43">
        <v>0</v>
      </c>
      <c r="S110" s="43">
        <v>0</v>
      </c>
      <c r="T110" s="43">
        <v>0</v>
      </c>
      <c r="U110" s="56"/>
    </row>
    <row r="111" spans="1:21" ht="17.25" customHeight="1" x14ac:dyDescent="0.3">
      <c r="A111" s="15" t="s">
        <v>30</v>
      </c>
      <c r="C111" s="19"/>
      <c r="D111" s="33" t="str">
        <f t="shared" ref="D111:D124" si="20">D110</f>
        <v>C100007</v>
      </c>
      <c r="E111" s="33"/>
      <c r="F111" s="34"/>
      <c r="G111" s="34" t="str">
        <f>"""NAV Direct"",""CRONUS JetCorp USA"",""32"",""1"",""166348"""</f>
        <v>"NAV Direct","CRONUS JetCorp USA","32","1","166348"</v>
      </c>
      <c r="H111" s="40">
        <v>43466</v>
      </c>
      <c r="I111" s="41">
        <v>166348</v>
      </c>
      <c r="J111" s="42" t="str">
        <f>"Vendor"</f>
        <v>Vendor</v>
      </c>
      <c r="K111" s="42" t="str">
        <f>"V100040"</f>
        <v>V100040</v>
      </c>
      <c r="L111" s="42" t="str">
        <f>IF($J111="Customer",_xll.NL("first",$J111,"Name","No.","@@"&amp;$K111),"")</f>
        <v/>
      </c>
      <c r="M111" s="42" t="str">
        <f>"Technische Betriebe Rotkreuz"</f>
        <v>Technische Betriebe Rotkreuz</v>
      </c>
      <c r="N111" s="42" t="str">
        <f>IF($J111="Item",_xll.NL("first",$J111,"Description","No.","@@"&amp;$K111),"")</f>
        <v/>
      </c>
      <c r="O111" s="43">
        <v>499.99999999999994</v>
      </c>
      <c r="P111" s="43">
        <v>0</v>
      </c>
      <c r="Q111" s="43">
        <v>0</v>
      </c>
      <c r="R111" s="43">
        <v>0</v>
      </c>
      <c r="S111" s="43">
        <v>0</v>
      </c>
      <c r="T111" s="43">
        <v>0</v>
      </c>
      <c r="U111" s="56"/>
    </row>
    <row r="112" spans="1:21" ht="17.25" customHeight="1" x14ac:dyDescent="0.3">
      <c r="A112" s="15" t="s">
        <v>30</v>
      </c>
      <c r="C112" s="19"/>
      <c r="D112" s="33" t="str">
        <f t="shared" si="20"/>
        <v>C100007</v>
      </c>
      <c r="E112" s="33"/>
      <c r="F112" s="34"/>
      <c r="G112" s="34" t="str">
        <f>"""NAV Direct"",""CRONUS JetCorp USA"",""32"",""1"",""166367"""</f>
        <v>"NAV Direct","CRONUS JetCorp USA","32","1","166367"</v>
      </c>
      <c r="H112" s="40">
        <v>43466</v>
      </c>
      <c r="I112" s="41">
        <v>166367</v>
      </c>
      <c r="J112" s="42" t="str">
        <f>"Vendor"</f>
        <v>Vendor</v>
      </c>
      <c r="K112" s="42" t="str">
        <f>"V100007"</f>
        <v>V100007</v>
      </c>
      <c r="L112" s="42" t="str">
        <f>IF($J112="Customer",_xll.NL("first",$J112,"Name","No.","@@"&amp;$K112),"")</f>
        <v/>
      </c>
      <c r="M112" s="42" t="str">
        <f>"TrendTech"</f>
        <v>TrendTech</v>
      </c>
      <c r="N112" s="42" t="str">
        <f>IF($J112="Item",_xll.NL("first",$J112,"Description","No.","@@"&amp;$K112),"")</f>
        <v/>
      </c>
      <c r="O112" s="43">
        <v>200</v>
      </c>
      <c r="P112" s="43">
        <v>0</v>
      </c>
      <c r="Q112" s="43">
        <v>0</v>
      </c>
      <c r="R112" s="43">
        <v>0</v>
      </c>
      <c r="S112" s="43">
        <v>0</v>
      </c>
      <c r="T112" s="43">
        <v>0</v>
      </c>
      <c r="U112" s="56"/>
    </row>
    <row r="113" spans="1:21" ht="17.25" customHeight="1" x14ac:dyDescent="0.3">
      <c r="A113" s="15" t="s">
        <v>30</v>
      </c>
      <c r="C113" s="19"/>
      <c r="D113" s="33" t="str">
        <f t="shared" si="20"/>
        <v>C100007</v>
      </c>
      <c r="E113" s="33"/>
      <c r="F113" s="34"/>
      <c r="G113" s="34" t="str">
        <f>"""NAV Direct"",""CRONUS JetCorp USA"",""32"",""1"",""166385"""</f>
        <v>"NAV Direct","CRONUS JetCorp USA","32","1","166385"</v>
      </c>
      <c r="H113" s="40">
        <v>43466</v>
      </c>
      <c r="I113" s="41">
        <v>166385</v>
      </c>
      <c r="J113" s="42" t="str">
        <f>"Vendor"</f>
        <v>Vendor</v>
      </c>
      <c r="K113" s="42" t="str">
        <f>"V100001"</f>
        <v>V100001</v>
      </c>
      <c r="L113" s="42" t="str">
        <f>IF($J113="Customer",_xll.NL("first",$J113,"Name","No.","@@"&amp;$K113),"")</f>
        <v/>
      </c>
      <c r="M113" s="42" t="str">
        <f>"Greigner, Inc."</f>
        <v>Greigner, Inc.</v>
      </c>
      <c r="N113" s="42" t="str">
        <f>IF($J113="Item",_xll.NL("first",$J113,"Description","No.","@@"&amp;$K113),"")</f>
        <v/>
      </c>
      <c r="O113" s="43">
        <v>200</v>
      </c>
      <c r="P113" s="43">
        <v>0</v>
      </c>
      <c r="Q113" s="43">
        <v>0</v>
      </c>
      <c r="R113" s="43">
        <v>0</v>
      </c>
      <c r="S113" s="43">
        <v>0</v>
      </c>
      <c r="T113" s="43">
        <v>0</v>
      </c>
      <c r="U113" s="56"/>
    </row>
    <row r="114" spans="1:21" ht="17.25" customHeight="1" x14ac:dyDescent="0.3">
      <c r="A114" s="15" t="s">
        <v>30</v>
      </c>
      <c r="C114" s="19"/>
      <c r="D114" s="33" t="str">
        <f t="shared" si="20"/>
        <v>C100007</v>
      </c>
      <c r="E114" s="33"/>
      <c r="F114" s="34"/>
      <c r="G114" s="34" t="str">
        <f>"""NAV Direct"",""CRONUS JetCorp USA"",""32"",""1"",""166414"""</f>
        <v>"NAV Direct","CRONUS JetCorp USA","32","1","166414"</v>
      </c>
      <c r="H114" s="40">
        <v>43466</v>
      </c>
      <c r="I114" s="41">
        <v>166414</v>
      </c>
      <c r="J114" s="42" t="str">
        <f>"Vendor"</f>
        <v>Vendor</v>
      </c>
      <c r="K114" s="42" t="str">
        <f>"V100003"</f>
        <v>V100003</v>
      </c>
      <c r="L114" s="42" t="str">
        <f>IF($J114="Customer",_xll.NL("first",$J114,"Name","No.","@@"&amp;$K114),"")</f>
        <v/>
      </c>
      <c r="M114" s="42" t="str">
        <f>"LogoMasters"</f>
        <v>LogoMasters</v>
      </c>
      <c r="N114" s="42" t="str">
        <f>IF($J114="Item",_xll.NL("first",$J114,"Description","No.","@@"&amp;$K114),"")</f>
        <v/>
      </c>
      <c r="O114" s="43">
        <v>300</v>
      </c>
      <c r="P114" s="43">
        <v>0</v>
      </c>
      <c r="Q114" s="43">
        <v>0</v>
      </c>
      <c r="R114" s="43">
        <v>0</v>
      </c>
      <c r="S114" s="43">
        <v>0</v>
      </c>
      <c r="T114" s="43">
        <v>0</v>
      </c>
      <c r="U114" s="56"/>
    </row>
    <row r="115" spans="1:21" ht="17.25" customHeight="1" x14ac:dyDescent="0.3">
      <c r="A115" s="15" t="s">
        <v>30</v>
      </c>
      <c r="C115" s="19"/>
      <c r="D115" s="33" t="str">
        <f t="shared" si="20"/>
        <v>C100007</v>
      </c>
      <c r="E115" s="33"/>
      <c r="F115" s="34"/>
      <c r="G115" s="34" t="str">
        <f>"""NAV Direct"",""CRONUS JetCorp USA"",""32"",""1"",""3891"""</f>
        <v>"NAV Direct","CRONUS JetCorp USA","32","1","3891"</v>
      </c>
      <c r="H115" s="40">
        <v>43467</v>
      </c>
      <c r="I115" s="41">
        <v>3891</v>
      </c>
      <c r="J115" s="42" t="str">
        <f>"Customer"</f>
        <v>Customer</v>
      </c>
      <c r="K115" s="42" t="str">
        <f>"C100099"</f>
        <v>C100099</v>
      </c>
      <c r="L115" s="42" t="str">
        <f>IF($J115="Customer",_xll.NL("first",$J115,"Name","No.","@@"&amp;$K115),"")</f>
        <v>Voltive Systems</v>
      </c>
      <c r="M115" s="42" t="str">
        <f>""</f>
        <v/>
      </c>
      <c r="N115" s="42" t="str">
        <f>IF($J115="Item",_xll.NL("first",$J115,"Description","No.","@@"&amp;$K115),"")</f>
        <v/>
      </c>
      <c r="O115" s="43">
        <v>0</v>
      </c>
      <c r="P115" s="43">
        <v>-156</v>
      </c>
      <c r="Q115" s="43">
        <v>0</v>
      </c>
      <c r="R115" s="43">
        <v>0</v>
      </c>
      <c r="S115" s="43">
        <v>0</v>
      </c>
      <c r="T115" s="43">
        <v>0</v>
      </c>
      <c r="U115" s="56"/>
    </row>
    <row r="116" spans="1:21" ht="17.25" customHeight="1" x14ac:dyDescent="0.3">
      <c r="A116" s="15" t="s">
        <v>30</v>
      </c>
      <c r="C116" s="19"/>
      <c r="D116" s="33" t="str">
        <f t="shared" si="20"/>
        <v>C100007</v>
      </c>
      <c r="E116" s="33"/>
      <c r="F116" s="34"/>
      <c r="G116" s="34" t="str">
        <f>"""NAV Direct"",""CRONUS JetCorp USA"",""32"",""1"",""12454"""</f>
        <v>"NAV Direct","CRONUS JetCorp USA","32","1","12454"</v>
      </c>
      <c r="H116" s="40">
        <v>43469</v>
      </c>
      <c r="I116" s="41">
        <v>12454</v>
      </c>
      <c r="J116" s="42" t="str">
        <f>"Customer"</f>
        <v>Customer</v>
      </c>
      <c r="K116" s="42" t="str">
        <f>"C100064"</f>
        <v>C100064</v>
      </c>
      <c r="L116" s="42" t="str">
        <f>IF($J116="Customer",_xll.NL("first",$J116,"Name","No.","@@"&amp;$K116),"")</f>
        <v>Möbel Siegfried</v>
      </c>
      <c r="M116" s="42" t="str">
        <f>""</f>
        <v/>
      </c>
      <c r="N116" s="42" t="str">
        <f>IF($J116="Item",_xll.NL("first",$J116,"Description","No.","@@"&amp;$K116),"")</f>
        <v/>
      </c>
      <c r="O116" s="43">
        <v>0</v>
      </c>
      <c r="P116" s="43">
        <v>-144</v>
      </c>
      <c r="Q116" s="43">
        <v>0</v>
      </c>
      <c r="R116" s="43">
        <v>0</v>
      </c>
      <c r="S116" s="43">
        <v>0</v>
      </c>
      <c r="T116" s="43">
        <v>0</v>
      </c>
      <c r="U116" s="56"/>
    </row>
    <row r="117" spans="1:21" ht="17.25" customHeight="1" x14ac:dyDescent="0.3">
      <c r="A117" s="15" t="s">
        <v>30</v>
      </c>
      <c r="C117" s="19"/>
      <c r="D117" s="33" t="str">
        <f t="shared" si="20"/>
        <v>C100007</v>
      </c>
      <c r="E117" s="33"/>
      <c r="F117" s="34"/>
      <c r="G117" s="34" t="str">
        <f>"""NAV Direct"",""CRONUS JetCorp USA"",""32"",""1"",""111293"""</f>
        <v>"NAV Direct","CRONUS JetCorp USA","32","1","111293"</v>
      </c>
      <c r="H117" s="40">
        <v>43470</v>
      </c>
      <c r="I117" s="41">
        <v>111293</v>
      </c>
      <c r="J117" s="42" t="str">
        <f>"Customer"</f>
        <v>Customer</v>
      </c>
      <c r="K117" s="42" t="str">
        <f>"C100037"</f>
        <v>C100037</v>
      </c>
      <c r="L117" s="42" t="str">
        <f>IF($J117="Customer",_xll.NL("first",$J117,"Name","No.","@@"&amp;$K117),"")</f>
        <v>Tempsons Tropies</v>
      </c>
      <c r="M117" s="42" t="str">
        <f>""</f>
        <v/>
      </c>
      <c r="N117" s="42" t="str">
        <f>IF($J117="Item",_xll.NL("first",$J117,"Description","No.","@@"&amp;$K117),"")</f>
        <v/>
      </c>
      <c r="O117" s="43">
        <v>0</v>
      </c>
      <c r="P117" s="43">
        <v>-144</v>
      </c>
      <c r="Q117" s="43">
        <v>0</v>
      </c>
      <c r="R117" s="43">
        <v>0</v>
      </c>
      <c r="S117" s="43">
        <v>0</v>
      </c>
      <c r="T117" s="43">
        <v>0</v>
      </c>
      <c r="U117" s="56"/>
    </row>
    <row r="118" spans="1:21" ht="17.25" customHeight="1" x14ac:dyDescent="0.3">
      <c r="A118" s="15" t="s">
        <v>30</v>
      </c>
      <c r="C118" s="19"/>
      <c r="D118" s="33" t="str">
        <f t="shared" si="20"/>
        <v>C100007</v>
      </c>
      <c r="E118" s="33"/>
      <c r="F118" s="34"/>
      <c r="G118" s="34" t="str">
        <f>"""NAV Direct"",""CRONUS JetCorp USA"",""32"",""1"",""10227"""</f>
        <v>"NAV Direct","CRONUS JetCorp USA","32","1","10227"</v>
      </c>
      <c r="H118" s="40">
        <v>43471</v>
      </c>
      <c r="I118" s="41">
        <v>10227</v>
      </c>
      <c r="J118" s="42" t="str">
        <f>"Customer"</f>
        <v>Customer</v>
      </c>
      <c r="K118" s="42" t="str">
        <f>"C100066"</f>
        <v>C100066</v>
      </c>
      <c r="L118" s="42" t="str">
        <f>IF($J118="Customer",_xll.NL("first",$J118,"Name","No.","@@"&amp;$K118),"")</f>
        <v>Office Solutions</v>
      </c>
      <c r="M118" s="42" t="str">
        <f>""</f>
        <v/>
      </c>
      <c r="N118" s="42" t="str">
        <f>IF($J118="Item",_xll.NL("first",$J118,"Description","No.","@@"&amp;$K118),"")</f>
        <v/>
      </c>
      <c r="O118" s="43">
        <v>0</v>
      </c>
      <c r="P118" s="43">
        <v>-1</v>
      </c>
      <c r="Q118" s="43">
        <v>0</v>
      </c>
      <c r="R118" s="43">
        <v>0</v>
      </c>
      <c r="S118" s="43">
        <v>0</v>
      </c>
      <c r="T118" s="43">
        <v>0</v>
      </c>
      <c r="U118" s="56"/>
    </row>
    <row r="119" spans="1:21" ht="17.25" customHeight="1" x14ac:dyDescent="0.3">
      <c r="A119" s="15" t="s">
        <v>30</v>
      </c>
      <c r="C119" s="19"/>
      <c r="D119" s="33" t="str">
        <f t="shared" si="20"/>
        <v>C100007</v>
      </c>
      <c r="E119" s="33"/>
      <c r="F119" s="34"/>
      <c r="G119" s="34" t="str">
        <f>"""NAV Direct"",""CRONUS JetCorp USA"",""32"",""1"",""15150"""</f>
        <v>"NAV Direct","CRONUS JetCorp USA","32","1","15150"</v>
      </c>
      <c r="H119" s="40">
        <v>43471</v>
      </c>
      <c r="I119" s="41">
        <v>15150</v>
      </c>
      <c r="J119" s="42" t="str">
        <f>"Customer"</f>
        <v>Customer</v>
      </c>
      <c r="K119" s="42" t="str">
        <f>"C100134"</f>
        <v>C100134</v>
      </c>
      <c r="L119" s="42" t="str">
        <f>IF($J119="Customer",_xll.NL("first",$J119,"Name","No.","@@"&amp;$K119),"")</f>
        <v>Iber Tech</v>
      </c>
      <c r="M119" s="42" t="str">
        <f>""</f>
        <v/>
      </c>
      <c r="N119" s="42" t="str">
        <f>IF($J119="Item",_xll.NL("first",$J119,"Description","No.","@@"&amp;$K119),"")</f>
        <v/>
      </c>
      <c r="O119" s="43">
        <v>0</v>
      </c>
      <c r="P119" s="43">
        <v>-151</v>
      </c>
      <c r="Q119" s="43">
        <v>0</v>
      </c>
      <c r="R119" s="43">
        <v>0</v>
      </c>
      <c r="S119" s="43">
        <v>0</v>
      </c>
      <c r="T119" s="43">
        <v>0</v>
      </c>
      <c r="U119" s="56"/>
    </row>
    <row r="120" spans="1:21" ht="17.25" customHeight="1" x14ac:dyDescent="0.3">
      <c r="A120" s="15" t="s">
        <v>30</v>
      </c>
      <c r="C120" s="19"/>
      <c r="D120" s="33" t="str">
        <f t="shared" si="20"/>
        <v>C100007</v>
      </c>
      <c r="E120" s="33"/>
      <c r="F120" s="34"/>
      <c r="G120" s="34" t="str">
        <f>"""NAV Direct"",""CRONUS JetCorp USA"",""32"",""1"",""118088"""</f>
        <v>"NAV Direct","CRONUS JetCorp USA","32","1","118088"</v>
      </c>
      <c r="H120" s="40">
        <v>43471</v>
      </c>
      <c r="I120" s="41">
        <v>118088</v>
      </c>
      <c r="J120" s="42" t="str">
        <f>"Customer"</f>
        <v>Customer</v>
      </c>
      <c r="K120" s="42" t="str">
        <f>"C100060"</f>
        <v>C100060</v>
      </c>
      <c r="L120" s="42" t="str">
        <f>IF($J120="Customer",_xll.NL("first",$J120,"Name","No.","@@"&amp;$K120),"")</f>
        <v>MEMA Ljubljana d.o.o.</v>
      </c>
      <c r="M120" s="42" t="str">
        <f>""</f>
        <v/>
      </c>
      <c r="N120" s="42" t="str">
        <f>IF($J120="Item",_xll.NL("first",$J120,"Description","No.","@@"&amp;$K120),"")</f>
        <v/>
      </c>
      <c r="O120" s="43">
        <v>0</v>
      </c>
      <c r="P120" s="43">
        <v>-1</v>
      </c>
      <c r="Q120" s="43">
        <v>0</v>
      </c>
      <c r="R120" s="43">
        <v>0</v>
      </c>
      <c r="S120" s="43">
        <v>0</v>
      </c>
      <c r="T120" s="43">
        <v>0</v>
      </c>
      <c r="U120" s="56"/>
    </row>
    <row r="121" spans="1:21" ht="17.25" customHeight="1" x14ac:dyDescent="0.3">
      <c r="A121" s="15" t="s">
        <v>30</v>
      </c>
      <c r="C121" s="19"/>
      <c r="D121" s="33" t="str">
        <f t="shared" si="20"/>
        <v>C100007</v>
      </c>
      <c r="E121" s="33"/>
      <c r="F121" s="34"/>
      <c r="G121" s="34" t="str">
        <f>"""NAV Direct"",""CRONUS JetCorp USA"",""32"",""1"",""116376"""</f>
        <v>"NAV Direct","CRONUS JetCorp USA","32","1","116376"</v>
      </c>
      <c r="H121" s="40">
        <v>43472</v>
      </c>
      <c r="I121" s="41">
        <v>116376</v>
      </c>
      <c r="J121" s="42" t="str">
        <f>"Customer"</f>
        <v>Customer</v>
      </c>
      <c r="K121" s="42" t="str">
        <f>"C100054"</f>
        <v>C100054</v>
      </c>
      <c r="L121" s="42" t="str">
        <f>IF($J121="Customer",_xll.NL("first",$J121,"Name","No.","@@"&amp;$K121),"")</f>
        <v>London Candoxy Storage Campus</v>
      </c>
      <c r="M121" s="42" t="str">
        <f>""</f>
        <v/>
      </c>
      <c r="N121" s="42" t="str">
        <f>IF($J121="Item",_xll.NL("first",$J121,"Description","No.","@@"&amp;$K121),"")</f>
        <v/>
      </c>
      <c r="O121" s="43">
        <v>0</v>
      </c>
      <c r="P121" s="43">
        <v>-6</v>
      </c>
      <c r="Q121" s="43">
        <v>0</v>
      </c>
      <c r="R121" s="43">
        <v>0</v>
      </c>
      <c r="S121" s="43">
        <v>0</v>
      </c>
      <c r="T121" s="43">
        <v>0</v>
      </c>
      <c r="U121" s="56"/>
    </row>
    <row r="122" spans="1:21" ht="17.25" customHeight="1" x14ac:dyDescent="0.3">
      <c r="A122" s="15" t="s">
        <v>30</v>
      </c>
      <c r="C122" s="19"/>
      <c r="D122" s="33" t="str">
        <f t="shared" si="20"/>
        <v>C100007</v>
      </c>
      <c r="E122" s="33"/>
      <c r="F122" s="34"/>
      <c r="G122" s="34" t="str">
        <f>"""NAV Direct"",""CRONUS JetCorp USA"",""32"",""1"",""114288"""</f>
        <v>"NAV Direct","CRONUS JetCorp USA","32","1","114288"</v>
      </c>
      <c r="H122" s="40">
        <v>43473</v>
      </c>
      <c r="I122" s="41">
        <v>114288</v>
      </c>
      <c r="J122" s="42" t="str">
        <f>"Customer"</f>
        <v>Customer</v>
      </c>
      <c r="K122" s="42" t="str">
        <f>"C100083"</f>
        <v>C100083</v>
      </c>
      <c r="L122" s="42" t="str">
        <f>IF($J122="Customer",_xll.NL("first",$J122,"Name","No.","@@"&amp;$K122),"")</f>
        <v>Stanfords</v>
      </c>
      <c r="M122" s="42" t="str">
        <f>""</f>
        <v/>
      </c>
      <c r="N122" s="42" t="str">
        <f>IF($J122="Item",_xll.NL("first",$J122,"Description","No.","@@"&amp;$K122),"")</f>
        <v/>
      </c>
      <c r="O122" s="43">
        <v>0</v>
      </c>
      <c r="P122" s="43">
        <v>-1</v>
      </c>
      <c r="Q122" s="43">
        <v>0</v>
      </c>
      <c r="R122" s="43">
        <v>0</v>
      </c>
      <c r="S122" s="43">
        <v>0</v>
      </c>
      <c r="T122" s="43">
        <v>0</v>
      </c>
      <c r="U122" s="56"/>
    </row>
    <row r="123" spans="1:21" ht="17.25" customHeight="1" x14ac:dyDescent="0.3">
      <c r="A123" s="15" t="s">
        <v>30</v>
      </c>
      <c r="C123" s="19"/>
      <c r="D123" s="33" t="str">
        <f t="shared" si="20"/>
        <v>C100007</v>
      </c>
      <c r="E123" s="33"/>
      <c r="F123" s="34"/>
      <c r="G123" s="34" t="str">
        <f>"""NAV Direct"",""CRONUS JetCorp USA"",""32"",""1"",""114281"""</f>
        <v>"NAV Direct","CRONUS JetCorp USA","32","1","114281"</v>
      </c>
      <c r="H123" s="40">
        <v>43474</v>
      </c>
      <c r="I123" s="41">
        <v>114281</v>
      </c>
      <c r="J123" s="42" t="str">
        <f>"Customer"</f>
        <v>Customer</v>
      </c>
      <c r="K123" s="42" t="str">
        <f>"C100076"</f>
        <v>C100076</v>
      </c>
      <c r="L123" s="42" t="str">
        <f>IF($J123="Customer",_xll.NL("first",$J123,"Name","No.","@@"&amp;$K123),"")</f>
        <v>Showmasters</v>
      </c>
      <c r="M123" s="42" t="str">
        <f>""</f>
        <v/>
      </c>
      <c r="N123" s="42" t="str">
        <f>IF($J123="Item",_xll.NL("first",$J123,"Description","No.","@@"&amp;$K123),"")</f>
        <v/>
      </c>
      <c r="O123" s="43">
        <v>0</v>
      </c>
      <c r="P123" s="43">
        <v>-1</v>
      </c>
      <c r="Q123" s="43">
        <v>0</v>
      </c>
      <c r="R123" s="43">
        <v>0</v>
      </c>
      <c r="S123" s="43">
        <v>0</v>
      </c>
      <c r="T123" s="43">
        <v>0</v>
      </c>
      <c r="U123" s="56"/>
    </row>
    <row r="124" spans="1:21" ht="17.25" customHeight="1" x14ac:dyDescent="0.3">
      <c r="A124" s="15" t="s">
        <v>30</v>
      </c>
      <c r="C124" s="19"/>
      <c r="D124" s="33" t="str">
        <f t="shared" si="20"/>
        <v>C100007</v>
      </c>
      <c r="E124" s="33"/>
      <c r="F124" s="34"/>
      <c r="G124" s="34" t="str">
        <f>"""NAV Direct"",""CRONUS JetCorp USA"",""32"",""1"",""10234"""</f>
        <v>"NAV Direct","CRONUS JetCorp USA","32","1","10234"</v>
      </c>
      <c r="H124" s="40">
        <v>43477</v>
      </c>
      <c r="I124" s="41">
        <v>10234</v>
      </c>
      <c r="J124" s="42" t="str">
        <f>"Customer"</f>
        <v>Customer</v>
      </c>
      <c r="K124" s="42" t="str">
        <f>"C100054"</f>
        <v>C100054</v>
      </c>
      <c r="L124" s="42" t="str">
        <f>IF($J124="Customer",_xll.NL("first",$J124,"Name","No.","@@"&amp;$K124),"")</f>
        <v>London Candoxy Storage Campus</v>
      </c>
      <c r="M124" s="42" t="str">
        <f>""</f>
        <v/>
      </c>
      <c r="N124" s="42" t="str">
        <f>IF($J124="Item",_xll.NL("first",$J124,"Description","No.","@@"&amp;$K124),"")</f>
        <v/>
      </c>
      <c r="O124" s="43">
        <v>0</v>
      </c>
      <c r="P124" s="43">
        <v>-6</v>
      </c>
      <c r="Q124" s="43">
        <v>0</v>
      </c>
      <c r="R124" s="43">
        <v>0</v>
      </c>
      <c r="S124" s="43">
        <v>0</v>
      </c>
      <c r="T124" s="43">
        <v>0</v>
      </c>
      <c r="U124" s="56"/>
    </row>
    <row r="125" spans="1:21" ht="17.25" customHeight="1" x14ac:dyDescent="0.3">
      <c r="A125" s="15" t="s">
        <v>30</v>
      </c>
      <c r="C125" s="19"/>
      <c r="D125" s="33"/>
      <c r="E125" s="33"/>
      <c r="F125" s="34"/>
      <c r="G125" s="34"/>
      <c r="H125" s="34"/>
      <c r="I125" s="34"/>
      <c r="J125" s="34"/>
      <c r="K125" s="34"/>
      <c r="L125" s="34"/>
      <c r="M125" s="34"/>
      <c r="N125" s="34"/>
      <c r="O125" s="44"/>
      <c r="P125" s="44"/>
      <c r="Q125" s="44"/>
      <c r="R125" s="44"/>
      <c r="S125" s="44"/>
      <c r="T125" s="44"/>
      <c r="U125" s="57"/>
    </row>
    <row r="126" spans="1:21" ht="17.25" customHeight="1" x14ac:dyDescent="0.3">
      <c r="A126" s="15" t="s">
        <v>30</v>
      </c>
      <c r="C126" s="19"/>
      <c r="D126" s="33"/>
      <c r="E126" s="33" t="s">
        <v>31</v>
      </c>
      <c r="F126" s="34" t="s">
        <v>31</v>
      </c>
      <c r="G126" s="34" t="s">
        <v>31</v>
      </c>
      <c r="H126" s="34"/>
      <c r="I126" s="34"/>
      <c r="J126" s="34" t="s">
        <v>31</v>
      </c>
      <c r="K126" s="34" t="s">
        <v>31</v>
      </c>
      <c r="L126" s="34" t="s">
        <v>31</v>
      </c>
      <c r="M126" s="34" t="s">
        <v>31</v>
      </c>
      <c r="N126" s="34"/>
      <c r="U126" s="58"/>
    </row>
    <row r="127" spans="1:21" ht="20.25" customHeight="1" x14ac:dyDescent="0.35">
      <c r="A127" s="15" t="s">
        <v>30</v>
      </c>
      <c r="C127" s="19"/>
      <c r="D127" s="35" t="str">
        <f t="shared" ref="D127" si="21">E127</f>
        <v>C100008</v>
      </c>
      <c r="E127" s="36" t="str">
        <f>"C100008"</f>
        <v>C100008</v>
      </c>
      <c r="F127" s="37" t="str">
        <f>"Glacier Vase"</f>
        <v>Glacier Vase</v>
      </c>
      <c r="G127" s="37"/>
      <c r="H127" s="38" t="str">
        <f>"EA"</f>
        <v>EA</v>
      </c>
      <c r="I127" s="37"/>
      <c r="J127" s="37"/>
      <c r="K127" s="37"/>
      <c r="L127" s="37"/>
      <c r="M127" s="37"/>
      <c r="N127" s="37"/>
      <c r="O127" s="39">
        <f>(SUBTOTAL(9,O128:O138))</f>
        <v>1600</v>
      </c>
      <c r="P127" s="39">
        <f>(SUBTOTAL(9,P128:P138))</f>
        <v>-506</v>
      </c>
      <c r="Q127" s="39">
        <f>(SUBTOTAL(9,Q128:Q138))</f>
        <v>0</v>
      </c>
      <c r="R127" s="39">
        <f>(SUBTOTAL(9,R128:R138))</f>
        <v>0</v>
      </c>
      <c r="S127" s="39">
        <f>(SUBTOTAL(9,S128:S138))</f>
        <v>0</v>
      </c>
      <c r="T127" s="39">
        <f>(SUBTOTAL(9,T128:T138))</f>
        <v>0</v>
      </c>
      <c r="U127" s="55">
        <f t="shared" ref="U127" si="22">SUBTOTAL(9,O128:T138)</f>
        <v>1094</v>
      </c>
    </row>
    <row r="128" spans="1:21" ht="17.25" customHeight="1" x14ac:dyDescent="0.3">
      <c r="A128" s="15" t="s">
        <v>30</v>
      </c>
      <c r="C128" s="19"/>
      <c r="D128" s="33" t="str">
        <f t="shared" ref="D128" si="23">D127</f>
        <v>C100008</v>
      </c>
      <c r="E128" s="33"/>
      <c r="F128" s="34"/>
      <c r="G128" s="34" t="str">
        <f>"""NAV Direct"",""CRONUS JetCorp USA"",""32"",""1"",""166347"""</f>
        <v>"NAV Direct","CRONUS JetCorp USA","32","1","166347"</v>
      </c>
      <c r="H128" s="40">
        <v>43466</v>
      </c>
      <c r="I128" s="41">
        <v>166347</v>
      </c>
      <c r="J128" s="42" t="str">
        <f>"Vendor"</f>
        <v>Vendor</v>
      </c>
      <c r="K128" s="42" t="str">
        <f>"V100040"</f>
        <v>V100040</v>
      </c>
      <c r="L128" s="42" t="str">
        <f>IF($J128="Customer",_xll.NL("first",$J128,"Name","No.","@@"&amp;$K128),"")</f>
        <v/>
      </c>
      <c r="M128" s="42" t="str">
        <f>"Technische Betriebe Rotkreuz"</f>
        <v>Technische Betriebe Rotkreuz</v>
      </c>
      <c r="N128" s="42" t="str">
        <f>IF($J128="Item",_xll.NL("first",$J128,"Description","No.","@@"&amp;$K128),"")</f>
        <v/>
      </c>
      <c r="O128" s="43">
        <v>400</v>
      </c>
      <c r="P128" s="43">
        <v>0</v>
      </c>
      <c r="Q128" s="43">
        <v>0</v>
      </c>
      <c r="R128" s="43">
        <v>0</v>
      </c>
      <c r="S128" s="43">
        <v>0</v>
      </c>
      <c r="T128" s="43">
        <v>0</v>
      </c>
      <c r="U128" s="56"/>
    </row>
    <row r="129" spans="1:21" ht="17.25" customHeight="1" x14ac:dyDescent="0.3">
      <c r="A129" s="15" t="s">
        <v>30</v>
      </c>
      <c r="C129" s="19"/>
      <c r="D129" s="33" t="str">
        <f t="shared" ref="D129:D137" si="24">D128</f>
        <v>C100008</v>
      </c>
      <c r="E129" s="33"/>
      <c r="F129" s="34"/>
      <c r="G129" s="34" t="str">
        <f>"""NAV Direct"",""CRONUS JetCorp USA"",""32"",""1"",""166366"""</f>
        <v>"NAV Direct","CRONUS JetCorp USA","32","1","166366"</v>
      </c>
      <c r="H129" s="40">
        <v>43466</v>
      </c>
      <c r="I129" s="41">
        <v>166366</v>
      </c>
      <c r="J129" s="42" t="str">
        <f>"Vendor"</f>
        <v>Vendor</v>
      </c>
      <c r="K129" s="42" t="str">
        <f>"V100007"</f>
        <v>V100007</v>
      </c>
      <c r="L129" s="42" t="str">
        <f>IF($J129="Customer",_xll.NL("first",$J129,"Name","No.","@@"&amp;$K129),"")</f>
        <v/>
      </c>
      <c r="M129" s="42" t="str">
        <f>"TrendTech"</f>
        <v>TrendTech</v>
      </c>
      <c r="N129" s="42" t="str">
        <f>IF($J129="Item",_xll.NL("first",$J129,"Description","No.","@@"&amp;$K129),"")</f>
        <v/>
      </c>
      <c r="O129" s="43">
        <v>499.99999999999994</v>
      </c>
      <c r="P129" s="43">
        <v>0</v>
      </c>
      <c r="Q129" s="43">
        <v>0</v>
      </c>
      <c r="R129" s="43">
        <v>0</v>
      </c>
      <c r="S129" s="43">
        <v>0</v>
      </c>
      <c r="T129" s="43">
        <v>0</v>
      </c>
      <c r="U129" s="56"/>
    </row>
    <row r="130" spans="1:21" ht="17.25" customHeight="1" x14ac:dyDescent="0.3">
      <c r="A130" s="15" t="s">
        <v>30</v>
      </c>
      <c r="C130" s="19"/>
      <c r="D130" s="33" t="str">
        <f t="shared" si="24"/>
        <v>C100008</v>
      </c>
      <c r="E130" s="33"/>
      <c r="F130" s="34"/>
      <c r="G130" s="34" t="str">
        <f>"""NAV Direct"",""CRONUS JetCorp USA"",""32"",""1"",""166384"""</f>
        <v>"NAV Direct","CRONUS JetCorp USA","32","1","166384"</v>
      </c>
      <c r="H130" s="40">
        <v>43466</v>
      </c>
      <c r="I130" s="41">
        <v>166384</v>
      </c>
      <c r="J130" s="42" t="str">
        <f>"Vendor"</f>
        <v>Vendor</v>
      </c>
      <c r="K130" s="42" t="str">
        <f>"V100001"</f>
        <v>V100001</v>
      </c>
      <c r="L130" s="42" t="str">
        <f>IF($J130="Customer",_xll.NL("first",$J130,"Name","No.","@@"&amp;$K130),"")</f>
        <v/>
      </c>
      <c r="M130" s="42" t="str">
        <f>"Greigner, Inc."</f>
        <v>Greigner, Inc.</v>
      </c>
      <c r="N130" s="42" t="str">
        <f>IF($J130="Item",_xll.NL("first",$J130,"Description","No.","@@"&amp;$K130),"")</f>
        <v/>
      </c>
      <c r="O130" s="43">
        <v>100</v>
      </c>
      <c r="P130" s="43">
        <v>0</v>
      </c>
      <c r="Q130" s="43">
        <v>0</v>
      </c>
      <c r="R130" s="43">
        <v>0</v>
      </c>
      <c r="S130" s="43">
        <v>0</v>
      </c>
      <c r="T130" s="43">
        <v>0</v>
      </c>
      <c r="U130" s="56"/>
    </row>
    <row r="131" spans="1:21" ht="17.25" customHeight="1" x14ac:dyDescent="0.3">
      <c r="A131" s="15" t="s">
        <v>30</v>
      </c>
      <c r="C131" s="19"/>
      <c r="D131" s="33" t="str">
        <f t="shared" si="24"/>
        <v>C100008</v>
      </c>
      <c r="E131" s="33"/>
      <c r="F131" s="34"/>
      <c r="G131" s="34" t="str">
        <f>"""NAV Direct"",""CRONUS JetCorp USA"",""32"",""1"",""166413"""</f>
        <v>"NAV Direct","CRONUS JetCorp USA","32","1","166413"</v>
      </c>
      <c r="H131" s="40">
        <v>43466</v>
      </c>
      <c r="I131" s="41">
        <v>166413</v>
      </c>
      <c r="J131" s="42" t="str">
        <f>"Vendor"</f>
        <v>Vendor</v>
      </c>
      <c r="K131" s="42" t="str">
        <f>"V100003"</f>
        <v>V100003</v>
      </c>
      <c r="L131" s="42" t="str">
        <f>IF($J131="Customer",_xll.NL("first",$J131,"Name","No.","@@"&amp;$K131),"")</f>
        <v/>
      </c>
      <c r="M131" s="42" t="str">
        <f>"LogoMasters"</f>
        <v>LogoMasters</v>
      </c>
      <c r="N131" s="42" t="str">
        <f>IF($J131="Item",_xll.NL("first",$J131,"Description","No.","@@"&amp;$K131),"")</f>
        <v/>
      </c>
      <c r="O131" s="43">
        <v>600</v>
      </c>
      <c r="P131" s="43">
        <v>0</v>
      </c>
      <c r="Q131" s="43">
        <v>0</v>
      </c>
      <c r="R131" s="43">
        <v>0</v>
      </c>
      <c r="S131" s="43">
        <v>0</v>
      </c>
      <c r="T131" s="43">
        <v>0</v>
      </c>
      <c r="U131" s="56"/>
    </row>
    <row r="132" spans="1:21" ht="17.25" customHeight="1" x14ac:dyDescent="0.3">
      <c r="A132" s="15" t="s">
        <v>30</v>
      </c>
      <c r="C132" s="19"/>
      <c r="D132" s="33" t="str">
        <f t="shared" si="24"/>
        <v>C100008</v>
      </c>
      <c r="E132" s="33"/>
      <c r="F132" s="34"/>
      <c r="G132" s="34" t="str">
        <f>"""NAV Direct"",""CRONUS JetCorp USA"",""32"",""1"",""7562"""</f>
        <v>"NAV Direct","CRONUS JetCorp USA","32","1","7562"</v>
      </c>
      <c r="H132" s="40">
        <v>43469</v>
      </c>
      <c r="I132" s="41">
        <v>7562</v>
      </c>
      <c r="J132" s="42" t="str">
        <f>"Customer"</f>
        <v>Customer</v>
      </c>
      <c r="K132" s="42" t="str">
        <f>"C100030"</f>
        <v>C100030</v>
      </c>
      <c r="L132" s="42" t="str">
        <f>IF($J132="Customer",_xll.NL("first",$J132,"Name","No.","@@"&amp;$K132),"")</f>
        <v>Stutringers</v>
      </c>
      <c r="M132" s="42" t="str">
        <f>""</f>
        <v/>
      </c>
      <c r="N132" s="42" t="str">
        <f>IF($J132="Item",_xll.NL("first",$J132,"Description","No.","@@"&amp;$K132),"")</f>
        <v/>
      </c>
      <c r="O132" s="43">
        <v>0</v>
      </c>
      <c r="P132" s="43">
        <v>-1</v>
      </c>
      <c r="Q132" s="43">
        <v>0</v>
      </c>
      <c r="R132" s="43">
        <v>0</v>
      </c>
      <c r="S132" s="43">
        <v>0</v>
      </c>
      <c r="T132" s="43">
        <v>0</v>
      </c>
      <c r="U132" s="56"/>
    </row>
    <row r="133" spans="1:21" ht="17.25" customHeight="1" x14ac:dyDescent="0.3">
      <c r="A133" s="15" t="s">
        <v>30</v>
      </c>
      <c r="C133" s="19"/>
      <c r="D133" s="33" t="str">
        <f t="shared" si="24"/>
        <v>C100008</v>
      </c>
      <c r="E133" s="33"/>
      <c r="F133" s="34"/>
      <c r="G133" s="34" t="str">
        <f>"""NAV Direct"",""CRONUS JetCorp USA"",""32"",""1"",""114266"""</f>
        <v>"NAV Direct","CRONUS JetCorp USA","32","1","114266"</v>
      </c>
      <c r="H133" s="40">
        <v>43470</v>
      </c>
      <c r="I133" s="41">
        <v>114266</v>
      </c>
      <c r="J133" s="42" t="str">
        <f>"Customer"</f>
        <v>Customer</v>
      </c>
      <c r="K133" s="42" t="str">
        <f>"C100076"</f>
        <v>C100076</v>
      </c>
      <c r="L133" s="42" t="str">
        <f>IF($J133="Customer",_xll.NL("first",$J133,"Name","No.","@@"&amp;$K133),"")</f>
        <v>Showmasters</v>
      </c>
      <c r="M133" s="42" t="str">
        <f>""</f>
        <v/>
      </c>
      <c r="N133" s="42" t="str">
        <f>IF($J133="Item",_xll.NL("first",$J133,"Description","No.","@@"&amp;$K133),"")</f>
        <v/>
      </c>
      <c r="O133" s="43">
        <v>0</v>
      </c>
      <c r="P133" s="43">
        <v>-288</v>
      </c>
      <c r="Q133" s="43">
        <v>0</v>
      </c>
      <c r="R133" s="43">
        <v>0</v>
      </c>
      <c r="S133" s="43">
        <v>0</v>
      </c>
      <c r="T133" s="43">
        <v>0</v>
      </c>
      <c r="U133" s="56"/>
    </row>
    <row r="134" spans="1:21" ht="17.25" customHeight="1" x14ac:dyDescent="0.3">
      <c r="A134" s="15" t="s">
        <v>30</v>
      </c>
      <c r="C134" s="19"/>
      <c r="D134" s="33" t="str">
        <f t="shared" si="24"/>
        <v>C100008</v>
      </c>
      <c r="E134" s="33"/>
      <c r="F134" s="34"/>
      <c r="G134" s="34" t="str">
        <f>"""NAV Direct"",""CRONUS JetCorp USA"",""32"",""1"",""118073"""</f>
        <v>"NAV Direct","CRONUS JetCorp USA","32","1","118073"</v>
      </c>
      <c r="H134" s="40">
        <v>43471</v>
      </c>
      <c r="I134" s="41">
        <v>118073</v>
      </c>
      <c r="J134" s="42" t="str">
        <f>"Customer"</f>
        <v>Customer</v>
      </c>
      <c r="K134" s="42" t="str">
        <f>"C100060"</f>
        <v>C100060</v>
      </c>
      <c r="L134" s="42" t="str">
        <f>IF($J134="Customer",_xll.NL("first",$J134,"Name","No.","@@"&amp;$K134),"")</f>
        <v>MEMA Ljubljana d.o.o.</v>
      </c>
      <c r="M134" s="42" t="str">
        <f>""</f>
        <v/>
      </c>
      <c r="N134" s="42" t="str">
        <f>IF($J134="Item",_xll.NL("first",$J134,"Description","No.","@@"&amp;$K134),"")</f>
        <v/>
      </c>
      <c r="O134" s="43">
        <v>0</v>
      </c>
      <c r="P134" s="43">
        <v>-60</v>
      </c>
      <c r="Q134" s="43">
        <v>0</v>
      </c>
      <c r="R134" s="43">
        <v>0</v>
      </c>
      <c r="S134" s="43">
        <v>0</v>
      </c>
      <c r="T134" s="43">
        <v>0</v>
      </c>
      <c r="U134" s="56"/>
    </row>
    <row r="135" spans="1:21" ht="17.25" customHeight="1" x14ac:dyDescent="0.3">
      <c r="A135" s="15" t="s">
        <v>30</v>
      </c>
      <c r="C135" s="19"/>
      <c r="D135" s="33" t="str">
        <f t="shared" si="24"/>
        <v>C100008</v>
      </c>
      <c r="E135" s="33"/>
      <c r="F135" s="34"/>
      <c r="G135" s="34" t="str">
        <f>"""NAV Direct"",""CRONUS JetCorp USA"",""32"",""1"",""3914"""</f>
        <v>"NAV Direct","CRONUS JetCorp USA","32","1","3914"</v>
      </c>
      <c r="H135" s="40">
        <v>43472</v>
      </c>
      <c r="I135" s="41">
        <v>3914</v>
      </c>
      <c r="J135" s="42" t="str">
        <f>"Customer"</f>
        <v>Customer</v>
      </c>
      <c r="K135" s="42" t="str">
        <f>"C100099"</f>
        <v>C100099</v>
      </c>
      <c r="L135" s="42" t="str">
        <f>IF($J135="Customer",_xll.NL("first",$J135,"Name","No.","@@"&amp;$K135),"")</f>
        <v>Voltive Systems</v>
      </c>
      <c r="M135" s="42" t="str">
        <f>""</f>
        <v/>
      </c>
      <c r="N135" s="42" t="str">
        <f>IF($J135="Item",_xll.NL("first",$J135,"Description","No.","@@"&amp;$K135),"")</f>
        <v/>
      </c>
      <c r="O135" s="43">
        <v>0</v>
      </c>
      <c r="P135" s="43">
        <v>-1</v>
      </c>
      <c r="Q135" s="43">
        <v>0</v>
      </c>
      <c r="R135" s="43">
        <v>0</v>
      </c>
      <c r="S135" s="43">
        <v>0</v>
      </c>
      <c r="T135" s="43">
        <v>0</v>
      </c>
      <c r="U135" s="56"/>
    </row>
    <row r="136" spans="1:21" ht="17.25" customHeight="1" x14ac:dyDescent="0.3">
      <c r="A136" s="15" t="s">
        <v>30</v>
      </c>
      <c r="C136" s="19"/>
      <c r="D136" s="33" t="str">
        <f t="shared" si="24"/>
        <v>C100008</v>
      </c>
      <c r="E136" s="33"/>
      <c r="F136" s="34"/>
      <c r="G136" s="34" t="str">
        <f>"""NAV Direct"",""CRONUS JetCorp USA"",""32"",""1"",""116373"""</f>
        <v>"NAV Direct","CRONUS JetCorp USA","32","1","116373"</v>
      </c>
      <c r="H136" s="40">
        <v>43472</v>
      </c>
      <c r="I136" s="41">
        <v>116373</v>
      </c>
      <c r="J136" s="42" t="str">
        <f>"Customer"</f>
        <v>Customer</v>
      </c>
      <c r="K136" s="42" t="str">
        <f>"C100054"</f>
        <v>C100054</v>
      </c>
      <c r="L136" s="42" t="str">
        <f>IF($J136="Customer",_xll.NL("first",$J136,"Name","No.","@@"&amp;$K136),"")</f>
        <v>London Candoxy Storage Campus</v>
      </c>
      <c r="M136" s="42" t="str">
        <f>""</f>
        <v/>
      </c>
      <c r="N136" s="42" t="str">
        <f>IF($J136="Item",_xll.NL("first",$J136,"Description","No.","@@"&amp;$K136),"")</f>
        <v/>
      </c>
      <c r="O136" s="43">
        <v>0</v>
      </c>
      <c r="P136" s="43">
        <v>-12</v>
      </c>
      <c r="Q136" s="43">
        <v>0</v>
      </c>
      <c r="R136" s="43">
        <v>0</v>
      </c>
      <c r="S136" s="43">
        <v>0</v>
      </c>
      <c r="T136" s="43">
        <v>0</v>
      </c>
      <c r="U136" s="56"/>
    </row>
    <row r="137" spans="1:21" ht="17.25" customHeight="1" x14ac:dyDescent="0.3">
      <c r="A137" s="15" t="s">
        <v>30</v>
      </c>
      <c r="C137" s="19"/>
      <c r="D137" s="33" t="str">
        <f t="shared" si="24"/>
        <v>C100008</v>
      </c>
      <c r="E137" s="33"/>
      <c r="F137" s="34"/>
      <c r="G137" s="34" t="str">
        <f>"""NAV Direct"",""CRONUS JetCorp USA"",""32"",""1"",""7567"""</f>
        <v>"NAV Direct","CRONUS JetCorp USA","32","1","7567"</v>
      </c>
      <c r="H137" s="40">
        <v>43477</v>
      </c>
      <c r="I137" s="41">
        <v>7567</v>
      </c>
      <c r="J137" s="42" t="str">
        <f>"Customer"</f>
        <v>Customer</v>
      </c>
      <c r="K137" s="42" t="str">
        <f>"C100076"</f>
        <v>C100076</v>
      </c>
      <c r="L137" s="42" t="str">
        <f>IF($J137="Customer",_xll.NL("first",$J137,"Name","No.","@@"&amp;$K137),"")</f>
        <v>Showmasters</v>
      </c>
      <c r="M137" s="42" t="str">
        <f>""</f>
        <v/>
      </c>
      <c r="N137" s="42" t="str">
        <f>IF($J137="Item",_xll.NL("first",$J137,"Description","No.","@@"&amp;$K137),"")</f>
        <v/>
      </c>
      <c r="O137" s="43">
        <v>0</v>
      </c>
      <c r="P137" s="43">
        <v>-144</v>
      </c>
      <c r="Q137" s="43">
        <v>0</v>
      </c>
      <c r="R137" s="43">
        <v>0</v>
      </c>
      <c r="S137" s="43">
        <v>0</v>
      </c>
      <c r="T137" s="43">
        <v>0</v>
      </c>
      <c r="U137" s="56"/>
    </row>
    <row r="138" spans="1:21" ht="17.25" customHeight="1" x14ac:dyDescent="0.3">
      <c r="A138" s="15" t="s">
        <v>30</v>
      </c>
      <c r="C138" s="19"/>
      <c r="D138" s="33"/>
      <c r="E138" s="33"/>
      <c r="F138" s="34"/>
      <c r="G138" s="34"/>
      <c r="H138" s="34"/>
      <c r="I138" s="34"/>
      <c r="J138" s="34"/>
      <c r="K138" s="34"/>
      <c r="L138" s="34"/>
      <c r="M138" s="34"/>
      <c r="N138" s="34"/>
      <c r="O138" s="44"/>
      <c r="P138" s="44"/>
      <c r="Q138" s="44"/>
      <c r="R138" s="44"/>
      <c r="S138" s="44"/>
      <c r="T138" s="44"/>
      <c r="U138" s="57"/>
    </row>
    <row r="139" spans="1:21" ht="17.25" customHeight="1" x14ac:dyDescent="0.3">
      <c r="A139" s="15" t="s">
        <v>30</v>
      </c>
      <c r="C139" s="19"/>
      <c r="D139" s="33"/>
      <c r="E139" s="33" t="s">
        <v>31</v>
      </c>
      <c r="F139" s="34" t="s">
        <v>31</v>
      </c>
      <c r="G139" s="34" t="s">
        <v>31</v>
      </c>
      <c r="H139" s="34"/>
      <c r="I139" s="34"/>
      <c r="J139" s="34" t="s">
        <v>31</v>
      </c>
      <c r="K139" s="34" t="s">
        <v>31</v>
      </c>
      <c r="L139" s="34" t="s">
        <v>31</v>
      </c>
      <c r="M139" s="34" t="s">
        <v>31</v>
      </c>
      <c r="N139" s="34"/>
      <c r="U139" s="58"/>
    </row>
    <row r="140" spans="1:21" ht="20.25" customHeight="1" x14ac:dyDescent="0.35">
      <c r="A140" s="15" t="s">
        <v>30</v>
      </c>
      <c r="C140" s="19"/>
      <c r="D140" s="35" t="str">
        <f t="shared" ref="D140" si="25">E140</f>
        <v>C100009</v>
      </c>
      <c r="E140" s="36" t="str">
        <f>"C100009"</f>
        <v>C100009</v>
      </c>
      <c r="F140" s="37" t="str">
        <f>"Normandy Vase"</f>
        <v>Normandy Vase</v>
      </c>
      <c r="G140" s="37"/>
      <c r="H140" s="38" t="str">
        <f>"EA"</f>
        <v>EA</v>
      </c>
      <c r="I140" s="37"/>
      <c r="J140" s="37"/>
      <c r="K140" s="37"/>
      <c r="L140" s="37"/>
      <c r="M140" s="37"/>
      <c r="N140" s="37"/>
      <c r="O140" s="39">
        <f>(SUBTOTAL(9,O141:O151))</f>
        <v>1200</v>
      </c>
      <c r="P140" s="39">
        <f>(SUBTOTAL(9,P141:P151))</f>
        <v>-218</v>
      </c>
      <c r="Q140" s="39">
        <f>(SUBTOTAL(9,Q141:Q151))</f>
        <v>0</v>
      </c>
      <c r="R140" s="39">
        <f>(SUBTOTAL(9,R141:R151))</f>
        <v>0</v>
      </c>
      <c r="S140" s="39">
        <f>(SUBTOTAL(9,S141:S151))</f>
        <v>0</v>
      </c>
      <c r="T140" s="39">
        <f>(SUBTOTAL(9,T141:T151))</f>
        <v>0</v>
      </c>
      <c r="U140" s="55">
        <f t="shared" ref="U140" si="26">SUBTOTAL(9,O141:T151)</f>
        <v>982</v>
      </c>
    </row>
    <row r="141" spans="1:21" ht="17.25" customHeight="1" x14ac:dyDescent="0.3">
      <c r="A141" s="15" t="s">
        <v>30</v>
      </c>
      <c r="C141" s="19"/>
      <c r="D141" s="33" t="str">
        <f t="shared" ref="D141" si="27">D140</f>
        <v>C100009</v>
      </c>
      <c r="E141" s="33"/>
      <c r="F141" s="34"/>
      <c r="G141" s="34" t="str">
        <f>"""NAV Direct"",""CRONUS JetCorp USA"",""32"",""1"",""166346"""</f>
        <v>"NAV Direct","CRONUS JetCorp USA","32","1","166346"</v>
      </c>
      <c r="H141" s="40">
        <v>43466</v>
      </c>
      <c r="I141" s="41">
        <v>166346</v>
      </c>
      <c r="J141" s="42" t="str">
        <f>"Vendor"</f>
        <v>Vendor</v>
      </c>
      <c r="K141" s="42" t="str">
        <f>"V100040"</f>
        <v>V100040</v>
      </c>
      <c r="L141" s="42" t="str">
        <f>IF($J141="Customer",_xll.NL("first",$J141,"Name","No.","@@"&amp;$K141),"")</f>
        <v/>
      </c>
      <c r="M141" s="42" t="str">
        <f>"Technische Betriebe Rotkreuz"</f>
        <v>Technische Betriebe Rotkreuz</v>
      </c>
      <c r="N141" s="42" t="str">
        <f>IF($J141="Item",_xll.NL("first",$J141,"Description","No.","@@"&amp;$K141),"")</f>
        <v/>
      </c>
      <c r="O141" s="43">
        <v>200</v>
      </c>
      <c r="P141" s="43">
        <v>0</v>
      </c>
      <c r="Q141" s="43">
        <v>0</v>
      </c>
      <c r="R141" s="43">
        <v>0</v>
      </c>
      <c r="S141" s="43">
        <v>0</v>
      </c>
      <c r="T141" s="43">
        <v>0</v>
      </c>
      <c r="U141" s="56"/>
    </row>
    <row r="142" spans="1:21" ht="17.25" customHeight="1" x14ac:dyDescent="0.3">
      <c r="A142" s="15" t="s">
        <v>30</v>
      </c>
      <c r="C142" s="19"/>
      <c r="D142" s="33" t="str">
        <f t="shared" ref="D142:D150" si="28">D141</f>
        <v>C100009</v>
      </c>
      <c r="E142" s="33"/>
      <c r="F142" s="34"/>
      <c r="G142" s="34" t="str">
        <f>"""NAV Direct"",""CRONUS JetCorp USA"",""32"",""1"",""166365"""</f>
        <v>"NAV Direct","CRONUS JetCorp USA","32","1","166365"</v>
      </c>
      <c r="H142" s="40">
        <v>43466</v>
      </c>
      <c r="I142" s="41">
        <v>166365</v>
      </c>
      <c r="J142" s="42" t="str">
        <f>"Vendor"</f>
        <v>Vendor</v>
      </c>
      <c r="K142" s="42" t="str">
        <f>"V100007"</f>
        <v>V100007</v>
      </c>
      <c r="L142" s="42" t="str">
        <f>IF($J142="Customer",_xll.NL("first",$J142,"Name","No.","@@"&amp;$K142),"")</f>
        <v/>
      </c>
      <c r="M142" s="42" t="str">
        <f>"TrendTech"</f>
        <v>TrendTech</v>
      </c>
      <c r="N142" s="42" t="str">
        <f>IF($J142="Item",_xll.NL("first",$J142,"Description","No.","@@"&amp;$K142),"")</f>
        <v/>
      </c>
      <c r="O142" s="43">
        <v>700</v>
      </c>
      <c r="P142" s="43">
        <v>0</v>
      </c>
      <c r="Q142" s="43">
        <v>0</v>
      </c>
      <c r="R142" s="43">
        <v>0</v>
      </c>
      <c r="S142" s="43">
        <v>0</v>
      </c>
      <c r="T142" s="43">
        <v>0</v>
      </c>
      <c r="U142" s="56"/>
    </row>
    <row r="143" spans="1:21" ht="17.25" customHeight="1" x14ac:dyDescent="0.3">
      <c r="A143" s="15" t="s">
        <v>30</v>
      </c>
      <c r="C143" s="19"/>
      <c r="D143" s="33" t="str">
        <f t="shared" si="28"/>
        <v>C100009</v>
      </c>
      <c r="E143" s="33"/>
      <c r="F143" s="34"/>
      <c r="G143" s="34" t="str">
        <f>"""NAV Direct"",""CRONUS JetCorp USA"",""32"",""1"",""166383"""</f>
        <v>"NAV Direct","CRONUS JetCorp USA","32","1","166383"</v>
      </c>
      <c r="H143" s="40">
        <v>43466</v>
      </c>
      <c r="I143" s="41">
        <v>166383</v>
      </c>
      <c r="J143" s="42" t="str">
        <f>"Vendor"</f>
        <v>Vendor</v>
      </c>
      <c r="K143" s="42" t="str">
        <f>"V100001"</f>
        <v>V100001</v>
      </c>
      <c r="L143" s="42" t="str">
        <f>IF($J143="Customer",_xll.NL("first",$J143,"Name","No.","@@"&amp;$K143),"")</f>
        <v/>
      </c>
      <c r="M143" s="42" t="str">
        <f>"Greigner, Inc."</f>
        <v>Greigner, Inc.</v>
      </c>
      <c r="N143" s="42" t="str">
        <f>IF($J143="Item",_xll.NL("first",$J143,"Description","No.","@@"&amp;$K143),"")</f>
        <v/>
      </c>
      <c r="O143" s="43">
        <v>200</v>
      </c>
      <c r="P143" s="43">
        <v>0</v>
      </c>
      <c r="Q143" s="43">
        <v>0</v>
      </c>
      <c r="R143" s="43">
        <v>0</v>
      </c>
      <c r="S143" s="43">
        <v>0</v>
      </c>
      <c r="T143" s="43">
        <v>0</v>
      </c>
      <c r="U143" s="56"/>
    </row>
    <row r="144" spans="1:21" ht="17.25" customHeight="1" x14ac:dyDescent="0.3">
      <c r="A144" s="15" t="s">
        <v>30</v>
      </c>
      <c r="C144" s="19"/>
      <c r="D144" s="33" t="str">
        <f t="shared" si="28"/>
        <v>C100009</v>
      </c>
      <c r="E144" s="33"/>
      <c r="F144" s="34"/>
      <c r="G144" s="34" t="str">
        <f>"""NAV Direct"",""CRONUS JetCorp USA"",""32"",""1"",""166412"""</f>
        <v>"NAV Direct","CRONUS JetCorp USA","32","1","166412"</v>
      </c>
      <c r="H144" s="40">
        <v>43466</v>
      </c>
      <c r="I144" s="41">
        <v>166412</v>
      </c>
      <c r="J144" s="42" t="str">
        <f>"Vendor"</f>
        <v>Vendor</v>
      </c>
      <c r="K144" s="42" t="str">
        <f>"V100003"</f>
        <v>V100003</v>
      </c>
      <c r="L144" s="42" t="str">
        <f>IF($J144="Customer",_xll.NL("first",$J144,"Name","No.","@@"&amp;$K144),"")</f>
        <v/>
      </c>
      <c r="M144" s="42" t="str">
        <f>"LogoMasters"</f>
        <v>LogoMasters</v>
      </c>
      <c r="N144" s="42" t="str">
        <f>IF($J144="Item",_xll.NL("first",$J144,"Description","No.","@@"&amp;$K144),"")</f>
        <v/>
      </c>
      <c r="O144" s="43">
        <v>100</v>
      </c>
      <c r="P144" s="43">
        <v>0</v>
      </c>
      <c r="Q144" s="43">
        <v>0</v>
      </c>
      <c r="R144" s="43">
        <v>0</v>
      </c>
      <c r="S144" s="43">
        <v>0</v>
      </c>
      <c r="T144" s="43">
        <v>0</v>
      </c>
      <c r="U144" s="56"/>
    </row>
    <row r="145" spans="1:21" ht="17.25" customHeight="1" x14ac:dyDescent="0.3">
      <c r="A145" s="15" t="s">
        <v>30</v>
      </c>
      <c r="C145" s="19"/>
      <c r="D145" s="33" t="str">
        <f t="shared" si="28"/>
        <v>C100009</v>
      </c>
      <c r="E145" s="33"/>
      <c r="F145" s="34"/>
      <c r="G145" s="34" t="str">
        <f>"""NAV Direct"",""CRONUS JetCorp USA"",""32"",""1"",""10219"""</f>
        <v>"NAV Direct","CRONUS JetCorp USA","32","1","10219"</v>
      </c>
      <c r="H145" s="40">
        <v>43471</v>
      </c>
      <c r="I145" s="41">
        <v>10219</v>
      </c>
      <c r="J145" s="42" t="str">
        <f>"Customer"</f>
        <v>Customer</v>
      </c>
      <c r="K145" s="42" t="str">
        <f>"C100066"</f>
        <v>C100066</v>
      </c>
      <c r="L145" s="42" t="str">
        <f>IF($J145="Customer",_xll.NL("first",$J145,"Name","No.","@@"&amp;$K145),"")</f>
        <v>Office Solutions</v>
      </c>
      <c r="M145" s="42" t="str">
        <f>""</f>
        <v/>
      </c>
      <c r="N145" s="42" t="str">
        <f>IF($J145="Item",_xll.NL("first",$J145,"Description","No.","@@"&amp;$K145),"")</f>
        <v/>
      </c>
      <c r="O145" s="43">
        <v>0</v>
      </c>
      <c r="P145" s="43">
        <v>-48</v>
      </c>
      <c r="Q145" s="43">
        <v>0</v>
      </c>
      <c r="R145" s="43">
        <v>0</v>
      </c>
      <c r="S145" s="43">
        <v>0</v>
      </c>
      <c r="T145" s="43">
        <v>0</v>
      </c>
      <c r="U145" s="56"/>
    </row>
    <row r="146" spans="1:21" ht="17.25" customHeight="1" x14ac:dyDescent="0.3">
      <c r="A146" s="15" t="s">
        <v>30</v>
      </c>
      <c r="C146" s="19"/>
      <c r="D146" s="33" t="str">
        <f t="shared" si="28"/>
        <v>C100009</v>
      </c>
      <c r="E146" s="33"/>
      <c r="F146" s="34"/>
      <c r="G146" s="34" t="str">
        <f>"""NAV Direct"",""CRONUS JetCorp USA"",""32"",""1"",""15153"""</f>
        <v>"NAV Direct","CRONUS JetCorp USA","32","1","15153"</v>
      </c>
      <c r="H146" s="40">
        <v>43471</v>
      </c>
      <c r="I146" s="41">
        <v>15153</v>
      </c>
      <c r="J146" s="42" t="str">
        <f>"Customer"</f>
        <v>Customer</v>
      </c>
      <c r="K146" s="42" t="str">
        <f>"C100134"</f>
        <v>C100134</v>
      </c>
      <c r="L146" s="42" t="str">
        <f>IF($J146="Customer",_xll.NL("first",$J146,"Name","No.","@@"&amp;$K146),"")</f>
        <v>Iber Tech</v>
      </c>
      <c r="M146" s="42" t="str">
        <f>""</f>
        <v/>
      </c>
      <c r="N146" s="42" t="str">
        <f>IF($J146="Item",_xll.NL("first",$J146,"Description","No.","@@"&amp;$K146),"")</f>
        <v/>
      </c>
      <c r="O146" s="43">
        <v>0</v>
      </c>
      <c r="P146" s="43">
        <v>-1</v>
      </c>
      <c r="Q146" s="43">
        <v>0</v>
      </c>
      <c r="R146" s="43">
        <v>0</v>
      </c>
      <c r="S146" s="43">
        <v>0</v>
      </c>
      <c r="T146" s="43">
        <v>0</v>
      </c>
      <c r="U146" s="56"/>
    </row>
    <row r="147" spans="1:21" ht="17.25" customHeight="1" x14ac:dyDescent="0.3">
      <c r="A147" s="15" t="s">
        <v>30</v>
      </c>
      <c r="C147" s="19"/>
      <c r="D147" s="33" t="str">
        <f t="shared" si="28"/>
        <v>C100009</v>
      </c>
      <c r="E147" s="33"/>
      <c r="F147" s="34"/>
      <c r="G147" s="34" t="str">
        <f>"""NAV Direct"",""CRONUS JetCorp USA"",""32"",""1"",""118081"""</f>
        <v>"NAV Direct","CRONUS JetCorp USA","32","1","118081"</v>
      </c>
      <c r="H147" s="40">
        <v>43471</v>
      </c>
      <c r="I147" s="41">
        <v>118081</v>
      </c>
      <c r="J147" s="42" t="str">
        <f>"Customer"</f>
        <v>Customer</v>
      </c>
      <c r="K147" s="42" t="str">
        <f>"C100060"</f>
        <v>C100060</v>
      </c>
      <c r="L147" s="42" t="str">
        <f>IF($J147="Customer",_xll.NL("first",$J147,"Name","No.","@@"&amp;$K147),"")</f>
        <v>MEMA Ljubljana d.o.o.</v>
      </c>
      <c r="M147" s="42" t="str">
        <f>""</f>
        <v/>
      </c>
      <c r="N147" s="42" t="str">
        <f>IF($J147="Item",_xll.NL("first",$J147,"Description","No.","@@"&amp;$K147),"")</f>
        <v/>
      </c>
      <c r="O147" s="43">
        <v>0</v>
      </c>
      <c r="P147" s="43">
        <v>-144</v>
      </c>
      <c r="Q147" s="43">
        <v>0</v>
      </c>
      <c r="R147" s="43">
        <v>0</v>
      </c>
      <c r="S147" s="43">
        <v>0</v>
      </c>
      <c r="T147" s="43">
        <v>0</v>
      </c>
      <c r="U147" s="56"/>
    </row>
    <row r="148" spans="1:21" ht="17.25" customHeight="1" x14ac:dyDescent="0.3">
      <c r="A148" s="15" t="s">
        <v>30</v>
      </c>
      <c r="C148" s="19"/>
      <c r="D148" s="33" t="str">
        <f t="shared" si="28"/>
        <v>C100009</v>
      </c>
      <c r="E148" s="33"/>
      <c r="F148" s="34"/>
      <c r="G148" s="34" t="str">
        <f>"""NAV Direct"",""CRONUS JetCorp USA"",""32"",""1"",""111304"""</f>
        <v>"NAV Direct","CRONUS JetCorp USA","32","1","111304"</v>
      </c>
      <c r="H148" s="40">
        <v>43472</v>
      </c>
      <c r="I148" s="41">
        <v>111304</v>
      </c>
      <c r="J148" s="42" t="str">
        <f>"Customer"</f>
        <v>Customer</v>
      </c>
      <c r="K148" s="42" t="str">
        <f>"C100099"</f>
        <v>C100099</v>
      </c>
      <c r="L148" s="42" t="str">
        <f>IF($J148="Customer",_xll.NL("first",$J148,"Name","No.","@@"&amp;$K148),"")</f>
        <v>Voltive Systems</v>
      </c>
      <c r="M148" s="42" t="str">
        <f>""</f>
        <v/>
      </c>
      <c r="N148" s="42" t="str">
        <f>IF($J148="Item",_xll.NL("first",$J148,"Description","No.","@@"&amp;$K148),"")</f>
        <v/>
      </c>
      <c r="O148" s="43">
        <v>0</v>
      </c>
      <c r="P148" s="43">
        <v>-1</v>
      </c>
      <c r="Q148" s="43">
        <v>0</v>
      </c>
      <c r="R148" s="43">
        <v>0</v>
      </c>
      <c r="S148" s="43">
        <v>0</v>
      </c>
      <c r="T148" s="43">
        <v>0</v>
      </c>
      <c r="U148" s="56"/>
    </row>
    <row r="149" spans="1:21" ht="17.25" customHeight="1" x14ac:dyDescent="0.3">
      <c r="A149" s="15" t="s">
        <v>30</v>
      </c>
      <c r="C149" s="19"/>
      <c r="D149" s="33" t="str">
        <f t="shared" si="28"/>
        <v>C100009</v>
      </c>
      <c r="E149" s="33"/>
      <c r="F149" s="34"/>
      <c r="G149" s="34" t="str">
        <f>"""NAV Direct"",""CRONUS JetCorp USA"",""32"",""1"",""116378"""</f>
        <v>"NAV Direct","CRONUS JetCorp USA","32","1","116378"</v>
      </c>
      <c r="H149" s="40">
        <v>43473</v>
      </c>
      <c r="I149" s="41">
        <v>116378</v>
      </c>
      <c r="J149" s="42" t="str">
        <f>"Customer"</f>
        <v>Customer</v>
      </c>
      <c r="K149" s="42" t="str">
        <f>"C100066"</f>
        <v>C100066</v>
      </c>
      <c r="L149" s="42" t="str">
        <f>IF($J149="Customer",_xll.NL("first",$J149,"Name","No.","@@"&amp;$K149),"")</f>
        <v>Office Solutions</v>
      </c>
      <c r="M149" s="42" t="str">
        <f>""</f>
        <v/>
      </c>
      <c r="N149" s="42" t="str">
        <f>IF($J149="Item",_xll.NL("first",$J149,"Description","No.","@@"&amp;$K149),"")</f>
        <v/>
      </c>
      <c r="O149" s="43">
        <v>0</v>
      </c>
      <c r="P149" s="43">
        <v>-12</v>
      </c>
      <c r="Q149" s="43">
        <v>0</v>
      </c>
      <c r="R149" s="43">
        <v>0</v>
      </c>
      <c r="S149" s="43">
        <v>0</v>
      </c>
      <c r="T149" s="43">
        <v>0</v>
      </c>
      <c r="U149" s="56"/>
    </row>
    <row r="150" spans="1:21" ht="17.25" customHeight="1" x14ac:dyDescent="0.3">
      <c r="A150" s="15" t="s">
        <v>30</v>
      </c>
      <c r="C150" s="19"/>
      <c r="D150" s="33" t="str">
        <f t="shared" si="28"/>
        <v>C100009</v>
      </c>
      <c r="E150" s="33"/>
      <c r="F150" s="34"/>
      <c r="G150" s="34" t="str">
        <f>"""NAV Direct"",""CRONUS JetCorp USA"",""32"",""1"",""7568"""</f>
        <v>"NAV Direct","CRONUS JetCorp USA","32","1","7568"</v>
      </c>
      <c r="H150" s="40">
        <v>43477</v>
      </c>
      <c r="I150" s="41">
        <v>7568</v>
      </c>
      <c r="J150" s="42" t="str">
        <f>"Customer"</f>
        <v>Customer</v>
      </c>
      <c r="K150" s="42" t="str">
        <f>"C100076"</f>
        <v>C100076</v>
      </c>
      <c r="L150" s="42" t="str">
        <f>IF($J150="Customer",_xll.NL("first",$J150,"Name","No.","@@"&amp;$K150),"")</f>
        <v>Showmasters</v>
      </c>
      <c r="M150" s="42" t="str">
        <f>""</f>
        <v/>
      </c>
      <c r="N150" s="42" t="str">
        <f>IF($J150="Item",_xll.NL("first",$J150,"Description","No.","@@"&amp;$K150),"")</f>
        <v/>
      </c>
      <c r="O150" s="43">
        <v>0</v>
      </c>
      <c r="P150" s="43">
        <v>-12</v>
      </c>
      <c r="Q150" s="43">
        <v>0</v>
      </c>
      <c r="R150" s="43">
        <v>0</v>
      </c>
      <c r="S150" s="43">
        <v>0</v>
      </c>
      <c r="T150" s="43">
        <v>0</v>
      </c>
      <c r="U150" s="56"/>
    </row>
    <row r="151" spans="1:21" ht="17.25" customHeight="1" x14ac:dyDescent="0.3">
      <c r="A151" s="15" t="s">
        <v>30</v>
      </c>
      <c r="C151" s="19"/>
      <c r="D151" s="33"/>
      <c r="E151" s="33"/>
      <c r="F151" s="34"/>
      <c r="G151" s="34"/>
      <c r="H151" s="34"/>
      <c r="I151" s="34"/>
      <c r="J151" s="34"/>
      <c r="K151" s="34"/>
      <c r="L151" s="34"/>
      <c r="M151" s="34"/>
      <c r="N151" s="34"/>
      <c r="O151" s="44"/>
      <c r="P151" s="44"/>
      <c r="Q151" s="44"/>
      <c r="R151" s="44"/>
      <c r="S151" s="44"/>
      <c r="T151" s="44"/>
      <c r="U151" s="57"/>
    </row>
    <row r="152" spans="1:21" ht="17.25" customHeight="1" x14ac:dyDescent="0.3">
      <c r="A152" s="15" t="s">
        <v>30</v>
      </c>
      <c r="C152" s="19"/>
      <c r="D152" s="33"/>
      <c r="E152" s="33" t="s">
        <v>31</v>
      </c>
      <c r="F152" s="34" t="s">
        <v>31</v>
      </c>
      <c r="G152" s="34" t="s">
        <v>31</v>
      </c>
      <c r="H152" s="34"/>
      <c r="I152" s="34"/>
      <c r="J152" s="34" t="s">
        <v>31</v>
      </c>
      <c r="K152" s="34" t="s">
        <v>31</v>
      </c>
      <c r="L152" s="34" t="s">
        <v>31</v>
      </c>
      <c r="M152" s="34" t="s">
        <v>31</v>
      </c>
      <c r="N152" s="34"/>
      <c r="U152" s="58"/>
    </row>
    <row r="153" spans="1:21" ht="20.25" customHeight="1" x14ac:dyDescent="0.35">
      <c r="A153" s="15" t="s">
        <v>30</v>
      </c>
      <c r="C153" s="19"/>
      <c r="D153" s="35" t="str">
        <f t="shared" ref="D153" si="29">E153</f>
        <v>C100010</v>
      </c>
      <c r="E153" s="36" t="str">
        <f>"C100010"</f>
        <v>C100010</v>
      </c>
      <c r="F153" s="37" t="str">
        <f>"Wisper-Cut Vase"</f>
        <v>Wisper-Cut Vase</v>
      </c>
      <c r="G153" s="37"/>
      <c r="H153" s="38" t="str">
        <f>"EA"</f>
        <v>EA</v>
      </c>
      <c r="I153" s="37"/>
      <c r="J153" s="37"/>
      <c r="K153" s="37"/>
      <c r="L153" s="37"/>
      <c r="M153" s="37"/>
      <c r="N153" s="37"/>
      <c r="O153" s="39">
        <f>(SUBTOTAL(9,O154:O162))</f>
        <v>700</v>
      </c>
      <c r="P153" s="39">
        <f>(SUBTOTAL(9,P154:P162))</f>
        <v>-120</v>
      </c>
      <c r="Q153" s="39">
        <f>(SUBTOTAL(9,Q154:Q162))</f>
        <v>0</v>
      </c>
      <c r="R153" s="39">
        <f>(SUBTOTAL(9,R154:R162))</f>
        <v>0</v>
      </c>
      <c r="S153" s="39">
        <f>(SUBTOTAL(9,S154:S162))</f>
        <v>0</v>
      </c>
      <c r="T153" s="39">
        <f>(SUBTOTAL(9,T154:T162))</f>
        <v>0</v>
      </c>
      <c r="U153" s="55">
        <f t="shared" ref="U153" si="30">SUBTOTAL(9,O154:T162)</f>
        <v>580</v>
      </c>
    </row>
    <row r="154" spans="1:21" ht="17.25" customHeight="1" x14ac:dyDescent="0.3">
      <c r="A154" s="15" t="s">
        <v>30</v>
      </c>
      <c r="C154" s="19"/>
      <c r="D154" s="33" t="str">
        <f t="shared" ref="D154" si="31">D153</f>
        <v>C100010</v>
      </c>
      <c r="E154" s="33"/>
      <c r="F154" s="34"/>
      <c r="G154" s="34" t="str">
        <f>"""NAV Direct"",""CRONUS JetCorp USA"",""32"",""1"",""166329"""</f>
        <v>"NAV Direct","CRONUS JetCorp USA","32","1","166329"</v>
      </c>
      <c r="H154" s="40">
        <v>43466</v>
      </c>
      <c r="I154" s="41">
        <v>166329</v>
      </c>
      <c r="J154" s="42" t="str">
        <f>"Vendor"</f>
        <v>Vendor</v>
      </c>
      <c r="K154" s="42" t="str">
        <f>"V100009"</f>
        <v>V100009</v>
      </c>
      <c r="L154" s="42" t="str">
        <f>IF($J154="Customer",_xll.NL("first",$J154,"Name","No.","@@"&amp;$K154),"")</f>
        <v/>
      </c>
      <c r="M154" s="42" t="str">
        <f>"Malay-Dan Export Unit Sdn Bhd"</f>
        <v>Malay-Dan Export Unit Sdn Bhd</v>
      </c>
      <c r="N154" s="42" t="str">
        <f>IF($J154="Item",_xll.NL("first",$J154,"Description","No.","@@"&amp;$K154),"")</f>
        <v/>
      </c>
      <c r="O154" s="43">
        <v>100</v>
      </c>
      <c r="P154" s="43">
        <v>0</v>
      </c>
      <c r="Q154" s="43">
        <v>0</v>
      </c>
      <c r="R154" s="43">
        <v>0</v>
      </c>
      <c r="S154" s="43">
        <v>0</v>
      </c>
      <c r="T154" s="43">
        <v>0</v>
      </c>
      <c r="U154" s="56"/>
    </row>
    <row r="155" spans="1:21" ht="17.25" customHeight="1" x14ac:dyDescent="0.3">
      <c r="A155" s="15" t="s">
        <v>30</v>
      </c>
      <c r="C155" s="19"/>
      <c r="D155" s="33" t="str">
        <f t="shared" ref="D155:D161" si="32">D154</f>
        <v>C100010</v>
      </c>
      <c r="E155" s="33"/>
      <c r="F155" s="34"/>
      <c r="G155" s="34" t="str">
        <f>"""NAV Direct"",""CRONUS JetCorp USA"",""32"",""1"",""166345"""</f>
        <v>"NAV Direct","CRONUS JetCorp USA","32","1","166345"</v>
      </c>
      <c r="H155" s="40">
        <v>43466</v>
      </c>
      <c r="I155" s="41">
        <v>166345</v>
      </c>
      <c r="J155" s="42" t="str">
        <f>"Vendor"</f>
        <v>Vendor</v>
      </c>
      <c r="K155" s="42" t="str">
        <f>"V100040"</f>
        <v>V100040</v>
      </c>
      <c r="L155" s="42" t="str">
        <f>IF($J155="Customer",_xll.NL("first",$J155,"Name","No.","@@"&amp;$K155),"")</f>
        <v/>
      </c>
      <c r="M155" s="42" t="str">
        <f>"Technische Betriebe Rotkreuz"</f>
        <v>Technische Betriebe Rotkreuz</v>
      </c>
      <c r="N155" s="42" t="str">
        <f>IF($J155="Item",_xll.NL("first",$J155,"Description","No.","@@"&amp;$K155),"")</f>
        <v/>
      </c>
      <c r="O155" s="43">
        <v>100</v>
      </c>
      <c r="P155" s="43">
        <v>0</v>
      </c>
      <c r="Q155" s="43">
        <v>0</v>
      </c>
      <c r="R155" s="43">
        <v>0</v>
      </c>
      <c r="S155" s="43">
        <v>0</v>
      </c>
      <c r="T155" s="43">
        <v>0</v>
      </c>
      <c r="U155" s="56"/>
    </row>
    <row r="156" spans="1:21" ht="17.25" customHeight="1" x14ac:dyDescent="0.3">
      <c r="A156" s="15" t="s">
        <v>30</v>
      </c>
      <c r="C156" s="19"/>
      <c r="D156" s="33" t="str">
        <f t="shared" si="32"/>
        <v>C100010</v>
      </c>
      <c r="E156" s="33"/>
      <c r="F156" s="34"/>
      <c r="G156" s="34" t="str">
        <f>"""NAV Direct"",""CRONUS JetCorp USA"",""32"",""1"",""166364"""</f>
        <v>"NAV Direct","CRONUS JetCorp USA","32","1","166364"</v>
      </c>
      <c r="H156" s="40">
        <v>43466</v>
      </c>
      <c r="I156" s="41">
        <v>166364</v>
      </c>
      <c r="J156" s="42" t="str">
        <f>"Vendor"</f>
        <v>Vendor</v>
      </c>
      <c r="K156" s="42" t="str">
        <f>"V100007"</f>
        <v>V100007</v>
      </c>
      <c r="L156" s="42" t="str">
        <f>IF($J156="Customer",_xll.NL("first",$J156,"Name","No.","@@"&amp;$K156),"")</f>
        <v/>
      </c>
      <c r="M156" s="42" t="str">
        <f>"TrendTech"</f>
        <v>TrendTech</v>
      </c>
      <c r="N156" s="42" t="str">
        <f>IF($J156="Item",_xll.NL("first",$J156,"Description","No.","@@"&amp;$K156),"")</f>
        <v/>
      </c>
      <c r="O156" s="43">
        <v>200</v>
      </c>
      <c r="P156" s="43">
        <v>0</v>
      </c>
      <c r="Q156" s="43">
        <v>0</v>
      </c>
      <c r="R156" s="43">
        <v>0</v>
      </c>
      <c r="S156" s="43">
        <v>0</v>
      </c>
      <c r="T156" s="43">
        <v>0</v>
      </c>
      <c r="U156" s="56"/>
    </row>
    <row r="157" spans="1:21" ht="17.25" customHeight="1" x14ac:dyDescent="0.3">
      <c r="A157" s="15" t="s">
        <v>30</v>
      </c>
      <c r="C157" s="19"/>
      <c r="D157" s="33" t="str">
        <f t="shared" si="32"/>
        <v>C100010</v>
      </c>
      <c r="E157" s="33"/>
      <c r="F157" s="34"/>
      <c r="G157" s="34" t="str">
        <f>"""NAV Direct"",""CRONUS JetCorp USA"",""32"",""1"",""166382"""</f>
        <v>"NAV Direct","CRONUS JetCorp USA","32","1","166382"</v>
      </c>
      <c r="H157" s="40">
        <v>43466</v>
      </c>
      <c r="I157" s="41">
        <v>166382</v>
      </c>
      <c r="J157" s="42" t="str">
        <f>"Vendor"</f>
        <v>Vendor</v>
      </c>
      <c r="K157" s="42" t="str">
        <f>"V100001"</f>
        <v>V100001</v>
      </c>
      <c r="L157" s="42" t="str">
        <f>IF($J157="Customer",_xll.NL("first",$J157,"Name","No.","@@"&amp;$K157),"")</f>
        <v/>
      </c>
      <c r="M157" s="42" t="str">
        <f>"Greigner, Inc."</f>
        <v>Greigner, Inc.</v>
      </c>
      <c r="N157" s="42" t="str">
        <f>IF($J157="Item",_xll.NL("first",$J157,"Description","No.","@@"&amp;$K157),"")</f>
        <v/>
      </c>
      <c r="O157" s="43">
        <v>200</v>
      </c>
      <c r="P157" s="43">
        <v>0</v>
      </c>
      <c r="Q157" s="43">
        <v>0</v>
      </c>
      <c r="R157" s="43">
        <v>0</v>
      </c>
      <c r="S157" s="43">
        <v>0</v>
      </c>
      <c r="T157" s="43">
        <v>0</v>
      </c>
      <c r="U157" s="56"/>
    </row>
    <row r="158" spans="1:21" ht="17.25" customHeight="1" x14ac:dyDescent="0.3">
      <c r="A158" s="15" t="s">
        <v>30</v>
      </c>
      <c r="C158" s="19"/>
      <c r="D158" s="33" t="str">
        <f t="shared" si="32"/>
        <v>C100010</v>
      </c>
      <c r="E158" s="33"/>
      <c r="F158" s="34"/>
      <c r="G158" s="34" t="str">
        <f>"""NAV Direct"",""CRONUS JetCorp USA"",""32"",""1"",""166411"""</f>
        <v>"NAV Direct","CRONUS JetCorp USA","32","1","166411"</v>
      </c>
      <c r="H158" s="40">
        <v>43466</v>
      </c>
      <c r="I158" s="41">
        <v>166411</v>
      </c>
      <c r="J158" s="42" t="str">
        <f>"Vendor"</f>
        <v>Vendor</v>
      </c>
      <c r="K158" s="42" t="str">
        <f>"V100003"</f>
        <v>V100003</v>
      </c>
      <c r="L158" s="42" t="str">
        <f>IF($J158="Customer",_xll.NL("first",$J158,"Name","No.","@@"&amp;$K158),"")</f>
        <v/>
      </c>
      <c r="M158" s="42" t="str">
        <f>"LogoMasters"</f>
        <v>LogoMasters</v>
      </c>
      <c r="N158" s="42" t="str">
        <f>IF($J158="Item",_xll.NL("first",$J158,"Description","No.","@@"&amp;$K158),"")</f>
        <v/>
      </c>
      <c r="O158" s="43">
        <v>100</v>
      </c>
      <c r="P158" s="43">
        <v>0</v>
      </c>
      <c r="Q158" s="43">
        <v>0</v>
      </c>
      <c r="R158" s="43">
        <v>0</v>
      </c>
      <c r="S158" s="43">
        <v>0</v>
      </c>
      <c r="T158" s="43">
        <v>0</v>
      </c>
      <c r="U158" s="56"/>
    </row>
    <row r="159" spans="1:21" ht="17.25" customHeight="1" x14ac:dyDescent="0.3">
      <c r="A159" s="15" t="s">
        <v>30</v>
      </c>
      <c r="C159" s="19"/>
      <c r="D159" s="33" t="str">
        <f t="shared" si="32"/>
        <v>C100010</v>
      </c>
      <c r="E159" s="33"/>
      <c r="F159" s="34"/>
      <c r="G159" s="34" t="str">
        <f>"""NAV Direct"",""CRONUS JetCorp USA"",""32"",""1"",""3885"""</f>
        <v>"NAV Direct","CRONUS JetCorp USA","32","1","3885"</v>
      </c>
      <c r="H159" s="40">
        <v>43467</v>
      </c>
      <c r="I159" s="41">
        <v>3885</v>
      </c>
      <c r="J159" s="42" t="str">
        <f>"Customer"</f>
        <v>Customer</v>
      </c>
      <c r="K159" s="42" t="str">
        <f>"C100099"</f>
        <v>C100099</v>
      </c>
      <c r="L159" s="42" t="str">
        <f>IF($J159="Customer",_xll.NL("first",$J159,"Name","No.","@@"&amp;$K159),"")</f>
        <v>Voltive Systems</v>
      </c>
      <c r="M159" s="42" t="str">
        <f>""</f>
        <v/>
      </c>
      <c r="N159" s="42" t="str">
        <f>IF($J159="Item",_xll.NL("first",$J159,"Description","No.","@@"&amp;$K159),"")</f>
        <v/>
      </c>
      <c r="O159" s="43">
        <v>0</v>
      </c>
      <c r="P159" s="43">
        <v>-48</v>
      </c>
      <c r="Q159" s="43">
        <v>0</v>
      </c>
      <c r="R159" s="43">
        <v>0</v>
      </c>
      <c r="S159" s="43">
        <v>0</v>
      </c>
      <c r="T159" s="43">
        <v>0</v>
      </c>
      <c r="U159" s="56"/>
    </row>
    <row r="160" spans="1:21" ht="17.25" customHeight="1" x14ac:dyDescent="0.3">
      <c r="A160" s="15" t="s">
        <v>30</v>
      </c>
      <c r="C160" s="19"/>
      <c r="D160" s="33" t="str">
        <f t="shared" si="32"/>
        <v>C100010</v>
      </c>
      <c r="E160" s="33"/>
      <c r="F160" s="34"/>
      <c r="G160" s="34" t="str">
        <f>"""NAV Direct"",""CRONUS JetCorp USA"",""32"",""1"",""15147"""</f>
        <v>"NAV Direct","CRONUS JetCorp USA","32","1","15147"</v>
      </c>
      <c r="H160" s="40">
        <v>43471</v>
      </c>
      <c r="I160" s="41">
        <v>15147</v>
      </c>
      <c r="J160" s="42" t="str">
        <f>"Customer"</f>
        <v>Customer</v>
      </c>
      <c r="K160" s="42" t="str">
        <f>"C100134"</f>
        <v>C100134</v>
      </c>
      <c r="L160" s="42" t="str">
        <f>IF($J160="Customer",_xll.NL("first",$J160,"Name","No.","@@"&amp;$K160),"")</f>
        <v>Iber Tech</v>
      </c>
      <c r="M160" s="42" t="str">
        <f>""</f>
        <v/>
      </c>
      <c r="N160" s="42" t="str">
        <f>IF($J160="Item",_xll.NL("first",$J160,"Description","No.","@@"&amp;$K160),"")</f>
        <v/>
      </c>
      <c r="O160" s="43">
        <v>0</v>
      </c>
      <c r="P160" s="43">
        <v>-48</v>
      </c>
      <c r="Q160" s="43">
        <v>0</v>
      </c>
      <c r="R160" s="43">
        <v>0</v>
      </c>
      <c r="S160" s="43">
        <v>0</v>
      </c>
      <c r="T160" s="43">
        <v>0</v>
      </c>
      <c r="U160" s="56"/>
    </row>
    <row r="161" spans="1:21" ht="17.25" customHeight="1" x14ac:dyDescent="0.3">
      <c r="A161" s="15" t="s">
        <v>30</v>
      </c>
      <c r="C161" s="19"/>
      <c r="D161" s="33" t="str">
        <f t="shared" si="32"/>
        <v>C100010</v>
      </c>
      <c r="E161" s="33"/>
      <c r="F161" s="34"/>
      <c r="G161" s="34" t="str">
        <f>"""NAV Direct"",""CRONUS JetCorp USA"",""32"",""1"",""10230"""</f>
        <v>"NAV Direct","CRONUS JetCorp USA","32","1","10230"</v>
      </c>
      <c r="H161" s="40">
        <v>43477</v>
      </c>
      <c r="I161" s="41">
        <v>10230</v>
      </c>
      <c r="J161" s="42" t="str">
        <f>"Customer"</f>
        <v>Customer</v>
      </c>
      <c r="K161" s="42" t="str">
        <f>"C100054"</f>
        <v>C100054</v>
      </c>
      <c r="L161" s="42" t="str">
        <f>IF($J161="Customer",_xll.NL("first",$J161,"Name","No.","@@"&amp;$K161),"")</f>
        <v>London Candoxy Storage Campus</v>
      </c>
      <c r="M161" s="42" t="str">
        <f>""</f>
        <v/>
      </c>
      <c r="N161" s="42" t="str">
        <f>IF($J161="Item",_xll.NL("first",$J161,"Description","No.","@@"&amp;$K161),"")</f>
        <v/>
      </c>
      <c r="O161" s="43">
        <v>0</v>
      </c>
      <c r="P161" s="43">
        <v>-24</v>
      </c>
      <c r="Q161" s="43">
        <v>0</v>
      </c>
      <c r="R161" s="43">
        <v>0</v>
      </c>
      <c r="S161" s="43">
        <v>0</v>
      </c>
      <c r="T161" s="43">
        <v>0</v>
      </c>
      <c r="U161" s="56"/>
    </row>
    <row r="162" spans="1:21" ht="17.25" customHeight="1" x14ac:dyDescent="0.3">
      <c r="A162" s="15" t="s">
        <v>30</v>
      </c>
      <c r="C162" s="19"/>
      <c r="D162" s="33"/>
      <c r="E162" s="33"/>
      <c r="F162" s="34"/>
      <c r="G162" s="34"/>
      <c r="H162" s="34"/>
      <c r="I162" s="34"/>
      <c r="J162" s="34"/>
      <c r="K162" s="34"/>
      <c r="L162" s="34"/>
      <c r="M162" s="34"/>
      <c r="N162" s="34"/>
      <c r="O162" s="44"/>
      <c r="P162" s="44"/>
      <c r="Q162" s="44"/>
      <c r="R162" s="44"/>
      <c r="S162" s="44"/>
      <c r="T162" s="44"/>
      <c r="U162" s="57"/>
    </row>
    <row r="163" spans="1:21" ht="17.25" customHeight="1" x14ac:dyDescent="0.3">
      <c r="A163" s="15" t="s">
        <v>30</v>
      </c>
      <c r="C163" s="19"/>
      <c r="D163" s="33"/>
      <c r="E163" s="33" t="s">
        <v>31</v>
      </c>
      <c r="F163" s="34" t="s">
        <v>31</v>
      </c>
      <c r="G163" s="34" t="s">
        <v>31</v>
      </c>
      <c r="H163" s="34"/>
      <c r="I163" s="34"/>
      <c r="J163" s="34" t="s">
        <v>31</v>
      </c>
      <c r="K163" s="34" t="s">
        <v>31</v>
      </c>
      <c r="L163" s="34" t="s">
        <v>31</v>
      </c>
      <c r="M163" s="34" t="s">
        <v>31</v>
      </c>
      <c r="N163" s="34"/>
      <c r="U163" s="58"/>
    </row>
    <row r="164" spans="1:21" ht="20.25" customHeight="1" x14ac:dyDescent="0.35">
      <c r="A164" s="15" t="s">
        <v>30</v>
      </c>
      <c r="C164" s="19"/>
      <c r="D164" s="35" t="str">
        <f t="shared" ref="D164" si="33">E164</f>
        <v>C100011</v>
      </c>
      <c r="E164" s="36" t="str">
        <f>"C100011"</f>
        <v>C100011</v>
      </c>
      <c r="F164" s="37" t="str">
        <f>"Winter Frost Vase"</f>
        <v>Winter Frost Vase</v>
      </c>
      <c r="G164" s="37"/>
      <c r="H164" s="38" t="str">
        <f>"EA"</f>
        <v>EA</v>
      </c>
      <c r="I164" s="37"/>
      <c r="J164" s="37"/>
      <c r="K164" s="37"/>
      <c r="L164" s="37"/>
      <c r="M164" s="37"/>
      <c r="N164" s="37"/>
      <c r="O164" s="39">
        <f>(SUBTOTAL(9,O165:O174))</f>
        <v>1100</v>
      </c>
      <c r="P164" s="39">
        <f>(SUBTOTAL(9,P165:P174))</f>
        <v>-290</v>
      </c>
      <c r="Q164" s="39">
        <f>(SUBTOTAL(9,Q165:Q174))</f>
        <v>0</v>
      </c>
      <c r="R164" s="39">
        <f>(SUBTOTAL(9,R165:R174))</f>
        <v>0</v>
      </c>
      <c r="S164" s="39">
        <f>(SUBTOTAL(9,S165:S174))</f>
        <v>0</v>
      </c>
      <c r="T164" s="39">
        <f>(SUBTOTAL(9,T165:T174))</f>
        <v>0</v>
      </c>
      <c r="U164" s="55">
        <f t="shared" ref="U164" si="34">SUBTOTAL(9,O165:T174)</f>
        <v>810</v>
      </c>
    </row>
    <row r="165" spans="1:21" ht="17.25" customHeight="1" x14ac:dyDescent="0.3">
      <c r="A165" s="15" t="s">
        <v>30</v>
      </c>
      <c r="C165" s="19"/>
      <c r="D165" s="33" t="str">
        <f t="shared" ref="D165" si="35">D164</f>
        <v>C100011</v>
      </c>
      <c r="E165" s="33"/>
      <c r="F165" s="34"/>
      <c r="G165" s="34" t="str">
        <f>"""NAV Direct"",""CRONUS JetCorp USA"",""32"",""1"",""166328"""</f>
        <v>"NAV Direct","CRONUS JetCorp USA","32","1","166328"</v>
      </c>
      <c r="H165" s="40">
        <v>43466</v>
      </c>
      <c r="I165" s="41">
        <v>166328</v>
      </c>
      <c r="J165" s="42" t="str">
        <f>"Vendor"</f>
        <v>Vendor</v>
      </c>
      <c r="K165" s="42" t="str">
        <f>"V100009"</f>
        <v>V100009</v>
      </c>
      <c r="L165" s="42" t="str">
        <f>IF($J165="Customer",_xll.NL("first",$J165,"Name","No.","@@"&amp;$K165),"")</f>
        <v/>
      </c>
      <c r="M165" s="42" t="str">
        <f>"Malay-Dan Export Unit Sdn Bhd"</f>
        <v>Malay-Dan Export Unit Sdn Bhd</v>
      </c>
      <c r="N165" s="42" t="str">
        <f>IF($J165="Item",_xll.NL("first",$J165,"Description","No.","@@"&amp;$K165),"")</f>
        <v/>
      </c>
      <c r="O165" s="43">
        <v>300</v>
      </c>
      <c r="P165" s="43">
        <v>0</v>
      </c>
      <c r="Q165" s="43">
        <v>0</v>
      </c>
      <c r="R165" s="43">
        <v>0</v>
      </c>
      <c r="S165" s="43">
        <v>0</v>
      </c>
      <c r="T165" s="43">
        <v>0</v>
      </c>
      <c r="U165" s="56"/>
    </row>
    <row r="166" spans="1:21" ht="17.25" customHeight="1" x14ac:dyDescent="0.3">
      <c r="A166" s="15" t="s">
        <v>30</v>
      </c>
      <c r="C166" s="19"/>
      <c r="D166" s="33" t="str">
        <f t="shared" ref="D166:D173" si="36">D165</f>
        <v>C100011</v>
      </c>
      <c r="E166" s="33"/>
      <c r="F166" s="34"/>
      <c r="G166" s="34" t="str">
        <f>"""NAV Direct"",""CRONUS JetCorp USA"",""32"",""1"",""166344"""</f>
        <v>"NAV Direct","CRONUS JetCorp USA","32","1","166344"</v>
      </c>
      <c r="H166" s="40">
        <v>43466</v>
      </c>
      <c r="I166" s="41">
        <v>166344</v>
      </c>
      <c r="J166" s="42" t="str">
        <f>"Vendor"</f>
        <v>Vendor</v>
      </c>
      <c r="K166" s="42" t="str">
        <f>"V100040"</f>
        <v>V100040</v>
      </c>
      <c r="L166" s="42" t="str">
        <f>IF($J166="Customer",_xll.NL("first",$J166,"Name","No.","@@"&amp;$K166),"")</f>
        <v/>
      </c>
      <c r="M166" s="42" t="str">
        <f>"Technische Betriebe Rotkreuz"</f>
        <v>Technische Betriebe Rotkreuz</v>
      </c>
      <c r="N166" s="42" t="str">
        <f>IF($J166="Item",_xll.NL("first",$J166,"Description","No.","@@"&amp;$K166),"")</f>
        <v/>
      </c>
      <c r="O166" s="43">
        <v>200</v>
      </c>
      <c r="P166" s="43">
        <v>0</v>
      </c>
      <c r="Q166" s="43">
        <v>0</v>
      </c>
      <c r="R166" s="43">
        <v>0</v>
      </c>
      <c r="S166" s="43">
        <v>0</v>
      </c>
      <c r="T166" s="43">
        <v>0</v>
      </c>
      <c r="U166" s="56"/>
    </row>
    <row r="167" spans="1:21" ht="17.25" customHeight="1" x14ac:dyDescent="0.3">
      <c r="A167" s="15" t="s">
        <v>30</v>
      </c>
      <c r="C167" s="19"/>
      <c r="D167" s="33" t="str">
        <f t="shared" si="36"/>
        <v>C100011</v>
      </c>
      <c r="E167" s="33"/>
      <c r="F167" s="34"/>
      <c r="G167" s="34" t="str">
        <f>"""NAV Direct"",""CRONUS JetCorp USA"",""32"",""1"",""166363"""</f>
        <v>"NAV Direct","CRONUS JetCorp USA","32","1","166363"</v>
      </c>
      <c r="H167" s="40">
        <v>43466</v>
      </c>
      <c r="I167" s="41">
        <v>166363</v>
      </c>
      <c r="J167" s="42" t="str">
        <f>"Vendor"</f>
        <v>Vendor</v>
      </c>
      <c r="K167" s="42" t="str">
        <f>"V100007"</f>
        <v>V100007</v>
      </c>
      <c r="L167" s="42" t="str">
        <f>IF($J167="Customer",_xll.NL("first",$J167,"Name","No.","@@"&amp;$K167),"")</f>
        <v/>
      </c>
      <c r="M167" s="42" t="str">
        <f>"TrendTech"</f>
        <v>TrendTech</v>
      </c>
      <c r="N167" s="42" t="str">
        <f>IF($J167="Item",_xll.NL("first",$J167,"Description","No.","@@"&amp;$K167),"")</f>
        <v/>
      </c>
      <c r="O167" s="43">
        <v>600</v>
      </c>
      <c r="P167" s="43">
        <v>0</v>
      </c>
      <c r="Q167" s="43">
        <v>0</v>
      </c>
      <c r="R167" s="43">
        <v>0</v>
      </c>
      <c r="S167" s="43">
        <v>0</v>
      </c>
      <c r="T167" s="43">
        <v>0</v>
      </c>
      <c r="U167" s="56"/>
    </row>
    <row r="168" spans="1:21" ht="17.25" customHeight="1" x14ac:dyDescent="0.3">
      <c r="A168" s="15" t="s">
        <v>30</v>
      </c>
      <c r="C168" s="19"/>
      <c r="D168" s="33" t="str">
        <f t="shared" si="36"/>
        <v>C100011</v>
      </c>
      <c r="E168" s="33"/>
      <c r="F168" s="34"/>
      <c r="G168" s="34" t="str">
        <f>"""NAV Direct"",""CRONUS JetCorp USA"",""32"",""1"",""15151"""</f>
        <v>"NAV Direct","CRONUS JetCorp USA","32","1","15151"</v>
      </c>
      <c r="H168" s="40">
        <v>43471</v>
      </c>
      <c r="I168" s="41">
        <v>15151</v>
      </c>
      <c r="J168" s="42" t="str">
        <f>"Customer"</f>
        <v>Customer</v>
      </c>
      <c r="K168" s="42" t="str">
        <f>"C100134"</f>
        <v>C100134</v>
      </c>
      <c r="L168" s="42" t="str">
        <f>IF($J168="Customer",_xll.NL("first",$J168,"Name","No.","@@"&amp;$K168),"")</f>
        <v>Iber Tech</v>
      </c>
      <c r="M168" s="42" t="str">
        <f>""</f>
        <v/>
      </c>
      <c r="N168" s="42" t="str">
        <f>IF($J168="Item",_xll.NL("first",$J168,"Description","No.","@@"&amp;$K168),"")</f>
        <v/>
      </c>
      <c r="O168" s="43">
        <v>0</v>
      </c>
      <c r="P168" s="43">
        <v>-1</v>
      </c>
      <c r="Q168" s="43">
        <v>0</v>
      </c>
      <c r="R168" s="43">
        <v>0</v>
      </c>
      <c r="S168" s="43">
        <v>0</v>
      </c>
      <c r="T168" s="43">
        <v>0</v>
      </c>
      <c r="U168" s="56"/>
    </row>
    <row r="169" spans="1:21" ht="17.25" customHeight="1" x14ac:dyDescent="0.3">
      <c r="A169" s="15" t="s">
        <v>30</v>
      </c>
      <c r="C169" s="19"/>
      <c r="D169" s="33" t="str">
        <f t="shared" si="36"/>
        <v>C100011</v>
      </c>
      <c r="E169" s="33"/>
      <c r="F169" s="34"/>
      <c r="G169" s="34" t="str">
        <f>"""NAV Direct"",""CRONUS JetCorp USA"",""32"",""1"",""118080"""</f>
        <v>"NAV Direct","CRONUS JetCorp USA","32","1","118080"</v>
      </c>
      <c r="H169" s="40">
        <v>43471</v>
      </c>
      <c r="I169" s="41">
        <v>118080</v>
      </c>
      <c r="J169" s="42" t="str">
        <f>"Customer"</f>
        <v>Customer</v>
      </c>
      <c r="K169" s="42" t="str">
        <f>"C100060"</f>
        <v>C100060</v>
      </c>
      <c r="L169" s="42" t="str">
        <f>IF($J169="Customer",_xll.NL("first",$J169,"Name","No.","@@"&amp;$K169),"")</f>
        <v>MEMA Ljubljana d.o.o.</v>
      </c>
      <c r="M169" s="42" t="str">
        <f>""</f>
        <v/>
      </c>
      <c r="N169" s="42" t="str">
        <f>IF($J169="Item",_xll.NL("first",$J169,"Description","No.","@@"&amp;$K169),"")</f>
        <v/>
      </c>
      <c r="O169" s="43">
        <v>0</v>
      </c>
      <c r="P169" s="43">
        <v>-144</v>
      </c>
      <c r="Q169" s="43">
        <v>0</v>
      </c>
      <c r="R169" s="43">
        <v>0</v>
      </c>
      <c r="S169" s="43">
        <v>0</v>
      </c>
      <c r="T169" s="43">
        <v>0</v>
      </c>
      <c r="U169" s="56"/>
    </row>
    <row r="170" spans="1:21" ht="17.25" customHeight="1" x14ac:dyDescent="0.3">
      <c r="A170" s="15" t="s">
        <v>30</v>
      </c>
      <c r="C170" s="19"/>
      <c r="D170" s="33" t="str">
        <f t="shared" si="36"/>
        <v>C100011</v>
      </c>
      <c r="E170" s="33"/>
      <c r="F170" s="34"/>
      <c r="G170" s="34" t="str">
        <f>"""NAV Direct"",""CRONUS JetCorp USA"",""32"",""1"",""3909"""</f>
        <v>"NAV Direct","CRONUS JetCorp USA","32","1","3909"</v>
      </c>
      <c r="H170" s="40">
        <v>43472</v>
      </c>
      <c r="I170" s="41">
        <v>3909</v>
      </c>
      <c r="J170" s="42" t="str">
        <f>"Customer"</f>
        <v>Customer</v>
      </c>
      <c r="K170" s="42" t="str">
        <f>"C100099"</f>
        <v>C100099</v>
      </c>
      <c r="L170" s="42" t="str">
        <f>IF($J170="Customer",_xll.NL("first",$J170,"Name","No.","@@"&amp;$K170),"")</f>
        <v>Voltive Systems</v>
      </c>
      <c r="M170" s="42" t="str">
        <f>""</f>
        <v/>
      </c>
      <c r="N170" s="42" t="str">
        <f>IF($J170="Item",_xll.NL("first",$J170,"Description","No.","@@"&amp;$K170),"")</f>
        <v/>
      </c>
      <c r="O170" s="43">
        <v>0</v>
      </c>
      <c r="P170" s="43">
        <v>-48</v>
      </c>
      <c r="Q170" s="43">
        <v>0</v>
      </c>
      <c r="R170" s="43">
        <v>0</v>
      </c>
      <c r="S170" s="43">
        <v>0</v>
      </c>
      <c r="T170" s="43">
        <v>0</v>
      </c>
      <c r="U170" s="56"/>
    </row>
    <row r="171" spans="1:21" ht="17.25" customHeight="1" x14ac:dyDescent="0.3">
      <c r="A171" s="15" t="s">
        <v>30</v>
      </c>
      <c r="C171" s="19"/>
      <c r="D171" s="33" t="str">
        <f t="shared" si="36"/>
        <v>C100011</v>
      </c>
      <c r="E171" s="33"/>
      <c r="F171" s="34"/>
      <c r="G171" s="34" t="str">
        <f>"""NAV Direct"",""CRONUS JetCorp USA"",""32"",""1"",""116370"""</f>
        <v>"NAV Direct","CRONUS JetCorp USA","32","1","116370"</v>
      </c>
      <c r="H171" s="40">
        <v>43472</v>
      </c>
      <c r="I171" s="41">
        <v>116370</v>
      </c>
      <c r="J171" s="42" t="str">
        <f>"Customer"</f>
        <v>Customer</v>
      </c>
      <c r="K171" s="42" t="str">
        <f>"C100054"</f>
        <v>C100054</v>
      </c>
      <c r="L171" s="42" t="str">
        <f>IF($J171="Customer",_xll.NL("first",$J171,"Name","No.","@@"&amp;$K171),"")</f>
        <v>London Candoxy Storage Campus</v>
      </c>
      <c r="M171" s="42" t="str">
        <f>""</f>
        <v/>
      </c>
      <c r="N171" s="42" t="str">
        <f>IF($J171="Item",_xll.NL("first",$J171,"Description","No.","@@"&amp;$K171),"")</f>
        <v/>
      </c>
      <c r="O171" s="43">
        <v>0</v>
      </c>
      <c r="P171" s="43">
        <v>-48</v>
      </c>
      <c r="Q171" s="43">
        <v>0</v>
      </c>
      <c r="R171" s="43">
        <v>0</v>
      </c>
      <c r="S171" s="43">
        <v>0</v>
      </c>
      <c r="T171" s="43">
        <v>0</v>
      </c>
      <c r="U171" s="56"/>
    </row>
    <row r="172" spans="1:21" ht="17.25" customHeight="1" x14ac:dyDescent="0.3">
      <c r="A172" s="15" t="s">
        <v>30</v>
      </c>
      <c r="C172" s="19"/>
      <c r="D172" s="33" t="str">
        <f t="shared" si="36"/>
        <v>C100011</v>
      </c>
      <c r="E172" s="33"/>
      <c r="F172" s="34"/>
      <c r="G172" s="34" t="str">
        <f>"""NAV Direct"",""CRONUS JetCorp USA"",""32"",""1"",""3897"""</f>
        <v>"NAV Direct","CRONUS JetCorp USA","32","1","3897"</v>
      </c>
      <c r="H172" s="40">
        <v>43473</v>
      </c>
      <c r="I172" s="41">
        <v>3897</v>
      </c>
      <c r="J172" s="42" t="str">
        <f>"Customer"</f>
        <v>Customer</v>
      </c>
      <c r="K172" s="42" t="str">
        <f>"C100037"</f>
        <v>C100037</v>
      </c>
      <c r="L172" s="42" t="str">
        <f>IF($J172="Customer",_xll.NL("first",$J172,"Name","No.","@@"&amp;$K172),"")</f>
        <v>Tempsons Tropies</v>
      </c>
      <c r="M172" s="42" t="str">
        <f>""</f>
        <v/>
      </c>
      <c r="N172" s="42" t="str">
        <f>IF($J172="Item",_xll.NL("first",$J172,"Description","No.","@@"&amp;$K172),"")</f>
        <v/>
      </c>
      <c r="O172" s="43">
        <v>0</v>
      </c>
      <c r="P172" s="43">
        <v>-48</v>
      </c>
      <c r="Q172" s="43">
        <v>0</v>
      </c>
      <c r="R172" s="43">
        <v>0</v>
      </c>
      <c r="S172" s="43">
        <v>0</v>
      </c>
      <c r="T172" s="43">
        <v>0</v>
      </c>
      <c r="U172" s="56"/>
    </row>
    <row r="173" spans="1:21" ht="17.25" customHeight="1" x14ac:dyDescent="0.3">
      <c r="A173" s="15" t="s">
        <v>30</v>
      </c>
      <c r="C173" s="19"/>
      <c r="D173" s="33" t="str">
        <f t="shared" si="36"/>
        <v>C100011</v>
      </c>
      <c r="E173" s="33"/>
      <c r="F173" s="34"/>
      <c r="G173" s="34" t="str">
        <f>"""NAV Direct"",""CRONUS JetCorp USA"",""32"",""1"",""3927"""</f>
        <v>"NAV Direct","CRONUS JetCorp USA","32","1","3927"</v>
      </c>
      <c r="H173" s="40">
        <v>43475</v>
      </c>
      <c r="I173" s="41">
        <v>3927</v>
      </c>
      <c r="J173" s="42" t="str">
        <f>"Customer"</f>
        <v>Customer</v>
      </c>
      <c r="K173" s="42" t="str">
        <f>"C100099"</f>
        <v>C100099</v>
      </c>
      <c r="L173" s="42" t="str">
        <f>IF($J173="Customer",_xll.NL("first",$J173,"Name","No.","@@"&amp;$K173),"")</f>
        <v>Voltive Systems</v>
      </c>
      <c r="M173" s="42" t="str">
        <f>""</f>
        <v/>
      </c>
      <c r="N173" s="42" t="str">
        <f>IF($J173="Item",_xll.NL("first",$J173,"Description","No.","@@"&amp;$K173),"")</f>
        <v/>
      </c>
      <c r="O173" s="43">
        <v>0</v>
      </c>
      <c r="P173" s="43">
        <v>-1</v>
      </c>
      <c r="Q173" s="43">
        <v>0</v>
      </c>
      <c r="R173" s="43">
        <v>0</v>
      </c>
      <c r="S173" s="43">
        <v>0</v>
      </c>
      <c r="T173" s="43">
        <v>0</v>
      </c>
      <c r="U173" s="56"/>
    </row>
    <row r="174" spans="1:21" ht="17.25" customHeight="1" x14ac:dyDescent="0.3">
      <c r="A174" s="15" t="s">
        <v>30</v>
      </c>
      <c r="C174" s="19"/>
      <c r="D174" s="33"/>
      <c r="E174" s="33"/>
      <c r="F174" s="34"/>
      <c r="G174" s="34"/>
      <c r="H174" s="34"/>
      <c r="I174" s="34"/>
      <c r="J174" s="34"/>
      <c r="K174" s="34"/>
      <c r="L174" s="34"/>
      <c r="M174" s="34"/>
      <c r="N174" s="34"/>
      <c r="O174" s="44"/>
      <c r="P174" s="44"/>
      <c r="Q174" s="44"/>
      <c r="R174" s="44"/>
      <c r="S174" s="44"/>
      <c r="T174" s="44"/>
      <c r="U174" s="57"/>
    </row>
    <row r="175" spans="1:21" ht="17.25" customHeight="1" x14ac:dyDescent="0.3">
      <c r="A175" s="15" t="s">
        <v>30</v>
      </c>
      <c r="C175" s="19"/>
      <c r="D175" s="33"/>
      <c r="E175" s="33" t="s">
        <v>31</v>
      </c>
      <c r="F175" s="34" t="s">
        <v>31</v>
      </c>
      <c r="G175" s="34" t="s">
        <v>31</v>
      </c>
      <c r="H175" s="34"/>
      <c r="I175" s="34"/>
      <c r="J175" s="34" t="s">
        <v>31</v>
      </c>
      <c r="K175" s="34" t="s">
        <v>31</v>
      </c>
      <c r="L175" s="34" t="s">
        <v>31</v>
      </c>
      <c r="M175" s="34" t="s">
        <v>31</v>
      </c>
      <c r="N175" s="34"/>
      <c r="U175" s="58"/>
    </row>
    <row r="176" spans="1:21" ht="20.25" customHeight="1" x14ac:dyDescent="0.35">
      <c r="A176" s="15" t="s">
        <v>30</v>
      </c>
      <c r="C176" s="19"/>
      <c r="D176" s="35" t="str">
        <f t="shared" ref="D176" si="37">E176</f>
        <v>C100014</v>
      </c>
      <c r="E176" s="36" t="str">
        <f>"C100014"</f>
        <v>C100014</v>
      </c>
      <c r="F176" s="37" t="str">
        <f>"Canvas Field Bag"</f>
        <v>Canvas Field Bag</v>
      </c>
      <c r="G176" s="37"/>
      <c r="H176" s="38" t="str">
        <f>"EA"</f>
        <v>EA</v>
      </c>
      <c r="I176" s="37"/>
      <c r="J176" s="37"/>
      <c r="K176" s="37"/>
      <c r="L176" s="37"/>
      <c r="M176" s="37"/>
      <c r="N176" s="37"/>
      <c r="O176" s="39">
        <f>(SUBTOTAL(9,O177:O185))</f>
        <v>2800</v>
      </c>
      <c r="P176" s="39">
        <f>(SUBTOTAL(9,P177:P185))</f>
        <v>-480</v>
      </c>
      <c r="Q176" s="39">
        <f>(SUBTOTAL(9,Q177:Q185))</f>
        <v>0</v>
      </c>
      <c r="R176" s="39">
        <f>(SUBTOTAL(9,R177:R185))</f>
        <v>0</v>
      </c>
      <c r="S176" s="39">
        <f>(SUBTOTAL(9,S177:S185))</f>
        <v>0</v>
      </c>
      <c r="T176" s="39">
        <f>(SUBTOTAL(9,T177:T185))</f>
        <v>0</v>
      </c>
      <c r="U176" s="55">
        <f t="shared" ref="U176" si="38">SUBTOTAL(9,O177:T185)</f>
        <v>2320</v>
      </c>
    </row>
    <row r="177" spans="1:21" ht="17.25" customHeight="1" x14ac:dyDescent="0.3">
      <c r="A177" s="15" t="s">
        <v>30</v>
      </c>
      <c r="C177" s="19"/>
      <c r="D177" s="33" t="str">
        <f t="shared" ref="D177" si="39">D176</f>
        <v>C100014</v>
      </c>
      <c r="E177" s="33"/>
      <c r="F177" s="34"/>
      <c r="G177" s="34" t="str">
        <f>"""NAV Direct"",""CRONUS JetCorp USA"",""32"",""1"",""166748"""</f>
        <v>"NAV Direct","CRONUS JetCorp USA","32","1","166748"</v>
      </c>
      <c r="H177" s="40">
        <v>43466</v>
      </c>
      <c r="I177" s="41">
        <v>166748</v>
      </c>
      <c r="J177" s="42" t="str">
        <f>"Vendor"</f>
        <v>Vendor</v>
      </c>
      <c r="K177" s="42" t="str">
        <f>"V100040"</f>
        <v>V100040</v>
      </c>
      <c r="L177" s="42" t="str">
        <f>IF($J177="Customer",_xll.NL("first",$J177,"Name","No.","@@"&amp;$K177),"")</f>
        <v/>
      </c>
      <c r="M177" s="42" t="str">
        <f>"Technische Betriebe Rotkreuz"</f>
        <v>Technische Betriebe Rotkreuz</v>
      </c>
      <c r="N177" s="42" t="str">
        <f>IF($J177="Item",_xll.NL("first",$J177,"Description","No.","@@"&amp;$K177),"")</f>
        <v/>
      </c>
      <c r="O177" s="43">
        <v>800</v>
      </c>
      <c r="P177" s="43">
        <v>0</v>
      </c>
      <c r="Q177" s="43">
        <v>0</v>
      </c>
      <c r="R177" s="43">
        <v>0</v>
      </c>
      <c r="S177" s="43">
        <v>0</v>
      </c>
      <c r="T177" s="43">
        <v>0</v>
      </c>
      <c r="U177" s="56"/>
    </row>
    <row r="178" spans="1:21" ht="17.25" customHeight="1" x14ac:dyDescent="0.3">
      <c r="A178" s="15" t="s">
        <v>30</v>
      </c>
      <c r="C178" s="19"/>
      <c r="D178" s="33" t="str">
        <f t="shared" ref="D178:D184" si="40">D177</f>
        <v>C100014</v>
      </c>
      <c r="E178" s="33"/>
      <c r="F178" s="34"/>
      <c r="G178" s="34" t="str">
        <f>"""NAV Direct"",""CRONUS JetCorp USA"",""32"",""1"",""166778"""</f>
        <v>"NAV Direct","CRONUS JetCorp USA","32","1","166778"</v>
      </c>
      <c r="H178" s="40">
        <v>43466</v>
      </c>
      <c r="I178" s="41">
        <v>166778</v>
      </c>
      <c r="J178" s="42" t="str">
        <f>"Vendor"</f>
        <v>Vendor</v>
      </c>
      <c r="K178" s="42" t="str">
        <f>"V100001"</f>
        <v>V100001</v>
      </c>
      <c r="L178" s="42" t="str">
        <f>IF($J178="Customer",_xll.NL("first",$J178,"Name","No.","@@"&amp;$K178),"")</f>
        <v/>
      </c>
      <c r="M178" s="42" t="str">
        <f>"Greigner, Inc."</f>
        <v>Greigner, Inc.</v>
      </c>
      <c r="N178" s="42" t="str">
        <f>IF($J178="Item",_xll.NL("first",$J178,"Description","No.","@@"&amp;$K178),"")</f>
        <v/>
      </c>
      <c r="O178" s="43">
        <v>1600</v>
      </c>
      <c r="P178" s="43">
        <v>0</v>
      </c>
      <c r="Q178" s="43">
        <v>0</v>
      </c>
      <c r="R178" s="43">
        <v>0</v>
      </c>
      <c r="S178" s="43">
        <v>0</v>
      </c>
      <c r="T178" s="43">
        <v>0</v>
      </c>
      <c r="U178" s="56"/>
    </row>
    <row r="179" spans="1:21" ht="17.25" customHeight="1" x14ac:dyDescent="0.3">
      <c r="A179" s="15" t="s">
        <v>30</v>
      </c>
      <c r="C179" s="19"/>
      <c r="D179" s="33" t="str">
        <f t="shared" si="40"/>
        <v>C100014</v>
      </c>
      <c r="E179" s="33"/>
      <c r="F179" s="34"/>
      <c r="G179" s="34" t="str">
        <f>"""NAV Direct"",""CRONUS JetCorp USA"",""32"",""1"",""166785"""</f>
        <v>"NAV Direct","CRONUS JetCorp USA","32","1","166785"</v>
      </c>
      <c r="H179" s="40">
        <v>43466</v>
      </c>
      <c r="I179" s="41">
        <v>166785</v>
      </c>
      <c r="J179" s="42" t="str">
        <f>"Vendor"</f>
        <v>Vendor</v>
      </c>
      <c r="K179" s="42" t="str">
        <f>"V100047"</f>
        <v>V100047</v>
      </c>
      <c r="L179" s="42" t="str">
        <f>IF($J179="Customer",_xll.NL("first",$J179,"Name","No.","@@"&amp;$K179),"")</f>
        <v/>
      </c>
      <c r="M179" s="42" t="str">
        <f>"WoodMart Supply Co."</f>
        <v>WoodMart Supply Co.</v>
      </c>
      <c r="N179" s="42" t="str">
        <f>IF($J179="Item",_xll.NL("first",$J179,"Description","No.","@@"&amp;$K179),"")</f>
        <v/>
      </c>
      <c r="O179" s="43">
        <v>200</v>
      </c>
      <c r="P179" s="43">
        <v>0</v>
      </c>
      <c r="Q179" s="43">
        <v>0</v>
      </c>
      <c r="R179" s="43">
        <v>0</v>
      </c>
      <c r="S179" s="43">
        <v>0</v>
      </c>
      <c r="T179" s="43">
        <v>0</v>
      </c>
      <c r="U179" s="56"/>
    </row>
    <row r="180" spans="1:21" ht="17.25" customHeight="1" x14ac:dyDescent="0.3">
      <c r="A180" s="15" t="s">
        <v>30</v>
      </c>
      <c r="C180" s="19"/>
      <c r="D180" s="33" t="str">
        <f t="shared" si="40"/>
        <v>C100014</v>
      </c>
      <c r="E180" s="33"/>
      <c r="F180" s="34"/>
      <c r="G180" s="34" t="str">
        <f>"""NAV Direct"",""CRONUS JetCorp USA"",""32"",""1"",""166799"""</f>
        <v>"NAV Direct","CRONUS JetCorp USA","32","1","166799"</v>
      </c>
      <c r="H180" s="40">
        <v>43466</v>
      </c>
      <c r="I180" s="41">
        <v>166799</v>
      </c>
      <c r="J180" s="42" t="str">
        <f>"Vendor"</f>
        <v>Vendor</v>
      </c>
      <c r="K180" s="42" t="str">
        <f>"V100003"</f>
        <v>V100003</v>
      </c>
      <c r="L180" s="42" t="str">
        <f>IF($J180="Customer",_xll.NL("first",$J180,"Name","No.","@@"&amp;$K180),"")</f>
        <v/>
      </c>
      <c r="M180" s="42" t="str">
        <f>"LogoMasters"</f>
        <v>LogoMasters</v>
      </c>
      <c r="N180" s="42" t="str">
        <f>IF($J180="Item",_xll.NL("first",$J180,"Description","No.","@@"&amp;$K180),"")</f>
        <v/>
      </c>
      <c r="O180" s="43">
        <v>200</v>
      </c>
      <c r="P180" s="43">
        <v>0</v>
      </c>
      <c r="Q180" s="43">
        <v>0</v>
      </c>
      <c r="R180" s="43">
        <v>0</v>
      </c>
      <c r="S180" s="43">
        <v>0</v>
      </c>
      <c r="T180" s="43">
        <v>0</v>
      </c>
      <c r="U180" s="56"/>
    </row>
    <row r="181" spans="1:21" ht="17.25" customHeight="1" x14ac:dyDescent="0.3">
      <c r="A181" s="15" t="s">
        <v>30</v>
      </c>
      <c r="C181" s="19"/>
      <c r="D181" s="33" t="str">
        <f t="shared" si="40"/>
        <v>C100014</v>
      </c>
      <c r="E181" s="33"/>
      <c r="F181" s="34"/>
      <c r="G181" s="34" t="str">
        <f>"""NAV Direct"",""CRONUS JetCorp USA"",""32"",""1"",""128866"""</f>
        <v>"NAV Direct","CRONUS JetCorp USA","32","1","128866"</v>
      </c>
      <c r="H181" s="40">
        <v>43472</v>
      </c>
      <c r="I181" s="41">
        <v>128866</v>
      </c>
      <c r="J181" s="42" t="str">
        <f>"Customer"</f>
        <v>Customer</v>
      </c>
      <c r="K181" s="42" t="str">
        <f>"C100105"</f>
        <v>C100105</v>
      </c>
      <c r="L181" s="42" t="str">
        <f>IF($J181="Customer",_xll.NL("first",$J181,"Name","No.","@@"&amp;$K181),"")</f>
        <v>Esystems</v>
      </c>
      <c r="M181" s="42" t="str">
        <f>""</f>
        <v/>
      </c>
      <c r="N181" s="42" t="str">
        <f>IF($J181="Item",_xll.NL("first",$J181,"Description","No.","@@"&amp;$K181),"")</f>
        <v/>
      </c>
      <c r="O181" s="43">
        <v>0</v>
      </c>
      <c r="P181" s="43">
        <v>-144</v>
      </c>
      <c r="Q181" s="43">
        <v>0</v>
      </c>
      <c r="R181" s="43">
        <v>0</v>
      </c>
      <c r="S181" s="43">
        <v>0</v>
      </c>
      <c r="T181" s="43">
        <v>0</v>
      </c>
      <c r="U181" s="56"/>
    </row>
    <row r="182" spans="1:21" ht="17.25" customHeight="1" x14ac:dyDescent="0.3">
      <c r="A182" s="15" t="s">
        <v>30</v>
      </c>
      <c r="C182" s="19"/>
      <c r="D182" s="33" t="str">
        <f t="shared" si="40"/>
        <v>C100014</v>
      </c>
      <c r="E182" s="33"/>
      <c r="F182" s="34"/>
      <c r="G182" s="34" t="str">
        <f>"""NAV Direct"",""CRONUS JetCorp USA"",""32"",""1"",""30049"""</f>
        <v>"NAV Direct","CRONUS JetCorp USA","32","1","30049"</v>
      </c>
      <c r="H182" s="40">
        <v>43474</v>
      </c>
      <c r="I182" s="41">
        <v>30049</v>
      </c>
      <c r="J182" s="42" t="str">
        <f>"Customer"</f>
        <v>Customer</v>
      </c>
      <c r="K182" s="42" t="str">
        <f>"C100086"</f>
        <v>C100086</v>
      </c>
      <c r="L182" s="42" t="str">
        <f>IF($J182="Customer",_xll.NL("first",$J182,"Name","No.","@@"&amp;$K182),"")</f>
        <v>Top Action Sports</v>
      </c>
      <c r="M182" s="42" t="str">
        <f>""</f>
        <v/>
      </c>
      <c r="N182" s="42" t="str">
        <f>IF($J182="Item",_xll.NL("first",$J182,"Description","No.","@@"&amp;$K182),"")</f>
        <v/>
      </c>
      <c r="O182" s="43">
        <v>0</v>
      </c>
      <c r="P182" s="43">
        <v>-48</v>
      </c>
      <c r="Q182" s="43">
        <v>0</v>
      </c>
      <c r="R182" s="43">
        <v>0</v>
      </c>
      <c r="S182" s="43">
        <v>0</v>
      </c>
      <c r="T182" s="43">
        <v>0</v>
      </c>
      <c r="U182" s="56"/>
    </row>
    <row r="183" spans="1:21" ht="17.25" customHeight="1" x14ac:dyDescent="0.3">
      <c r="A183" s="15" t="s">
        <v>30</v>
      </c>
      <c r="C183" s="19"/>
      <c r="D183" s="33" t="str">
        <f t="shared" si="40"/>
        <v>C100014</v>
      </c>
      <c r="E183" s="33"/>
      <c r="F183" s="34"/>
      <c r="G183" s="34" t="str">
        <f>"""NAV Direct"",""CRONUS JetCorp USA"",""32"",""1"",""30106"""</f>
        <v>"NAV Direct","CRONUS JetCorp USA","32","1","30106"</v>
      </c>
      <c r="H183" s="40">
        <v>43475</v>
      </c>
      <c r="I183" s="41">
        <v>30106</v>
      </c>
      <c r="J183" s="42" t="str">
        <f>"Customer"</f>
        <v>Customer</v>
      </c>
      <c r="K183" s="42" t="str">
        <f>"C100012"</f>
        <v>C100012</v>
      </c>
      <c r="L183" s="42" t="str">
        <f>IF($J183="Customer",_xll.NL("first",$J183,"Name","No.","@@"&amp;$K183),"")</f>
        <v>Bainbridges</v>
      </c>
      <c r="M183" s="42" t="str">
        <f>""</f>
        <v/>
      </c>
      <c r="N183" s="42" t="str">
        <f>IF($J183="Item",_xll.NL("first",$J183,"Description","No.","@@"&amp;$K183),"")</f>
        <v/>
      </c>
      <c r="O183" s="43">
        <v>0</v>
      </c>
      <c r="P183" s="43">
        <v>-144</v>
      </c>
      <c r="Q183" s="43">
        <v>0</v>
      </c>
      <c r="R183" s="43">
        <v>0</v>
      </c>
      <c r="S183" s="43">
        <v>0</v>
      </c>
      <c r="T183" s="43">
        <v>0</v>
      </c>
      <c r="U183" s="56"/>
    </row>
    <row r="184" spans="1:21" ht="17.25" customHeight="1" x14ac:dyDescent="0.3">
      <c r="A184" s="15" t="s">
        <v>30</v>
      </c>
      <c r="C184" s="19"/>
      <c r="D184" s="33" t="str">
        <f t="shared" si="40"/>
        <v>C100014</v>
      </c>
      <c r="E184" s="33"/>
      <c r="F184" s="34"/>
      <c r="G184" s="34" t="str">
        <f>"""NAV Direct"",""CRONUS JetCorp USA"",""32"",""1"",""34331"""</f>
        <v>"NAV Direct","CRONUS JetCorp USA","32","1","34331"</v>
      </c>
      <c r="H184" s="40">
        <v>43475</v>
      </c>
      <c r="I184" s="41">
        <v>34331</v>
      </c>
      <c r="J184" s="42" t="str">
        <f>"Customer"</f>
        <v>Customer</v>
      </c>
      <c r="K184" s="42" t="str">
        <f>"C100008"</f>
        <v>C100008</v>
      </c>
      <c r="L184" s="42" t="str">
        <f>IF($J184="Customer",_xll.NL("first",$J184,"Name","No.","@@"&amp;$K184),"")</f>
        <v>Blanemark Hifi Shop</v>
      </c>
      <c r="M184" s="42" t="str">
        <f>""</f>
        <v/>
      </c>
      <c r="N184" s="42" t="str">
        <f>IF($J184="Item",_xll.NL("first",$J184,"Description","No.","@@"&amp;$K184),"")</f>
        <v/>
      </c>
      <c r="O184" s="43">
        <v>0</v>
      </c>
      <c r="P184" s="43">
        <v>-144</v>
      </c>
      <c r="Q184" s="43">
        <v>0</v>
      </c>
      <c r="R184" s="43">
        <v>0</v>
      </c>
      <c r="S184" s="43">
        <v>0</v>
      </c>
      <c r="T184" s="43">
        <v>0</v>
      </c>
      <c r="U184" s="56"/>
    </row>
    <row r="185" spans="1:21" ht="17.25" customHeight="1" x14ac:dyDescent="0.3">
      <c r="A185" s="15" t="s">
        <v>30</v>
      </c>
      <c r="C185" s="19"/>
      <c r="D185" s="33"/>
      <c r="E185" s="33"/>
      <c r="F185" s="34"/>
      <c r="G185" s="34"/>
      <c r="H185" s="34"/>
      <c r="I185" s="34"/>
      <c r="J185" s="34"/>
      <c r="K185" s="34"/>
      <c r="L185" s="34"/>
      <c r="M185" s="34"/>
      <c r="N185" s="34"/>
      <c r="O185" s="44"/>
      <c r="P185" s="44"/>
      <c r="Q185" s="44"/>
      <c r="R185" s="44"/>
      <c r="S185" s="44"/>
      <c r="T185" s="44"/>
      <c r="U185" s="57"/>
    </row>
    <row r="186" spans="1:21" ht="17.25" customHeight="1" x14ac:dyDescent="0.3">
      <c r="A186" s="15" t="s">
        <v>30</v>
      </c>
      <c r="C186" s="19"/>
      <c r="D186" s="33"/>
      <c r="E186" s="33" t="s">
        <v>31</v>
      </c>
      <c r="F186" s="34" t="s">
        <v>31</v>
      </c>
      <c r="G186" s="34" t="s">
        <v>31</v>
      </c>
      <c r="H186" s="34"/>
      <c r="I186" s="34"/>
      <c r="J186" s="34" t="s">
        <v>31</v>
      </c>
      <c r="K186" s="34" t="s">
        <v>31</v>
      </c>
      <c r="L186" s="34" t="s">
        <v>31</v>
      </c>
      <c r="M186" s="34" t="s">
        <v>31</v>
      </c>
      <c r="N186" s="34"/>
      <c r="U186" s="58"/>
    </row>
    <row r="187" spans="1:21" ht="20.25" customHeight="1" x14ac:dyDescent="0.35">
      <c r="A187" s="15" t="s">
        <v>30</v>
      </c>
      <c r="C187" s="19"/>
      <c r="D187" s="35" t="str">
        <f t="shared" ref="D187" si="41">E187</f>
        <v>C100017</v>
      </c>
      <c r="E187" s="36" t="str">
        <f>"C100017"</f>
        <v>C100017</v>
      </c>
      <c r="F187" s="37" t="str">
        <f>"Wheeled Duffel"</f>
        <v>Wheeled Duffel</v>
      </c>
      <c r="G187" s="37"/>
      <c r="H187" s="38" t="str">
        <f>"EA"</f>
        <v>EA</v>
      </c>
      <c r="I187" s="37"/>
      <c r="J187" s="37"/>
      <c r="K187" s="37"/>
      <c r="L187" s="37"/>
      <c r="M187" s="37"/>
      <c r="N187" s="37"/>
      <c r="O187" s="39">
        <f>(SUBTOTAL(9,O188:O200))</f>
        <v>1400</v>
      </c>
      <c r="P187" s="39">
        <f>(SUBTOTAL(9,P188:P200))</f>
        <v>-193</v>
      </c>
      <c r="Q187" s="39">
        <f>(SUBTOTAL(9,Q188:Q200))</f>
        <v>0</v>
      </c>
      <c r="R187" s="39">
        <f>(SUBTOTAL(9,R188:R200))</f>
        <v>0</v>
      </c>
      <c r="S187" s="39">
        <f>(SUBTOTAL(9,S188:S200))</f>
        <v>0</v>
      </c>
      <c r="T187" s="39">
        <f>(SUBTOTAL(9,T188:T200))</f>
        <v>0</v>
      </c>
      <c r="U187" s="55">
        <f t="shared" ref="U187" si="42">SUBTOTAL(9,O188:T200)</f>
        <v>1207</v>
      </c>
    </row>
    <row r="188" spans="1:21" ht="17.25" customHeight="1" x14ac:dyDescent="0.3">
      <c r="A188" s="15" t="s">
        <v>30</v>
      </c>
      <c r="C188" s="19"/>
      <c r="D188" s="33" t="str">
        <f t="shared" ref="D188" si="43">D187</f>
        <v>C100017</v>
      </c>
      <c r="E188" s="33"/>
      <c r="F188" s="34"/>
      <c r="G188" s="34" t="str">
        <f>"""NAV Direct"",""CRONUS JetCorp USA"",""32"",""1"",""166734"""</f>
        <v>"NAV Direct","CRONUS JetCorp USA","32","1","166734"</v>
      </c>
      <c r="H188" s="40">
        <v>43466</v>
      </c>
      <c r="I188" s="41">
        <v>166734</v>
      </c>
      <c r="J188" s="42" t="str">
        <f>"Vendor"</f>
        <v>Vendor</v>
      </c>
      <c r="K188" s="42" t="str">
        <f>"V100009"</f>
        <v>V100009</v>
      </c>
      <c r="L188" s="42" t="str">
        <f>IF($J188="Customer",_xll.NL("first",$J188,"Name","No.","@@"&amp;$K188),"")</f>
        <v/>
      </c>
      <c r="M188" s="42" t="str">
        <f>"Malay-Dan Export Unit Sdn Bhd"</f>
        <v>Malay-Dan Export Unit Sdn Bhd</v>
      </c>
      <c r="N188" s="42" t="str">
        <f>IF($J188="Item",_xll.NL("first",$J188,"Description","No.","@@"&amp;$K188),"")</f>
        <v/>
      </c>
      <c r="O188" s="43">
        <v>200</v>
      </c>
      <c r="P188" s="43">
        <v>0</v>
      </c>
      <c r="Q188" s="43">
        <v>0</v>
      </c>
      <c r="R188" s="43">
        <v>0</v>
      </c>
      <c r="S188" s="43">
        <v>0</v>
      </c>
      <c r="T188" s="43">
        <v>0</v>
      </c>
      <c r="U188" s="56"/>
    </row>
    <row r="189" spans="1:21" ht="17.25" customHeight="1" x14ac:dyDescent="0.3">
      <c r="A189" s="15" t="s">
        <v>30</v>
      </c>
      <c r="C189" s="19"/>
      <c r="D189" s="33" t="str">
        <f t="shared" ref="D189:D199" si="44">D188</f>
        <v>C100017</v>
      </c>
      <c r="E189" s="33"/>
      <c r="F189" s="34"/>
      <c r="G189" s="34" t="str">
        <f>"""NAV Direct"",""CRONUS JetCorp USA"",""32"",""1"",""166747"""</f>
        <v>"NAV Direct","CRONUS JetCorp USA","32","1","166747"</v>
      </c>
      <c r="H189" s="40">
        <v>43466</v>
      </c>
      <c r="I189" s="41">
        <v>166747</v>
      </c>
      <c r="J189" s="42" t="str">
        <f>"Vendor"</f>
        <v>Vendor</v>
      </c>
      <c r="K189" s="42" t="str">
        <f>"V100040"</f>
        <v>V100040</v>
      </c>
      <c r="L189" s="42" t="str">
        <f>IF($J189="Customer",_xll.NL("first",$J189,"Name","No.","@@"&amp;$K189),"")</f>
        <v/>
      </c>
      <c r="M189" s="42" t="str">
        <f>"Technische Betriebe Rotkreuz"</f>
        <v>Technische Betriebe Rotkreuz</v>
      </c>
      <c r="N189" s="42" t="str">
        <f>IF($J189="Item",_xll.NL("first",$J189,"Description","No.","@@"&amp;$K189),"")</f>
        <v/>
      </c>
      <c r="O189" s="43">
        <v>200</v>
      </c>
      <c r="P189" s="43">
        <v>0</v>
      </c>
      <c r="Q189" s="43">
        <v>0</v>
      </c>
      <c r="R189" s="43">
        <v>0</v>
      </c>
      <c r="S189" s="43">
        <v>0</v>
      </c>
      <c r="T189" s="43">
        <v>0</v>
      </c>
      <c r="U189" s="56"/>
    </row>
    <row r="190" spans="1:21" ht="17.25" customHeight="1" x14ac:dyDescent="0.3">
      <c r="A190" s="15" t="s">
        <v>30</v>
      </c>
      <c r="C190" s="19"/>
      <c r="D190" s="33" t="str">
        <f t="shared" si="44"/>
        <v>C100017</v>
      </c>
      <c r="E190" s="33"/>
      <c r="F190" s="34"/>
      <c r="G190" s="34" t="str">
        <f>"""NAV Direct"",""CRONUS JetCorp USA"",""32"",""1"",""166762"""</f>
        <v>"NAV Direct","CRONUS JetCorp USA","32","1","166762"</v>
      </c>
      <c r="H190" s="40">
        <v>43466</v>
      </c>
      <c r="I190" s="41">
        <v>166762</v>
      </c>
      <c r="J190" s="42" t="str">
        <f>"Vendor"</f>
        <v>Vendor</v>
      </c>
      <c r="K190" s="42" t="str">
        <f>"V100007"</f>
        <v>V100007</v>
      </c>
      <c r="L190" s="42" t="str">
        <f>IF($J190="Customer",_xll.NL("first",$J190,"Name","No.","@@"&amp;$K190),"")</f>
        <v/>
      </c>
      <c r="M190" s="42" t="str">
        <f>"TrendTech"</f>
        <v>TrendTech</v>
      </c>
      <c r="N190" s="42" t="str">
        <f>IF($J190="Item",_xll.NL("first",$J190,"Description","No.","@@"&amp;$K190),"")</f>
        <v/>
      </c>
      <c r="O190" s="43">
        <v>200</v>
      </c>
      <c r="P190" s="43">
        <v>0</v>
      </c>
      <c r="Q190" s="43">
        <v>0</v>
      </c>
      <c r="R190" s="43">
        <v>0</v>
      </c>
      <c r="S190" s="43">
        <v>0</v>
      </c>
      <c r="T190" s="43">
        <v>0</v>
      </c>
      <c r="U190" s="56"/>
    </row>
    <row r="191" spans="1:21" ht="17.25" customHeight="1" x14ac:dyDescent="0.3">
      <c r="A191" s="15" t="s">
        <v>30</v>
      </c>
      <c r="C191" s="19"/>
      <c r="D191" s="33" t="str">
        <f t="shared" si="44"/>
        <v>C100017</v>
      </c>
      <c r="E191" s="33"/>
      <c r="F191" s="34"/>
      <c r="G191" s="34" t="str">
        <f>"""NAV Direct"",""CRONUS JetCorp USA"",""32"",""1"",""166777"""</f>
        <v>"NAV Direct","CRONUS JetCorp USA","32","1","166777"</v>
      </c>
      <c r="H191" s="40">
        <v>43466</v>
      </c>
      <c r="I191" s="41">
        <v>166777</v>
      </c>
      <c r="J191" s="42" t="str">
        <f>"Vendor"</f>
        <v>Vendor</v>
      </c>
      <c r="K191" s="42" t="str">
        <f>"V100001"</f>
        <v>V100001</v>
      </c>
      <c r="L191" s="42" t="str">
        <f>IF($J191="Customer",_xll.NL("first",$J191,"Name","No.","@@"&amp;$K191),"")</f>
        <v/>
      </c>
      <c r="M191" s="42" t="str">
        <f>"Greigner, Inc."</f>
        <v>Greigner, Inc.</v>
      </c>
      <c r="N191" s="42" t="str">
        <f>IF($J191="Item",_xll.NL("first",$J191,"Description","No.","@@"&amp;$K191),"")</f>
        <v/>
      </c>
      <c r="O191" s="43">
        <v>600</v>
      </c>
      <c r="P191" s="43">
        <v>0</v>
      </c>
      <c r="Q191" s="43">
        <v>0</v>
      </c>
      <c r="R191" s="43">
        <v>0</v>
      </c>
      <c r="S191" s="43">
        <v>0</v>
      </c>
      <c r="T191" s="43">
        <v>0</v>
      </c>
      <c r="U191" s="56"/>
    </row>
    <row r="192" spans="1:21" ht="17.25" customHeight="1" x14ac:dyDescent="0.3">
      <c r="A192" s="15" t="s">
        <v>30</v>
      </c>
      <c r="C192" s="19"/>
      <c r="D192" s="33" t="str">
        <f t="shared" si="44"/>
        <v>C100017</v>
      </c>
      <c r="E192" s="33"/>
      <c r="F192" s="34"/>
      <c r="G192" s="34" t="str">
        <f>"""NAV Direct"",""CRONUS JetCorp USA"",""32"",""1"",""166798"""</f>
        <v>"NAV Direct","CRONUS JetCorp USA","32","1","166798"</v>
      </c>
      <c r="H192" s="40">
        <v>43466</v>
      </c>
      <c r="I192" s="41">
        <v>166798</v>
      </c>
      <c r="J192" s="42" t="str">
        <f>"Vendor"</f>
        <v>Vendor</v>
      </c>
      <c r="K192" s="42" t="str">
        <f>"V100003"</f>
        <v>V100003</v>
      </c>
      <c r="L192" s="42" t="str">
        <f>IF($J192="Customer",_xll.NL("first",$J192,"Name","No.","@@"&amp;$K192),"")</f>
        <v/>
      </c>
      <c r="M192" s="42" t="str">
        <f>"LogoMasters"</f>
        <v>LogoMasters</v>
      </c>
      <c r="N192" s="42" t="str">
        <f>IF($J192="Item",_xll.NL("first",$J192,"Description","No.","@@"&amp;$K192),"")</f>
        <v/>
      </c>
      <c r="O192" s="43">
        <v>200</v>
      </c>
      <c r="P192" s="43">
        <v>0</v>
      </c>
      <c r="Q192" s="43">
        <v>0</v>
      </c>
      <c r="R192" s="43">
        <v>0</v>
      </c>
      <c r="S192" s="43">
        <v>0</v>
      </c>
      <c r="T192" s="43">
        <v>0</v>
      </c>
      <c r="U192" s="56"/>
    </row>
    <row r="193" spans="1:21" ht="17.25" customHeight="1" x14ac:dyDescent="0.3">
      <c r="A193" s="15" t="s">
        <v>30</v>
      </c>
      <c r="C193" s="19"/>
      <c r="D193" s="33" t="str">
        <f t="shared" si="44"/>
        <v>C100017</v>
      </c>
      <c r="E193" s="33"/>
      <c r="F193" s="34"/>
      <c r="G193" s="34" t="str">
        <f>"""NAV Direct"",""CRONUS JetCorp USA"",""32"",""1"",""20363"""</f>
        <v>"NAV Direct","CRONUS JetCorp USA","32","1","20363"</v>
      </c>
      <c r="H193" s="40">
        <v>43468</v>
      </c>
      <c r="I193" s="41">
        <v>20363</v>
      </c>
      <c r="J193" s="42" t="str">
        <f>"Customer"</f>
        <v>Customer</v>
      </c>
      <c r="K193" s="42" t="str">
        <f>"C100145"</f>
        <v>C100145</v>
      </c>
      <c r="L193" s="42" t="str">
        <f>IF($J193="Customer",_xll.NL("first",$J193,"Name","No.","@@"&amp;$K193),"")</f>
        <v>Dicon Industries</v>
      </c>
      <c r="M193" s="42" t="str">
        <f>""</f>
        <v/>
      </c>
      <c r="N193" s="42" t="str">
        <f>IF($J193="Item",_xll.NL("first",$J193,"Description","No.","@@"&amp;$K193),"")</f>
        <v/>
      </c>
      <c r="O193" s="43">
        <v>0</v>
      </c>
      <c r="P193" s="43">
        <v>-48</v>
      </c>
      <c r="Q193" s="43">
        <v>0</v>
      </c>
      <c r="R193" s="43">
        <v>0</v>
      </c>
      <c r="S193" s="43">
        <v>0</v>
      </c>
      <c r="T193" s="43">
        <v>0</v>
      </c>
      <c r="U193" s="56"/>
    </row>
    <row r="194" spans="1:21" ht="17.25" customHeight="1" x14ac:dyDescent="0.3">
      <c r="A194" s="15" t="s">
        <v>30</v>
      </c>
      <c r="C194" s="19"/>
      <c r="D194" s="33" t="str">
        <f t="shared" si="44"/>
        <v>C100017</v>
      </c>
      <c r="E194" s="33"/>
      <c r="F194" s="34"/>
      <c r="G194" s="34" t="str">
        <f>"""NAV Direct"",""CRONUS JetCorp USA"",""32"",""1"",""30027"""</f>
        <v>"NAV Direct","CRONUS JetCorp USA","32","1","30027"</v>
      </c>
      <c r="H194" s="40">
        <v>43471</v>
      </c>
      <c r="I194" s="41">
        <v>30027</v>
      </c>
      <c r="J194" s="42" t="str">
        <f>"Customer"</f>
        <v>Customer</v>
      </c>
      <c r="K194" s="42" t="str">
        <f>"C100012"</f>
        <v>C100012</v>
      </c>
      <c r="L194" s="42" t="str">
        <f>IF($J194="Customer",_xll.NL("first",$J194,"Name","No.","@@"&amp;$K194),"")</f>
        <v>Bainbridges</v>
      </c>
      <c r="M194" s="42" t="str">
        <f>""</f>
        <v/>
      </c>
      <c r="N194" s="42" t="str">
        <f>IF($J194="Item",_xll.NL("first",$J194,"Description","No.","@@"&amp;$K194),"")</f>
        <v/>
      </c>
      <c r="O194" s="43">
        <v>0</v>
      </c>
      <c r="P194" s="43">
        <v>-24</v>
      </c>
      <c r="Q194" s="43">
        <v>0</v>
      </c>
      <c r="R194" s="43">
        <v>0</v>
      </c>
      <c r="S194" s="43">
        <v>0</v>
      </c>
      <c r="T194" s="43">
        <v>0</v>
      </c>
      <c r="U194" s="56"/>
    </row>
    <row r="195" spans="1:21" ht="17.25" customHeight="1" x14ac:dyDescent="0.3">
      <c r="A195" s="15" t="s">
        <v>30</v>
      </c>
      <c r="C195" s="19"/>
      <c r="D195" s="33" t="str">
        <f t="shared" si="44"/>
        <v>C100017</v>
      </c>
      <c r="E195" s="33"/>
      <c r="F195" s="34"/>
      <c r="G195" s="34" t="str">
        <f>"""NAV Direct"",""CRONUS JetCorp USA"",""32"",""1"",""124521"""</f>
        <v>"NAV Direct","CRONUS JetCorp USA","32","1","124521"</v>
      </c>
      <c r="H195" s="40">
        <v>43474</v>
      </c>
      <c r="I195" s="41">
        <v>124521</v>
      </c>
      <c r="J195" s="42" t="str">
        <f>"Customer"</f>
        <v>Customer</v>
      </c>
      <c r="K195" s="42" t="str">
        <f>"C100145"</f>
        <v>C100145</v>
      </c>
      <c r="L195" s="42" t="str">
        <f>IF($J195="Customer",_xll.NL("first",$J195,"Name","No.","@@"&amp;$K195),"")</f>
        <v>Dicon Industries</v>
      </c>
      <c r="M195" s="42" t="str">
        <f>""</f>
        <v/>
      </c>
      <c r="N195" s="42" t="str">
        <f>IF($J195="Item",_xll.NL("first",$J195,"Description","No.","@@"&amp;$K195),"")</f>
        <v/>
      </c>
      <c r="O195" s="43">
        <v>0</v>
      </c>
      <c r="P195" s="43">
        <v>-48</v>
      </c>
      <c r="Q195" s="43">
        <v>0</v>
      </c>
      <c r="R195" s="43">
        <v>0</v>
      </c>
      <c r="S195" s="43">
        <v>0</v>
      </c>
      <c r="T195" s="43">
        <v>0</v>
      </c>
      <c r="U195" s="56"/>
    </row>
    <row r="196" spans="1:21" ht="17.25" customHeight="1" x14ac:dyDescent="0.3">
      <c r="A196" s="15" t="s">
        <v>30</v>
      </c>
      <c r="C196" s="19"/>
      <c r="D196" s="33" t="str">
        <f t="shared" si="44"/>
        <v>C100017</v>
      </c>
      <c r="E196" s="33"/>
      <c r="F196" s="34"/>
      <c r="G196" s="34" t="str">
        <f>"""NAV Direct"",""CRONUS JetCorp USA"",""32"",""1"",""135815"""</f>
        <v>"NAV Direct","CRONUS JetCorp USA","32","1","135815"</v>
      </c>
      <c r="H196" s="40">
        <v>43474</v>
      </c>
      <c r="I196" s="41">
        <v>135815</v>
      </c>
      <c r="J196" s="42" t="str">
        <f>"Customer"</f>
        <v>Customer</v>
      </c>
      <c r="K196" s="42" t="str">
        <f>"C100050"</f>
        <v>C100050</v>
      </c>
      <c r="L196" s="42" t="str">
        <f>IF($J196="Customer",_xll.NL("first",$J196,"Name","No.","@@"&amp;$K196),"")</f>
        <v>Lauritzen Kontorm¢bler A/S</v>
      </c>
      <c r="M196" s="42" t="str">
        <f>""</f>
        <v/>
      </c>
      <c r="N196" s="42" t="str">
        <f>IF($J196="Item",_xll.NL("first",$J196,"Description","No.","@@"&amp;$K196),"")</f>
        <v/>
      </c>
      <c r="O196" s="43">
        <v>0</v>
      </c>
      <c r="P196" s="43">
        <v>-24</v>
      </c>
      <c r="Q196" s="43">
        <v>0</v>
      </c>
      <c r="R196" s="43">
        <v>0</v>
      </c>
      <c r="S196" s="43">
        <v>0</v>
      </c>
      <c r="T196" s="43">
        <v>0</v>
      </c>
      <c r="U196" s="56"/>
    </row>
    <row r="197" spans="1:21" ht="17.25" customHeight="1" x14ac:dyDescent="0.3">
      <c r="A197" s="15" t="s">
        <v>30</v>
      </c>
      <c r="C197" s="19"/>
      <c r="D197" s="33" t="str">
        <f t="shared" si="44"/>
        <v>C100017</v>
      </c>
      <c r="E197" s="33"/>
      <c r="F197" s="34"/>
      <c r="G197" s="34" t="str">
        <f>"""NAV Direct"",""CRONUS JetCorp USA"",""32"",""1"",""20411"""</f>
        <v>"NAV Direct","CRONUS JetCorp USA","32","1","20411"</v>
      </c>
      <c r="H197" s="40">
        <v>43475</v>
      </c>
      <c r="I197" s="41">
        <v>20411</v>
      </c>
      <c r="J197" s="42" t="str">
        <f>"Customer"</f>
        <v>Customer</v>
      </c>
      <c r="K197" s="42" t="str">
        <f>"C100130"</f>
        <v>C100130</v>
      </c>
      <c r="L197" s="42" t="str">
        <f>IF($J197="Customer",_xll.NL("first",$J197,"Name","No.","@@"&amp;$K197),"")</f>
        <v>Hotspot Systems</v>
      </c>
      <c r="M197" s="42" t="str">
        <f>""</f>
        <v/>
      </c>
      <c r="N197" s="42" t="str">
        <f>IF($J197="Item",_xll.NL("first",$J197,"Description","No.","@@"&amp;$K197),"")</f>
        <v/>
      </c>
      <c r="O197" s="43">
        <v>0</v>
      </c>
      <c r="P197" s="43">
        <v>-1</v>
      </c>
      <c r="Q197" s="43">
        <v>0</v>
      </c>
      <c r="R197" s="43">
        <v>0</v>
      </c>
      <c r="S197" s="43">
        <v>0</v>
      </c>
      <c r="T197" s="43">
        <v>0</v>
      </c>
      <c r="U197" s="56"/>
    </row>
    <row r="198" spans="1:21" ht="17.25" customHeight="1" x14ac:dyDescent="0.3">
      <c r="A198" s="15" t="s">
        <v>30</v>
      </c>
      <c r="C198" s="19"/>
      <c r="D198" s="33" t="str">
        <f t="shared" si="44"/>
        <v>C100017</v>
      </c>
      <c r="E198" s="33"/>
      <c r="F198" s="34"/>
      <c r="G198" s="34" t="str">
        <f>"""NAV Direct"",""CRONUS JetCorp USA"",""32"",""1"",""36476"""</f>
        <v>"NAV Direct","CRONUS JetCorp USA","32","1","36476"</v>
      </c>
      <c r="H198" s="40">
        <v>43475</v>
      </c>
      <c r="I198" s="41">
        <v>36476</v>
      </c>
      <c r="J198" s="42" t="str">
        <f>"Customer"</f>
        <v>Customer</v>
      </c>
      <c r="K198" s="42" t="str">
        <f>"C100063"</f>
        <v>C100063</v>
      </c>
      <c r="L198" s="42" t="str">
        <f>IF($J198="Customer",_xll.NL("first",$J198,"Name","No.","@@"&amp;$K198),"")</f>
        <v>Möbel Scherrer AG</v>
      </c>
      <c r="M198" s="42" t="str">
        <f>""</f>
        <v/>
      </c>
      <c r="N198" s="42" t="str">
        <f>IF($J198="Item",_xll.NL("first",$J198,"Description","No.","@@"&amp;$K198),"")</f>
        <v/>
      </c>
      <c r="O198" s="43">
        <v>0</v>
      </c>
      <c r="P198" s="43">
        <v>-24</v>
      </c>
      <c r="Q198" s="43">
        <v>0</v>
      </c>
      <c r="R198" s="43">
        <v>0</v>
      </c>
      <c r="S198" s="43">
        <v>0</v>
      </c>
      <c r="T198" s="43">
        <v>0</v>
      </c>
      <c r="U198" s="56"/>
    </row>
    <row r="199" spans="1:21" ht="17.25" customHeight="1" x14ac:dyDescent="0.3">
      <c r="A199" s="15" t="s">
        <v>30</v>
      </c>
      <c r="C199" s="19"/>
      <c r="D199" s="33" t="str">
        <f t="shared" si="44"/>
        <v>C100017</v>
      </c>
      <c r="E199" s="33"/>
      <c r="F199" s="34"/>
      <c r="G199" s="34" t="str">
        <f>"""NAV Direct"",""CRONUS JetCorp USA"",""32"",""1"",""20396"""</f>
        <v>"NAV Direct","CRONUS JetCorp USA","32","1","20396"</v>
      </c>
      <c r="H199" s="40">
        <v>43477</v>
      </c>
      <c r="I199" s="41">
        <v>20396</v>
      </c>
      <c r="J199" s="42" t="str">
        <f>"Customer"</f>
        <v>Customer</v>
      </c>
      <c r="K199" s="42" t="str">
        <f>"C100039"</f>
        <v>C100039</v>
      </c>
      <c r="L199" s="42" t="str">
        <f>IF($J199="Customer",_xll.NL("first",$J199,"Name","No.","@@"&amp;$K199),"")</f>
        <v>Gary's Sports</v>
      </c>
      <c r="M199" s="42" t="str">
        <f>""</f>
        <v/>
      </c>
      <c r="N199" s="42" t="str">
        <f>IF($J199="Item",_xll.NL("first",$J199,"Description","No.","@@"&amp;$K199),"")</f>
        <v/>
      </c>
      <c r="O199" s="43">
        <v>0</v>
      </c>
      <c r="P199" s="43">
        <v>-24</v>
      </c>
      <c r="Q199" s="43">
        <v>0</v>
      </c>
      <c r="R199" s="43">
        <v>0</v>
      </c>
      <c r="S199" s="43">
        <v>0</v>
      </c>
      <c r="T199" s="43">
        <v>0</v>
      </c>
      <c r="U199" s="56"/>
    </row>
    <row r="200" spans="1:21" ht="17.25" customHeight="1" x14ac:dyDescent="0.3">
      <c r="A200" s="15" t="s">
        <v>30</v>
      </c>
      <c r="C200" s="19"/>
      <c r="D200" s="33"/>
      <c r="E200" s="33"/>
      <c r="F200" s="34"/>
      <c r="G200" s="34"/>
      <c r="H200" s="34"/>
      <c r="I200" s="34"/>
      <c r="J200" s="34"/>
      <c r="K200" s="34"/>
      <c r="L200" s="34"/>
      <c r="M200" s="34"/>
      <c r="N200" s="34"/>
      <c r="O200" s="44"/>
      <c r="P200" s="44"/>
      <c r="Q200" s="44"/>
      <c r="R200" s="44"/>
      <c r="S200" s="44"/>
      <c r="T200" s="44"/>
      <c r="U200" s="57"/>
    </row>
    <row r="201" spans="1:21" ht="17.25" customHeight="1" x14ac:dyDescent="0.3">
      <c r="A201" s="15" t="s">
        <v>30</v>
      </c>
      <c r="C201" s="19"/>
      <c r="D201" s="33"/>
      <c r="E201" s="33" t="s">
        <v>31</v>
      </c>
      <c r="F201" s="34" t="s">
        <v>31</v>
      </c>
      <c r="G201" s="34" t="s">
        <v>31</v>
      </c>
      <c r="H201" s="34"/>
      <c r="I201" s="34"/>
      <c r="J201" s="34" t="s">
        <v>31</v>
      </c>
      <c r="K201" s="34" t="s">
        <v>31</v>
      </c>
      <c r="L201" s="34" t="s">
        <v>31</v>
      </c>
      <c r="M201" s="34" t="s">
        <v>31</v>
      </c>
      <c r="N201" s="34"/>
      <c r="U201" s="58"/>
    </row>
    <row r="202" spans="1:21" ht="20.25" customHeight="1" x14ac:dyDescent="0.35">
      <c r="A202" s="15" t="s">
        <v>30</v>
      </c>
      <c r="C202" s="19"/>
      <c r="D202" s="35" t="str">
        <f t="shared" ref="D202" si="45">E202</f>
        <v>C100018</v>
      </c>
      <c r="E202" s="36" t="str">
        <f>"C100018"</f>
        <v>C100018</v>
      </c>
      <c r="F202" s="37" t="str">
        <f>"Action Sport Duffel"</f>
        <v>Action Sport Duffel</v>
      </c>
      <c r="G202" s="37"/>
      <c r="H202" s="38" t="str">
        <f>"EA"</f>
        <v>EA</v>
      </c>
      <c r="I202" s="37"/>
      <c r="J202" s="37"/>
      <c r="K202" s="37"/>
      <c r="L202" s="37"/>
      <c r="M202" s="37"/>
      <c r="N202" s="37"/>
      <c r="O202" s="39">
        <f>(SUBTOTAL(9,O203:O212))</f>
        <v>1200</v>
      </c>
      <c r="P202" s="39">
        <f>(SUBTOTAL(9,P203:P212))</f>
        <v>-618</v>
      </c>
      <c r="Q202" s="39">
        <f>(SUBTOTAL(9,Q203:Q212))</f>
        <v>0</v>
      </c>
      <c r="R202" s="39">
        <f>(SUBTOTAL(9,R203:R212))</f>
        <v>0</v>
      </c>
      <c r="S202" s="39">
        <f>(SUBTOTAL(9,S203:S212))</f>
        <v>0</v>
      </c>
      <c r="T202" s="39">
        <f>(SUBTOTAL(9,T203:T212))</f>
        <v>0</v>
      </c>
      <c r="U202" s="55">
        <f t="shared" ref="U202" si="46">SUBTOTAL(9,O203:T212)</f>
        <v>582</v>
      </c>
    </row>
    <row r="203" spans="1:21" ht="17.25" customHeight="1" x14ac:dyDescent="0.3">
      <c r="A203" s="15" t="s">
        <v>30</v>
      </c>
      <c r="C203" s="19"/>
      <c r="D203" s="33" t="str">
        <f t="shared" ref="D203" si="47">D202</f>
        <v>C100018</v>
      </c>
      <c r="E203" s="33"/>
      <c r="F203" s="34"/>
      <c r="G203" s="34" t="str">
        <f>"""NAV Direct"",""CRONUS JetCorp USA"",""32"",""1"",""132492"""</f>
        <v>"NAV Direct","CRONUS JetCorp USA","32","1","132492"</v>
      </c>
      <c r="H203" s="40">
        <v>43466</v>
      </c>
      <c r="I203" s="41">
        <v>132492</v>
      </c>
      <c r="J203" s="42" t="str">
        <f>"Customer"</f>
        <v>Customer</v>
      </c>
      <c r="K203" s="42" t="str">
        <f>"C100040"</f>
        <v>C100040</v>
      </c>
      <c r="L203" s="42" t="str">
        <f>IF($J203="Customer",_xll.NL("first",$J203,"Name","No.","@@"&amp;$K203),"")</f>
        <v>Guildford Water Department</v>
      </c>
      <c r="M203" s="42" t="str">
        <f>""</f>
        <v/>
      </c>
      <c r="N203" s="42" t="str">
        <f>IF($J203="Item",_xll.NL("first",$J203,"Description","No.","@@"&amp;$K203),"")</f>
        <v/>
      </c>
      <c r="O203" s="43">
        <v>0</v>
      </c>
      <c r="P203" s="43">
        <v>-144</v>
      </c>
      <c r="Q203" s="43">
        <v>0</v>
      </c>
      <c r="R203" s="43">
        <v>0</v>
      </c>
      <c r="S203" s="43">
        <v>0</v>
      </c>
      <c r="T203" s="43">
        <v>0</v>
      </c>
      <c r="U203" s="56"/>
    </row>
    <row r="204" spans="1:21" ht="17.25" customHeight="1" x14ac:dyDescent="0.3">
      <c r="A204" s="15" t="s">
        <v>30</v>
      </c>
      <c r="C204" s="19"/>
      <c r="D204" s="33" t="str">
        <f t="shared" ref="D204:D211" si="48">D203</f>
        <v>C100018</v>
      </c>
      <c r="E204" s="33"/>
      <c r="F204" s="34"/>
      <c r="G204" s="34" t="str">
        <f>"""NAV Direct"",""CRONUS JetCorp USA"",""32"",""1"",""166746"""</f>
        <v>"NAV Direct","CRONUS JetCorp USA","32","1","166746"</v>
      </c>
      <c r="H204" s="40">
        <v>43466</v>
      </c>
      <c r="I204" s="41">
        <v>166746</v>
      </c>
      <c r="J204" s="42" t="str">
        <f>"Vendor"</f>
        <v>Vendor</v>
      </c>
      <c r="K204" s="42" t="str">
        <f>"V100040"</f>
        <v>V100040</v>
      </c>
      <c r="L204" s="42" t="str">
        <f>IF($J204="Customer",_xll.NL("first",$J204,"Name","No.","@@"&amp;$K204),"")</f>
        <v/>
      </c>
      <c r="M204" s="42" t="str">
        <f>"Technische Betriebe Rotkreuz"</f>
        <v>Technische Betriebe Rotkreuz</v>
      </c>
      <c r="N204" s="42" t="str">
        <f>IF($J204="Item",_xll.NL("first",$J204,"Description","No.","@@"&amp;$K204),"")</f>
        <v/>
      </c>
      <c r="O204" s="43">
        <v>200</v>
      </c>
      <c r="P204" s="43">
        <v>0</v>
      </c>
      <c r="Q204" s="43">
        <v>0</v>
      </c>
      <c r="R204" s="43">
        <v>0</v>
      </c>
      <c r="S204" s="43">
        <v>0</v>
      </c>
      <c r="T204" s="43">
        <v>0</v>
      </c>
      <c r="U204" s="56"/>
    </row>
    <row r="205" spans="1:21" ht="17.25" customHeight="1" x14ac:dyDescent="0.3">
      <c r="A205" s="15" t="s">
        <v>30</v>
      </c>
      <c r="C205" s="19"/>
      <c r="D205" s="33" t="str">
        <f t="shared" si="48"/>
        <v>C100018</v>
      </c>
      <c r="E205" s="33"/>
      <c r="F205" s="34"/>
      <c r="G205" s="34" t="str">
        <f>"""NAV Direct"",""CRONUS JetCorp USA"",""32"",""1"",""166761"""</f>
        <v>"NAV Direct","CRONUS JetCorp USA","32","1","166761"</v>
      </c>
      <c r="H205" s="40">
        <v>43466</v>
      </c>
      <c r="I205" s="41">
        <v>166761</v>
      </c>
      <c r="J205" s="42" t="str">
        <f>"Vendor"</f>
        <v>Vendor</v>
      </c>
      <c r="K205" s="42" t="str">
        <f>"V100007"</f>
        <v>V100007</v>
      </c>
      <c r="L205" s="42" t="str">
        <f>IF($J205="Customer",_xll.NL("first",$J205,"Name","No.","@@"&amp;$K205),"")</f>
        <v/>
      </c>
      <c r="M205" s="42" t="str">
        <f>"TrendTech"</f>
        <v>TrendTech</v>
      </c>
      <c r="N205" s="42" t="str">
        <f>IF($J205="Item",_xll.NL("first",$J205,"Description","No.","@@"&amp;$K205),"")</f>
        <v/>
      </c>
      <c r="O205" s="43">
        <v>200</v>
      </c>
      <c r="P205" s="43">
        <v>0</v>
      </c>
      <c r="Q205" s="43">
        <v>0</v>
      </c>
      <c r="R205" s="43">
        <v>0</v>
      </c>
      <c r="S205" s="43">
        <v>0</v>
      </c>
      <c r="T205" s="43">
        <v>0</v>
      </c>
      <c r="U205" s="56"/>
    </row>
    <row r="206" spans="1:21" ht="17.25" customHeight="1" x14ac:dyDescent="0.3">
      <c r="A206" s="15" t="s">
        <v>30</v>
      </c>
      <c r="C206" s="19"/>
      <c r="D206" s="33" t="str">
        <f t="shared" si="48"/>
        <v>C100018</v>
      </c>
      <c r="E206" s="33"/>
      <c r="F206" s="34"/>
      <c r="G206" s="34" t="str">
        <f>"""NAV Direct"",""CRONUS JetCorp USA"",""32"",""1"",""166776"""</f>
        <v>"NAV Direct","CRONUS JetCorp USA","32","1","166776"</v>
      </c>
      <c r="H206" s="40">
        <v>43466</v>
      </c>
      <c r="I206" s="41">
        <v>166776</v>
      </c>
      <c r="J206" s="42" t="str">
        <f>"Vendor"</f>
        <v>Vendor</v>
      </c>
      <c r="K206" s="42" t="str">
        <f>"V100001"</f>
        <v>V100001</v>
      </c>
      <c r="L206" s="42" t="str">
        <f>IF($J206="Customer",_xll.NL("first",$J206,"Name","No.","@@"&amp;$K206),"")</f>
        <v/>
      </c>
      <c r="M206" s="42" t="str">
        <f>"Greigner, Inc."</f>
        <v>Greigner, Inc.</v>
      </c>
      <c r="N206" s="42" t="str">
        <f>IF($J206="Item",_xll.NL("first",$J206,"Description","No.","@@"&amp;$K206),"")</f>
        <v/>
      </c>
      <c r="O206" s="43">
        <v>800</v>
      </c>
      <c r="P206" s="43">
        <v>0</v>
      </c>
      <c r="Q206" s="43">
        <v>0</v>
      </c>
      <c r="R206" s="43">
        <v>0</v>
      </c>
      <c r="S206" s="43">
        <v>0</v>
      </c>
      <c r="T206" s="43">
        <v>0</v>
      </c>
      <c r="U206" s="56"/>
    </row>
    <row r="207" spans="1:21" ht="17.25" customHeight="1" x14ac:dyDescent="0.3">
      <c r="A207" s="15" t="s">
        <v>30</v>
      </c>
      <c r="C207" s="19"/>
      <c r="D207" s="33" t="str">
        <f t="shared" si="48"/>
        <v>C100018</v>
      </c>
      <c r="E207" s="33"/>
      <c r="F207" s="34"/>
      <c r="G207" s="34" t="str">
        <f>"""NAV Direct"",""CRONUS JetCorp USA"",""32"",""1"",""128862"""</f>
        <v>"NAV Direct","CRONUS JetCorp USA","32","1","128862"</v>
      </c>
      <c r="H207" s="40">
        <v>43472</v>
      </c>
      <c r="I207" s="41">
        <v>128862</v>
      </c>
      <c r="J207" s="42" t="str">
        <f>"Customer"</f>
        <v>Customer</v>
      </c>
      <c r="K207" s="42" t="str">
        <f>"C100105"</f>
        <v>C100105</v>
      </c>
      <c r="L207" s="42" t="str">
        <f>IF($J207="Customer",_xll.NL("first",$J207,"Name","No.","@@"&amp;$K207),"")</f>
        <v>Esystems</v>
      </c>
      <c r="M207" s="42" t="str">
        <f>""</f>
        <v/>
      </c>
      <c r="N207" s="42" t="str">
        <f>IF($J207="Item",_xll.NL("first",$J207,"Description","No.","@@"&amp;$K207),"")</f>
        <v/>
      </c>
      <c r="O207" s="43">
        <v>0</v>
      </c>
      <c r="P207" s="43">
        <v>-144</v>
      </c>
      <c r="Q207" s="43">
        <v>0</v>
      </c>
      <c r="R207" s="43">
        <v>0</v>
      </c>
      <c r="S207" s="43">
        <v>0</v>
      </c>
      <c r="T207" s="43">
        <v>0</v>
      </c>
      <c r="U207" s="56"/>
    </row>
    <row r="208" spans="1:21" ht="17.25" customHeight="1" x14ac:dyDescent="0.3">
      <c r="A208" s="15" t="s">
        <v>30</v>
      </c>
      <c r="C208" s="19"/>
      <c r="D208" s="33" t="str">
        <f t="shared" si="48"/>
        <v>C100018</v>
      </c>
      <c r="E208" s="33"/>
      <c r="F208" s="34"/>
      <c r="G208" s="34" t="str">
        <f>"""NAV Direct"",""CRONUS JetCorp USA"",""32"",""1"",""30056"""</f>
        <v>"NAV Direct","CRONUS JetCorp USA","32","1","30056"</v>
      </c>
      <c r="H208" s="40">
        <v>43474</v>
      </c>
      <c r="I208" s="41">
        <v>30056</v>
      </c>
      <c r="J208" s="42" t="str">
        <f>"Customer"</f>
        <v>Customer</v>
      </c>
      <c r="K208" s="42" t="str">
        <f>"C100086"</f>
        <v>C100086</v>
      </c>
      <c r="L208" s="42" t="str">
        <f>IF($J208="Customer",_xll.NL("first",$J208,"Name","No.","@@"&amp;$K208),"")</f>
        <v>Top Action Sports</v>
      </c>
      <c r="M208" s="42" t="str">
        <f>""</f>
        <v/>
      </c>
      <c r="N208" s="42" t="str">
        <f>IF($J208="Item",_xll.NL("first",$J208,"Description","No.","@@"&amp;$K208),"")</f>
        <v/>
      </c>
      <c r="O208" s="43">
        <v>0</v>
      </c>
      <c r="P208" s="43">
        <v>-168</v>
      </c>
      <c r="Q208" s="43">
        <v>0</v>
      </c>
      <c r="R208" s="43">
        <v>0</v>
      </c>
      <c r="S208" s="43">
        <v>0</v>
      </c>
      <c r="T208" s="43">
        <v>0</v>
      </c>
      <c r="U208" s="56"/>
    </row>
    <row r="209" spans="1:21" ht="17.25" customHeight="1" x14ac:dyDescent="0.3">
      <c r="A209" s="15" t="s">
        <v>30</v>
      </c>
      <c r="C209" s="19"/>
      <c r="D209" s="33" t="str">
        <f t="shared" si="48"/>
        <v>C100018</v>
      </c>
      <c r="E209" s="33"/>
      <c r="F209" s="34"/>
      <c r="G209" s="34" t="str">
        <f>"""NAV Direct"",""CRONUS JetCorp USA"",""32"",""1"",""20347"""</f>
        <v>"NAV Direct","CRONUS JetCorp USA","32","1","20347"</v>
      </c>
      <c r="H209" s="40">
        <v>43475</v>
      </c>
      <c r="I209" s="41">
        <v>20347</v>
      </c>
      <c r="J209" s="42" t="str">
        <f>"Customer"</f>
        <v>Customer</v>
      </c>
      <c r="K209" s="42" t="str">
        <f>"C100097"</f>
        <v>C100097</v>
      </c>
      <c r="L209" s="42" t="str">
        <f>IF($J209="Customer",_xll.NL("first",$J209,"Name","No.","@@"&amp;$K209),"")</f>
        <v>Solotech</v>
      </c>
      <c r="M209" s="42" t="str">
        <f>""</f>
        <v/>
      </c>
      <c r="N209" s="42" t="str">
        <f>IF($J209="Item",_xll.NL("first",$J209,"Description","No.","@@"&amp;$K209),"")</f>
        <v/>
      </c>
      <c r="O209" s="43">
        <v>0</v>
      </c>
      <c r="P209" s="43">
        <v>-144</v>
      </c>
      <c r="Q209" s="43">
        <v>0</v>
      </c>
      <c r="R209" s="43">
        <v>0</v>
      </c>
      <c r="S209" s="43">
        <v>0</v>
      </c>
      <c r="T209" s="43">
        <v>0</v>
      </c>
      <c r="U209" s="56"/>
    </row>
    <row r="210" spans="1:21" ht="17.25" customHeight="1" x14ac:dyDescent="0.3">
      <c r="A210" s="15" t="s">
        <v>30</v>
      </c>
      <c r="C210" s="19"/>
      <c r="D210" s="33" t="str">
        <f t="shared" si="48"/>
        <v>C100018</v>
      </c>
      <c r="E210" s="33"/>
      <c r="F210" s="34"/>
      <c r="G210" s="34" t="str">
        <f>"""NAV Direct"",""CRONUS JetCorp USA"",""32"",""1"",""30117"""</f>
        <v>"NAV Direct","CRONUS JetCorp USA","32","1","30117"</v>
      </c>
      <c r="H210" s="40">
        <v>43475</v>
      </c>
      <c r="I210" s="41">
        <v>30117</v>
      </c>
      <c r="J210" s="42" t="str">
        <f>"Customer"</f>
        <v>Customer</v>
      </c>
      <c r="K210" s="42" t="str">
        <f>"C100012"</f>
        <v>C100012</v>
      </c>
      <c r="L210" s="42" t="str">
        <f>IF($J210="Customer",_xll.NL("first",$J210,"Name","No.","@@"&amp;$K210),"")</f>
        <v>Bainbridges</v>
      </c>
      <c r="M210" s="42" t="str">
        <f>""</f>
        <v/>
      </c>
      <c r="N210" s="42" t="str">
        <f>IF($J210="Item",_xll.NL("first",$J210,"Description","No.","@@"&amp;$K210),"")</f>
        <v/>
      </c>
      <c r="O210" s="43">
        <v>0</v>
      </c>
      <c r="P210" s="43">
        <v>-6</v>
      </c>
      <c r="Q210" s="43">
        <v>0</v>
      </c>
      <c r="R210" s="43">
        <v>0</v>
      </c>
      <c r="S210" s="43">
        <v>0</v>
      </c>
      <c r="T210" s="43">
        <v>0</v>
      </c>
      <c r="U210" s="56"/>
    </row>
    <row r="211" spans="1:21" ht="17.25" customHeight="1" x14ac:dyDescent="0.3">
      <c r="A211" s="15" t="s">
        <v>30</v>
      </c>
      <c r="C211" s="19"/>
      <c r="D211" s="33" t="str">
        <f t="shared" si="48"/>
        <v>C100018</v>
      </c>
      <c r="E211" s="33"/>
      <c r="F211" s="34"/>
      <c r="G211" s="34" t="str">
        <f>"""NAV Direct"",""CRONUS JetCorp USA"",""32"",""1"",""25273"""</f>
        <v>"NAV Direct","CRONUS JetCorp USA","32","1","25273"</v>
      </c>
      <c r="H211" s="40">
        <v>43476</v>
      </c>
      <c r="I211" s="41">
        <v>25273</v>
      </c>
      <c r="J211" s="42" t="str">
        <f>"Customer"</f>
        <v>Customer</v>
      </c>
      <c r="K211" s="42" t="str">
        <f>"C100102"</f>
        <v>C100102</v>
      </c>
      <c r="L211" s="42" t="str">
        <f>IF($J211="Customer",_xll.NL("first",$J211,"Name","No.","@@"&amp;$K211),"")</f>
        <v xml:space="preserve">BEI Outfitters </v>
      </c>
      <c r="M211" s="42" t="str">
        <f>""</f>
        <v/>
      </c>
      <c r="N211" s="42" t="str">
        <f>IF($J211="Item",_xll.NL("first",$J211,"Description","No.","@@"&amp;$K211),"")</f>
        <v/>
      </c>
      <c r="O211" s="43">
        <v>0</v>
      </c>
      <c r="P211" s="43">
        <v>-12</v>
      </c>
      <c r="Q211" s="43">
        <v>0</v>
      </c>
      <c r="R211" s="43">
        <v>0</v>
      </c>
      <c r="S211" s="43">
        <v>0</v>
      </c>
      <c r="T211" s="43">
        <v>0</v>
      </c>
      <c r="U211" s="56"/>
    </row>
    <row r="212" spans="1:21" ht="17.25" customHeight="1" x14ac:dyDescent="0.3">
      <c r="A212" s="15" t="s">
        <v>30</v>
      </c>
      <c r="C212" s="19"/>
      <c r="D212" s="33"/>
      <c r="E212" s="33"/>
      <c r="F212" s="34"/>
      <c r="G212" s="34"/>
      <c r="H212" s="34"/>
      <c r="I212" s="34"/>
      <c r="J212" s="34"/>
      <c r="K212" s="34"/>
      <c r="L212" s="34"/>
      <c r="M212" s="34"/>
      <c r="N212" s="34"/>
      <c r="O212" s="44"/>
      <c r="P212" s="44"/>
      <c r="Q212" s="44"/>
      <c r="R212" s="44"/>
      <c r="S212" s="44"/>
      <c r="T212" s="44"/>
      <c r="U212" s="57"/>
    </row>
    <row r="213" spans="1:21" ht="17.25" customHeight="1" x14ac:dyDescent="0.3">
      <c r="A213" s="15" t="s">
        <v>30</v>
      </c>
      <c r="C213" s="19"/>
      <c r="D213" s="33"/>
      <c r="E213" s="33" t="s">
        <v>31</v>
      </c>
      <c r="F213" s="34" t="s">
        <v>31</v>
      </c>
      <c r="G213" s="34" t="s">
        <v>31</v>
      </c>
      <c r="H213" s="34"/>
      <c r="I213" s="34"/>
      <c r="J213" s="34" t="s">
        <v>31</v>
      </c>
      <c r="K213" s="34" t="s">
        <v>31</v>
      </c>
      <c r="L213" s="34" t="s">
        <v>31</v>
      </c>
      <c r="M213" s="34" t="s">
        <v>31</v>
      </c>
      <c r="N213" s="34"/>
      <c r="U213" s="58"/>
    </row>
    <row r="214" spans="1:21" ht="20.25" customHeight="1" x14ac:dyDescent="0.35">
      <c r="A214" s="15" t="s">
        <v>30</v>
      </c>
      <c r="C214" s="19"/>
      <c r="D214" s="35" t="str">
        <f t="shared" ref="D214" si="49">E214</f>
        <v>C100019</v>
      </c>
      <c r="E214" s="36" t="str">
        <f>"C100019"</f>
        <v>C100019</v>
      </c>
      <c r="F214" s="37" t="str">
        <f>"Black Duffel Bag"</f>
        <v>Black Duffel Bag</v>
      </c>
      <c r="G214" s="37"/>
      <c r="H214" s="38" t="str">
        <f>"EA"</f>
        <v>EA</v>
      </c>
      <c r="I214" s="37"/>
      <c r="J214" s="37"/>
      <c r="K214" s="37"/>
      <c r="L214" s="37"/>
      <c r="M214" s="37"/>
      <c r="N214" s="37"/>
      <c r="O214" s="39">
        <f>(SUBTOTAL(9,O215:O228))</f>
        <v>1600</v>
      </c>
      <c r="P214" s="39">
        <f>(SUBTOTAL(9,P215:P228))</f>
        <v>-816</v>
      </c>
      <c r="Q214" s="39">
        <f>(SUBTOTAL(9,Q215:Q228))</f>
        <v>0</v>
      </c>
      <c r="R214" s="39">
        <f>(SUBTOTAL(9,R215:R228))</f>
        <v>0</v>
      </c>
      <c r="S214" s="39">
        <f>(SUBTOTAL(9,S215:S228))</f>
        <v>0</v>
      </c>
      <c r="T214" s="39">
        <f>(SUBTOTAL(9,T215:T228))</f>
        <v>0</v>
      </c>
      <c r="U214" s="55">
        <f t="shared" ref="U214" si="50">SUBTOTAL(9,O215:T228)</f>
        <v>784</v>
      </c>
    </row>
    <row r="215" spans="1:21" ht="17.25" customHeight="1" x14ac:dyDescent="0.3">
      <c r="A215" s="15" t="s">
        <v>30</v>
      </c>
      <c r="C215" s="19"/>
      <c r="D215" s="33" t="str">
        <f t="shared" ref="D215" si="51">D214</f>
        <v>C100019</v>
      </c>
      <c r="E215" s="33"/>
      <c r="F215" s="34"/>
      <c r="G215" s="34" t="str">
        <f>"""NAV Direct"",""CRONUS JetCorp USA"",""32"",""1"",""132491"""</f>
        <v>"NAV Direct","CRONUS JetCorp USA","32","1","132491"</v>
      </c>
      <c r="H215" s="40">
        <v>43466</v>
      </c>
      <c r="I215" s="41">
        <v>132491</v>
      </c>
      <c r="J215" s="42" t="str">
        <f>"Customer"</f>
        <v>Customer</v>
      </c>
      <c r="K215" s="42" t="str">
        <f>"C100040"</f>
        <v>C100040</v>
      </c>
      <c r="L215" s="42" t="str">
        <f>IF($J215="Customer",_xll.NL("first",$J215,"Name","No.","@@"&amp;$K215),"")</f>
        <v>Guildford Water Department</v>
      </c>
      <c r="M215" s="42" t="str">
        <f>""</f>
        <v/>
      </c>
      <c r="N215" s="42" t="str">
        <f>IF($J215="Item",_xll.NL("first",$J215,"Description","No.","@@"&amp;$K215),"")</f>
        <v/>
      </c>
      <c r="O215" s="43">
        <v>0</v>
      </c>
      <c r="P215" s="43">
        <v>-144</v>
      </c>
      <c r="Q215" s="43">
        <v>0</v>
      </c>
      <c r="R215" s="43">
        <v>0</v>
      </c>
      <c r="S215" s="43">
        <v>0</v>
      </c>
      <c r="T215" s="43">
        <v>0</v>
      </c>
      <c r="U215" s="56"/>
    </row>
    <row r="216" spans="1:21" ht="17.25" customHeight="1" x14ac:dyDescent="0.3">
      <c r="A216" s="15" t="s">
        <v>30</v>
      </c>
      <c r="C216" s="19"/>
      <c r="D216" s="33" t="str">
        <f t="shared" ref="D216:D227" si="52">D215</f>
        <v>C100019</v>
      </c>
      <c r="E216" s="33"/>
      <c r="F216" s="34"/>
      <c r="G216" s="34" t="str">
        <f>"""NAV Direct"",""CRONUS JetCorp USA"",""32"",""1"",""166760"""</f>
        <v>"NAV Direct","CRONUS JetCorp USA","32","1","166760"</v>
      </c>
      <c r="H216" s="40">
        <v>43466</v>
      </c>
      <c r="I216" s="41">
        <v>166760</v>
      </c>
      <c r="J216" s="42" t="str">
        <f>"Vendor"</f>
        <v>Vendor</v>
      </c>
      <c r="K216" s="42" t="str">
        <f>"V100007"</f>
        <v>V100007</v>
      </c>
      <c r="L216" s="42" t="str">
        <f>IF($J216="Customer",_xll.NL("first",$J216,"Name","No.","@@"&amp;$K216),"")</f>
        <v/>
      </c>
      <c r="M216" s="42" t="str">
        <f>"TrendTech"</f>
        <v>TrendTech</v>
      </c>
      <c r="N216" s="42" t="str">
        <f>IF($J216="Item",_xll.NL("first",$J216,"Description","No.","@@"&amp;$K216),"")</f>
        <v/>
      </c>
      <c r="O216" s="43">
        <v>400</v>
      </c>
      <c r="P216" s="43">
        <v>0</v>
      </c>
      <c r="Q216" s="43">
        <v>0</v>
      </c>
      <c r="R216" s="43">
        <v>0</v>
      </c>
      <c r="S216" s="43">
        <v>0</v>
      </c>
      <c r="T216" s="43">
        <v>0</v>
      </c>
      <c r="U216" s="56"/>
    </row>
    <row r="217" spans="1:21" ht="17.25" customHeight="1" x14ac:dyDescent="0.3">
      <c r="A217" s="15" t="s">
        <v>30</v>
      </c>
      <c r="C217" s="19"/>
      <c r="D217" s="33" t="str">
        <f t="shared" si="52"/>
        <v>C100019</v>
      </c>
      <c r="E217" s="33"/>
      <c r="F217" s="34"/>
      <c r="G217" s="34" t="str">
        <f>"""NAV Direct"",""CRONUS JetCorp USA"",""32"",""1"",""166775"""</f>
        <v>"NAV Direct","CRONUS JetCorp USA","32","1","166775"</v>
      </c>
      <c r="H217" s="40">
        <v>43466</v>
      </c>
      <c r="I217" s="41">
        <v>166775</v>
      </c>
      <c r="J217" s="42" t="str">
        <f>"Vendor"</f>
        <v>Vendor</v>
      </c>
      <c r="K217" s="42" t="str">
        <f>"V100001"</f>
        <v>V100001</v>
      </c>
      <c r="L217" s="42" t="str">
        <f>IF($J217="Customer",_xll.NL("first",$J217,"Name","No.","@@"&amp;$K217),"")</f>
        <v/>
      </c>
      <c r="M217" s="42" t="str">
        <f>"Greigner, Inc."</f>
        <v>Greigner, Inc.</v>
      </c>
      <c r="N217" s="42" t="str">
        <f>IF($J217="Item",_xll.NL("first",$J217,"Description","No.","@@"&amp;$K217),"")</f>
        <v/>
      </c>
      <c r="O217" s="43">
        <v>600</v>
      </c>
      <c r="P217" s="43">
        <v>0</v>
      </c>
      <c r="Q217" s="43">
        <v>0</v>
      </c>
      <c r="R217" s="43">
        <v>0</v>
      </c>
      <c r="S217" s="43">
        <v>0</v>
      </c>
      <c r="T217" s="43">
        <v>0</v>
      </c>
      <c r="U217" s="56"/>
    </row>
    <row r="218" spans="1:21" ht="17.25" customHeight="1" x14ac:dyDescent="0.3">
      <c r="A218" s="15" t="s">
        <v>30</v>
      </c>
      <c r="C218" s="19"/>
      <c r="D218" s="33" t="str">
        <f t="shared" si="52"/>
        <v>C100019</v>
      </c>
      <c r="E218" s="33"/>
      <c r="F218" s="34"/>
      <c r="G218" s="34" t="str">
        <f>"""NAV Direct"",""CRONUS JetCorp USA"",""32"",""1"",""166784"""</f>
        <v>"NAV Direct","CRONUS JetCorp USA","32","1","166784"</v>
      </c>
      <c r="H218" s="40">
        <v>43466</v>
      </c>
      <c r="I218" s="41">
        <v>166784</v>
      </c>
      <c r="J218" s="42" t="str">
        <f>"Vendor"</f>
        <v>Vendor</v>
      </c>
      <c r="K218" s="42" t="str">
        <f>"V100047"</f>
        <v>V100047</v>
      </c>
      <c r="L218" s="42" t="str">
        <f>IF($J218="Customer",_xll.NL("first",$J218,"Name","No.","@@"&amp;$K218),"")</f>
        <v/>
      </c>
      <c r="M218" s="42" t="str">
        <f>"WoodMart Supply Co."</f>
        <v>WoodMart Supply Co.</v>
      </c>
      <c r="N218" s="42" t="str">
        <f>IF($J218="Item",_xll.NL("first",$J218,"Description","No.","@@"&amp;$K218),"")</f>
        <v/>
      </c>
      <c r="O218" s="43">
        <v>200</v>
      </c>
      <c r="P218" s="43">
        <v>0</v>
      </c>
      <c r="Q218" s="43">
        <v>0</v>
      </c>
      <c r="R218" s="43">
        <v>0</v>
      </c>
      <c r="S218" s="43">
        <v>0</v>
      </c>
      <c r="T218" s="43">
        <v>0</v>
      </c>
      <c r="U218" s="56"/>
    </row>
    <row r="219" spans="1:21" ht="17.25" customHeight="1" x14ac:dyDescent="0.3">
      <c r="A219" s="15" t="s">
        <v>30</v>
      </c>
      <c r="C219" s="19"/>
      <c r="D219" s="33" t="str">
        <f t="shared" si="52"/>
        <v>C100019</v>
      </c>
      <c r="E219" s="33"/>
      <c r="F219" s="34"/>
      <c r="G219" s="34" t="str">
        <f>"""NAV Direct"",""CRONUS JetCorp USA"",""32"",""1"",""166797"""</f>
        <v>"NAV Direct","CRONUS JetCorp USA","32","1","166797"</v>
      </c>
      <c r="H219" s="40">
        <v>43466</v>
      </c>
      <c r="I219" s="41">
        <v>166797</v>
      </c>
      <c r="J219" s="42" t="str">
        <f>"Vendor"</f>
        <v>Vendor</v>
      </c>
      <c r="K219" s="42" t="str">
        <f>"V100003"</f>
        <v>V100003</v>
      </c>
      <c r="L219" s="42" t="str">
        <f>IF($J219="Customer",_xll.NL("first",$J219,"Name","No.","@@"&amp;$K219),"")</f>
        <v/>
      </c>
      <c r="M219" s="42" t="str">
        <f>"LogoMasters"</f>
        <v>LogoMasters</v>
      </c>
      <c r="N219" s="42" t="str">
        <f>IF($J219="Item",_xll.NL("first",$J219,"Description","No.","@@"&amp;$K219),"")</f>
        <v/>
      </c>
      <c r="O219" s="43">
        <v>400</v>
      </c>
      <c r="P219" s="43">
        <v>0</v>
      </c>
      <c r="Q219" s="43">
        <v>0</v>
      </c>
      <c r="R219" s="43">
        <v>0</v>
      </c>
      <c r="S219" s="43">
        <v>0</v>
      </c>
      <c r="T219" s="43">
        <v>0</v>
      </c>
      <c r="U219" s="56"/>
    </row>
    <row r="220" spans="1:21" ht="17.25" customHeight="1" x14ac:dyDescent="0.3">
      <c r="A220" s="15" t="s">
        <v>30</v>
      </c>
      <c r="C220" s="19"/>
      <c r="D220" s="33" t="str">
        <f t="shared" si="52"/>
        <v>C100019</v>
      </c>
      <c r="E220" s="33"/>
      <c r="F220" s="34"/>
      <c r="G220" s="34" t="str">
        <f>"""NAV Direct"",""CRONUS JetCorp USA"",""32"",""1"",""128848"""</f>
        <v>"NAV Direct","CRONUS JetCorp USA","32","1","128848"</v>
      </c>
      <c r="H220" s="40">
        <v>43471</v>
      </c>
      <c r="I220" s="41">
        <v>128848</v>
      </c>
      <c r="J220" s="42" t="str">
        <f>"Customer"</f>
        <v>Customer</v>
      </c>
      <c r="K220" s="42" t="str">
        <f>"C100138"</f>
        <v>C100138</v>
      </c>
      <c r="L220" s="42" t="str">
        <f>IF($J220="Customer",_xll.NL("first",$J220,"Name","No.","@@"&amp;$K220),"")</f>
        <v>Dantons</v>
      </c>
      <c r="M220" s="42" t="str">
        <f>""</f>
        <v/>
      </c>
      <c r="N220" s="42" t="str">
        <f>IF($J220="Item",_xll.NL("first",$J220,"Description","No.","@@"&amp;$K220),"")</f>
        <v/>
      </c>
      <c r="O220" s="43">
        <v>0</v>
      </c>
      <c r="P220" s="43">
        <v>-144</v>
      </c>
      <c r="Q220" s="43">
        <v>0</v>
      </c>
      <c r="R220" s="43">
        <v>0</v>
      </c>
      <c r="S220" s="43">
        <v>0</v>
      </c>
      <c r="T220" s="43">
        <v>0</v>
      </c>
      <c r="U220" s="56"/>
    </row>
    <row r="221" spans="1:21" ht="17.25" customHeight="1" x14ac:dyDescent="0.3">
      <c r="A221" s="15" t="s">
        <v>30</v>
      </c>
      <c r="C221" s="19"/>
      <c r="D221" s="33" t="str">
        <f t="shared" si="52"/>
        <v>C100019</v>
      </c>
      <c r="E221" s="33"/>
      <c r="F221" s="34"/>
      <c r="G221" s="34" t="str">
        <f>"""NAV Direct"",""CRONUS JetCorp USA"",""32"",""1"",""34310"""</f>
        <v>"NAV Direct","CRONUS JetCorp USA","32","1","34310"</v>
      </c>
      <c r="H221" s="40">
        <v>43473</v>
      </c>
      <c r="I221" s="41">
        <v>34310</v>
      </c>
      <c r="J221" s="42" t="str">
        <f>"Customer"</f>
        <v>Customer</v>
      </c>
      <c r="K221" s="42" t="str">
        <f>"C100059"</f>
        <v>C100059</v>
      </c>
      <c r="L221" s="42" t="str">
        <f>IF($J221="Customer",_xll.NL("first",$J221,"Name","No.","@@"&amp;$K221),"")</f>
        <v>Meersen Meubelen</v>
      </c>
      <c r="M221" s="42" t="str">
        <f>""</f>
        <v/>
      </c>
      <c r="N221" s="42" t="str">
        <f>IF($J221="Item",_xll.NL("first",$J221,"Description","No.","@@"&amp;$K221),"")</f>
        <v/>
      </c>
      <c r="O221" s="43">
        <v>0</v>
      </c>
      <c r="P221" s="43">
        <v>-24</v>
      </c>
      <c r="Q221" s="43">
        <v>0</v>
      </c>
      <c r="R221" s="43">
        <v>0</v>
      </c>
      <c r="S221" s="43">
        <v>0</v>
      </c>
      <c r="T221" s="43">
        <v>0</v>
      </c>
      <c r="U221" s="56"/>
    </row>
    <row r="222" spans="1:21" ht="17.25" customHeight="1" x14ac:dyDescent="0.3">
      <c r="A222" s="15" t="s">
        <v>30</v>
      </c>
      <c r="C222" s="19"/>
      <c r="D222" s="33" t="str">
        <f t="shared" si="52"/>
        <v>C100019</v>
      </c>
      <c r="E222" s="33"/>
      <c r="F222" s="34"/>
      <c r="G222" s="34" t="str">
        <f>"""NAV Direct"",""CRONUS JetCorp USA"",""32"",""1"",""30044"""</f>
        <v>"NAV Direct","CRONUS JetCorp USA","32","1","30044"</v>
      </c>
      <c r="H222" s="40">
        <v>43474</v>
      </c>
      <c r="I222" s="41">
        <v>30044</v>
      </c>
      <c r="J222" s="42" t="str">
        <f>"Customer"</f>
        <v>Customer</v>
      </c>
      <c r="K222" s="42" t="str">
        <f>"C100086"</f>
        <v>C100086</v>
      </c>
      <c r="L222" s="42" t="str">
        <f>IF($J222="Customer",_xll.NL("first",$J222,"Name","No.","@@"&amp;$K222),"")</f>
        <v>Top Action Sports</v>
      </c>
      <c r="M222" s="42" t="str">
        <f>""</f>
        <v/>
      </c>
      <c r="N222" s="42" t="str">
        <f>IF($J222="Item",_xll.NL("first",$J222,"Description","No.","@@"&amp;$K222),"")</f>
        <v/>
      </c>
      <c r="O222" s="43">
        <v>0</v>
      </c>
      <c r="P222" s="43">
        <v>-192</v>
      </c>
      <c r="Q222" s="43">
        <v>0</v>
      </c>
      <c r="R222" s="43">
        <v>0</v>
      </c>
      <c r="S222" s="43">
        <v>0</v>
      </c>
      <c r="T222" s="43">
        <v>0</v>
      </c>
      <c r="U222" s="56"/>
    </row>
    <row r="223" spans="1:21" ht="17.25" customHeight="1" x14ac:dyDescent="0.3">
      <c r="A223" s="15" t="s">
        <v>30</v>
      </c>
      <c r="C223" s="19"/>
      <c r="D223" s="33" t="str">
        <f t="shared" si="52"/>
        <v>C100019</v>
      </c>
      <c r="E223" s="33"/>
      <c r="F223" s="34"/>
      <c r="G223" s="34" t="str">
        <f>"""NAV Direct"",""CRONUS JetCorp USA"",""32"",""1"",""30055"""</f>
        <v>"NAV Direct","CRONUS JetCorp USA","32","1","30055"</v>
      </c>
      <c r="H223" s="40">
        <v>43474</v>
      </c>
      <c r="I223" s="41">
        <v>30055</v>
      </c>
      <c r="J223" s="42" t="str">
        <f>"Customer"</f>
        <v>Customer</v>
      </c>
      <c r="K223" s="42" t="str">
        <f>"C100086"</f>
        <v>C100086</v>
      </c>
      <c r="L223" s="42" t="str">
        <f>IF($J223="Customer",_xll.NL("first",$J223,"Name","No.","@@"&amp;$K223),"")</f>
        <v>Top Action Sports</v>
      </c>
      <c r="M223" s="42" t="str">
        <f>""</f>
        <v/>
      </c>
      <c r="N223" s="42" t="str">
        <f>IF($J223="Item",_xll.NL("first",$J223,"Description","No.","@@"&amp;$K223),"")</f>
        <v/>
      </c>
      <c r="O223" s="43">
        <v>0</v>
      </c>
      <c r="P223" s="43">
        <v>-144</v>
      </c>
      <c r="Q223" s="43">
        <v>0</v>
      </c>
      <c r="R223" s="43">
        <v>0</v>
      </c>
      <c r="S223" s="43">
        <v>0</v>
      </c>
      <c r="T223" s="43">
        <v>0</v>
      </c>
      <c r="U223" s="56"/>
    </row>
    <row r="224" spans="1:21" ht="17.25" customHeight="1" x14ac:dyDescent="0.3">
      <c r="A224" s="15" t="s">
        <v>30</v>
      </c>
      <c r="C224" s="19"/>
      <c r="D224" s="33" t="str">
        <f t="shared" si="52"/>
        <v>C100019</v>
      </c>
      <c r="E224" s="33"/>
      <c r="F224" s="34"/>
      <c r="G224" s="34" t="str">
        <f>"""NAV Direct"",""CRONUS JetCorp USA"",""32"",""1"",""30101"""</f>
        <v>"NAV Direct","CRONUS JetCorp USA","32","1","30101"</v>
      </c>
      <c r="H224" s="40">
        <v>43475</v>
      </c>
      <c r="I224" s="41">
        <v>30101</v>
      </c>
      <c r="J224" s="42" t="str">
        <f>"Customer"</f>
        <v>Customer</v>
      </c>
      <c r="K224" s="42" t="str">
        <f>"C100012"</f>
        <v>C100012</v>
      </c>
      <c r="L224" s="42" t="str">
        <f>IF($J224="Customer",_xll.NL("first",$J224,"Name","No.","@@"&amp;$K224),"")</f>
        <v>Bainbridges</v>
      </c>
      <c r="M224" s="42" t="str">
        <f>""</f>
        <v/>
      </c>
      <c r="N224" s="42" t="str">
        <f>IF($J224="Item",_xll.NL("first",$J224,"Description","No.","@@"&amp;$K224),"")</f>
        <v/>
      </c>
      <c r="O224" s="43">
        <v>0</v>
      </c>
      <c r="P224" s="43">
        <v>-48</v>
      </c>
      <c r="Q224" s="43">
        <v>0</v>
      </c>
      <c r="R224" s="43">
        <v>0</v>
      </c>
      <c r="S224" s="43">
        <v>0</v>
      </c>
      <c r="T224" s="43">
        <v>0</v>
      </c>
      <c r="U224" s="56"/>
    </row>
    <row r="225" spans="1:21" ht="17.25" customHeight="1" x14ac:dyDescent="0.3">
      <c r="A225" s="15" t="s">
        <v>30</v>
      </c>
      <c r="C225" s="19"/>
      <c r="D225" s="33" t="str">
        <f t="shared" si="52"/>
        <v>C100019</v>
      </c>
      <c r="E225" s="33"/>
      <c r="F225" s="34"/>
      <c r="G225" s="34" t="str">
        <f>"""NAV Direct"",""CRONUS JetCorp USA"",""32"",""1"",""124584"""</f>
        <v>"NAV Direct","CRONUS JetCorp USA","32","1","124584"</v>
      </c>
      <c r="H225" s="40">
        <v>43475</v>
      </c>
      <c r="I225" s="41">
        <v>124584</v>
      </c>
      <c r="J225" s="42" t="str">
        <f>"Customer"</f>
        <v>Customer</v>
      </c>
      <c r="K225" s="42" t="str">
        <f>"C100035"</f>
        <v>C100035</v>
      </c>
      <c r="L225" s="42" t="str">
        <f>IF($J225="Customer",_xll.NL("first",$J225,"Name","No.","@@"&amp;$K225),"")</f>
        <v>First Touch Marketing</v>
      </c>
      <c r="M225" s="42" t="str">
        <f>""</f>
        <v/>
      </c>
      <c r="N225" s="42" t="str">
        <f>IF($J225="Item",_xll.NL("first",$J225,"Description","No.","@@"&amp;$K225),"")</f>
        <v/>
      </c>
      <c r="O225" s="43">
        <v>0</v>
      </c>
      <c r="P225" s="43">
        <v>-48</v>
      </c>
      <c r="Q225" s="43">
        <v>0</v>
      </c>
      <c r="R225" s="43">
        <v>0</v>
      </c>
      <c r="S225" s="43">
        <v>0</v>
      </c>
      <c r="T225" s="43">
        <v>0</v>
      </c>
      <c r="U225" s="56"/>
    </row>
    <row r="226" spans="1:21" ht="17.25" customHeight="1" x14ac:dyDescent="0.3">
      <c r="A226" s="15" t="s">
        <v>30</v>
      </c>
      <c r="C226" s="19"/>
      <c r="D226" s="33" t="str">
        <f t="shared" si="52"/>
        <v>C100019</v>
      </c>
      <c r="E226" s="33"/>
      <c r="F226" s="34"/>
      <c r="G226" s="34" t="str">
        <f>"""NAV Direct"",""CRONUS JetCorp USA"",""32"",""1"",""128884"""</f>
        <v>"NAV Direct","CRONUS JetCorp USA","32","1","128884"</v>
      </c>
      <c r="H226" s="40">
        <v>43475</v>
      </c>
      <c r="I226" s="41">
        <v>128884</v>
      </c>
      <c r="J226" s="42" t="str">
        <f>"Customer"</f>
        <v>Customer</v>
      </c>
      <c r="K226" s="42" t="str">
        <f>"C100095"</f>
        <v>C100095</v>
      </c>
      <c r="L226" s="42" t="str">
        <f>IF($J226="Customer",_xll.NL("first",$J226,"Name","No.","@@"&amp;$K226),"")</f>
        <v>Randotax Outfitters</v>
      </c>
      <c r="M226" s="42" t="str">
        <f>""</f>
        <v/>
      </c>
      <c r="N226" s="42" t="str">
        <f>IF($J226="Item",_xll.NL("first",$J226,"Description","No.","@@"&amp;$K226),"")</f>
        <v/>
      </c>
      <c r="O226" s="43">
        <v>0</v>
      </c>
      <c r="P226" s="43">
        <v>-24</v>
      </c>
      <c r="Q226" s="43">
        <v>0</v>
      </c>
      <c r="R226" s="43">
        <v>0</v>
      </c>
      <c r="S226" s="43">
        <v>0</v>
      </c>
      <c r="T226" s="43">
        <v>0</v>
      </c>
      <c r="U226" s="56"/>
    </row>
    <row r="227" spans="1:21" ht="17.25" customHeight="1" x14ac:dyDescent="0.3">
      <c r="A227" s="15" t="s">
        <v>30</v>
      </c>
      <c r="C227" s="19"/>
      <c r="D227" s="33" t="str">
        <f t="shared" si="52"/>
        <v>C100019</v>
      </c>
      <c r="E227" s="33"/>
      <c r="F227" s="34"/>
      <c r="G227" s="34" t="str">
        <f>"""NAV Direct"",""CRONUS JetCorp USA"",""32"",""1"",""132519"""</f>
        <v>"NAV Direct","CRONUS JetCorp USA","32","1","132519"</v>
      </c>
      <c r="H227" s="40">
        <v>43477</v>
      </c>
      <c r="I227" s="41">
        <v>132519</v>
      </c>
      <c r="J227" s="42" t="str">
        <f>"Customer"</f>
        <v>Customer</v>
      </c>
      <c r="K227" s="42" t="str">
        <f>"C100082"</f>
        <v>C100082</v>
      </c>
      <c r="L227" s="42" t="str">
        <f>IF($J227="Customer",_xll.NL("first",$J227,"Name","No.","@@"&amp;$K227),"")</f>
        <v>Sporting Goods Emporium</v>
      </c>
      <c r="M227" s="42" t="str">
        <f>""</f>
        <v/>
      </c>
      <c r="N227" s="42" t="str">
        <f>IF($J227="Item",_xll.NL("first",$J227,"Description","No.","@@"&amp;$K227),"")</f>
        <v/>
      </c>
      <c r="O227" s="43">
        <v>0</v>
      </c>
      <c r="P227" s="43">
        <v>-48</v>
      </c>
      <c r="Q227" s="43">
        <v>0</v>
      </c>
      <c r="R227" s="43">
        <v>0</v>
      </c>
      <c r="S227" s="43">
        <v>0</v>
      </c>
      <c r="T227" s="43">
        <v>0</v>
      </c>
      <c r="U227" s="56"/>
    </row>
    <row r="228" spans="1:21" ht="17.25" customHeight="1" x14ac:dyDescent="0.3">
      <c r="A228" s="15" t="s">
        <v>30</v>
      </c>
      <c r="C228" s="19"/>
      <c r="D228" s="33"/>
      <c r="E228" s="33"/>
      <c r="F228" s="34"/>
      <c r="G228" s="34"/>
      <c r="H228" s="34"/>
      <c r="I228" s="34"/>
      <c r="J228" s="34"/>
      <c r="K228" s="34"/>
      <c r="L228" s="34"/>
      <c r="M228" s="34"/>
      <c r="N228" s="34"/>
      <c r="O228" s="44"/>
      <c r="P228" s="44"/>
      <c r="Q228" s="44"/>
      <c r="R228" s="44"/>
      <c r="S228" s="44"/>
      <c r="T228" s="44"/>
      <c r="U228" s="57"/>
    </row>
    <row r="229" spans="1:21" ht="17.25" customHeight="1" x14ac:dyDescent="0.3">
      <c r="A229" s="15" t="s">
        <v>30</v>
      </c>
      <c r="C229" s="19"/>
      <c r="D229" s="33"/>
      <c r="E229" s="33" t="s">
        <v>31</v>
      </c>
      <c r="F229" s="34" t="s">
        <v>31</v>
      </c>
      <c r="G229" s="34" t="s">
        <v>31</v>
      </c>
      <c r="H229" s="34"/>
      <c r="I229" s="34"/>
      <c r="J229" s="34" t="s">
        <v>31</v>
      </c>
      <c r="K229" s="34" t="s">
        <v>31</v>
      </c>
      <c r="L229" s="34" t="s">
        <v>31</v>
      </c>
      <c r="M229" s="34" t="s">
        <v>31</v>
      </c>
      <c r="N229" s="34"/>
      <c r="U229" s="58"/>
    </row>
    <row r="230" spans="1:21" ht="20.25" customHeight="1" x14ac:dyDescent="0.35">
      <c r="A230" s="15" t="s">
        <v>30</v>
      </c>
      <c r="C230" s="19"/>
      <c r="D230" s="35" t="str">
        <f t="shared" ref="D230" si="53">E230</f>
        <v>C100020</v>
      </c>
      <c r="E230" s="36" t="str">
        <f>"C100020"</f>
        <v>C100020</v>
      </c>
      <c r="F230" s="37" t="str">
        <f>"Gym Locker Bag"</f>
        <v>Gym Locker Bag</v>
      </c>
      <c r="G230" s="37"/>
      <c r="H230" s="38" t="str">
        <f>"EA"</f>
        <v>EA</v>
      </c>
      <c r="I230" s="37"/>
      <c r="J230" s="37"/>
      <c r="K230" s="37"/>
      <c r="L230" s="37"/>
      <c r="M230" s="37"/>
      <c r="N230" s="37"/>
      <c r="O230" s="39">
        <f>(SUBTOTAL(9,O231:O243))</f>
        <v>2400</v>
      </c>
      <c r="P230" s="39">
        <f>(SUBTOTAL(9,P231:P243))</f>
        <v>-828</v>
      </c>
      <c r="Q230" s="39">
        <f>(SUBTOTAL(9,Q231:Q243))</f>
        <v>0</v>
      </c>
      <c r="R230" s="39">
        <f>(SUBTOTAL(9,R231:R243))</f>
        <v>0</v>
      </c>
      <c r="S230" s="39">
        <f>(SUBTOTAL(9,S231:S243))</f>
        <v>0</v>
      </c>
      <c r="T230" s="39">
        <f>(SUBTOTAL(9,T231:T243))</f>
        <v>0</v>
      </c>
      <c r="U230" s="55">
        <f t="shared" ref="U230" si="54">SUBTOTAL(9,O231:T243)</f>
        <v>1572</v>
      </c>
    </row>
    <row r="231" spans="1:21" ht="17.25" customHeight="1" x14ac:dyDescent="0.3">
      <c r="A231" s="15" t="s">
        <v>30</v>
      </c>
      <c r="C231" s="19"/>
      <c r="D231" s="33" t="str">
        <f t="shared" ref="D231" si="55">D230</f>
        <v>C100020</v>
      </c>
      <c r="E231" s="33"/>
      <c r="F231" s="34"/>
      <c r="G231" s="34" t="str">
        <f>"""NAV Direct"",""CRONUS JetCorp USA"",""32"",""1"",""166745"""</f>
        <v>"NAV Direct","CRONUS JetCorp USA","32","1","166745"</v>
      </c>
      <c r="H231" s="40">
        <v>43466</v>
      </c>
      <c r="I231" s="41">
        <v>166745</v>
      </c>
      <c r="J231" s="42" t="str">
        <f>"Vendor"</f>
        <v>Vendor</v>
      </c>
      <c r="K231" s="42" t="str">
        <f>"V100040"</f>
        <v>V100040</v>
      </c>
      <c r="L231" s="42" t="str">
        <f>IF($J231="Customer",_xll.NL("first",$J231,"Name","No.","@@"&amp;$K231),"")</f>
        <v/>
      </c>
      <c r="M231" s="42" t="str">
        <f>"Technische Betriebe Rotkreuz"</f>
        <v>Technische Betriebe Rotkreuz</v>
      </c>
      <c r="N231" s="42" t="str">
        <f>IF($J231="Item",_xll.NL("first",$J231,"Description","No.","@@"&amp;$K231),"")</f>
        <v/>
      </c>
      <c r="O231" s="43">
        <v>200</v>
      </c>
      <c r="P231" s="43">
        <v>0</v>
      </c>
      <c r="Q231" s="43">
        <v>0</v>
      </c>
      <c r="R231" s="43">
        <v>0</v>
      </c>
      <c r="S231" s="43">
        <v>0</v>
      </c>
      <c r="T231" s="43">
        <v>0</v>
      </c>
      <c r="U231" s="56"/>
    </row>
    <row r="232" spans="1:21" ht="17.25" customHeight="1" x14ac:dyDescent="0.3">
      <c r="A232" s="15" t="s">
        <v>30</v>
      </c>
      <c r="C232" s="19"/>
      <c r="D232" s="33" t="str">
        <f t="shared" ref="D232:D242" si="56">D231</f>
        <v>C100020</v>
      </c>
      <c r="E232" s="33"/>
      <c r="F232" s="34"/>
      <c r="G232" s="34" t="str">
        <f>"""NAV Direct"",""CRONUS JetCorp USA"",""32"",""1"",""166759"""</f>
        <v>"NAV Direct","CRONUS JetCorp USA","32","1","166759"</v>
      </c>
      <c r="H232" s="40">
        <v>43466</v>
      </c>
      <c r="I232" s="41">
        <v>166759</v>
      </c>
      <c r="J232" s="42" t="str">
        <f>"Vendor"</f>
        <v>Vendor</v>
      </c>
      <c r="K232" s="42" t="str">
        <f>"V100007"</f>
        <v>V100007</v>
      </c>
      <c r="L232" s="42" t="str">
        <f>IF($J232="Customer",_xll.NL("first",$J232,"Name","No.","@@"&amp;$K232),"")</f>
        <v/>
      </c>
      <c r="M232" s="42" t="str">
        <f>"TrendTech"</f>
        <v>TrendTech</v>
      </c>
      <c r="N232" s="42" t="str">
        <f>IF($J232="Item",_xll.NL("first",$J232,"Description","No.","@@"&amp;$K232),"")</f>
        <v/>
      </c>
      <c r="O232" s="43">
        <v>800</v>
      </c>
      <c r="P232" s="43">
        <v>0</v>
      </c>
      <c r="Q232" s="43">
        <v>0</v>
      </c>
      <c r="R232" s="43">
        <v>0</v>
      </c>
      <c r="S232" s="43">
        <v>0</v>
      </c>
      <c r="T232" s="43">
        <v>0</v>
      </c>
      <c r="U232" s="56"/>
    </row>
    <row r="233" spans="1:21" ht="17.25" customHeight="1" x14ac:dyDescent="0.3">
      <c r="A233" s="15" t="s">
        <v>30</v>
      </c>
      <c r="C233" s="19"/>
      <c r="D233" s="33" t="str">
        <f t="shared" si="56"/>
        <v>C100020</v>
      </c>
      <c r="E233" s="33"/>
      <c r="F233" s="34"/>
      <c r="G233" s="34" t="str">
        <f>"""NAV Direct"",""CRONUS JetCorp USA"",""32"",""1"",""166774"""</f>
        <v>"NAV Direct","CRONUS JetCorp USA","32","1","166774"</v>
      </c>
      <c r="H233" s="40">
        <v>43466</v>
      </c>
      <c r="I233" s="41">
        <v>166774</v>
      </c>
      <c r="J233" s="42" t="str">
        <f>"Vendor"</f>
        <v>Vendor</v>
      </c>
      <c r="K233" s="42" t="str">
        <f>"V100001"</f>
        <v>V100001</v>
      </c>
      <c r="L233" s="42" t="str">
        <f>IF($J233="Customer",_xll.NL("first",$J233,"Name","No.","@@"&amp;$K233),"")</f>
        <v/>
      </c>
      <c r="M233" s="42" t="str">
        <f>"Greigner, Inc."</f>
        <v>Greigner, Inc.</v>
      </c>
      <c r="N233" s="42" t="str">
        <f>IF($J233="Item",_xll.NL("first",$J233,"Description","No.","@@"&amp;$K233),"")</f>
        <v/>
      </c>
      <c r="O233" s="43">
        <v>999.99999999999989</v>
      </c>
      <c r="P233" s="43">
        <v>0</v>
      </c>
      <c r="Q233" s="43">
        <v>0</v>
      </c>
      <c r="R233" s="43">
        <v>0</v>
      </c>
      <c r="S233" s="43">
        <v>0</v>
      </c>
      <c r="T233" s="43">
        <v>0</v>
      </c>
      <c r="U233" s="56"/>
    </row>
    <row r="234" spans="1:21" ht="17.25" customHeight="1" x14ac:dyDescent="0.3">
      <c r="A234" s="15" t="s">
        <v>30</v>
      </c>
      <c r="C234" s="19"/>
      <c r="D234" s="33" t="str">
        <f t="shared" si="56"/>
        <v>C100020</v>
      </c>
      <c r="E234" s="33"/>
      <c r="F234" s="34"/>
      <c r="G234" s="34" t="str">
        <f>"""NAV Direct"",""CRONUS JetCorp USA"",""32"",""1"",""166796"""</f>
        <v>"NAV Direct","CRONUS JetCorp USA","32","1","166796"</v>
      </c>
      <c r="H234" s="40">
        <v>43466</v>
      </c>
      <c r="I234" s="41">
        <v>166796</v>
      </c>
      <c r="J234" s="42" t="str">
        <f>"Vendor"</f>
        <v>Vendor</v>
      </c>
      <c r="K234" s="42" t="str">
        <f>"V100003"</f>
        <v>V100003</v>
      </c>
      <c r="L234" s="42" t="str">
        <f>IF($J234="Customer",_xll.NL("first",$J234,"Name","No.","@@"&amp;$K234),"")</f>
        <v/>
      </c>
      <c r="M234" s="42" t="str">
        <f>"LogoMasters"</f>
        <v>LogoMasters</v>
      </c>
      <c r="N234" s="42" t="str">
        <f>IF($J234="Item",_xll.NL("first",$J234,"Description","No.","@@"&amp;$K234),"")</f>
        <v/>
      </c>
      <c r="O234" s="43">
        <v>400</v>
      </c>
      <c r="P234" s="43">
        <v>0</v>
      </c>
      <c r="Q234" s="43">
        <v>0</v>
      </c>
      <c r="R234" s="43">
        <v>0</v>
      </c>
      <c r="S234" s="43">
        <v>0</v>
      </c>
      <c r="T234" s="43">
        <v>0</v>
      </c>
      <c r="U234" s="56"/>
    </row>
    <row r="235" spans="1:21" ht="17.25" customHeight="1" x14ac:dyDescent="0.3">
      <c r="A235" s="15" t="s">
        <v>30</v>
      </c>
      <c r="C235" s="19"/>
      <c r="D235" s="33" t="str">
        <f t="shared" si="56"/>
        <v>C100020</v>
      </c>
      <c r="E235" s="33"/>
      <c r="F235" s="34"/>
      <c r="G235" s="34" t="str">
        <f>"""NAV Direct"",""CRONUS JetCorp USA"",""32"",""1"",""124513"""</f>
        <v>"NAV Direct","CRONUS JetCorp USA","32","1","124513"</v>
      </c>
      <c r="H235" s="40">
        <v>43470</v>
      </c>
      <c r="I235" s="41">
        <v>124513</v>
      </c>
      <c r="J235" s="42" t="str">
        <f>"Customer"</f>
        <v>Customer</v>
      </c>
      <c r="K235" s="42" t="str">
        <f>"C100025"</f>
        <v>C100025</v>
      </c>
      <c r="L235" s="42" t="str">
        <f>IF($J235="Customer",_xll.NL("first",$J235,"Name","No.","@@"&amp;$K235),"")</f>
        <v>Derringers Resturants</v>
      </c>
      <c r="M235" s="42" t="str">
        <f>""</f>
        <v/>
      </c>
      <c r="N235" s="42" t="str">
        <f>IF($J235="Item",_xll.NL("first",$J235,"Description","No.","@@"&amp;$K235),"")</f>
        <v/>
      </c>
      <c r="O235" s="43">
        <v>0</v>
      </c>
      <c r="P235" s="43">
        <v>-48</v>
      </c>
      <c r="Q235" s="43">
        <v>0</v>
      </c>
      <c r="R235" s="43">
        <v>0</v>
      </c>
      <c r="S235" s="43">
        <v>0</v>
      </c>
      <c r="T235" s="43">
        <v>0</v>
      </c>
      <c r="U235" s="56"/>
    </row>
    <row r="236" spans="1:21" ht="17.25" customHeight="1" x14ac:dyDescent="0.3">
      <c r="A236" s="15" t="s">
        <v>30</v>
      </c>
      <c r="C236" s="19"/>
      <c r="D236" s="33" t="str">
        <f t="shared" si="56"/>
        <v>C100020</v>
      </c>
      <c r="E236" s="33"/>
      <c r="F236" s="34"/>
      <c r="G236" s="34" t="str">
        <f>"""NAV Direct"",""CRONUS JetCorp USA"",""32"",""1"",""38080"""</f>
        <v>"NAV Direct","CRONUS JetCorp USA","32","1","38080"</v>
      </c>
      <c r="H236" s="40">
        <v>43471</v>
      </c>
      <c r="I236" s="41">
        <v>38080</v>
      </c>
      <c r="J236" s="42" t="str">
        <f>"Customer"</f>
        <v>Customer</v>
      </c>
      <c r="K236" s="42" t="str">
        <f>"C100013"</f>
        <v>C100013</v>
      </c>
      <c r="L236" s="42" t="str">
        <f>IF($J236="Customer",_xll.NL("first",$J236,"Name","No.","@@"&amp;$K236),"")</f>
        <v>Candoxy Kontor A/S</v>
      </c>
      <c r="M236" s="42" t="str">
        <f>""</f>
        <v/>
      </c>
      <c r="N236" s="42" t="str">
        <f>IF($J236="Item",_xll.NL("first",$J236,"Description","No.","@@"&amp;$K236),"")</f>
        <v/>
      </c>
      <c r="O236" s="43">
        <v>0</v>
      </c>
      <c r="P236" s="43">
        <v>-6</v>
      </c>
      <c r="Q236" s="43">
        <v>0</v>
      </c>
      <c r="R236" s="43">
        <v>0</v>
      </c>
      <c r="S236" s="43">
        <v>0</v>
      </c>
      <c r="T236" s="43">
        <v>0</v>
      </c>
      <c r="U236" s="56"/>
    </row>
    <row r="237" spans="1:21" ht="17.25" customHeight="1" x14ac:dyDescent="0.3">
      <c r="A237" s="15" t="s">
        <v>30</v>
      </c>
      <c r="C237" s="19"/>
      <c r="D237" s="33" t="str">
        <f t="shared" si="56"/>
        <v>C100020</v>
      </c>
      <c r="E237" s="33"/>
      <c r="F237" s="34"/>
      <c r="G237" s="34" t="str">
        <f>"""NAV Direct"",""CRONUS JetCorp USA"",""32"",""1"",""128872"""</f>
        <v>"NAV Direct","CRONUS JetCorp USA","32","1","128872"</v>
      </c>
      <c r="H237" s="40">
        <v>43472</v>
      </c>
      <c r="I237" s="41">
        <v>128872</v>
      </c>
      <c r="J237" s="42" t="str">
        <f>"Customer"</f>
        <v>Customer</v>
      </c>
      <c r="K237" s="42" t="str">
        <f>"C100105"</f>
        <v>C100105</v>
      </c>
      <c r="L237" s="42" t="str">
        <f>IF($J237="Customer",_xll.NL("first",$J237,"Name","No.","@@"&amp;$K237),"")</f>
        <v>Esystems</v>
      </c>
      <c r="M237" s="42" t="str">
        <f>""</f>
        <v/>
      </c>
      <c r="N237" s="42" t="str">
        <f>IF($J237="Item",_xll.NL("first",$J237,"Description","No.","@@"&amp;$K237),"")</f>
        <v/>
      </c>
      <c r="O237" s="43">
        <v>0</v>
      </c>
      <c r="P237" s="43">
        <v>-48</v>
      </c>
      <c r="Q237" s="43">
        <v>0</v>
      </c>
      <c r="R237" s="43">
        <v>0</v>
      </c>
      <c r="S237" s="43">
        <v>0</v>
      </c>
      <c r="T237" s="43">
        <v>0</v>
      </c>
      <c r="U237" s="56"/>
    </row>
    <row r="238" spans="1:21" ht="17.25" customHeight="1" x14ac:dyDescent="0.3">
      <c r="A238" s="15" t="s">
        <v>30</v>
      </c>
      <c r="C238" s="19"/>
      <c r="D238" s="33" t="str">
        <f t="shared" si="56"/>
        <v>C100020</v>
      </c>
      <c r="E238" s="33"/>
      <c r="F238" s="34"/>
      <c r="G238" s="34" t="str">
        <f>"""NAV Direct"",""CRONUS JetCorp USA"",""32"",""1"",""30046"""</f>
        <v>"NAV Direct","CRONUS JetCorp USA","32","1","30046"</v>
      </c>
      <c r="H238" s="40">
        <v>43474</v>
      </c>
      <c r="I238" s="41">
        <v>30046</v>
      </c>
      <c r="J238" s="42" t="str">
        <f>"Customer"</f>
        <v>Customer</v>
      </c>
      <c r="K238" s="42" t="str">
        <f>"C100086"</f>
        <v>C100086</v>
      </c>
      <c r="L238" s="42" t="str">
        <f>IF($J238="Customer",_xll.NL("first",$J238,"Name","No.","@@"&amp;$K238),"")</f>
        <v>Top Action Sports</v>
      </c>
      <c r="M238" s="42" t="str">
        <f>""</f>
        <v/>
      </c>
      <c r="N238" s="42" t="str">
        <f>IF($J238="Item",_xll.NL("first",$J238,"Description","No.","@@"&amp;$K238),"")</f>
        <v/>
      </c>
      <c r="O238" s="43">
        <v>0</v>
      </c>
      <c r="P238" s="43">
        <v>-144</v>
      </c>
      <c r="Q238" s="43">
        <v>0</v>
      </c>
      <c r="R238" s="43">
        <v>0</v>
      </c>
      <c r="S238" s="43">
        <v>0</v>
      </c>
      <c r="T238" s="43">
        <v>0</v>
      </c>
      <c r="U238" s="56"/>
    </row>
    <row r="239" spans="1:21" ht="17.25" customHeight="1" x14ac:dyDescent="0.3">
      <c r="A239" s="15" t="s">
        <v>30</v>
      </c>
      <c r="C239" s="19"/>
      <c r="D239" s="33" t="str">
        <f t="shared" si="56"/>
        <v>C100020</v>
      </c>
      <c r="E239" s="33"/>
      <c r="F239" s="34"/>
      <c r="G239" s="34" t="str">
        <f>"""NAV Direct"",""CRONUS JetCorp USA"",""32"",""1"",""30103"""</f>
        <v>"NAV Direct","CRONUS JetCorp USA","32","1","30103"</v>
      </c>
      <c r="H239" s="40">
        <v>43475</v>
      </c>
      <c r="I239" s="41">
        <v>30103</v>
      </c>
      <c r="J239" s="42" t="str">
        <f>"Customer"</f>
        <v>Customer</v>
      </c>
      <c r="K239" s="42" t="str">
        <f>"C100012"</f>
        <v>C100012</v>
      </c>
      <c r="L239" s="42" t="str">
        <f>IF($J239="Customer",_xll.NL("first",$J239,"Name","No.","@@"&amp;$K239),"")</f>
        <v>Bainbridges</v>
      </c>
      <c r="M239" s="42" t="str">
        <f>""</f>
        <v/>
      </c>
      <c r="N239" s="42" t="str">
        <f>IF($J239="Item",_xll.NL("first",$J239,"Description","No.","@@"&amp;$K239),"")</f>
        <v/>
      </c>
      <c r="O239" s="43">
        <v>0</v>
      </c>
      <c r="P239" s="43">
        <v>-144</v>
      </c>
      <c r="Q239" s="43">
        <v>0</v>
      </c>
      <c r="R239" s="43">
        <v>0</v>
      </c>
      <c r="S239" s="43">
        <v>0</v>
      </c>
      <c r="T239" s="43">
        <v>0</v>
      </c>
      <c r="U239" s="56"/>
    </row>
    <row r="240" spans="1:21" ht="17.25" customHeight="1" x14ac:dyDescent="0.3">
      <c r="A240" s="15" t="s">
        <v>30</v>
      </c>
      <c r="C240" s="19"/>
      <c r="D240" s="33" t="str">
        <f t="shared" si="56"/>
        <v>C100020</v>
      </c>
      <c r="E240" s="33"/>
      <c r="F240" s="34"/>
      <c r="G240" s="34" t="str">
        <f>"""NAV Direct"",""CRONUS JetCorp USA"",""32"",""1"",""124583"""</f>
        <v>"NAV Direct","CRONUS JetCorp USA","32","1","124583"</v>
      </c>
      <c r="H240" s="40">
        <v>43475</v>
      </c>
      <c r="I240" s="41">
        <v>124583</v>
      </c>
      <c r="J240" s="42" t="str">
        <f>"Customer"</f>
        <v>Customer</v>
      </c>
      <c r="K240" s="42" t="str">
        <f>"C100035"</f>
        <v>C100035</v>
      </c>
      <c r="L240" s="42" t="str">
        <f>IF($J240="Customer",_xll.NL("first",$J240,"Name","No.","@@"&amp;$K240),"")</f>
        <v>First Touch Marketing</v>
      </c>
      <c r="M240" s="42" t="str">
        <f>""</f>
        <v/>
      </c>
      <c r="N240" s="42" t="str">
        <f>IF($J240="Item",_xll.NL("first",$J240,"Description","No.","@@"&amp;$K240),"")</f>
        <v/>
      </c>
      <c r="O240" s="43">
        <v>0</v>
      </c>
      <c r="P240" s="43">
        <v>-288</v>
      </c>
      <c r="Q240" s="43">
        <v>0</v>
      </c>
      <c r="R240" s="43">
        <v>0</v>
      </c>
      <c r="S240" s="43">
        <v>0</v>
      </c>
      <c r="T240" s="43">
        <v>0</v>
      </c>
      <c r="U240" s="56"/>
    </row>
    <row r="241" spans="1:21" ht="17.25" customHeight="1" x14ac:dyDescent="0.3">
      <c r="A241" s="15" t="s">
        <v>30</v>
      </c>
      <c r="C241" s="19"/>
      <c r="D241" s="33" t="str">
        <f t="shared" si="56"/>
        <v>C100020</v>
      </c>
      <c r="E241" s="33"/>
      <c r="F241" s="34"/>
      <c r="G241" s="34" t="str">
        <f>"""NAV Direct"",""CRONUS JetCorp USA"",""32"",""1"",""25263"""</f>
        <v>"NAV Direct","CRONUS JetCorp USA","32","1","25263"</v>
      </c>
      <c r="H241" s="40">
        <v>43476</v>
      </c>
      <c r="I241" s="41">
        <v>25263</v>
      </c>
      <c r="J241" s="42" t="str">
        <f>"Customer"</f>
        <v>Customer</v>
      </c>
      <c r="K241" s="42" t="str">
        <f>"C100102"</f>
        <v>C100102</v>
      </c>
      <c r="L241" s="42" t="str">
        <f>IF($J241="Customer",_xll.NL("first",$J241,"Name","No.","@@"&amp;$K241),"")</f>
        <v xml:space="preserve">BEI Outfitters </v>
      </c>
      <c r="M241" s="42" t="str">
        <f>""</f>
        <v/>
      </c>
      <c r="N241" s="42" t="str">
        <f>IF($J241="Item",_xll.NL("first",$J241,"Description","No.","@@"&amp;$K241),"")</f>
        <v/>
      </c>
      <c r="O241" s="43">
        <v>0</v>
      </c>
      <c r="P241" s="43">
        <v>-144</v>
      </c>
      <c r="Q241" s="43">
        <v>0</v>
      </c>
      <c r="R241" s="43">
        <v>0</v>
      </c>
      <c r="S241" s="43">
        <v>0</v>
      </c>
      <c r="T241" s="43">
        <v>0</v>
      </c>
      <c r="U241" s="56"/>
    </row>
    <row r="242" spans="1:21" ht="17.25" customHeight="1" x14ac:dyDescent="0.3">
      <c r="A242" s="15" t="s">
        <v>30</v>
      </c>
      <c r="C242" s="19"/>
      <c r="D242" s="33" t="str">
        <f t="shared" si="56"/>
        <v>C100020</v>
      </c>
      <c r="E242" s="33"/>
      <c r="F242" s="34"/>
      <c r="G242" s="34" t="str">
        <f>"""NAV Direct"",""CRONUS JetCorp USA"",""32"",""1"",""38092"""</f>
        <v>"NAV Direct","CRONUS JetCorp USA","32","1","38092"</v>
      </c>
      <c r="H242" s="40">
        <v>43477</v>
      </c>
      <c r="I242" s="41">
        <v>38092</v>
      </c>
      <c r="J242" s="42" t="str">
        <f>"Customer"</f>
        <v>Customer</v>
      </c>
      <c r="K242" s="42" t="str">
        <f>"C100038"</f>
        <v>C100038</v>
      </c>
      <c r="L242" s="42" t="str">
        <f>IF($J242="Customer",_xll.NL("first",$J242,"Name","No.","@@"&amp;$K242),"")</f>
        <v>Gagn &amp; Gaman</v>
      </c>
      <c r="M242" s="42" t="str">
        <f>""</f>
        <v/>
      </c>
      <c r="N242" s="42" t="str">
        <f>IF($J242="Item",_xll.NL("first",$J242,"Description","No.","@@"&amp;$K242),"")</f>
        <v/>
      </c>
      <c r="O242" s="43">
        <v>0</v>
      </c>
      <c r="P242" s="43">
        <v>-6</v>
      </c>
      <c r="Q242" s="43">
        <v>0</v>
      </c>
      <c r="R242" s="43">
        <v>0</v>
      </c>
      <c r="S242" s="43">
        <v>0</v>
      </c>
      <c r="T242" s="43">
        <v>0</v>
      </c>
      <c r="U242" s="56"/>
    </row>
    <row r="243" spans="1:21" ht="17.25" customHeight="1" x14ac:dyDescent="0.3">
      <c r="A243" s="15" t="s">
        <v>30</v>
      </c>
      <c r="C243" s="19"/>
      <c r="D243" s="33"/>
      <c r="E243" s="33"/>
      <c r="F243" s="34"/>
      <c r="G243" s="34"/>
      <c r="H243" s="34"/>
      <c r="I243" s="34"/>
      <c r="J243" s="34"/>
      <c r="K243" s="34"/>
      <c r="L243" s="34"/>
      <c r="M243" s="34"/>
      <c r="N243" s="34"/>
      <c r="O243" s="44"/>
      <c r="P243" s="44"/>
      <c r="Q243" s="44"/>
      <c r="R243" s="44"/>
      <c r="S243" s="44"/>
      <c r="T243" s="44"/>
      <c r="U243" s="57"/>
    </row>
    <row r="244" spans="1:21" ht="17.25" customHeight="1" x14ac:dyDescent="0.3">
      <c r="A244" s="15" t="s">
        <v>30</v>
      </c>
      <c r="C244" s="19"/>
      <c r="D244" s="33"/>
      <c r="E244" s="33" t="s">
        <v>31</v>
      </c>
      <c r="F244" s="34" t="s">
        <v>31</v>
      </c>
      <c r="G244" s="34" t="s">
        <v>31</v>
      </c>
      <c r="H244" s="34"/>
      <c r="I244" s="34"/>
      <c r="J244" s="34" t="s">
        <v>31</v>
      </c>
      <c r="K244" s="34" t="s">
        <v>31</v>
      </c>
      <c r="L244" s="34" t="s">
        <v>31</v>
      </c>
      <c r="M244" s="34" t="s">
        <v>31</v>
      </c>
      <c r="N244" s="34"/>
      <c r="U244" s="58"/>
    </row>
    <row r="245" spans="1:21" ht="20.25" customHeight="1" x14ac:dyDescent="0.35">
      <c r="A245" s="15" t="s">
        <v>30</v>
      </c>
      <c r="C245" s="19"/>
      <c r="D245" s="35" t="str">
        <f t="shared" ref="D245" si="57">E245</f>
        <v>C100021</v>
      </c>
      <c r="E245" s="36" t="str">
        <f>"C100021"</f>
        <v>C100021</v>
      </c>
      <c r="F245" s="37" t="str">
        <f>"Canvas Boat Bag"</f>
        <v>Canvas Boat Bag</v>
      </c>
      <c r="G245" s="37"/>
      <c r="H245" s="38" t="str">
        <f>"EA"</f>
        <v>EA</v>
      </c>
      <c r="I245" s="37"/>
      <c r="J245" s="37"/>
      <c r="K245" s="37"/>
      <c r="L245" s="37"/>
      <c r="M245" s="37"/>
      <c r="N245" s="37"/>
      <c r="O245" s="39">
        <f>(SUBTOTAL(9,O246:O258))</f>
        <v>2800</v>
      </c>
      <c r="P245" s="39">
        <f>(SUBTOTAL(9,P246:P258))</f>
        <v>-936</v>
      </c>
      <c r="Q245" s="39">
        <f>(SUBTOTAL(9,Q246:Q258))</f>
        <v>0</v>
      </c>
      <c r="R245" s="39">
        <f>(SUBTOTAL(9,R246:R258))</f>
        <v>0</v>
      </c>
      <c r="S245" s="39">
        <f>(SUBTOTAL(9,S246:S258))</f>
        <v>0</v>
      </c>
      <c r="T245" s="39">
        <f>(SUBTOTAL(9,T246:T258))</f>
        <v>0</v>
      </c>
      <c r="U245" s="55">
        <f t="shared" ref="U245" si="58">SUBTOTAL(9,O246:T258)</f>
        <v>1864</v>
      </c>
    </row>
    <row r="246" spans="1:21" ht="17.25" customHeight="1" x14ac:dyDescent="0.3">
      <c r="A246" s="15" t="s">
        <v>30</v>
      </c>
      <c r="C246" s="19"/>
      <c r="D246" s="33" t="str">
        <f t="shared" ref="D246" si="59">D245</f>
        <v>C100021</v>
      </c>
      <c r="E246" s="33"/>
      <c r="F246" s="34"/>
      <c r="G246" s="34" t="str">
        <f>"""NAV Direct"",""CRONUS JetCorp USA"",""32"",""1"",""132494"""</f>
        <v>"NAV Direct","CRONUS JetCorp USA","32","1","132494"</v>
      </c>
      <c r="H246" s="40">
        <v>43466</v>
      </c>
      <c r="I246" s="41">
        <v>132494</v>
      </c>
      <c r="J246" s="42" t="str">
        <f>"Customer"</f>
        <v>Customer</v>
      </c>
      <c r="K246" s="42" t="str">
        <f>"C100040"</f>
        <v>C100040</v>
      </c>
      <c r="L246" s="42" t="str">
        <f>IF($J246="Customer",_xll.NL("first",$J246,"Name","No.","@@"&amp;$K246),"")</f>
        <v>Guildford Water Department</v>
      </c>
      <c r="M246" s="42" t="str">
        <f>""</f>
        <v/>
      </c>
      <c r="N246" s="42" t="str">
        <f>IF($J246="Item",_xll.NL("first",$J246,"Description","No.","@@"&amp;$K246),"")</f>
        <v/>
      </c>
      <c r="O246" s="43">
        <v>0</v>
      </c>
      <c r="P246" s="43">
        <v>-144</v>
      </c>
      <c r="Q246" s="43">
        <v>0</v>
      </c>
      <c r="R246" s="43">
        <v>0</v>
      </c>
      <c r="S246" s="43">
        <v>0</v>
      </c>
      <c r="T246" s="43">
        <v>0</v>
      </c>
      <c r="U246" s="56"/>
    </row>
    <row r="247" spans="1:21" ht="17.25" customHeight="1" x14ac:dyDescent="0.3">
      <c r="A247" s="15" t="s">
        <v>30</v>
      </c>
      <c r="C247" s="19"/>
      <c r="D247" s="33" t="str">
        <f t="shared" ref="D247:D257" si="60">D246</f>
        <v>C100021</v>
      </c>
      <c r="E247" s="33"/>
      <c r="F247" s="34"/>
      <c r="G247" s="34" t="str">
        <f>"""NAV Direct"",""CRONUS JetCorp USA"",""32"",""1"",""166744"""</f>
        <v>"NAV Direct","CRONUS JetCorp USA","32","1","166744"</v>
      </c>
      <c r="H247" s="40">
        <v>43466</v>
      </c>
      <c r="I247" s="41">
        <v>166744</v>
      </c>
      <c r="J247" s="42" t="str">
        <f>"Vendor"</f>
        <v>Vendor</v>
      </c>
      <c r="K247" s="42" t="str">
        <f>"V100040"</f>
        <v>V100040</v>
      </c>
      <c r="L247" s="42" t="str">
        <f>IF($J247="Customer",_xll.NL("first",$J247,"Name","No.","@@"&amp;$K247),"")</f>
        <v/>
      </c>
      <c r="M247" s="42" t="str">
        <f>"Technische Betriebe Rotkreuz"</f>
        <v>Technische Betriebe Rotkreuz</v>
      </c>
      <c r="N247" s="42" t="str">
        <f>IF($J247="Item",_xll.NL("first",$J247,"Description","No.","@@"&amp;$K247),"")</f>
        <v/>
      </c>
      <c r="O247" s="43">
        <v>200</v>
      </c>
      <c r="P247" s="43">
        <v>0</v>
      </c>
      <c r="Q247" s="43">
        <v>0</v>
      </c>
      <c r="R247" s="43">
        <v>0</v>
      </c>
      <c r="S247" s="43">
        <v>0</v>
      </c>
      <c r="T247" s="43">
        <v>0</v>
      </c>
      <c r="U247" s="56"/>
    </row>
    <row r="248" spans="1:21" ht="17.25" customHeight="1" x14ac:dyDescent="0.3">
      <c r="A248" s="15" t="s">
        <v>30</v>
      </c>
      <c r="C248" s="19"/>
      <c r="D248" s="33" t="str">
        <f t="shared" si="60"/>
        <v>C100021</v>
      </c>
      <c r="E248" s="33"/>
      <c r="F248" s="34"/>
      <c r="G248" s="34" t="str">
        <f>"""NAV Direct"",""CRONUS JetCorp USA"",""32"",""1"",""166758"""</f>
        <v>"NAV Direct","CRONUS JetCorp USA","32","1","166758"</v>
      </c>
      <c r="H248" s="40">
        <v>43466</v>
      </c>
      <c r="I248" s="41">
        <v>166758</v>
      </c>
      <c r="J248" s="42" t="str">
        <f>"Vendor"</f>
        <v>Vendor</v>
      </c>
      <c r="K248" s="42" t="str">
        <f>"V100007"</f>
        <v>V100007</v>
      </c>
      <c r="L248" s="42" t="str">
        <f>IF($J248="Customer",_xll.NL("first",$J248,"Name","No.","@@"&amp;$K248),"")</f>
        <v/>
      </c>
      <c r="M248" s="42" t="str">
        <f>"TrendTech"</f>
        <v>TrendTech</v>
      </c>
      <c r="N248" s="42" t="str">
        <f>IF($J248="Item",_xll.NL("first",$J248,"Description","No.","@@"&amp;$K248),"")</f>
        <v/>
      </c>
      <c r="O248" s="43">
        <v>400</v>
      </c>
      <c r="P248" s="43">
        <v>0</v>
      </c>
      <c r="Q248" s="43">
        <v>0</v>
      </c>
      <c r="R248" s="43">
        <v>0</v>
      </c>
      <c r="S248" s="43">
        <v>0</v>
      </c>
      <c r="T248" s="43">
        <v>0</v>
      </c>
      <c r="U248" s="56"/>
    </row>
    <row r="249" spans="1:21" ht="17.25" customHeight="1" x14ac:dyDescent="0.3">
      <c r="A249" s="15" t="s">
        <v>30</v>
      </c>
      <c r="C249" s="19"/>
      <c r="D249" s="33" t="str">
        <f t="shared" si="60"/>
        <v>C100021</v>
      </c>
      <c r="E249" s="33"/>
      <c r="F249" s="34"/>
      <c r="G249" s="34" t="str">
        <f>"""NAV Direct"",""CRONUS JetCorp USA"",""32"",""1"",""166773"""</f>
        <v>"NAV Direct","CRONUS JetCorp USA","32","1","166773"</v>
      </c>
      <c r="H249" s="40">
        <v>43466</v>
      </c>
      <c r="I249" s="41">
        <v>166773</v>
      </c>
      <c r="J249" s="42" t="str">
        <f>"Vendor"</f>
        <v>Vendor</v>
      </c>
      <c r="K249" s="42" t="str">
        <f>"V100001"</f>
        <v>V100001</v>
      </c>
      <c r="L249" s="42" t="str">
        <f>IF($J249="Customer",_xll.NL("first",$J249,"Name","No.","@@"&amp;$K249),"")</f>
        <v/>
      </c>
      <c r="M249" s="42" t="str">
        <f>"Greigner, Inc."</f>
        <v>Greigner, Inc.</v>
      </c>
      <c r="N249" s="42" t="str">
        <f>IF($J249="Item",_xll.NL("first",$J249,"Description","No.","@@"&amp;$K249),"")</f>
        <v/>
      </c>
      <c r="O249" s="43">
        <v>1600</v>
      </c>
      <c r="P249" s="43">
        <v>0</v>
      </c>
      <c r="Q249" s="43">
        <v>0</v>
      </c>
      <c r="R249" s="43">
        <v>0</v>
      </c>
      <c r="S249" s="43">
        <v>0</v>
      </c>
      <c r="T249" s="43">
        <v>0</v>
      </c>
      <c r="U249" s="56"/>
    </row>
    <row r="250" spans="1:21" ht="17.25" customHeight="1" x14ac:dyDescent="0.3">
      <c r="A250" s="15" t="s">
        <v>30</v>
      </c>
      <c r="C250" s="19"/>
      <c r="D250" s="33" t="str">
        <f t="shared" si="60"/>
        <v>C100021</v>
      </c>
      <c r="E250" s="33"/>
      <c r="F250" s="34"/>
      <c r="G250" s="34" t="str">
        <f>"""NAV Direct"",""CRONUS JetCorp USA"",""32"",""1"",""166783"""</f>
        <v>"NAV Direct","CRONUS JetCorp USA","32","1","166783"</v>
      </c>
      <c r="H250" s="40">
        <v>43466</v>
      </c>
      <c r="I250" s="41">
        <v>166783</v>
      </c>
      <c r="J250" s="42" t="str">
        <f>"Vendor"</f>
        <v>Vendor</v>
      </c>
      <c r="K250" s="42" t="str">
        <f>"V100047"</f>
        <v>V100047</v>
      </c>
      <c r="L250" s="42" t="str">
        <f>IF($J250="Customer",_xll.NL("first",$J250,"Name","No.","@@"&amp;$K250),"")</f>
        <v/>
      </c>
      <c r="M250" s="42" t="str">
        <f>"WoodMart Supply Co."</f>
        <v>WoodMart Supply Co.</v>
      </c>
      <c r="N250" s="42" t="str">
        <f>IF($J250="Item",_xll.NL("first",$J250,"Description","No.","@@"&amp;$K250),"")</f>
        <v/>
      </c>
      <c r="O250" s="43">
        <v>200</v>
      </c>
      <c r="P250" s="43">
        <v>0</v>
      </c>
      <c r="Q250" s="43">
        <v>0</v>
      </c>
      <c r="R250" s="43">
        <v>0</v>
      </c>
      <c r="S250" s="43">
        <v>0</v>
      </c>
      <c r="T250" s="43">
        <v>0</v>
      </c>
      <c r="U250" s="56"/>
    </row>
    <row r="251" spans="1:21" ht="17.25" customHeight="1" x14ac:dyDescent="0.3">
      <c r="A251" s="15" t="s">
        <v>30</v>
      </c>
      <c r="C251" s="19"/>
      <c r="D251" s="33" t="str">
        <f t="shared" si="60"/>
        <v>C100021</v>
      </c>
      <c r="E251" s="33"/>
      <c r="F251" s="34"/>
      <c r="G251" s="34" t="str">
        <f>"""NAV Direct"",""CRONUS JetCorp USA"",""32"",""1"",""166795"""</f>
        <v>"NAV Direct","CRONUS JetCorp USA","32","1","166795"</v>
      </c>
      <c r="H251" s="40">
        <v>43466</v>
      </c>
      <c r="I251" s="41">
        <v>166795</v>
      </c>
      <c r="J251" s="42" t="str">
        <f>"Vendor"</f>
        <v>Vendor</v>
      </c>
      <c r="K251" s="42" t="str">
        <f>"V100003"</f>
        <v>V100003</v>
      </c>
      <c r="L251" s="42" t="str">
        <f>IF($J251="Customer",_xll.NL("first",$J251,"Name","No.","@@"&amp;$K251),"")</f>
        <v/>
      </c>
      <c r="M251" s="42" t="str">
        <f>"LogoMasters"</f>
        <v>LogoMasters</v>
      </c>
      <c r="N251" s="42" t="str">
        <f>IF($J251="Item",_xll.NL("first",$J251,"Description","No.","@@"&amp;$K251),"")</f>
        <v/>
      </c>
      <c r="O251" s="43">
        <v>400</v>
      </c>
      <c r="P251" s="43">
        <v>0</v>
      </c>
      <c r="Q251" s="43">
        <v>0</v>
      </c>
      <c r="R251" s="43">
        <v>0</v>
      </c>
      <c r="S251" s="43">
        <v>0</v>
      </c>
      <c r="T251" s="43">
        <v>0</v>
      </c>
      <c r="U251" s="56"/>
    </row>
    <row r="252" spans="1:21" ht="17.25" customHeight="1" x14ac:dyDescent="0.3">
      <c r="A252" s="15" t="s">
        <v>30</v>
      </c>
      <c r="C252" s="19"/>
      <c r="D252" s="33" t="str">
        <f t="shared" si="60"/>
        <v>C100021</v>
      </c>
      <c r="E252" s="33"/>
      <c r="F252" s="34"/>
      <c r="G252" s="34" t="str">
        <f>"""NAV Direct"",""CRONUS JetCorp USA"",""32"",""1"",""20366"""</f>
        <v>"NAV Direct","CRONUS JetCorp USA","32","1","20366"</v>
      </c>
      <c r="H252" s="40">
        <v>43468</v>
      </c>
      <c r="I252" s="41">
        <v>20366</v>
      </c>
      <c r="J252" s="42" t="str">
        <f>"Customer"</f>
        <v>Customer</v>
      </c>
      <c r="K252" s="42" t="str">
        <f>"C100145"</f>
        <v>C100145</v>
      </c>
      <c r="L252" s="42" t="str">
        <f>IF($J252="Customer",_xll.NL("first",$J252,"Name","No.","@@"&amp;$K252),"")</f>
        <v>Dicon Industries</v>
      </c>
      <c r="M252" s="42" t="str">
        <f>""</f>
        <v/>
      </c>
      <c r="N252" s="42" t="str">
        <f>IF($J252="Item",_xll.NL("first",$J252,"Description","No.","@@"&amp;$K252),"")</f>
        <v/>
      </c>
      <c r="O252" s="43">
        <v>0</v>
      </c>
      <c r="P252" s="43">
        <v>-144</v>
      </c>
      <c r="Q252" s="43">
        <v>0</v>
      </c>
      <c r="R252" s="43">
        <v>0</v>
      </c>
      <c r="S252" s="43">
        <v>0</v>
      </c>
      <c r="T252" s="43">
        <v>0</v>
      </c>
      <c r="U252" s="56"/>
    </row>
    <row r="253" spans="1:21" ht="17.25" customHeight="1" x14ac:dyDescent="0.3">
      <c r="A253" s="15" t="s">
        <v>30</v>
      </c>
      <c r="C253" s="19"/>
      <c r="D253" s="33" t="str">
        <f t="shared" si="60"/>
        <v>C100021</v>
      </c>
      <c r="E253" s="33"/>
      <c r="F253" s="34"/>
      <c r="G253" s="34" t="str">
        <f>"""NAV Direct"",""CRONUS JetCorp USA"",""32"",""1"",""124517"""</f>
        <v>"NAV Direct","CRONUS JetCorp USA","32","1","124517"</v>
      </c>
      <c r="H253" s="40">
        <v>43470</v>
      </c>
      <c r="I253" s="41">
        <v>124517</v>
      </c>
      <c r="J253" s="42" t="str">
        <f>"Customer"</f>
        <v>Customer</v>
      </c>
      <c r="K253" s="42" t="str">
        <f>"C100025"</f>
        <v>C100025</v>
      </c>
      <c r="L253" s="42" t="str">
        <f>IF($J253="Customer",_xll.NL("first",$J253,"Name","No.","@@"&amp;$K253),"")</f>
        <v>Derringers Resturants</v>
      </c>
      <c r="M253" s="42" t="str">
        <f>""</f>
        <v/>
      </c>
      <c r="N253" s="42" t="str">
        <f>IF($J253="Item",_xll.NL("first",$J253,"Description","No.","@@"&amp;$K253),"")</f>
        <v/>
      </c>
      <c r="O253" s="43">
        <v>0</v>
      </c>
      <c r="P253" s="43">
        <v>-24</v>
      </c>
      <c r="Q253" s="43">
        <v>0</v>
      </c>
      <c r="R253" s="43">
        <v>0</v>
      </c>
      <c r="S253" s="43">
        <v>0</v>
      </c>
      <c r="T253" s="43">
        <v>0</v>
      </c>
      <c r="U253" s="56"/>
    </row>
    <row r="254" spans="1:21" ht="17.25" customHeight="1" x14ac:dyDescent="0.3">
      <c r="A254" s="15" t="s">
        <v>30</v>
      </c>
      <c r="C254" s="19"/>
      <c r="D254" s="33" t="str">
        <f t="shared" si="60"/>
        <v>C100021</v>
      </c>
      <c r="E254" s="33"/>
      <c r="F254" s="34"/>
      <c r="G254" s="34" t="str">
        <f>"""NAV Direct"",""CRONUS JetCorp USA"",""32"",""1"",""30029"""</f>
        <v>"NAV Direct","CRONUS JetCorp USA","32","1","30029"</v>
      </c>
      <c r="H254" s="40">
        <v>43471</v>
      </c>
      <c r="I254" s="41">
        <v>30029</v>
      </c>
      <c r="J254" s="42" t="str">
        <f>"Customer"</f>
        <v>Customer</v>
      </c>
      <c r="K254" s="42" t="str">
        <f>"C100012"</f>
        <v>C100012</v>
      </c>
      <c r="L254" s="42" t="str">
        <f>IF($J254="Customer",_xll.NL("first",$J254,"Name","No.","@@"&amp;$K254),"")</f>
        <v>Bainbridges</v>
      </c>
      <c r="M254" s="42" t="str">
        <f>""</f>
        <v/>
      </c>
      <c r="N254" s="42" t="str">
        <f>IF($J254="Item",_xll.NL("first",$J254,"Description","No.","@@"&amp;$K254),"")</f>
        <v/>
      </c>
      <c r="O254" s="43">
        <v>0</v>
      </c>
      <c r="P254" s="43">
        <v>-288</v>
      </c>
      <c r="Q254" s="43">
        <v>0</v>
      </c>
      <c r="R254" s="43">
        <v>0</v>
      </c>
      <c r="S254" s="43">
        <v>0</v>
      </c>
      <c r="T254" s="43">
        <v>0</v>
      </c>
      <c r="U254" s="56"/>
    </row>
    <row r="255" spans="1:21" ht="17.25" customHeight="1" x14ac:dyDescent="0.3">
      <c r="A255" s="15" t="s">
        <v>30</v>
      </c>
      <c r="C255" s="19"/>
      <c r="D255" s="33" t="str">
        <f t="shared" si="60"/>
        <v>C100021</v>
      </c>
      <c r="E255" s="33"/>
      <c r="F255" s="34"/>
      <c r="G255" s="34" t="str">
        <f>"""NAV Direct"",""CRONUS JetCorp USA"",""32"",""1"",""128865"""</f>
        <v>"NAV Direct","CRONUS JetCorp USA","32","1","128865"</v>
      </c>
      <c r="H255" s="40">
        <v>43472</v>
      </c>
      <c r="I255" s="41">
        <v>128865</v>
      </c>
      <c r="J255" s="42" t="str">
        <f>"Customer"</f>
        <v>Customer</v>
      </c>
      <c r="K255" s="42" t="str">
        <f>"C100105"</f>
        <v>C100105</v>
      </c>
      <c r="L255" s="42" t="str">
        <f>IF($J255="Customer",_xll.NL("first",$J255,"Name","No.","@@"&amp;$K255),"")</f>
        <v>Esystems</v>
      </c>
      <c r="M255" s="42" t="str">
        <f>""</f>
        <v/>
      </c>
      <c r="N255" s="42" t="str">
        <f>IF($J255="Item",_xll.NL("first",$J255,"Description","No.","@@"&amp;$K255),"")</f>
        <v/>
      </c>
      <c r="O255" s="43">
        <v>0</v>
      </c>
      <c r="P255" s="43">
        <v>-144</v>
      </c>
      <c r="Q255" s="43">
        <v>0</v>
      </c>
      <c r="R255" s="43">
        <v>0</v>
      </c>
      <c r="S255" s="43">
        <v>0</v>
      </c>
      <c r="T255" s="43">
        <v>0</v>
      </c>
      <c r="U255" s="56"/>
    </row>
    <row r="256" spans="1:21" ht="17.25" customHeight="1" x14ac:dyDescent="0.3">
      <c r="A256" s="15" t="s">
        <v>30</v>
      </c>
      <c r="C256" s="19"/>
      <c r="D256" s="33" t="str">
        <f t="shared" si="60"/>
        <v>C100021</v>
      </c>
      <c r="E256" s="33"/>
      <c r="F256" s="34"/>
      <c r="G256" s="34" t="str">
        <f>"""NAV Direct"",""CRONUS JetCorp USA"",""32"",""1"",""30104"""</f>
        <v>"NAV Direct","CRONUS JetCorp USA","32","1","30104"</v>
      </c>
      <c r="H256" s="40">
        <v>43475</v>
      </c>
      <c r="I256" s="41">
        <v>30104</v>
      </c>
      <c r="J256" s="42" t="str">
        <f>"Customer"</f>
        <v>Customer</v>
      </c>
      <c r="K256" s="42" t="str">
        <f>"C100012"</f>
        <v>C100012</v>
      </c>
      <c r="L256" s="42" t="str">
        <f>IF($J256="Customer",_xll.NL("first",$J256,"Name","No.","@@"&amp;$K256),"")</f>
        <v>Bainbridges</v>
      </c>
      <c r="M256" s="42" t="str">
        <f>""</f>
        <v/>
      </c>
      <c r="N256" s="42" t="str">
        <f>IF($J256="Item",_xll.NL("first",$J256,"Description","No.","@@"&amp;$K256),"")</f>
        <v/>
      </c>
      <c r="O256" s="43">
        <v>0</v>
      </c>
      <c r="P256" s="43">
        <v>-144</v>
      </c>
      <c r="Q256" s="43">
        <v>0</v>
      </c>
      <c r="R256" s="43">
        <v>0</v>
      </c>
      <c r="S256" s="43">
        <v>0</v>
      </c>
      <c r="T256" s="43">
        <v>0</v>
      </c>
      <c r="U256" s="56"/>
    </row>
    <row r="257" spans="1:21" ht="17.25" customHeight="1" x14ac:dyDescent="0.3">
      <c r="A257" s="15" t="s">
        <v>30</v>
      </c>
      <c r="C257" s="19"/>
      <c r="D257" s="33" t="str">
        <f t="shared" si="60"/>
        <v>C100021</v>
      </c>
      <c r="E257" s="33"/>
      <c r="F257" s="34"/>
      <c r="G257" s="34" t="str">
        <f>"""NAV Direct"",""CRONUS JetCorp USA"",""32"",""1"",""36482"""</f>
        <v>"NAV Direct","CRONUS JetCorp USA","32","1","36482"</v>
      </c>
      <c r="H257" s="40">
        <v>43475</v>
      </c>
      <c r="I257" s="41">
        <v>36482</v>
      </c>
      <c r="J257" s="42" t="str">
        <f>"Customer"</f>
        <v>Customer</v>
      </c>
      <c r="K257" s="42" t="str">
        <f>"C100063"</f>
        <v>C100063</v>
      </c>
      <c r="L257" s="42" t="str">
        <f>IF($J257="Customer",_xll.NL("first",$J257,"Name","No.","@@"&amp;$K257),"")</f>
        <v>Möbel Scherrer AG</v>
      </c>
      <c r="M257" s="42" t="str">
        <f>""</f>
        <v/>
      </c>
      <c r="N257" s="42" t="str">
        <f>IF($J257="Item",_xll.NL("first",$J257,"Description","No.","@@"&amp;$K257),"")</f>
        <v/>
      </c>
      <c r="O257" s="43">
        <v>0</v>
      </c>
      <c r="P257" s="43">
        <v>-48</v>
      </c>
      <c r="Q257" s="43">
        <v>0</v>
      </c>
      <c r="R257" s="43">
        <v>0</v>
      </c>
      <c r="S257" s="43">
        <v>0</v>
      </c>
      <c r="T257" s="43">
        <v>0</v>
      </c>
      <c r="U257" s="56"/>
    </row>
    <row r="258" spans="1:21" ht="17.25" customHeight="1" x14ac:dyDescent="0.3">
      <c r="A258" s="15" t="s">
        <v>30</v>
      </c>
      <c r="C258" s="19"/>
      <c r="D258" s="33"/>
      <c r="E258" s="33"/>
      <c r="F258" s="34"/>
      <c r="G258" s="34"/>
      <c r="H258" s="34"/>
      <c r="I258" s="34"/>
      <c r="J258" s="34"/>
      <c r="K258" s="34"/>
      <c r="L258" s="34"/>
      <c r="M258" s="34"/>
      <c r="N258" s="34"/>
      <c r="O258" s="44"/>
      <c r="P258" s="44"/>
      <c r="Q258" s="44"/>
      <c r="R258" s="44"/>
      <c r="S258" s="44"/>
      <c r="T258" s="44"/>
      <c r="U258" s="57"/>
    </row>
    <row r="259" spans="1:21" ht="17.25" customHeight="1" x14ac:dyDescent="0.3">
      <c r="A259" s="15" t="s">
        <v>30</v>
      </c>
      <c r="C259" s="19"/>
      <c r="D259" s="33"/>
      <c r="E259" s="33" t="s">
        <v>31</v>
      </c>
      <c r="F259" s="34" t="s">
        <v>31</v>
      </c>
      <c r="G259" s="34" t="s">
        <v>31</v>
      </c>
      <c r="H259" s="34"/>
      <c r="I259" s="34"/>
      <c r="J259" s="34" t="s">
        <v>31</v>
      </c>
      <c r="K259" s="34" t="s">
        <v>31</v>
      </c>
      <c r="L259" s="34" t="s">
        <v>31</v>
      </c>
      <c r="M259" s="34" t="s">
        <v>31</v>
      </c>
      <c r="N259" s="34"/>
      <c r="U259" s="58"/>
    </row>
    <row r="260" spans="1:21" ht="20.25" customHeight="1" x14ac:dyDescent="0.35">
      <c r="A260" s="15" t="s">
        <v>30</v>
      </c>
      <c r="C260" s="19"/>
      <c r="D260" s="35" t="str">
        <f t="shared" ref="D260" si="61">E260</f>
        <v>C100022</v>
      </c>
      <c r="E260" s="36" t="str">
        <f>"C100022"</f>
        <v>C100022</v>
      </c>
      <c r="F260" s="37" t="str">
        <f>"Two-Toned Cap"</f>
        <v>Two-Toned Cap</v>
      </c>
      <c r="G260" s="37"/>
      <c r="H260" s="38" t="str">
        <f>"EA"</f>
        <v>EA</v>
      </c>
      <c r="I260" s="37"/>
      <c r="J260" s="37"/>
      <c r="K260" s="37"/>
      <c r="L260" s="37"/>
      <c r="M260" s="37"/>
      <c r="N260" s="37"/>
      <c r="O260" s="39">
        <f>(SUBTOTAL(9,O261:O280))</f>
        <v>4800</v>
      </c>
      <c r="P260" s="39">
        <f>(SUBTOTAL(9,P261:P280))</f>
        <v>-1839</v>
      </c>
      <c r="Q260" s="39">
        <f>(SUBTOTAL(9,Q261:Q280))</f>
        <v>0</v>
      </c>
      <c r="R260" s="39">
        <f>(SUBTOTAL(9,R261:R280))</f>
        <v>0</v>
      </c>
      <c r="S260" s="39">
        <f>(SUBTOTAL(9,S261:S280))</f>
        <v>0</v>
      </c>
      <c r="T260" s="39">
        <f>(SUBTOTAL(9,T261:T280))</f>
        <v>0</v>
      </c>
      <c r="U260" s="55">
        <f t="shared" ref="U260" si="62">SUBTOTAL(9,O261:T280)</f>
        <v>2961</v>
      </c>
    </row>
    <row r="261" spans="1:21" ht="17.25" customHeight="1" x14ac:dyDescent="0.3">
      <c r="A261" s="15" t="s">
        <v>30</v>
      </c>
      <c r="C261" s="19"/>
      <c r="D261" s="33" t="str">
        <f t="shared" ref="D261" si="63">D260</f>
        <v>C100022</v>
      </c>
      <c r="E261" s="33"/>
      <c r="F261" s="34"/>
      <c r="G261" s="34" t="str">
        <f>"""NAV Direct"",""CRONUS JetCorp USA"",""32"",""1"",""132507"""</f>
        <v>"NAV Direct","CRONUS JetCorp USA","32","1","132507"</v>
      </c>
      <c r="H261" s="40">
        <v>43466</v>
      </c>
      <c r="I261" s="41">
        <v>132507</v>
      </c>
      <c r="J261" s="42" t="str">
        <f>"Customer"</f>
        <v>Customer</v>
      </c>
      <c r="K261" s="42" t="str">
        <f>"C100040"</f>
        <v>C100040</v>
      </c>
      <c r="L261" s="42" t="str">
        <f>IF($J261="Customer",_xll.NL("first",$J261,"Name","No.","@@"&amp;$K261),"")</f>
        <v>Guildford Water Department</v>
      </c>
      <c r="M261" s="42" t="str">
        <f>""</f>
        <v/>
      </c>
      <c r="N261" s="42" t="str">
        <f>IF($J261="Item",_xll.NL("first",$J261,"Description","No.","@@"&amp;$K261),"")</f>
        <v/>
      </c>
      <c r="O261" s="43">
        <v>0</v>
      </c>
      <c r="P261" s="43">
        <v>-1</v>
      </c>
      <c r="Q261" s="43">
        <v>0</v>
      </c>
      <c r="R261" s="43">
        <v>0</v>
      </c>
      <c r="S261" s="43">
        <v>0</v>
      </c>
      <c r="T261" s="43">
        <v>0</v>
      </c>
      <c r="U261" s="56"/>
    </row>
    <row r="262" spans="1:21" ht="17.25" customHeight="1" x14ac:dyDescent="0.3">
      <c r="A262" s="15" t="s">
        <v>30</v>
      </c>
      <c r="C262" s="19"/>
      <c r="D262" s="33" t="str">
        <f t="shared" ref="D262:D279" si="64">D261</f>
        <v>C100022</v>
      </c>
      <c r="E262" s="33"/>
      <c r="F262" s="34"/>
      <c r="G262" s="34" t="str">
        <f>"""NAV Direct"",""CRONUS JetCorp USA"",""32"",""1"",""167088"""</f>
        <v>"NAV Direct","CRONUS JetCorp USA","32","1","167088"</v>
      </c>
      <c r="H262" s="40">
        <v>43466</v>
      </c>
      <c r="I262" s="41">
        <v>167088</v>
      </c>
      <c r="J262" s="42" t="str">
        <f>"Vendor"</f>
        <v>Vendor</v>
      </c>
      <c r="K262" s="42" t="str">
        <f>"V100009"</f>
        <v>V100009</v>
      </c>
      <c r="L262" s="42" t="str">
        <f>IF($J262="Customer",_xll.NL("first",$J262,"Name","No.","@@"&amp;$K262),"")</f>
        <v/>
      </c>
      <c r="M262" s="42" t="str">
        <f>"Malay-Dan Export Unit Sdn Bhd"</f>
        <v>Malay-Dan Export Unit Sdn Bhd</v>
      </c>
      <c r="N262" s="42" t="str">
        <f>IF($J262="Item",_xll.NL("first",$J262,"Description","No.","@@"&amp;$K262),"")</f>
        <v/>
      </c>
      <c r="O262" s="43">
        <v>400</v>
      </c>
      <c r="P262" s="43">
        <v>0</v>
      </c>
      <c r="Q262" s="43">
        <v>0</v>
      </c>
      <c r="R262" s="43">
        <v>0</v>
      </c>
      <c r="S262" s="43">
        <v>0</v>
      </c>
      <c r="T262" s="43">
        <v>0</v>
      </c>
      <c r="U262" s="56"/>
    </row>
    <row r="263" spans="1:21" ht="17.25" customHeight="1" x14ac:dyDescent="0.3">
      <c r="A263" s="15" t="s">
        <v>30</v>
      </c>
      <c r="C263" s="19"/>
      <c r="D263" s="33" t="str">
        <f t="shared" si="64"/>
        <v>C100022</v>
      </c>
      <c r="E263" s="33"/>
      <c r="F263" s="34"/>
      <c r="G263" s="34" t="str">
        <f>"""NAV Direct"",""CRONUS JetCorp USA"",""32"",""1"",""167125"""</f>
        <v>"NAV Direct","CRONUS JetCorp USA","32","1","167125"</v>
      </c>
      <c r="H263" s="40">
        <v>43466</v>
      </c>
      <c r="I263" s="41">
        <v>167125</v>
      </c>
      <c r="J263" s="42" t="str">
        <f>"Vendor"</f>
        <v>Vendor</v>
      </c>
      <c r="K263" s="42" t="str">
        <f>"V100007"</f>
        <v>V100007</v>
      </c>
      <c r="L263" s="42" t="str">
        <f>IF($J263="Customer",_xll.NL("first",$J263,"Name","No.","@@"&amp;$K263),"")</f>
        <v/>
      </c>
      <c r="M263" s="42" t="str">
        <f>"TrendTech"</f>
        <v>TrendTech</v>
      </c>
      <c r="N263" s="42" t="str">
        <f>IF($J263="Item",_xll.NL("first",$J263,"Description","No.","@@"&amp;$K263),"")</f>
        <v/>
      </c>
      <c r="O263" s="43">
        <v>400</v>
      </c>
      <c r="P263" s="43">
        <v>0</v>
      </c>
      <c r="Q263" s="43">
        <v>0</v>
      </c>
      <c r="R263" s="43">
        <v>0</v>
      </c>
      <c r="S263" s="43">
        <v>0</v>
      </c>
      <c r="T263" s="43">
        <v>0</v>
      </c>
      <c r="U263" s="56"/>
    </row>
    <row r="264" spans="1:21" ht="17.25" customHeight="1" x14ac:dyDescent="0.3">
      <c r="A264" s="15" t="s">
        <v>30</v>
      </c>
      <c r="C264" s="19"/>
      <c r="D264" s="33" t="str">
        <f t="shared" si="64"/>
        <v>C100022</v>
      </c>
      <c r="E264" s="33"/>
      <c r="F264" s="34"/>
      <c r="G264" s="34" t="str">
        <f>"""NAV Direct"",""CRONUS JetCorp USA"",""32"",""1"",""167145"""</f>
        <v>"NAV Direct","CRONUS JetCorp USA","32","1","167145"</v>
      </c>
      <c r="H264" s="40">
        <v>43466</v>
      </c>
      <c r="I264" s="41">
        <v>167145</v>
      </c>
      <c r="J264" s="42" t="str">
        <f>"Vendor"</f>
        <v>Vendor</v>
      </c>
      <c r="K264" s="42" t="str">
        <f>"V100001"</f>
        <v>V100001</v>
      </c>
      <c r="L264" s="42" t="str">
        <f>IF($J264="Customer",_xll.NL("first",$J264,"Name","No.","@@"&amp;$K264),"")</f>
        <v/>
      </c>
      <c r="M264" s="42" t="str">
        <f>"Greigner, Inc."</f>
        <v>Greigner, Inc.</v>
      </c>
      <c r="N264" s="42" t="str">
        <f>IF($J264="Item",_xll.NL("first",$J264,"Description","No.","@@"&amp;$K264),"")</f>
        <v/>
      </c>
      <c r="O264" s="43">
        <v>2800</v>
      </c>
      <c r="P264" s="43">
        <v>0</v>
      </c>
      <c r="Q264" s="43">
        <v>0</v>
      </c>
      <c r="R264" s="43">
        <v>0</v>
      </c>
      <c r="S264" s="43">
        <v>0</v>
      </c>
      <c r="T264" s="43">
        <v>0</v>
      </c>
      <c r="U264" s="56"/>
    </row>
    <row r="265" spans="1:21" ht="17.25" customHeight="1" x14ac:dyDescent="0.3">
      <c r="A265" s="15" t="s">
        <v>30</v>
      </c>
      <c r="C265" s="19"/>
      <c r="D265" s="33" t="str">
        <f t="shared" si="64"/>
        <v>C100022</v>
      </c>
      <c r="E265" s="33"/>
      <c r="F265" s="34"/>
      <c r="G265" s="34" t="str">
        <f>"""NAV Direct"",""CRONUS JetCorp USA"",""32"",""1"",""167152"""</f>
        <v>"NAV Direct","CRONUS JetCorp USA","32","1","167152"</v>
      </c>
      <c r="H265" s="40">
        <v>43466</v>
      </c>
      <c r="I265" s="41">
        <v>167152</v>
      </c>
      <c r="J265" s="42" t="str">
        <f>"Vendor"</f>
        <v>Vendor</v>
      </c>
      <c r="K265" s="42" t="str">
        <f>"V100047"</f>
        <v>V100047</v>
      </c>
      <c r="L265" s="42" t="str">
        <f>IF($J265="Customer",_xll.NL("first",$J265,"Name","No.","@@"&amp;$K265),"")</f>
        <v/>
      </c>
      <c r="M265" s="42" t="str">
        <f>"WoodMart Supply Co."</f>
        <v>WoodMart Supply Co.</v>
      </c>
      <c r="N265" s="42" t="str">
        <f>IF($J265="Item",_xll.NL("first",$J265,"Description","No.","@@"&amp;$K265),"")</f>
        <v/>
      </c>
      <c r="O265" s="43">
        <v>400</v>
      </c>
      <c r="P265" s="43">
        <v>0</v>
      </c>
      <c r="Q265" s="43">
        <v>0</v>
      </c>
      <c r="R265" s="43">
        <v>0</v>
      </c>
      <c r="S265" s="43">
        <v>0</v>
      </c>
      <c r="T265" s="43">
        <v>0</v>
      </c>
      <c r="U265" s="56"/>
    </row>
    <row r="266" spans="1:21" ht="17.25" customHeight="1" x14ac:dyDescent="0.3">
      <c r="A266" s="15" t="s">
        <v>30</v>
      </c>
      <c r="C266" s="19"/>
      <c r="D266" s="33" t="str">
        <f t="shared" si="64"/>
        <v>C100022</v>
      </c>
      <c r="E266" s="33"/>
      <c r="F266" s="34"/>
      <c r="G266" s="34" t="str">
        <f>"""NAV Direct"",""CRONUS JetCorp USA"",""32"",""1"",""167168"""</f>
        <v>"NAV Direct","CRONUS JetCorp USA","32","1","167168"</v>
      </c>
      <c r="H266" s="40">
        <v>43466</v>
      </c>
      <c r="I266" s="41">
        <v>167168</v>
      </c>
      <c r="J266" s="42" t="str">
        <f>"Vendor"</f>
        <v>Vendor</v>
      </c>
      <c r="K266" s="42" t="str">
        <f>"V100003"</f>
        <v>V100003</v>
      </c>
      <c r="L266" s="42" t="str">
        <f>IF($J266="Customer",_xll.NL("first",$J266,"Name","No.","@@"&amp;$K266),"")</f>
        <v/>
      </c>
      <c r="M266" s="42" t="str">
        <f>"LogoMasters"</f>
        <v>LogoMasters</v>
      </c>
      <c r="N266" s="42" t="str">
        <f>IF($J266="Item",_xll.NL("first",$J266,"Description","No.","@@"&amp;$K266),"")</f>
        <v/>
      </c>
      <c r="O266" s="43">
        <v>400</v>
      </c>
      <c r="P266" s="43">
        <v>0</v>
      </c>
      <c r="Q266" s="43">
        <v>0</v>
      </c>
      <c r="R266" s="43">
        <v>0</v>
      </c>
      <c r="S266" s="43">
        <v>0</v>
      </c>
      <c r="T266" s="43">
        <v>0</v>
      </c>
      <c r="U266" s="56"/>
    </row>
    <row r="267" spans="1:21" ht="17.25" customHeight="1" x14ac:dyDescent="0.3">
      <c r="A267" s="15" t="s">
        <v>30</v>
      </c>
      <c r="C267" s="19"/>
      <c r="D267" s="33" t="str">
        <f t="shared" si="64"/>
        <v>C100022</v>
      </c>
      <c r="E267" s="33"/>
      <c r="F267" s="34"/>
      <c r="G267" s="34" t="str">
        <f>"""NAV Direct"",""CRONUS JetCorp USA"",""32"",""1"",""167175"""</f>
        <v>"NAV Direct","CRONUS JetCorp USA","32","1","167175"</v>
      </c>
      <c r="H267" s="40">
        <v>43466</v>
      </c>
      <c r="I267" s="41">
        <v>167175</v>
      </c>
      <c r="J267" s="42" t="str">
        <f>"Vendor"</f>
        <v>Vendor</v>
      </c>
      <c r="K267" s="42" t="str">
        <f>"V100001"</f>
        <v>V100001</v>
      </c>
      <c r="L267" s="42" t="str">
        <f>IF($J267="Customer",_xll.NL("first",$J267,"Name","No.","@@"&amp;$K267),"")</f>
        <v/>
      </c>
      <c r="M267" s="42" t="str">
        <f>"Greigner, Inc."</f>
        <v>Greigner, Inc.</v>
      </c>
      <c r="N267" s="42" t="str">
        <f>IF($J267="Item",_xll.NL("first",$J267,"Description","No.","@@"&amp;$K267),"")</f>
        <v/>
      </c>
      <c r="O267" s="43">
        <v>400</v>
      </c>
      <c r="P267" s="43">
        <v>0</v>
      </c>
      <c r="Q267" s="43">
        <v>0</v>
      </c>
      <c r="R267" s="43">
        <v>0</v>
      </c>
      <c r="S267" s="43">
        <v>0</v>
      </c>
      <c r="T267" s="43">
        <v>0</v>
      </c>
      <c r="U267" s="56"/>
    </row>
    <row r="268" spans="1:21" ht="17.25" customHeight="1" x14ac:dyDescent="0.3">
      <c r="A268" s="15" t="s">
        <v>30</v>
      </c>
      <c r="C268" s="19"/>
      <c r="D268" s="33" t="str">
        <f t="shared" si="64"/>
        <v>C100022</v>
      </c>
      <c r="E268" s="33"/>
      <c r="F268" s="34"/>
      <c r="G268" s="34" t="str">
        <f>"""NAV Direct"",""CRONUS JetCorp USA"",""32"",""1"",""124515"""</f>
        <v>"NAV Direct","CRONUS JetCorp USA","32","1","124515"</v>
      </c>
      <c r="H268" s="40">
        <v>43470</v>
      </c>
      <c r="I268" s="41">
        <v>124515</v>
      </c>
      <c r="J268" s="42" t="str">
        <f>"Customer"</f>
        <v>Customer</v>
      </c>
      <c r="K268" s="42" t="str">
        <f>"C100025"</f>
        <v>C100025</v>
      </c>
      <c r="L268" s="42" t="str">
        <f>IF($J268="Customer",_xll.NL("first",$J268,"Name","No.","@@"&amp;$K268),"")</f>
        <v>Derringers Resturants</v>
      </c>
      <c r="M268" s="42" t="str">
        <f>""</f>
        <v/>
      </c>
      <c r="N268" s="42" t="str">
        <f>IF($J268="Item",_xll.NL("first",$J268,"Description","No.","@@"&amp;$K268),"")</f>
        <v/>
      </c>
      <c r="O268" s="43">
        <v>0</v>
      </c>
      <c r="P268" s="43">
        <v>-144</v>
      </c>
      <c r="Q268" s="43">
        <v>0</v>
      </c>
      <c r="R268" s="43">
        <v>0</v>
      </c>
      <c r="S268" s="43">
        <v>0</v>
      </c>
      <c r="T268" s="43">
        <v>0</v>
      </c>
      <c r="U268" s="56"/>
    </row>
    <row r="269" spans="1:21" ht="17.25" customHeight="1" x14ac:dyDescent="0.3">
      <c r="A269" s="15" t="s">
        <v>30</v>
      </c>
      <c r="C269" s="19"/>
      <c r="D269" s="33" t="str">
        <f t="shared" si="64"/>
        <v>C100022</v>
      </c>
      <c r="E269" s="33"/>
      <c r="F269" s="34"/>
      <c r="G269" s="34" t="str">
        <f>"""NAV Direct"",""CRONUS JetCorp USA"",""32"",""1"",""132510"""</f>
        <v>"NAV Direct","CRONUS JetCorp USA","32","1","132510"</v>
      </c>
      <c r="H269" s="40">
        <v>43470</v>
      </c>
      <c r="I269" s="41">
        <v>132510</v>
      </c>
      <c r="J269" s="42" t="str">
        <f>"Customer"</f>
        <v>Customer</v>
      </c>
      <c r="K269" s="42" t="str">
        <f>"C100029"</f>
        <v>C100029</v>
      </c>
      <c r="L269" s="42" t="str">
        <f>IF($J269="Customer",_xll.NL("first",$J269,"Name","No.","@@"&amp;$K269),"")</f>
        <v>Elkhorn Airport</v>
      </c>
      <c r="M269" s="42" t="str">
        <f>""</f>
        <v/>
      </c>
      <c r="N269" s="42" t="str">
        <f>IF($J269="Item",_xll.NL("first",$J269,"Description","No.","@@"&amp;$K269),"")</f>
        <v/>
      </c>
      <c r="O269" s="43">
        <v>0</v>
      </c>
      <c r="P269" s="43">
        <v>-144</v>
      </c>
      <c r="Q269" s="43">
        <v>0</v>
      </c>
      <c r="R269" s="43">
        <v>0</v>
      </c>
      <c r="S269" s="43">
        <v>0</v>
      </c>
      <c r="T269" s="43">
        <v>0</v>
      </c>
      <c r="U269" s="56"/>
    </row>
    <row r="270" spans="1:21" ht="17.25" customHeight="1" x14ac:dyDescent="0.3">
      <c r="A270" s="15" t="s">
        <v>30</v>
      </c>
      <c r="C270" s="19"/>
      <c r="D270" s="33" t="str">
        <f t="shared" si="64"/>
        <v>C100022</v>
      </c>
      <c r="E270" s="33"/>
      <c r="F270" s="34"/>
      <c r="G270" s="34" t="str">
        <f>"""NAV Direct"",""CRONUS JetCorp USA"",""32"",""1"",""25241"""</f>
        <v>"NAV Direct","CRONUS JetCorp USA","32","1","25241"</v>
      </c>
      <c r="H270" s="40">
        <v>43471</v>
      </c>
      <c r="I270" s="41">
        <v>25241</v>
      </c>
      <c r="J270" s="42" t="str">
        <f>"Customer"</f>
        <v>Customer</v>
      </c>
      <c r="K270" s="42" t="str">
        <f>"C100102"</f>
        <v>C100102</v>
      </c>
      <c r="L270" s="42" t="str">
        <f>IF($J270="Customer",_xll.NL("first",$J270,"Name","No.","@@"&amp;$K270),"")</f>
        <v xml:space="preserve">BEI Outfitters </v>
      </c>
      <c r="M270" s="42" t="str">
        <f>""</f>
        <v/>
      </c>
      <c r="N270" s="42" t="str">
        <f>IF($J270="Item",_xll.NL("first",$J270,"Description","No.","@@"&amp;$K270),"")</f>
        <v/>
      </c>
      <c r="O270" s="43">
        <v>0</v>
      </c>
      <c r="P270" s="43">
        <v>-145</v>
      </c>
      <c r="Q270" s="43">
        <v>0</v>
      </c>
      <c r="R270" s="43">
        <v>0</v>
      </c>
      <c r="S270" s="43">
        <v>0</v>
      </c>
      <c r="T270" s="43">
        <v>0</v>
      </c>
      <c r="U270" s="56"/>
    </row>
    <row r="271" spans="1:21" ht="17.25" customHeight="1" x14ac:dyDescent="0.3">
      <c r="A271" s="15" t="s">
        <v>30</v>
      </c>
      <c r="C271" s="19"/>
      <c r="D271" s="33" t="str">
        <f t="shared" si="64"/>
        <v>C100022</v>
      </c>
      <c r="E271" s="33"/>
      <c r="F271" s="34"/>
      <c r="G271" s="34" t="str">
        <f>"""NAV Direct"",""CRONUS JetCorp USA"",""32"",""1"",""38079"""</f>
        <v>"NAV Direct","CRONUS JetCorp USA","32","1","38079"</v>
      </c>
      <c r="H271" s="40">
        <v>43471</v>
      </c>
      <c r="I271" s="41">
        <v>38079</v>
      </c>
      <c r="J271" s="42" t="str">
        <f>"Customer"</f>
        <v>Customer</v>
      </c>
      <c r="K271" s="42" t="str">
        <f>"C100013"</f>
        <v>C100013</v>
      </c>
      <c r="L271" s="42" t="str">
        <f>IF($J271="Customer",_xll.NL("first",$J271,"Name","No.","@@"&amp;$K271),"")</f>
        <v>Candoxy Kontor A/S</v>
      </c>
      <c r="M271" s="42" t="str">
        <f>""</f>
        <v/>
      </c>
      <c r="N271" s="42" t="str">
        <f>IF($J271="Item",_xll.NL("first",$J271,"Description","No.","@@"&amp;$K271),"")</f>
        <v/>
      </c>
      <c r="O271" s="43">
        <v>0</v>
      </c>
      <c r="P271" s="43">
        <v>-48</v>
      </c>
      <c r="Q271" s="43">
        <v>0</v>
      </c>
      <c r="R271" s="43">
        <v>0</v>
      </c>
      <c r="S271" s="43">
        <v>0</v>
      </c>
      <c r="T271" s="43">
        <v>0</v>
      </c>
      <c r="U271" s="56"/>
    </row>
    <row r="272" spans="1:21" ht="17.25" customHeight="1" x14ac:dyDescent="0.3">
      <c r="A272" s="15" t="s">
        <v>30</v>
      </c>
      <c r="C272" s="19"/>
      <c r="D272" s="33" t="str">
        <f t="shared" si="64"/>
        <v>C100022</v>
      </c>
      <c r="E272" s="33"/>
      <c r="F272" s="34"/>
      <c r="G272" s="34" t="str">
        <f>"""NAV Direct"",""CRONUS JetCorp USA"",""32"",""1"",""20338"""</f>
        <v>"NAV Direct","CRONUS JetCorp USA","32","1","20338"</v>
      </c>
      <c r="H272" s="40">
        <v>43472</v>
      </c>
      <c r="I272" s="41">
        <v>20338</v>
      </c>
      <c r="J272" s="42" t="str">
        <f>"Customer"</f>
        <v>Customer</v>
      </c>
      <c r="K272" s="42" t="str">
        <f>"C100145"</f>
        <v>C100145</v>
      </c>
      <c r="L272" s="42" t="str">
        <f>IF($J272="Customer",_xll.NL("first",$J272,"Name","No.","@@"&amp;$K272),"")</f>
        <v>Dicon Industries</v>
      </c>
      <c r="M272" s="42" t="str">
        <f>""</f>
        <v/>
      </c>
      <c r="N272" s="42" t="str">
        <f>IF($J272="Item",_xll.NL("first",$J272,"Description","No.","@@"&amp;$K272),"")</f>
        <v/>
      </c>
      <c r="O272" s="43">
        <v>0</v>
      </c>
      <c r="P272" s="43">
        <v>-144</v>
      </c>
      <c r="Q272" s="43">
        <v>0</v>
      </c>
      <c r="R272" s="43">
        <v>0</v>
      </c>
      <c r="S272" s="43">
        <v>0</v>
      </c>
      <c r="T272" s="43">
        <v>0</v>
      </c>
      <c r="U272" s="56"/>
    </row>
    <row r="273" spans="1:21" ht="17.25" customHeight="1" x14ac:dyDescent="0.3">
      <c r="A273" s="15" t="s">
        <v>30</v>
      </c>
      <c r="C273" s="19"/>
      <c r="D273" s="33" t="str">
        <f t="shared" si="64"/>
        <v>C100022</v>
      </c>
      <c r="E273" s="33"/>
      <c r="F273" s="34"/>
      <c r="G273" s="34" t="str">
        <f>"""NAV Direct"",""CRONUS JetCorp USA"",""32"",""1"",""20382"""</f>
        <v>"NAV Direct","CRONUS JetCorp USA","32","1","20382"</v>
      </c>
      <c r="H273" s="40">
        <v>43473</v>
      </c>
      <c r="I273" s="41">
        <v>20382</v>
      </c>
      <c r="J273" s="42" t="str">
        <f>"Customer"</f>
        <v>Customer</v>
      </c>
      <c r="K273" s="42" t="str">
        <f>"C100130"</f>
        <v>C100130</v>
      </c>
      <c r="L273" s="42" t="str">
        <f>IF($J273="Customer",_xll.NL("first",$J273,"Name","No.","@@"&amp;$K273),"")</f>
        <v>Hotspot Systems</v>
      </c>
      <c r="M273" s="42" t="str">
        <f>""</f>
        <v/>
      </c>
      <c r="N273" s="42" t="str">
        <f>IF($J273="Item",_xll.NL("first",$J273,"Description","No.","@@"&amp;$K273),"")</f>
        <v/>
      </c>
      <c r="O273" s="43">
        <v>0</v>
      </c>
      <c r="P273" s="43">
        <v>-336</v>
      </c>
      <c r="Q273" s="43">
        <v>0</v>
      </c>
      <c r="R273" s="43">
        <v>0</v>
      </c>
      <c r="S273" s="43">
        <v>0</v>
      </c>
      <c r="T273" s="43">
        <v>0</v>
      </c>
      <c r="U273" s="56"/>
    </row>
    <row r="274" spans="1:21" ht="17.25" customHeight="1" x14ac:dyDescent="0.3">
      <c r="A274" s="15" t="s">
        <v>30</v>
      </c>
      <c r="C274" s="19"/>
      <c r="D274" s="33" t="str">
        <f t="shared" si="64"/>
        <v>C100022</v>
      </c>
      <c r="E274" s="33"/>
      <c r="F274" s="34"/>
      <c r="G274" s="34" t="str">
        <f>"""NAV Direct"",""CRONUS JetCorp USA"",""32"",""1"",""36486"""</f>
        <v>"NAV Direct","CRONUS JetCorp USA","32","1","36486"</v>
      </c>
      <c r="H274" s="40">
        <v>43475</v>
      </c>
      <c r="I274" s="41">
        <v>36486</v>
      </c>
      <c r="J274" s="42" t="str">
        <f>"Customer"</f>
        <v>Customer</v>
      </c>
      <c r="K274" s="42" t="str">
        <f>"C100063"</f>
        <v>C100063</v>
      </c>
      <c r="L274" s="42" t="str">
        <f>IF($J274="Customer",_xll.NL("first",$J274,"Name","No.","@@"&amp;$K274),"")</f>
        <v>Möbel Scherrer AG</v>
      </c>
      <c r="M274" s="42" t="str">
        <f>""</f>
        <v/>
      </c>
      <c r="N274" s="42" t="str">
        <f>IF($J274="Item",_xll.NL("first",$J274,"Description","No.","@@"&amp;$K274),"")</f>
        <v/>
      </c>
      <c r="O274" s="43">
        <v>0</v>
      </c>
      <c r="P274" s="43">
        <v>-12</v>
      </c>
      <c r="Q274" s="43">
        <v>0</v>
      </c>
      <c r="R274" s="43">
        <v>0</v>
      </c>
      <c r="S274" s="43">
        <v>0</v>
      </c>
      <c r="T274" s="43">
        <v>0</v>
      </c>
      <c r="U274" s="56"/>
    </row>
    <row r="275" spans="1:21" ht="17.25" customHeight="1" x14ac:dyDescent="0.3">
      <c r="A275" s="15" t="s">
        <v>30</v>
      </c>
      <c r="C275" s="19"/>
      <c r="D275" s="33" t="str">
        <f t="shared" si="64"/>
        <v>C100022</v>
      </c>
      <c r="E275" s="33"/>
      <c r="F275" s="34"/>
      <c r="G275" s="34" t="str">
        <f>"""NAV Direct"",""CRONUS JetCorp USA"",""32"",""1"",""25270"""</f>
        <v>"NAV Direct","CRONUS JetCorp USA","32","1","25270"</v>
      </c>
      <c r="H275" s="40">
        <v>43476</v>
      </c>
      <c r="I275" s="41">
        <v>25270</v>
      </c>
      <c r="J275" s="42" t="str">
        <f>"Customer"</f>
        <v>Customer</v>
      </c>
      <c r="K275" s="42" t="str">
        <f>"C100102"</f>
        <v>C100102</v>
      </c>
      <c r="L275" s="42" t="str">
        <f>IF($J275="Customer",_xll.NL("first",$J275,"Name","No.","@@"&amp;$K275),"")</f>
        <v xml:space="preserve">BEI Outfitters </v>
      </c>
      <c r="M275" s="42" t="str">
        <f>""</f>
        <v/>
      </c>
      <c r="N275" s="42" t="str">
        <f>IF($J275="Item",_xll.NL("first",$J275,"Description","No.","@@"&amp;$K275),"")</f>
        <v/>
      </c>
      <c r="O275" s="43">
        <v>0</v>
      </c>
      <c r="P275" s="43">
        <v>-144</v>
      </c>
      <c r="Q275" s="43">
        <v>0</v>
      </c>
      <c r="R275" s="43">
        <v>0</v>
      </c>
      <c r="S275" s="43">
        <v>0</v>
      </c>
      <c r="T275" s="43">
        <v>0</v>
      </c>
      <c r="U275" s="56"/>
    </row>
    <row r="276" spans="1:21" ht="17.25" customHeight="1" x14ac:dyDescent="0.3">
      <c r="A276" s="15" t="s">
        <v>30</v>
      </c>
      <c r="C276" s="19"/>
      <c r="D276" s="33" t="str">
        <f t="shared" si="64"/>
        <v>C100022</v>
      </c>
      <c r="E276" s="33"/>
      <c r="F276" s="34"/>
      <c r="G276" s="34" t="str">
        <f>"""NAV Direct"",""CRONUS JetCorp USA"",""32"",""1"",""25286"""</f>
        <v>"NAV Direct","CRONUS JetCorp USA","32","1","25286"</v>
      </c>
      <c r="H276" s="40">
        <v>43477</v>
      </c>
      <c r="I276" s="41">
        <v>25286</v>
      </c>
      <c r="J276" s="42" t="str">
        <f>"Customer"</f>
        <v>Customer</v>
      </c>
      <c r="K276" s="42" t="str">
        <f>"C100138"</f>
        <v>C100138</v>
      </c>
      <c r="L276" s="42" t="str">
        <f>IF($J276="Customer",_xll.NL("first",$J276,"Name","No.","@@"&amp;$K276),"")</f>
        <v>Dantons</v>
      </c>
      <c r="M276" s="42" t="str">
        <f>""</f>
        <v/>
      </c>
      <c r="N276" s="42" t="str">
        <f>IF($J276="Item",_xll.NL("first",$J276,"Description","No.","@@"&amp;$K276),"")</f>
        <v/>
      </c>
      <c r="O276" s="43">
        <v>0</v>
      </c>
      <c r="P276" s="43">
        <v>-288</v>
      </c>
      <c r="Q276" s="43">
        <v>0</v>
      </c>
      <c r="R276" s="43">
        <v>0</v>
      </c>
      <c r="S276" s="43">
        <v>0</v>
      </c>
      <c r="T276" s="43">
        <v>0</v>
      </c>
      <c r="U276" s="56"/>
    </row>
    <row r="277" spans="1:21" ht="17.25" customHeight="1" x14ac:dyDescent="0.3">
      <c r="A277" s="15" t="s">
        <v>30</v>
      </c>
      <c r="C277" s="19"/>
      <c r="D277" s="33" t="str">
        <f t="shared" si="64"/>
        <v>C100022</v>
      </c>
      <c r="E277" s="33"/>
      <c r="F277" s="34"/>
      <c r="G277" s="34" t="str">
        <f>"""NAV Direct"",""CRONUS JetCorp USA"",""32"",""1"",""38094"""</f>
        <v>"NAV Direct","CRONUS JetCorp USA","32","1","38094"</v>
      </c>
      <c r="H277" s="40">
        <v>43477</v>
      </c>
      <c r="I277" s="41">
        <v>38094</v>
      </c>
      <c r="J277" s="42" t="str">
        <f>"Customer"</f>
        <v>Customer</v>
      </c>
      <c r="K277" s="42" t="str">
        <f>"C100038"</f>
        <v>C100038</v>
      </c>
      <c r="L277" s="42" t="str">
        <f>IF($J277="Customer",_xll.NL("first",$J277,"Name","No.","@@"&amp;$K277),"")</f>
        <v>Gagn &amp; Gaman</v>
      </c>
      <c r="M277" s="42" t="str">
        <f>""</f>
        <v/>
      </c>
      <c r="N277" s="42" t="str">
        <f>IF($J277="Item",_xll.NL("first",$J277,"Description","No.","@@"&amp;$K277),"")</f>
        <v/>
      </c>
      <c r="O277" s="43">
        <v>0</v>
      </c>
      <c r="P277" s="43">
        <v>-1</v>
      </c>
      <c r="Q277" s="43">
        <v>0</v>
      </c>
      <c r="R277" s="43">
        <v>0</v>
      </c>
      <c r="S277" s="43">
        <v>0</v>
      </c>
      <c r="T277" s="43">
        <v>0</v>
      </c>
      <c r="U277" s="56"/>
    </row>
    <row r="278" spans="1:21" ht="17.25" customHeight="1" x14ac:dyDescent="0.3">
      <c r="A278" s="15" t="s">
        <v>30</v>
      </c>
      <c r="C278" s="19"/>
      <c r="D278" s="33" t="str">
        <f t="shared" si="64"/>
        <v>C100022</v>
      </c>
      <c r="E278" s="33"/>
      <c r="F278" s="34"/>
      <c r="G278" s="34" t="str">
        <f>"""NAV Direct"",""CRONUS JetCorp USA"",""32"",""1"",""132522"""</f>
        <v>"NAV Direct","CRONUS JetCorp USA","32","1","132522"</v>
      </c>
      <c r="H278" s="40">
        <v>43477</v>
      </c>
      <c r="I278" s="41">
        <v>132522</v>
      </c>
      <c r="J278" s="42" t="str">
        <f>"Customer"</f>
        <v>Customer</v>
      </c>
      <c r="K278" s="42" t="str">
        <f>"C100082"</f>
        <v>C100082</v>
      </c>
      <c r="L278" s="42" t="str">
        <f>IF($J278="Customer",_xll.NL("first",$J278,"Name","No.","@@"&amp;$K278),"")</f>
        <v>Sporting Goods Emporium</v>
      </c>
      <c r="M278" s="42" t="str">
        <f>""</f>
        <v/>
      </c>
      <c r="N278" s="42" t="str">
        <f>IF($J278="Item",_xll.NL("first",$J278,"Description","No.","@@"&amp;$K278),"")</f>
        <v/>
      </c>
      <c r="O278" s="43">
        <v>0</v>
      </c>
      <c r="P278" s="43">
        <v>-288</v>
      </c>
      <c r="Q278" s="43">
        <v>0</v>
      </c>
      <c r="R278" s="43">
        <v>0</v>
      </c>
      <c r="S278" s="43">
        <v>0</v>
      </c>
      <c r="T278" s="43">
        <v>0</v>
      </c>
      <c r="U278" s="56"/>
    </row>
    <row r="279" spans="1:21" ht="17.25" customHeight="1" x14ac:dyDescent="0.3">
      <c r="A279" s="15" t="s">
        <v>30</v>
      </c>
      <c r="C279" s="19"/>
      <c r="D279" s="33" t="str">
        <f t="shared" si="64"/>
        <v>C100022</v>
      </c>
      <c r="E279" s="33"/>
      <c r="F279" s="34"/>
      <c r="G279" s="34" t="str">
        <f>"""NAV Direct"",""CRONUS JetCorp USA"",""32"",""1"",""138726"""</f>
        <v>"NAV Direct","CRONUS JetCorp USA","32","1","138726"</v>
      </c>
      <c r="H279" s="40">
        <v>43477</v>
      </c>
      <c r="I279" s="41">
        <v>138726</v>
      </c>
      <c r="J279" s="42" t="str">
        <f>"Customer"</f>
        <v>Customer</v>
      </c>
      <c r="K279" s="42" t="str">
        <f>"C100021"</f>
        <v>C100021</v>
      </c>
      <c r="L279" s="42" t="str">
        <f>IF($J279="Customer",_xll.NL("first",$J279,"Name","No.","@@"&amp;$K279),"")</f>
        <v>Cronus Cardoxy Sales</v>
      </c>
      <c r="M279" s="42" t="str">
        <f>""</f>
        <v/>
      </c>
      <c r="N279" s="42" t="str">
        <f>IF($J279="Item",_xll.NL("first",$J279,"Description","No.","@@"&amp;$K279),"")</f>
        <v/>
      </c>
      <c r="O279" s="43">
        <v>0</v>
      </c>
      <c r="P279" s="43">
        <v>-144</v>
      </c>
      <c r="Q279" s="43">
        <v>0</v>
      </c>
      <c r="R279" s="43">
        <v>0</v>
      </c>
      <c r="S279" s="43">
        <v>0</v>
      </c>
      <c r="T279" s="43">
        <v>0</v>
      </c>
      <c r="U279" s="56"/>
    </row>
    <row r="280" spans="1:21" ht="17.25" customHeight="1" x14ac:dyDescent="0.3">
      <c r="A280" s="15" t="s">
        <v>30</v>
      </c>
      <c r="C280" s="19"/>
      <c r="D280" s="33"/>
      <c r="E280" s="33"/>
      <c r="F280" s="34"/>
      <c r="G280" s="34"/>
      <c r="H280" s="34"/>
      <c r="I280" s="34"/>
      <c r="J280" s="34"/>
      <c r="K280" s="34"/>
      <c r="L280" s="34"/>
      <c r="M280" s="34"/>
      <c r="N280" s="34"/>
      <c r="O280" s="44"/>
      <c r="P280" s="44"/>
      <c r="Q280" s="44"/>
      <c r="R280" s="44"/>
      <c r="S280" s="44"/>
      <c r="T280" s="44"/>
      <c r="U280" s="57"/>
    </row>
    <row r="281" spans="1:21" ht="17.25" customHeight="1" x14ac:dyDescent="0.3">
      <c r="A281" s="15" t="s">
        <v>30</v>
      </c>
      <c r="C281" s="19"/>
      <c r="D281" s="33"/>
      <c r="E281" s="33" t="s">
        <v>31</v>
      </c>
      <c r="F281" s="34" t="s">
        <v>31</v>
      </c>
      <c r="G281" s="34" t="s">
        <v>31</v>
      </c>
      <c r="H281" s="34"/>
      <c r="I281" s="34"/>
      <c r="J281" s="34" t="s">
        <v>31</v>
      </c>
      <c r="K281" s="34" t="s">
        <v>31</v>
      </c>
      <c r="L281" s="34" t="s">
        <v>31</v>
      </c>
      <c r="M281" s="34" t="s">
        <v>31</v>
      </c>
      <c r="N281" s="34"/>
      <c r="U281" s="58"/>
    </row>
    <row r="282" spans="1:21" ht="20.25" customHeight="1" x14ac:dyDescent="0.35">
      <c r="A282" s="15" t="s">
        <v>30</v>
      </c>
      <c r="C282" s="19"/>
      <c r="D282" s="35" t="str">
        <f t="shared" ref="D282" si="65">E282</f>
        <v>C100023</v>
      </c>
      <c r="E282" s="36" t="str">
        <f>"C100023"</f>
        <v>C100023</v>
      </c>
      <c r="F282" s="37" t="str">
        <f>"Two-Toned Knit Hat"</f>
        <v>Two-Toned Knit Hat</v>
      </c>
      <c r="G282" s="37"/>
      <c r="H282" s="38" t="str">
        <f>"EA"</f>
        <v>EA</v>
      </c>
      <c r="I282" s="37"/>
      <c r="J282" s="37"/>
      <c r="K282" s="37"/>
      <c r="L282" s="37"/>
      <c r="M282" s="37"/>
      <c r="N282" s="37"/>
      <c r="O282" s="39">
        <f>(SUBTOTAL(9,O283:O299))</f>
        <v>5600</v>
      </c>
      <c r="P282" s="39">
        <f>(SUBTOTAL(9,P283:P299))</f>
        <v>-1371</v>
      </c>
      <c r="Q282" s="39">
        <f>(SUBTOTAL(9,Q283:Q299))</f>
        <v>0</v>
      </c>
      <c r="R282" s="39">
        <f>(SUBTOTAL(9,R283:R299))</f>
        <v>0</v>
      </c>
      <c r="S282" s="39">
        <f>(SUBTOTAL(9,S283:S299))</f>
        <v>0</v>
      </c>
      <c r="T282" s="39">
        <f>(SUBTOTAL(9,T283:T299))</f>
        <v>0</v>
      </c>
      <c r="U282" s="55">
        <f t="shared" ref="U282" si="66">SUBTOTAL(9,O283:T299)</f>
        <v>4229</v>
      </c>
    </row>
    <row r="283" spans="1:21" ht="17.25" customHeight="1" x14ac:dyDescent="0.3">
      <c r="A283" s="15" t="s">
        <v>30</v>
      </c>
      <c r="C283" s="19"/>
      <c r="D283" s="33" t="str">
        <f t="shared" ref="D283" si="67">D282</f>
        <v>C100023</v>
      </c>
      <c r="E283" s="33"/>
      <c r="F283" s="34"/>
      <c r="G283" s="34" t="str">
        <f>"""NAV Direct"",""CRONUS JetCorp USA"",""32"",""1"",""132500"""</f>
        <v>"NAV Direct","CRONUS JetCorp USA","32","1","132500"</v>
      </c>
      <c r="H283" s="40">
        <v>43466</v>
      </c>
      <c r="I283" s="41">
        <v>132500</v>
      </c>
      <c r="J283" s="42" t="str">
        <f>"Customer"</f>
        <v>Customer</v>
      </c>
      <c r="K283" s="42" t="str">
        <f>"C100040"</f>
        <v>C100040</v>
      </c>
      <c r="L283" s="42" t="str">
        <f>IF($J283="Customer",_xll.NL("first",$J283,"Name","No.","@@"&amp;$K283),"")</f>
        <v>Guildford Water Department</v>
      </c>
      <c r="M283" s="42" t="str">
        <f>""</f>
        <v/>
      </c>
      <c r="N283" s="42" t="str">
        <f>IF($J283="Item",_xll.NL("first",$J283,"Description","No.","@@"&amp;$K283),"")</f>
        <v/>
      </c>
      <c r="O283" s="43">
        <v>0</v>
      </c>
      <c r="P283" s="43">
        <v>-144</v>
      </c>
      <c r="Q283" s="43">
        <v>0</v>
      </c>
      <c r="R283" s="43">
        <v>0</v>
      </c>
      <c r="S283" s="43">
        <v>0</v>
      </c>
      <c r="T283" s="43">
        <v>0</v>
      </c>
      <c r="U283" s="56"/>
    </row>
    <row r="284" spans="1:21" ht="17.25" customHeight="1" x14ac:dyDescent="0.3">
      <c r="A284" s="15" t="s">
        <v>30</v>
      </c>
      <c r="C284" s="19"/>
      <c r="D284" s="33" t="str">
        <f t="shared" ref="D284:D298" si="68">D283</f>
        <v>C100023</v>
      </c>
      <c r="E284" s="33"/>
      <c r="F284" s="34"/>
      <c r="G284" s="34" t="str">
        <f>"""NAV Direct"",""CRONUS JetCorp USA"",""32"",""1"",""167087"""</f>
        <v>"NAV Direct","CRONUS JetCorp USA","32","1","167087"</v>
      </c>
      <c r="H284" s="40">
        <v>43466</v>
      </c>
      <c r="I284" s="41">
        <v>167087</v>
      </c>
      <c r="J284" s="42" t="str">
        <f>"Vendor"</f>
        <v>Vendor</v>
      </c>
      <c r="K284" s="42" t="str">
        <f>"V100009"</f>
        <v>V100009</v>
      </c>
      <c r="L284" s="42" t="str">
        <f>IF($J284="Customer",_xll.NL("first",$J284,"Name","No.","@@"&amp;$K284),"")</f>
        <v/>
      </c>
      <c r="M284" s="42" t="str">
        <f>"Malay-Dan Export Unit Sdn Bhd"</f>
        <v>Malay-Dan Export Unit Sdn Bhd</v>
      </c>
      <c r="N284" s="42" t="str">
        <f>IF($J284="Item",_xll.NL("first",$J284,"Description","No.","@@"&amp;$K284),"")</f>
        <v/>
      </c>
      <c r="O284" s="43">
        <v>400</v>
      </c>
      <c r="P284" s="43">
        <v>0</v>
      </c>
      <c r="Q284" s="43">
        <v>0</v>
      </c>
      <c r="R284" s="43">
        <v>0</v>
      </c>
      <c r="S284" s="43">
        <v>0</v>
      </c>
      <c r="T284" s="43">
        <v>0</v>
      </c>
      <c r="U284" s="56"/>
    </row>
    <row r="285" spans="1:21" ht="17.25" customHeight="1" x14ac:dyDescent="0.3">
      <c r="A285" s="15" t="s">
        <v>30</v>
      </c>
      <c r="C285" s="19"/>
      <c r="D285" s="33" t="str">
        <f t="shared" si="68"/>
        <v>C100023</v>
      </c>
      <c r="E285" s="33"/>
      <c r="F285" s="34"/>
      <c r="G285" s="34" t="str">
        <f>"""NAV Direct"",""CRONUS JetCorp USA"",""32"",""1"",""167105"""</f>
        <v>"NAV Direct","CRONUS JetCorp USA","32","1","167105"</v>
      </c>
      <c r="H285" s="40">
        <v>43466</v>
      </c>
      <c r="I285" s="41">
        <v>167105</v>
      </c>
      <c r="J285" s="42" t="str">
        <f>"Vendor"</f>
        <v>Vendor</v>
      </c>
      <c r="K285" s="42" t="str">
        <f>"V100040"</f>
        <v>V100040</v>
      </c>
      <c r="L285" s="42" t="str">
        <f>IF($J285="Customer",_xll.NL("first",$J285,"Name","No.","@@"&amp;$K285),"")</f>
        <v/>
      </c>
      <c r="M285" s="42" t="str">
        <f>"Technische Betriebe Rotkreuz"</f>
        <v>Technische Betriebe Rotkreuz</v>
      </c>
      <c r="N285" s="42" t="str">
        <f>IF($J285="Item",_xll.NL("first",$J285,"Description","No.","@@"&amp;$K285),"")</f>
        <v/>
      </c>
      <c r="O285" s="43">
        <v>400</v>
      </c>
      <c r="P285" s="43">
        <v>0</v>
      </c>
      <c r="Q285" s="43">
        <v>0</v>
      </c>
      <c r="R285" s="43">
        <v>0</v>
      </c>
      <c r="S285" s="43">
        <v>0</v>
      </c>
      <c r="T285" s="43">
        <v>0</v>
      </c>
      <c r="U285" s="56"/>
    </row>
    <row r="286" spans="1:21" ht="17.25" customHeight="1" x14ac:dyDescent="0.3">
      <c r="A286" s="15" t="s">
        <v>30</v>
      </c>
      <c r="C286" s="19"/>
      <c r="D286" s="33" t="str">
        <f t="shared" si="68"/>
        <v>C100023</v>
      </c>
      <c r="E286" s="33"/>
      <c r="F286" s="34"/>
      <c r="G286" s="34" t="str">
        <f>"""NAV Direct"",""CRONUS JetCorp USA"",""32"",""1"",""167124"""</f>
        <v>"NAV Direct","CRONUS JetCorp USA","32","1","167124"</v>
      </c>
      <c r="H286" s="40">
        <v>43466</v>
      </c>
      <c r="I286" s="41">
        <v>167124</v>
      </c>
      <c r="J286" s="42" t="str">
        <f>"Vendor"</f>
        <v>Vendor</v>
      </c>
      <c r="K286" s="42" t="str">
        <f>"V100007"</f>
        <v>V100007</v>
      </c>
      <c r="L286" s="42" t="str">
        <f>IF($J286="Customer",_xll.NL("first",$J286,"Name","No.","@@"&amp;$K286),"")</f>
        <v/>
      </c>
      <c r="M286" s="42" t="str">
        <f>"TrendTech"</f>
        <v>TrendTech</v>
      </c>
      <c r="N286" s="42" t="str">
        <f>IF($J286="Item",_xll.NL("first",$J286,"Description","No.","@@"&amp;$K286),"")</f>
        <v/>
      </c>
      <c r="O286" s="43">
        <v>400</v>
      </c>
      <c r="P286" s="43">
        <v>0</v>
      </c>
      <c r="Q286" s="43">
        <v>0</v>
      </c>
      <c r="R286" s="43">
        <v>0</v>
      </c>
      <c r="S286" s="43">
        <v>0</v>
      </c>
      <c r="T286" s="43">
        <v>0</v>
      </c>
      <c r="U286" s="56"/>
    </row>
    <row r="287" spans="1:21" ht="17.25" customHeight="1" x14ac:dyDescent="0.3">
      <c r="A287" s="15" t="s">
        <v>30</v>
      </c>
      <c r="C287" s="19"/>
      <c r="D287" s="33" t="str">
        <f t="shared" si="68"/>
        <v>C100023</v>
      </c>
      <c r="E287" s="33"/>
      <c r="F287" s="34"/>
      <c r="G287" s="34" t="str">
        <f>"""NAV Direct"",""CRONUS JetCorp USA"",""32"",""1"",""167144"""</f>
        <v>"NAV Direct","CRONUS JetCorp USA","32","1","167144"</v>
      </c>
      <c r="H287" s="40">
        <v>43466</v>
      </c>
      <c r="I287" s="41">
        <v>167144</v>
      </c>
      <c r="J287" s="42" t="str">
        <f>"Vendor"</f>
        <v>Vendor</v>
      </c>
      <c r="K287" s="42" t="str">
        <f>"V100001"</f>
        <v>V100001</v>
      </c>
      <c r="L287" s="42" t="str">
        <f>IF($J287="Customer",_xll.NL("first",$J287,"Name","No.","@@"&amp;$K287),"")</f>
        <v/>
      </c>
      <c r="M287" s="42" t="str">
        <f>"Greigner, Inc."</f>
        <v>Greigner, Inc.</v>
      </c>
      <c r="N287" s="42" t="str">
        <f>IF($J287="Item",_xll.NL("first",$J287,"Description","No.","@@"&amp;$K287),"")</f>
        <v/>
      </c>
      <c r="O287" s="43">
        <v>2800</v>
      </c>
      <c r="P287" s="43">
        <v>0</v>
      </c>
      <c r="Q287" s="43">
        <v>0</v>
      </c>
      <c r="R287" s="43">
        <v>0</v>
      </c>
      <c r="S287" s="43">
        <v>0</v>
      </c>
      <c r="T287" s="43">
        <v>0</v>
      </c>
      <c r="U287" s="56"/>
    </row>
    <row r="288" spans="1:21" ht="17.25" customHeight="1" x14ac:dyDescent="0.3">
      <c r="A288" s="15" t="s">
        <v>30</v>
      </c>
      <c r="C288" s="19"/>
      <c r="D288" s="33" t="str">
        <f t="shared" si="68"/>
        <v>C100023</v>
      </c>
      <c r="E288" s="33"/>
      <c r="F288" s="34"/>
      <c r="G288" s="34" t="str">
        <f>"""NAV Direct"",""CRONUS JetCorp USA"",""32"",""1"",""167167"""</f>
        <v>"NAV Direct","CRONUS JetCorp USA","32","1","167167"</v>
      </c>
      <c r="H288" s="40">
        <v>43466</v>
      </c>
      <c r="I288" s="41">
        <v>167167</v>
      </c>
      <c r="J288" s="42" t="str">
        <f>"Vendor"</f>
        <v>Vendor</v>
      </c>
      <c r="K288" s="42" t="str">
        <f>"V100003"</f>
        <v>V100003</v>
      </c>
      <c r="L288" s="42" t="str">
        <f>IF($J288="Customer",_xll.NL("first",$J288,"Name","No.","@@"&amp;$K288),"")</f>
        <v/>
      </c>
      <c r="M288" s="42" t="str">
        <f>"LogoMasters"</f>
        <v>LogoMasters</v>
      </c>
      <c r="N288" s="42" t="str">
        <f>IF($J288="Item",_xll.NL("first",$J288,"Description","No.","@@"&amp;$K288),"")</f>
        <v/>
      </c>
      <c r="O288" s="43">
        <v>800</v>
      </c>
      <c r="P288" s="43">
        <v>0</v>
      </c>
      <c r="Q288" s="43">
        <v>0</v>
      </c>
      <c r="R288" s="43">
        <v>0</v>
      </c>
      <c r="S288" s="43">
        <v>0</v>
      </c>
      <c r="T288" s="43">
        <v>0</v>
      </c>
      <c r="U288" s="56"/>
    </row>
    <row r="289" spans="1:21" ht="17.25" customHeight="1" x14ac:dyDescent="0.3">
      <c r="A289" s="15" t="s">
        <v>30</v>
      </c>
      <c r="C289" s="19"/>
      <c r="D289" s="33" t="str">
        <f t="shared" si="68"/>
        <v>C100023</v>
      </c>
      <c r="E289" s="33"/>
      <c r="F289" s="34"/>
      <c r="G289" s="34" t="str">
        <f>"""NAV Direct"",""CRONUS JetCorp USA"",""32"",""1"",""167174"""</f>
        <v>"NAV Direct","CRONUS JetCorp USA","32","1","167174"</v>
      </c>
      <c r="H289" s="40">
        <v>43466</v>
      </c>
      <c r="I289" s="41">
        <v>167174</v>
      </c>
      <c r="J289" s="42" t="str">
        <f>"Vendor"</f>
        <v>Vendor</v>
      </c>
      <c r="K289" s="42" t="str">
        <f>"V100001"</f>
        <v>V100001</v>
      </c>
      <c r="L289" s="42" t="str">
        <f>IF($J289="Customer",_xll.NL("first",$J289,"Name","No.","@@"&amp;$K289),"")</f>
        <v/>
      </c>
      <c r="M289" s="42" t="str">
        <f>"Greigner, Inc."</f>
        <v>Greigner, Inc.</v>
      </c>
      <c r="N289" s="42" t="str">
        <f>IF($J289="Item",_xll.NL("first",$J289,"Description","No.","@@"&amp;$K289),"")</f>
        <v/>
      </c>
      <c r="O289" s="43">
        <v>800</v>
      </c>
      <c r="P289" s="43">
        <v>0</v>
      </c>
      <c r="Q289" s="43">
        <v>0</v>
      </c>
      <c r="R289" s="43">
        <v>0</v>
      </c>
      <c r="S289" s="43">
        <v>0</v>
      </c>
      <c r="T289" s="43">
        <v>0</v>
      </c>
      <c r="U289" s="56"/>
    </row>
    <row r="290" spans="1:21" ht="17.25" customHeight="1" x14ac:dyDescent="0.3">
      <c r="A290" s="15" t="s">
        <v>30</v>
      </c>
      <c r="C290" s="19"/>
      <c r="D290" s="33" t="str">
        <f t="shared" si="68"/>
        <v>C100023</v>
      </c>
      <c r="E290" s="33"/>
      <c r="F290" s="34"/>
      <c r="G290" s="34" t="str">
        <f>"""NAV Direct"",""CRONUS JetCorp USA"",""32"",""1"",""20375"""</f>
        <v>"NAV Direct","CRONUS JetCorp USA","32","1","20375"</v>
      </c>
      <c r="H290" s="40">
        <v>43468</v>
      </c>
      <c r="I290" s="41">
        <v>20375</v>
      </c>
      <c r="J290" s="42" t="str">
        <f>"Customer"</f>
        <v>Customer</v>
      </c>
      <c r="K290" s="42" t="str">
        <f>"C100145"</f>
        <v>C100145</v>
      </c>
      <c r="L290" s="42" t="str">
        <f>IF($J290="Customer",_xll.NL("first",$J290,"Name","No.","@@"&amp;$K290),"")</f>
        <v>Dicon Industries</v>
      </c>
      <c r="M290" s="42" t="str">
        <f>""</f>
        <v/>
      </c>
      <c r="N290" s="42" t="str">
        <f>IF($J290="Item",_xll.NL("first",$J290,"Description","No.","@@"&amp;$K290),"")</f>
        <v/>
      </c>
      <c r="O290" s="43">
        <v>0</v>
      </c>
      <c r="P290" s="43">
        <v>-2</v>
      </c>
      <c r="Q290" s="43">
        <v>0</v>
      </c>
      <c r="R290" s="43">
        <v>0</v>
      </c>
      <c r="S290" s="43">
        <v>0</v>
      </c>
      <c r="T290" s="43">
        <v>0</v>
      </c>
      <c r="U290" s="56"/>
    </row>
    <row r="291" spans="1:21" ht="17.25" customHeight="1" x14ac:dyDescent="0.3">
      <c r="A291" s="15" t="s">
        <v>30</v>
      </c>
      <c r="C291" s="19"/>
      <c r="D291" s="33" t="str">
        <f t="shared" si="68"/>
        <v>C100023</v>
      </c>
      <c r="E291" s="33"/>
      <c r="F291" s="34"/>
      <c r="G291" s="34" t="str">
        <f>"""NAV Direct"",""CRONUS JetCorp USA"",""32"",""1"",""34324"""</f>
        <v>"NAV Direct","CRONUS JetCorp USA","32","1","34324"</v>
      </c>
      <c r="H291" s="40">
        <v>43470</v>
      </c>
      <c r="I291" s="41">
        <v>34324</v>
      </c>
      <c r="J291" s="42" t="str">
        <f>"Customer"</f>
        <v>Customer</v>
      </c>
      <c r="K291" s="42" t="str">
        <f>"C100050"</f>
        <v>C100050</v>
      </c>
      <c r="L291" s="42" t="str">
        <f>IF($J291="Customer",_xll.NL("first",$J291,"Name","No.","@@"&amp;$K291),"")</f>
        <v>Lauritzen Kontorm¢bler A/S</v>
      </c>
      <c r="M291" s="42" t="str">
        <f>""</f>
        <v/>
      </c>
      <c r="N291" s="42" t="str">
        <f>IF($J291="Item",_xll.NL("first",$J291,"Description","No.","@@"&amp;$K291),"")</f>
        <v/>
      </c>
      <c r="O291" s="43">
        <v>0</v>
      </c>
      <c r="P291" s="43">
        <v>-168</v>
      </c>
      <c r="Q291" s="43">
        <v>0</v>
      </c>
      <c r="R291" s="43">
        <v>0</v>
      </c>
      <c r="S291" s="43">
        <v>0</v>
      </c>
      <c r="T291" s="43">
        <v>0</v>
      </c>
      <c r="U291" s="56"/>
    </row>
    <row r="292" spans="1:21" ht="17.25" customHeight="1" x14ac:dyDescent="0.3">
      <c r="A292" s="15" t="s">
        <v>30</v>
      </c>
      <c r="C292" s="19"/>
      <c r="D292" s="33" t="str">
        <f t="shared" si="68"/>
        <v>C100023</v>
      </c>
      <c r="E292" s="33"/>
      <c r="F292" s="34"/>
      <c r="G292" s="34" t="str">
        <f>"""NAV Direct"",""CRONUS JetCorp USA"",""32"",""1"",""25243"""</f>
        <v>"NAV Direct","CRONUS JetCorp USA","32","1","25243"</v>
      </c>
      <c r="H292" s="40">
        <v>43471</v>
      </c>
      <c r="I292" s="41">
        <v>25243</v>
      </c>
      <c r="J292" s="42" t="str">
        <f>"Customer"</f>
        <v>Customer</v>
      </c>
      <c r="K292" s="42" t="str">
        <f>"C100102"</f>
        <v>C100102</v>
      </c>
      <c r="L292" s="42" t="str">
        <f>IF($J292="Customer",_xll.NL("first",$J292,"Name","No.","@@"&amp;$K292),"")</f>
        <v xml:space="preserve">BEI Outfitters </v>
      </c>
      <c r="M292" s="42" t="str">
        <f>""</f>
        <v/>
      </c>
      <c r="N292" s="42" t="str">
        <f>IF($J292="Item",_xll.NL("first",$J292,"Description","No.","@@"&amp;$K292),"")</f>
        <v/>
      </c>
      <c r="O292" s="43">
        <v>0</v>
      </c>
      <c r="P292" s="43">
        <v>-144</v>
      </c>
      <c r="Q292" s="43">
        <v>0</v>
      </c>
      <c r="R292" s="43">
        <v>0</v>
      </c>
      <c r="S292" s="43">
        <v>0</v>
      </c>
      <c r="T292" s="43">
        <v>0</v>
      </c>
      <c r="U292" s="56"/>
    </row>
    <row r="293" spans="1:21" ht="17.25" customHeight="1" x14ac:dyDescent="0.3">
      <c r="A293" s="15" t="s">
        <v>30</v>
      </c>
      <c r="C293" s="19"/>
      <c r="D293" s="33" t="str">
        <f t="shared" si="68"/>
        <v>C100023</v>
      </c>
      <c r="E293" s="33"/>
      <c r="F293" s="34"/>
      <c r="G293" s="34" t="str">
        <f>"""NAV Direct"",""CRONUS JetCorp USA"",""32"",""1"",""20393"""</f>
        <v>"NAV Direct","CRONUS JetCorp USA","32","1","20393"</v>
      </c>
      <c r="H293" s="40">
        <v>43473</v>
      </c>
      <c r="I293" s="41">
        <v>20393</v>
      </c>
      <c r="J293" s="42" t="str">
        <f>"Customer"</f>
        <v>Customer</v>
      </c>
      <c r="K293" s="42" t="str">
        <f>"C100130"</f>
        <v>C100130</v>
      </c>
      <c r="L293" s="42" t="str">
        <f>IF($J293="Customer",_xll.NL("first",$J293,"Name","No.","@@"&amp;$K293),"")</f>
        <v>Hotspot Systems</v>
      </c>
      <c r="M293" s="42" t="str">
        <f>""</f>
        <v/>
      </c>
      <c r="N293" s="42" t="str">
        <f>IF($J293="Item",_xll.NL("first",$J293,"Description","No.","@@"&amp;$K293),"")</f>
        <v/>
      </c>
      <c r="O293" s="43">
        <v>0</v>
      </c>
      <c r="P293" s="43">
        <v>-48</v>
      </c>
      <c r="Q293" s="43">
        <v>0</v>
      </c>
      <c r="R293" s="43">
        <v>0</v>
      </c>
      <c r="S293" s="43">
        <v>0</v>
      </c>
      <c r="T293" s="43">
        <v>0</v>
      </c>
      <c r="U293" s="56"/>
    </row>
    <row r="294" spans="1:21" ht="17.25" customHeight="1" x14ac:dyDescent="0.3">
      <c r="A294" s="15" t="s">
        <v>30</v>
      </c>
      <c r="C294" s="19"/>
      <c r="D294" s="33" t="str">
        <f t="shared" si="68"/>
        <v>C100023</v>
      </c>
      <c r="E294" s="33"/>
      <c r="F294" s="34"/>
      <c r="G294" s="34" t="str">
        <f>"""NAV Direct"",""CRONUS JetCorp USA"",""32"",""1"",""34335"""</f>
        <v>"NAV Direct","CRONUS JetCorp USA","32","1","34335"</v>
      </c>
      <c r="H294" s="40">
        <v>43475</v>
      </c>
      <c r="I294" s="41">
        <v>34335</v>
      </c>
      <c r="J294" s="42" t="str">
        <f>"Customer"</f>
        <v>Customer</v>
      </c>
      <c r="K294" s="42" t="str">
        <f>"C100008"</f>
        <v>C100008</v>
      </c>
      <c r="L294" s="42" t="str">
        <f>IF($J294="Customer",_xll.NL("first",$J294,"Name","No.","@@"&amp;$K294),"")</f>
        <v>Blanemark Hifi Shop</v>
      </c>
      <c r="M294" s="42" t="str">
        <f>""</f>
        <v/>
      </c>
      <c r="N294" s="42" t="str">
        <f>IF($J294="Item",_xll.NL("first",$J294,"Description","No.","@@"&amp;$K294),"")</f>
        <v/>
      </c>
      <c r="O294" s="43">
        <v>0</v>
      </c>
      <c r="P294" s="43">
        <v>-144</v>
      </c>
      <c r="Q294" s="43">
        <v>0</v>
      </c>
      <c r="R294" s="43">
        <v>0</v>
      </c>
      <c r="S294" s="43">
        <v>0</v>
      </c>
      <c r="T294" s="43">
        <v>0</v>
      </c>
      <c r="U294" s="56"/>
    </row>
    <row r="295" spans="1:21" ht="17.25" customHeight="1" x14ac:dyDescent="0.3">
      <c r="A295" s="15" t="s">
        <v>30</v>
      </c>
      <c r="C295" s="19"/>
      <c r="D295" s="33" t="str">
        <f t="shared" si="68"/>
        <v>C100023</v>
      </c>
      <c r="E295" s="33"/>
      <c r="F295" s="34"/>
      <c r="G295" s="34" t="str">
        <f>"""NAV Direct"",""CRONUS JetCorp USA"",""32"",""1"",""64612"""</f>
        <v>"NAV Direct","CRONUS JetCorp USA","32","1","64612"</v>
      </c>
      <c r="H295" s="40">
        <v>43475</v>
      </c>
      <c r="I295" s="41">
        <v>64612</v>
      </c>
      <c r="J295" s="42" t="str">
        <f>"Customer"</f>
        <v>Customer</v>
      </c>
      <c r="K295" s="42" t="str">
        <f>"C100136"</f>
        <v>C100136</v>
      </c>
      <c r="L295" s="42" t="str">
        <f>IF($J295="Customer",_xll.NL("first",$J295,"Name","No.","@@"&amp;$K295),"")</f>
        <v>First Bank</v>
      </c>
      <c r="M295" s="42" t="str">
        <f>""</f>
        <v/>
      </c>
      <c r="N295" s="42" t="str">
        <f>IF($J295="Item",_xll.NL("first",$J295,"Description","No.","@@"&amp;$K295),"")</f>
        <v/>
      </c>
      <c r="O295" s="43">
        <v>0</v>
      </c>
      <c r="P295" s="43">
        <v>-288</v>
      </c>
      <c r="Q295" s="43">
        <v>0</v>
      </c>
      <c r="R295" s="43">
        <v>0</v>
      </c>
      <c r="S295" s="43">
        <v>0</v>
      </c>
      <c r="T295" s="43">
        <v>0</v>
      </c>
      <c r="U295" s="56"/>
    </row>
    <row r="296" spans="1:21" ht="17.25" customHeight="1" x14ac:dyDescent="0.3">
      <c r="A296" s="15" t="s">
        <v>30</v>
      </c>
      <c r="C296" s="19"/>
      <c r="D296" s="33" t="str">
        <f t="shared" si="68"/>
        <v>C100023</v>
      </c>
      <c r="E296" s="33"/>
      <c r="F296" s="34"/>
      <c r="G296" s="34" t="str">
        <f>"""NAV Direct"",""CRONUS JetCorp USA"",""32"",""1"",""38096"""</f>
        <v>"NAV Direct","CRONUS JetCorp USA","32","1","38096"</v>
      </c>
      <c r="H296" s="40">
        <v>43477</v>
      </c>
      <c r="I296" s="41">
        <v>38096</v>
      </c>
      <c r="J296" s="42" t="str">
        <f>"Customer"</f>
        <v>Customer</v>
      </c>
      <c r="K296" s="42" t="str">
        <f>"C100038"</f>
        <v>C100038</v>
      </c>
      <c r="L296" s="42" t="str">
        <f>IF($J296="Customer",_xll.NL("first",$J296,"Name","No.","@@"&amp;$K296),"")</f>
        <v>Gagn &amp; Gaman</v>
      </c>
      <c r="M296" s="42" t="str">
        <f>""</f>
        <v/>
      </c>
      <c r="N296" s="42" t="str">
        <f>IF($J296="Item",_xll.NL("first",$J296,"Description","No.","@@"&amp;$K296),"")</f>
        <v/>
      </c>
      <c r="O296" s="43">
        <v>0</v>
      </c>
      <c r="P296" s="43">
        <v>-1</v>
      </c>
      <c r="Q296" s="43">
        <v>0</v>
      </c>
      <c r="R296" s="43">
        <v>0</v>
      </c>
      <c r="S296" s="43">
        <v>0</v>
      </c>
      <c r="T296" s="43">
        <v>0</v>
      </c>
      <c r="U296" s="56"/>
    </row>
    <row r="297" spans="1:21" ht="17.25" customHeight="1" x14ac:dyDescent="0.3">
      <c r="A297" s="15" t="s">
        <v>30</v>
      </c>
      <c r="C297" s="19"/>
      <c r="D297" s="33" t="str">
        <f t="shared" si="68"/>
        <v>C100023</v>
      </c>
      <c r="E297" s="33"/>
      <c r="F297" s="34"/>
      <c r="G297" s="34" t="str">
        <f>"""NAV Direct"",""CRONUS JetCorp USA"",""32"",""1"",""132523"""</f>
        <v>"NAV Direct","CRONUS JetCorp USA","32","1","132523"</v>
      </c>
      <c r="H297" s="40">
        <v>43477</v>
      </c>
      <c r="I297" s="41">
        <v>132523</v>
      </c>
      <c r="J297" s="42" t="str">
        <f>"Customer"</f>
        <v>Customer</v>
      </c>
      <c r="K297" s="42" t="str">
        <f>"C100082"</f>
        <v>C100082</v>
      </c>
      <c r="L297" s="42" t="str">
        <f>IF($J297="Customer",_xll.NL("first",$J297,"Name","No.","@@"&amp;$K297),"")</f>
        <v>Sporting Goods Emporium</v>
      </c>
      <c r="M297" s="42" t="str">
        <f>""</f>
        <v/>
      </c>
      <c r="N297" s="42" t="str">
        <f>IF($J297="Item",_xll.NL("first",$J297,"Description","No.","@@"&amp;$K297),"")</f>
        <v/>
      </c>
      <c r="O297" s="43">
        <v>0</v>
      </c>
      <c r="P297" s="43">
        <v>-288</v>
      </c>
      <c r="Q297" s="43">
        <v>0</v>
      </c>
      <c r="R297" s="43">
        <v>0</v>
      </c>
      <c r="S297" s="43">
        <v>0</v>
      </c>
      <c r="T297" s="43">
        <v>0</v>
      </c>
      <c r="U297" s="56"/>
    </row>
    <row r="298" spans="1:21" ht="17.25" customHeight="1" x14ac:dyDescent="0.3">
      <c r="A298" s="15" t="s">
        <v>30</v>
      </c>
      <c r="C298" s="19"/>
      <c r="D298" s="33" t="str">
        <f t="shared" si="68"/>
        <v>C100023</v>
      </c>
      <c r="E298" s="33"/>
      <c r="F298" s="34"/>
      <c r="G298" s="34" t="str">
        <f>"""NAV Direct"",""CRONUS JetCorp USA"",""32"",""1"",""138729"""</f>
        <v>"NAV Direct","CRONUS JetCorp USA","32","1","138729"</v>
      </c>
      <c r="H298" s="40">
        <v>43477</v>
      </c>
      <c r="I298" s="41">
        <v>138729</v>
      </c>
      <c r="J298" s="42" t="str">
        <f>"Customer"</f>
        <v>Customer</v>
      </c>
      <c r="K298" s="42" t="str">
        <f>"C100021"</f>
        <v>C100021</v>
      </c>
      <c r="L298" s="42" t="str">
        <f>IF($J298="Customer",_xll.NL("first",$J298,"Name","No.","@@"&amp;$K298),"")</f>
        <v>Cronus Cardoxy Sales</v>
      </c>
      <c r="M298" s="42" t="str">
        <f>""</f>
        <v/>
      </c>
      <c r="N298" s="42" t="str">
        <f>IF($J298="Item",_xll.NL("first",$J298,"Description","No.","@@"&amp;$K298),"")</f>
        <v/>
      </c>
      <c r="O298" s="43">
        <v>0</v>
      </c>
      <c r="P298" s="43">
        <v>-144</v>
      </c>
      <c r="Q298" s="43">
        <v>0</v>
      </c>
      <c r="R298" s="43">
        <v>0</v>
      </c>
      <c r="S298" s="43">
        <v>0</v>
      </c>
      <c r="T298" s="43">
        <v>0</v>
      </c>
      <c r="U298" s="56"/>
    </row>
    <row r="299" spans="1:21" ht="17.25" customHeight="1" x14ac:dyDescent="0.3">
      <c r="A299" s="15" t="s">
        <v>30</v>
      </c>
      <c r="C299" s="19"/>
      <c r="D299" s="33"/>
      <c r="E299" s="33"/>
      <c r="F299" s="34"/>
      <c r="G299" s="34"/>
      <c r="H299" s="34"/>
      <c r="I299" s="34"/>
      <c r="J299" s="34"/>
      <c r="K299" s="34"/>
      <c r="L299" s="34"/>
      <c r="M299" s="34"/>
      <c r="N299" s="34"/>
      <c r="O299" s="44"/>
      <c r="P299" s="44"/>
      <c r="Q299" s="44"/>
      <c r="R299" s="44"/>
      <c r="S299" s="44"/>
      <c r="T299" s="44"/>
      <c r="U299" s="57"/>
    </row>
    <row r="300" spans="1:21" ht="17.25" customHeight="1" x14ac:dyDescent="0.3">
      <c r="A300" s="15" t="s">
        <v>30</v>
      </c>
      <c r="C300" s="19"/>
      <c r="D300" s="33"/>
      <c r="E300" s="33" t="s">
        <v>31</v>
      </c>
      <c r="F300" s="34" t="s">
        <v>31</v>
      </c>
      <c r="G300" s="34" t="s">
        <v>31</v>
      </c>
      <c r="H300" s="34"/>
      <c r="I300" s="34"/>
      <c r="J300" s="34" t="s">
        <v>31</v>
      </c>
      <c r="K300" s="34" t="s">
        <v>31</v>
      </c>
      <c r="L300" s="34" t="s">
        <v>31</v>
      </c>
      <c r="M300" s="34" t="s">
        <v>31</v>
      </c>
      <c r="N300" s="34"/>
      <c r="U300" s="58"/>
    </row>
    <row r="301" spans="1:21" ht="20.25" customHeight="1" x14ac:dyDescent="0.35">
      <c r="A301" s="15" t="s">
        <v>30</v>
      </c>
      <c r="C301" s="19"/>
      <c r="D301" s="35" t="str">
        <f t="shared" ref="D301" si="69">E301</f>
        <v>C100024</v>
      </c>
      <c r="E301" s="36" t="str">
        <f>"C100024"</f>
        <v>C100024</v>
      </c>
      <c r="F301" s="37" t="str">
        <f>"Knit Hat with Bill"</f>
        <v>Knit Hat with Bill</v>
      </c>
      <c r="G301" s="37"/>
      <c r="H301" s="38" t="str">
        <f>"EA"</f>
        <v>EA</v>
      </c>
      <c r="I301" s="37"/>
      <c r="J301" s="37"/>
      <c r="K301" s="37"/>
      <c r="L301" s="37"/>
      <c r="M301" s="37"/>
      <c r="N301" s="37"/>
      <c r="O301" s="39">
        <f>(SUBTOTAL(9,O302:O313))</f>
        <v>3600</v>
      </c>
      <c r="P301" s="39">
        <f>(SUBTOTAL(9,P302:P313))</f>
        <v>-723</v>
      </c>
      <c r="Q301" s="39">
        <f>(SUBTOTAL(9,Q302:Q313))</f>
        <v>0</v>
      </c>
      <c r="R301" s="39">
        <f>(SUBTOTAL(9,R302:R313))</f>
        <v>0</v>
      </c>
      <c r="S301" s="39">
        <f>(SUBTOTAL(9,S302:S313))</f>
        <v>0</v>
      </c>
      <c r="T301" s="39">
        <f>(SUBTOTAL(9,T302:T313))</f>
        <v>0</v>
      </c>
      <c r="U301" s="55">
        <f t="shared" ref="U301" si="70">SUBTOTAL(9,O302:T313)</f>
        <v>2877</v>
      </c>
    </row>
    <row r="302" spans="1:21" ht="17.25" customHeight="1" x14ac:dyDescent="0.3">
      <c r="A302" s="15" t="s">
        <v>30</v>
      </c>
      <c r="C302" s="19"/>
      <c r="D302" s="33" t="str">
        <f t="shared" ref="D302" si="71">D301</f>
        <v>C100024</v>
      </c>
      <c r="E302" s="33"/>
      <c r="F302" s="34"/>
      <c r="G302" s="34" t="str">
        <f>"""NAV Direct"",""CRONUS JetCorp USA"",""32"",""1"",""167086"""</f>
        <v>"NAV Direct","CRONUS JetCorp USA","32","1","167086"</v>
      </c>
      <c r="H302" s="40">
        <v>43466</v>
      </c>
      <c r="I302" s="41">
        <v>167086</v>
      </c>
      <c r="J302" s="42" t="str">
        <f>"Vendor"</f>
        <v>Vendor</v>
      </c>
      <c r="K302" s="42" t="str">
        <f>"V100009"</f>
        <v>V100009</v>
      </c>
      <c r="L302" s="42" t="str">
        <f>IF($J302="Customer",_xll.NL("first",$J302,"Name","No.","@@"&amp;$K302),"")</f>
        <v/>
      </c>
      <c r="M302" s="42" t="str">
        <f>"Malay-Dan Export Unit Sdn Bhd"</f>
        <v>Malay-Dan Export Unit Sdn Bhd</v>
      </c>
      <c r="N302" s="42" t="str">
        <f>IF($J302="Item",_xll.NL("first",$J302,"Description","No.","@@"&amp;$K302),"")</f>
        <v/>
      </c>
      <c r="O302" s="43">
        <v>400</v>
      </c>
      <c r="P302" s="43">
        <v>0</v>
      </c>
      <c r="Q302" s="43">
        <v>0</v>
      </c>
      <c r="R302" s="43">
        <v>0</v>
      </c>
      <c r="S302" s="43">
        <v>0</v>
      </c>
      <c r="T302" s="43">
        <v>0</v>
      </c>
      <c r="U302" s="56"/>
    </row>
    <row r="303" spans="1:21" ht="17.25" customHeight="1" x14ac:dyDescent="0.3">
      <c r="A303" s="15" t="s">
        <v>30</v>
      </c>
      <c r="C303" s="19"/>
      <c r="D303" s="33" t="str">
        <f t="shared" ref="D303:D312" si="72">D302</f>
        <v>C100024</v>
      </c>
      <c r="E303" s="33"/>
      <c r="F303" s="34"/>
      <c r="G303" s="34" t="str">
        <f>"""NAV Direct"",""CRONUS JetCorp USA"",""32"",""1"",""167104"""</f>
        <v>"NAV Direct","CRONUS JetCorp USA","32","1","167104"</v>
      </c>
      <c r="H303" s="40">
        <v>43466</v>
      </c>
      <c r="I303" s="41">
        <v>167104</v>
      </c>
      <c r="J303" s="42" t="str">
        <f>"Vendor"</f>
        <v>Vendor</v>
      </c>
      <c r="K303" s="42" t="str">
        <f>"V100040"</f>
        <v>V100040</v>
      </c>
      <c r="L303" s="42" t="str">
        <f>IF($J303="Customer",_xll.NL("first",$J303,"Name","No.","@@"&amp;$K303),"")</f>
        <v/>
      </c>
      <c r="M303" s="42" t="str">
        <f>"Technische Betriebe Rotkreuz"</f>
        <v>Technische Betriebe Rotkreuz</v>
      </c>
      <c r="N303" s="42" t="str">
        <f>IF($J303="Item",_xll.NL("first",$J303,"Description","No.","@@"&amp;$K303),"")</f>
        <v/>
      </c>
      <c r="O303" s="43">
        <v>800</v>
      </c>
      <c r="P303" s="43">
        <v>0</v>
      </c>
      <c r="Q303" s="43">
        <v>0</v>
      </c>
      <c r="R303" s="43">
        <v>0</v>
      </c>
      <c r="S303" s="43">
        <v>0</v>
      </c>
      <c r="T303" s="43">
        <v>0</v>
      </c>
      <c r="U303" s="56"/>
    </row>
    <row r="304" spans="1:21" ht="17.25" customHeight="1" x14ac:dyDescent="0.3">
      <c r="A304" s="15" t="s">
        <v>30</v>
      </c>
      <c r="C304" s="19"/>
      <c r="D304" s="33" t="str">
        <f t="shared" si="72"/>
        <v>C100024</v>
      </c>
      <c r="E304" s="33"/>
      <c r="F304" s="34"/>
      <c r="G304" s="34" t="str">
        <f>"""NAV Direct"",""CRONUS JetCorp USA"",""32"",""1"",""167143"""</f>
        <v>"NAV Direct","CRONUS JetCorp USA","32","1","167143"</v>
      </c>
      <c r="H304" s="40">
        <v>43466</v>
      </c>
      <c r="I304" s="41">
        <v>167143</v>
      </c>
      <c r="J304" s="42" t="str">
        <f>"Vendor"</f>
        <v>Vendor</v>
      </c>
      <c r="K304" s="42" t="str">
        <f>"V100001"</f>
        <v>V100001</v>
      </c>
      <c r="L304" s="42" t="str">
        <f>IF($J304="Customer",_xll.NL("first",$J304,"Name","No.","@@"&amp;$K304),"")</f>
        <v/>
      </c>
      <c r="M304" s="42" t="str">
        <f>"Greigner, Inc."</f>
        <v>Greigner, Inc.</v>
      </c>
      <c r="N304" s="42" t="str">
        <f>IF($J304="Item",_xll.NL("first",$J304,"Description","No.","@@"&amp;$K304),"")</f>
        <v/>
      </c>
      <c r="O304" s="43">
        <v>1999.9999999999998</v>
      </c>
      <c r="P304" s="43">
        <v>0</v>
      </c>
      <c r="Q304" s="43">
        <v>0</v>
      </c>
      <c r="R304" s="43">
        <v>0</v>
      </c>
      <c r="S304" s="43">
        <v>0</v>
      </c>
      <c r="T304" s="43">
        <v>0</v>
      </c>
      <c r="U304" s="56"/>
    </row>
    <row r="305" spans="1:21" ht="17.25" customHeight="1" x14ac:dyDescent="0.3">
      <c r="A305" s="15" t="s">
        <v>30</v>
      </c>
      <c r="C305" s="19"/>
      <c r="D305" s="33" t="str">
        <f t="shared" si="72"/>
        <v>C100024</v>
      </c>
      <c r="E305" s="33"/>
      <c r="F305" s="34"/>
      <c r="G305" s="34" t="str">
        <f>"""NAV Direct"",""CRONUS JetCorp USA"",""32"",""1"",""167166"""</f>
        <v>"NAV Direct","CRONUS JetCorp USA","32","1","167166"</v>
      </c>
      <c r="H305" s="40">
        <v>43466</v>
      </c>
      <c r="I305" s="41">
        <v>167166</v>
      </c>
      <c r="J305" s="42" t="str">
        <f>"Vendor"</f>
        <v>Vendor</v>
      </c>
      <c r="K305" s="42" t="str">
        <f>"V100003"</f>
        <v>V100003</v>
      </c>
      <c r="L305" s="42" t="str">
        <f>IF($J305="Customer",_xll.NL("first",$J305,"Name","No.","@@"&amp;$K305),"")</f>
        <v/>
      </c>
      <c r="M305" s="42" t="str">
        <f>"LogoMasters"</f>
        <v>LogoMasters</v>
      </c>
      <c r="N305" s="42" t="str">
        <f>IF($J305="Item",_xll.NL("first",$J305,"Description","No.","@@"&amp;$K305),"")</f>
        <v/>
      </c>
      <c r="O305" s="43">
        <v>400</v>
      </c>
      <c r="P305" s="43">
        <v>0</v>
      </c>
      <c r="Q305" s="43">
        <v>0</v>
      </c>
      <c r="R305" s="43">
        <v>0</v>
      </c>
      <c r="S305" s="43">
        <v>0</v>
      </c>
      <c r="T305" s="43">
        <v>0</v>
      </c>
      <c r="U305" s="56"/>
    </row>
    <row r="306" spans="1:21" ht="17.25" customHeight="1" x14ac:dyDescent="0.3">
      <c r="A306" s="15" t="s">
        <v>30</v>
      </c>
      <c r="C306" s="19"/>
      <c r="D306" s="33" t="str">
        <f t="shared" si="72"/>
        <v>C100024</v>
      </c>
      <c r="E306" s="33"/>
      <c r="F306" s="34"/>
      <c r="G306" s="34" t="str">
        <f>"""NAV Direct"",""CRONUS JetCorp USA"",""32"",""1"",""20335"""</f>
        <v>"NAV Direct","CRONUS JetCorp USA","32","1","20335"</v>
      </c>
      <c r="H306" s="40">
        <v>43472</v>
      </c>
      <c r="I306" s="41">
        <v>20335</v>
      </c>
      <c r="J306" s="42" t="str">
        <f>"Customer"</f>
        <v>Customer</v>
      </c>
      <c r="K306" s="42" t="str">
        <f>"C100145"</f>
        <v>C100145</v>
      </c>
      <c r="L306" s="42" t="str">
        <f>IF($J306="Customer",_xll.NL("first",$J306,"Name","No.","@@"&amp;$K306),"")</f>
        <v>Dicon Industries</v>
      </c>
      <c r="M306" s="42" t="str">
        <f>""</f>
        <v/>
      </c>
      <c r="N306" s="42" t="str">
        <f>IF($J306="Item",_xll.NL("first",$J306,"Description","No.","@@"&amp;$K306),"")</f>
        <v/>
      </c>
      <c r="O306" s="43">
        <v>0</v>
      </c>
      <c r="P306" s="43">
        <v>-144</v>
      </c>
      <c r="Q306" s="43">
        <v>0</v>
      </c>
      <c r="R306" s="43">
        <v>0</v>
      </c>
      <c r="S306" s="43">
        <v>0</v>
      </c>
      <c r="T306" s="43">
        <v>0</v>
      </c>
      <c r="U306" s="56"/>
    </row>
    <row r="307" spans="1:21" ht="17.25" customHeight="1" x14ac:dyDescent="0.3">
      <c r="A307" s="15" t="s">
        <v>30</v>
      </c>
      <c r="C307" s="19"/>
      <c r="D307" s="33" t="str">
        <f t="shared" si="72"/>
        <v>C100024</v>
      </c>
      <c r="E307" s="33"/>
      <c r="F307" s="34"/>
      <c r="G307" s="34" t="str">
        <f>"""NAV Direct"",""CRONUS JetCorp USA"",""32"",""1"",""34312"""</f>
        <v>"NAV Direct","CRONUS JetCorp USA","32","1","34312"</v>
      </c>
      <c r="H307" s="40">
        <v>43473</v>
      </c>
      <c r="I307" s="41">
        <v>34312</v>
      </c>
      <c r="J307" s="42" t="str">
        <f>"Customer"</f>
        <v>Customer</v>
      </c>
      <c r="K307" s="42" t="str">
        <f>"C100059"</f>
        <v>C100059</v>
      </c>
      <c r="L307" s="42" t="str">
        <f>IF($J307="Customer",_xll.NL("first",$J307,"Name","No.","@@"&amp;$K307),"")</f>
        <v>Meersen Meubelen</v>
      </c>
      <c r="M307" s="42" t="str">
        <f>""</f>
        <v/>
      </c>
      <c r="N307" s="42" t="str">
        <f>IF($J307="Item",_xll.NL("first",$J307,"Description","No.","@@"&amp;$K307),"")</f>
        <v/>
      </c>
      <c r="O307" s="43">
        <v>0</v>
      </c>
      <c r="P307" s="43">
        <v>-144</v>
      </c>
      <c r="Q307" s="43">
        <v>0</v>
      </c>
      <c r="R307" s="43">
        <v>0</v>
      </c>
      <c r="S307" s="43">
        <v>0</v>
      </c>
      <c r="T307" s="43">
        <v>0</v>
      </c>
      <c r="U307" s="56"/>
    </row>
    <row r="308" spans="1:21" ht="17.25" customHeight="1" x14ac:dyDescent="0.3">
      <c r="A308" s="15" t="s">
        <v>30</v>
      </c>
      <c r="C308" s="19"/>
      <c r="D308" s="33" t="str">
        <f t="shared" si="72"/>
        <v>C100024</v>
      </c>
      <c r="E308" s="33"/>
      <c r="F308" s="34"/>
      <c r="G308" s="34" t="str">
        <f>"""NAV Direct"",""CRONUS JetCorp USA"",""32"",""1"",""124556"""</f>
        <v>"NAV Direct","CRONUS JetCorp USA","32","1","124556"</v>
      </c>
      <c r="H308" s="40">
        <v>43473</v>
      </c>
      <c r="I308" s="41">
        <v>124556</v>
      </c>
      <c r="J308" s="42" t="str">
        <f>"Customer"</f>
        <v>Customer</v>
      </c>
      <c r="K308" s="42" t="str">
        <f>"C100035"</f>
        <v>C100035</v>
      </c>
      <c r="L308" s="42" t="str">
        <f>IF($J308="Customer",_xll.NL("first",$J308,"Name","No.","@@"&amp;$K308),"")</f>
        <v>First Touch Marketing</v>
      </c>
      <c r="M308" s="42" t="str">
        <f>""</f>
        <v/>
      </c>
      <c r="N308" s="42" t="str">
        <f>IF($J308="Item",_xll.NL("first",$J308,"Description","No.","@@"&amp;$K308),"")</f>
        <v/>
      </c>
      <c r="O308" s="43">
        <v>0</v>
      </c>
      <c r="P308" s="43">
        <v>-2</v>
      </c>
      <c r="Q308" s="43">
        <v>0</v>
      </c>
      <c r="R308" s="43">
        <v>0</v>
      </c>
      <c r="S308" s="43">
        <v>0</v>
      </c>
      <c r="T308" s="43">
        <v>0</v>
      </c>
      <c r="U308" s="56"/>
    </row>
    <row r="309" spans="1:21" ht="17.25" customHeight="1" x14ac:dyDescent="0.3">
      <c r="A309" s="15" t="s">
        <v>30</v>
      </c>
      <c r="C309" s="19"/>
      <c r="D309" s="33" t="str">
        <f t="shared" si="72"/>
        <v>C100024</v>
      </c>
      <c r="E309" s="33"/>
      <c r="F309" s="34"/>
      <c r="G309" s="34" t="str">
        <f>"""NAV Direct"",""CRONUS JetCorp USA"",""32"",""1"",""30060"""</f>
        <v>"NAV Direct","CRONUS JetCorp USA","32","1","30060"</v>
      </c>
      <c r="H309" s="40">
        <v>43474</v>
      </c>
      <c r="I309" s="41">
        <v>30060</v>
      </c>
      <c r="J309" s="42" t="str">
        <f>"Customer"</f>
        <v>Customer</v>
      </c>
      <c r="K309" s="42" t="str">
        <f>"C100086"</f>
        <v>C100086</v>
      </c>
      <c r="L309" s="42" t="str">
        <f>IF($J309="Customer",_xll.NL("first",$J309,"Name","No.","@@"&amp;$K309),"")</f>
        <v>Top Action Sports</v>
      </c>
      <c r="M309" s="42" t="str">
        <f>""</f>
        <v/>
      </c>
      <c r="N309" s="42" t="str">
        <f>IF($J309="Item",_xll.NL("first",$J309,"Description","No.","@@"&amp;$K309),"")</f>
        <v/>
      </c>
      <c r="O309" s="43">
        <v>0</v>
      </c>
      <c r="P309" s="43">
        <v>-144</v>
      </c>
      <c r="Q309" s="43">
        <v>0</v>
      </c>
      <c r="R309" s="43">
        <v>0</v>
      </c>
      <c r="S309" s="43">
        <v>0</v>
      </c>
      <c r="T309" s="43">
        <v>0</v>
      </c>
      <c r="U309" s="56"/>
    </row>
    <row r="310" spans="1:21" ht="17.25" customHeight="1" x14ac:dyDescent="0.3">
      <c r="A310" s="15" t="s">
        <v>30</v>
      </c>
      <c r="C310" s="19"/>
      <c r="D310" s="33" t="str">
        <f t="shared" si="72"/>
        <v>C100024</v>
      </c>
      <c r="E310" s="33"/>
      <c r="F310" s="34"/>
      <c r="G310" s="34" t="str">
        <f>"""NAV Direct"",""CRONUS JetCorp USA"",""32"",""1"",""124526"""</f>
        <v>"NAV Direct","CRONUS JetCorp USA","32","1","124526"</v>
      </c>
      <c r="H310" s="40">
        <v>43474</v>
      </c>
      <c r="I310" s="41">
        <v>124526</v>
      </c>
      <c r="J310" s="42" t="str">
        <f>"Customer"</f>
        <v>Customer</v>
      </c>
      <c r="K310" s="42" t="str">
        <f>"C100145"</f>
        <v>C100145</v>
      </c>
      <c r="L310" s="42" t="str">
        <f>IF($J310="Customer",_xll.NL("first",$J310,"Name","No.","@@"&amp;$K310),"")</f>
        <v>Dicon Industries</v>
      </c>
      <c r="M310" s="42" t="str">
        <f>""</f>
        <v/>
      </c>
      <c r="N310" s="42" t="str">
        <f>IF($J310="Item",_xll.NL("first",$J310,"Description","No.","@@"&amp;$K310),"")</f>
        <v/>
      </c>
      <c r="O310" s="43">
        <v>0</v>
      </c>
      <c r="P310" s="43">
        <v>-144</v>
      </c>
      <c r="Q310" s="43">
        <v>0</v>
      </c>
      <c r="R310" s="43">
        <v>0</v>
      </c>
      <c r="S310" s="43">
        <v>0</v>
      </c>
      <c r="T310" s="43">
        <v>0</v>
      </c>
      <c r="U310" s="56"/>
    </row>
    <row r="311" spans="1:21" ht="17.25" customHeight="1" x14ac:dyDescent="0.3">
      <c r="A311" s="15" t="s">
        <v>30</v>
      </c>
      <c r="C311" s="19"/>
      <c r="D311" s="33" t="str">
        <f t="shared" si="72"/>
        <v>C100024</v>
      </c>
      <c r="E311" s="33"/>
      <c r="F311" s="34"/>
      <c r="G311" s="34" t="str">
        <f>"""NAV Direct"",""CRONUS JetCorp USA"",""32"",""1"",""30110"""</f>
        <v>"NAV Direct","CRONUS JetCorp USA","32","1","30110"</v>
      </c>
      <c r="H311" s="40">
        <v>43475</v>
      </c>
      <c r="I311" s="41">
        <v>30110</v>
      </c>
      <c r="J311" s="42" t="str">
        <f>"Customer"</f>
        <v>Customer</v>
      </c>
      <c r="K311" s="42" t="str">
        <f>"C100012"</f>
        <v>C100012</v>
      </c>
      <c r="L311" s="42" t="str">
        <f>IF($J311="Customer",_xll.NL("first",$J311,"Name","No.","@@"&amp;$K311),"")</f>
        <v>Bainbridges</v>
      </c>
      <c r="M311" s="42" t="str">
        <f>""</f>
        <v/>
      </c>
      <c r="N311" s="42" t="str">
        <f>IF($J311="Item",_xll.NL("first",$J311,"Description","No.","@@"&amp;$K311),"")</f>
        <v/>
      </c>
      <c r="O311" s="43">
        <v>0</v>
      </c>
      <c r="P311" s="43">
        <v>-144</v>
      </c>
      <c r="Q311" s="43">
        <v>0</v>
      </c>
      <c r="R311" s="43">
        <v>0</v>
      </c>
      <c r="S311" s="43">
        <v>0</v>
      </c>
      <c r="T311" s="43">
        <v>0</v>
      </c>
      <c r="U311" s="56"/>
    </row>
    <row r="312" spans="1:21" ht="17.25" customHeight="1" x14ac:dyDescent="0.3">
      <c r="A312" s="15" t="s">
        <v>30</v>
      </c>
      <c r="C312" s="19"/>
      <c r="D312" s="33" t="str">
        <f t="shared" si="72"/>
        <v>C100024</v>
      </c>
      <c r="E312" s="33"/>
      <c r="F312" s="34"/>
      <c r="G312" s="34" t="str">
        <f>"""NAV Direct"",""CRONUS JetCorp USA"",""32"",""1"",""34341"""</f>
        <v>"NAV Direct","CRONUS JetCorp USA","32","1","34341"</v>
      </c>
      <c r="H312" s="40">
        <v>43475</v>
      </c>
      <c r="I312" s="41">
        <v>34341</v>
      </c>
      <c r="J312" s="42" t="str">
        <f>"Customer"</f>
        <v>Customer</v>
      </c>
      <c r="K312" s="42" t="str">
        <f>"C100008"</f>
        <v>C100008</v>
      </c>
      <c r="L312" s="42" t="str">
        <f>IF($J312="Customer",_xll.NL("first",$J312,"Name","No.","@@"&amp;$K312),"")</f>
        <v>Blanemark Hifi Shop</v>
      </c>
      <c r="M312" s="42" t="str">
        <f>""</f>
        <v/>
      </c>
      <c r="N312" s="42" t="str">
        <f>IF($J312="Item",_xll.NL("first",$J312,"Description","No.","@@"&amp;$K312),"")</f>
        <v/>
      </c>
      <c r="O312" s="43">
        <v>0</v>
      </c>
      <c r="P312" s="43">
        <v>-1</v>
      </c>
      <c r="Q312" s="43">
        <v>0</v>
      </c>
      <c r="R312" s="43">
        <v>0</v>
      </c>
      <c r="S312" s="43">
        <v>0</v>
      </c>
      <c r="T312" s="43">
        <v>0</v>
      </c>
      <c r="U312" s="56"/>
    </row>
    <row r="313" spans="1:21" ht="17.25" customHeight="1" x14ac:dyDescent="0.3">
      <c r="A313" s="15" t="s">
        <v>30</v>
      </c>
      <c r="C313" s="19"/>
      <c r="D313" s="33"/>
      <c r="E313" s="33"/>
      <c r="F313" s="34"/>
      <c r="G313" s="34"/>
      <c r="H313" s="34"/>
      <c r="I313" s="34"/>
      <c r="J313" s="34"/>
      <c r="K313" s="34"/>
      <c r="L313" s="34"/>
      <c r="M313" s="34"/>
      <c r="N313" s="34"/>
      <c r="O313" s="44"/>
      <c r="P313" s="44"/>
      <c r="Q313" s="44"/>
      <c r="R313" s="44"/>
      <c r="S313" s="44"/>
      <c r="T313" s="44"/>
      <c r="U313" s="57"/>
    </row>
    <row r="314" spans="1:21" ht="17.25" customHeight="1" x14ac:dyDescent="0.3">
      <c r="A314" s="15" t="s">
        <v>30</v>
      </c>
      <c r="C314" s="19"/>
      <c r="D314" s="33"/>
      <c r="E314" s="33" t="s">
        <v>31</v>
      </c>
      <c r="F314" s="34" t="s">
        <v>31</v>
      </c>
      <c r="G314" s="34" t="s">
        <v>31</v>
      </c>
      <c r="H314" s="34"/>
      <c r="I314" s="34"/>
      <c r="J314" s="34" t="s">
        <v>31</v>
      </c>
      <c r="K314" s="34" t="s">
        <v>31</v>
      </c>
      <c r="L314" s="34" t="s">
        <v>31</v>
      </c>
      <c r="M314" s="34" t="s">
        <v>31</v>
      </c>
      <c r="N314" s="34"/>
      <c r="U314" s="58"/>
    </row>
    <row r="315" spans="1:21" ht="20.25" customHeight="1" x14ac:dyDescent="0.35">
      <c r="A315" s="15" t="s">
        <v>30</v>
      </c>
      <c r="C315" s="19"/>
      <c r="D315" s="35" t="str">
        <f t="shared" ref="D315" si="73">E315</f>
        <v>C100025</v>
      </c>
      <c r="E315" s="36" t="str">
        <f>"C100025"</f>
        <v>C100025</v>
      </c>
      <c r="F315" s="37" t="str">
        <f>"Striped Knit Hat"</f>
        <v>Striped Knit Hat</v>
      </c>
      <c r="G315" s="37"/>
      <c r="H315" s="38" t="str">
        <f>"EA"</f>
        <v>EA</v>
      </c>
      <c r="I315" s="37"/>
      <c r="J315" s="37"/>
      <c r="K315" s="37"/>
      <c r="L315" s="37"/>
      <c r="M315" s="37"/>
      <c r="N315" s="37"/>
      <c r="O315" s="39">
        <f>(SUBTOTAL(9,O316:O338))</f>
        <v>8800</v>
      </c>
      <c r="P315" s="39">
        <f>(SUBTOTAL(9,P316:P338))</f>
        <v>-1648</v>
      </c>
      <c r="Q315" s="39">
        <f>(SUBTOTAL(9,Q316:Q338))</f>
        <v>0</v>
      </c>
      <c r="R315" s="39">
        <f>(SUBTOTAL(9,R316:R338))</f>
        <v>0</v>
      </c>
      <c r="S315" s="39">
        <f>(SUBTOTAL(9,S316:S338))</f>
        <v>0</v>
      </c>
      <c r="T315" s="39">
        <f>(SUBTOTAL(9,T316:T338))</f>
        <v>0</v>
      </c>
      <c r="U315" s="55">
        <f t="shared" ref="U315" si="74">SUBTOTAL(9,O316:T338)</f>
        <v>7152</v>
      </c>
    </row>
    <row r="316" spans="1:21" ht="17.25" customHeight="1" x14ac:dyDescent="0.3">
      <c r="A316" s="15" t="s">
        <v>30</v>
      </c>
      <c r="C316" s="19"/>
      <c r="D316" s="33" t="str">
        <f t="shared" ref="D316" si="75">D315</f>
        <v>C100025</v>
      </c>
      <c r="E316" s="33"/>
      <c r="F316" s="34"/>
      <c r="G316" s="34" t="str">
        <f>"""NAV Direct"",""CRONUS JetCorp USA"",""32"",""1"",""167085"""</f>
        <v>"NAV Direct","CRONUS JetCorp USA","32","1","167085"</v>
      </c>
      <c r="H316" s="40">
        <v>43466</v>
      </c>
      <c r="I316" s="41">
        <v>167085</v>
      </c>
      <c r="J316" s="42" t="str">
        <f>"Vendor"</f>
        <v>Vendor</v>
      </c>
      <c r="K316" s="42" t="str">
        <f>"V100009"</f>
        <v>V100009</v>
      </c>
      <c r="L316" s="42" t="str">
        <f>IF($J316="Customer",_xll.NL("first",$J316,"Name","No.","@@"&amp;$K316),"")</f>
        <v/>
      </c>
      <c r="M316" s="42" t="str">
        <f>"Malay-Dan Export Unit Sdn Bhd"</f>
        <v>Malay-Dan Export Unit Sdn Bhd</v>
      </c>
      <c r="N316" s="42" t="str">
        <f>IF($J316="Item",_xll.NL("first",$J316,"Description","No.","@@"&amp;$K316),"")</f>
        <v/>
      </c>
      <c r="O316" s="43">
        <v>400</v>
      </c>
      <c r="P316" s="43">
        <v>0</v>
      </c>
      <c r="Q316" s="43">
        <v>0</v>
      </c>
      <c r="R316" s="43">
        <v>0</v>
      </c>
      <c r="S316" s="43">
        <v>0</v>
      </c>
      <c r="T316" s="43">
        <v>0</v>
      </c>
      <c r="U316" s="56"/>
    </row>
    <row r="317" spans="1:21" ht="17.25" customHeight="1" x14ac:dyDescent="0.3">
      <c r="A317" s="15" t="s">
        <v>30</v>
      </c>
      <c r="C317" s="19"/>
      <c r="D317" s="33" t="str">
        <f t="shared" ref="D317:D337" si="76">D316</f>
        <v>C100025</v>
      </c>
      <c r="E317" s="33"/>
      <c r="F317" s="34"/>
      <c r="G317" s="34" t="str">
        <f>"""NAV Direct"",""CRONUS JetCorp USA"",""32"",""1"",""167103"""</f>
        <v>"NAV Direct","CRONUS JetCorp USA","32","1","167103"</v>
      </c>
      <c r="H317" s="40">
        <v>43466</v>
      </c>
      <c r="I317" s="41">
        <v>167103</v>
      </c>
      <c r="J317" s="42" t="str">
        <f>"Vendor"</f>
        <v>Vendor</v>
      </c>
      <c r="K317" s="42" t="str">
        <f>"V100040"</f>
        <v>V100040</v>
      </c>
      <c r="L317" s="42" t="str">
        <f>IF($J317="Customer",_xll.NL("first",$J317,"Name","No.","@@"&amp;$K317),"")</f>
        <v/>
      </c>
      <c r="M317" s="42" t="str">
        <f>"Technische Betriebe Rotkreuz"</f>
        <v>Technische Betriebe Rotkreuz</v>
      </c>
      <c r="N317" s="42" t="str">
        <f>IF($J317="Item",_xll.NL("first",$J317,"Description","No.","@@"&amp;$K317),"")</f>
        <v/>
      </c>
      <c r="O317" s="43">
        <v>800</v>
      </c>
      <c r="P317" s="43">
        <v>0</v>
      </c>
      <c r="Q317" s="43">
        <v>0</v>
      </c>
      <c r="R317" s="43">
        <v>0</v>
      </c>
      <c r="S317" s="43">
        <v>0</v>
      </c>
      <c r="T317" s="43">
        <v>0</v>
      </c>
      <c r="U317" s="56"/>
    </row>
    <row r="318" spans="1:21" ht="17.25" customHeight="1" x14ac:dyDescent="0.3">
      <c r="A318" s="15" t="s">
        <v>30</v>
      </c>
      <c r="C318" s="19"/>
      <c r="D318" s="33" t="str">
        <f t="shared" si="76"/>
        <v>C100025</v>
      </c>
      <c r="E318" s="33"/>
      <c r="F318" s="34"/>
      <c r="G318" s="34" t="str">
        <f>"""NAV Direct"",""CRONUS JetCorp USA"",""32"",""1"",""167109"""</f>
        <v>"NAV Direct","CRONUS JetCorp USA","32","1","167109"</v>
      </c>
      <c r="H318" s="40">
        <v>43466</v>
      </c>
      <c r="I318" s="41">
        <v>167109</v>
      </c>
      <c r="J318" s="42" t="str">
        <f>"Vendor"</f>
        <v>Vendor</v>
      </c>
      <c r="K318" s="42" t="str">
        <f>"V100001"</f>
        <v>V100001</v>
      </c>
      <c r="L318" s="42" t="str">
        <f>IF($J318="Customer",_xll.NL("first",$J318,"Name","No.","@@"&amp;$K318),"")</f>
        <v/>
      </c>
      <c r="M318" s="42" t="str">
        <f>"Greigner, Inc."</f>
        <v>Greigner, Inc.</v>
      </c>
      <c r="N318" s="42" t="str">
        <f>IF($J318="Item",_xll.NL("first",$J318,"Description","No.","@@"&amp;$K318),"")</f>
        <v/>
      </c>
      <c r="O318" s="43">
        <v>400</v>
      </c>
      <c r="P318" s="43">
        <v>0</v>
      </c>
      <c r="Q318" s="43">
        <v>0</v>
      </c>
      <c r="R318" s="43">
        <v>0</v>
      </c>
      <c r="S318" s="43">
        <v>0</v>
      </c>
      <c r="T318" s="43">
        <v>0</v>
      </c>
      <c r="U318" s="56"/>
    </row>
    <row r="319" spans="1:21" ht="17.25" customHeight="1" x14ac:dyDescent="0.3">
      <c r="A319" s="15" t="s">
        <v>30</v>
      </c>
      <c r="C319" s="19"/>
      <c r="D319" s="33" t="str">
        <f t="shared" si="76"/>
        <v>C100025</v>
      </c>
      <c r="E319" s="33"/>
      <c r="F319" s="34"/>
      <c r="G319" s="34" t="str">
        <f>"""NAV Direct"",""CRONUS JetCorp USA"",""32"",""1"",""167123"""</f>
        <v>"NAV Direct","CRONUS JetCorp USA","32","1","167123"</v>
      </c>
      <c r="H319" s="40">
        <v>43466</v>
      </c>
      <c r="I319" s="41">
        <v>167123</v>
      </c>
      <c r="J319" s="42" t="str">
        <f>"Vendor"</f>
        <v>Vendor</v>
      </c>
      <c r="K319" s="42" t="str">
        <f>"V100007"</f>
        <v>V100007</v>
      </c>
      <c r="L319" s="42" t="str">
        <f>IF($J319="Customer",_xll.NL("first",$J319,"Name","No.","@@"&amp;$K319),"")</f>
        <v/>
      </c>
      <c r="M319" s="42" t="str">
        <f>"TrendTech"</f>
        <v>TrendTech</v>
      </c>
      <c r="N319" s="42" t="str">
        <f>IF($J319="Item",_xll.NL("first",$J319,"Description","No.","@@"&amp;$K319),"")</f>
        <v/>
      </c>
      <c r="O319" s="43">
        <v>800</v>
      </c>
      <c r="P319" s="43">
        <v>0</v>
      </c>
      <c r="Q319" s="43">
        <v>0</v>
      </c>
      <c r="R319" s="43">
        <v>0</v>
      </c>
      <c r="S319" s="43">
        <v>0</v>
      </c>
      <c r="T319" s="43">
        <v>0</v>
      </c>
      <c r="U319" s="56"/>
    </row>
    <row r="320" spans="1:21" ht="17.25" customHeight="1" x14ac:dyDescent="0.3">
      <c r="A320" s="15" t="s">
        <v>30</v>
      </c>
      <c r="C320" s="19"/>
      <c r="D320" s="33" t="str">
        <f t="shared" si="76"/>
        <v>C100025</v>
      </c>
      <c r="E320" s="33"/>
      <c r="F320" s="34"/>
      <c r="G320" s="34" t="str">
        <f>"""NAV Direct"",""CRONUS JetCorp USA"",""32"",""1"",""167142"""</f>
        <v>"NAV Direct","CRONUS JetCorp USA","32","1","167142"</v>
      </c>
      <c r="H320" s="40">
        <v>43466</v>
      </c>
      <c r="I320" s="41">
        <v>167142</v>
      </c>
      <c r="J320" s="42" t="str">
        <f>"Vendor"</f>
        <v>Vendor</v>
      </c>
      <c r="K320" s="42" t="str">
        <f>"V100001"</f>
        <v>V100001</v>
      </c>
      <c r="L320" s="42" t="str">
        <f>IF($J320="Customer",_xll.NL("first",$J320,"Name","No.","@@"&amp;$K320),"")</f>
        <v/>
      </c>
      <c r="M320" s="42" t="str">
        <f>"Greigner, Inc."</f>
        <v>Greigner, Inc.</v>
      </c>
      <c r="N320" s="42" t="str">
        <f>IF($J320="Item",_xll.NL("first",$J320,"Description","No.","@@"&amp;$K320),"")</f>
        <v/>
      </c>
      <c r="O320" s="43">
        <v>4400</v>
      </c>
      <c r="P320" s="43">
        <v>0</v>
      </c>
      <c r="Q320" s="43">
        <v>0</v>
      </c>
      <c r="R320" s="43">
        <v>0</v>
      </c>
      <c r="S320" s="43">
        <v>0</v>
      </c>
      <c r="T320" s="43">
        <v>0</v>
      </c>
      <c r="U320" s="56"/>
    </row>
    <row r="321" spans="1:21" ht="17.25" customHeight="1" x14ac:dyDescent="0.3">
      <c r="A321" s="15" t="s">
        <v>30</v>
      </c>
      <c r="C321" s="19"/>
      <c r="D321" s="33" t="str">
        <f t="shared" si="76"/>
        <v>C100025</v>
      </c>
      <c r="E321" s="33"/>
      <c r="F321" s="34"/>
      <c r="G321" s="34" t="str">
        <f>"""NAV Direct"",""CRONUS JetCorp USA"",""32"",""1"",""167151"""</f>
        <v>"NAV Direct","CRONUS JetCorp USA","32","1","167151"</v>
      </c>
      <c r="H321" s="40">
        <v>43466</v>
      </c>
      <c r="I321" s="41">
        <v>167151</v>
      </c>
      <c r="J321" s="42" t="str">
        <f>"Vendor"</f>
        <v>Vendor</v>
      </c>
      <c r="K321" s="42" t="str">
        <f>"V100047"</f>
        <v>V100047</v>
      </c>
      <c r="L321" s="42" t="str">
        <f>IF($J321="Customer",_xll.NL("first",$J321,"Name","No.","@@"&amp;$K321),"")</f>
        <v/>
      </c>
      <c r="M321" s="42" t="str">
        <f>"WoodMart Supply Co."</f>
        <v>WoodMart Supply Co.</v>
      </c>
      <c r="N321" s="42" t="str">
        <f>IF($J321="Item",_xll.NL("first",$J321,"Description","No.","@@"&amp;$K321),"")</f>
        <v/>
      </c>
      <c r="O321" s="43">
        <v>400</v>
      </c>
      <c r="P321" s="43">
        <v>0</v>
      </c>
      <c r="Q321" s="43">
        <v>0</v>
      </c>
      <c r="R321" s="43">
        <v>0</v>
      </c>
      <c r="S321" s="43">
        <v>0</v>
      </c>
      <c r="T321" s="43">
        <v>0</v>
      </c>
      <c r="U321" s="56"/>
    </row>
    <row r="322" spans="1:21" ht="17.25" customHeight="1" x14ac:dyDescent="0.3">
      <c r="A322" s="15" t="s">
        <v>30</v>
      </c>
      <c r="C322" s="19"/>
      <c r="D322" s="33" t="str">
        <f t="shared" si="76"/>
        <v>C100025</v>
      </c>
      <c r="E322" s="33"/>
      <c r="F322" s="34"/>
      <c r="G322" s="34" t="str">
        <f>"""NAV Direct"",""CRONUS JetCorp USA"",""32"",""1"",""167165"""</f>
        <v>"NAV Direct","CRONUS JetCorp USA","32","1","167165"</v>
      </c>
      <c r="H322" s="40">
        <v>43466</v>
      </c>
      <c r="I322" s="41">
        <v>167165</v>
      </c>
      <c r="J322" s="42" t="str">
        <f>"Vendor"</f>
        <v>Vendor</v>
      </c>
      <c r="K322" s="42" t="str">
        <f>"V100003"</f>
        <v>V100003</v>
      </c>
      <c r="L322" s="42" t="str">
        <f>IF($J322="Customer",_xll.NL("first",$J322,"Name","No.","@@"&amp;$K322),"")</f>
        <v/>
      </c>
      <c r="M322" s="42" t="str">
        <f>"LogoMasters"</f>
        <v>LogoMasters</v>
      </c>
      <c r="N322" s="42" t="str">
        <f>IF($J322="Item",_xll.NL("first",$J322,"Description","No.","@@"&amp;$K322),"")</f>
        <v/>
      </c>
      <c r="O322" s="43">
        <v>800</v>
      </c>
      <c r="P322" s="43">
        <v>0</v>
      </c>
      <c r="Q322" s="43">
        <v>0</v>
      </c>
      <c r="R322" s="43">
        <v>0</v>
      </c>
      <c r="S322" s="43">
        <v>0</v>
      </c>
      <c r="T322" s="43">
        <v>0</v>
      </c>
      <c r="U322" s="56"/>
    </row>
    <row r="323" spans="1:21" ht="17.25" customHeight="1" x14ac:dyDescent="0.3">
      <c r="A323" s="15" t="s">
        <v>30</v>
      </c>
      <c r="C323" s="19"/>
      <c r="D323" s="33" t="str">
        <f t="shared" si="76"/>
        <v>C100025</v>
      </c>
      <c r="E323" s="33"/>
      <c r="F323" s="34"/>
      <c r="G323" s="34" t="str">
        <f>"""NAV Direct"",""CRONUS JetCorp USA"",""32"",""1"",""167173"""</f>
        <v>"NAV Direct","CRONUS JetCorp USA","32","1","167173"</v>
      </c>
      <c r="H323" s="40">
        <v>43466</v>
      </c>
      <c r="I323" s="41">
        <v>167173</v>
      </c>
      <c r="J323" s="42" t="str">
        <f>"Vendor"</f>
        <v>Vendor</v>
      </c>
      <c r="K323" s="42" t="str">
        <f>"V100001"</f>
        <v>V100001</v>
      </c>
      <c r="L323" s="42" t="str">
        <f>IF($J323="Customer",_xll.NL("first",$J323,"Name","No.","@@"&amp;$K323),"")</f>
        <v/>
      </c>
      <c r="M323" s="42" t="str">
        <f>"Greigner, Inc."</f>
        <v>Greigner, Inc.</v>
      </c>
      <c r="N323" s="42" t="str">
        <f>IF($J323="Item",_xll.NL("first",$J323,"Description","No.","@@"&amp;$K323),"")</f>
        <v/>
      </c>
      <c r="O323" s="43">
        <v>800</v>
      </c>
      <c r="P323" s="43">
        <v>0</v>
      </c>
      <c r="Q323" s="43">
        <v>0</v>
      </c>
      <c r="R323" s="43">
        <v>0</v>
      </c>
      <c r="S323" s="43">
        <v>0</v>
      </c>
      <c r="T323" s="43">
        <v>0</v>
      </c>
      <c r="U323" s="56"/>
    </row>
    <row r="324" spans="1:21" ht="17.25" customHeight="1" x14ac:dyDescent="0.3">
      <c r="A324" s="15" t="s">
        <v>30</v>
      </c>
      <c r="C324" s="19"/>
      <c r="D324" s="33" t="str">
        <f t="shared" si="76"/>
        <v>C100025</v>
      </c>
      <c r="E324" s="33"/>
      <c r="F324" s="34"/>
      <c r="G324" s="34" t="str">
        <f>"""NAV Direct"",""CRONUS JetCorp USA"",""32"",""1"",""64578"""</f>
        <v>"NAV Direct","CRONUS JetCorp USA","32","1","64578"</v>
      </c>
      <c r="H324" s="40">
        <v>43469</v>
      </c>
      <c r="I324" s="41">
        <v>64578</v>
      </c>
      <c r="J324" s="42" t="str">
        <f>"Customer"</f>
        <v>Customer</v>
      </c>
      <c r="K324" s="42" t="str">
        <f>"C100140"</f>
        <v>C100140</v>
      </c>
      <c r="L324" s="42" t="str">
        <f>IF($J324="Customer",_xll.NL("first",$J324,"Name","No.","@@"&amp;$K324),"")</f>
        <v>Super Daves</v>
      </c>
      <c r="M324" s="42" t="str">
        <f>""</f>
        <v/>
      </c>
      <c r="N324" s="42" t="str">
        <f>IF($J324="Item",_xll.NL("first",$J324,"Description","No.","@@"&amp;$K324),"")</f>
        <v/>
      </c>
      <c r="O324" s="43">
        <v>0</v>
      </c>
      <c r="P324" s="43">
        <v>-145</v>
      </c>
      <c r="Q324" s="43">
        <v>0</v>
      </c>
      <c r="R324" s="43">
        <v>0</v>
      </c>
      <c r="S324" s="43">
        <v>0</v>
      </c>
      <c r="T324" s="43">
        <v>0</v>
      </c>
      <c r="U324" s="56"/>
    </row>
    <row r="325" spans="1:21" ht="17.25" customHeight="1" x14ac:dyDescent="0.3">
      <c r="A325" s="15" t="s">
        <v>30</v>
      </c>
      <c r="C325" s="19"/>
      <c r="D325" s="33" t="str">
        <f t="shared" si="76"/>
        <v>C100025</v>
      </c>
      <c r="E325" s="33"/>
      <c r="F325" s="34"/>
      <c r="G325" s="34" t="str">
        <f>"""NAV Direct"",""CRONUS JetCorp USA"",""32"",""1"",""34325"""</f>
        <v>"NAV Direct","CRONUS JetCorp USA","32","1","34325"</v>
      </c>
      <c r="H325" s="40">
        <v>43470</v>
      </c>
      <c r="I325" s="41">
        <v>34325</v>
      </c>
      <c r="J325" s="42" t="str">
        <f>"Customer"</f>
        <v>Customer</v>
      </c>
      <c r="K325" s="42" t="str">
        <f>"C100050"</f>
        <v>C100050</v>
      </c>
      <c r="L325" s="42" t="str">
        <f>IF($J325="Customer",_xll.NL("first",$J325,"Name","No.","@@"&amp;$K325),"")</f>
        <v>Lauritzen Kontorm¢bler A/S</v>
      </c>
      <c r="M325" s="42" t="str">
        <f>""</f>
        <v/>
      </c>
      <c r="N325" s="42" t="str">
        <f>IF($J325="Item",_xll.NL("first",$J325,"Description","No.","@@"&amp;$K325),"")</f>
        <v/>
      </c>
      <c r="O325" s="43">
        <v>0</v>
      </c>
      <c r="P325" s="43">
        <v>-2</v>
      </c>
      <c r="Q325" s="43">
        <v>0</v>
      </c>
      <c r="R325" s="43">
        <v>0</v>
      </c>
      <c r="S325" s="43">
        <v>0</v>
      </c>
      <c r="T325" s="43">
        <v>0</v>
      </c>
      <c r="U325" s="56"/>
    </row>
    <row r="326" spans="1:21" ht="17.25" customHeight="1" x14ac:dyDescent="0.3">
      <c r="A326" s="15" t="s">
        <v>30</v>
      </c>
      <c r="C326" s="19"/>
      <c r="D326" s="33" t="str">
        <f t="shared" si="76"/>
        <v>C100025</v>
      </c>
      <c r="E326" s="33"/>
      <c r="F326" s="34"/>
      <c r="G326" s="34" t="str">
        <f>"""NAV Direct"",""CRONUS JetCorp USA"",""32"",""1"",""78855"""</f>
        <v>"NAV Direct","CRONUS JetCorp USA","32","1","78855"</v>
      </c>
      <c r="H326" s="40">
        <v>43470</v>
      </c>
      <c r="I326" s="41">
        <v>78855</v>
      </c>
      <c r="J326" s="42" t="str">
        <f>"Customer"</f>
        <v>Customer</v>
      </c>
      <c r="K326" s="42" t="str">
        <f>"C100117"</f>
        <v>C100117</v>
      </c>
      <c r="L326" s="42" t="str">
        <f>IF($J326="Customer",_xll.NL("first",$J326,"Name","No.","@@"&amp;$K326),"")</f>
        <v xml:space="preserve">Tintax </v>
      </c>
      <c r="M326" s="42" t="str">
        <f>""</f>
        <v/>
      </c>
      <c r="N326" s="42" t="str">
        <f>IF($J326="Item",_xll.NL("first",$J326,"Description","No.","@@"&amp;$K326),"")</f>
        <v/>
      </c>
      <c r="O326" s="43">
        <v>0</v>
      </c>
      <c r="P326" s="43">
        <v>-12</v>
      </c>
      <c r="Q326" s="43">
        <v>0</v>
      </c>
      <c r="R326" s="43">
        <v>0</v>
      </c>
      <c r="S326" s="43">
        <v>0</v>
      </c>
      <c r="T326" s="43">
        <v>0</v>
      </c>
      <c r="U326" s="56"/>
    </row>
    <row r="327" spans="1:21" ht="17.25" customHeight="1" x14ac:dyDescent="0.3">
      <c r="A327" s="15" t="s">
        <v>30</v>
      </c>
      <c r="C327" s="19"/>
      <c r="D327" s="33" t="str">
        <f t="shared" si="76"/>
        <v>C100025</v>
      </c>
      <c r="E327" s="33"/>
      <c r="F327" s="34"/>
      <c r="G327" s="34" t="str">
        <f>"""NAV Direct"",""CRONUS JetCorp USA"",""32"",""1"",""132512"""</f>
        <v>"NAV Direct","CRONUS JetCorp USA","32","1","132512"</v>
      </c>
      <c r="H327" s="40">
        <v>43470</v>
      </c>
      <c r="I327" s="41">
        <v>132512</v>
      </c>
      <c r="J327" s="42" t="str">
        <f>"Customer"</f>
        <v>Customer</v>
      </c>
      <c r="K327" s="42" t="str">
        <f>"C100029"</f>
        <v>C100029</v>
      </c>
      <c r="L327" s="42" t="str">
        <f>IF($J327="Customer",_xll.NL("first",$J327,"Name","No.","@@"&amp;$K327),"")</f>
        <v>Elkhorn Airport</v>
      </c>
      <c r="M327" s="42" t="str">
        <f>""</f>
        <v/>
      </c>
      <c r="N327" s="42" t="str">
        <f>IF($J327="Item",_xll.NL("first",$J327,"Description","No.","@@"&amp;$K327),"")</f>
        <v/>
      </c>
      <c r="O327" s="43">
        <v>0</v>
      </c>
      <c r="P327" s="43">
        <v>-144</v>
      </c>
      <c r="Q327" s="43">
        <v>0</v>
      </c>
      <c r="R327" s="43">
        <v>0</v>
      </c>
      <c r="S327" s="43">
        <v>0</v>
      </c>
      <c r="T327" s="43">
        <v>0</v>
      </c>
      <c r="U327" s="56"/>
    </row>
    <row r="328" spans="1:21" ht="17.25" customHeight="1" x14ac:dyDescent="0.3">
      <c r="A328" s="15" t="s">
        <v>30</v>
      </c>
      <c r="C328" s="19"/>
      <c r="D328" s="33" t="str">
        <f t="shared" si="76"/>
        <v>C100025</v>
      </c>
      <c r="E328" s="33"/>
      <c r="F328" s="34"/>
      <c r="G328" s="34" t="str">
        <f>"""NAV Direct"",""CRONUS JetCorp USA"",""32"",""1"",""20340"""</f>
        <v>"NAV Direct","CRONUS JetCorp USA","32","1","20340"</v>
      </c>
      <c r="H328" s="40">
        <v>43472</v>
      </c>
      <c r="I328" s="41">
        <v>20340</v>
      </c>
      <c r="J328" s="42" t="str">
        <f>"Customer"</f>
        <v>Customer</v>
      </c>
      <c r="K328" s="42" t="str">
        <f>"C100145"</f>
        <v>C100145</v>
      </c>
      <c r="L328" s="42" t="str">
        <f>IF($J328="Customer",_xll.NL("first",$J328,"Name","No.","@@"&amp;$K328),"")</f>
        <v>Dicon Industries</v>
      </c>
      <c r="M328" s="42" t="str">
        <f>""</f>
        <v/>
      </c>
      <c r="N328" s="42" t="str">
        <f>IF($J328="Item",_xll.NL("first",$J328,"Description","No.","@@"&amp;$K328),"")</f>
        <v/>
      </c>
      <c r="O328" s="43">
        <v>0</v>
      </c>
      <c r="P328" s="43">
        <v>-144</v>
      </c>
      <c r="Q328" s="43">
        <v>0</v>
      </c>
      <c r="R328" s="43">
        <v>0</v>
      </c>
      <c r="S328" s="43">
        <v>0</v>
      </c>
      <c r="T328" s="43">
        <v>0</v>
      </c>
      <c r="U328" s="56"/>
    </row>
    <row r="329" spans="1:21" ht="17.25" customHeight="1" x14ac:dyDescent="0.3">
      <c r="A329" s="15" t="s">
        <v>30</v>
      </c>
      <c r="C329" s="19"/>
      <c r="D329" s="33" t="str">
        <f t="shared" si="76"/>
        <v>C100025</v>
      </c>
      <c r="E329" s="33"/>
      <c r="F329" s="34"/>
      <c r="G329" s="34" t="str">
        <f>"""NAV Direct"",""CRONUS JetCorp USA"",""32"",""1"",""25256"""</f>
        <v>"NAV Direct","CRONUS JetCorp USA","32","1","25256"</v>
      </c>
      <c r="H329" s="40">
        <v>43472</v>
      </c>
      <c r="I329" s="41">
        <v>25256</v>
      </c>
      <c r="J329" s="42" t="str">
        <f>"Customer"</f>
        <v>Customer</v>
      </c>
      <c r="K329" s="42" t="str">
        <f>"C100098"</f>
        <v>C100098</v>
      </c>
      <c r="L329" s="42" t="str">
        <f>IF($J329="Customer",_xll.NL("first",$J329,"Name","No.","@@"&amp;$K329),"")</f>
        <v>BlackCane Motor Works</v>
      </c>
      <c r="M329" s="42" t="str">
        <f>""</f>
        <v/>
      </c>
      <c r="N329" s="42" t="str">
        <f>IF($J329="Item",_xll.NL("first",$J329,"Description","No.","@@"&amp;$K329),"")</f>
        <v/>
      </c>
      <c r="O329" s="43">
        <v>0</v>
      </c>
      <c r="P329" s="43">
        <v>-144</v>
      </c>
      <c r="Q329" s="43">
        <v>0</v>
      </c>
      <c r="R329" s="43">
        <v>0</v>
      </c>
      <c r="S329" s="43">
        <v>0</v>
      </c>
      <c r="T329" s="43">
        <v>0</v>
      </c>
      <c r="U329" s="56"/>
    </row>
    <row r="330" spans="1:21" ht="17.25" customHeight="1" x14ac:dyDescent="0.3">
      <c r="A330" s="15" t="s">
        <v>30</v>
      </c>
      <c r="C330" s="19"/>
      <c r="D330" s="33" t="str">
        <f t="shared" si="76"/>
        <v>C100025</v>
      </c>
      <c r="E330" s="33"/>
      <c r="F330" s="34"/>
      <c r="G330" s="34" t="str">
        <f>"""NAV Direct"",""CRONUS JetCorp USA"",""32"",""1"",""44519"""</f>
        <v>"NAV Direct","CRONUS JetCorp USA","32","1","44519"</v>
      </c>
      <c r="H330" s="40">
        <v>43473</v>
      </c>
      <c r="I330" s="41">
        <v>44519</v>
      </c>
      <c r="J330" s="42" t="str">
        <f>"Customer"</f>
        <v>Customer</v>
      </c>
      <c r="K330" s="42" t="str">
        <f>"C100139"</f>
        <v>C100139</v>
      </c>
      <c r="L330" s="42" t="str">
        <f>IF($J330="Customer",_xll.NL("first",$J330,"Name","No.","@@"&amp;$K330),"")</f>
        <v>Gamma Ray's</v>
      </c>
      <c r="M330" s="42" t="str">
        <f>""</f>
        <v/>
      </c>
      <c r="N330" s="42" t="str">
        <f>IF($J330="Item",_xll.NL("first",$J330,"Description","No.","@@"&amp;$K330),"")</f>
        <v/>
      </c>
      <c r="O330" s="43">
        <v>0</v>
      </c>
      <c r="P330" s="43">
        <v>-144</v>
      </c>
      <c r="Q330" s="43">
        <v>0</v>
      </c>
      <c r="R330" s="43">
        <v>0</v>
      </c>
      <c r="S330" s="43">
        <v>0</v>
      </c>
      <c r="T330" s="43">
        <v>0</v>
      </c>
      <c r="U330" s="56"/>
    </row>
    <row r="331" spans="1:21" ht="17.25" customHeight="1" x14ac:dyDescent="0.3">
      <c r="A331" s="15" t="s">
        <v>30</v>
      </c>
      <c r="C331" s="19"/>
      <c r="D331" s="33" t="str">
        <f t="shared" si="76"/>
        <v>C100025</v>
      </c>
      <c r="E331" s="33"/>
      <c r="F331" s="34"/>
      <c r="G331" s="34" t="str">
        <f>"""NAV Direct"",""CRONUS JetCorp USA"",""32"",""1"",""30065"""</f>
        <v>"NAV Direct","CRONUS JetCorp USA","32","1","30065"</v>
      </c>
      <c r="H331" s="40">
        <v>43474</v>
      </c>
      <c r="I331" s="41">
        <v>30065</v>
      </c>
      <c r="J331" s="42" t="str">
        <f>"Customer"</f>
        <v>Customer</v>
      </c>
      <c r="K331" s="42" t="str">
        <f>"C100086"</f>
        <v>C100086</v>
      </c>
      <c r="L331" s="42" t="str">
        <f>IF($J331="Customer",_xll.NL("first",$J331,"Name","No.","@@"&amp;$K331),"")</f>
        <v>Top Action Sports</v>
      </c>
      <c r="M331" s="42" t="str">
        <f>""</f>
        <v/>
      </c>
      <c r="N331" s="42" t="str">
        <f>IF($J331="Item",_xll.NL("first",$J331,"Description","No.","@@"&amp;$K331),"")</f>
        <v/>
      </c>
      <c r="O331" s="43">
        <v>0</v>
      </c>
      <c r="P331" s="43">
        <v>-48</v>
      </c>
      <c r="Q331" s="43">
        <v>0</v>
      </c>
      <c r="R331" s="43">
        <v>0</v>
      </c>
      <c r="S331" s="43">
        <v>0</v>
      </c>
      <c r="T331" s="43">
        <v>0</v>
      </c>
      <c r="U331" s="56"/>
    </row>
    <row r="332" spans="1:21" ht="17.25" customHeight="1" x14ac:dyDescent="0.3">
      <c r="A332" s="15" t="s">
        <v>30</v>
      </c>
      <c r="C332" s="19"/>
      <c r="D332" s="33" t="str">
        <f t="shared" si="76"/>
        <v>C100025</v>
      </c>
      <c r="E332" s="33"/>
      <c r="F332" s="34"/>
      <c r="G332" s="34" t="str">
        <f>"""NAV Direct"",""CRONUS JetCorp USA"",""32"",""1"",""54693"""</f>
        <v>"NAV Direct","CRONUS JetCorp USA","32","1","54693"</v>
      </c>
      <c r="H332" s="40">
        <v>43474</v>
      </c>
      <c r="I332" s="41">
        <v>54693</v>
      </c>
      <c r="J332" s="42" t="str">
        <f>"Customer"</f>
        <v>Customer</v>
      </c>
      <c r="K332" s="42" t="str">
        <f>"C100096"</f>
        <v>C100096</v>
      </c>
      <c r="L332" s="42" t="str">
        <f>IF($J332="Customer",_xll.NL("first",$J332,"Name","No.","@@"&amp;$K332),"")</f>
        <v>D-Com Industries</v>
      </c>
      <c r="M332" s="42" t="str">
        <f>""</f>
        <v/>
      </c>
      <c r="N332" s="42" t="str">
        <f>IF($J332="Item",_xll.NL("first",$J332,"Description","No.","@@"&amp;$K332),"")</f>
        <v/>
      </c>
      <c r="O332" s="43">
        <v>0</v>
      </c>
      <c r="P332" s="43">
        <v>-288</v>
      </c>
      <c r="Q332" s="43">
        <v>0</v>
      </c>
      <c r="R332" s="43">
        <v>0</v>
      </c>
      <c r="S332" s="43">
        <v>0</v>
      </c>
      <c r="T332" s="43">
        <v>0</v>
      </c>
      <c r="U332" s="56"/>
    </row>
    <row r="333" spans="1:21" ht="17.25" customHeight="1" x14ac:dyDescent="0.3">
      <c r="A333" s="15" t="s">
        <v>30</v>
      </c>
      <c r="C333" s="19"/>
      <c r="D333" s="33" t="str">
        <f t="shared" si="76"/>
        <v>C100025</v>
      </c>
      <c r="E333" s="33"/>
      <c r="F333" s="34"/>
      <c r="G333" s="34" t="str">
        <f>"""NAV Direct"",""CRONUS JetCorp USA"",""32"",""1"",""36483"""</f>
        <v>"NAV Direct","CRONUS JetCorp USA","32","1","36483"</v>
      </c>
      <c r="H333" s="40">
        <v>43475</v>
      </c>
      <c r="I333" s="41">
        <v>36483</v>
      </c>
      <c r="J333" s="42" t="str">
        <f>"Customer"</f>
        <v>Customer</v>
      </c>
      <c r="K333" s="42" t="str">
        <f>"C100063"</f>
        <v>C100063</v>
      </c>
      <c r="L333" s="42" t="str">
        <f>IF($J333="Customer",_xll.NL("first",$J333,"Name","No.","@@"&amp;$K333),"")</f>
        <v>Möbel Scherrer AG</v>
      </c>
      <c r="M333" s="42" t="str">
        <f>""</f>
        <v/>
      </c>
      <c r="N333" s="42" t="str">
        <f>IF($J333="Item",_xll.NL("first",$J333,"Description","No.","@@"&amp;$K333),"")</f>
        <v/>
      </c>
      <c r="O333" s="43">
        <v>0</v>
      </c>
      <c r="P333" s="43">
        <v>-146</v>
      </c>
      <c r="Q333" s="43">
        <v>0</v>
      </c>
      <c r="R333" s="43">
        <v>0</v>
      </c>
      <c r="S333" s="43">
        <v>0</v>
      </c>
      <c r="T333" s="43">
        <v>0</v>
      </c>
      <c r="U333" s="56"/>
    </row>
    <row r="334" spans="1:21" ht="17.25" customHeight="1" x14ac:dyDescent="0.3">
      <c r="A334" s="15" t="s">
        <v>30</v>
      </c>
      <c r="C334" s="19"/>
      <c r="D334" s="33" t="str">
        <f t="shared" si="76"/>
        <v>C100025</v>
      </c>
      <c r="E334" s="33"/>
      <c r="F334" s="34"/>
      <c r="G334" s="34" t="str">
        <f>"""NAV Direct"",""CRONUS JetCorp USA"",""32"",""1"",""64618"""</f>
        <v>"NAV Direct","CRONUS JetCorp USA","32","1","64618"</v>
      </c>
      <c r="H334" s="40">
        <v>43475</v>
      </c>
      <c r="I334" s="41">
        <v>64618</v>
      </c>
      <c r="J334" s="42" t="str">
        <f>"Customer"</f>
        <v>Customer</v>
      </c>
      <c r="K334" s="42" t="str">
        <f>"C100136"</f>
        <v>C100136</v>
      </c>
      <c r="L334" s="42" t="str">
        <f>IF($J334="Customer",_xll.NL("first",$J334,"Name","No.","@@"&amp;$K334),"")</f>
        <v>First Bank</v>
      </c>
      <c r="M334" s="42" t="str">
        <f>""</f>
        <v/>
      </c>
      <c r="N334" s="42" t="str">
        <f>IF($J334="Item",_xll.NL("first",$J334,"Description","No.","@@"&amp;$K334),"")</f>
        <v/>
      </c>
      <c r="O334" s="43">
        <v>0</v>
      </c>
      <c r="P334" s="43">
        <v>-144</v>
      </c>
      <c r="Q334" s="43">
        <v>0</v>
      </c>
      <c r="R334" s="43">
        <v>0</v>
      </c>
      <c r="S334" s="43">
        <v>0</v>
      </c>
      <c r="T334" s="43">
        <v>0</v>
      </c>
      <c r="U334" s="56"/>
    </row>
    <row r="335" spans="1:21" ht="17.25" customHeight="1" x14ac:dyDescent="0.3">
      <c r="A335" s="15" t="s">
        <v>30</v>
      </c>
      <c r="C335" s="19"/>
      <c r="D335" s="33" t="str">
        <f t="shared" si="76"/>
        <v>C100025</v>
      </c>
      <c r="E335" s="33"/>
      <c r="F335" s="34"/>
      <c r="G335" s="34" t="str">
        <f>"""NAV Direct"",""CRONUS JetCorp USA"",""32"",""1"",""78899"""</f>
        <v>"NAV Direct","CRONUS JetCorp USA","32","1","78899"</v>
      </c>
      <c r="H335" s="40">
        <v>43475</v>
      </c>
      <c r="I335" s="41">
        <v>78899</v>
      </c>
      <c r="J335" s="42" t="str">
        <f>"Customer"</f>
        <v>Customer</v>
      </c>
      <c r="K335" s="42" t="str">
        <f>"C100128"</f>
        <v>C100128</v>
      </c>
      <c r="L335" s="42" t="str">
        <f>IF($J335="Customer",_xll.NL("first",$J335,"Name","No.","@@"&amp;$K335),"")</f>
        <v>Solar Tech</v>
      </c>
      <c r="M335" s="42" t="str">
        <f>""</f>
        <v/>
      </c>
      <c r="N335" s="42" t="str">
        <f>IF($J335="Item",_xll.NL("first",$J335,"Description","No.","@@"&amp;$K335),"")</f>
        <v/>
      </c>
      <c r="O335" s="43">
        <v>0</v>
      </c>
      <c r="P335" s="43">
        <v>-144</v>
      </c>
      <c r="Q335" s="43">
        <v>0</v>
      </c>
      <c r="R335" s="43">
        <v>0</v>
      </c>
      <c r="S335" s="43">
        <v>0</v>
      </c>
      <c r="T335" s="43">
        <v>0</v>
      </c>
      <c r="U335" s="56"/>
    </row>
    <row r="336" spans="1:21" ht="17.25" customHeight="1" x14ac:dyDescent="0.3">
      <c r="A336" s="15" t="s">
        <v>30</v>
      </c>
      <c r="C336" s="19"/>
      <c r="D336" s="33" t="str">
        <f t="shared" si="76"/>
        <v>C100025</v>
      </c>
      <c r="E336" s="33"/>
      <c r="F336" s="34"/>
      <c r="G336" s="34" t="str">
        <f>"""NAV Direct"",""CRONUS JetCorp USA"",""32"",""1"",""132527"""</f>
        <v>"NAV Direct","CRONUS JetCorp USA","32","1","132527"</v>
      </c>
      <c r="H336" s="40">
        <v>43477</v>
      </c>
      <c r="I336" s="41">
        <v>132527</v>
      </c>
      <c r="J336" s="42" t="str">
        <f>"Customer"</f>
        <v>Customer</v>
      </c>
      <c r="K336" s="42" t="str">
        <f>"C100082"</f>
        <v>C100082</v>
      </c>
      <c r="L336" s="42" t="str">
        <f>IF($J336="Customer",_xll.NL("first",$J336,"Name","No.","@@"&amp;$K336),"")</f>
        <v>Sporting Goods Emporium</v>
      </c>
      <c r="M336" s="42" t="str">
        <f>""</f>
        <v/>
      </c>
      <c r="N336" s="42" t="str">
        <f>IF($J336="Item",_xll.NL("first",$J336,"Description","No.","@@"&amp;$K336),"")</f>
        <v/>
      </c>
      <c r="O336" s="43">
        <v>0</v>
      </c>
      <c r="P336" s="43">
        <v>-144</v>
      </c>
      <c r="Q336" s="43">
        <v>0</v>
      </c>
      <c r="R336" s="43">
        <v>0</v>
      </c>
      <c r="S336" s="43">
        <v>0</v>
      </c>
      <c r="T336" s="43">
        <v>0</v>
      </c>
      <c r="U336" s="56"/>
    </row>
    <row r="337" spans="1:21" ht="17.25" customHeight="1" x14ac:dyDescent="0.3">
      <c r="A337" s="15" t="s">
        <v>30</v>
      </c>
      <c r="C337" s="19"/>
      <c r="D337" s="33" t="str">
        <f t="shared" si="76"/>
        <v>C100025</v>
      </c>
      <c r="E337" s="33"/>
      <c r="F337" s="34"/>
      <c r="G337" s="34" t="str">
        <f>"""NAV Direct"",""CRONUS JetCorp USA"",""32"",""1"",""158197"""</f>
        <v>"NAV Direct","CRONUS JetCorp USA","32","1","158197"</v>
      </c>
      <c r="H337" s="40">
        <v>43477</v>
      </c>
      <c r="I337" s="41">
        <v>158197</v>
      </c>
      <c r="J337" s="42" t="str">
        <f>"Customer"</f>
        <v>Customer</v>
      </c>
      <c r="K337" s="42" t="str">
        <f>"C100059"</f>
        <v>C100059</v>
      </c>
      <c r="L337" s="42" t="str">
        <f>IF($J337="Customer",_xll.NL("first",$J337,"Name","No.","@@"&amp;$K337),"")</f>
        <v>Meersen Meubelen</v>
      </c>
      <c r="M337" s="42" t="str">
        <f>""</f>
        <v/>
      </c>
      <c r="N337" s="42" t="str">
        <f>IF($J337="Item",_xll.NL("first",$J337,"Description","No.","@@"&amp;$K337),"")</f>
        <v/>
      </c>
      <c r="O337" s="43">
        <v>0</v>
      </c>
      <c r="P337" s="43">
        <v>1</v>
      </c>
      <c r="Q337" s="43">
        <v>0</v>
      </c>
      <c r="R337" s="43">
        <v>0</v>
      </c>
      <c r="S337" s="43">
        <v>0</v>
      </c>
      <c r="T337" s="43">
        <v>0</v>
      </c>
      <c r="U337" s="56"/>
    </row>
    <row r="338" spans="1:21" ht="17.25" customHeight="1" x14ac:dyDescent="0.3">
      <c r="A338" s="15" t="s">
        <v>30</v>
      </c>
      <c r="C338" s="19"/>
      <c r="D338" s="33"/>
      <c r="E338" s="33"/>
      <c r="F338" s="34"/>
      <c r="G338" s="34"/>
      <c r="H338" s="34"/>
      <c r="I338" s="34"/>
      <c r="J338" s="34"/>
      <c r="K338" s="34"/>
      <c r="L338" s="34"/>
      <c r="M338" s="34"/>
      <c r="N338" s="34"/>
      <c r="O338" s="44"/>
      <c r="P338" s="44"/>
      <c r="Q338" s="44"/>
      <c r="R338" s="44"/>
      <c r="S338" s="44"/>
      <c r="T338" s="44"/>
      <c r="U338" s="57"/>
    </row>
    <row r="339" spans="1:21" ht="17.25" customHeight="1" x14ac:dyDescent="0.3">
      <c r="A339" s="15" t="s">
        <v>30</v>
      </c>
      <c r="C339" s="19"/>
      <c r="D339" s="33"/>
      <c r="E339" s="33" t="s">
        <v>31</v>
      </c>
      <c r="F339" s="34" t="s">
        <v>31</v>
      </c>
      <c r="G339" s="34" t="s">
        <v>31</v>
      </c>
      <c r="H339" s="34"/>
      <c r="I339" s="34"/>
      <c r="J339" s="34" t="s">
        <v>31</v>
      </c>
      <c r="K339" s="34" t="s">
        <v>31</v>
      </c>
      <c r="L339" s="34" t="s">
        <v>31</v>
      </c>
      <c r="M339" s="34" t="s">
        <v>31</v>
      </c>
      <c r="N339" s="34"/>
      <c r="U339" s="58"/>
    </row>
    <row r="340" spans="1:21" ht="20.25" customHeight="1" x14ac:dyDescent="0.35">
      <c r="A340" s="15" t="s">
        <v>30</v>
      </c>
      <c r="C340" s="19"/>
      <c r="D340" s="35" t="str">
        <f t="shared" ref="D340" si="77">E340</f>
        <v>C100026</v>
      </c>
      <c r="E340" s="36" t="str">
        <f>"C100026"</f>
        <v>C100026</v>
      </c>
      <c r="F340" s="37" t="str">
        <f>"Fleece Beanie"</f>
        <v>Fleece Beanie</v>
      </c>
      <c r="G340" s="37"/>
      <c r="H340" s="38" t="str">
        <f>"EA"</f>
        <v>EA</v>
      </c>
      <c r="I340" s="37"/>
      <c r="J340" s="37"/>
      <c r="K340" s="37"/>
      <c r="L340" s="37"/>
      <c r="M340" s="37"/>
      <c r="N340" s="37"/>
      <c r="O340" s="39">
        <f>(SUBTOTAL(9,O341:O367))</f>
        <v>8400</v>
      </c>
      <c r="P340" s="39">
        <f>(SUBTOTAL(9,P341:P367))</f>
        <v>-2791</v>
      </c>
      <c r="Q340" s="39">
        <f>(SUBTOTAL(9,Q341:Q367))</f>
        <v>0</v>
      </c>
      <c r="R340" s="39">
        <f>(SUBTOTAL(9,R341:R367))</f>
        <v>0</v>
      </c>
      <c r="S340" s="39">
        <f>(SUBTOTAL(9,S341:S367))</f>
        <v>0</v>
      </c>
      <c r="T340" s="39">
        <f>(SUBTOTAL(9,T341:T367))</f>
        <v>0</v>
      </c>
      <c r="U340" s="55">
        <f t="shared" ref="U340" si="78">SUBTOTAL(9,O341:T367)</f>
        <v>5609</v>
      </c>
    </row>
    <row r="341" spans="1:21" ht="17.25" customHeight="1" x14ac:dyDescent="0.3">
      <c r="A341" s="15" t="s">
        <v>30</v>
      </c>
      <c r="C341" s="19"/>
      <c r="D341" s="33" t="str">
        <f t="shared" ref="D341" si="79">D340</f>
        <v>C100026</v>
      </c>
      <c r="E341" s="33"/>
      <c r="F341" s="34"/>
      <c r="G341" s="34" t="str">
        <f>"""NAV Direct"",""CRONUS JetCorp USA"",""32"",""1"",""132498"""</f>
        <v>"NAV Direct","CRONUS JetCorp USA","32","1","132498"</v>
      </c>
      <c r="H341" s="40">
        <v>43466</v>
      </c>
      <c r="I341" s="41">
        <v>132498</v>
      </c>
      <c r="J341" s="42" t="str">
        <f>"Customer"</f>
        <v>Customer</v>
      </c>
      <c r="K341" s="42" t="str">
        <f>"C100040"</f>
        <v>C100040</v>
      </c>
      <c r="L341" s="42" t="str">
        <f>IF($J341="Customer",_xll.NL("first",$J341,"Name","No.","@@"&amp;$K341),"")</f>
        <v>Guildford Water Department</v>
      </c>
      <c r="M341" s="42" t="str">
        <f>""</f>
        <v/>
      </c>
      <c r="N341" s="42" t="str">
        <f>IF($J341="Item",_xll.NL("first",$J341,"Description","No.","@@"&amp;$K341),"")</f>
        <v/>
      </c>
      <c r="O341" s="43">
        <v>0</v>
      </c>
      <c r="P341" s="43">
        <v>-144</v>
      </c>
      <c r="Q341" s="43">
        <v>0</v>
      </c>
      <c r="R341" s="43">
        <v>0</v>
      </c>
      <c r="S341" s="43">
        <v>0</v>
      </c>
      <c r="T341" s="43">
        <v>0</v>
      </c>
      <c r="U341" s="56"/>
    </row>
    <row r="342" spans="1:21" ht="17.25" customHeight="1" x14ac:dyDescent="0.3">
      <c r="A342" s="15" t="s">
        <v>30</v>
      </c>
      <c r="C342" s="19"/>
      <c r="D342" s="33" t="str">
        <f t="shared" ref="D342:D366" si="80">D341</f>
        <v>C100026</v>
      </c>
      <c r="E342" s="33"/>
      <c r="F342" s="34"/>
      <c r="G342" s="34" t="str">
        <f>"""NAV Direct"",""CRONUS JetCorp USA"",""32"",""1"",""167084"""</f>
        <v>"NAV Direct","CRONUS JetCorp USA","32","1","167084"</v>
      </c>
      <c r="H342" s="40">
        <v>43466</v>
      </c>
      <c r="I342" s="41">
        <v>167084</v>
      </c>
      <c r="J342" s="42" t="str">
        <f>"Vendor"</f>
        <v>Vendor</v>
      </c>
      <c r="K342" s="42" t="str">
        <f>"V100009"</f>
        <v>V100009</v>
      </c>
      <c r="L342" s="42" t="str">
        <f>IF($J342="Customer",_xll.NL("first",$J342,"Name","No.","@@"&amp;$K342),"")</f>
        <v/>
      </c>
      <c r="M342" s="42" t="str">
        <f>"Malay-Dan Export Unit Sdn Bhd"</f>
        <v>Malay-Dan Export Unit Sdn Bhd</v>
      </c>
      <c r="N342" s="42" t="str">
        <f>IF($J342="Item",_xll.NL("first",$J342,"Description","No.","@@"&amp;$K342),"")</f>
        <v/>
      </c>
      <c r="O342" s="43">
        <v>800</v>
      </c>
      <c r="P342" s="43">
        <v>0</v>
      </c>
      <c r="Q342" s="43">
        <v>0</v>
      </c>
      <c r="R342" s="43">
        <v>0</v>
      </c>
      <c r="S342" s="43">
        <v>0</v>
      </c>
      <c r="T342" s="43">
        <v>0</v>
      </c>
      <c r="U342" s="56"/>
    </row>
    <row r="343" spans="1:21" ht="17.25" customHeight="1" x14ac:dyDescent="0.3">
      <c r="A343" s="15" t="s">
        <v>30</v>
      </c>
      <c r="C343" s="19"/>
      <c r="D343" s="33" t="str">
        <f t="shared" si="80"/>
        <v>C100026</v>
      </c>
      <c r="E343" s="33"/>
      <c r="F343" s="34"/>
      <c r="G343" s="34" t="str">
        <f>"""NAV Direct"",""CRONUS JetCorp USA"",""32"",""1"",""167102"""</f>
        <v>"NAV Direct","CRONUS JetCorp USA","32","1","167102"</v>
      </c>
      <c r="H343" s="40">
        <v>43466</v>
      </c>
      <c r="I343" s="41">
        <v>167102</v>
      </c>
      <c r="J343" s="42" t="str">
        <f>"Vendor"</f>
        <v>Vendor</v>
      </c>
      <c r="K343" s="42" t="str">
        <f>"V100040"</f>
        <v>V100040</v>
      </c>
      <c r="L343" s="42" t="str">
        <f>IF($J343="Customer",_xll.NL("first",$J343,"Name","No.","@@"&amp;$K343),"")</f>
        <v/>
      </c>
      <c r="M343" s="42" t="str">
        <f>"Technische Betriebe Rotkreuz"</f>
        <v>Technische Betriebe Rotkreuz</v>
      </c>
      <c r="N343" s="42" t="str">
        <f>IF($J343="Item",_xll.NL("first",$J343,"Description","No.","@@"&amp;$K343),"")</f>
        <v/>
      </c>
      <c r="O343" s="43">
        <v>1200</v>
      </c>
      <c r="P343" s="43">
        <v>0</v>
      </c>
      <c r="Q343" s="43">
        <v>0</v>
      </c>
      <c r="R343" s="43">
        <v>0</v>
      </c>
      <c r="S343" s="43">
        <v>0</v>
      </c>
      <c r="T343" s="43">
        <v>0</v>
      </c>
      <c r="U343" s="56"/>
    </row>
    <row r="344" spans="1:21" ht="17.25" customHeight="1" x14ac:dyDescent="0.3">
      <c r="A344" s="15" t="s">
        <v>30</v>
      </c>
      <c r="C344" s="19"/>
      <c r="D344" s="33" t="str">
        <f t="shared" si="80"/>
        <v>C100026</v>
      </c>
      <c r="E344" s="33"/>
      <c r="F344" s="34"/>
      <c r="G344" s="34" t="str">
        <f>"""NAV Direct"",""CRONUS JetCorp USA"",""32"",""1"",""167122"""</f>
        <v>"NAV Direct","CRONUS JetCorp USA","32","1","167122"</v>
      </c>
      <c r="H344" s="40">
        <v>43466</v>
      </c>
      <c r="I344" s="41">
        <v>167122</v>
      </c>
      <c r="J344" s="42" t="str">
        <f>"Vendor"</f>
        <v>Vendor</v>
      </c>
      <c r="K344" s="42" t="str">
        <f>"V100007"</f>
        <v>V100007</v>
      </c>
      <c r="L344" s="42" t="str">
        <f>IF($J344="Customer",_xll.NL("first",$J344,"Name","No.","@@"&amp;$K344),"")</f>
        <v/>
      </c>
      <c r="M344" s="42" t="str">
        <f>"TrendTech"</f>
        <v>TrendTech</v>
      </c>
      <c r="N344" s="42" t="str">
        <f>IF($J344="Item",_xll.NL("first",$J344,"Description","No.","@@"&amp;$K344),"")</f>
        <v/>
      </c>
      <c r="O344" s="43">
        <v>400</v>
      </c>
      <c r="P344" s="43">
        <v>0</v>
      </c>
      <c r="Q344" s="43">
        <v>0</v>
      </c>
      <c r="R344" s="43">
        <v>0</v>
      </c>
      <c r="S344" s="43">
        <v>0</v>
      </c>
      <c r="T344" s="43">
        <v>0</v>
      </c>
      <c r="U344" s="56"/>
    </row>
    <row r="345" spans="1:21" ht="17.25" customHeight="1" x14ac:dyDescent="0.3">
      <c r="A345" s="15" t="s">
        <v>30</v>
      </c>
      <c r="C345" s="19"/>
      <c r="D345" s="33" t="str">
        <f t="shared" si="80"/>
        <v>C100026</v>
      </c>
      <c r="E345" s="33"/>
      <c r="F345" s="34"/>
      <c r="G345" s="34" t="str">
        <f>"""NAV Direct"",""CRONUS JetCorp USA"",""32"",""1"",""167141"""</f>
        <v>"NAV Direct","CRONUS JetCorp USA","32","1","167141"</v>
      </c>
      <c r="H345" s="40">
        <v>43466</v>
      </c>
      <c r="I345" s="41">
        <v>167141</v>
      </c>
      <c r="J345" s="42" t="str">
        <f>"Vendor"</f>
        <v>Vendor</v>
      </c>
      <c r="K345" s="42" t="str">
        <f>"V100001"</f>
        <v>V100001</v>
      </c>
      <c r="L345" s="42" t="str">
        <f>IF($J345="Customer",_xll.NL("first",$J345,"Name","No.","@@"&amp;$K345),"")</f>
        <v/>
      </c>
      <c r="M345" s="42" t="str">
        <f>"Greigner, Inc."</f>
        <v>Greigner, Inc.</v>
      </c>
      <c r="N345" s="42" t="str">
        <f>IF($J345="Item",_xll.NL("first",$J345,"Description","No.","@@"&amp;$K345),"")</f>
        <v/>
      </c>
      <c r="O345" s="43">
        <v>4400</v>
      </c>
      <c r="P345" s="43">
        <v>0</v>
      </c>
      <c r="Q345" s="43">
        <v>0</v>
      </c>
      <c r="R345" s="43">
        <v>0</v>
      </c>
      <c r="S345" s="43">
        <v>0</v>
      </c>
      <c r="T345" s="43">
        <v>0</v>
      </c>
      <c r="U345" s="56"/>
    </row>
    <row r="346" spans="1:21" ht="17.25" customHeight="1" x14ac:dyDescent="0.3">
      <c r="A346" s="15" t="s">
        <v>30</v>
      </c>
      <c r="C346" s="19"/>
      <c r="D346" s="33" t="str">
        <f t="shared" si="80"/>
        <v>C100026</v>
      </c>
      <c r="E346" s="33"/>
      <c r="F346" s="34"/>
      <c r="G346" s="34" t="str">
        <f>"""NAV Direct"",""CRONUS JetCorp USA"",""32"",""1"",""167150"""</f>
        <v>"NAV Direct","CRONUS JetCorp USA","32","1","167150"</v>
      </c>
      <c r="H346" s="40">
        <v>43466</v>
      </c>
      <c r="I346" s="41">
        <v>167150</v>
      </c>
      <c r="J346" s="42" t="str">
        <f>"Vendor"</f>
        <v>Vendor</v>
      </c>
      <c r="K346" s="42" t="str">
        <f>"V100047"</f>
        <v>V100047</v>
      </c>
      <c r="L346" s="42" t="str">
        <f>IF($J346="Customer",_xll.NL("first",$J346,"Name","No.","@@"&amp;$K346),"")</f>
        <v/>
      </c>
      <c r="M346" s="42" t="str">
        <f>"WoodMart Supply Co."</f>
        <v>WoodMart Supply Co.</v>
      </c>
      <c r="N346" s="42" t="str">
        <f>IF($J346="Item",_xll.NL("first",$J346,"Description","No.","@@"&amp;$K346),"")</f>
        <v/>
      </c>
      <c r="O346" s="43">
        <v>400</v>
      </c>
      <c r="P346" s="43">
        <v>0</v>
      </c>
      <c r="Q346" s="43">
        <v>0</v>
      </c>
      <c r="R346" s="43">
        <v>0</v>
      </c>
      <c r="S346" s="43">
        <v>0</v>
      </c>
      <c r="T346" s="43">
        <v>0</v>
      </c>
      <c r="U346" s="56"/>
    </row>
    <row r="347" spans="1:21" ht="17.25" customHeight="1" x14ac:dyDescent="0.3">
      <c r="A347" s="15" t="s">
        <v>30</v>
      </c>
      <c r="C347" s="19"/>
      <c r="D347" s="33" t="str">
        <f t="shared" si="80"/>
        <v>C100026</v>
      </c>
      <c r="E347" s="33"/>
      <c r="F347" s="34"/>
      <c r="G347" s="34" t="str">
        <f>"""NAV Direct"",""CRONUS JetCorp USA"",""32"",""1"",""167164"""</f>
        <v>"NAV Direct","CRONUS JetCorp USA","32","1","167164"</v>
      </c>
      <c r="H347" s="40">
        <v>43466</v>
      </c>
      <c r="I347" s="41">
        <v>167164</v>
      </c>
      <c r="J347" s="42" t="str">
        <f>"Vendor"</f>
        <v>Vendor</v>
      </c>
      <c r="K347" s="42" t="str">
        <f>"V100003"</f>
        <v>V100003</v>
      </c>
      <c r="L347" s="42" t="str">
        <f>IF($J347="Customer",_xll.NL("first",$J347,"Name","No.","@@"&amp;$K347),"")</f>
        <v/>
      </c>
      <c r="M347" s="42" t="str">
        <f>"LogoMasters"</f>
        <v>LogoMasters</v>
      </c>
      <c r="N347" s="42" t="str">
        <f>IF($J347="Item",_xll.NL("first",$J347,"Description","No.","@@"&amp;$K347),"")</f>
        <v/>
      </c>
      <c r="O347" s="43">
        <v>800</v>
      </c>
      <c r="P347" s="43">
        <v>0</v>
      </c>
      <c r="Q347" s="43">
        <v>0</v>
      </c>
      <c r="R347" s="43">
        <v>0</v>
      </c>
      <c r="S347" s="43">
        <v>0</v>
      </c>
      <c r="T347" s="43">
        <v>0</v>
      </c>
      <c r="U347" s="56"/>
    </row>
    <row r="348" spans="1:21" ht="17.25" customHeight="1" x14ac:dyDescent="0.3">
      <c r="A348" s="15" t="s">
        <v>30</v>
      </c>
      <c r="C348" s="19"/>
      <c r="D348" s="33" t="str">
        <f t="shared" si="80"/>
        <v>C100026</v>
      </c>
      <c r="E348" s="33"/>
      <c r="F348" s="34"/>
      <c r="G348" s="34" t="str">
        <f>"""NAV Direct"",""CRONUS JetCorp USA"",""32"",""1"",""167172"""</f>
        <v>"NAV Direct","CRONUS JetCorp USA","32","1","167172"</v>
      </c>
      <c r="H348" s="40">
        <v>43466</v>
      </c>
      <c r="I348" s="41">
        <v>167172</v>
      </c>
      <c r="J348" s="42" t="str">
        <f>"Vendor"</f>
        <v>Vendor</v>
      </c>
      <c r="K348" s="42" t="str">
        <f>"V100001"</f>
        <v>V100001</v>
      </c>
      <c r="L348" s="42" t="str">
        <f>IF($J348="Customer",_xll.NL("first",$J348,"Name","No.","@@"&amp;$K348),"")</f>
        <v/>
      </c>
      <c r="M348" s="42" t="str">
        <f>"Greigner, Inc."</f>
        <v>Greigner, Inc.</v>
      </c>
      <c r="N348" s="42" t="str">
        <f>IF($J348="Item",_xll.NL("first",$J348,"Description","No.","@@"&amp;$K348),"")</f>
        <v/>
      </c>
      <c r="O348" s="43">
        <v>400</v>
      </c>
      <c r="P348" s="43">
        <v>0</v>
      </c>
      <c r="Q348" s="43">
        <v>0</v>
      </c>
      <c r="R348" s="43">
        <v>0</v>
      </c>
      <c r="S348" s="43">
        <v>0</v>
      </c>
      <c r="T348" s="43">
        <v>0</v>
      </c>
      <c r="U348" s="56"/>
    </row>
    <row r="349" spans="1:21" ht="17.25" customHeight="1" x14ac:dyDescent="0.3">
      <c r="A349" s="15" t="s">
        <v>30</v>
      </c>
      <c r="C349" s="19"/>
      <c r="D349" s="33" t="str">
        <f t="shared" si="80"/>
        <v>C100026</v>
      </c>
      <c r="E349" s="33"/>
      <c r="F349" s="34"/>
      <c r="G349" s="34" t="str">
        <f>"""NAV Direct"",""CRONUS JetCorp USA"",""32"",""1"",""20372"""</f>
        <v>"NAV Direct","CRONUS JetCorp USA","32","1","20372"</v>
      </c>
      <c r="H349" s="40">
        <v>43468</v>
      </c>
      <c r="I349" s="41">
        <v>20372</v>
      </c>
      <c r="J349" s="42" t="str">
        <f>"Customer"</f>
        <v>Customer</v>
      </c>
      <c r="K349" s="42" t="str">
        <f>"C100145"</f>
        <v>C100145</v>
      </c>
      <c r="L349" s="42" t="str">
        <f>IF($J349="Customer",_xll.NL("first",$J349,"Name","No.","@@"&amp;$K349),"")</f>
        <v>Dicon Industries</v>
      </c>
      <c r="M349" s="42" t="str">
        <f>""</f>
        <v/>
      </c>
      <c r="N349" s="42" t="str">
        <f>IF($J349="Item",_xll.NL("first",$J349,"Description","No.","@@"&amp;$K349),"")</f>
        <v/>
      </c>
      <c r="O349" s="43">
        <v>0</v>
      </c>
      <c r="P349" s="43">
        <v>-144</v>
      </c>
      <c r="Q349" s="43">
        <v>0</v>
      </c>
      <c r="R349" s="43">
        <v>0</v>
      </c>
      <c r="S349" s="43">
        <v>0</v>
      </c>
      <c r="T349" s="43">
        <v>0</v>
      </c>
      <c r="U349" s="56"/>
    </row>
    <row r="350" spans="1:21" ht="17.25" customHeight="1" x14ac:dyDescent="0.3">
      <c r="A350" s="15" t="s">
        <v>30</v>
      </c>
      <c r="C350" s="19"/>
      <c r="D350" s="33" t="str">
        <f t="shared" si="80"/>
        <v>C100026</v>
      </c>
      <c r="E350" s="33"/>
      <c r="F350" s="34"/>
      <c r="G350" s="34" t="str">
        <f>"""NAV Direct"",""CRONUS JetCorp USA"",""32"",""1"",""124519"""</f>
        <v>"NAV Direct","CRONUS JetCorp USA","32","1","124519"</v>
      </c>
      <c r="H350" s="40">
        <v>43470</v>
      </c>
      <c r="I350" s="41">
        <v>124519</v>
      </c>
      <c r="J350" s="42" t="str">
        <f>"Customer"</f>
        <v>Customer</v>
      </c>
      <c r="K350" s="42" t="str">
        <f>"C100025"</f>
        <v>C100025</v>
      </c>
      <c r="L350" s="42" t="str">
        <f>IF($J350="Customer",_xll.NL("first",$J350,"Name","No.","@@"&amp;$K350),"")</f>
        <v>Derringers Resturants</v>
      </c>
      <c r="M350" s="42" t="str">
        <f>""</f>
        <v/>
      </c>
      <c r="N350" s="42" t="str">
        <f>IF($J350="Item",_xll.NL("first",$J350,"Description","No.","@@"&amp;$K350),"")</f>
        <v/>
      </c>
      <c r="O350" s="43">
        <v>0</v>
      </c>
      <c r="P350" s="43">
        <v>-6</v>
      </c>
      <c r="Q350" s="43">
        <v>0</v>
      </c>
      <c r="R350" s="43">
        <v>0</v>
      </c>
      <c r="S350" s="43">
        <v>0</v>
      </c>
      <c r="T350" s="43">
        <v>0</v>
      </c>
      <c r="U350" s="56"/>
    </row>
    <row r="351" spans="1:21" ht="17.25" customHeight="1" x14ac:dyDescent="0.3">
      <c r="A351" s="15" t="s">
        <v>30</v>
      </c>
      <c r="C351" s="19"/>
      <c r="D351" s="33" t="str">
        <f t="shared" si="80"/>
        <v>C100026</v>
      </c>
      <c r="E351" s="33"/>
      <c r="F351" s="34"/>
      <c r="G351" s="34" t="str">
        <f>"""NAV Direct"",""CRONUS JetCorp USA"",""32"",""1"",""132511"""</f>
        <v>"NAV Direct","CRONUS JetCorp USA","32","1","132511"</v>
      </c>
      <c r="H351" s="40">
        <v>43470</v>
      </c>
      <c r="I351" s="41">
        <v>132511</v>
      </c>
      <c r="J351" s="42" t="str">
        <f>"Customer"</f>
        <v>Customer</v>
      </c>
      <c r="K351" s="42" t="str">
        <f>"C100029"</f>
        <v>C100029</v>
      </c>
      <c r="L351" s="42" t="str">
        <f>IF($J351="Customer",_xll.NL("first",$J351,"Name","No.","@@"&amp;$K351),"")</f>
        <v>Elkhorn Airport</v>
      </c>
      <c r="M351" s="42" t="str">
        <f>""</f>
        <v/>
      </c>
      <c r="N351" s="42" t="str">
        <f>IF($J351="Item",_xll.NL("first",$J351,"Description","No.","@@"&amp;$K351),"")</f>
        <v/>
      </c>
      <c r="O351" s="43">
        <v>0</v>
      </c>
      <c r="P351" s="43">
        <v>-144</v>
      </c>
      <c r="Q351" s="43">
        <v>0</v>
      </c>
      <c r="R351" s="43">
        <v>0</v>
      </c>
      <c r="S351" s="43">
        <v>0</v>
      </c>
      <c r="T351" s="43">
        <v>0</v>
      </c>
      <c r="U351" s="56"/>
    </row>
    <row r="352" spans="1:21" ht="17.25" customHeight="1" x14ac:dyDescent="0.3">
      <c r="A352" s="15" t="s">
        <v>30</v>
      </c>
      <c r="C352" s="19"/>
      <c r="D352" s="33" t="str">
        <f t="shared" si="80"/>
        <v>C100026</v>
      </c>
      <c r="E352" s="33"/>
      <c r="F352" s="34"/>
      <c r="G352" s="34" t="str">
        <f>"""NAV Direct"",""CRONUS JetCorp USA"",""32"",""1"",""25245"""</f>
        <v>"NAV Direct","CRONUS JetCorp USA","32","1","25245"</v>
      </c>
      <c r="H352" s="40">
        <v>43471</v>
      </c>
      <c r="I352" s="41">
        <v>25245</v>
      </c>
      <c r="J352" s="42" t="str">
        <f>"Customer"</f>
        <v>Customer</v>
      </c>
      <c r="K352" s="42" t="str">
        <f>"C100102"</f>
        <v>C100102</v>
      </c>
      <c r="L352" s="42" t="str">
        <f>IF($J352="Customer",_xll.NL("first",$J352,"Name","No.","@@"&amp;$K352),"")</f>
        <v xml:space="preserve">BEI Outfitters </v>
      </c>
      <c r="M352" s="42" t="str">
        <f>""</f>
        <v/>
      </c>
      <c r="N352" s="42" t="str">
        <f>IF($J352="Item",_xll.NL("first",$J352,"Description","No.","@@"&amp;$K352),"")</f>
        <v/>
      </c>
      <c r="O352" s="43">
        <v>0</v>
      </c>
      <c r="P352" s="43">
        <v>-48</v>
      </c>
      <c r="Q352" s="43">
        <v>0</v>
      </c>
      <c r="R352" s="43">
        <v>0</v>
      </c>
      <c r="S352" s="43">
        <v>0</v>
      </c>
      <c r="T352" s="43">
        <v>0</v>
      </c>
      <c r="U352" s="56"/>
    </row>
    <row r="353" spans="1:21" ht="17.25" customHeight="1" x14ac:dyDescent="0.3">
      <c r="A353" s="15" t="s">
        <v>30</v>
      </c>
      <c r="C353" s="19"/>
      <c r="D353" s="33" t="str">
        <f t="shared" si="80"/>
        <v>C100026</v>
      </c>
      <c r="E353" s="33"/>
      <c r="F353" s="34"/>
      <c r="G353" s="34" t="str">
        <f>"""NAV Direct"",""CRONUS JetCorp USA"",""32"",""1"",""38081"""</f>
        <v>"NAV Direct","CRONUS JetCorp USA","32","1","38081"</v>
      </c>
      <c r="H353" s="40">
        <v>43471</v>
      </c>
      <c r="I353" s="41">
        <v>38081</v>
      </c>
      <c r="J353" s="42" t="str">
        <f>"Customer"</f>
        <v>Customer</v>
      </c>
      <c r="K353" s="42" t="str">
        <f>"C100013"</f>
        <v>C100013</v>
      </c>
      <c r="L353" s="42" t="str">
        <f>IF($J353="Customer",_xll.NL("first",$J353,"Name","No.","@@"&amp;$K353),"")</f>
        <v>Candoxy Kontor A/S</v>
      </c>
      <c r="M353" s="42" t="str">
        <f>""</f>
        <v/>
      </c>
      <c r="N353" s="42" t="str">
        <f>IF($J353="Item",_xll.NL("first",$J353,"Description","No.","@@"&amp;$K353),"")</f>
        <v/>
      </c>
      <c r="O353" s="43">
        <v>0</v>
      </c>
      <c r="P353" s="43">
        <v>-1</v>
      </c>
      <c r="Q353" s="43">
        <v>0</v>
      </c>
      <c r="R353" s="43">
        <v>0</v>
      </c>
      <c r="S353" s="43">
        <v>0</v>
      </c>
      <c r="T353" s="43">
        <v>0</v>
      </c>
      <c r="U353" s="56"/>
    </row>
    <row r="354" spans="1:21" ht="17.25" customHeight="1" x14ac:dyDescent="0.3">
      <c r="A354" s="15" t="s">
        <v>30</v>
      </c>
      <c r="C354" s="19"/>
      <c r="D354" s="33" t="str">
        <f t="shared" si="80"/>
        <v>C100026</v>
      </c>
      <c r="E354" s="33"/>
      <c r="F354" s="34"/>
      <c r="G354" s="34" t="str">
        <f>"""NAV Direct"",""CRONUS JetCorp USA"",""32"",""1"",""128855"""</f>
        <v>"NAV Direct","CRONUS JetCorp USA","32","1","128855"</v>
      </c>
      <c r="H354" s="40">
        <v>43471</v>
      </c>
      <c r="I354" s="41">
        <v>128855</v>
      </c>
      <c r="J354" s="42" t="str">
        <f>"Customer"</f>
        <v>Customer</v>
      </c>
      <c r="K354" s="42" t="str">
        <f>"C100138"</f>
        <v>C100138</v>
      </c>
      <c r="L354" s="42" t="str">
        <f>IF($J354="Customer",_xll.NL("first",$J354,"Name","No.","@@"&amp;$K354),"")</f>
        <v>Dantons</v>
      </c>
      <c r="M354" s="42" t="str">
        <f>""</f>
        <v/>
      </c>
      <c r="N354" s="42" t="str">
        <f>IF($J354="Item",_xll.NL("first",$J354,"Description","No.","@@"&amp;$K354),"")</f>
        <v/>
      </c>
      <c r="O354" s="43">
        <v>0</v>
      </c>
      <c r="P354" s="43">
        <v>-144</v>
      </c>
      <c r="Q354" s="43">
        <v>0</v>
      </c>
      <c r="R354" s="43">
        <v>0</v>
      </c>
      <c r="S354" s="43">
        <v>0</v>
      </c>
      <c r="T354" s="43">
        <v>0</v>
      </c>
      <c r="U354" s="56"/>
    </row>
    <row r="355" spans="1:21" ht="17.25" customHeight="1" x14ac:dyDescent="0.3">
      <c r="A355" s="15" t="s">
        <v>30</v>
      </c>
      <c r="C355" s="19"/>
      <c r="D355" s="33" t="str">
        <f t="shared" si="80"/>
        <v>C100026</v>
      </c>
      <c r="E355" s="33"/>
      <c r="F355" s="34"/>
      <c r="G355" s="34" t="str">
        <f>"""NAV Direct"",""CRONUS JetCorp USA"",""32"",""1"",""44459"""</f>
        <v>"NAV Direct","CRONUS JetCorp USA","32","1","44459"</v>
      </c>
      <c r="H355" s="40">
        <v>43472</v>
      </c>
      <c r="I355" s="41">
        <v>44459</v>
      </c>
      <c r="J355" s="42" t="str">
        <f>"Customer"</f>
        <v>Customer</v>
      </c>
      <c r="K355" s="42" t="str">
        <f>"C100141"</f>
        <v>C100141</v>
      </c>
      <c r="L355" s="42" t="str">
        <f>IF($J355="Customer",_xll.NL("first",$J355,"Name","No.","@@"&amp;$K355),"")</f>
        <v>Bargottis</v>
      </c>
      <c r="M355" s="42" t="str">
        <f>""</f>
        <v/>
      </c>
      <c r="N355" s="42" t="str">
        <f>IF($J355="Item",_xll.NL("first",$J355,"Description","No.","@@"&amp;$K355),"")</f>
        <v/>
      </c>
      <c r="O355" s="43">
        <v>0</v>
      </c>
      <c r="P355" s="43">
        <v>-288</v>
      </c>
      <c r="Q355" s="43">
        <v>0</v>
      </c>
      <c r="R355" s="43">
        <v>0</v>
      </c>
      <c r="S355" s="43">
        <v>0</v>
      </c>
      <c r="T355" s="43">
        <v>0</v>
      </c>
      <c r="U355" s="56"/>
    </row>
    <row r="356" spans="1:21" ht="17.25" customHeight="1" x14ac:dyDescent="0.3">
      <c r="A356" s="15" t="s">
        <v>30</v>
      </c>
      <c r="C356" s="19"/>
      <c r="D356" s="33" t="str">
        <f t="shared" si="80"/>
        <v>C100026</v>
      </c>
      <c r="E356" s="33"/>
      <c r="F356" s="34"/>
      <c r="G356" s="34" t="str">
        <f>"""NAV Direct"",""CRONUS JetCorp USA"",""32"",""1"",""128876"""</f>
        <v>"NAV Direct","CRONUS JetCorp USA","32","1","128876"</v>
      </c>
      <c r="H356" s="40">
        <v>43472</v>
      </c>
      <c r="I356" s="41">
        <v>128876</v>
      </c>
      <c r="J356" s="42" t="str">
        <f>"Customer"</f>
        <v>Customer</v>
      </c>
      <c r="K356" s="42" t="str">
        <f>"C100105"</f>
        <v>C100105</v>
      </c>
      <c r="L356" s="42" t="str">
        <f>IF($J356="Customer",_xll.NL("first",$J356,"Name","No.","@@"&amp;$K356),"")</f>
        <v>Esystems</v>
      </c>
      <c r="M356" s="42" t="str">
        <f>""</f>
        <v/>
      </c>
      <c r="N356" s="42" t="str">
        <f>IF($J356="Item",_xll.NL("first",$J356,"Description","No.","@@"&amp;$K356),"")</f>
        <v/>
      </c>
      <c r="O356" s="43">
        <v>0</v>
      </c>
      <c r="P356" s="43">
        <v>-48</v>
      </c>
      <c r="Q356" s="43">
        <v>0</v>
      </c>
      <c r="R356" s="43">
        <v>0</v>
      </c>
      <c r="S356" s="43">
        <v>0</v>
      </c>
      <c r="T356" s="43">
        <v>0</v>
      </c>
      <c r="U356" s="56"/>
    </row>
    <row r="357" spans="1:21" ht="17.25" customHeight="1" x14ac:dyDescent="0.3">
      <c r="A357" s="15" t="s">
        <v>30</v>
      </c>
      <c r="C357" s="19"/>
      <c r="D357" s="33" t="str">
        <f t="shared" si="80"/>
        <v>C100026</v>
      </c>
      <c r="E357" s="33"/>
      <c r="F357" s="34"/>
      <c r="G357" s="34" t="str">
        <f>"""NAV Direct"",""CRONUS JetCorp USA"",""32"",""1"",""20387"""</f>
        <v>"NAV Direct","CRONUS JetCorp USA","32","1","20387"</v>
      </c>
      <c r="H357" s="40">
        <v>43473</v>
      </c>
      <c r="I357" s="41">
        <v>20387</v>
      </c>
      <c r="J357" s="42" t="str">
        <f>"Customer"</f>
        <v>Customer</v>
      </c>
      <c r="K357" s="42" t="str">
        <f>"C100130"</f>
        <v>C100130</v>
      </c>
      <c r="L357" s="42" t="str">
        <f>IF($J357="Customer",_xll.NL("first",$J357,"Name","No.","@@"&amp;$K357),"")</f>
        <v>Hotspot Systems</v>
      </c>
      <c r="M357" s="42" t="str">
        <f>""</f>
        <v/>
      </c>
      <c r="N357" s="42" t="str">
        <f>IF($J357="Item",_xll.NL("first",$J357,"Description","No.","@@"&amp;$K357),"")</f>
        <v/>
      </c>
      <c r="O357" s="43">
        <v>0</v>
      </c>
      <c r="P357" s="43">
        <v>-144</v>
      </c>
      <c r="Q357" s="43">
        <v>0</v>
      </c>
      <c r="R357" s="43">
        <v>0</v>
      </c>
      <c r="S357" s="43">
        <v>0</v>
      </c>
      <c r="T357" s="43">
        <v>0</v>
      </c>
      <c r="U357" s="56"/>
    </row>
    <row r="358" spans="1:21" ht="17.25" customHeight="1" x14ac:dyDescent="0.3">
      <c r="A358" s="15" t="s">
        <v>30</v>
      </c>
      <c r="C358" s="19"/>
      <c r="D358" s="33" t="str">
        <f t="shared" si="80"/>
        <v>C100026</v>
      </c>
      <c r="E358" s="33"/>
      <c r="F358" s="34"/>
      <c r="G358" s="34" t="str">
        <f>"""NAV Direct"",""CRONUS JetCorp USA"",""32"",""1"",""44518"""</f>
        <v>"NAV Direct","CRONUS JetCorp USA","32","1","44518"</v>
      </c>
      <c r="H358" s="40">
        <v>43473</v>
      </c>
      <c r="I358" s="41">
        <v>44518</v>
      </c>
      <c r="J358" s="42" t="str">
        <f>"Customer"</f>
        <v>Customer</v>
      </c>
      <c r="K358" s="42" t="str">
        <f>"C100139"</f>
        <v>C100139</v>
      </c>
      <c r="L358" s="42" t="str">
        <f>IF($J358="Customer",_xll.NL("first",$J358,"Name","No.","@@"&amp;$K358),"")</f>
        <v>Gamma Ray's</v>
      </c>
      <c r="M358" s="42" t="str">
        <f>""</f>
        <v/>
      </c>
      <c r="N358" s="42" t="str">
        <f>IF($J358="Item",_xll.NL("first",$J358,"Description","No.","@@"&amp;$K358),"")</f>
        <v/>
      </c>
      <c r="O358" s="43">
        <v>0</v>
      </c>
      <c r="P358" s="43">
        <v>-144</v>
      </c>
      <c r="Q358" s="43">
        <v>0</v>
      </c>
      <c r="R358" s="43">
        <v>0</v>
      </c>
      <c r="S358" s="43">
        <v>0</v>
      </c>
      <c r="T358" s="43">
        <v>0</v>
      </c>
      <c r="U358" s="56"/>
    </row>
    <row r="359" spans="1:21" ht="17.25" customHeight="1" x14ac:dyDescent="0.3">
      <c r="A359" s="15" t="s">
        <v>30</v>
      </c>
      <c r="C359" s="19"/>
      <c r="D359" s="33" t="str">
        <f t="shared" si="80"/>
        <v>C100026</v>
      </c>
      <c r="E359" s="33"/>
      <c r="F359" s="34"/>
      <c r="G359" s="34" t="str">
        <f>"""NAV Direct"",""CRONUS JetCorp USA"",""32"",""1"",""30059"""</f>
        <v>"NAV Direct","CRONUS JetCorp USA","32","1","30059"</v>
      </c>
      <c r="H359" s="40">
        <v>43474</v>
      </c>
      <c r="I359" s="41">
        <v>30059</v>
      </c>
      <c r="J359" s="42" t="str">
        <f>"Customer"</f>
        <v>Customer</v>
      </c>
      <c r="K359" s="42" t="str">
        <f>"C100086"</f>
        <v>C100086</v>
      </c>
      <c r="L359" s="42" t="str">
        <f>IF($J359="Customer",_xll.NL("first",$J359,"Name","No.","@@"&amp;$K359),"")</f>
        <v>Top Action Sports</v>
      </c>
      <c r="M359" s="42" t="str">
        <f>""</f>
        <v/>
      </c>
      <c r="N359" s="42" t="str">
        <f>IF($J359="Item",_xll.NL("first",$J359,"Description","No.","@@"&amp;$K359),"")</f>
        <v/>
      </c>
      <c r="O359" s="43">
        <v>0</v>
      </c>
      <c r="P359" s="43">
        <v>-432</v>
      </c>
      <c r="Q359" s="43">
        <v>0</v>
      </c>
      <c r="R359" s="43">
        <v>0</v>
      </c>
      <c r="S359" s="43">
        <v>0</v>
      </c>
      <c r="T359" s="43">
        <v>0</v>
      </c>
      <c r="U359" s="56"/>
    </row>
    <row r="360" spans="1:21" ht="17.25" customHeight="1" x14ac:dyDescent="0.3">
      <c r="A360" s="15" t="s">
        <v>30</v>
      </c>
      <c r="C360" s="19"/>
      <c r="D360" s="33" t="str">
        <f t="shared" si="80"/>
        <v>C100026</v>
      </c>
      <c r="E360" s="33"/>
      <c r="F360" s="34"/>
      <c r="G360" s="34" t="str">
        <f>"""NAV Direct"",""CRONUS JetCorp USA"",""32"",""1"",""124530"""</f>
        <v>"NAV Direct","CRONUS JetCorp USA","32","1","124530"</v>
      </c>
      <c r="H360" s="40">
        <v>43474</v>
      </c>
      <c r="I360" s="41">
        <v>124530</v>
      </c>
      <c r="J360" s="42" t="str">
        <f>"Customer"</f>
        <v>Customer</v>
      </c>
      <c r="K360" s="42" t="str">
        <f>"C100145"</f>
        <v>C100145</v>
      </c>
      <c r="L360" s="42" t="str">
        <f>IF($J360="Customer",_xll.NL("first",$J360,"Name","No.","@@"&amp;$K360),"")</f>
        <v>Dicon Industries</v>
      </c>
      <c r="M360" s="42" t="str">
        <f>""</f>
        <v/>
      </c>
      <c r="N360" s="42" t="str">
        <f>IF($J360="Item",_xll.NL("first",$J360,"Description","No.","@@"&amp;$K360),"")</f>
        <v/>
      </c>
      <c r="O360" s="43">
        <v>0</v>
      </c>
      <c r="P360" s="43">
        <v>-144</v>
      </c>
      <c r="Q360" s="43">
        <v>0</v>
      </c>
      <c r="R360" s="43">
        <v>0</v>
      </c>
      <c r="S360" s="43">
        <v>0</v>
      </c>
      <c r="T360" s="43">
        <v>0</v>
      </c>
      <c r="U360" s="56"/>
    </row>
    <row r="361" spans="1:21" ht="17.25" customHeight="1" x14ac:dyDescent="0.3">
      <c r="A361" s="15" t="s">
        <v>30</v>
      </c>
      <c r="C361" s="19"/>
      <c r="D361" s="33" t="str">
        <f t="shared" si="80"/>
        <v>C100026</v>
      </c>
      <c r="E361" s="33"/>
      <c r="F361" s="34"/>
      <c r="G361" s="34" t="str">
        <f>"""NAV Direct"",""CRONUS JetCorp USA"",""32"",""1"",""30105"""</f>
        <v>"NAV Direct","CRONUS JetCorp USA","32","1","30105"</v>
      </c>
      <c r="H361" s="40">
        <v>43475</v>
      </c>
      <c r="I361" s="41">
        <v>30105</v>
      </c>
      <c r="J361" s="42" t="str">
        <f>"Customer"</f>
        <v>Customer</v>
      </c>
      <c r="K361" s="42" t="str">
        <f>"C100012"</f>
        <v>C100012</v>
      </c>
      <c r="L361" s="42" t="str">
        <f>IF($J361="Customer",_xll.NL("first",$J361,"Name","No.","@@"&amp;$K361),"")</f>
        <v>Bainbridges</v>
      </c>
      <c r="M361" s="42" t="str">
        <f>""</f>
        <v/>
      </c>
      <c r="N361" s="42" t="str">
        <f>IF($J361="Item",_xll.NL("first",$J361,"Description","No.","@@"&amp;$K361),"")</f>
        <v/>
      </c>
      <c r="O361" s="43">
        <v>0</v>
      </c>
      <c r="P361" s="43">
        <v>-432</v>
      </c>
      <c r="Q361" s="43">
        <v>0</v>
      </c>
      <c r="R361" s="43">
        <v>0</v>
      </c>
      <c r="S361" s="43">
        <v>0</v>
      </c>
      <c r="T361" s="43">
        <v>0</v>
      </c>
      <c r="U361" s="56"/>
    </row>
    <row r="362" spans="1:21" ht="17.25" customHeight="1" x14ac:dyDescent="0.3">
      <c r="A362" s="15" t="s">
        <v>30</v>
      </c>
      <c r="C362" s="19"/>
      <c r="D362" s="33" t="str">
        <f t="shared" si="80"/>
        <v>C100026</v>
      </c>
      <c r="E362" s="33"/>
      <c r="F362" s="34"/>
      <c r="G362" s="34" t="str">
        <f>"""NAV Direct"",""CRONUS JetCorp USA"",""32"",""1"",""34334"""</f>
        <v>"NAV Direct","CRONUS JetCorp USA","32","1","34334"</v>
      </c>
      <c r="H362" s="40">
        <v>43475</v>
      </c>
      <c r="I362" s="41">
        <v>34334</v>
      </c>
      <c r="J362" s="42" t="str">
        <f>"Customer"</f>
        <v>Customer</v>
      </c>
      <c r="K362" s="42" t="str">
        <f>"C100008"</f>
        <v>C100008</v>
      </c>
      <c r="L362" s="42" t="str">
        <f>IF($J362="Customer",_xll.NL("first",$J362,"Name","No.","@@"&amp;$K362),"")</f>
        <v>Blanemark Hifi Shop</v>
      </c>
      <c r="M362" s="42" t="str">
        <f>""</f>
        <v/>
      </c>
      <c r="N362" s="42" t="str">
        <f>IF($J362="Item",_xll.NL("first",$J362,"Description","No.","@@"&amp;$K362),"")</f>
        <v/>
      </c>
      <c r="O362" s="43">
        <v>0</v>
      </c>
      <c r="P362" s="43">
        <v>-144</v>
      </c>
      <c r="Q362" s="43">
        <v>0</v>
      </c>
      <c r="R362" s="43">
        <v>0</v>
      </c>
      <c r="S362" s="43">
        <v>0</v>
      </c>
      <c r="T362" s="43">
        <v>0</v>
      </c>
      <c r="U362" s="56"/>
    </row>
    <row r="363" spans="1:21" ht="17.25" customHeight="1" x14ac:dyDescent="0.3">
      <c r="A363" s="15" t="s">
        <v>30</v>
      </c>
      <c r="C363" s="19"/>
      <c r="D363" s="33" t="str">
        <f t="shared" si="80"/>
        <v>C100026</v>
      </c>
      <c r="E363" s="33"/>
      <c r="F363" s="34"/>
      <c r="G363" s="34" t="str">
        <f>"""NAV Direct"",""CRONUS JetCorp USA"",""32"",""1"",""153182"""</f>
        <v>"NAV Direct","CRONUS JetCorp USA","32","1","153182"</v>
      </c>
      <c r="H363" s="40">
        <v>43475</v>
      </c>
      <c r="I363" s="41">
        <v>153182</v>
      </c>
      <c r="J363" s="42" t="str">
        <f>"Customer"</f>
        <v>Customer</v>
      </c>
      <c r="K363" s="42" t="str">
        <f>"C100108"</f>
        <v>C100108</v>
      </c>
      <c r="L363" s="42" t="str">
        <f>IF($J363="Customer",_xll.NL("first",$J363,"Name","No.","@@"&amp;$K363),"")</f>
        <v>Kinfix Industries</v>
      </c>
      <c r="M363" s="42" t="str">
        <f>""</f>
        <v/>
      </c>
      <c r="N363" s="42" t="str">
        <f>IF($J363="Item",_xll.NL("first",$J363,"Description","No.","@@"&amp;$K363),"")</f>
        <v/>
      </c>
      <c r="O363" s="43">
        <v>0</v>
      </c>
      <c r="P363" s="43">
        <v>-144</v>
      </c>
      <c r="Q363" s="43">
        <v>0</v>
      </c>
      <c r="R363" s="43">
        <v>0</v>
      </c>
      <c r="S363" s="43">
        <v>0</v>
      </c>
      <c r="T363" s="43">
        <v>0</v>
      </c>
      <c r="U363" s="56"/>
    </row>
    <row r="364" spans="1:21" ht="17.25" customHeight="1" x14ac:dyDescent="0.3">
      <c r="A364" s="15" t="s">
        <v>30</v>
      </c>
      <c r="C364" s="19"/>
      <c r="D364" s="33" t="str">
        <f t="shared" si="80"/>
        <v>C100026</v>
      </c>
      <c r="E364" s="33"/>
      <c r="F364" s="34"/>
      <c r="G364" s="34" t="str">
        <f>"""NAV Direct"",""CRONUS JetCorp USA"",""32"",""1"",""20403"""</f>
        <v>"NAV Direct","CRONUS JetCorp USA","32","1","20403"</v>
      </c>
      <c r="H364" s="40">
        <v>43477</v>
      </c>
      <c r="I364" s="41">
        <v>20403</v>
      </c>
      <c r="J364" s="42" t="str">
        <f>"Customer"</f>
        <v>Customer</v>
      </c>
      <c r="K364" s="42" t="str">
        <f>"C100039"</f>
        <v>C100039</v>
      </c>
      <c r="L364" s="42" t="str">
        <f>IF($J364="Customer",_xll.NL("first",$J364,"Name","No.","@@"&amp;$K364),"")</f>
        <v>Gary's Sports</v>
      </c>
      <c r="M364" s="42" t="str">
        <f>""</f>
        <v/>
      </c>
      <c r="N364" s="42" t="str">
        <f>IF($J364="Item",_xll.NL("first",$J364,"Description","No.","@@"&amp;$K364),"")</f>
        <v/>
      </c>
      <c r="O364" s="43">
        <v>0</v>
      </c>
      <c r="P364" s="43">
        <v>-144</v>
      </c>
      <c r="Q364" s="43">
        <v>0</v>
      </c>
      <c r="R364" s="43">
        <v>0</v>
      </c>
      <c r="S364" s="43">
        <v>0</v>
      </c>
      <c r="T364" s="43">
        <v>0</v>
      </c>
      <c r="U364" s="56"/>
    </row>
    <row r="365" spans="1:21" ht="17.25" customHeight="1" x14ac:dyDescent="0.3">
      <c r="A365" s="15" t="s">
        <v>30</v>
      </c>
      <c r="C365" s="19"/>
      <c r="D365" s="33" t="str">
        <f t="shared" si="80"/>
        <v>C100026</v>
      </c>
      <c r="E365" s="33"/>
      <c r="F365" s="34"/>
      <c r="G365" s="34" t="str">
        <f>"""NAV Direct"",""CRONUS JetCorp USA"",""32"",""1"",""25293"""</f>
        <v>"NAV Direct","CRONUS JetCorp USA","32","1","25293"</v>
      </c>
      <c r="H365" s="40">
        <v>43477</v>
      </c>
      <c r="I365" s="41">
        <v>25293</v>
      </c>
      <c r="J365" s="42" t="str">
        <f>"Customer"</f>
        <v>Customer</v>
      </c>
      <c r="K365" s="42" t="str">
        <f>"C100138"</f>
        <v>C100138</v>
      </c>
      <c r="L365" s="42" t="str">
        <f>IF($J365="Customer",_xll.NL("first",$J365,"Name","No.","@@"&amp;$K365),"")</f>
        <v>Dantons</v>
      </c>
      <c r="M365" s="42" t="str">
        <f>""</f>
        <v/>
      </c>
      <c r="N365" s="42" t="str">
        <f>IF($J365="Item",_xll.NL("first",$J365,"Description","No.","@@"&amp;$K365),"")</f>
        <v/>
      </c>
      <c r="O365" s="43">
        <v>0</v>
      </c>
      <c r="P365" s="43">
        <v>-144</v>
      </c>
      <c r="Q365" s="43">
        <v>0</v>
      </c>
      <c r="R365" s="43">
        <v>0</v>
      </c>
      <c r="S365" s="43">
        <v>0</v>
      </c>
      <c r="T365" s="43">
        <v>0</v>
      </c>
      <c r="U365" s="56"/>
    </row>
    <row r="366" spans="1:21" ht="17.25" customHeight="1" x14ac:dyDescent="0.3">
      <c r="A366" s="15" t="s">
        <v>30</v>
      </c>
      <c r="C366" s="19"/>
      <c r="D366" s="33" t="str">
        <f t="shared" si="80"/>
        <v>C100026</v>
      </c>
      <c r="E366" s="33"/>
      <c r="F366" s="34"/>
      <c r="G366" s="34" t="str">
        <f>"""NAV Direct"",""CRONUS JetCorp USA"",""32"",""1"",""158196"""</f>
        <v>"NAV Direct","CRONUS JetCorp USA","32","1","158196"</v>
      </c>
      <c r="H366" s="40">
        <v>43477</v>
      </c>
      <c r="I366" s="41">
        <v>158196</v>
      </c>
      <c r="J366" s="42" t="str">
        <f>"Customer"</f>
        <v>Customer</v>
      </c>
      <c r="K366" s="42" t="str">
        <f>"C100059"</f>
        <v>C100059</v>
      </c>
      <c r="L366" s="42" t="str">
        <f>IF($J366="Customer",_xll.NL("first",$J366,"Name","No.","@@"&amp;$K366),"")</f>
        <v>Meersen Meubelen</v>
      </c>
      <c r="M366" s="42" t="str">
        <f>""</f>
        <v/>
      </c>
      <c r="N366" s="42" t="str">
        <f>IF($J366="Item",_xll.NL("first",$J366,"Description","No.","@@"&amp;$K366),"")</f>
        <v/>
      </c>
      <c r="O366" s="43">
        <v>0</v>
      </c>
      <c r="P366" s="43">
        <v>48</v>
      </c>
      <c r="Q366" s="43">
        <v>0</v>
      </c>
      <c r="R366" s="43">
        <v>0</v>
      </c>
      <c r="S366" s="43">
        <v>0</v>
      </c>
      <c r="T366" s="43">
        <v>0</v>
      </c>
      <c r="U366" s="56"/>
    </row>
    <row r="367" spans="1:21" ht="17.25" customHeight="1" x14ac:dyDescent="0.3">
      <c r="A367" s="15" t="s">
        <v>30</v>
      </c>
      <c r="C367" s="19"/>
      <c r="D367" s="33"/>
      <c r="E367" s="33"/>
      <c r="F367" s="34"/>
      <c r="G367" s="34"/>
      <c r="H367" s="34"/>
      <c r="I367" s="34"/>
      <c r="J367" s="34"/>
      <c r="K367" s="34"/>
      <c r="L367" s="34"/>
      <c r="M367" s="34"/>
      <c r="N367" s="34"/>
      <c r="O367" s="44"/>
      <c r="P367" s="44"/>
      <c r="Q367" s="44"/>
      <c r="R367" s="44"/>
      <c r="S367" s="44"/>
      <c r="T367" s="44"/>
      <c r="U367" s="57"/>
    </row>
    <row r="368" spans="1:21" ht="17.25" customHeight="1" x14ac:dyDescent="0.3">
      <c r="A368" s="15" t="s">
        <v>30</v>
      </c>
      <c r="C368" s="19"/>
      <c r="D368" s="33"/>
      <c r="E368" s="33" t="s">
        <v>31</v>
      </c>
      <c r="F368" s="34" t="s">
        <v>31</v>
      </c>
      <c r="G368" s="34" t="s">
        <v>31</v>
      </c>
      <c r="H368" s="34"/>
      <c r="I368" s="34"/>
      <c r="J368" s="34" t="s">
        <v>31</v>
      </c>
      <c r="K368" s="34" t="s">
        <v>31</v>
      </c>
      <c r="L368" s="34" t="s">
        <v>31</v>
      </c>
      <c r="M368" s="34" t="s">
        <v>31</v>
      </c>
      <c r="N368" s="34"/>
      <c r="U368" s="58"/>
    </row>
    <row r="369" spans="1:21" ht="20.25" customHeight="1" x14ac:dyDescent="0.35">
      <c r="A369" s="15" t="s">
        <v>30</v>
      </c>
      <c r="C369" s="19"/>
      <c r="D369" s="35" t="str">
        <f t="shared" ref="D369" si="81">E369</f>
        <v>C100027</v>
      </c>
      <c r="E369" s="36" t="str">
        <f>"C100027"</f>
        <v>C100027</v>
      </c>
      <c r="F369" s="37" t="str">
        <f>"Pique Visor"</f>
        <v>Pique Visor</v>
      </c>
      <c r="G369" s="37"/>
      <c r="H369" s="38" t="str">
        <f>"EA"</f>
        <v>EA</v>
      </c>
      <c r="I369" s="37"/>
      <c r="J369" s="37"/>
      <c r="K369" s="37"/>
      <c r="L369" s="37"/>
      <c r="M369" s="37"/>
      <c r="N369" s="37"/>
      <c r="O369" s="39">
        <f>(SUBTOTAL(9,O370:O381))</f>
        <v>4000</v>
      </c>
      <c r="P369" s="39">
        <f>(SUBTOTAL(9,P370:P381))</f>
        <v>-1778</v>
      </c>
      <c r="Q369" s="39">
        <f>(SUBTOTAL(9,Q370:Q381))</f>
        <v>0</v>
      </c>
      <c r="R369" s="39">
        <f>(SUBTOTAL(9,R370:R381))</f>
        <v>0</v>
      </c>
      <c r="S369" s="39">
        <f>(SUBTOTAL(9,S370:S381))</f>
        <v>0</v>
      </c>
      <c r="T369" s="39">
        <f>(SUBTOTAL(9,T370:T381))</f>
        <v>0</v>
      </c>
      <c r="U369" s="55">
        <f t="shared" ref="U369" si="82">SUBTOTAL(9,O370:T381)</f>
        <v>2222</v>
      </c>
    </row>
    <row r="370" spans="1:21" ht="17.25" customHeight="1" x14ac:dyDescent="0.3">
      <c r="A370" s="15" t="s">
        <v>30</v>
      </c>
      <c r="C370" s="19"/>
      <c r="D370" s="33" t="str">
        <f t="shared" ref="D370" si="83">D369</f>
        <v>C100027</v>
      </c>
      <c r="E370" s="33"/>
      <c r="F370" s="34"/>
      <c r="G370" s="34" t="str">
        <f>"""NAV Direct"",""CRONUS JetCorp USA"",""32"",""1"",""167101"""</f>
        <v>"NAV Direct","CRONUS JetCorp USA","32","1","167101"</v>
      </c>
      <c r="H370" s="40">
        <v>43466</v>
      </c>
      <c r="I370" s="41">
        <v>167101</v>
      </c>
      <c r="J370" s="42" t="str">
        <f>"Vendor"</f>
        <v>Vendor</v>
      </c>
      <c r="K370" s="42" t="str">
        <f>"V100040"</f>
        <v>V100040</v>
      </c>
      <c r="L370" s="42" t="str">
        <f>IF($J370="Customer",_xll.NL("first",$J370,"Name","No.","@@"&amp;$K370),"")</f>
        <v/>
      </c>
      <c r="M370" s="42" t="str">
        <f>"Technische Betriebe Rotkreuz"</f>
        <v>Technische Betriebe Rotkreuz</v>
      </c>
      <c r="N370" s="42" t="str">
        <f>IF($J370="Item",_xll.NL("first",$J370,"Description","No.","@@"&amp;$K370),"")</f>
        <v/>
      </c>
      <c r="O370" s="43">
        <v>800</v>
      </c>
      <c r="P370" s="43">
        <v>0</v>
      </c>
      <c r="Q370" s="43">
        <v>0</v>
      </c>
      <c r="R370" s="43">
        <v>0</v>
      </c>
      <c r="S370" s="43">
        <v>0</v>
      </c>
      <c r="T370" s="43">
        <v>0</v>
      </c>
      <c r="U370" s="56"/>
    </row>
    <row r="371" spans="1:21" ht="17.25" customHeight="1" x14ac:dyDescent="0.3">
      <c r="A371" s="15" t="s">
        <v>30</v>
      </c>
      <c r="C371" s="19"/>
      <c r="D371" s="33" t="str">
        <f t="shared" ref="D371:D380" si="84">D370</f>
        <v>C100027</v>
      </c>
      <c r="E371" s="33"/>
      <c r="F371" s="34"/>
      <c r="G371" s="34" t="str">
        <f>"""NAV Direct"",""CRONUS JetCorp USA"",""32"",""1"",""167121"""</f>
        <v>"NAV Direct","CRONUS JetCorp USA","32","1","167121"</v>
      </c>
      <c r="H371" s="40">
        <v>43466</v>
      </c>
      <c r="I371" s="41">
        <v>167121</v>
      </c>
      <c r="J371" s="42" t="str">
        <f>"Vendor"</f>
        <v>Vendor</v>
      </c>
      <c r="K371" s="42" t="str">
        <f>"V100007"</f>
        <v>V100007</v>
      </c>
      <c r="L371" s="42" t="str">
        <f>IF($J371="Customer",_xll.NL("first",$J371,"Name","No.","@@"&amp;$K371),"")</f>
        <v/>
      </c>
      <c r="M371" s="42" t="str">
        <f>"TrendTech"</f>
        <v>TrendTech</v>
      </c>
      <c r="N371" s="42" t="str">
        <f>IF($J371="Item",_xll.NL("first",$J371,"Description","No.","@@"&amp;$K371),"")</f>
        <v/>
      </c>
      <c r="O371" s="43">
        <v>800</v>
      </c>
      <c r="P371" s="43">
        <v>0</v>
      </c>
      <c r="Q371" s="43">
        <v>0</v>
      </c>
      <c r="R371" s="43">
        <v>0</v>
      </c>
      <c r="S371" s="43">
        <v>0</v>
      </c>
      <c r="T371" s="43">
        <v>0</v>
      </c>
      <c r="U371" s="56"/>
    </row>
    <row r="372" spans="1:21" ht="17.25" customHeight="1" x14ac:dyDescent="0.3">
      <c r="A372" s="15" t="s">
        <v>30</v>
      </c>
      <c r="C372" s="19"/>
      <c r="D372" s="33" t="str">
        <f t="shared" si="84"/>
        <v>C100027</v>
      </c>
      <c r="E372" s="33"/>
      <c r="F372" s="34"/>
      <c r="G372" s="34" t="str">
        <f>"""NAV Direct"",""CRONUS JetCorp USA"",""32"",""1"",""167140"""</f>
        <v>"NAV Direct","CRONUS JetCorp USA","32","1","167140"</v>
      </c>
      <c r="H372" s="40">
        <v>43466</v>
      </c>
      <c r="I372" s="41">
        <v>167140</v>
      </c>
      <c r="J372" s="42" t="str">
        <f>"Vendor"</f>
        <v>Vendor</v>
      </c>
      <c r="K372" s="42" t="str">
        <f>"V100001"</f>
        <v>V100001</v>
      </c>
      <c r="L372" s="42" t="str">
        <f>IF($J372="Customer",_xll.NL("first",$J372,"Name","No.","@@"&amp;$K372),"")</f>
        <v/>
      </c>
      <c r="M372" s="42" t="str">
        <f>"Greigner, Inc."</f>
        <v>Greigner, Inc.</v>
      </c>
      <c r="N372" s="42" t="str">
        <f>IF($J372="Item",_xll.NL("first",$J372,"Description","No.","@@"&amp;$K372),"")</f>
        <v/>
      </c>
      <c r="O372" s="43">
        <v>2400</v>
      </c>
      <c r="P372" s="43">
        <v>0</v>
      </c>
      <c r="Q372" s="43">
        <v>0</v>
      </c>
      <c r="R372" s="43">
        <v>0</v>
      </c>
      <c r="S372" s="43">
        <v>0</v>
      </c>
      <c r="T372" s="43">
        <v>0</v>
      </c>
      <c r="U372" s="56"/>
    </row>
    <row r="373" spans="1:21" ht="17.25" customHeight="1" x14ac:dyDescent="0.3">
      <c r="A373" s="15" t="s">
        <v>30</v>
      </c>
      <c r="C373" s="19"/>
      <c r="D373" s="33" t="str">
        <f t="shared" si="84"/>
        <v>C100027</v>
      </c>
      <c r="E373" s="33"/>
      <c r="F373" s="34"/>
      <c r="G373" s="34" t="str">
        <f>"""NAV Direct"",""CRONUS JetCorp USA"",""32"",""1"",""128849"""</f>
        <v>"NAV Direct","CRONUS JetCorp USA","32","1","128849"</v>
      </c>
      <c r="H373" s="40">
        <v>43471</v>
      </c>
      <c r="I373" s="41">
        <v>128849</v>
      </c>
      <c r="J373" s="42" t="str">
        <f>"Customer"</f>
        <v>Customer</v>
      </c>
      <c r="K373" s="42" t="str">
        <f>"C100138"</f>
        <v>C100138</v>
      </c>
      <c r="L373" s="42" t="str">
        <f>IF($J373="Customer",_xll.NL("first",$J373,"Name","No.","@@"&amp;$K373),"")</f>
        <v>Dantons</v>
      </c>
      <c r="M373" s="42" t="str">
        <f>""</f>
        <v/>
      </c>
      <c r="N373" s="42" t="str">
        <f>IF($J373="Item",_xll.NL("first",$J373,"Description","No.","@@"&amp;$K373),"")</f>
        <v/>
      </c>
      <c r="O373" s="43">
        <v>0</v>
      </c>
      <c r="P373" s="43">
        <v>-432</v>
      </c>
      <c r="Q373" s="43">
        <v>0</v>
      </c>
      <c r="R373" s="43">
        <v>0</v>
      </c>
      <c r="S373" s="43">
        <v>0</v>
      </c>
      <c r="T373" s="43">
        <v>0</v>
      </c>
      <c r="U373" s="56"/>
    </row>
    <row r="374" spans="1:21" ht="17.25" customHeight="1" x14ac:dyDescent="0.3">
      <c r="A374" s="15" t="s">
        <v>30</v>
      </c>
      <c r="C374" s="19"/>
      <c r="D374" s="33" t="str">
        <f t="shared" si="84"/>
        <v>C100027</v>
      </c>
      <c r="E374" s="33"/>
      <c r="F374" s="34"/>
      <c r="G374" s="34" t="str">
        <f>"""NAV Direct"",""CRONUS JetCorp USA"",""32"",""1"",""20380"""</f>
        <v>"NAV Direct","CRONUS JetCorp USA","32","1","20380"</v>
      </c>
      <c r="H374" s="40">
        <v>43473</v>
      </c>
      <c r="I374" s="41">
        <v>20380</v>
      </c>
      <c r="J374" s="42" t="str">
        <f>"Customer"</f>
        <v>Customer</v>
      </c>
      <c r="K374" s="42" t="str">
        <f>"C100130"</f>
        <v>C100130</v>
      </c>
      <c r="L374" s="42" t="str">
        <f>IF($J374="Customer",_xll.NL("first",$J374,"Name","No.","@@"&amp;$K374),"")</f>
        <v>Hotspot Systems</v>
      </c>
      <c r="M374" s="42" t="str">
        <f>""</f>
        <v/>
      </c>
      <c r="N374" s="42" t="str">
        <f>IF($J374="Item",_xll.NL("first",$J374,"Description","No.","@@"&amp;$K374),"")</f>
        <v/>
      </c>
      <c r="O374" s="43">
        <v>0</v>
      </c>
      <c r="P374" s="43">
        <v>-288</v>
      </c>
      <c r="Q374" s="43">
        <v>0</v>
      </c>
      <c r="R374" s="43">
        <v>0</v>
      </c>
      <c r="S374" s="43">
        <v>0</v>
      </c>
      <c r="T374" s="43">
        <v>0</v>
      </c>
      <c r="U374" s="56"/>
    </row>
    <row r="375" spans="1:21" ht="17.25" customHeight="1" x14ac:dyDescent="0.3">
      <c r="A375" s="15" t="s">
        <v>30</v>
      </c>
      <c r="C375" s="19"/>
      <c r="D375" s="33" t="str">
        <f t="shared" si="84"/>
        <v>C100027</v>
      </c>
      <c r="E375" s="33"/>
      <c r="F375" s="34"/>
      <c r="G375" s="34" t="str">
        <f>"""NAV Direct"",""CRONUS JetCorp USA"",""32"",""1"",""124538"""</f>
        <v>"NAV Direct","CRONUS JetCorp USA","32","1","124538"</v>
      </c>
      <c r="H375" s="40">
        <v>43473</v>
      </c>
      <c r="I375" s="41">
        <v>124538</v>
      </c>
      <c r="J375" s="42" t="str">
        <f>"Customer"</f>
        <v>Customer</v>
      </c>
      <c r="K375" s="42" t="str">
        <f>"C100035"</f>
        <v>C100035</v>
      </c>
      <c r="L375" s="42" t="str">
        <f>IF($J375="Customer",_xll.NL("first",$J375,"Name","No.","@@"&amp;$K375),"")</f>
        <v>First Touch Marketing</v>
      </c>
      <c r="M375" s="42" t="str">
        <f>""</f>
        <v/>
      </c>
      <c r="N375" s="42" t="str">
        <f>IF($J375="Item",_xll.NL("first",$J375,"Description","No.","@@"&amp;$K375),"")</f>
        <v/>
      </c>
      <c r="O375" s="43">
        <v>0</v>
      </c>
      <c r="P375" s="43">
        <v>-288</v>
      </c>
      <c r="Q375" s="43">
        <v>0</v>
      </c>
      <c r="R375" s="43">
        <v>0</v>
      </c>
      <c r="S375" s="43">
        <v>0</v>
      </c>
      <c r="T375" s="43">
        <v>0</v>
      </c>
      <c r="U375" s="56"/>
    </row>
    <row r="376" spans="1:21" ht="17.25" customHeight="1" x14ac:dyDescent="0.3">
      <c r="A376" s="15" t="s">
        <v>30</v>
      </c>
      <c r="C376" s="19"/>
      <c r="D376" s="33" t="str">
        <f t="shared" si="84"/>
        <v>C100027</v>
      </c>
      <c r="E376" s="33"/>
      <c r="F376" s="34"/>
      <c r="G376" s="34" t="str">
        <f>"""NAV Direct"",""CRONUS JetCorp USA"",""32"",""1"",""30048"""</f>
        <v>"NAV Direct","CRONUS JetCorp USA","32","1","30048"</v>
      </c>
      <c r="H376" s="40">
        <v>43474</v>
      </c>
      <c r="I376" s="41">
        <v>30048</v>
      </c>
      <c r="J376" s="42" t="str">
        <f>"Customer"</f>
        <v>Customer</v>
      </c>
      <c r="K376" s="42" t="str">
        <f>"C100086"</f>
        <v>C100086</v>
      </c>
      <c r="L376" s="42" t="str">
        <f>IF($J376="Customer",_xll.NL("first",$J376,"Name","No.","@@"&amp;$K376),"")</f>
        <v>Top Action Sports</v>
      </c>
      <c r="M376" s="42" t="str">
        <f>""</f>
        <v/>
      </c>
      <c r="N376" s="42" t="str">
        <f>IF($J376="Item",_xll.NL("first",$J376,"Description","No.","@@"&amp;$K376),"")</f>
        <v/>
      </c>
      <c r="O376" s="43">
        <v>0</v>
      </c>
      <c r="P376" s="43">
        <v>-145</v>
      </c>
      <c r="Q376" s="43">
        <v>0</v>
      </c>
      <c r="R376" s="43">
        <v>0</v>
      </c>
      <c r="S376" s="43">
        <v>0</v>
      </c>
      <c r="T376" s="43">
        <v>0</v>
      </c>
      <c r="U376" s="56"/>
    </row>
    <row r="377" spans="1:21" ht="17.25" customHeight="1" x14ac:dyDescent="0.3">
      <c r="A377" s="15" t="s">
        <v>30</v>
      </c>
      <c r="C377" s="19"/>
      <c r="D377" s="33" t="str">
        <f t="shared" si="84"/>
        <v>C100027</v>
      </c>
      <c r="E377" s="33"/>
      <c r="F377" s="34"/>
      <c r="G377" s="34" t="str">
        <f>"""NAV Direct"",""CRONUS JetCorp USA"",""32"",""1"",""20354"""</f>
        <v>"NAV Direct","CRONUS JetCorp USA","32","1","20354"</v>
      </c>
      <c r="H377" s="40">
        <v>43475</v>
      </c>
      <c r="I377" s="41">
        <v>20354</v>
      </c>
      <c r="J377" s="42" t="str">
        <f>"Customer"</f>
        <v>Customer</v>
      </c>
      <c r="K377" s="42" t="str">
        <f>"C100097"</f>
        <v>C100097</v>
      </c>
      <c r="L377" s="42" t="str">
        <f>IF($J377="Customer",_xll.NL("first",$J377,"Name","No.","@@"&amp;$K377),"")</f>
        <v>Solotech</v>
      </c>
      <c r="M377" s="42" t="str">
        <f>""</f>
        <v/>
      </c>
      <c r="N377" s="42" t="str">
        <f>IF($J377="Item",_xll.NL("first",$J377,"Description","No.","@@"&amp;$K377),"")</f>
        <v/>
      </c>
      <c r="O377" s="43">
        <v>0</v>
      </c>
      <c r="P377" s="43">
        <v>-144</v>
      </c>
      <c r="Q377" s="43">
        <v>0</v>
      </c>
      <c r="R377" s="43">
        <v>0</v>
      </c>
      <c r="S377" s="43">
        <v>0</v>
      </c>
      <c r="T377" s="43">
        <v>0</v>
      </c>
      <c r="U377" s="56"/>
    </row>
    <row r="378" spans="1:21" ht="17.25" customHeight="1" x14ac:dyDescent="0.3">
      <c r="A378" s="15" t="s">
        <v>30</v>
      </c>
      <c r="C378" s="19"/>
      <c r="D378" s="33" t="str">
        <f t="shared" si="84"/>
        <v>C100027</v>
      </c>
      <c r="E378" s="33"/>
      <c r="F378" s="34"/>
      <c r="G378" s="34" t="str">
        <f>"""NAV Direct"",""CRONUS JetCorp USA"",""32"",""1"",""124587"""</f>
        <v>"NAV Direct","CRONUS JetCorp USA","32","1","124587"</v>
      </c>
      <c r="H378" s="40">
        <v>43475</v>
      </c>
      <c r="I378" s="41">
        <v>124587</v>
      </c>
      <c r="J378" s="42" t="str">
        <f>"Customer"</f>
        <v>Customer</v>
      </c>
      <c r="K378" s="42" t="str">
        <f>"C100035"</f>
        <v>C100035</v>
      </c>
      <c r="L378" s="42" t="str">
        <f>IF($J378="Customer",_xll.NL("first",$J378,"Name","No.","@@"&amp;$K378),"")</f>
        <v>First Touch Marketing</v>
      </c>
      <c r="M378" s="42" t="str">
        <f>""</f>
        <v/>
      </c>
      <c r="N378" s="42" t="str">
        <f>IF($J378="Item",_xll.NL("first",$J378,"Description","No.","@@"&amp;$K378),"")</f>
        <v/>
      </c>
      <c r="O378" s="43">
        <v>0</v>
      </c>
      <c r="P378" s="43">
        <v>-193</v>
      </c>
      <c r="Q378" s="43">
        <v>0</v>
      </c>
      <c r="R378" s="43">
        <v>0</v>
      </c>
      <c r="S378" s="43">
        <v>0</v>
      </c>
      <c r="T378" s="43">
        <v>0</v>
      </c>
      <c r="U378" s="56"/>
    </row>
    <row r="379" spans="1:21" ht="17.25" customHeight="1" x14ac:dyDescent="0.3">
      <c r="A379" s="15" t="s">
        <v>30</v>
      </c>
      <c r="C379" s="19"/>
      <c r="D379" s="33" t="str">
        <f t="shared" si="84"/>
        <v>C100027</v>
      </c>
      <c r="E379" s="33"/>
      <c r="F379" s="34"/>
      <c r="G379" s="34" t="str">
        <f>"""NAV Direct"",""CRONUS JetCorp USA"",""32"",""1"",""25287"""</f>
        <v>"NAV Direct","CRONUS JetCorp USA","32","1","25287"</v>
      </c>
      <c r="H379" s="40">
        <v>43477</v>
      </c>
      <c r="I379" s="41">
        <v>25287</v>
      </c>
      <c r="J379" s="42" t="str">
        <f>"Customer"</f>
        <v>Customer</v>
      </c>
      <c r="K379" s="42" t="str">
        <f>"C100138"</f>
        <v>C100138</v>
      </c>
      <c r="L379" s="42" t="str">
        <f>IF($J379="Customer",_xll.NL("first",$J379,"Name","No.","@@"&amp;$K379),"")</f>
        <v>Dantons</v>
      </c>
      <c r="M379" s="42" t="str">
        <f>""</f>
        <v/>
      </c>
      <c r="N379" s="42" t="str">
        <f>IF($J379="Item",_xll.NL("first",$J379,"Description","No.","@@"&amp;$K379),"")</f>
        <v/>
      </c>
      <c r="O379" s="43">
        <v>0</v>
      </c>
      <c r="P379" s="43">
        <v>-144</v>
      </c>
      <c r="Q379" s="43">
        <v>0</v>
      </c>
      <c r="R379" s="43">
        <v>0</v>
      </c>
      <c r="S379" s="43">
        <v>0</v>
      </c>
      <c r="T379" s="43">
        <v>0</v>
      </c>
      <c r="U379" s="56"/>
    </row>
    <row r="380" spans="1:21" ht="17.25" customHeight="1" x14ac:dyDescent="0.3">
      <c r="A380" s="15" t="s">
        <v>30</v>
      </c>
      <c r="C380" s="19"/>
      <c r="D380" s="33" t="str">
        <f t="shared" si="84"/>
        <v>C100027</v>
      </c>
      <c r="E380" s="33"/>
      <c r="F380" s="34"/>
      <c r="G380" s="34" t="str">
        <f>"""NAV Direct"",""CRONUS JetCorp USA"",""32"",""1"",""138725"""</f>
        <v>"NAV Direct","CRONUS JetCorp USA","32","1","138725"</v>
      </c>
      <c r="H380" s="40">
        <v>43477</v>
      </c>
      <c r="I380" s="41">
        <v>138725</v>
      </c>
      <c r="J380" s="42" t="str">
        <f>"Customer"</f>
        <v>Customer</v>
      </c>
      <c r="K380" s="42" t="str">
        <f>"C100021"</f>
        <v>C100021</v>
      </c>
      <c r="L380" s="42" t="str">
        <f>IF($J380="Customer",_xll.NL("first",$J380,"Name","No.","@@"&amp;$K380),"")</f>
        <v>Cronus Cardoxy Sales</v>
      </c>
      <c r="M380" s="42" t="str">
        <f>""</f>
        <v/>
      </c>
      <c r="N380" s="42" t="str">
        <f>IF($J380="Item",_xll.NL("first",$J380,"Description","No.","@@"&amp;$K380),"")</f>
        <v/>
      </c>
      <c r="O380" s="43">
        <v>0</v>
      </c>
      <c r="P380" s="43">
        <v>-144</v>
      </c>
      <c r="Q380" s="43">
        <v>0</v>
      </c>
      <c r="R380" s="43">
        <v>0</v>
      </c>
      <c r="S380" s="43">
        <v>0</v>
      </c>
      <c r="T380" s="43">
        <v>0</v>
      </c>
      <c r="U380" s="56"/>
    </row>
    <row r="381" spans="1:21" ht="17.25" customHeight="1" x14ac:dyDescent="0.3">
      <c r="A381" s="15" t="s">
        <v>30</v>
      </c>
      <c r="C381" s="19"/>
      <c r="D381" s="33"/>
      <c r="E381" s="33"/>
      <c r="F381" s="34"/>
      <c r="G381" s="34"/>
      <c r="H381" s="34"/>
      <c r="I381" s="34"/>
      <c r="J381" s="34"/>
      <c r="K381" s="34"/>
      <c r="L381" s="34"/>
      <c r="M381" s="34"/>
      <c r="N381" s="34"/>
      <c r="O381" s="44"/>
      <c r="P381" s="44"/>
      <c r="Q381" s="44"/>
      <c r="R381" s="44"/>
      <c r="S381" s="44"/>
      <c r="T381" s="44"/>
      <c r="U381" s="57"/>
    </row>
    <row r="382" spans="1:21" ht="17.25" customHeight="1" x14ac:dyDescent="0.3">
      <c r="A382" s="15" t="s">
        <v>30</v>
      </c>
      <c r="C382" s="19"/>
      <c r="D382" s="33"/>
      <c r="E382" s="33" t="s">
        <v>31</v>
      </c>
      <c r="F382" s="34" t="s">
        <v>31</v>
      </c>
      <c r="G382" s="34" t="s">
        <v>31</v>
      </c>
      <c r="H382" s="34"/>
      <c r="I382" s="34"/>
      <c r="J382" s="34" t="s">
        <v>31</v>
      </c>
      <c r="K382" s="34" t="s">
        <v>31</v>
      </c>
      <c r="L382" s="34" t="s">
        <v>31</v>
      </c>
      <c r="M382" s="34" t="s">
        <v>31</v>
      </c>
      <c r="N382" s="34"/>
      <c r="U382" s="58"/>
    </row>
    <row r="383" spans="1:21" ht="20.25" customHeight="1" x14ac:dyDescent="0.35">
      <c r="A383" s="15" t="s">
        <v>30</v>
      </c>
      <c r="C383" s="19"/>
      <c r="D383" s="35" t="str">
        <f t="shared" ref="D383" si="85">E383</f>
        <v>C100028</v>
      </c>
      <c r="E383" s="36" t="str">
        <f>"C100028"</f>
        <v>C100028</v>
      </c>
      <c r="F383" s="37" t="str">
        <f>"Twill Visor"</f>
        <v>Twill Visor</v>
      </c>
      <c r="G383" s="37"/>
      <c r="H383" s="38" t="str">
        <f>"EA"</f>
        <v>EA</v>
      </c>
      <c r="I383" s="37"/>
      <c r="J383" s="37"/>
      <c r="K383" s="37"/>
      <c r="L383" s="37"/>
      <c r="M383" s="37"/>
      <c r="N383" s="37"/>
      <c r="O383" s="39">
        <f>(SUBTOTAL(9,O384:O406))</f>
        <v>3600</v>
      </c>
      <c r="P383" s="39">
        <f>(SUBTOTAL(9,P384:P406))</f>
        <v>-1377</v>
      </c>
      <c r="Q383" s="39">
        <f>(SUBTOTAL(9,Q384:Q406))</f>
        <v>0</v>
      </c>
      <c r="R383" s="39">
        <f>(SUBTOTAL(9,R384:R406))</f>
        <v>0</v>
      </c>
      <c r="S383" s="39">
        <f>(SUBTOTAL(9,S384:S406))</f>
        <v>0</v>
      </c>
      <c r="T383" s="39">
        <f>(SUBTOTAL(9,T384:T406))</f>
        <v>0</v>
      </c>
      <c r="U383" s="55">
        <f t="shared" ref="U383" si="86">SUBTOTAL(9,O384:T406)</f>
        <v>2223</v>
      </c>
    </row>
    <row r="384" spans="1:21" ht="17.25" customHeight="1" x14ac:dyDescent="0.3">
      <c r="A384" s="15" t="s">
        <v>30</v>
      </c>
      <c r="C384" s="19"/>
      <c r="D384" s="33" t="str">
        <f t="shared" ref="D384" si="87">D383</f>
        <v>C100028</v>
      </c>
      <c r="E384" s="33"/>
      <c r="F384" s="34"/>
      <c r="G384" s="34" t="str">
        <f>"""NAV Direct"",""CRONUS JetCorp USA"",""32"",""1"",""167083"""</f>
        <v>"NAV Direct","CRONUS JetCorp USA","32","1","167083"</v>
      </c>
      <c r="H384" s="40">
        <v>43466</v>
      </c>
      <c r="I384" s="41">
        <v>167083</v>
      </c>
      <c r="J384" s="42" t="str">
        <f>"Vendor"</f>
        <v>Vendor</v>
      </c>
      <c r="K384" s="42" t="str">
        <f>"V100009"</f>
        <v>V100009</v>
      </c>
      <c r="L384" s="42" t="str">
        <f>IF($J384="Customer",_xll.NL("first",$J384,"Name","No.","@@"&amp;$K384),"")</f>
        <v/>
      </c>
      <c r="M384" s="42" t="str">
        <f>"Malay-Dan Export Unit Sdn Bhd"</f>
        <v>Malay-Dan Export Unit Sdn Bhd</v>
      </c>
      <c r="N384" s="42" t="str">
        <f>IF($J384="Item",_xll.NL("first",$J384,"Description","No.","@@"&amp;$K384),"")</f>
        <v/>
      </c>
      <c r="O384" s="43">
        <v>400</v>
      </c>
      <c r="P384" s="43">
        <v>0</v>
      </c>
      <c r="Q384" s="43">
        <v>0</v>
      </c>
      <c r="R384" s="43">
        <v>0</v>
      </c>
      <c r="S384" s="43">
        <v>0</v>
      </c>
      <c r="T384" s="43">
        <v>0</v>
      </c>
      <c r="U384" s="56"/>
    </row>
    <row r="385" spans="1:21" ht="17.25" customHeight="1" x14ac:dyDescent="0.3">
      <c r="A385" s="15" t="s">
        <v>30</v>
      </c>
      <c r="C385" s="19"/>
      <c r="D385" s="33" t="str">
        <f t="shared" ref="D385:D405" si="88">D384</f>
        <v>C100028</v>
      </c>
      <c r="E385" s="33"/>
      <c r="F385" s="34"/>
      <c r="G385" s="34" t="str">
        <f>"""NAV Direct"",""CRONUS JetCorp USA"",""32"",""1"",""167100"""</f>
        <v>"NAV Direct","CRONUS JetCorp USA","32","1","167100"</v>
      </c>
      <c r="H385" s="40">
        <v>43466</v>
      </c>
      <c r="I385" s="41">
        <v>167100</v>
      </c>
      <c r="J385" s="42" t="str">
        <f>"Vendor"</f>
        <v>Vendor</v>
      </c>
      <c r="K385" s="42" t="str">
        <f>"V100040"</f>
        <v>V100040</v>
      </c>
      <c r="L385" s="42" t="str">
        <f>IF($J385="Customer",_xll.NL("first",$J385,"Name","No.","@@"&amp;$K385),"")</f>
        <v/>
      </c>
      <c r="M385" s="42" t="str">
        <f>"Technische Betriebe Rotkreuz"</f>
        <v>Technische Betriebe Rotkreuz</v>
      </c>
      <c r="N385" s="42" t="str">
        <f>IF($J385="Item",_xll.NL("first",$J385,"Description","No.","@@"&amp;$K385),"")</f>
        <v/>
      </c>
      <c r="O385" s="43">
        <v>400</v>
      </c>
      <c r="P385" s="43">
        <v>0</v>
      </c>
      <c r="Q385" s="43">
        <v>0</v>
      </c>
      <c r="R385" s="43">
        <v>0</v>
      </c>
      <c r="S385" s="43">
        <v>0</v>
      </c>
      <c r="T385" s="43">
        <v>0</v>
      </c>
      <c r="U385" s="56"/>
    </row>
    <row r="386" spans="1:21" ht="17.25" customHeight="1" x14ac:dyDescent="0.3">
      <c r="A386" s="15" t="s">
        <v>30</v>
      </c>
      <c r="C386" s="19"/>
      <c r="D386" s="33" t="str">
        <f t="shared" si="88"/>
        <v>C100028</v>
      </c>
      <c r="E386" s="33"/>
      <c r="F386" s="34"/>
      <c r="G386" s="34" t="str">
        <f>"""NAV Direct"",""CRONUS JetCorp USA"",""32"",""1"",""167120"""</f>
        <v>"NAV Direct","CRONUS JetCorp USA","32","1","167120"</v>
      </c>
      <c r="H386" s="40">
        <v>43466</v>
      </c>
      <c r="I386" s="41">
        <v>167120</v>
      </c>
      <c r="J386" s="42" t="str">
        <f>"Vendor"</f>
        <v>Vendor</v>
      </c>
      <c r="K386" s="42" t="str">
        <f>"V100007"</f>
        <v>V100007</v>
      </c>
      <c r="L386" s="42" t="str">
        <f>IF($J386="Customer",_xll.NL("first",$J386,"Name","No.","@@"&amp;$K386),"")</f>
        <v/>
      </c>
      <c r="M386" s="42" t="str">
        <f>"TrendTech"</f>
        <v>TrendTech</v>
      </c>
      <c r="N386" s="42" t="str">
        <f>IF($J386="Item",_xll.NL("first",$J386,"Description","No.","@@"&amp;$K386),"")</f>
        <v/>
      </c>
      <c r="O386" s="43">
        <v>400</v>
      </c>
      <c r="P386" s="43">
        <v>0</v>
      </c>
      <c r="Q386" s="43">
        <v>0</v>
      </c>
      <c r="R386" s="43">
        <v>0</v>
      </c>
      <c r="S386" s="43">
        <v>0</v>
      </c>
      <c r="T386" s="43">
        <v>0</v>
      </c>
      <c r="U386" s="56"/>
    </row>
    <row r="387" spans="1:21" ht="17.25" customHeight="1" x14ac:dyDescent="0.3">
      <c r="A387" s="15" t="s">
        <v>30</v>
      </c>
      <c r="C387" s="19"/>
      <c r="D387" s="33" t="str">
        <f t="shared" si="88"/>
        <v>C100028</v>
      </c>
      <c r="E387" s="33"/>
      <c r="F387" s="34"/>
      <c r="G387" s="34" t="str">
        <f>"""NAV Direct"",""CRONUS JetCorp USA"",""32"",""1"",""167139"""</f>
        <v>"NAV Direct","CRONUS JetCorp USA","32","1","167139"</v>
      </c>
      <c r="H387" s="40">
        <v>43466</v>
      </c>
      <c r="I387" s="41">
        <v>167139</v>
      </c>
      <c r="J387" s="42" t="str">
        <f>"Vendor"</f>
        <v>Vendor</v>
      </c>
      <c r="K387" s="42" t="str">
        <f>"V100001"</f>
        <v>V100001</v>
      </c>
      <c r="L387" s="42" t="str">
        <f>IF($J387="Customer",_xll.NL("first",$J387,"Name","No.","@@"&amp;$K387),"")</f>
        <v/>
      </c>
      <c r="M387" s="42" t="str">
        <f>"Greigner, Inc."</f>
        <v>Greigner, Inc.</v>
      </c>
      <c r="N387" s="42" t="str">
        <f>IF($J387="Item",_xll.NL("first",$J387,"Description","No.","@@"&amp;$K387),"")</f>
        <v/>
      </c>
      <c r="O387" s="43">
        <v>1600</v>
      </c>
      <c r="P387" s="43">
        <v>0</v>
      </c>
      <c r="Q387" s="43">
        <v>0</v>
      </c>
      <c r="R387" s="43">
        <v>0</v>
      </c>
      <c r="S387" s="43">
        <v>0</v>
      </c>
      <c r="T387" s="43">
        <v>0</v>
      </c>
      <c r="U387" s="56"/>
    </row>
    <row r="388" spans="1:21" ht="17.25" customHeight="1" x14ac:dyDescent="0.3">
      <c r="A388" s="15" t="s">
        <v>30</v>
      </c>
      <c r="C388" s="19"/>
      <c r="D388" s="33" t="str">
        <f t="shared" si="88"/>
        <v>C100028</v>
      </c>
      <c r="E388" s="33"/>
      <c r="F388" s="34"/>
      <c r="G388" s="34" t="str">
        <f>"""NAV Direct"",""CRONUS JetCorp USA"",""32"",""1"",""167163"""</f>
        <v>"NAV Direct","CRONUS JetCorp USA","32","1","167163"</v>
      </c>
      <c r="H388" s="40">
        <v>43466</v>
      </c>
      <c r="I388" s="41">
        <v>167163</v>
      </c>
      <c r="J388" s="42" t="str">
        <f>"Vendor"</f>
        <v>Vendor</v>
      </c>
      <c r="K388" s="42" t="str">
        <f>"V100003"</f>
        <v>V100003</v>
      </c>
      <c r="L388" s="42" t="str">
        <f>IF($J388="Customer",_xll.NL("first",$J388,"Name","No.","@@"&amp;$K388),"")</f>
        <v/>
      </c>
      <c r="M388" s="42" t="str">
        <f>"LogoMasters"</f>
        <v>LogoMasters</v>
      </c>
      <c r="N388" s="42" t="str">
        <f>IF($J388="Item",_xll.NL("first",$J388,"Description","No.","@@"&amp;$K388),"")</f>
        <v/>
      </c>
      <c r="O388" s="43">
        <v>400</v>
      </c>
      <c r="P388" s="43">
        <v>0</v>
      </c>
      <c r="Q388" s="43">
        <v>0</v>
      </c>
      <c r="R388" s="43">
        <v>0</v>
      </c>
      <c r="S388" s="43">
        <v>0</v>
      </c>
      <c r="T388" s="43">
        <v>0</v>
      </c>
      <c r="U388" s="56"/>
    </row>
    <row r="389" spans="1:21" ht="17.25" customHeight="1" x14ac:dyDescent="0.3">
      <c r="A389" s="15" t="s">
        <v>30</v>
      </c>
      <c r="C389" s="19"/>
      <c r="D389" s="33" t="str">
        <f t="shared" si="88"/>
        <v>C100028</v>
      </c>
      <c r="E389" s="33"/>
      <c r="F389" s="34"/>
      <c r="G389" s="34" t="str">
        <f>"""NAV Direct"",""CRONUS JetCorp USA"",""32"",""1"",""167171"""</f>
        <v>"NAV Direct","CRONUS JetCorp USA","32","1","167171"</v>
      </c>
      <c r="H389" s="40">
        <v>43466</v>
      </c>
      <c r="I389" s="41">
        <v>167171</v>
      </c>
      <c r="J389" s="42" t="str">
        <f>"Vendor"</f>
        <v>Vendor</v>
      </c>
      <c r="K389" s="42" t="str">
        <f>"V100001"</f>
        <v>V100001</v>
      </c>
      <c r="L389" s="42" t="str">
        <f>IF($J389="Customer",_xll.NL("first",$J389,"Name","No.","@@"&amp;$K389),"")</f>
        <v/>
      </c>
      <c r="M389" s="42" t="str">
        <f>"Greigner, Inc."</f>
        <v>Greigner, Inc.</v>
      </c>
      <c r="N389" s="42" t="str">
        <f>IF($J389="Item",_xll.NL("first",$J389,"Description","No.","@@"&amp;$K389),"")</f>
        <v/>
      </c>
      <c r="O389" s="43">
        <v>400</v>
      </c>
      <c r="P389" s="43">
        <v>0</v>
      </c>
      <c r="Q389" s="43">
        <v>0</v>
      </c>
      <c r="R389" s="43">
        <v>0</v>
      </c>
      <c r="S389" s="43">
        <v>0</v>
      </c>
      <c r="T389" s="43">
        <v>0</v>
      </c>
      <c r="U389" s="56"/>
    </row>
    <row r="390" spans="1:21" ht="17.25" customHeight="1" x14ac:dyDescent="0.3">
      <c r="A390" s="15" t="s">
        <v>30</v>
      </c>
      <c r="C390" s="19"/>
      <c r="D390" s="33" t="str">
        <f t="shared" si="88"/>
        <v>C100028</v>
      </c>
      <c r="E390" s="33"/>
      <c r="F390" s="34"/>
      <c r="G390" s="34" t="str">
        <f>"""NAV Direct"",""CRONUS JetCorp USA"",""32"",""1"",""25239"""</f>
        <v>"NAV Direct","CRONUS JetCorp USA","32","1","25239"</v>
      </c>
      <c r="H390" s="40">
        <v>43471</v>
      </c>
      <c r="I390" s="41">
        <v>25239</v>
      </c>
      <c r="J390" s="42" t="str">
        <f>"Customer"</f>
        <v>Customer</v>
      </c>
      <c r="K390" s="42" t="str">
        <f>"C100102"</f>
        <v>C100102</v>
      </c>
      <c r="L390" s="42" t="str">
        <f>IF($J390="Customer",_xll.NL("first",$J390,"Name","No.","@@"&amp;$K390),"")</f>
        <v xml:space="preserve">BEI Outfitters </v>
      </c>
      <c r="M390" s="42" t="str">
        <f>""</f>
        <v/>
      </c>
      <c r="N390" s="42" t="str">
        <f>IF($J390="Item",_xll.NL("first",$J390,"Description","No.","@@"&amp;$K390),"")</f>
        <v/>
      </c>
      <c r="O390" s="43">
        <v>0</v>
      </c>
      <c r="P390" s="43">
        <v>-144</v>
      </c>
      <c r="Q390" s="43">
        <v>0</v>
      </c>
      <c r="R390" s="43">
        <v>0</v>
      </c>
      <c r="S390" s="43">
        <v>0</v>
      </c>
      <c r="T390" s="43">
        <v>0</v>
      </c>
      <c r="U390" s="56"/>
    </row>
    <row r="391" spans="1:21" ht="17.25" customHeight="1" x14ac:dyDescent="0.3">
      <c r="A391" s="15" t="s">
        <v>30</v>
      </c>
      <c r="C391" s="19"/>
      <c r="D391" s="33" t="str">
        <f t="shared" si="88"/>
        <v>C100028</v>
      </c>
      <c r="E391" s="33"/>
      <c r="F391" s="34"/>
      <c r="G391" s="34" t="str">
        <f>"""NAV Direct"",""CRONUS JetCorp USA"",""32"",""1"",""78879"""</f>
        <v>"NAV Direct","CRONUS JetCorp USA","32","1","78879"</v>
      </c>
      <c r="H391" s="40">
        <v>43471</v>
      </c>
      <c r="I391" s="41">
        <v>78879</v>
      </c>
      <c r="J391" s="42" t="str">
        <f>"Customer"</f>
        <v>Customer</v>
      </c>
      <c r="K391" s="42" t="str">
        <f>"C100124"</f>
        <v>C100124</v>
      </c>
      <c r="L391" s="42" t="str">
        <f>IF($J391="Customer",_xll.NL("first",$J391,"Name","No.","@@"&amp;$K391),"")</f>
        <v>Ontocane Outdoors</v>
      </c>
      <c r="M391" s="42" t="str">
        <f>""</f>
        <v/>
      </c>
      <c r="N391" s="42" t="str">
        <f>IF($J391="Item",_xll.NL("first",$J391,"Description","No.","@@"&amp;$K391),"")</f>
        <v/>
      </c>
      <c r="O391" s="43">
        <v>0</v>
      </c>
      <c r="P391" s="43">
        <v>-1</v>
      </c>
      <c r="Q391" s="43">
        <v>0</v>
      </c>
      <c r="R391" s="43">
        <v>0</v>
      </c>
      <c r="S391" s="43">
        <v>0</v>
      </c>
      <c r="T391" s="43">
        <v>0</v>
      </c>
      <c r="U391" s="56"/>
    </row>
    <row r="392" spans="1:21" ht="17.25" customHeight="1" x14ac:dyDescent="0.3">
      <c r="A392" s="15" t="s">
        <v>30</v>
      </c>
      <c r="C392" s="19"/>
      <c r="D392" s="33" t="str">
        <f t="shared" si="88"/>
        <v>C100028</v>
      </c>
      <c r="E392" s="33"/>
      <c r="F392" s="34"/>
      <c r="G392" s="34" t="str">
        <f>"""NAV Direct"",""CRONUS JetCorp USA"",""32"",""1"",""158690"""</f>
        <v>"NAV Direct","CRONUS JetCorp USA","32","1","158690"</v>
      </c>
      <c r="H392" s="40">
        <v>43471</v>
      </c>
      <c r="I392" s="41">
        <v>158690</v>
      </c>
      <c r="J392" s="42" t="str">
        <f>"Customer"</f>
        <v>Customer</v>
      </c>
      <c r="K392" s="42" t="str">
        <f>"C100126"</f>
        <v>C100126</v>
      </c>
      <c r="L392" s="42" t="str">
        <f>IF($J392="Customer",_xll.NL("first",$J392,"Name","No.","@@"&amp;$K392),"")</f>
        <v>Moveex</v>
      </c>
      <c r="M392" s="42" t="str">
        <f>""</f>
        <v/>
      </c>
      <c r="N392" s="42" t="str">
        <f>IF($J392="Item",_xll.NL("first",$J392,"Description","No.","@@"&amp;$K392),"")</f>
        <v/>
      </c>
      <c r="O392" s="43">
        <v>0</v>
      </c>
      <c r="P392" s="43">
        <v>12</v>
      </c>
      <c r="Q392" s="43">
        <v>0</v>
      </c>
      <c r="R392" s="43">
        <v>0</v>
      </c>
      <c r="S392" s="43">
        <v>0</v>
      </c>
      <c r="T392" s="43">
        <v>0</v>
      </c>
      <c r="U392" s="56"/>
    </row>
    <row r="393" spans="1:21" ht="17.25" customHeight="1" x14ac:dyDescent="0.3">
      <c r="A393" s="15" t="s">
        <v>30</v>
      </c>
      <c r="C393" s="19"/>
      <c r="D393" s="33" t="str">
        <f t="shared" si="88"/>
        <v>C100028</v>
      </c>
      <c r="E393" s="33"/>
      <c r="F393" s="34"/>
      <c r="G393" s="34" t="str">
        <f>"""NAV Direct"",""CRONUS JetCorp USA"",""32"",""1"",""44462"""</f>
        <v>"NAV Direct","CRONUS JetCorp USA","32","1","44462"</v>
      </c>
      <c r="H393" s="40">
        <v>43472</v>
      </c>
      <c r="I393" s="41">
        <v>44462</v>
      </c>
      <c r="J393" s="42" t="str">
        <f>"Customer"</f>
        <v>Customer</v>
      </c>
      <c r="K393" s="42" t="str">
        <f>"C100141"</f>
        <v>C100141</v>
      </c>
      <c r="L393" s="42" t="str">
        <f>IF($J393="Customer",_xll.NL("first",$J393,"Name","No.","@@"&amp;$K393),"")</f>
        <v>Bargottis</v>
      </c>
      <c r="M393" s="42" t="str">
        <f>""</f>
        <v/>
      </c>
      <c r="N393" s="42" t="str">
        <f>IF($J393="Item",_xll.NL("first",$J393,"Description","No.","@@"&amp;$K393),"")</f>
        <v/>
      </c>
      <c r="O393" s="43">
        <v>0</v>
      </c>
      <c r="P393" s="43">
        <v>-144</v>
      </c>
      <c r="Q393" s="43">
        <v>0</v>
      </c>
      <c r="R393" s="43">
        <v>0</v>
      </c>
      <c r="S393" s="43">
        <v>0</v>
      </c>
      <c r="T393" s="43">
        <v>0</v>
      </c>
      <c r="U393" s="56"/>
    </row>
    <row r="394" spans="1:21" ht="17.25" customHeight="1" x14ac:dyDescent="0.3">
      <c r="A394" s="15" t="s">
        <v>30</v>
      </c>
      <c r="C394" s="19"/>
      <c r="D394" s="33" t="str">
        <f t="shared" si="88"/>
        <v>C100028</v>
      </c>
      <c r="E394" s="33"/>
      <c r="F394" s="34"/>
      <c r="G394" s="34" t="str">
        <f>"""NAV Direct"",""CRONUS JetCorp USA"",""32"",""1"",""20386"""</f>
        <v>"NAV Direct","CRONUS JetCorp USA","32","1","20386"</v>
      </c>
      <c r="H394" s="40">
        <v>43473</v>
      </c>
      <c r="I394" s="41">
        <v>20386</v>
      </c>
      <c r="J394" s="42" t="str">
        <f>"Customer"</f>
        <v>Customer</v>
      </c>
      <c r="K394" s="42" t="str">
        <f>"C100130"</f>
        <v>C100130</v>
      </c>
      <c r="L394" s="42" t="str">
        <f>IF($J394="Customer",_xll.NL("first",$J394,"Name","No.","@@"&amp;$K394),"")</f>
        <v>Hotspot Systems</v>
      </c>
      <c r="M394" s="42" t="str">
        <f>""</f>
        <v/>
      </c>
      <c r="N394" s="42" t="str">
        <f>IF($J394="Item",_xll.NL("first",$J394,"Description","No.","@@"&amp;$K394),"")</f>
        <v/>
      </c>
      <c r="O394" s="43">
        <v>0</v>
      </c>
      <c r="P394" s="43">
        <v>-145</v>
      </c>
      <c r="Q394" s="43">
        <v>0</v>
      </c>
      <c r="R394" s="43">
        <v>0</v>
      </c>
      <c r="S394" s="43">
        <v>0</v>
      </c>
      <c r="T394" s="43">
        <v>0</v>
      </c>
      <c r="U394" s="56"/>
    </row>
    <row r="395" spans="1:21" ht="17.25" customHeight="1" x14ac:dyDescent="0.3">
      <c r="A395" s="15" t="s">
        <v>30</v>
      </c>
      <c r="C395" s="19"/>
      <c r="D395" s="33" t="str">
        <f t="shared" si="88"/>
        <v>C100028</v>
      </c>
      <c r="E395" s="33"/>
      <c r="F395" s="34"/>
      <c r="G395" s="34" t="str">
        <f>"""NAV Direct"",""CRONUS JetCorp USA"",""32"",""1"",""124550"""</f>
        <v>"NAV Direct","CRONUS JetCorp USA","32","1","124550"</v>
      </c>
      <c r="H395" s="40">
        <v>43473</v>
      </c>
      <c r="I395" s="41">
        <v>124550</v>
      </c>
      <c r="J395" s="42" t="str">
        <f>"Customer"</f>
        <v>Customer</v>
      </c>
      <c r="K395" s="42" t="str">
        <f>"C100035"</f>
        <v>C100035</v>
      </c>
      <c r="L395" s="42" t="str">
        <f>IF($J395="Customer",_xll.NL("first",$J395,"Name","No.","@@"&amp;$K395),"")</f>
        <v>First Touch Marketing</v>
      </c>
      <c r="M395" s="42" t="str">
        <f>""</f>
        <v/>
      </c>
      <c r="N395" s="42" t="str">
        <f>IF($J395="Item",_xll.NL("first",$J395,"Description","No.","@@"&amp;$K395),"")</f>
        <v/>
      </c>
      <c r="O395" s="43">
        <v>0</v>
      </c>
      <c r="P395" s="43">
        <v>-144</v>
      </c>
      <c r="Q395" s="43">
        <v>0</v>
      </c>
      <c r="R395" s="43">
        <v>0</v>
      </c>
      <c r="S395" s="43">
        <v>0</v>
      </c>
      <c r="T395" s="43">
        <v>0</v>
      </c>
      <c r="U395" s="56"/>
    </row>
    <row r="396" spans="1:21" ht="17.25" customHeight="1" x14ac:dyDescent="0.3">
      <c r="A396" s="15" t="s">
        <v>30</v>
      </c>
      <c r="C396" s="19"/>
      <c r="D396" s="33" t="str">
        <f t="shared" si="88"/>
        <v>C100028</v>
      </c>
      <c r="E396" s="33"/>
      <c r="F396" s="34"/>
      <c r="G396" s="34" t="str">
        <f>"""NAV Direct"",""CRONUS JetCorp USA"",""32"",""1"",""54694"""</f>
        <v>"NAV Direct","CRONUS JetCorp USA","32","1","54694"</v>
      </c>
      <c r="H396" s="40">
        <v>43474</v>
      </c>
      <c r="I396" s="41">
        <v>54694</v>
      </c>
      <c r="J396" s="42" t="str">
        <f>"Customer"</f>
        <v>Customer</v>
      </c>
      <c r="K396" s="42" t="str">
        <f>"C100096"</f>
        <v>C100096</v>
      </c>
      <c r="L396" s="42" t="str">
        <f>IF($J396="Customer",_xll.NL("first",$J396,"Name","No.","@@"&amp;$K396),"")</f>
        <v>D-Com Industries</v>
      </c>
      <c r="M396" s="42" t="str">
        <f>""</f>
        <v/>
      </c>
      <c r="N396" s="42" t="str">
        <f>IF($J396="Item",_xll.NL("first",$J396,"Description","No.","@@"&amp;$K396),"")</f>
        <v/>
      </c>
      <c r="O396" s="43">
        <v>0</v>
      </c>
      <c r="P396" s="43">
        <v>-144</v>
      </c>
      <c r="Q396" s="43">
        <v>0</v>
      </c>
      <c r="R396" s="43">
        <v>0</v>
      </c>
      <c r="S396" s="43">
        <v>0</v>
      </c>
      <c r="T396" s="43">
        <v>0</v>
      </c>
      <c r="U396" s="56"/>
    </row>
    <row r="397" spans="1:21" ht="17.25" customHeight="1" x14ac:dyDescent="0.3">
      <c r="A397" s="15" t="s">
        <v>30</v>
      </c>
      <c r="C397" s="19"/>
      <c r="D397" s="33" t="str">
        <f t="shared" si="88"/>
        <v>C100028</v>
      </c>
      <c r="E397" s="33"/>
      <c r="F397" s="34"/>
      <c r="G397" s="34" t="str">
        <f>"""NAV Direct"",""CRONUS JetCorp USA"",""32"",""1"",""78886"""</f>
        <v>"NAV Direct","CRONUS JetCorp USA","32","1","78886"</v>
      </c>
      <c r="H397" s="40">
        <v>43474</v>
      </c>
      <c r="I397" s="41">
        <v>78886</v>
      </c>
      <c r="J397" s="42" t="str">
        <f>"Customer"</f>
        <v>Customer</v>
      </c>
      <c r="K397" s="42" t="str">
        <f>"C100124"</f>
        <v>C100124</v>
      </c>
      <c r="L397" s="42" t="str">
        <f>IF($J397="Customer",_xll.NL("first",$J397,"Name","No.","@@"&amp;$K397),"")</f>
        <v>Ontocane Outdoors</v>
      </c>
      <c r="M397" s="42" t="str">
        <f>""</f>
        <v/>
      </c>
      <c r="N397" s="42" t="str">
        <f>IF($J397="Item",_xll.NL("first",$J397,"Description","No.","@@"&amp;$K397),"")</f>
        <v/>
      </c>
      <c r="O397" s="43">
        <v>0</v>
      </c>
      <c r="P397" s="43">
        <v>-144</v>
      </c>
      <c r="Q397" s="43">
        <v>0</v>
      </c>
      <c r="R397" s="43">
        <v>0</v>
      </c>
      <c r="S397" s="43">
        <v>0</v>
      </c>
      <c r="T397" s="43">
        <v>0</v>
      </c>
      <c r="U397" s="56"/>
    </row>
    <row r="398" spans="1:21" ht="17.25" customHeight="1" x14ac:dyDescent="0.3">
      <c r="A398" s="15" t="s">
        <v>30</v>
      </c>
      <c r="C398" s="19"/>
      <c r="D398" s="33" t="str">
        <f t="shared" si="88"/>
        <v>C100028</v>
      </c>
      <c r="E398" s="33"/>
      <c r="F398" s="34"/>
      <c r="G398" s="34" t="str">
        <f>"""NAV Direct"",""CRONUS JetCorp USA"",""32"",""1"",""124527"""</f>
        <v>"NAV Direct","CRONUS JetCorp USA","32","1","124527"</v>
      </c>
      <c r="H398" s="40">
        <v>43474</v>
      </c>
      <c r="I398" s="41">
        <v>124527</v>
      </c>
      <c r="J398" s="42" t="str">
        <f>"Customer"</f>
        <v>Customer</v>
      </c>
      <c r="K398" s="42" t="str">
        <f>"C100145"</f>
        <v>C100145</v>
      </c>
      <c r="L398" s="42" t="str">
        <f>IF($J398="Customer",_xll.NL("first",$J398,"Name","No.","@@"&amp;$K398),"")</f>
        <v>Dicon Industries</v>
      </c>
      <c r="M398" s="42" t="str">
        <f>""</f>
        <v/>
      </c>
      <c r="N398" s="42" t="str">
        <f>IF($J398="Item",_xll.NL("first",$J398,"Description","No.","@@"&amp;$K398),"")</f>
        <v/>
      </c>
      <c r="O398" s="43">
        <v>0</v>
      </c>
      <c r="P398" s="43">
        <v>-144</v>
      </c>
      <c r="Q398" s="43">
        <v>0</v>
      </c>
      <c r="R398" s="43">
        <v>0</v>
      </c>
      <c r="S398" s="43">
        <v>0</v>
      </c>
      <c r="T398" s="43">
        <v>0</v>
      </c>
      <c r="U398" s="56"/>
    </row>
    <row r="399" spans="1:21" ht="17.25" customHeight="1" x14ac:dyDescent="0.3">
      <c r="A399" s="15" t="s">
        <v>30</v>
      </c>
      <c r="C399" s="19"/>
      <c r="D399" s="33" t="str">
        <f t="shared" si="88"/>
        <v>C100028</v>
      </c>
      <c r="E399" s="33"/>
      <c r="F399" s="34"/>
      <c r="G399" s="34" t="str">
        <f>"""NAV Direct"",""CRONUS JetCorp USA"",""32"",""1"",""30111"""</f>
        <v>"NAV Direct","CRONUS JetCorp USA","32","1","30111"</v>
      </c>
      <c r="H399" s="40">
        <v>43475</v>
      </c>
      <c r="I399" s="41">
        <v>30111</v>
      </c>
      <c r="J399" s="42" t="str">
        <f>"Customer"</f>
        <v>Customer</v>
      </c>
      <c r="K399" s="42" t="str">
        <f>"C100012"</f>
        <v>C100012</v>
      </c>
      <c r="L399" s="42" t="str">
        <f>IF($J399="Customer",_xll.NL("first",$J399,"Name","No.","@@"&amp;$K399),"")</f>
        <v>Bainbridges</v>
      </c>
      <c r="M399" s="42" t="str">
        <f>""</f>
        <v/>
      </c>
      <c r="N399" s="42" t="str">
        <f>IF($J399="Item",_xll.NL("first",$J399,"Description","No.","@@"&amp;$K399),"")</f>
        <v/>
      </c>
      <c r="O399" s="43">
        <v>0</v>
      </c>
      <c r="P399" s="43">
        <v>-144</v>
      </c>
      <c r="Q399" s="43">
        <v>0</v>
      </c>
      <c r="R399" s="43">
        <v>0</v>
      </c>
      <c r="S399" s="43">
        <v>0</v>
      </c>
      <c r="T399" s="43">
        <v>0</v>
      </c>
      <c r="U399" s="56"/>
    </row>
    <row r="400" spans="1:21" ht="17.25" customHeight="1" x14ac:dyDescent="0.3">
      <c r="A400" s="15" t="s">
        <v>30</v>
      </c>
      <c r="C400" s="19"/>
      <c r="D400" s="33" t="str">
        <f t="shared" si="88"/>
        <v>C100028</v>
      </c>
      <c r="E400" s="33"/>
      <c r="F400" s="34"/>
      <c r="G400" s="34" t="str">
        <f>"""NAV Direct"",""CRONUS JetCorp USA"",""32"",""1"",""34337"""</f>
        <v>"NAV Direct","CRONUS JetCorp USA","32","1","34337"</v>
      </c>
      <c r="H400" s="40">
        <v>43475</v>
      </c>
      <c r="I400" s="41">
        <v>34337</v>
      </c>
      <c r="J400" s="42" t="str">
        <f>"Customer"</f>
        <v>Customer</v>
      </c>
      <c r="K400" s="42" t="str">
        <f>"C100008"</f>
        <v>C100008</v>
      </c>
      <c r="L400" s="42" t="str">
        <f>IF($J400="Customer",_xll.NL("first",$J400,"Name","No.","@@"&amp;$K400),"")</f>
        <v>Blanemark Hifi Shop</v>
      </c>
      <c r="M400" s="42" t="str">
        <f>""</f>
        <v/>
      </c>
      <c r="N400" s="42" t="str">
        <f>IF($J400="Item",_xll.NL("first",$J400,"Description","No.","@@"&amp;$K400),"")</f>
        <v/>
      </c>
      <c r="O400" s="43">
        <v>0</v>
      </c>
      <c r="P400" s="43">
        <v>-24</v>
      </c>
      <c r="Q400" s="43">
        <v>0</v>
      </c>
      <c r="R400" s="43">
        <v>0</v>
      </c>
      <c r="S400" s="43">
        <v>0</v>
      </c>
      <c r="T400" s="43">
        <v>0</v>
      </c>
      <c r="U400" s="56"/>
    </row>
    <row r="401" spans="1:21" ht="17.25" customHeight="1" x14ac:dyDescent="0.3">
      <c r="A401" s="15" t="s">
        <v>30</v>
      </c>
      <c r="C401" s="19"/>
      <c r="D401" s="33" t="str">
        <f t="shared" si="88"/>
        <v>C100028</v>
      </c>
      <c r="E401" s="33"/>
      <c r="F401" s="34"/>
      <c r="G401" s="34" t="str">
        <f>"""NAV Direct"",""CRONUS JetCorp USA"",""32"",""1"",""64621"""</f>
        <v>"NAV Direct","CRONUS JetCorp USA","32","1","64621"</v>
      </c>
      <c r="H401" s="40">
        <v>43475</v>
      </c>
      <c r="I401" s="41">
        <v>64621</v>
      </c>
      <c r="J401" s="42" t="str">
        <f>"Customer"</f>
        <v>Customer</v>
      </c>
      <c r="K401" s="42" t="str">
        <f>"C100136"</f>
        <v>C100136</v>
      </c>
      <c r="L401" s="42" t="str">
        <f>IF($J401="Customer",_xll.NL("first",$J401,"Name","No.","@@"&amp;$K401),"")</f>
        <v>First Bank</v>
      </c>
      <c r="M401" s="42" t="str">
        <f>""</f>
        <v/>
      </c>
      <c r="N401" s="42" t="str">
        <f>IF($J401="Item",_xll.NL("first",$J401,"Description","No.","@@"&amp;$K401),"")</f>
        <v/>
      </c>
      <c r="O401" s="43">
        <v>0</v>
      </c>
      <c r="P401" s="43">
        <v>-48</v>
      </c>
      <c r="Q401" s="43">
        <v>0</v>
      </c>
      <c r="R401" s="43">
        <v>0</v>
      </c>
      <c r="S401" s="43">
        <v>0</v>
      </c>
      <c r="T401" s="43">
        <v>0</v>
      </c>
      <c r="U401" s="56"/>
    </row>
    <row r="402" spans="1:21" ht="17.25" customHeight="1" x14ac:dyDescent="0.3">
      <c r="A402" s="15" t="s">
        <v>30</v>
      </c>
      <c r="C402" s="19"/>
      <c r="D402" s="33" t="str">
        <f t="shared" si="88"/>
        <v>C100028</v>
      </c>
      <c r="E402" s="33"/>
      <c r="F402" s="34"/>
      <c r="G402" s="34" t="str">
        <f>"""NAV Direct"",""CRONUS JetCorp USA"",""32"",""1"",""128885"""</f>
        <v>"NAV Direct","CRONUS JetCorp USA","32","1","128885"</v>
      </c>
      <c r="H402" s="40">
        <v>43475</v>
      </c>
      <c r="I402" s="41">
        <v>128885</v>
      </c>
      <c r="J402" s="42" t="str">
        <f>"Customer"</f>
        <v>Customer</v>
      </c>
      <c r="K402" s="42" t="str">
        <f>"C100095"</f>
        <v>C100095</v>
      </c>
      <c r="L402" s="42" t="str">
        <f>IF($J402="Customer",_xll.NL("first",$J402,"Name","No.","@@"&amp;$K402),"")</f>
        <v>Randotax Outfitters</v>
      </c>
      <c r="M402" s="42" t="str">
        <f>""</f>
        <v/>
      </c>
      <c r="N402" s="42" t="str">
        <f>IF($J402="Item",_xll.NL("first",$J402,"Description","No.","@@"&amp;$K402),"")</f>
        <v/>
      </c>
      <c r="O402" s="43">
        <v>0</v>
      </c>
      <c r="P402" s="43">
        <v>-144</v>
      </c>
      <c r="Q402" s="43">
        <v>0</v>
      </c>
      <c r="R402" s="43">
        <v>0</v>
      </c>
      <c r="S402" s="43">
        <v>0</v>
      </c>
      <c r="T402" s="43">
        <v>0</v>
      </c>
      <c r="U402" s="56"/>
    </row>
    <row r="403" spans="1:21" ht="17.25" customHeight="1" x14ac:dyDescent="0.3">
      <c r="A403" s="15" t="s">
        <v>30</v>
      </c>
      <c r="C403" s="19"/>
      <c r="D403" s="33" t="str">
        <f t="shared" si="88"/>
        <v>C100028</v>
      </c>
      <c r="E403" s="33"/>
      <c r="F403" s="34"/>
      <c r="G403" s="34" t="str">
        <f>"""NAV Direct"",""CRONUS JetCorp USA"",""32"",""1"",""38093"""</f>
        <v>"NAV Direct","CRONUS JetCorp USA","32","1","38093"</v>
      </c>
      <c r="H403" s="40">
        <v>43477</v>
      </c>
      <c r="I403" s="41">
        <v>38093</v>
      </c>
      <c r="J403" s="42" t="str">
        <f>"Customer"</f>
        <v>Customer</v>
      </c>
      <c r="K403" s="42" t="str">
        <f>"C100038"</f>
        <v>C100038</v>
      </c>
      <c r="L403" s="42" t="str">
        <f>IF($J403="Customer",_xll.NL("first",$J403,"Name","No.","@@"&amp;$K403),"")</f>
        <v>Gagn &amp; Gaman</v>
      </c>
      <c r="M403" s="42" t="str">
        <f>""</f>
        <v/>
      </c>
      <c r="N403" s="42" t="str">
        <f>IF($J403="Item",_xll.NL("first",$J403,"Description","No.","@@"&amp;$K403),"")</f>
        <v/>
      </c>
      <c r="O403" s="43">
        <v>0</v>
      </c>
      <c r="P403" s="43">
        <v>-12</v>
      </c>
      <c r="Q403" s="43">
        <v>0</v>
      </c>
      <c r="R403" s="43">
        <v>0</v>
      </c>
      <c r="S403" s="43">
        <v>0</v>
      </c>
      <c r="T403" s="43">
        <v>0</v>
      </c>
      <c r="U403" s="56"/>
    </row>
    <row r="404" spans="1:21" ht="17.25" customHeight="1" x14ac:dyDescent="0.3">
      <c r="A404" s="15" t="s">
        <v>30</v>
      </c>
      <c r="C404" s="19"/>
      <c r="D404" s="33" t="str">
        <f t="shared" si="88"/>
        <v>C100028</v>
      </c>
      <c r="E404" s="33"/>
      <c r="F404" s="34"/>
      <c r="G404" s="34" t="str">
        <f>"""NAV Direct"",""CRONUS JetCorp USA"",""32"",""1"",""132529"""</f>
        <v>"NAV Direct","CRONUS JetCorp USA","32","1","132529"</v>
      </c>
      <c r="H404" s="40">
        <v>43477</v>
      </c>
      <c r="I404" s="41">
        <v>132529</v>
      </c>
      <c r="J404" s="42" t="str">
        <f>"Customer"</f>
        <v>Customer</v>
      </c>
      <c r="K404" s="42" t="str">
        <f>"C100082"</f>
        <v>C100082</v>
      </c>
      <c r="L404" s="42" t="str">
        <f>IF($J404="Customer",_xll.NL("first",$J404,"Name","No.","@@"&amp;$K404),"")</f>
        <v>Sporting Goods Emporium</v>
      </c>
      <c r="M404" s="42" t="str">
        <f>""</f>
        <v/>
      </c>
      <c r="N404" s="42" t="str">
        <f>IF($J404="Item",_xll.NL("first",$J404,"Description","No.","@@"&amp;$K404),"")</f>
        <v/>
      </c>
      <c r="O404" s="43">
        <v>0</v>
      </c>
      <c r="P404" s="43">
        <v>-6</v>
      </c>
      <c r="Q404" s="43">
        <v>0</v>
      </c>
      <c r="R404" s="43">
        <v>0</v>
      </c>
      <c r="S404" s="43">
        <v>0</v>
      </c>
      <c r="T404" s="43">
        <v>0</v>
      </c>
      <c r="U404" s="56"/>
    </row>
    <row r="405" spans="1:21" ht="17.25" customHeight="1" x14ac:dyDescent="0.3">
      <c r="A405" s="15" t="s">
        <v>30</v>
      </c>
      <c r="C405" s="19"/>
      <c r="D405" s="33" t="str">
        <f t="shared" si="88"/>
        <v>C100028</v>
      </c>
      <c r="E405" s="33"/>
      <c r="F405" s="34"/>
      <c r="G405" s="34" t="str">
        <f>"""NAV Direct"",""CRONUS JetCorp USA"",""32"",""1"",""138735"""</f>
        <v>"NAV Direct","CRONUS JetCorp USA","32","1","138735"</v>
      </c>
      <c r="H405" s="40">
        <v>43477</v>
      </c>
      <c r="I405" s="41">
        <v>138735</v>
      </c>
      <c r="J405" s="42" t="str">
        <f>"Customer"</f>
        <v>Customer</v>
      </c>
      <c r="K405" s="42" t="str">
        <f>"C100021"</f>
        <v>C100021</v>
      </c>
      <c r="L405" s="42" t="str">
        <f>IF($J405="Customer",_xll.NL("first",$J405,"Name","No.","@@"&amp;$K405),"")</f>
        <v>Cronus Cardoxy Sales</v>
      </c>
      <c r="M405" s="42" t="str">
        <f>""</f>
        <v/>
      </c>
      <c r="N405" s="42" t="str">
        <f>IF($J405="Item",_xll.NL("first",$J405,"Description","No.","@@"&amp;$K405),"")</f>
        <v/>
      </c>
      <c r="O405" s="43">
        <v>0</v>
      </c>
      <c r="P405" s="43">
        <v>-1</v>
      </c>
      <c r="Q405" s="43">
        <v>0</v>
      </c>
      <c r="R405" s="43">
        <v>0</v>
      </c>
      <c r="S405" s="43">
        <v>0</v>
      </c>
      <c r="T405" s="43">
        <v>0</v>
      </c>
      <c r="U405" s="56"/>
    </row>
    <row r="406" spans="1:21" ht="17.25" customHeight="1" x14ac:dyDescent="0.3">
      <c r="A406" s="15" t="s">
        <v>30</v>
      </c>
      <c r="C406" s="19"/>
      <c r="D406" s="33"/>
      <c r="E406" s="33"/>
      <c r="F406" s="34"/>
      <c r="G406" s="34"/>
      <c r="H406" s="34"/>
      <c r="I406" s="34"/>
      <c r="J406" s="34"/>
      <c r="K406" s="34"/>
      <c r="L406" s="34"/>
      <c r="M406" s="34"/>
      <c r="N406" s="34"/>
      <c r="O406" s="44"/>
      <c r="P406" s="44"/>
      <c r="Q406" s="44"/>
      <c r="R406" s="44"/>
      <c r="S406" s="44"/>
      <c r="T406" s="44"/>
      <c r="U406" s="57"/>
    </row>
    <row r="407" spans="1:21" ht="17.25" customHeight="1" x14ac:dyDescent="0.3">
      <c r="A407" s="15" t="s">
        <v>30</v>
      </c>
      <c r="C407" s="19"/>
      <c r="D407" s="33"/>
      <c r="E407" s="33" t="s">
        <v>31</v>
      </c>
      <c r="F407" s="34" t="s">
        <v>31</v>
      </c>
      <c r="G407" s="34" t="s">
        <v>31</v>
      </c>
      <c r="H407" s="34"/>
      <c r="I407" s="34"/>
      <c r="J407" s="34" t="s">
        <v>31</v>
      </c>
      <c r="K407" s="34" t="s">
        <v>31</v>
      </c>
      <c r="L407" s="34" t="s">
        <v>31</v>
      </c>
      <c r="M407" s="34" t="s">
        <v>31</v>
      </c>
      <c r="N407" s="34"/>
      <c r="U407" s="58"/>
    </row>
    <row r="408" spans="1:21" ht="20.25" customHeight="1" x14ac:dyDescent="0.35">
      <c r="A408" s="15" t="s">
        <v>30</v>
      </c>
      <c r="C408" s="19"/>
      <c r="D408" s="35" t="str">
        <f t="shared" ref="D408" si="89">E408</f>
        <v>C100029</v>
      </c>
      <c r="E408" s="36" t="str">
        <f>"C100029"</f>
        <v>C100029</v>
      </c>
      <c r="F408" s="37" t="str">
        <f>"Distressed Twill Visor"</f>
        <v>Distressed Twill Visor</v>
      </c>
      <c r="G408" s="37"/>
      <c r="H408" s="38" t="str">
        <f>"EA"</f>
        <v>EA</v>
      </c>
      <c r="I408" s="37"/>
      <c r="J408" s="37"/>
      <c r="K408" s="37"/>
      <c r="L408" s="37"/>
      <c r="M408" s="37"/>
      <c r="N408" s="37"/>
      <c r="O408" s="39">
        <f>(SUBTOTAL(9,O409:O429))</f>
        <v>7200</v>
      </c>
      <c r="P408" s="39">
        <f>(SUBTOTAL(9,P409:P429))</f>
        <v>-2378</v>
      </c>
      <c r="Q408" s="39">
        <f>(SUBTOTAL(9,Q409:Q429))</f>
        <v>0</v>
      </c>
      <c r="R408" s="39">
        <f>(SUBTOTAL(9,R409:R429))</f>
        <v>0</v>
      </c>
      <c r="S408" s="39">
        <f>(SUBTOTAL(9,S409:S429))</f>
        <v>0</v>
      </c>
      <c r="T408" s="39">
        <f>(SUBTOTAL(9,T409:T429))</f>
        <v>0</v>
      </c>
      <c r="U408" s="55">
        <f t="shared" ref="U408" si="90">SUBTOTAL(9,O409:T429)</f>
        <v>4822</v>
      </c>
    </row>
    <row r="409" spans="1:21" ht="17.25" customHeight="1" x14ac:dyDescent="0.3">
      <c r="A409" s="15" t="s">
        <v>30</v>
      </c>
      <c r="C409" s="19"/>
      <c r="D409" s="33" t="str">
        <f t="shared" ref="D409" si="91">D408</f>
        <v>C100029</v>
      </c>
      <c r="E409" s="33"/>
      <c r="F409" s="34"/>
      <c r="G409" s="34" t="str">
        <f>"""NAV Direct"",""CRONUS JetCorp USA"",""32"",""1"",""132497"""</f>
        <v>"NAV Direct","CRONUS JetCorp USA","32","1","132497"</v>
      </c>
      <c r="H409" s="40">
        <v>43466</v>
      </c>
      <c r="I409" s="41">
        <v>132497</v>
      </c>
      <c r="J409" s="42" t="str">
        <f>"Customer"</f>
        <v>Customer</v>
      </c>
      <c r="K409" s="42" t="str">
        <f>"C100040"</f>
        <v>C100040</v>
      </c>
      <c r="L409" s="42" t="str">
        <f>IF($J409="Customer",_xll.NL("first",$J409,"Name","No.","@@"&amp;$K409),"")</f>
        <v>Guildford Water Department</v>
      </c>
      <c r="M409" s="42" t="str">
        <f>""</f>
        <v/>
      </c>
      <c r="N409" s="42" t="str">
        <f>IF($J409="Item",_xll.NL("first",$J409,"Description","No.","@@"&amp;$K409),"")</f>
        <v/>
      </c>
      <c r="O409" s="43">
        <v>0</v>
      </c>
      <c r="P409" s="43">
        <v>-144</v>
      </c>
      <c r="Q409" s="43">
        <v>0</v>
      </c>
      <c r="R409" s="43">
        <v>0</v>
      </c>
      <c r="S409" s="43">
        <v>0</v>
      </c>
      <c r="T409" s="43">
        <v>0</v>
      </c>
      <c r="U409" s="56"/>
    </row>
    <row r="410" spans="1:21" ht="17.25" customHeight="1" x14ac:dyDescent="0.3">
      <c r="A410" s="15" t="s">
        <v>30</v>
      </c>
      <c r="C410" s="19"/>
      <c r="D410" s="33" t="str">
        <f t="shared" ref="D410:D428" si="92">D409</f>
        <v>C100029</v>
      </c>
      <c r="E410" s="33"/>
      <c r="F410" s="34"/>
      <c r="G410" s="34" t="str">
        <f>"""NAV Direct"",""CRONUS JetCorp USA"",""32"",""1"",""167082"""</f>
        <v>"NAV Direct","CRONUS JetCorp USA","32","1","167082"</v>
      </c>
      <c r="H410" s="40">
        <v>43466</v>
      </c>
      <c r="I410" s="41">
        <v>167082</v>
      </c>
      <c r="J410" s="42" t="str">
        <f>"Vendor"</f>
        <v>Vendor</v>
      </c>
      <c r="K410" s="42" t="str">
        <f>"V100009"</f>
        <v>V100009</v>
      </c>
      <c r="L410" s="42" t="str">
        <f>IF($J410="Customer",_xll.NL("first",$J410,"Name","No.","@@"&amp;$K410),"")</f>
        <v/>
      </c>
      <c r="M410" s="42" t="str">
        <f>"Malay-Dan Export Unit Sdn Bhd"</f>
        <v>Malay-Dan Export Unit Sdn Bhd</v>
      </c>
      <c r="N410" s="42" t="str">
        <f>IF($J410="Item",_xll.NL("first",$J410,"Description","No.","@@"&amp;$K410),"")</f>
        <v/>
      </c>
      <c r="O410" s="43">
        <v>400</v>
      </c>
      <c r="P410" s="43">
        <v>0</v>
      </c>
      <c r="Q410" s="43">
        <v>0</v>
      </c>
      <c r="R410" s="43">
        <v>0</v>
      </c>
      <c r="S410" s="43">
        <v>0</v>
      </c>
      <c r="T410" s="43">
        <v>0</v>
      </c>
      <c r="U410" s="56"/>
    </row>
    <row r="411" spans="1:21" ht="17.25" customHeight="1" x14ac:dyDescent="0.3">
      <c r="A411" s="15" t="s">
        <v>30</v>
      </c>
      <c r="C411" s="19"/>
      <c r="D411" s="33" t="str">
        <f t="shared" si="92"/>
        <v>C100029</v>
      </c>
      <c r="E411" s="33"/>
      <c r="F411" s="34"/>
      <c r="G411" s="34" t="str">
        <f>"""NAV Direct"",""CRONUS JetCorp USA"",""32"",""1"",""167099"""</f>
        <v>"NAV Direct","CRONUS JetCorp USA","32","1","167099"</v>
      </c>
      <c r="H411" s="40">
        <v>43466</v>
      </c>
      <c r="I411" s="41">
        <v>167099</v>
      </c>
      <c r="J411" s="42" t="str">
        <f>"Vendor"</f>
        <v>Vendor</v>
      </c>
      <c r="K411" s="42" t="str">
        <f>"V100040"</f>
        <v>V100040</v>
      </c>
      <c r="L411" s="42" t="str">
        <f>IF($J411="Customer",_xll.NL("first",$J411,"Name","No.","@@"&amp;$K411),"")</f>
        <v/>
      </c>
      <c r="M411" s="42" t="str">
        <f>"Technische Betriebe Rotkreuz"</f>
        <v>Technische Betriebe Rotkreuz</v>
      </c>
      <c r="N411" s="42" t="str">
        <f>IF($J411="Item",_xll.NL("first",$J411,"Description","No.","@@"&amp;$K411),"")</f>
        <v/>
      </c>
      <c r="O411" s="43">
        <v>1200</v>
      </c>
      <c r="P411" s="43">
        <v>0</v>
      </c>
      <c r="Q411" s="43">
        <v>0</v>
      </c>
      <c r="R411" s="43">
        <v>0</v>
      </c>
      <c r="S411" s="43">
        <v>0</v>
      </c>
      <c r="T411" s="43">
        <v>0</v>
      </c>
      <c r="U411" s="56"/>
    </row>
    <row r="412" spans="1:21" ht="17.25" customHeight="1" x14ac:dyDescent="0.3">
      <c r="A412" s="15" t="s">
        <v>30</v>
      </c>
      <c r="C412" s="19"/>
      <c r="D412" s="33" t="str">
        <f t="shared" si="92"/>
        <v>C100029</v>
      </c>
      <c r="E412" s="33"/>
      <c r="F412" s="34"/>
      <c r="G412" s="34" t="str">
        <f>"""NAV Direct"",""CRONUS JetCorp USA"",""32"",""1"",""167119"""</f>
        <v>"NAV Direct","CRONUS JetCorp USA","32","1","167119"</v>
      </c>
      <c r="H412" s="40">
        <v>43466</v>
      </c>
      <c r="I412" s="41">
        <v>167119</v>
      </c>
      <c r="J412" s="42" t="str">
        <f>"Vendor"</f>
        <v>Vendor</v>
      </c>
      <c r="K412" s="42" t="str">
        <f>"V100007"</f>
        <v>V100007</v>
      </c>
      <c r="L412" s="42" t="str">
        <f>IF($J412="Customer",_xll.NL("first",$J412,"Name","No.","@@"&amp;$K412),"")</f>
        <v/>
      </c>
      <c r="M412" s="42" t="str">
        <f>"TrendTech"</f>
        <v>TrendTech</v>
      </c>
      <c r="N412" s="42" t="str">
        <f>IF($J412="Item",_xll.NL("first",$J412,"Description","No.","@@"&amp;$K412),"")</f>
        <v/>
      </c>
      <c r="O412" s="43">
        <v>800</v>
      </c>
      <c r="P412" s="43">
        <v>0</v>
      </c>
      <c r="Q412" s="43">
        <v>0</v>
      </c>
      <c r="R412" s="43">
        <v>0</v>
      </c>
      <c r="S412" s="43">
        <v>0</v>
      </c>
      <c r="T412" s="43">
        <v>0</v>
      </c>
      <c r="U412" s="56"/>
    </row>
    <row r="413" spans="1:21" ht="17.25" customHeight="1" x14ac:dyDescent="0.3">
      <c r="A413" s="15" t="s">
        <v>30</v>
      </c>
      <c r="C413" s="19"/>
      <c r="D413" s="33" t="str">
        <f t="shared" si="92"/>
        <v>C100029</v>
      </c>
      <c r="E413" s="33"/>
      <c r="F413" s="34"/>
      <c r="G413" s="34" t="str">
        <f>"""NAV Direct"",""CRONUS JetCorp USA"",""32"",""1"",""167138"""</f>
        <v>"NAV Direct","CRONUS JetCorp USA","32","1","167138"</v>
      </c>
      <c r="H413" s="40">
        <v>43466</v>
      </c>
      <c r="I413" s="41">
        <v>167138</v>
      </c>
      <c r="J413" s="42" t="str">
        <f>"Vendor"</f>
        <v>Vendor</v>
      </c>
      <c r="K413" s="42" t="str">
        <f>"V100001"</f>
        <v>V100001</v>
      </c>
      <c r="L413" s="42" t="str">
        <f>IF($J413="Customer",_xll.NL("first",$J413,"Name","No.","@@"&amp;$K413),"")</f>
        <v/>
      </c>
      <c r="M413" s="42" t="str">
        <f>"Greigner, Inc."</f>
        <v>Greigner, Inc.</v>
      </c>
      <c r="N413" s="42" t="str">
        <f>IF($J413="Item",_xll.NL("first",$J413,"Description","No.","@@"&amp;$K413),"")</f>
        <v/>
      </c>
      <c r="O413" s="43">
        <v>3600</v>
      </c>
      <c r="P413" s="43">
        <v>0</v>
      </c>
      <c r="Q413" s="43">
        <v>0</v>
      </c>
      <c r="R413" s="43">
        <v>0</v>
      </c>
      <c r="S413" s="43">
        <v>0</v>
      </c>
      <c r="T413" s="43">
        <v>0</v>
      </c>
      <c r="U413" s="56"/>
    </row>
    <row r="414" spans="1:21" ht="17.25" customHeight="1" x14ac:dyDescent="0.3">
      <c r="A414" s="15" t="s">
        <v>30</v>
      </c>
      <c r="C414" s="19"/>
      <c r="D414" s="33" t="str">
        <f t="shared" si="92"/>
        <v>C100029</v>
      </c>
      <c r="E414" s="33"/>
      <c r="F414" s="34"/>
      <c r="G414" s="34" t="str">
        <f>"""NAV Direct"",""CRONUS JetCorp USA"",""32"",""1"",""167162"""</f>
        <v>"NAV Direct","CRONUS JetCorp USA","32","1","167162"</v>
      </c>
      <c r="H414" s="40">
        <v>43466</v>
      </c>
      <c r="I414" s="41">
        <v>167162</v>
      </c>
      <c r="J414" s="42" t="str">
        <f>"Vendor"</f>
        <v>Vendor</v>
      </c>
      <c r="K414" s="42" t="str">
        <f>"V100003"</f>
        <v>V100003</v>
      </c>
      <c r="L414" s="42" t="str">
        <f>IF($J414="Customer",_xll.NL("first",$J414,"Name","No.","@@"&amp;$K414),"")</f>
        <v/>
      </c>
      <c r="M414" s="42" t="str">
        <f>"LogoMasters"</f>
        <v>LogoMasters</v>
      </c>
      <c r="N414" s="42" t="str">
        <f>IF($J414="Item",_xll.NL("first",$J414,"Description","No.","@@"&amp;$K414),"")</f>
        <v/>
      </c>
      <c r="O414" s="43">
        <v>1200</v>
      </c>
      <c r="P414" s="43">
        <v>0</v>
      </c>
      <c r="Q414" s="43">
        <v>0</v>
      </c>
      <c r="R414" s="43">
        <v>0</v>
      </c>
      <c r="S414" s="43">
        <v>0</v>
      </c>
      <c r="T414" s="43">
        <v>0</v>
      </c>
      <c r="U414" s="56"/>
    </row>
    <row r="415" spans="1:21" ht="17.25" customHeight="1" x14ac:dyDescent="0.3">
      <c r="A415" s="15" t="s">
        <v>30</v>
      </c>
      <c r="C415" s="19"/>
      <c r="D415" s="33" t="str">
        <f t="shared" si="92"/>
        <v>C100029</v>
      </c>
      <c r="E415" s="33"/>
      <c r="F415" s="34"/>
      <c r="G415" s="34" t="str">
        <f>"""NAV Direct"",""CRONUS JetCorp USA"",""32"",""1"",""20371"""</f>
        <v>"NAV Direct","CRONUS JetCorp USA","32","1","20371"</v>
      </c>
      <c r="H415" s="40">
        <v>43468</v>
      </c>
      <c r="I415" s="41">
        <v>20371</v>
      </c>
      <c r="J415" s="42" t="str">
        <f>"Customer"</f>
        <v>Customer</v>
      </c>
      <c r="K415" s="42" t="str">
        <f>"C100145"</f>
        <v>C100145</v>
      </c>
      <c r="L415" s="42" t="str">
        <f>IF($J415="Customer",_xll.NL("first",$J415,"Name","No.","@@"&amp;$K415),"")</f>
        <v>Dicon Industries</v>
      </c>
      <c r="M415" s="42" t="str">
        <f>""</f>
        <v/>
      </c>
      <c r="N415" s="42" t="str">
        <f>IF($J415="Item",_xll.NL("first",$J415,"Description","No.","@@"&amp;$K415),"")</f>
        <v/>
      </c>
      <c r="O415" s="43">
        <v>0</v>
      </c>
      <c r="P415" s="43">
        <v>-144</v>
      </c>
      <c r="Q415" s="43">
        <v>0</v>
      </c>
      <c r="R415" s="43">
        <v>0</v>
      </c>
      <c r="S415" s="43">
        <v>0</v>
      </c>
      <c r="T415" s="43">
        <v>0</v>
      </c>
      <c r="U415" s="56"/>
    </row>
    <row r="416" spans="1:21" ht="17.25" customHeight="1" x14ac:dyDescent="0.3">
      <c r="A416" s="15" t="s">
        <v>30</v>
      </c>
      <c r="C416" s="19"/>
      <c r="D416" s="33" t="str">
        <f t="shared" si="92"/>
        <v>C100029</v>
      </c>
      <c r="E416" s="33"/>
      <c r="F416" s="34"/>
      <c r="G416" s="34" t="str">
        <f>"""NAV Direct"",""CRONUS JetCorp USA"",""32"",""1"",""25240"""</f>
        <v>"NAV Direct","CRONUS JetCorp USA","32","1","25240"</v>
      </c>
      <c r="H416" s="40">
        <v>43471</v>
      </c>
      <c r="I416" s="41">
        <v>25240</v>
      </c>
      <c r="J416" s="42" t="str">
        <f>"Customer"</f>
        <v>Customer</v>
      </c>
      <c r="K416" s="42" t="str">
        <f>"C100102"</f>
        <v>C100102</v>
      </c>
      <c r="L416" s="42" t="str">
        <f>IF($J416="Customer",_xll.NL("first",$J416,"Name","No.","@@"&amp;$K416),"")</f>
        <v xml:space="preserve">BEI Outfitters </v>
      </c>
      <c r="M416" s="42" t="str">
        <f>""</f>
        <v/>
      </c>
      <c r="N416" s="42" t="str">
        <f>IF($J416="Item",_xll.NL("first",$J416,"Description","No.","@@"&amp;$K416),"")</f>
        <v/>
      </c>
      <c r="O416" s="43">
        <v>0</v>
      </c>
      <c r="P416" s="43">
        <v>-144</v>
      </c>
      <c r="Q416" s="43">
        <v>0</v>
      </c>
      <c r="R416" s="43">
        <v>0</v>
      </c>
      <c r="S416" s="43">
        <v>0</v>
      </c>
      <c r="T416" s="43">
        <v>0</v>
      </c>
      <c r="U416" s="56"/>
    </row>
    <row r="417" spans="1:21" ht="17.25" customHeight="1" x14ac:dyDescent="0.3">
      <c r="A417" s="15" t="s">
        <v>30</v>
      </c>
      <c r="C417" s="19"/>
      <c r="D417" s="33" t="str">
        <f t="shared" si="92"/>
        <v>C100029</v>
      </c>
      <c r="E417" s="33"/>
      <c r="F417" s="34"/>
      <c r="G417" s="34" t="str">
        <f>"""NAV Direct"",""CRONUS JetCorp USA"",""32"",""1"",""30035"""</f>
        <v>"NAV Direct","CRONUS JetCorp USA","32","1","30035"</v>
      </c>
      <c r="H417" s="40">
        <v>43471</v>
      </c>
      <c r="I417" s="41">
        <v>30035</v>
      </c>
      <c r="J417" s="42" t="str">
        <f>"Customer"</f>
        <v>Customer</v>
      </c>
      <c r="K417" s="42" t="str">
        <f>"C100012"</f>
        <v>C100012</v>
      </c>
      <c r="L417" s="42" t="str">
        <f>IF($J417="Customer",_xll.NL("first",$J417,"Name","No.","@@"&amp;$K417),"")</f>
        <v>Bainbridges</v>
      </c>
      <c r="M417" s="42" t="str">
        <f>""</f>
        <v/>
      </c>
      <c r="N417" s="42" t="str">
        <f>IF($J417="Item",_xll.NL("first",$J417,"Description","No.","@@"&amp;$K417),"")</f>
        <v/>
      </c>
      <c r="O417" s="43">
        <v>0</v>
      </c>
      <c r="P417" s="43">
        <v>-144</v>
      </c>
      <c r="Q417" s="43">
        <v>0</v>
      </c>
      <c r="R417" s="43">
        <v>0</v>
      </c>
      <c r="S417" s="43">
        <v>0</v>
      </c>
      <c r="T417" s="43">
        <v>0</v>
      </c>
      <c r="U417" s="56"/>
    </row>
    <row r="418" spans="1:21" ht="17.25" customHeight="1" x14ac:dyDescent="0.3">
      <c r="A418" s="15" t="s">
        <v>30</v>
      </c>
      <c r="C418" s="19"/>
      <c r="D418" s="33" t="str">
        <f t="shared" si="92"/>
        <v>C100029</v>
      </c>
      <c r="E418" s="33"/>
      <c r="F418" s="34"/>
      <c r="G418" s="34" t="str">
        <f>"""NAV Direct"",""CRONUS JetCorp USA"",""32"",""1"",""128860"""</f>
        <v>"NAV Direct","CRONUS JetCorp USA","32","1","128860"</v>
      </c>
      <c r="H418" s="40">
        <v>43471</v>
      </c>
      <c r="I418" s="41">
        <v>128860</v>
      </c>
      <c r="J418" s="42" t="str">
        <f>"Customer"</f>
        <v>Customer</v>
      </c>
      <c r="K418" s="42" t="str">
        <f>"C100138"</f>
        <v>C100138</v>
      </c>
      <c r="L418" s="42" t="str">
        <f>IF($J418="Customer",_xll.NL("first",$J418,"Name","No.","@@"&amp;$K418),"")</f>
        <v>Dantons</v>
      </c>
      <c r="M418" s="42" t="str">
        <f>""</f>
        <v/>
      </c>
      <c r="N418" s="42" t="str">
        <f>IF($J418="Item",_xll.NL("first",$J418,"Description","No.","@@"&amp;$K418),"")</f>
        <v/>
      </c>
      <c r="O418" s="43">
        <v>0</v>
      </c>
      <c r="P418" s="43">
        <v>-1</v>
      </c>
      <c r="Q418" s="43">
        <v>0</v>
      </c>
      <c r="R418" s="43">
        <v>0</v>
      </c>
      <c r="S418" s="43">
        <v>0</v>
      </c>
      <c r="T418" s="43">
        <v>0</v>
      </c>
      <c r="U418" s="56"/>
    </row>
    <row r="419" spans="1:21" ht="17.25" customHeight="1" x14ac:dyDescent="0.3">
      <c r="A419" s="15" t="s">
        <v>30</v>
      </c>
      <c r="C419" s="19"/>
      <c r="D419" s="33" t="str">
        <f t="shared" si="92"/>
        <v>C100029</v>
      </c>
      <c r="E419" s="33"/>
      <c r="F419" s="34"/>
      <c r="G419" s="34" t="str">
        <f>"""NAV Direct"",""CRONUS JetCorp USA"",""32"",""1"",""44468"""</f>
        <v>"NAV Direct","CRONUS JetCorp USA","32","1","44468"</v>
      </c>
      <c r="H419" s="40">
        <v>43472</v>
      </c>
      <c r="I419" s="41">
        <v>44468</v>
      </c>
      <c r="J419" s="42" t="str">
        <f>"Customer"</f>
        <v>Customer</v>
      </c>
      <c r="K419" s="42" t="str">
        <f>"C100141"</f>
        <v>C100141</v>
      </c>
      <c r="L419" s="42" t="str">
        <f>IF($J419="Customer",_xll.NL("first",$J419,"Name","No.","@@"&amp;$K419),"")</f>
        <v>Bargottis</v>
      </c>
      <c r="M419" s="42" t="str">
        <f>""</f>
        <v/>
      </c>
      <c r="N419" s="42" t="str">
        <f>IF($J419="Item",_xll.NL("first",$J419,"Description","No.","@@"&amp;$K419),"")</f>
        <v/>
      </c>
      <c r="O419" s="43">
        <v>0</v>
      </c>
      <c r="P419" s="43">
        <v>-144</v>
      </c>
      <c r="Q419" s="43">
        <v>0</v>
      </c>
      <c r="R419" s="43">
        <v>0</v>
      </c>
      <c r="S419" s="43">
        <v>0</v>
      </c>
      <c r="T419" s="43">
        <v>0</v>
      </c>
      <c r="U419" s="56"/>
    </row>
    <row r="420" spans="1:21" ht="17.25" customHeight="1" x14ac:dyDescent="0.3">
      <c r="A420" s="15" t="s">
        <v>30</v>
      </c>
      <c r="C420" s="19"/>
      <c r="D420" s="33" t="str">
        <f t="shared" si="92"/>
        <v>C100029</v>
      </c>
      <c r="E420" s="33"/>
      <c r="F420" s="34"/>
      <c r="G420" s="34" t="str">
        <f>"""NAV Direct"",""CRONUS JetCorp USA"",""32"",""1"",""54724"""</f>
        <v>"NAV Direct","CRONUS JetCorp USA","32","1","54724"</v>
      </c>
      <c r="H420" s="40">
        <v>43472</v>
      </c>
      <c r="I420" s="41">
        <v>54724</v>
      </c>
      <c r="J420" s="42" t="str">
        <f>"Customer"</f>
        <v>Customer</v>
      </c>
      <c r="K420" s="42" t="str">
        <f>"C100084"</f>
        <v>C100084</v>
      </c>
      <c r="L420" s="42" t="str">
        <f>IF($J420="Customer",_xll.NL("first",$J420,"Name","No.","@@"&amp;$K420),"")</f>
        <v>The Cannon Group PLC</v>
      </c>
      <c r="M420" s="42" t="str">
        <f>""</f>
        <v/>
      </c>
      <c r="N420" s="42" t="str">
        <f>IF($J420="Item",_xll.NL("first",$J420,"Description","No.","@@"&amp;$K420),"")</f>
        <v/>
      </c>
      <c r="O420" s="43">
        <v>0</v>
      </c>
      <c r="P420" s="43">
        <v>-144</v>
      </c>
      <c r="Q420" s="43">
        <v>0</v>
      </c>
      <c r="R420" s="43">
        <v>0</v>
      </c>
      <c r="S420" s="43">
        <v>0</v>
      </c>
      <c r="T420" s="43">
        <v>0</v>
      </c>
      <c r="U420" s="56"/>
    </row>
    <row r="421" spans="1:21" ht="17.25" customHeight="1" x14ac:dyDescent="0.3">
      <c r="A421" s="15" t="s">
        <v>30</v>
      </c>
      <c r="C421" s="19"/>
      <c r="D421" s="33" t="str">
        <f t="shared" si="92"/>
        <v>C100029</v>
      </c>
      <c r="E421" s="33"/>
      <c r="F421" s="34"/>
      <c r="G421" s="34" t="str">
        <f>"""NAV Direct"",""CRONUS JetCorp USA"",""32"",""1"",""44517"""</f>
        <v>"NAV Direct","CRONUS JetCorp USA","32","1","44517"</v>
      </c>
      <c r="H421" s="40">
        <v>43473</v>
      </c>
      <c r="I421" s="41">
        <v>44517</v>
      </c>
      <c r="J421" s="42" t="str">
        <f>"Customer"</f>
        <v>Customer</v>
      </c>
      <c r="K421" s="42" t="str">
        <f>"C100139"</f>
        <v>C100139</v>
      </c>
      <c r="L421" s="42" t="str">
        <f>IF($J421="Customer",_xll.NL("first",$J421,"Name","No.","@@"&amp;$K421),"")</f>
        <v>Gamma Ray's</v>
      </c>
      <c r="M421" s="42" t="str">
        <f>""</f>
        <v/>
      </c>
      <c r="N421" s="42" t="str">
        <f>IF($J421="Item",_xll.NL("first",$J421,"Description","No.","@@"&amp;$K421),"")</f>
        <v/>
      </c>
      <c r="O421" s="43">
        <v>0</v>
      </c>
      <c r="P421" s="43">
        <v>-144</v>
      </c>
      <c r="Q421" s="43">
        <v>0</v>
      </c>
      <c r="R421" s="43">
        <v>0</v>
      </c>
      <c r="S421" s="43">
        <v>0</v>
      </c>
      <c r="T421" s="43">
        <v>0</v>
      </c>
      <c r="U421" s="56"/>
    </row>
    <row r="422" spans="1:21" ht="17.25" customHeight="1" x14ac:dyDescent="0.3">
      <c r="A422" s="15" t="s">
        <v>30</v>
      </c>
      <c r="C422" s="19"/>
      <c r="D422" s="33" t="str">
        <f t="shared" si="92"/>
        <v>C100029</v>
      </c>
      <c r="E422" s="33"/>
      <c r="F422" s="34"/>
      <c r="G422" s="34" t="str">
        <f>"""NAV Direct"",""CRONUS JetCorp USA"",""32"",""1"",""54698"""</f>
        <v>"NAV Direct","CRONUS JetCorp USA","32","1","54698"</v>
      </c>
      <c r="H422" s="40">
        <v>43474</v>
      </c>
      <c r="I422" s="41">
        <v>54698</v>
      </c>
      <c r="J422" s="42" t="str">
        <f>"Customer"</f>
        <v>Customer</v>
      </c>
      <c r="K422" s="42" t="str">
        <f>"C100096"</f>
        <v>C100096</v>
      </c>
      <c r="L422" s="42" t="str">
        <f>IF($J422="Customer",_xll.NL("first",$J422,"Name","No.","@@"&amp;$K422),"")</f>
        <v>D-Com Industries</v>
      </c>
      <c r="M422" s="42" t="str">
        <f>""</f>
        <v/>
      </c>
      <c r="N422" s="42" t="str">
        <f>IF($J422="Item",_xll.NL("first",$J422,"Description","No.","@@"&amp;$K422),"")</f>
        <v/>
      </c>
      <c r="O422" s="43">
        <v>0</v>
      </c>
      <c r="P422" s="43">
        <v>-144</v>
      </c>
      <c r="Q422" s="43">
        <v>0</v>
      </c>
      <c r="R422" s="43">
        <v>0</v>
      </c>
      <c r="S422" s="43">
        <v>0</v>
      </c>
      <c r="T422" s="43">
        <v>0</v>
      </c>
      <c r="U422" s="56"/>
    </row>
    <row r="423" spans="1:21" ht="17.25" customHeight="1" x14ac:dyDescent="0.3">
      <c r="A423" s="15" t="s">
        <v>30</v>
      </c>
      <c r="C423" s="19"/>
      <c r="D423" s="33" t="str">
        <f t="shared" si="92"/>
        <v>C100029</v>
      </c>
      <c r="E423" s="33"/>
      <c r="F423" s="34"/>
      <c r="G423" s="34" t="str">
        <f>"""NAV Direct"",""CRONUS JetCorp USA"",""32"",""1"",""20362"""</f>
        <v>"NAV Direct","CRONUS JetCorp USA","32","1","20362"</v>
      </c>
      <c r="H423" s="40">
        <v>43475</v>
      </c>
      <c r="I423" s="41">
        <v>20362</v>
      </c>
      <c r="J423" s="42" t="str">
        <f>"Customer"</f>
        <v>Customer</v>
      </c>
      <c r="K423" s="42" t="str">
        <f>"C100097"</f>
        <v>C100097</v>
      </c>
      <c r="L423" s="42" t="str">
        <f>IF($J423="Customer",_xll.NL("first",$J423,"Name","No.","@@"&amp;$K423),"")</f>
        <v>Solotech</v>
      </c>
      <c r="M423" s="42" t="str">
        <f>""</f>
        <v/>
      </c>
      <c r="N423" s="42" t="str">
        <f>IF($J423="Item",_xll.NL("first",$J423,"Description","No.","@@"&amp;$K423),"")</f>
        <v/>
      </c>
      <c r="O423" s="43">
        <v>0</v>
      </c>
      <c r="P423" s="43">
        <v>-1</v>
      </c>
      <c r="Q423" s="43">
        <v>0</v>
      </c>
      <c r="R423" s="43">
        <v>0</v>
      </c>
      <c r="S423" s="43">
        <v>0</v>
      </c>
      <c r="T423" s="43">
        <v>0</v>
      </c>
      <c r="U423" s="56"/>
    </row>
    <row r="424" spans="1:21" ht="17.25" customHeight="1" x14ac:dyDescent="0.3">
      <c r="A424" s="15" t="s">
        <v>30</v>
      </c>
      <c r="C424" s="19"/>
      <c r="D424" s="33" t="str">
        <f t="shared" si="92"/>
        <v>C100029</v>
      </c>
      <c r="E424" s="33"/>
      <c r="F424" s="34"/>
      <c r="G424" s="34" t="str">
        <f>"""NAV Direct"",""CRONUS JetCorp USA"",""32"",""1"",""30116"""</f>
        <v>"NAV Direct","CRONUS JetCorp USA","32","1","30116"</v>
      </c>
      <c r="H424" s="40">
        <v>43475</v>
      </c>
      <c r="I424" s="41">
        <v>30116</v>
      </c>
      <c r="J424" s="42" t="str">
        <f>"Customer"</f>
        <v>Customer</v>
      </c>
      <c r="K424" s="42" t="str">
        <f>"C100012"</f>
        <v>C100012</v>
      </c>
      <c r="L424" s="42" t="str">
        <f>IF($J424="Customer",_xll.NL("first",$J424,"Name","No.","@@"&amp;$K424),"")</f>
        <v>Bainbridges</v>
      </c>
      <c r="M424" s="42" t="str">
        <f>""</f>
        <v/>
      </c>
      <c r="N424" s="42" t="str">
        <f>IF($J424="Item",_xll.NL("first",$J424,"Description","No.","@@"&amp;$K424),"")</f>
        <v/>
      </c>
      <c r="O424" s="43">
        <v>0</v>
      </c>
      <c r="P424" s="43">
        <v>-144</v>
      </c>
      <c r="Q424" s="43">
        <v>0</v>
      </c>
      <c r="R424" s="43">
        <v>0</v>
      </c>
      <c r="S424" s="43">
        <v>0</v>
      </c>
      <c r="T424" s="43">
        <v>0</v>
      </c>
      <c r="U424" s="56"/>
    </row>
    <row r="425" spans="1:21" ht="17.25" customHeight="1" x14ac:dyDescent="0.3">
      <c r="A425" s="15" t="s">
        <v>30</v>
      </c>
      <c r="C425" s="19"/>
      <c r="D425" s="33" t="str">
        <f t="shared" si="92"/>
        <v>C100029</v>
      </c>
      <c r="E425" s="33"/>
      <c r="F425" s="34"/>
      <c r="G425" s="34" t="str">
        <f>"""NAV Direct"",""CRONUS JetCorp USA"",""32"",""1"",""36481"""</f>
        <v>"NAV Direct","CRONUS JetCorp USA","32","1","36481"</v>
      </c>
      <c r="H425" s="40">
        <v>43475</v>
      </c>
      <c r="I425" s="41">
        <v>36481</v>
      </c>
      <c r="J425" s="42" t="str">
        <f>"Customer"</f>
        <v>Customer</v>
      </c>
      <c r="K425" s="42" t="str">
        <f>"C100063"</f>
        <v>C100063</v>
      </c>
      <c r="L425" s="42" t="str">
        <f>IF($J425="Customer",_xll.NL("first",$J425,"Name","No.","@@"&amp;$K425),"")</f>
        <v>Möbel Scherrer AG</v>
      </c>
      <c r="M425" s="42" t="str">
        <f>""</f>
        <v/>
      </c>
      <c r="N425" s="42" t="str">
        <f>IF($J425="Item",_xll.NL("first",$J425,"Description","No.","@@"&amp;$K425),"")</f>
        <v/>
      </c>
      <c r="O425" s="43">
        <v>0</v>
      </c>
      <c r="P425" s="43">
        <v>-192</v>
      </c>
      <c r="Q425" s="43">
        <v>0</v>
      </c>
      <c r="R425" s="43">
        <v>0</v>
      </c>
      <c r="S425" s="43">
        <v>0</v>
      </c>
      <c r="T425" s="43">
        <v>0</v>
      </c>
      <c r="U425" s="56"/>
    </row>
    <row r="426" spans="1:21" ht="17.25" customHeight="1" x14ac:dyDescent="0.3">
      <c r="A426" s="15" t="s">
        <v>30</v>
      </c>
      <c r="C426" s="19"/>
      <c r="D426" s="33" t="str">
        <f t="shared" si="92"/>
        <v>C100029</v>
      </c>
      <c r="E426" s="33"/>
      <c r="F426" s="34"/>
      <c r="G426" s="34" t="str">
        <f>"""NAV Direct"",""CRONUS JetCorp USA"",""32"",""1"",""124585"""</f>
        <v>"NAV Direct","CRONUS JetCorp USA","32","1","124585"</v>
      </c>
      <c r="H426" s="40">
        <v>43475</v>
      </c>
      <c r="I426" s="41">
        <v>124585</v>
      </c>
      <c r="J426" s="42" t="str">
        <f>"Customer"</f>
        <v>Customer</v>
      </c>
      <c r="K426" s="42" t="str">
        <f>"C100035"</f>
        <v>C100035</v>
      </c>
      <c r="L426" s="42" t="str">
        <f>IF($J426="Customer",_xll.NL("first",$J426,"Name","No.","@@"&amp;$K426),"")</f>
        <v>First Touch Marketing</v>
      </c>
      <c r="M426" s="42" t="str">
        <f>""</f>
        <v/>
      </c>
      <c r="N426" s="42" t="str">
        <f>IF($J426="Item",_xll.NL("first",$J426,"Description","No.","@@"&amp;$K426),"")</f>
        <v/>
      </c>
      <c r="O426" s="43">
        <v>0</v>
      </c>
      <c r="P426" s="43">
        <v>-456</v>
      </c>
      <c r="Q426" s="43">
        <v>0</v>
      </c>
      <c r="R426" s="43">
        <v>0</v>
      </c>
      <c r="S426" s="43">
        <v>0</v>
      </c>
      <c r="T426" s="43">
        <v>0</v>
      </c>
      <c r="U426" s="56"/>
    </row>
    <row r="427" spans="1:21" ht="17.25" customHeight="1" x14ac:dyDescent="0.3">
      <c r="A427" s="15" t="s">
        <v>30</v>
      </c>
      <c r="C427" s="19"/>
      <c r="D427" s="33" t="str">
        <f t="shared" si="92"/>
        <v>C100029</v>
      </c>
      <c r="E427" s="33"/>
      <c r="F427" s="34"/>
      <c r="G427" s="34" t="str">
        <f>"""NAV Direct"",""CRONUS JetCorp USA"",""32"",""1"",""25269"""</f>
        <v>"NAV Direct","CRONUS JetCorp USA","32","1","25269"</v>
      </c>
      <c r="H427" s="40">
        <v>43476</v>
      </c>
      <c r="I427" s="41">
        <v>25269</v>
      </c>
      <c r="J427" s="42" t="str">
        <f>"Customer"</f>
        <v>Customer</v>
      </c>
      <c r="K427" s="42" t="str">
        <f>"C100102"</f>
        <v>C100102</v>
      </c>
      <c r="L427" s="42" t="str">
        <f>IF($J427="Customer",_xll.NL("first",$J427,"Name","No.","@@"&amp;$K427),"")</f>
        <v xml:space="preserve">BEI Outfitters </v>
      </c>
      <c r="M427" s="42" t="str">
        <f>""</f>
        <v/>
      </c>
      <c r="N427" s="42" t="str">
        <f>IF($J427="Item",_xll.NL("first",$J427,"Description","No.","@@"&amp;$K427),"")</f>
        <v/>
      </c>
      <c r="O427" s="43">
        <v>0</v>
      </c>
      <c r="P427" s="43">
        <v>-144</v>
      </c>
      <c r="Q427" s="43">
        <v>0</v>
      </c>
      <c r="R427" s="43">
        <v>0</v>
      </c>
      <c r="S427" s="43">
        <v>0</v>
      </c>
      <c r="T427" s="43">
        <v>0</v>
      </c>
      <c r="U427" s="56"/>
    </row>
    <row r="428" spans="1:21" ht="17.25" customHeight="1" x14ac:dyDescent="0.3">
      <c r="A428" s="15" t="s">
        <v>30</v>
      </c>
      <c r="C428" s="19"/>
      <c r="D428" s="33" t="str">
        <f t="shared" si="92"/>
        <v>C100029</v>
      </c>
      <c r="E428" s="33"/>
      <c r="F428" s="34"/>
      <c r="G428" s="34" t="str">
        <f>"""NAV Direct"",""CRONUS JetCorp USA"",""32"",""1"",""20401"""</f>
        <v>"NAV Direct","CRONUS JetCorp USA","32","1","20401"</v>
      </c>
      <c r="H428" s="40">
        <v>43477</v>
      </c>
      <c r="I428" s="41">
        <v>20401</v>
      </c>
      <c r="J428" s="42" t="str">
        <f>"Customer"</f>
        <v>Customer</v>
      </c>
      <c r="K428" s="42" t="str">
        <f>"C100039"</f>
        <v>C100039</v>
      </c>
      <c r="L428" s="42" t="str">
        <f>IF($J428="Customer",_xll.NL("first",$J428,"Name","No.","@@"&amp;$K428),"")</f>
        <v>Gary's Sports</v>
      </c>
      <c r="M428" s="42" t="str">
        <f>""</f>
        <v/>
      </c>
      <c r="N428" s="42" t="str">
        <f>IF($J428="Item",_xll.NL("first",$J428,"Description","No.","@@"&amp;$K428),"")</f>
        <v/>
      </c>
      <c r="O428" s="43">
        <v>0</v>
      </c>
      <c r="P428" s="43">
        <v>-288</v>
      </c>
      <c r="Q428" s="43">
        <v>0</v>
      </c>
      <c r="R428" s="43">
        <v>0</v>
      </c>
      <c r="S428" s="43">
        <v>0</v>
      </c>
      <c r="T428" s="43">
        <v>0</v>
      </c>
      <c r="U428" s="56"/>
    </row>
    <row r="429" spans="1:21" ht="17.25" customHeight="1" x14ac:dyDescent="0.3">
      <c r="A429" s="15" t="s">
        <v>30</v>
      </c>
      <c r="C429" s="19"/>
      <c r="D429" s="33"/>
      <c r="E429" s="33"/>
      <c r="F429" s="34"/>
      <c r="G429" s="34"/>
      <c r="H429" s="34"/>
      <c r="I429" s="34"/>
      <c r="J429" s="34"/>
      <c r="K429" s="34"/>
      <c r="L429" s="34"/>
      <c r="M429" s="34"/>
      <c r="N429" s="34"/>
      <c r="O429" s="44"/>
      <c r="P429" s="44"/>
      <c r="Q429" s="44"/>
      <c r="R429" s="44"/>
      <c r="S429" s="44"/>
      <c r="T429" s="44"/>
      <c r="U429" s="57"/>
    </row>
    <row r="430" spans="1:21" ht="17.25" customHeight="1" x14ac:dyDescent="0.3">
      <c r="A430" s="15" t="s">
        <v>30</v>
      </c>
      <c r="C430" s="19"/>
      <c r="D430" s="33"/>
      <c r="E430" s="33" t="s">
        <v>31</v>
      </c>
      <c r="F430" s="34" t="s">
        <v>31</v>
      </c>
      <c r="G430" s="34" t="s">
        <v>31</v>
      </c>
      <c r="H430" s="34"/>
      <c r="I430" s="34"/>
      <c r="J430" s="34" t="s">
        <v>31</v>
      </c>
      <c r="K430" s="34" t="s">
        <v>31</v>
      </c>
      <c r="L430" s="34" t="s">
        <v>31</v>
      </c>
      <c r="M430" s="34" t="s">
        <v>31</v>
      </c>
      <c r="N430" s="34"/>
      <c r="U430" s="58"/>
    </row>
    <row r="431" spans="1:21" ht="20.25" customHeight="1" x14ac:dyDescent="0.35">
      <c r="A431" s="15" t="s">
        <v>30</v>
      </c>
      <c r="C431" s="19"/>
      <c r="D431" s="35" t="str">
        <f t="shared" ref="D431" si="93">E431</f>
        <v>C100030</v>
      </c>
      <c r="E431" s="36" t="str">
        <f>"C100030"</f>
        <v>C100030</v>
      </c>
      <c r="F431" s="37" t="str">
        <f>"Fashion Visor"</f>
        <v>Fashion Visor</v>
      </c>
      <c r="G431" s="37"/>
      <c r="H431" s="38" t="str">
        <f>"EA"</f>
        <v>EA</v>
      </c>
      <c r="I431" s="37"/>
      <c r="J431" s="37"/>
      <c r="K431" s="37"/>
      <c r="L431" s="37"/>
      <c r="M431" s="37"/>
      <c r="N431" s="37"/>
      <c r="O431" s="39">
        <f>(SUBTOTAL(9,O432:O448))</f>
        <v>4800</v>
      </c>
      <c r="P431" s="39">
        <f>(SUBTOTAL(9,P432:P448))</f>
        <v>-1393</v>
      </c>
      <c r="Q431" s="39">
        <f>(SUBTOTAL(9,Q432:Q448))</f>
        <v>0</v>
      </c>
      <c r="R431" s="39">
        <f>(SUBTOTAL(9,R432:R448))</f>
        <v>0</v>
      </c>
      <c r="S431" s="39">
        <f>(SUBTOTAL(9,S432:S448))</f>
        <v>0</v>
      </c>
      <c r="T431" s="39">
        <f>(SUBTOTAL(9,T432:T448))</f>
        <v>0</v>
      </c>
      <c r="U431" s="55">
        <f t="shared" ref="U431" si="94">SUBTOTAL(9,O432:T448)</f>
        <v>3407</v>
      </c>
    </row>
    <row r="432" spans="1:21" ht="17.25" customHeight="1" x14ac:dyDescent="0.3">
      <c r="A432" s="15" t="s">
        <v>30</v>
      </c>
      <c r="C432" s="19"/>
      <c r="D432" s="33" t="str">
        <f t="shared" ref="D432" si="95">D431</f>
        <v>C100030</v>
      </c>
      <c r="E432" s="33"/>
      <c r="F432" s="34"/>
      <c r="G432" s="34" t="str">
        <f>"""NAV Direct"",""CRONUS JetCorp USA"",""32"",""1"",""167081"""</f>
        <v>"NAV Direct","CRONUS JetCorp USA","32","1","167081"</v>
      </c>
      <c r="H432" s="40">
        <v>43466</v>
      </c>
      <c r="I432" s="41">
        <v>167081</v>
      </c>
      <c r="J432" s="42" t="str">
        <f>"Vendor"</f>
        <v>Vendor</v>
      </c>
      <c r="K432" s="42" t="str">
        <f>"V100009"</f>
        <v>V100009</v>
      </c>
      <c r="L432" s="42" t="str">
        <f>IF($J432="Customer",_xll.NL("first",$J432,"Name","No.","@@"&amp;$K432),"")</f>
        <v/>
      </c>
      <c r="M432" s="42" t="str">
        <f>"Malay-Dan Export Unit Sdn Bhd"</f>
        <v>Malay-Dan Export Unit Sdn Bhd</v>
      </c>
      <c r="N432" s="42" t="str">
        <f>IF($J432="Item",_xll.NL("first",$J432,"Description","No.","@@"&amp;$K432),"")</f>
        <v/>
      </c>
      <c r="O432" s="43">
        <v>400</v>
      </c>
      <c r="P432" s="43">
        <v>0</v>
      </c>
      <c r="Q432" s="43">
        <v>0</v>
      </c>
      <c r="R432" s="43">
        <v>0</v>
      </c>
      <c r="S432" s="43">
        <v>0</v>
      </c>
      <c r="T432" s="43">
        <v>0</v>
      </c>
      <c r="U432" s="56"/>
    </row>
    <row r="433" spans="1:21" ht="17.25" customHeight="1" x14ac:dyDescent="0.3">
      <c r="A433" s="15" t="s">
        <v>30</v>
      </c>
      <c r="C433" s="19"/>
      <c r="D433" s="33" t="str">
        <f t="shared" ref="D433:D447" si="96">D432</f>
        <v>C100030</v>
      </c>
      <c r="E433" s="33"/>
      <c r="F433" s="34"/>
      <c r="G433" s="34" t="str">
        <f>"""NAV Direct"",""CRONUS JetCorp USA"",""32"",""1"",""167098"""</f>
        <v>"NAV Direct","CRONUS JetCorp USA","32","1","167098"</v>
      </c>
      <c r="H433" s="40">
        <v>43466</v>
      </c>
      <c r="I433" s="41">
        <v>167098</v>
      </c>
      <c r="J433" s="42" t="str">
        <f>"Vendor"</f>
        <v>Vendor</v>
      </c>
      <c r="K433" s="42" t="str">
        <f>"V100040"</f>
        <v>V100040</v>
      </c>
      <c r="L433" s="42" t="str">
        <f>IF($J433="Customer",_xll.NL("first",$J433,"Name","No.","@@"&amp;$K433),"")</f>
        <v/>
      </c>
      <c r="M433" s="42" t="str">
        <f>"Technische Betriebe Rotkreuz"</f>
        <v>Technische Betriebe Rotkreuz</v>
      </c>
      <c r="N433" s="42" t="str">
        <f>IF($J433="Item",_xll.NL("first",$J433,"Description","No.","@@"&amp;$K433),"")</f>
        <v/>
      </c>
      <c r="O433" s="43">
        <v>400</v>
      </c>
      <c r="P433" s="43">
        <v>0</v>
      </c>
      <c r="Q433" s="43">
        <v>0</v>
      </c>
      <c r="R433" s="43">
        <v>0</v>
      </c>
      <c r="S433" s="43">
        <v>0</v>
      </c>
      <c r="T433" s="43">
        <v>0</v>
      </c>
      <c r="U433" s="56"/>
    </row>
    <row r="434" spans="1:21" ht="17.25" customHeight="1" x14ac:dyDescent="0.3">
      <c r="A434" s="15" t="s">
        <v>30</v>
      </c>
      <c r="C434" s="19"/>
      <c r="D434" s="33" t="str">
        <f t="shared" si="96"/>
        <v>C100030</v>
      </c>
      <c r="E434" s="33"/>
      <c r="F434" s="34"/>
      <c r="G434" s="34" t="str">
        <f>"""NAV Direct"",""CRONUS JetCorp USA"",""32"",""1"",""167108"""</f>
        <v>"NAV Direct","CRONUS JetCorp USA","32","1","167108"</v>
      </c>
      <c r="H434" s="40">
        <v>43466</v>
      </c>
      <c r="I434" s="41">
        <v>167108</v>
      </c>
      <c r="J434" s="42" t="str">
        <f>"Vendor"</f>
        <v>Vendor</v>
      </c>
      <c r="K434" s="42" t="str">
        <f>"V100001"</f>
        <v>V100001</v>
      </c>
      <c r="L434" s="42" t="str">
        <f>IF($J434="Customer",_xll.NL("first",$J434,"Name","No.","@@"&amp;$K434),"")</f>
        <v/>
      </c>
      <c r="M434" s="42" t="str">
        <f>"Greigner, Inc."</f>
        <v>Greigner, Inc.</v>
      </c>
      <c r="N434" s="42" t="str">
        <f>IF($J434="Item",_xll.NL("first",$J434,"Description","No.","@@"&amp;$K434),"")</f>
        <v/>
      </c>
      <c r="O434" s="43">
        <v>400</v>
      </c>
      <c r="P434" s="43">
        <v>0</v>
      </c>
      <c r="Q434" s="43">
        <v>0</v>
      </c>
      <c r="R434" s="43">
        <v>0</v>
      </c>
      <c r="S434" s="43">
        <v>0</v>
      </c>
      <c r="T434" s="43">
        <v>0</v>
      </c>
      <c r="U434" s="56"/>
    </row>
    <row r="435" spans="1:21" ht="17.25" customHeight="1" x14ac:dyDescent="0.3">
      <c r="A435" s="15" t="s">
        <v>30</v>
      </c>
      <c r="C435" s="19"/>
      <c r="D435" s="33" t="str">
        <f t="shared" si="96"/>
        <v>C100030</v>
      </c>
      <c r="E435" s="33"/>
      <c r="F435" s="34"/>
      <c r="G435" s="34" t="str">
        <f>"""NAV Direct"",""CRONUS JetCorp USA"",""32"",""1"",""167118"""</f>
        <v>"NAV Direct","CRONUS JetCorp USA","32","1","167118"</v>
      </c>
      <c r="H435" s="40">
        <v>43466</v>
      </c>
      <c r="I435" s="41">
        <v>167118</v>
      </c>
      <c r="J435" s="42" t="str">
        <f>"Vendor"</f>
        <v>Vendor</v>
      </c>
      <c r="K435" s="42" t="str">
        <f>"V100007"</f>
        <v>V100007</v>
      </c>
      <c r="L435" s="42" t="str">
        <f>IF($J435="Customer",_xll.NL("first",$J435,"Name","No.","@@"&amp;$K435),"")</f>
        <v/>
      </c>
      <c r="M435" s="42" t="str">
        <f>"TrendTech"</f>
        <v>TrendTech</v>
      </c>
      <c r="N435" s="42" t="str">
        <f>IF($J435="Item",_xll.NL("first",$J435,"Description","No.","@@"&amp;$K435),"")</f>
        <v/>
      </c>
      <c r="O435" s="43">
        <v>400</v>
      </c>
      <c r="P435" s="43">
        <v>0</v>
      </c>
      <c r="Q435" s="43">
        <v>0</v>
      </c>
      <c r="R435" s="43">
        <v>0</v>
      </c>
      <c r="S435" s="43">
        <v>0</v>
      </c>
      <c r="T435" s="43">
        <v>0</v>
      </c>
      <c r="U435" s="56"/>
    </row>
    <row r="436" spans="1:21" ht="17.25" customHeight="1" x14ac:dyDescent="0.3">
      <c r="A436" s="15" t="s">
        <v>30</v>
      </c>
      <c r="C436" s="19"/>
      <c r="D436" s="33" t="str">
        <f t="shared" si="96"/>
        <v>C100030</v>
      </c>
      <c r="E436" s="33"/>
      <c r="F436" s="34"/>
      <c r="G436" s="34" t="str">
        <f>"""NAV Direct"",""CRONUS JetCorp USA"",""32"",""1"",""167137"""</f>
        <v>"NAV Direct","CRONUS JetCorp USA","32","1","167137"</v>
      </c>
      <c r="H436" s="40">
        <v>43466</v>
      </c>
      <c r="I436" s="41">
        <v>167137</v>
      </c>
      <c r="J436" s="42" t="str">
        <f>"Vendor"</f>
        <v>Vendor</v>
      </c>
      <c r="K436" s="42" t="str">
        <f>"V100001"</f>
        <v>V100001</v>
      </c>
      <c r="L436" s="42" t="str">
        <f>IF($J436="Customer",_xll.NL("first",$J436,"Name","No.","@@"&amp;$K436),"")</f>
        <v/>
      </c>
      <c r="M436" s="42" t="str">
        <f>"Greigner, Inc."</f>
        <v>Greigner, Inc.</v>
      </c>
      <c r="N436" s="42" t="str">
        <f>IF($J436="Item",_xll.NL("first",$J436,"Description","No.","@@"&amp;$K436),"")</f>
        <v/>
      </c>
      <c r="O436" s="43">
        <v>1999.9999999999998</v>
      </c>
      <c r="P436" s="43">
        <v>0</v>
      </c>
      <c r="Q436" s="43">
        <v>0</v>
      </c>
      <c r="R436" s="43">
        <v>0</v>
      </c>
      <c r="S436" s="43">
        <v>0</v>
      </c>
      <c r="T436" s="43">
        <v>0</v>
      </c>
      <c r="U436" s="56"/>
    </row>
    <row r="437" spans="1:21" ht="17.25" customHeight="1" x14ac:dyDescent="0.3">
      <c r="A437" s="15" t="s">
        <v>30</v>
      </c>
      <c r="C437" s="19"/>
      <c r="D437" s="33" t="str">
        <f t="shared" si="96"/>
        <v>C100030</v>
      </c>
      <c r="E437" s="33"/>
      <c r="F437" s="34"/>
      <c r="G437" s="34" t="str">
        <f>"""NAV Direct"",""CRONUS JetCorp USA"",""32"",""1"",""167161"""</f>
        <v>"NAV Direct","CRONUS JetCorp USA","32","1","167161"</v>
      </c>
      <c r="H437" s="40">
        <v>43466</v>
      </c>
      <c r="I437" s="41">
        <v>167161</v>
      </c>
      <c r="J437" s="42" t="str">
        <f>"Vendor"</f>
        <v>Vendor</v>
      </c>
      <c r="K437" s="42" t="str">
        <f>"V100003"</f>
        <v>V100003</v>
      </c>
      <c r="L437" s="42" t="str">
        <f>IF($J437="Customer",_xll.NL("first",$J437,"Name","No.","@@"&amp;$K437),"")</f>
        <v/>
      </c>
      <c r="M437" s="42" t="str">
        <f>"LogoMasters"</f>
        <v>LogoMasters</v>
      </c>
      <c r="N437" s="42" t="str">
        <f>IF($J437="Item",_xll.NL("first",$J437,"Description","No.","@@"&amp;$K437),"")</f>
        <v/>
      </c>
      <c r="O437" s="43">
        <v>1200</v>
      </c>
      <c r="P437" s="43">
        <v>0</v>
      </c>
      <c r="Q437" s="43">
        <v>0</v>
      </c>
      <c r="R437" s="43">
        <v>0</v>
      </c>
      <c r="S437" s="43">
        <v>0</v>
      </c>
      <c r="T437" s="43">
        <v>0</v>
      </c>
      <c r="U437" s="56"/>
    </row>
    <row r="438" spans="1:21" ht="17.25" customHeight="1" x14ac:dyDescent="0.3">
      <c r="A438" s="15" t="s">
        <v>30</v>
      </c>
      <c r="C438" s="19"/>
      <c r="D438" s="33" t="str">
        <f t="shared" si="96"/>
        <v>C100030</v>
      </c>
      <c r="E438" s="33"/>
      <c r="F438" s="34"/>
      <c r="G438" s="34" t="str">
        <f>"""NAV Direct"",""CRONUS JetCorp USA"",""32"",""1"",""78838"""</f>
        <v>"NAV Direct","CRONUS JetCorp USA","32","1","78838"</v>
      </c>
      <c r="H438" s="40">
        <v>43468</v>
      </c>
      <c r="I438" s="41">
        <v>78838</v>
      </c>
      <c r="J438" s="42" t="str">
        <f>"Customer"</f>
        <v>Customer</v>
      </c>
      <c r="K438" s="42" t="str">
        <f>"C100117"</f>
        <v>C100117</v>
      </c>
      <c r="L438" s="42" t="str">
        <f>IF($J438="Customer",_xll.NL("first",$J438,"Name","No.","@@"&amp;$K438),"")</f>
        <v xml:space="preserve">Tintax </v>
      </c>
      <c r="M438" s="42" t="str">
        <f>""</f>
        <v/>
      </c>
      <c r="N438" s="42" t="str">
        <f>IF($J438="Item",_xll.NL("first",$J438,"Description","No.","@@"&amp;$K438),"")</f>
        <v/>
      </c>
      <c r="O438" s="43">
        <v>0</v>
      </c>
      <c r="P438" s="43">
        <v>-48</v>
      </c>
      <c r="Q438" s="43">
        <v>0</v>
      </c>
      <c r="R438" s="43">
        <v>0</v>
      </c>
      <c r="S438" s="43">
        <v>0</v>
      </c>
      <c r="T438" s="43">
        <v>0</v>
      </c>
      <c r="U438" s="56"/>
    </row>
    <row r="439" spans="1:21" ht="17.25" customHeight="1" x14ac:dyDescent="0.3">
      <c r="A439" s="15" t="s">
        <v>30</v>
      </c>
      <c r="C439" s="19"/>
      <c r="D439" s="33" t="str">
        <f t="shared" si="96"/>
        <v>C100030</v>
      </c>
      <c r="E439" s="33"/>
      <c r="F439" s="34"/>
      <c r="G439" s="34" t="str">
        <f>"""NAV Direct"",""CRONUS JetCorp USA"",""32"",""1"",""30032"""</f>
        <v>"NAV Direct","CRONUS JetCorp USA","32","1","30032"</v>
      </c>
      <c r="H439" s="40">
        <v>43471</v>
      </c>
      <c r="I439" s="41">
        <v>30032</v>
      </c>
      <c r="J439" s="42" t="str">
        <f>"Customer"</f>
        <v>Customer</v>
      </c>
      <c r="K439" s="42" t="str">
        <f>"C100012"</f>
        <v>C100012</v>
      </c>
      <c r="L439" s="42" t="str">
        <f>IF($J439="Customer",_xll.NL("first",$J439,"Name","No.","@@"&amp;$K439),"")</f>
        <v>Bainbridges</v>
      </c>
      <c r="M439" s="42" t="str">
        <f>""</f>
        <v/>
      </c>
      <c r="N439" s="42" t="str">
        <f>IF($J439="Item",_xll.NL("first",$J439,"Description","No.","@@"&amp;$K439),"")</f>
        <v/>
      </c>
      <c r="O439" s="43">
        <v>0</v>
      </c>
      <c r="P439" s="43">
        <v>-288</v>
      </c>
      <c r="Q439" s="43">
        <v>0</v>
      </c>
      <c r="R439" s="43">
        <v>0</v>
      </c>
      <c r="S439" s="43">
        <v>0</v>
      </c>
      <c r="T439" s="43">
        <v>0</v>
      </c>
      <c r="U439" s="56"/>
    </row>
    <row r="440" spans="1:21" ht="17.25" customHeight="1" x14ac:dyDescent="0.3">
      <c r="A440" s="15" t="s">
        <v>30</v>
      </c>
      <c r="C440" s="19"/>
      <c r="D440" s="33" t="str">
        <f t="shared" si="96"/>
        <v>C100030</v>
      </c>
      <c r="E440" s="33"/>
      <c r="F440" s="34"/>
      <c r="G440" s="34" t="str">
        <f>"""NAV Direct"",""CRONUS JetCorp USA"",""32"",""1"",""38075"""</f>
        <v>"NAV Direct","CRONUS JetCorp USA","32","1","38075"</v>
      </c>
      <c r="H440" s="40">
        <v>43471</v>
      </c>
      <c r="I440" s="41">
        <v>38075</v>
      </c>
      <c r="J440" s="42" t="str">
        <f>"Customer"</f>
        <v>Customer</v>
      </c>
      <c r="K440" s="42" t="str">
        <f>"C100013"</f>
        <v>C100013</v>
      </c>
      <c r="L440" s="42" t="str">
        <f>IF($J440="Customer",_xll.NL("first",$J440,"Name","No.","@@"&amp;$K440),"")</f>
        <v>Candoxy Kontor A/S</v>
      </c>
      <c r="M440" s="42" t="str">
        <f>""</f>
        <v/>
      </c>
      <c r="N440" s="42" t="str">
        <f>IF($J440="Item",_xll.NL("first",$J440,"Description","No.","@@"&amp;$K440),"")</f>
        <v/>
      </c>
      <c r="O440" s="43">
        <v>0</v>
      </c>
      <c r="P440" s="43">
        <v>-144</v>
      </c>
      <c r="Q440" s="43">
        <v>0</v>
      </c>
      <c r="R440" s="43">
        <v>0</v>
      </c>
      <c r="S440" s="43">
        <v>0</v>
      </c>
      <c r="T440" s="43">
        <v>0</v>
      </c>
      <c r="U440" s="56"/>
    </row>
    <row r="441" spans="1:21" ht="17.25" customHeight="1" x14ac:dyDescent="0.3">
      <c r="A441" s="15" t="s">
        <v>30</v>
      </c>
      <c r="C441" s="19"/>
      <c r="D441" s="33" t="str">
        <f t="shared" si="96"/>
        <v>C100030</v>
      </c>
      <c r="E441" s="33"/>
      <c r="F441" s="34"/>
      <c r="G441" s="34" t="str">
        <f>"""NAV Direct"",""CRONUS JetCorp USA"",""32"",""1"",""72510"""</f>
        <v>"NAV Direct","CRONUS JetCorp USA","32","1","72510"</v>
      </c>
      <c r="H441" s="40">
        <v>43471</v>
      </c>
      <c r="I441" s="41">
        <v>72510</v>
      </c>
      <c r="J441" s="42" t="str">
        <f>"Customer"</f>
        <v>Customer</v>
      </c>
      <c r="K441" s="42" t="str">
        <f>"C100107"</f>
        <v>C100107</v>
      </c>
      <c r="L441" s="42" t="str">
        <f>IF($J441="Customer",_xll.NL("first",$J441,"Name","No.","@@"&amp;$K441),"")</f>
        <v>Lexitechnology</v>
      </c>
      <c r="M441" s="42" t="str">
        <f>""</f>
        <v/>
      </c>
      <c r="N441" s="42" t="str">
        <f>IF($J441="Item",_xll.NL("first",$J441,"Description","No.","@@"&amp;$K441),"")</f>
        <v/>
      </c>
      <c r="O441" s="43">
        <v>0</v>
      </c>
      <c r="P441" s="43">
        <v>-144</v>
      </c>
      <c r="Q441" s="43">
        <v>0</v>
      </c>
      <c r="R441" s="43">
        <v>0</v>
      </c>
      <c r="S441" s="43">
        <v>0</v>
      </c>
      <c r="T441" s="43">
        <v>0</v>
      </c>
      <c r="U441" s="56"/>
    </row>
    <row r="442" spans="1:21" ht="17.25" customHeight="1" x14ac:dyDescent="0.3">
      <c r="A442" s="15" t="s">
        <v>30</v>
      </c>
      <c r="C442" s="19"/>
      <c r="D442" s="33" t="str">
        <f t="shared" si="96"/>
        <v>C100030</v>
      </c>
      <c r="E442" s="33"/>
      <c r="F442" s="34"/>
      <c r="G442" s="34" t="str">
        <f>"""NAV Direct"",""CRONUS JetCorp USA"",""32"",""1"",""78875"""</f>
        <v>"NAV Direct","CRONUS JetCorp USA","32","1","78875"</v>
      </c>
      <c r="H442" s="40">
        <v>43471</v>
      </c>
      <c r="I442" s="41">
        <v>78875</v>
      </c>
      <c r="J442" s="42" t="str">
        <f>"Customer"</f>
        <v>Customer</v>
      </c>
      <c r="K442" s="42" t="str">
        <f>"C100124"</f>
        <v>C100124</v>
      </c>
      <c r="L442" s="42" t="str">
        <f>IF($J442="Customer",_xll.NL("first",$J442,"Name","No.","@@"&amp;$K442),"")</f>
        <v>Ontocane Outdoors</v>
      </c>
      <c r="M442" s="42" t="str">
        <f>""</f>
        <v/>
      </c>
      <c r="N442" s="42" t="str">
        <f>IF($J442="Item",_xll.NL("first",$J442,"Description","No.","@@"&amp;$K442),"")</f>
        <v/>
      </c>
      <c r="O442" s="43">
        <v>0</v>
      </c>
      <c r="P442" s="43">
        <v>-48</v>
      </c>
      <c r="Q442" s="43">
        <v>0</v>
      </c>
      <c r="R442" s="43">
        <v>0</v>
      </c>
      <c r="S442" s="43">
        <v>0</v>
      </c>
      <c r="T442" s="43">
        <v>0</v>
      </c>
      <c r="U442" s="56"/>
    </row>
    <row r="443" spans="1:21" ht="17.25" customHeight="1" x14ac:dyDescent="0.3">
      <c r="A443" s="15" t="s">
        <v>30</v>
      </c>
      <c r="C443" s="19"/>
      <c r="D443" s="33" t="str">
        <f t="shared" si="96"/>
        <v>C100030</v>
      </c>
      <c r="E443" s="33"/>
      <c r="F443" s="34"/>
      <c r="G443" s="34" t="str">
        <f>"""NAV Direct"",""CRONUS JetCorp USA"",""32"",""1"",""128853"""</f>
        <v>"NAV Direct","CRONUS JetCorp USA","32","1","128853"</v>
      </c>
      <c r="H443" s="40">
        <v>43471</v>
      </c>
      <c r="I443" s="41">
        <v>128853</v>
      </c>
      <c r="J443" s="42" t="str">
        <f>"Customer"</f>
        <v>Customer</v>
      </c>
      <c r="K443" s="42" t="str">
        <f>"C100138"</f>
        <v>C100138</v>
      </c>
      <c r="L443" s="42" t="str">
        <f>IF($J443="Customer",_xll.NL("first",$J443,"Name","No.","@@"&amp;$K443),"")</f>
        <v>Dantons</v>
      </c>
      <c r="M443" s="42" t="str">
        <f>""</f>
        <v/>
      </c>
      <c r="N443" s="42" t="str">
        <f>IF($J443="Item",_xll.NL("first",$J443,"Description","No.","@@"&amp;$K443),"")</f>
        <v/>
      </c>
      <c r="O443" s="43">
        <v>0</v>
      </c>
      <c r="P443" s="43">
        <v>-144</v>
      </c>
      <c r="Q443" s="43">
        <v>0</v>
      </c>
      <c r="R443" s="43">
        <v>0</v>
      </c>
      <c r="S443" s="43">
        <v>0</v>
      </c>
      <c r="T443" s="43">
        <v>0</v>
      </c>
      <c r="U443" s="56"/>
    </row>
    <row r="444" spans="1:21" ht="17.25" customHeight="1" x14ac:dyDescent="0.3">
      <c r="A444" s="15" t="s">
        <v>30</v>
      </c>
      <c r="C444" s="19"/>
      <c r="D444" s="33" t="str">
        <f t="shared" si="96"/>
        <v>C100030</v>
      </c>
      <c r="E444" s="33"/>
      <c r="F444" s="34"/>
      <c r="G444" s="34" t="str">
        <f>"""NAV Direct"",""CRONUS JetCorp USA"",""32"",""1"",""54720"""</f>
        <v>"NAV Direct","CRONUS JetCorp USA","32","1","54720"</v>
      </c>
      <c r="H444" s="40">
        <v>43472</v>
      </c>
      <c r="I444" s="41">
        <v>54720</v>
      </c>
      <c r="J444" s="42" t="str">
        <f>"Customer"</f>
        <v>Customer</v>
      </c>
      <c r="K444" s="42" t="str">
        <f>"C100084"</f>
        <v>C100084</v>
      </c>
      <c r="L444" s="42" t="str">
        <f>IF($J444="Customer",_xll.NL("first",$J444,"Name","No.","@@"&amp;$K444),"")</f>
        <v>The Cannon Group PLC</v>
      </c>
      <c r="M444" s="42" t="str">
        <f>""</f>
        <v/>
      </c>
      <c r="N444" s="42" t="str">
        <f>IF($J444="Item",_xll.NL("first",$J444,"Description","No.","@@"&amp;$K444),"")</f>
        <v/>
      </c>
      <c r="O444" s="43">
        <v>0</v>
      </c>
      <c r="P444" s="43">
        <v>-144</v>
      </c>
      <c r="Q444" s="43">
        <v>0</v>
      </c>
      <c r="R444" s="43">
        <v>0</v>
      </c>
      <c r="S444" s="43">
        <v>0</v>
      </c>
      <c r="T444" s="43">
        <v>0</v>
      </c>
      <c r="U444" s="56"/>
    </row>
    <row r="445" spans="1:21" ht="17.25" customHeight="1" x14ac:dyDescent="0.3">
      <c r="A445" s="15" t="s">
        <v>30</v>
      </c>
      <c r="C445" s="19"/>
      <c r="D445" s="33" t="str">
        <f t="shared" si="96"/>
        <v>C100030</v>
      </c>
      <c r="E445" s="33"/>
      <c r="F445" s="34"/>
      <c r="G445" s="34" t="str">
        <f>"""NAV Direct"",""CRONUS JetCorp USA"",""32"",""1"",""54692"""</f>
        <v>"NAV Direct","CRONUS JetCorp USA","32","1","54692"</v>
      </c>
      <c r="H445" s="40">
        <v>43474</v>
      </c>
      <c r="I445" s="41">
        <v>54692</v>
      </c>
      <c r="J445" s="42" t="str">
        <f>"Customer"</f>
        <v>Customer</v>
      </c>
      <c r="K445" s="42" t="str">
        <f>"C100096"</f>
        <v>C100096</v>
      </c>
      <c r="L445" s="42" t="str">
        <f>IF($J445="Customer",_xll.NL("first",$J445,"Name","No.","@@"&amp;$K445),"")</f>
        <v>D-Com Industries</v>
      </c>
      <c r="M445" s="42" t="str">
        <f>""</f>
        <v/>
      </c>
      <c r="N445" s="42" t="str">
        <f>IF($J445="Item",_xll.NL("first",$J445,"Description","No.","@@"&amp;$K445),"")</f>
        <v/>
      </c>
      <c r="O445" s="43">
        <v>0</v>
      </c>
      <c r="P445" s="43">
        <v>-288</v>
      </c>
      <c r="Q445" s="43">
        <v>0</v>
      </c>
      <c r="R445" s="43">
        <v>0</v>
      </c>
      <c r="S445" s="43">
        <v>0</v>
      </c>
      <c r="T445" s="43">
        <v>0</v>
      </c>
      <c r="U445" s="56"/>
    </row>
    <row r="446" spans="1:21" ht="17.25" customHeight="1" x14ac:dyDescent="0.3">
      <c r="A446" s="15" t="s">
        <v>30</v>
      </c>
      <c r="C446" s="19"/>
      <c r="D446" s="33" t="str">
        <f t="shared" si="96"/>
        <v>C100030</v>
      </c>
      <c r="E446" s="33"/>
      <c r="F446" s="34"/>
      <c r="G446" s="34" t="str">
        <f>"""NAV Direct"",""CRONUS JetCorp USA"",""32"",""1"",""34342"""</f>
        <v>"NAV Direct","CRONUS JetCorp USA","32","1","34342"</v>
      </c>
      <c r="H446" s="40">
        <v>43475</v>
      </c>
      <c r="I446" s="41">
        <v>34342</v>
      </c>
      <c r="J446" s="42" t="str">
        <f>"Customer"</f>
        <v>Customer</v>
      </c>
      <c r="K446" s="42" t="str">
        <f>"C100008"</f>
        <v>C100008</v>
      </c>
      <c r="L446" s="42" t="str">
        <f>IF($J446="Customer",_xll.NL("first",$J446,"Name","No.","@@"&amp;$K446),"")</f>
        <v>Blanemark Hifi Shop</v>
      </c>
      <c r="M446" s="42" t="str">
        <f>""</f>
        <v/>
      </c>
      <c r="N446" s="42" t="str">
        <f>IF($J446="Item",_xll.NL("first",$J446,"Description","No.","@@"&amp;$K446),"")</f>
        <v/>
      </c>
      <c r="O446" s="43">
        <v>0</v>
      </c>
      <c r="P446" s="43">
        <v>-1</v>
      </c>
      <c r="Q446" s="43">
        <v>0</v>
      </c>
      <c r="R446" s="43">
        <v>0</v>
      </c>
      <c r="S446" s="43">
        <v>0</v>
      </c>
      <c r="T446" s="43">
        <v>0</v>
      </c>
      <c r="U446" s="56"/>
    </row>
    <row r="447" spans="1:21" ht="17.25" customHeight="1" x14ac:dyDescent="0.3">
      <c r="A447" s="15" t="s">
        <v>30</v>
      </c>
      <c r="C447" s="19"/>
      <c r="D447" s="33" t="str">
        <f t="shared" si="96"/>
        <v>C100030</v>
      </c>
      <c r="E447" s="33"/>
      <c r="F447" s="34"/>
      <c r="G447" s="34" t="str">
        <f>"""NAV Direct"",""CRONUS JetCorp USA"",""32"",""1"",""25268"""</f>
        <v>"NAV Direct","CRONUS JetCorp USA","32","1","25268"</v>
      </c>
      <c r="H447" s="40">
        <v>43476</v>
      </c>
      <c r="I447" s="41">
        <v>25268</v>
      </c>
      <c r="J447" s="42" t="str">
        <f>"Customer"</f>
        <v>Customer</v>
      </c>
      <c r="K447" s="42" t="str">
        <f>"C100102"</f>
        <v>C100102</v>
      </c>
      <c r="L447" s="42" t="str">
        <f>IF($J447="Customer",_xll.NL("first",$J447,"Name","No.","@@"&amp;$K447),"")</f>
        <v xml:space="preserve">BEI Outfitters </v>
      </c>
      <c r="M447" s="42" t="str">
        <f>""</f>
        <v/>
      </c>
      <c r="N447" s="42" t="str">
        <f>IF($J447="Item",_xll.NL("first",$J447,"Description","No.","@@"&amp;$K447),"")</f>
        <v/>
      </c>
      <c r="O447" s="43">
        <v>0</v>
      </c>
      <c r="P447" s="43">
        <v>-144</v>
      </c>
      <c r="Q447" s="43">
        <v>0</v>
      </c>
      <c r="R447" s="43">
        <v>0</v>
      </c>
      <c r="S447" s="43">
        <v>0</v>
      </c>
      <c r="T447" s="43">
        <v>0</v>
      </c>
      <c r="U447" s="56"/>
    </row>
    <row r="448" spans="1:21" ht="17.25" customHeight="1" x14ac:dyDescent="0.3">
      <c r="A448" s="15" t="s">
        <v>30</v>
      </c>
      <c r="C448" s="19"/>
      <c r="D448" s="33"/>
      <c r="E448" s="33"/>
      <c r="F448" s="34"/>
      <c r="G448" s="34"/>
      <c r="H448" s="34"/>
      <c r="I448" s="34"/>
      <c r="J448" s="34"/>
      <c r="K448" s="34"/>
      <c r="L448" s="34"/>
      <c r="M448" s="34"/>
      <c r="N448" s="34"/>
      <c r="O448" s="44"/>
      <c r="P448" s="44"/>
      <c r="Q448" s="44"/>
      <c r="R448" s="44"/>
      <c r="S448" s="44"/>
      <c r="T448" s="44"/>
      <c r="U448" s="57"/>
    </row>
    <row r="449" spans="1:21" ht="17.25" customHeight="1" x14ac:dyDescent="0.3">
      <c r="A449" s="15" t="s">
        <v>30</v>
      </c>
      <c r="C449" s="19"/>
      <c r="D449" s="33"/>
      <c r="E449" s="33" t="s">
        <v>31</v>
      </c>
      <c r="F449" s="34" t="s">
        <v>31</v>
      </c>
      <c r="G449" s="34" t="s">
        <v>31</v>
      </c>
      <c r="H449" s="34"/>
      <c r="I449" s="34"/>
      <c r="J449" s="34" t="s">
        <v>31</v>
      </c>
      <c r="K449" s="34" t="s">
        <v>31</v>
      </c>
      <c r="L449" s="34" t="s">
        <v>31</v>
      </c>
      <c r="M449" s="34" t="s">
        <v>31</v>
      </c>
      <c r="N449" s="34"/>
      <c r="U449" s="58"/>
    </row>
    <row r="450" spans="1:21" ht="20.25" customHeight="1" x14ac:dyDescent="0.35">
      <c r="A450" s="15" t="s">
        <v>30</v>
      </c>
      <c r="C450" s="19"/>
      <c r="D450" s="35" t="str">
        <f t="shared" ref="D450" si="97">E450</f>
        <v>C100031</v>
      </c>
      <c r="E450" s="36" t="str">
        <f>"C100031"</f>
        <v>C100031</v>
      </c>
      <c r="F450" s="37" t="str">
        <f>"Carabiner Watch"</f>
        <v>Carabiner Watch</v>
      </c>
      <c r="G450" s="37"/>
      <c r="H450" s="38" t="str">
        <f>"EA"</f>
        <v>EA</v>
      </c>
      <c r="I450" s="37"/>
      <c r="J450" s="37"/>
      <c r="K450" s="37"/>
      <c r="L450" s="37"/>
      <c r="M450" s="37"/>
      <c r="N450" s="37"/>
      <c r="O450" s="39">
        <f>(SUBTOTAL(9,O451:O465))</f>
        <v>3600</v>
      </c>
      <c r="P450" s="39">
        <f>(SUBTOTAL(9,P451:P465))</f>
        <v>-1166</v>
      </c>
      <c r="Q450" s="39">
        <f>(SUBTOTAL(9,Q451:Q465))</f>
        <v>0</v>
      </c>
      <c r="R450" s="39">
        <f>(SUBTOTAL(9,R451:R465))</f>
        <v>0</v>
      </c>
      <c r="S450" s="39">
        <f>(SUBTOTAL(9,S451:S465))</f>
        <v>0</v>
      </c>
      <c r="T450" s="39">
        <f>(SUBTOTAL(9,T451:T465))</f>
        <v>0</v>
      </c>
      <c r="U450" s="55">
        <f t="shared" ref="U450" si="98">SUBTOTAL(9,O451:T465)</f>
        <v>2434</v>
      </c>
    </row>
    <row r="451" spans="1:21" ht="17.25" customHeight="1" x14ac:dyDescent="0.3">
      <c r="A451" s="15" t="s">
        <v>30</v>
      </c>
      <c r="C451" s="19"/>
      <c r="D451" s="33" t="str">
        <f t="shared" ref="D451" si="99">D450</f>
        <v>C100031</v>
      </c>
      <c r="E451" s="33"/>
      <c r="F451" s="34"/>
      <c r="G451" s="34" t="str">
        <f>"""NAV Direct"",""CRONUS JetCorp USA"",""32"",""1"",""132502"""</f>
        <v>"NAV Direct","CRONUS JetCorp USA","32","1","132502"</v>
      </c>
      <c r="H451" s="40">
        <v>43466</v>
      </c>
      <c r="I451" s="41">
        <v>132502</v>
      </c>
      <c r="J451" s="42" t="str">
        <f>"Customer"</f>
        <v>Customer</v>
      </c>
      <c r="K451" s="42" t="str">
        <f>"C100040"</f>
        <v>C100040</v>
      </c>
      <c r="L451" s="42" t="str">
        <f>IF($J451="Customer",_xll.NL("first",$J451,"Name","No.","@@"&amp;$K451),"")</f>
        <v>Guildford Water Department</v>
      </c>
      <c r="M451" s="42" t="str">
        <f>""</f>
        <v/>
      </c>
      <c r="N451" s="42" t="str">
        <f>IF($J451="Item",_xll.NL("first",$J451,"Description","No.","@@"&amp;$K451),"")</f>
        <v/>
      </c>
      <c r="O451" s="43">
        <v>0</v>
      </c>
      <c r="P451" s="43">
        <v>-12</v>
      </c>
      <c r="Q451" s="43">
        <v>0</v>
      </c>
      <c r="R451" s="43">
        <v>0</v>
      </c>
      <c r="S451" s="43">
        <v>0</v>
      </c>
      <c r="T451" s="43">
        <v>0</v>
      </c>
      <c r="U451" s="56"/>
    </row>
    <row r="452" spans="1:21" ht="17.25" customHeight="1" x14ac:dyDescent="0.3">
      <c r="A452" s="15" t="s">
        <v>30</v>
      </c>
      <c r="C452" s="19"/>
      <c r="D452" s="33" t="str">
        <f t="shared" ref="D452:D464" si="100">D451</f>
        <v>C100031</v>
      </c>
      <c r="E452" s="33"/>
      <c r="F452" s="34"/>
      <c r="G452" s="34" t="str">
        <f>"""NAV Direct"",""CRONUS JetCorp USA"",""32"",""1"",""167523"""</f>
        <v>"NAV Direct","CRONUS JetCorp USA","32","1","167523"</v>
      </c>
      <c r="H452" s="40">
        <v>43466</v>
      </c>
      <c r="I452" s="41">
        <v>167523</v>
      </c>
      <c r="J452" s="42" t="str">
        <f>"Vendor"</f>
        <v>Vendor</v>
      </c>
      <c r="K452" s="42" t="str">
        <f>"V100009"</f>
        <v>V100009</v>
      </c>
      <c r="L452" s="42" t="str">
        <f>IF($J452="Customer",_xll.NL("first",$J452,"Name","No.","@@"&amp;$K452),"")</f>
        <v/>
      </c>
      <c r="M452" s="42" t="str">
        <f>"Malay-Dan Export Unit Sdn Bhd"</f>
        <v>Malay-Dan Export Unit Sdn Bhd</v>
      </c>
      <c r="N452" s="42" t="str">
        <f>IF($J452="Item",_xll.NL("first",$J452,"Description","No.","@@"&amp;$K452),"")</f>
        <v/>
      </c>
      <c r="O452" s="43">
        <v>400</v>
      </c>
      <c r="P452" s="43">
        <v>0</v>
      </c>
      <c r="Q452" s="43">
        <v>0</v>
      </c>
      <c r="R452" s="43">
        <v>0</v>
      </c>
      <c r="S452" s="43">
        <v>0</v>
      </c>
      <c r="T452" s="43">
        <v>0</v>
      </c>
      <c r="U452" s="56"/>
    </row>
    <row r="453" spans="1:21" ht="17.25" customHeight="1" x14ac:dyDescent="0.3">
      <c r="A453" s="15" t="s">
        <v>30</v>
      </c>
      <c r="C453" s="19"/>
      <c r="D453" s="33" t="str">
        <f t="shared" si="100"/>
        <v>C100031</v>
      </c>
      <c r="E453" s="33"/>
      <c r="F453" s="34"/>
      <c r="G453" s="34" t="str">
        <f>"""NAV Direct"",""CRONUS JetCorp USA"",""32"",""1"",""167541"""</f>
        <v>"NAV Direct","CRONUS JetCorp USA","32","1","167541"</v>
      </c>
      <c r="H453" s="40">
        <v>43466</v>
      </c>
      <c r="I453" s="41">
        <v>167541</v>
      </c>
      <c r="J453" s="42" t="str">
        <f>"Vendor"</f>
        <v>Vendor</v>
      </c>
      <c r="K453" s="42" t="str">
        <f>"V100040"</f>
        <v>V100040</v>
      </c>
      <c r="L453" s="42" t="str">
        <f>IF($J453="Customer",_xll.NL("first",$J453,"Name","No.","@@"&amp;$K453),"")</f>
        <v/>
      </c>
      <c r="M453" s="42" t="str">
        <f>"Technische Betriebe Rotkreuz"</f>
        <v>Technische Betriebe Rotkreuz</v>
      </c>
      <c r="N453" s="42" t="str">
        <f>IF($J453="Item",_xll.NL("first",$J453,"Description","No.","@@"&amp;$K453),"")</f>
        <v/>
      </c>
      <c r="O453" s="43">
        <v>1400</v>
      </c>
      <c r="P453" s="43">
        <v>0</v>
      </c>
      <c r="Q453" s="43">
        <v>0</v>
      </c>
      <c r="R453" s="43">
        <v>0</v>
      </c>
      <c r="S453" s="43">
        <v>0</v>
      </c>
      <c r="T453" s="43">
        <v>0</v>
      </c>
      <c r="U453" s="56"/>
    </row>
    <row r="454" spans="1:21" ht="17.25" customHeight="1" x14ac:dyDescent="0.3">
      <c r="A454" s="15" t="s">
        <v>30</v>
      </c>
      <c r="C454" s="19"/>
      <c r="D454" s="33" t="str">
        <f t="shared" si="100"/>
        <v>C100031</v>
      </c>
      <c r="E454" s="33"/>
      <c r="F454" s="34"/>
      <c r="G454" s="34" t="str">
        <f>"""NAV Direct"",""CRONUS JetCorp USA"",""32"",""1"",""167568"""</f>
        <v>"NAV Direct","CRONUS JetCorp USA","32","1","167568"</v>
      </c>
      <c r="H454" s="40">
        <v>43466</v>
      </c>
      <c r="I454" s="41">
        <v>167568</v>
      </c>
      <c r="J454" s="42" t="str">
        <f>"Vendor"</f>
        <v>Vendor</v>
      </c>
      <c r="K454" s="42" t="str">
        <f>"V100007"</f>
        <v>V100007</v>
      </c>
      <c r="L454" s="42" t="str">
        <f>IF($J454="Customer",_xll.NL("first",$J454,"Name","No.","@@"&amp;$K454),"")</f>
        <v/>
      </c>
      <c r="M454" s="42" t="str">
        <f>"TrendTech"</f>
        <v>TrendTech</v>
      </c>
      <c r="N454" s="42" t="str">
        <f>IF($J454="Item",_xll.NL("first",$J454,"Description","No.","@@"&amp;$K454),"")</f>
        <v/>
      </c>
      <c r="O454" s="43">
        <v>400</v>
      </c>
      <c r="P454" s="43">
        <v>0</v>
      </c>
      <c r="Q454" s="43">
        <v>0</v>
      </c>
      <c r="R454" s="43">
        <v>0</v>
      </c>
      <c r="S454" s="43">
        <v>0</v>
      </c>
      <c r="T454" s="43">
        <v>0</v>
      </c>
      <c r="U454" s="56"/>
    </row>
    <row r="455" spans="1:21" ht="17.25" customHeight="1" x14ac:dyDescent="0.3">
      <c r="A455" s="15" t="s">
        <v>30</v>
      </c>
      <c r="C455" s="19"/>
      <c r="D455" s="33" t="str">
        <f t="shared" si="100"/>
        <v>C100031</v>
      </c>
      <c r="E455" s="33"/>
      <c r="F455" s="34"/>
      <c r="G455" s="34" t="str">
        <f>"""NAV Direct"",""CRONUS JetCorp USA"",""32"",""1"",""167586"""</f>
        <v>"NAV Direct","CRONUS JetCorp USA","32","1","167586"</v>
      </c>
      <c r="H455" s="40">
        <v>43466</v>
      </c>
      <c r="I455" s="41">
        <v>167586</v>
      </c>
      <c r="J455" s="42" t="str">
        <f>"Vendor"</f>
        <v>Vendor</v>
      </c>
      <c r="K455" s="42" t="str">
        <f>"V100001"</f>
        <v>V100001</v>
      </c>
      <c r="L455" s="42" t="str">
        <f>IF($J455="Customer",_xll.NL("first",$J455,"Name","No.","@@"&amp;$K455),"")</f>
        <v/>
      </c>
      <c r="M455" s="42" t="str">
        <f>"Greigner, Inc."</f>
        <v>Greigner, Inc.</v>
      </c>
      <c r="N455" s="42" t="str">
        <f>IF($J455="Item",_xll.NL("first",$J455,"Description","No.","@@"&amp;$K455),"")</f>
        <v/>
      </c>
      <c r="O455" s="43">
        <v>999.99999999999989</v>
      </c>
      <c r="P455" s="43">
        <v>0</v>
      </c>
      <c r="Q455" s="43">
        <v>0</v>
      </c>
      <c r="R455" s="43">
        <v>0</v>
      </c>
      <c r="S455" s="43">
        <v>0</v>
      </c>
      <c r="T455" s="43">
        <v>0</v>
      </c>
      <c r="U455" s="56"/>
    </row>
    <row r="456" spans="1:21" ht="17.25" customHeight="1" x14ac:dyDescent="0.3">
      <c r="A456" s="15" t="s">
        <v>30</v>
      </c>
      <c r="C456" s="19"/>
      <c r="D456" s="33" t="str">
        <f t="shared" si="100"/>
        <v>C100031</v>
      </c>
      <c r="E456" s="33"/>
      <c r="F456" s="34"/>
      <c r="G456" s="34" t="str">
        <f>"""NAV Direct"",""CRONUS JetCorp USA"",""32"",""1"",""167616"""</f>
        <v>"NAV Direct","CRONUS JetCorp USA","32","1","167616"</v>
      </c>
      <c r="H456" s="40">
        <v>43466</v>
      </c>
      <c r="I456" s="41">
        <v>167616</v>
      </c>
      <c r="J456" s="42" t="str">
        <f>"Vendor"</f>
        <v>Vendor</v>
      </c>
      <c r="K456" s="42" t="str">
        <f>"V100003"</f>
        <v>V100003</v>
      </c>
      <c r="L456" s="42" t="str">
        <f>IF($J456="Customer",_xll.NL("first",$J456,"Name","No.","@@"&amp;$K456),"")</f>
        <v/>
      </c>
      <c r="M456" s="42" t="str">
        <f>"LogoMasters"</f>
        <v>LogoMasters</v>
      </c>
      <c r="N456" s="42" t="str">
        <f>IF($J456="Item",_xll.NL("first",$J456,"Description","No.","@@"&amp;$K456),"")</f>
        <v/>
      </c>
      <c r="O456" s="43">
        <v>400</v>
      </c>
      <c r="P456" s="43">
        <v>0</v>
      </c>
      <c r="Q456" s="43">
        <v>0</v>
      </c>
      <c r="R456" s="43">
        <v>0</v>
      </c>
      <c r="S456" s="43">
        <v>0</v>
      </c>
      <c r="T456" s="43">
        <v>0</v>
      </c>
      <c r="U456" s="56"/>
    </row>
    <row r="457" spans="1:21" ht="17.25" customHeight="1" x14ac:dyDescent="0.3">
      <c r="A457" s="15" t="s">
        <v>30</v>
      </c>
      <c r="C457" s="19"/>
      <c r="D457" s="33" t="str">
        <f t="shared" si="100"/>
        <v>C100031</v>
      </c>
      <c r="E457" s="33"/>
      <c r="F457" s="34"/>
      <c r="G457" s="34" t="str">
        <f>"""NAV Direct"",""CRONUS JetCorp USA"",""32"",""1"",""20364"""</f>
        <v>"NAV Direct","CRONUS JetCorp USA","32","1","20364"</v>
      </c>
      <c r="H457" s="40">
        <v>43468</v>
      </c>
      <c r="I457" s="41">
        <v>20364</v>
      </c>
      <c r="J457" s="42" t="str">
        <f>"Customer"</f>
        <v>Customer</v>
      </c>
      <c r="K457" s="42" t="str">
        <f>"C100145"</f>
        <v>C100145</v>
      </c>
      <c r="L457" s="42" t="str">
        <f>IF($J457="Customer",_xll.NL("first",$J457,"Name","No.","@@"&amp;$K457),"")</f>
        <v>Dicon Industries</v>
      </c>
      <c r="M457" s="42" t="str">
        <f>""</f>
        <v/>
      </c>
      <c r="N457" s="42" t="str">
        <f>IF($J457="Item",_xll.NL("first",$J457,"Description","No.","@@"&amp;$K457),"")</f>
        <v/>
      </c>
      <c r="O457" s="43">
        <v>0</v>
      </c>
      <c r="P457" s="43">
        <v>-144</v>
      </c>
      <c r="Q457" s="43">
        <v>0</v>
      </c>
      <c r="R457" s="43">
        <v>0</v>
      </c>
      <c r="S457" s="43">
        <v>0</v>
      </c>
      <c r="T457" s="43">
        <v>0</v>
      </c>
      <c r="U457" s="56"/>
    </row>
    <row r="458" spans="1:21" ht="17.25" customHeight="1" x14ac:dyDescent="0.3">
      <c r="A458" s="15" t="s">
        <v>30</v>
      </c>
      <c r="C458" s="19"/>
      <c r="D458" s="33" t="str">
        <f t="shared" si="100"/>
        <v>C100031</v>
      </c>
      <c r="E458" s="33"/>
      <c r="F458" s="34"/>
      <c r="G458" s="34" t="str">
        <f>"""NAV Direct"",""CRONUS JetCorp USA"",""32"",""1"",""7555"""</f>
        <v>"NAV Direct","CRONUS JetCorp USA","32","1","7555"</v>
      </c>
      <c r="H458" s="40">
        <v>43469</v>
      </c>
      <c r="I458" s="41">
        <v>7555</v>
      </c>
      <c r="J458" s="42" t="str">
        <f>"Customer"</f>
        <v>Customer</v>
      </c>
      <c r="K458" s="42" t="str">
        <f>"C100030"</f>
        <v>C100030</v>
      </c>
      <c r="L458" s="42" t="str">
        <f>IF($J458="Customer",_xll.NL("first",$J458,"Name","No.","@@"&amp;$K458),"")</f>
        <v>Stutringers</v>
      </c>
      <c r="M458" s="42" t="str">
        <f>""</f>
        <v/>
      </c>
      <c r="N458" s="42" t="str">
        <f>IF($J458="Item",_xll.NL("first",$J458,"Description","No.","@@"&amp;$K458),"")</f>
        <v/>
      </c>
      <c r="O458" s="43">
        <v>0</v>
      </c>
      <c r="P458" s="43">
        <v>-289</v>
      </c>
      <c r="Q458" s="43">
        <v>0</v>
      </c>
      <c r="R458" s="43">
        <v>0</v>
      </c>
      <c r="S458" s="43">
        <v>0</v>
      </c>
      <c r="T458" s="43">
        <v>0</v>
      </c>
      <c r="U458" s="56"/>
    </row>
    <row r="459" spans="1:21" ht="17.25" customHeight="1" x14ac:dyDescent="0.3">
      <c r="A459" s="15" t="s">
        <v>30</v>
      </c>
      <c r="C459" s="19"/>
      <c r="D459" s="33" t="str">
        <f t="shared" si="100"/>
        <v>C100031</v>
      </c>
      <c r="E459" s="33"/>
      <c r="F459" s="34"/>
      <c r="G459" s="34" t="str">
        <f>"""NAV Direct"",""CRONUS JetCorp USA"",""32"",""1"",""120180"""</f>
        <v>"NAV Direct","CRONUS JetCorp USA","32","1","120180"</v>
      </c>
      <c r="H459" s="40">
        <v>43469</v>
      </c>
      <c r="I459" s="41">
        <v>120180</v>
      </c>
      <c r="J459" s="42" t="str">
        <f>"Customer"</f>
        <v>Customer</v>
      </c>
      <c r="K459" s="42" t="str">
        <f>"C100134"</f>
        <v>C100134</v>
      </c>
      <c r="L459" s="42" t="str">
        <f>IF($J459="Customer",_xll.NL("first",$J459,"Name","No.","@@"&amp;$K459),"")</f>
        <v>Iber Tech</v>
      </c>
      <c r="M459" s="42" t="str">
        <f>""</f>
        <v/>
      </c>
      <c r="N459" s="42" t="str">
        <f>IF($J459="Item",_xll.NL("first",$J459,"Description","No.","@@"&amp;$K459),"")</f>
        <v/>
      </c>
      <c r="O459" s="43">
        <v>0</v>
      </c>
      <c r="P459" s="43">
        <v>-144</v>
      </c>
      <c r="Q459" s="43">
        <v>0</v>
      </c>
      <c r="R459" s="43">
        <v>0</v>
      </c>
      <c r="S459" s="43">
        <v>0</v>
      </c>
      <c r="T459" s="43">
        <v>0</v>
      </c>
      <c r="U459" s="56"/>
    </row>
    <row r="460" spans="1:21" ht="17.25" customHeight="1" x14ac:dyDescent="0.3">
      <c r="A460" s="15" t="s">
        <v>30</v>
      </c>
      <c r="C460" s="19"/>
      <c r="D460" s="33" t="str">
        <f t="shared" si="100"/>
        <v>C100031</v>
      </c>
      <c r="E460" s="33"/>
      <c r="F460" s="34"/>
      <c r="G460" s="34" t="str">
        <f>"""NAV Direct"",""CRONUS JetCorp USA"",""32"",""1"",""12465"""</f>
        <v>"NAV Direct","CRONUS JetCorp USA","32","1","12465"</v>
      </c>
      <c r="H460" s="40">
        <v>43471</v>
      </c>
      <c r="I460" s="41">
        <v>12465</v>
      </c>
      <c r="J460" s="42" t="str">
        <f>"Customer"</f>
        <v>Customer</v>
      </c>
      <c r="K460" s="42" t="str">
        <f>"C100041"</f>
        <v>C100041</v>
      </c>
      <c r="L460" s="42" t="str">
        <f>IF($J460="Customer",_xll.NL("first",$J460,"Name","No.","@@"&amp;$K460),"")</f>
        <v>Heimilisprydi</v>
      </c>
      <c r="M460" s="42" t="str">
        <f>""</f>
        <v/>
      </c>
      <c r="N460" s="42" t="str">
        <f>IF($J460="Item",_xll.NL("first",$J460,"Description","No.","@@"&amp;$K460),"")</f>
        <v/>
      </c>
      <c r="O460" s="43">
        <v>0</v>
      </c>
      <c r="P460" s="43">
        <v>-1</v>
      </c>
      <c r="Q460" s="43">
        <v>0</v>
      </c>
      <c r="R460" s="43">
        <v>0</v>
      </c>
      <c r="S460" s="43">
        <v>0</v>
      </c>
      <c r="T460" s="43">
        <v>0</v>
      </c>
      <c r="U460" s="56"/>
    </row>
    <row r="461" spans="1:21" ht="17.25" customHeight="1" x14ac:dyDescent="0.3">
      <c r="A461" s="15" t="s">
        <v>30</v>
      </c>
      <c r="C461" s="19"/>
      <c r="D461" s="33" t="str">
        <f t="shared" si="100"/>
        <v>C100031</v>
      </c>
      <c r="E461" s="33"/>
      <c r="F461" s="34"/>
      <c r="G461" s="34" t="str">
        <f>"""NAV Direct"",""CRONUS JetCorp USA"",""32"",""1"",""38073"""</f>
        <v>"NAV Direct","CRONUS JetCorp USA","32","1","38073"</v>
      </c>
      <c r="H461" s="40">
        <v>43471</v>
      </c>
      <c r="I461" s="41">
        <v>38073</v>
      </c>
      <c r="J461" s="42" t="str">
        <f>"Customer"</f>
        <v>Customer</v>
      </c>
      <c r="K461" s="42" t="str">
        <f>"C100013"</f>
        <v>C100013</v>
      </c>
      <c r="L461" s="42" t="str">
        <f>IF($J461="Customer",_xll.NL("first",$J461,"Name","No.","@@"&amp;$K461),"")</f>
        <v>Candoxy Kontor A/S</v>
      </c>
      <c r="M461" s="42" t="str">
        <f>""</f>
        <v/>
      </c>
      <c r="N461" s="42" t="str">
        <f>IF($J461="Item",_xll.NL("first",$J461,"Description","No.","@@"&amp;$K461),"")</f>
        <v/>
      </c>
      <c r="O461" s="43">
        <v>0</v>
      </c>
      <c r="P461" s="43">
        <v>-144</v>
      </c>
      <c r="Q461" s="43">
        <v>0</v>
      </c>
      <c r="R461" s="43">
        <v>0</v>
      </c>
      <c r="S461" s="43">
        <v>0</v>
      </c>
      <c r="T461" s="43">
        <v>0</v>
      </c>
      <c r="U461" s="56"/>
    </row>
    <row r="462" spans="1:21" ht="17.25" customHeight="1" x14ac:dyDescent="0.3">
      <c r="A462" s="15" t="s">
        <v>30</v>
      </c>
      <c r="C462" s="19"/>
      <c r="D462" s="33" t="str">
        <f t="shared" si="100"/>
        <v>C100031</v>
      </c>
      <c r="E462" s="33"/>
      <c r="F462" s="34"/>
      <c r="G462" s="34" t="str">
        <f>"""NAV Direct"",""CRONUS JetCorp USA"",""32"",""1"",""128850"""</f>
        <v>"NAV Direct","CRONUS JetCorp USA","32","1","128850"</v>
      </c>
      <c r="H462" s="40">
        <v>43471</v>
      </c>
      <c r="I462" s="41">
        <v>128850</v>
      </c>
      <c r="J462" s="42" t="str">
        <f>"Customer"</f>
        <v>Customer</v>
      </c>
      <c r="K462" s="42" t="str">
        <f>"C100138"</f>
        <v>C100138</v>
      </c>
      <c r="L462" s="42" t="str">
        <f>IF($J462="Customer",_xll.NL("first",$J462,"Name","No.","@@"&amp;$K462),"")</f>
        <v>Dantons</v>
      </c>
      <c r="M462" s="42" t="str">
        <f>""</f>
        <v/>
      </c>
      <c r="N462" s="42" t="str">
        <f>IF($J462="Item",_xll.NL("first",$J462,"Description","No.","@@"&amp;$K462),"")</f>
        <v/>
      </c>
      <c r="O462" s="43">
        <v>0</v>
      </c>
      <c r="P462" s="43">
        <v>-144</v>
      </c>
      <c r="Q462" s="43">
        <v>0</v>
      </c>
      <c r="R462" s="43">
        <v>0</v>
      </c>
      <c r="S462" s="43">
        <v>0</v>
      </c>
      <c r="T462" s="43">
        <v>0</v>
      </c>
      <c r="U462" s="56"/>
    </row>
    <row r="463" spans="1:21" ht="17.25" customHeight="1" x14ac:dyDescent="0.3">
      <c r="A463" s="15" t="s">
        <v>30</v>
      </c>
      <c r="C463" s="19"/>
      <c r="D463" s="33" t="str">
        <f t="shared" si="100"/>
        <v>C100031</v>
      </c>
      <c r="E463" s="33"/>
      <c r="F463" s="34"/>
      <c r="G463" s="34" t="str">
        <f>"""NAV Direct"",""CRONUS JetCorp USA"",""32"",""1"",""124523"""</f>
        <v>"NAV Direct","CRONUS JetCorp USA","32","1","124523"</v>
      </c>
      <c r="H463" s="40">
        <v>43474</v>
      </c>
      <c r="I463" s="41">
        <v>124523</v>
      </c>
      <c r="J463" s="42" t="str">
        <f>"Customer"</f>
        <v>Customer</v>
      </c>
      <c r="K463" s="42" t="str">
        <f>"C100145"</f>
        <v>C100145</v>
      </c>
      <c r="L463" s="42" t="str">
        <f>IF($J463="Customer",_xll.NL("first",$J463,"Name","No.","@@"&amp;$K463),"")</f>
        <v>Dicon Industries</v>
      </c>
      <c r="M463" s="42" t="str">
        <f>""</f>
        <v/>
      </c>
      <c r="N463" s="42" t="str">
        <f>IF($J463="Item",_xll.NL("first",$J463,"Description","No.","@@"&amp;$K463),"")</f>
        <v/>
      </c>
      <c r="O463" s="43">
        <v>0</v>
      </c>
      <c r="P463" s="43">
        <v>-144</v>
      </c>
      <c r="Q463" s="43">
        <v>0</v>
      </c>
      <c r="R463" s="43">
        <v>0</v>
      </c>
      <c r="S463" s="43">
        <v>0</v>
      </c>
      <c r="T463" s="43">
        <v>0</v>
      </c>
      <c r="U463" s="56"/>
    </row>
    <row r="464" spans="1:21" ht="17.25" customHeight="1" x14ac:dyDescent="0.3">
      <c r="A464" s="15" t="s">
        <v>30</v>
      </c>
      <c r="C464" s="19"/>
      <c r="D464" s="33" t="str">
        <f t="shared" si="100"/>
        <v>C100031</v>
      </c>
      <c r="E464" s="33"/>
      <c r="F464" s="34"/>
      <c r="G464" s="34" t="str">
        <f>"""NAV Direct"",""CRONUS JetCorp USA"",""32"",""1"",""20346"""</f>
        <v>"NAV Direct","CRONUS JetCorp USA","32","1","20346"</v>
      </c>
      <c r="H464" s="40">
        <v>43475</v>
      </c>
      <c r="I464" s="41">
        <v>20346</v>
      </c>
      <c r="J464" s="42" t="str">
        <f>"Customer"</f>
        <v>Customer</v>
      </c>
      <c r="K464" s="42" t="str">
        <f>"C100097"</f>
        <v>C100097</v>
      </c>
      <c r="L464" s="42" t="str">
        <f>IF($J464="Customer",_xll.NL("first",$J464,"Name","No.","@@"&amp;$K464),"")</f>
        <v>Solotech</v>
      </c>
      <c r="M464" s="42" t="str">
        <f>""</f>
        <v/>
      </c>
      <c r="N464" s="42" t="str">
        <f>IF($J464="Item",_xll.NL("first",$J464,"Description","No.","@@"&amp;$K464),"")</f>
        <v/>
      </c>
      <c r="O464" s="43">
        <v>0</v>
      </c>
      <c r="P464" s="43">
        <v>-144</v>
      </c>
      <c r="Q464" s="43">
        <v>0</v>
      </c>
      <c r="R464" s="43">
        <v>0</v>
      </c>
      <c r="S464" s="43">
        <v>0</v>
      </c>
      <c r="T464" s="43">
        <v>0</v>
      </c>
      <c r="U464" s="56"/>
    </row>
    <row r="465" spans="1:21" ht="17.25" customHeight="1" x14ac:dyDescent="0.3">
      <c r="A465" s="15" t="s">
        <v>30</v>
      </c>
      <c r="C465" s="19"/>
      <c r="D465" s="33"/>
      <c r="E465" s="33"/>
      <c r="F465" s="34"/>
      <c r="G465" s="34"/>
      <c r="H465" s="34"/>
      <c r="I465" s="34"/>
      <c r="J465" s="34"/>
      <c r="K465" s="34"/>
      <c r="L465" s="34"/>
      <c r="M465" s="34"/>
      <c r="N465" s="34"/>
      <c r="O465" s="44"/>
      <c r="P465" s="44"/>
      <c r="Q465" s="44"/>
      <c r="R465" s="44"/>
      <c r="S465" s="44"/>
      <c r="T465" s="44"/>
      <c r="U465" s="57"/>
    </row>
    <row r="466" spans="1:21" ht="17.25" customHeight="1" x14ac:dyDescent="0.3">
      <c r="A466" s="15" t="s">
        <v>30</v>
      </c>
      <c r="C466" s="19"/>
      <c r="D466" s="33"/>
      <c r="E466" s="33" t="s">
        <v>31</v>
      </c>
      <c r="F466" s="34" t="s">
        <v>31</v>
      </c>
      <c r="G466" s="34" t="s">
        <v>31</v>
      </c>
      <c r="H466" s="34"/>
      <c r="I466" s="34"/>
      <c r="J466" s="34" t="s">
        <v>31</v>
      </c>
      <c r="K466" s="34" t="s">
        <v>31</v>
      </c>
      <c r="L466" s="34" t="s">
        <v>31</v>
      </c>
      <c r="M466" s="34" t="s">
        <v>31</v>
      </c>
      <c r="N466" s="34"/>
      <c r="U466" s="58"/>
    </row>
    <row r="467" spans="1:21" ht="20.25" customHeight="1" x14ac:dyDescent="0.35">
      <c r="A467" s="15" t="s">
        <v>30</v>
      </c>
      <c r="C467" s="19"/>
      <c r="D467" s="35" t="str">
        <f t="shared" ref="D467" si="101">E467</f>
        <v>C100032</v>
      </c>
      <c r="E467" s="36" t="str">
        <f>"C100032"</f>
        <v>C100032</v>
      </c>
      <c r="F467" s="37" t="str">
        <f>"Clip-on Clock"</f>
        <v>Clip-on Clock</v>
      </c>
      <c r="G467" s="37"/>
      <c r="H467" s="38" t="str">
        <f>"EA"</f>
        <v>EA</v>
      </c>
      <c r="I467" s="37"/>
      <c r="J467" s="37"/>
      <c r="K467" s="37"/>
      <c r="L467" s="37"/>
      <c r="M467" s="37"/>
      <c r="N467" s="37"/>
      <c r="O467" s="39">
        <f>(SUBTOTAL(9,O468:O492))</f>
        <v>4400</v>
      </c>
      <c r="P467" s="39">
        <f>(SUBTOTAL(9,P468:P492))</f>
        <v>-1877</v>
      </c>
      <c r="Q467" s="39">
        <f>(SUBTOTAL(9,Q468:Q492))</f>
        <v>0</v>
      </c>
      <c r="R467" s="39">
        <f>(SUBTOTAL(9,R468:R492))</f>
        <v>0</v>
      </c>
      <c r="S467" s="39">
        <f>(SUBTOTAL(9,S468:S492))</f>
        <v>0</v>
      </c>
      <c r="T467" s="39">
        <f>(SUBTOTAL(9,T468:T492))</f>
        <v>0</v>
      </c>
      <c r="U467" s="55">
        <f t="shared" ref="U467" si="102">SUBTOTAL(9,O468:T492)</f>
        <v>2523</v>
      </c>
    </row>
    <row r="468" spans="1:21" ht="17.25" customHeight="1" x14ac:dyDescent="0.3">
      <c r="A468" s="15" t="s">
        <v>30</v>
      </c>
      <c r="C468" s="19"/>
      <c r="D468" s="33" t="str">
        <f t="shared" ref="D468" si="103">D467</f>
        <v>C100032</v>
      </c>
      <c r="E468" s="33"/>
      <c r="F468" s="34"/>
      <c r="G468" s="34" t="str">
        <f>"""NAV Direct"",""CRONUS JetCorp USA"",""32"",""1"",""167522"""</f>
        <v>"NAV Direct","CRONUS JetCorp USA","32","1","167522"</v>
      </c>
      <c r="H468" s="40">
        <v>43466</v>
      </c>
      <c r="I468" s="41">
        <v>167522</v>
      </c>
      <c r="J468" s="42" t="str">
        <f>"Vendor"</f>
        <v>Vendor</v>
      </c>
      <c r="K468" s="42" t="str">
        <f>"V100009"</f>
        <v>V100009</v>
      </c>
      <c r="L468" s="42" t="str">
        <f>IF($J468="Customer",_xll.NL("first",$J468,"Name","No.","@@"&amp;$K468),"")</f>
        <v/>
      </c>
      <c r="M468" s="42" t="str">
        <f>"Malay-Dan Export Unit Sdn Bhd"</f>
        <v>Malay-Dan Export Unit Sdn Bhd</v>
      </c>
      <c r="N468" s="42" t="str">
        <f>IF($J468="Item",_xll.NL("first",$J468,"Description","No.","@@"&amp;$K468),"")</f>
        <v/>
      </c>
      <c r="O468" s="43">
        <v>600</v>
      </c>
      <c r="P468" s="43">
        <v>0</v>
      </c>
      <c r="Q468" s="43">
        <v>0</v>
      </c>
      <c r="R468" s="43">
        <v>0</v>
      </c>
      <c r="S468" s="43">
        <v>0</v>
      </c>
      <c r="T468" s="43">
        <v>0</v>
      </c>
      <c r="U468" s="56"/>
    </row>
    <row r="469" spans="1:21" ht="17.25" customHeight="1" x14ac:dyDescent="0.3">
      <c r="A469" s="15" t="s">
        <v>30</v>
      </c>
      <c r="C469" s="19"/>
      <c r="D469" s="33" t="str">
        <f t="shared" ref="D469:D491" si="104">D468</f>
        <v>C100032</v>
      </c>
      <c r="E469" s="33"/>
      <c r="F469" s="34"/>
      <c r="G469" s="34" t="str">
        <f>"""NAV Direct"",""CRONUS JetCorp USA"",""32"",""1"",""167540"""</f>
        <v>"NAV Direct","CRONUS JetCorp USA","32","1","167540"</v>
      </c>
      <c r="H469" s="40">
        <v>43466</v>
      </c>
      <c r="I469" s="41">
        <v>167540</v>
      </c>
      <c r="J469" s="42" t="str">
        <f>"Vendor"</f>
        <v>Vendor</v>
      </c>
      <c r="K469" s="42" t="str">
        <f>"V100040"</f>
        <v>V100040</v>
      </c>
      <c r="L469" s="42" t="str">
        <f>IF($J469="Customer",_xll.NL("first",$J469,"Name","No.","@@"&amp;$K469),"")</f>
        <v/>
      </c>
      <c r="M469" s="42" t="str">
        <f>"Technische Betriebe Rotkreuz"</f>
        <v>Technische Betriebe Rotkreuz</v>
      </c>
      <c r="N469" s="42" t="str">
        <f>IF($J469="Item",_xll.NL("first",$J469,"Description","No.","@@"&amp;$K469),"")</f>
        <v/>
      </c>
      <c r="O469" s="43">
        <v>600</v>
      </c>
      <c r="P469" s="43">
        <v>0</v>
      </c>
      <c r="Q469" s="43">
        <v>0</v>
      </c>
      <c r="R469" s="43">
        <v>0</v>
      </c>
      <c r="S469" s="43">
        <v>0</v>
      </c>
      <c r="T469" s="43">
        <v>0</v>
      </c>
      <c r="U469" s="56"/>
    </row>
    <row r="470" spans="1:21" ht="17.25" customHeight="1" x14ac:dyDescent="0.3">
      <c r="A470" s="15" t="s">
        <v>30</v>
      </c>
      <c r="C470" s="19"/>
      <c r="D470" s="33" t="str">
        <f t="shared" si="104"/>
        <v>C100032</v>
      </c>
      <c r="E470" s="33"/>
      <c r="F470" s="34"/>
      <c r="G470" s="34" t="str">
        <f>"""NAV Direct"",""CRONUS JetCorp USA"",""32"",""1"",""167567"""</f>
        <v>"NAV Direct","CRONUS JetCorp USA","32","1","167567"</v>
      </c>
      <c r="H470" s="40">
        <v>43466</v>
      </c>
      <c r="I470" s="41">
        <v>167567</v>
      </c>
      <c r="J470" s="42" t="str">
        <f>"Vendor"</f>
        <v>Vendor</v>
      </c>
      <c r="K470" s="42" t="str">
        <f>"V100007"</f>
        <v>V100007</v>
      </c>
      <c r="L470" s="42" t="str">
        <f>IF($J470="Customer",_xll.NL("first",$J470,"Name","No.","@@"&amp;$K470),"")</f>
        <v/>
      </c>
      <c r="M470" s="42" t="str">
        <f>"TrendTech"</f>
        <v>TrendTech</v>
      </c>
      <c r="N470" s="42" t="str">
        <f>IF($J470="Item",_xll.NL("first",$J470,"Description","No.","@@"&amp;$K470),"")</f>
        <v/>
      </c>
      <c r="O470" s="43">
        <v>600</v>
      </c>
      <c r="P470" s="43">
        <v>0</v>
      </c>
      <c r="Q470" s="43">
        <v>0</v>
      </c>
      <c r="R470" s="43">
        <v>0</v>
      </c>
      <c r="S470" s="43">
        <v>0</v>
      </c>
      <c r="T470" s="43">
        <v>0</v>
      </c>
      <c r="U470" s="56"/>
    </row>
    <row r="471" spans="1:21" ht="17.25" customHeight="1" x14ac:dyDescent="0.3">
      <c r="A471" s="15" t="s">
        <v>30</v>
      </c>
      <c r="C471" s="19"/>
      <c r="D471" s="33" t="str">
        <f t="shared" si="104"/>
        <v>C100032</v>
      </c>
      <c r="E471" s="33"/>
      <c r="F471" s="34"/>
      <c r="G471" s="34" t="str">
        <f>"""NAV Direct"",""CRONUS JetCorp USA"",""32"",""1"",""167585"""</f>
        <v>"NAV Direct","CRONUS JetCorp USA","32","1","167585"</v>
      </c>
      <c r="H471" s="40">
        <v>43466</v>
      </c>
      <c r="I471" s="41">
        <v>167585</v>
      </c>
      <c r="J471" s="42" t="str">
        <f>"Vendor"</f>
        <v>Vendor</v>
      </c>
      <c r="K471" s="42" t="str">
        <f>"V100001"</f>
        <v>V100001</v>
      </c>
      <c r="L471" s="42" t="str">
        <f>IF($J471="Customer",_xll.NL("first",$J471,"Name","No.","@@"&amp;$K471),"")</f>
        <v/>
      </c>
      <c r="M471" s="42" t="str">
        <f>"Greigner, Inc."</f>
        <v>Greigner, Inc.</v>
      </c>
      <c r="N471" s="42" t="str">
        <f>IF($J471="Item",_xll.NL("first",$J471,"Description","No.","@@"&amp;$K471),"")</f>
        <v/>
      </c>
      <c r="O471" s="43">
        <v>1999.9999999999998</v>
      </c>
      <c r="P471" s="43">
        <v>0</v>
      </c>
      <c r="Q471" s="43">
        <v>0</v>
      </c>
      <c r="R471" s="43">
        <v>0</v>
      </c>
      <c r="S471" s="43">
        <v>0</v>
      </c>
      <c r="T471" s="43">
        <v>0</v>
      </c>
      <c r="U471" s="56"/>
    </row>
    <row r="472" spans="1:21" ht="17.25" customHeight="1" x14ac:dyDescent="0.3">
      <c r="A472" s="15" t="s">
        <v>30</v>
      </c>
      <c r="C472" s="19"/>
      <c r="D472" s="33" t="str">
        <f t="shared" si="104"/>
        <v>C100032</v>
      </c>
      <c r="E472" s="33"/>
      <c r="F472" s="34"/>
      <c r="G472" s="34" t="str">
        <f>"""NAV Direct"",""CRONUS JetCorp USA"",""32"",""1"",""167615"""</f>
        <v>"NAV Direct","CRONUS JetCorp USA","32","1","167615"</v>
      </c>
      <c r="H472" s="40">
        <v>43466</v>
      </c>
      <c r="I472" s="41">
        <v>167615</v>
      </c>
      <c r="J472" s="42" t="str">
        <f>"Vendor"</f>
        <v>Vendor</v>
      </c>
      <c r="K472" s="42" t="str">
        <f>"V100003"</f>
        <v>V100003</v>
      </c>
      <c r="L472" s="42" t="str">
        <f>IF($J472="Customer",_xll.NL("first",$J472,"Name","No.","@@"&amp;$K472),"")</f>
        <v/>
      </c>
      <c r="M472" s="42" t="str">
        <f>"LogoMasters"</f>
        <v>LogoMasters</v>
      </c>
      <c r="N472" s="42" t="str">
        <f>IF($J472="Item",_xll.NL("first",$J472,"Description","No.","@@"&amp;$K472),"")</f>
        <v/>
      </c>
      <c r="O472" s="43">
        <v>600</v>
      </c>
      <c r="P472" s="43">
        <v>0</v>
      </c>
      <c r="Q472" s="43">
        <v>0</v>
      </c>
      <c r="R472" s="43">
        <v>0</v>
      </c>
      <c r="S472" s="43">
        <v>0</v>
      </c>
      <c r="T472" s="43">
        <v>0</v>
      </c>
      <c r="U472" s="56"/>
    </row>
    <row r="473" spans="1:21" ht="17.25" customHeight="1" x14ac:dyDescent="0.3">
      <c r="A473" s="15" t="s">
        <v>30</v>
      </c>
      <c r="C473" s="19"/>
      <c r="D473" s="33" t="str">
        <f t="shared" si="104"/>
        <v>C100032</v>
      </c>
      <c r="E473" s="33"/>
      <c r="F473" s="34"/>
      <c r="G473" s="34" t="str">
        <f>"""NAV Direct"",""CRONUS JetCorp USA"",""32"",""1"",""7559"""</f>
        <v>"NAV Direct","CRONUS JetCorp USA","32","1","7559"</v>
      </c>
      <c r="H473" s="40">
        <v>43469</v>
      </c>
      <c r="I473" s="41">
        <v>7559</v>
      </c>
      <c r="J473" s="42" t="str">
        <f>"Customer"</f>
        <v>Customer</v>
      </c>
      <c r="K473" s="42" t="str">
        <f>"C100030"</f>
        <v>C100030</v>
      </c>
      <c r="L473" s="42" t="str">
        <f>IF($J473="Customer",_xll.NL("first",$J473,"Name","No.","@@"&amp;$K473),"")</f>
        <v>Stutringers</v>
      </c>
      <c r="M473" s="42" t="str">
        <f>""</f>
        <v/>
      </c>
      <c r="N473" s="42" t="str">
        <f>IF($J473="Item",_xll.NL("first",$J473,"Description","No.","@@"&amp;$K473),"")</f>
        <v/>
      </c>
      <c r="O473" s="43">
        <v>0</v>
      </c>
      <c r="P473" s="43">
        <v>-144</v>
      </c>
      <c r="Q473" s="43">
        <v>0</v>
      </c>
      <c r="R473" s="43">
        <v>0</v>
      </c>
      <c r="S473" s="43">
        <v>0</v>
      </c>
      <c r="T473" s="43">
        <v>0</v>
      </c>
      <c r="U473" s="56"/>
    </row>
    <row r="474" spans="1:21" ht="17.25" customHeight="1" x14ac:dyDescent="0.3">
      <c r="A474" s="15" t="s">
        <v>30</v>
      </c>
      <c r="C474" s="19"/>
      <c r="D474" s="33" t="str">
        <f t="shared" si="104"/>
        <v>C100032</v>
      </c>
      <c r="E474" s="33"/>
      <c r="F474" s="34"/>
      <c r="G474" s="34" t="str">
        <f>"""NAV Direct"",""CRONUS JetCorp USA"",""32"",""1"",""12453"""</f>
        <v>"NAV Direct","CRONUS JetCorp USA","32","1","12453"</v>
      </c>
      <c r="H474" s="40">
        <v>43469</v>
      </c>
      <c r="I474" s="41">
        <v>12453</v>
      </c>
      <c r="J474" s="42" t="str">
        <f>"Customer"</f>
        <v>Customer</v>
      </c>
      <c r="K474" s="42" t="str">
        <f>"C100064"</f>
        <v>C100064</v>
      </c>
      <c r="L474" s="42" t="str">
        <f>IF($J474="Customer",_xll.NL("first",$J474,"Name","No.","@@"&amp;$K474),"")</f>
        <v>Möbel Siegfried</v>
      </c>
      <c r="M474" s="42" t="str">
        <f>""</f>
        <v/>
      </c>
      <c r="N474" s="42" t="str">
        <f>IF($J474="Item",_xll.NL("first",$J474,"Description","No.","@@"&amp;$K474),"")</f>
        <v/>
      </c>
      <c r="O474" s="43">
        <v>0</v>
      </c>
      <c r="P474" s="43">
        <v>-48</v>
      </c>
      <c r="Q474" s="43">
        <v>0</v>
      </c>
      <c r="R474" s="43">
        <v>0</v>
      </c>
      <c r="S474" s="43">
        <v>0</v>
      </c>
      <c r="T474" s="43">
        <v>0</v>
      </c>
      <c r="U474" s="56"/>
    </row>
    <row r="475" spans="1:21" ht="17.25" customHeight="1" x14ac:dyDescent="0.3">
      <c r="A475" s="15" t="s">
        <v>30</v>
      </c>
      <c r="C475" s="19"/>
      <c r="D475" s="33" t="str">
        <f t="shared" si="104"/>
        <v>C100032</v>
      </c>
      <c r="E475" s="33"/>
      <c r="F475" s="34"/>
      <c r="G475" s="34" t="str">
        <f>"""NAV Direct"",""CRONUS JetCorp USA"",""32"",""1"",""111296"""</f>
        <v>"NAV Direct","CRONUS JetCorp USA","32","1","111296"</v>
      </c>
      <c r="H475" s="40">
        <v>43470</v>
      </c>
      <c r="I475" s="41">
        <v>111296</v>
      </c>
      <c r="J475" s="42" t="str">
        <f>"Customer"</f>
        <v>Customer</v>
      </c>
      <c r="K475" s="42" t="str">
        <f>"C100037"</f>
        <v>C100037</v>
      </c>
      <c r="L475" s="42" t="str">
        <f>IF($J475="Customer",_xll.NL("first",$J475,"Name","No.","@@"&amp;$K475),"")</f>
        <v>Tempsons Tropies</v>
      </c>
      <c r="M475" s="42" t="str">
        <f>""</f>
        <v/>
      </c>
      <c r="N475" s="42" t="str">
        <f>IF($J475="Item",_xll.NL("first",$J475,"Description","No.","@@"&amp;$K475),"")</f>
        <v/>
      </c>
      <c r="O475" s="43">
        <v>0</v>
      </c>
      <c r="P475" s="43">
        <v>-1</v>
      </c>
      <c r="Q475" s="43">
        <v>0</v>
      </c>
      <c r="R475" s="43">
        <v>0</v>
      </c>
      <c r="S475" s="43">
        <v>0</v>
      </c>
      <c r="T475" s="43">
        <v>0</v>
      </c>
      <c r="U475" s="56"/>
    </row>
    <row r="476" spans="1:21" ht="17.25" customHeight="1" x14ac:dyDescent="0.3">
      <c r="A476" s="15" t="s">
        <v>30</v>
      </c>
      <c r="C476" s="19"/>
      <c r="D476" s="33" t="str">
        <f t="shared" si="104"/>
        <v>C100032</v>
      </c>
      <c r="E476" s="33"/>
      <c r="F476" s="34"/>
      <c r="G476" s="34" t="str">
        <f>"""NAV Direct"",""CRONUS JetCorp USA"",""32"",""1"",""132509"""</f>
        <v>"NAV Direct","CRONUS JetCorp USA","32","1","132509"</v>
      </c>
      <c r="H476" s="40">
        <v>43470</v>
      </c>
      <c r="I476" s="41">
        <v>132509</v>
      </c>
      <c r="J476" s="42" t="str">
        <f>"Customer"</f>
        <v>Customer</v>
      </c>
      <c r="K476" s="42" t="str">
        <f>"C100029"</f>
        <v>C100029</v>
      </c>
      <c r="L476" s="42" t="str">
        <f>IF($J476="Customer",_xll.NL("first",$J476,"Name","No.","@@"&amp;$K476),"")</f>
        <v>Elkhorn Airport</v>
      </c>
      <c r="M476" s="42" t="str">
        <f>""</f>
        <v/>
      </c>
      <c r="N476" s="42" t="str">
        <f>IF($J476="Item",_xll.NL("first",$J476,"Description","No.","@@"&amp;$K476),"")</f>
        <v/>
      </c>
      <c r="O476" s="43">
        <v>0</v>
      </c>
      <c r="P476" s="43">
        <v>-144</v>
      </c>
      <c r="Q476" s="43">
        <v>0</v>
      </c>
      <c r="R476" s="43">
        <v>0</v>
      </c>
      <c r="S476" s="43">
        <v>0</v>
      </c>
      <c r="T476" s="43">
        <v>0</v>
      </c>
      <c r="U476" s="56"/>
    </row>
    <row r="477" spans="1:21" ht="17.25" customHeight="1" x14ac:dyDescent="0.3">
      <c r="A477" s="15" t="s">
        <v>30</v>
      </c>
      <c r="C477" s="19"/>
      <c r="D477" s="33" t="str">
        <f t="shared" si="104"/>
        <v>C100032</v>
      </c>
      <c r="E477" s="33"/>
      <c r="F477" s="34"/>
      <c r="G477" s="34" t="str">
        <f>"""NAV Direct"",""CRONUS JetCorp USA"",""32"",""1"",""118072"""</f>
        <v>"NAV Direct","CRONUS JetCorp USA","32","1","118072"</v>
      </c>
      <c r="H477" s="40">
        <v>43471</v>
      </c>
      <c r="I477" s="41">
        <v>118072</v>
      </c>
      <c r="J477" s="42" t="str">
        <f>"Customer"</f>
        <v>Customer</v>
      </c>
      <c r="K477" s="42" t="str">
        <f>"C100060"</f>
        <v>C100060</v>
      </c>
      <c r="L477" s="42" t="str">
        <f>IF($J477="Customer",_xll.NL("first",$J477,"Name","No.","@@"&amp;$K477),"")</f>
        <v>MEMA Ljubljana d.o.o.</v>
      </c>
      <c r="M477" s="42" t="str">
        <f>""</f>
        <v/>
      </c>
      <c r="N477" s="42" t="str">
        <f>IF($J477="Item",_xll.NL("first",$J477,"Description","No.","@@"&amp;$K477),"")</f>
        <v/>
      </c>
      <c r="O477" s="43">
        <v>0</v>
      </c>
      <c r="P477" s="43">
        <v>-144</v>
      </c>
      <c r="Q477" s="43">
        <v>0</v>
      </c>
      <c r="R477" s="43">
        <v>0</v>
      </c>
      <c r="S477" s="43">
        <v>0</v>
      </c>
      <c r="T477" s="43">
        <v>0</v>
      </c>
      <c r="U477" s="56"/>
    </row>
    <row r="478" spans="1:21" ht="17.25" customHeight="1" x14ac:dyDescent="0.3">
      <c r="A478" s="15" t="s">
        <v>30</v>
      </c>
      <c r="C478" s="19"/>
      <c r="D478" s="33" t="str">
        <f t="shared" si="104"/>
        <v>C100032</v>
      </c>
      <c r="E478" s="33"/>
      <c r="F478" s="34"/>
      <c r="G478" s="34" t="str">
        <f>"""NAV Direct"",""CRONUS JetCorp USA"",""32"",""1"",""20331"""</f>
        <v>"NAV Direct","CRONUS JetCorp USA","32","1","20331"</v>
      </c>
      <c r="H478" s="40">
        <v>43472</v>
      </c>
      <c r="I478" s="41">
        <v>20331</v>
      </c>
      <c r="J478" s="42" t="str">
        <f>"Customer"</f>
        <v>Customer</v>
      </c>
      <c r="K478" s="42" t="str">
        <f>"C100145"</f>
        <v>C100145</v>
      </c>
      <c r="L478" s="42" t="str">
        <f>IF($J478="Customer",_xll.NL("first",$J478,"Name","No.","@@"&amp;$K478),"")</f>
        <v>Dicon Industries</v>
      </c>
      <c r="M478" s="42" t="str">
        <f>""</f>
        <v/>
      </c>
      <c r="N478" s="42" t="str">
        <f>IF($J478="Item",_xll.NL("first",$J478,"Description","No.","@@"&amp;$K478),"")</f>
        <v/>
      </c>
      <c r="O478" s="43">
        <v>0</v>
      </c>
      <c r="P478" s="43">
        <v>-288</v>
      </c>
      <c r="Q478" s="43">
        <v>0</v>
      </c>
      <c r="R478" s="43">
        <v>0</v>
      </c>
      <c r="S478" s="43">
        <v>0</v>
      </c>
      <c r="T478" s="43">
        <v>0</v>
      </c>
      <c r="U478" s="56"/>
    </row>
    <row r="479" spans="1:21" ht="17.25" customHeight="1" x14ac:dyDescent="0.3">
      <c r="A479" s="15" t="s">
        <v>30</v>
      </c>
      <c r="C479" s="19"/>
      <c r="D479" s="33" t="str">
        <f t="shared" si="104"/>
        <v>C100032</v>
      </c>
      <c r="E479" s="33"/>
      <c r="F479" s="34"/>
      <c r="G479" s="34" t="str">
        <f>"""NAV Direct"",""CRONUS JetCorp USA"",""32"",""1"",""111313"""</f>
        <v>"NAV Direct","CRONUS JetCorp USA","32","1","111313"</v>
      </c>
      <c r="H479" s="40">
        <v>43472</v>
      </c>
      <c r="I479" s="41">
        <v>111313</v>
      </c>
      <c r="J479" s="42" t="str">
        <f>"Customer"</f>
        <v>Customer</v>
      </c>
      <c r="K479" s="42" t="str">
        <f>"C100099"</f>
        <v>C100099</v>
      </c>
      <c r="L479" s="42" t="str">
        <f>IF($J479="Customer",_xll.NL("first",$J479,"Name","No.","@@"&amp;$K479),"")</f>
        <v>Voltive Systems</v>
      </c>
      <c r="M479" s="42" t="str">
        <f>""</f>
        <v/>
      </c>
      <c r="N479" s="42" t="str">
        <f>IF($J479="Item",_xll.NL("first",$J479,"Description","No.","@@"&amp;$K479),"")</f>
        <v/>
      </c>
      <c r="O479" s="43">
        <v>0</v>
      </c>
      <c r="P479" s="43">
        <v>-48</v>
      </c>
      <c r="Q479" s="43">
        <v>0</v>
      </c>
      <c r="R479" s="43">
        <v>0</v>
      </c>
      <c r="S479" s="43">
        <v>0</v>
      </c>
      <c r="T479" s="43">
        <v>0</v>
      </c>
      <c r="U479" s="56"/>
    </row>
    <row r="480" spans="1:21" ht="17.25" customHeight="1" x14ac:dyDescent="0.3">
      <c r="A480" s="15" t="s">
        <v>30</v>
      </c>
      <c r="C480" s="19"/>
      <c r="D480" s="33" t="str">
        <f t="shared" si="104"/>
        <v>C100032</v>
      </c>
      <c r="E480" s="33"/>
      <c r="F480" s="34"/>
      <c r="G480" s="34" t="str">
        <f>"""NAV Direct"",""CRONUS JetCorp USA"",""32"",""1"",""128868"""</f>
        <v>"NAV Direct","CRONUS JetCorp USA","32","1","128868"</v>
      </c>
      <c r="H480" s="40">
        <v>43472</v>
      </c>
      <c r="I480" s="41">
        <v>128868</v>
      </c>
      <c r="J480" s="42" t="str">
        <f>"Customer"</f>
        <v>Customer</v>
      </c>
      <c r="K480" s="42" t="str">
        <f>"C100105"</f>
        <v>C100105</v>
      </c>
      <c r="L480" s="42" t="str">
        <f>IF($J480="Customer",_xll.NL("first",$J480,"Name","No.","@@"&amp;$K480),"")</f>
        <v>Esystems</v>
      </c>
      <c r="M480" s="42" t="str">
        <f>""</f>
        <v/>
      </c>
      <c r="N480" s="42" t="str">
        <f>IF($J480="Item",_xll.NL("first",$J480,"Description","No.","@@"&amp;$K480),"")</f>
        <v/>
      </c>
      <c r="O480" s="43">
        <v>0</v>
      </c>
      <c r="P480" s="43">
        <v>-144</v>
      </c>
      <c r="Q480" s="43">
        <v>0</v>
      </c>
      <c r="R480" s="43">
        <v>0</v>
      </c>
      <c r="S480" s="43">
        <v>0</v>
      </c>
      <c r="T480" s="43">
        <v>0</v>
      </c>
      <c r="U480" s="56"/>
    </row>
    <row r="481" spans="1:21" ht="17.25" customHeight="1" x14ac:dyDescent="0.3">
      <c r="A481" s="15" t="s">
        <v>30</v>
      </c>
      <c r="C481" s="19"/>
      <c r="D481" s="33" t="str">
        <f t="shared" si="104"/>
        <v>C100032</v>
      </c>
      <c r="E481" s="33"/>
      <c r="F481" s="34"/>
      <c r="G481" s="34" t="str">
        <f>"""NAV Direct"",""CRONUS JetCorp USA"",""32"",""1"",""3899"""</f>
        <v>"NAV Direct","CRONUS JetCorp USA","32","1","3899"</v>
      </c>
      <c r="H481" s="40">
        <v>43473</v>
      </c>
      <c r="I481" s="41">
        <v>3899</v>
      </c>
      <c r="J481" s="42" t="str">
        <f>"Customer"</f>
        <v>Customer</v>
      </c>
      <c r="K481" s="42" t="str">
        <f>"C100037"</f>
        <v>C100037</v>
      </c>
      <c r="L481" s="42" t="str">
        <f>IF($J481="Customer",_xll.NL("first",$J481,"Name","No.","@@"&amp;$K481),"")</f>
        <v>Tempsons Tropies</v>
      </c>
      <c r="M481" s="42" t="str">
        <f>""</f>
        <v/>
      </c>
      <c r="N481" s="42" t="str">
        <f>IF($J481="Item",_xll.NL("first",$J481,"Description","No.","@@"&amp;$K481),"")</f>
        <v/>
      </c>
      <c r="O481" s="43">
        <v>0</v>
      </c>
      <c r="P481" s="43">
        <v>-144</v>
      </c>
      <c r="Q481" s="43">
        <v>0</v>
      </c>
      <c r="R481" s="43">
        <v>0</v>
      </c>
      <c r="S481" s="43">
        <v>0</v>
      </c>
      <c r="T481" s="43">
        <v>0</v>
      </c>
      <c r="U481" s="56"/>
    </row>
    <row r="482" spans="1:21" ht="17.25" customHeight="1" x14ac:dyDescent="0.3">
      <c r="A482" s="15" t="s">
        <v>30</v>
      </c>
      <c r="C482" s="19"/>
      <c r="D482" s="33" t="str">
        <f t="shared" si="104"/>
        <v>C100032</v>
      </c>
      <c r="E482" s="33"/>
      <c r="F482" s="34"/>
      <c r="G482" s="34" t="str">
        <f>"""NAV Direct"",""CRONUS JetCorp USA"",""32"",""1"",""124544"""</f>
        <v>"NAV Direct","CRONUS JetCorp USA","32","1","124544"</v>
      </c>
      <c r="H482" s="40">
        <v>43473</v>
      </c>
      <c r="I482" s="41">
        <v>124544</v>
      </c>
      <c r="J482" s="42" t="str">
        <f>"Customer"</f>
        <v>Customer</v>
      </c>
      <c r="K482" s="42" t="str">
        <f>"C100035"</f>
        <v>C100035</v>
      </c>
      <c r="L482" s="42" t="str">
        <f>IF($J482="Customer",_xll.NL("first",$J482,"Name","No.","@@"&amp;$K482),"")</f>
        <v>First Touch Marketing</v>
      </c>
      <c r="M482" s="42" t="str">
        <f>""</f>
        <v/>
      </c>
      <c r="N482" s="42" t="str">
        <f>IF($J482="Item",_xll.NL("first",$J482,"Description","No.","@@"&amp;$K482),"")</f>
        <v/>
      </c>
      <c r="O482" s="43">
        <v>0</v>
      </c>
      <c r="P482" s="43">
        <v>-144</v>
      </c>
      <c r="Q482" s="43">
        <v>0</v>
      </c>
      <c r="R482" s="43">
        <v>0</v>
      </c>
      <c r="S482" s="43">
        <v>0</v>
      </c>
      <c r="T482" s="43">
        <v>0</v>
      </c>
      <c r="U482" s="56"/>
    </row>
    <row r="483" spans="1:21" ht="17.25" customHeight="1" x14ac:dyDescent="0.3">
      <c r="A483" s="15" t="s">
        <v>30</v>
      </c>
      <c r="C483" s="19"/>
      <c r="D483" s="33" t="str">
        <f t="shared" si="104"/>
        <v>C100032</v>
      </c>
      <c r="E483" s="33"/>
      <c r="F483" s="34"/>
      <c r="G483" s="34" t="str">
        <f>"""NAV Direct"",""CRONUS JetCorp USA"",""32"",""1"",""120191"""</f>
        <v>"NAV Direct","CRONUS JetCorp USA","32","1","120191"</v>
      </c>
      <c r="H483" s="40">
        <v>43474</v>
      </c>
      <c r="I483" s="41">
        <v>120191</v>
      </c>
      <c r="J483" s="42" t="str">
        <f>"Customer"</f>
        <v>Customer</v>
      </c>
      <c r="K483" s="42" t="str">
        <f>"C100049"</f>
        <v>C100049</v>
      </c>
      <c r="L483" s="42" t="str">
        <f>IF($J483="Customer",_xll.NL("first",$J483,"Name","No.","@@"&amp;$K483),"")</f>
        <v>Konberg Tapet AB</v>
      </c>
      <c r="M483" s="42" t="str">
        <f>""</f>
        <v/>
      </c>
      <c r="N483" s="42" t="str">
        <f>IF($J483="Item",_xll.NL("first",$J483,"Description","No.","@@"&amp;$K483),"")</f>
        <v/>
      </c>
      <c r="O483" s="43">
        <v>0</v>
      </c>
      <c r="P483" s="43">
        <v>-13</v>
      </c>
      <c r="Q483" s="43">
        <v>0</v>
      </c>
      <c r="R483" s="43">
        <v>0</v>
      </c>
      <c r="S483" s="43">
        <v>0</v>
      </c>
      <c r="T483" s="43">
        <v>0</v>
      </c>
      <c r="U483" s="56"/>
    </row>
    <row r="484" spans="1:21" ht="17.25" customHeight="1" x14ac:dyDescent="0.3">
      <c r="A484" s="15" t="s">
        <v>30</v>
      </c>
      <c r="C484" s="19"/>
      <c r="D484" s="33" t="str">
        <f t="shared" si="104"/>
        <v>C100032</v>
      </c>
      <c r="E484" s="33"/>
      <c r="F484" s="34"/>
      <c r="G484" s="34" t="str">
        <f>"""NAV Direct"",""CRONUS JetCorp USA"",""32"",""1"",""30108"""</f>
        <v>"NAV Direct","CRONUS JetCorp USA","32","1","30108"</v>
      </c>
      <c r="H484" s="40">
        <v>43475</v>
      </c>
      <c r="I484" s="41">
        <v>30108</v>
      </c>
      <c r="J484" s="42" t="str">
        <f>"Customer"</f>
        <v>Customer</v>
      </c>
      <c r="K484" s="42" t="str">
        <f>"C100012"</f>
        <v>C100012</v>
      </c>
      <c r="L484" s="42" t="str">
        <f>IF($J484="Customer",_xll.NL("first",$J484,"Name","No.","@@"&amp;$K484),"")</f>
        <v>Bainbridges</v>
      </c>
      <c r="M484" s="42" t="str">
        <f>""</f>
        <v/>
      </c>
      <c r="N484" s="42" t="str">
        <f>IF($J484="Item",_xll.NL("first",$J484,"Description","No.","@@"&amp;$K484),"")</f>
        <v/>
      </c>
      <c r="O484" s="43">
        <v>0</v>
      </c>
      <c r="P484" s="43">
        <v>-144</v>
      </c>
      <c r="Q484" s="43">
        <v>0</v>
      </c>
      <c r="R484" s="43">
        <v>0</v>
      </c>
      <c r="S484" s="43">
        <v>0</v>
      </c>
      <c r="T484" s="43">
        <v>0</v>
      </c>
      <c r="U484" s="56"/>
    </row>
    <row r="485" spans="1:21" ht="17.25" customHeight="1" x14ac:dyDescent="0.3">
      <c r="A485" s="15" t="s">
        <v>30</v>
      </c>
      <c r="C485" s="19"/>
      <c r="D485" s="33" t="str">
        <f t="shared" si="104"/>
        <v>C100032</v>
      </c>
      <c r="E485" s="33"/>
      <c r="F485" s="34"/>
      <c r="G485" s="34" t="str">
        <f>"""NAV Direct"",""CRONUS JetCorp USA"",""32"",""1"",""34338"""</f>
        <v>"NAV Direct","CRONUS JetCorp USA","32","1","34338"</v>
      </c>
      <c r="H485" s="40">
        <v>43475</v>
      </c>
      <c r="I485" s="41">
        <v>34338</v>
      </c>
      <c r="J485" s="42" t="str">
        <f>"Customer"</f>
        <v>Customer</v>
      </c>
      <c r="K485" s="42" t="str">
        <f>"C100008"</f>
        <v>C100008</v>
      </c>
      <c r="L485" s="42" t="str">
        <f>IF($J485="Customer",_xll.NL("first",$J485,"Name","No.","@@"&amp;$K485),"")</f>
        <v>Blanemark Hifi Shop</v>
      </c>
      <c r="M485" s="42" t="str">
        <f>""</f>
        <v/>
      </c>
      <c r="N485" s="42" t="str">
        <f>IF($J485="Item",_xll.NL("first",$J485,"Description","No.","@@"&amp;$K485),"")</f>
        <v/>
      </c>
      <c r="O485" s="43">
        <v>0</v>
      </c>
      <c r="P485" s="43">
        <v>-1</v>
      </c>
      <c r="Q485" s="43">
        <v>0</v>
      </c>
      <c r="R485" s="43">
        <v>0</v>
      </c>
      <c r="S485" s="43">
        <v>0</v>
      </c>
      <c r="T485" s="43">
        <v>0</v>
      </c>
      <c r="U485" s="56"/>
    </row>
    <row r="486" spans="1:21" ht="17.25" customHeight="1" x14ac:dyDescent="0.3">
      <c r="A486" s="15" t="s">
        <v>30</v>
      </c>
      <c r="C486" s="19"/>
      <c r="D486" s="33" t="str">
        <f t="shared" si="104"/>
        <v>C100032</v>
      </c>
      <c r="E486" s="33"/>
      <c r="F486" s="34"/>
      <c r="G486" s="34" t="str">
        <f>"""NAV Direct"",""CRONUS JetCorp USA"",""32"",""1"",""36484"""</f>
        <v>"NAV Direct","CRONUS JetCorp USA","32","1","36484"</v>
      </c>
      <c r="H486" s="40">
        <v>43475</v>
      </c>
      <c r="I486" s="41">
        <v>36484</v>
      </c>
      <c r="J486" s="42" t="str">
        <f>"Customer"</f>
        <v>Customer</v>
      </c>
      <c r="K486" s="42" t="str">
        <f>"C100063"</f>
        <v>C100063</v>
      </c>
      <c r="L486" s="42" t="str">
        <f>IF($J486="Customer",_xll.NL("first",$J486,"Name","No.","@@"&amp;$K486),"")</f>
        <v>Möbel Scherrer AG</v>
      </c>
      <c r="M486" s="42" t="str">
        <f>""</f>
        <v/>
      </c>
      <c r="N486" s="42" t="str">
        <f>IF($J486="Item",_xll.NL("first",$J486,"Description","No.","@@"&amp;$K486),"")</f>
        <v/>
      </c>
      <c r="O486" s="43">
        <v>0</v>
      </c>
      <c r="P486" s="43">
        <v>-24</v>
      </c>
      <c r="Q486" s="43">
        <v>0</v>
      </c>
      <c r="R486" s="43">
        <v>0</v>
      </c>
      <c r="S486" s="43">
        <v>0</v>
      </c>
      <c r="T486" s="43">
        <v>0</v>
      </c>
      <c r="U486" s="56"/>
    </row>
    <row r="487" spans="1:21" ht="17.25" customHeight="1" x14ac:dyDescent="0.3">
      <c r="A487" s="15" t="s">
        <v>30</v>
      </c>
      <c r="C487" s="19"/>
      <c r="D487" s="33" t="str">
        <f t="shared" si="104"/>
        <v>C100032</v>
      </c>
      <c r="E487" s="33"/>
      <c r="F487" s="34"/>
      <c r="G487" s="34" t="str">
        <f>"""NAV Direct"",""CRONUS JetCorp USA"",""32"",""1"",""7589"""</f>
        <v>"NAV Direct","CRONUS JetCorp USA","32","1","7589"</v>
      </c>
      <c r="H487" s="40">
        <v>43476</v>
      </c>
      <c r="I487" s="41">
        <v>7589</v>
      </c>
      <c r="J487" s="42" t="str">
        <f>"Customer"</f>
        <v>Customer</v>
      </c>
      <c r="K487" s="42" t="str">
        <f>"C100030"</f>
        <v>C100030</v>
      </c>
      <c r="L487" s="42" t="str">
        <f>IF($J487="Customer",_xll.NL("first",$J487,"Name","No.","@@"&amp;$K487),"")</f>
        <v>Stutringers</v>
      </c>
      <c r="M487" s="42" t="str">
        <f>""</f>
        <v/>
      </c>
      <c r="N487" s="42" t="str">
        <f>IF($J487="Item",_xll.NL("first",$J487,"Description","No.","@@"&amp;$K487),"")</f>
        <v/>
      </c>
      <c r="O487" s="43">
        <v>0</v>
      </c>
      <c r="P487" s="43">
        <v>-12</v>
      </c>
      <c r="Q487" s="43">
        <v>0</v>
      </c>
      <c r="R487" s="43">
        <v>0</v>
      </c>
      <c r="S487" s="43">
        <v>0</v>
      </c>
      <c r="T487" s="43">
        <v>0</v>
      </c>
      <c r="U487" s="56"/>
    </row>
    <row r="488" spans="1:21" ht="17.25" customHeight="1" x14ac:dyDescent="0.3">
      <c r="A488" s="15" t="s">
        <v>30</v>
      </c>
      <c r="C488" s="19"/>
      <c r="D488" s="33" t="str">
        <f t="shared" si="104"/>
        <v>C100032</v>
      </c>
      <c r="E488" s="33"/>
      <c r="F488" s="34"/>
      <c r="G488" s="34" t="str">
        <f>"""NAV Direct"",""CRONUS JetCorp USA"",""32"",""1"",""25262"""</f>
        <v>"NAV Direct","CRONUS JetCorp USA","32","1","25262"</v>
      </c>
      <c r="H488" s="40">
        <v>43476</v>
      </c>
      <c r="I488" s="41">
        <v>25262</v>
      </c>
      <c r="J488" s="42" t="str">
        <f>"Customer"</f>
        <v>Customer</v>
      </c>
      <c r="K488" s="42" t="str">
        <f>"C100102"</f>
        <v>C100102</v>
      </c>
      <c r="L488" s="42" t="str">
        <f>IF($J488="Customer",_xll.NL("first",$J488,"Name","No.","@@"&amp;$K488),"")</f>
        <v xml:space="preserve">BEI Outfitters </v>
      </c>
      <c r="M488" s="42" t="str">
        <f>""</f>
        <v/>
      </c>
      <c r="N488" s="42" t="str">
        <f>IF($J488="Item",_xll.NL("first",$J488,"Description","No.","@@"&amp;$K488),"")</f>
        <v/>
      </c>
      <c r="O488" s="43">
        <v>0</v>
      </c>
      <c r="P488" s="43">
        <v>-288</v>
      </c>
      <c r="Q488" s="43">
        <v>0</v>
      </c>
      <c r="R488" s="43">
        <v>0</v>
      </c>
      <c r="S488" s="43">
        <v>0</v>
      </c>
      <c r="T488" s="43">
        <v>0</v>
      </c>
      <c r="U488" s="56"/>
    </row>
    <row r="489" spans="1:21" ht="17.25" customHeight="1" x14ac:dyDescent="0.3">
      <c r="A489" s="15" t="s">
        <v>30</v>
      </c>
      <c r="C489" s="19"/>
      <c r="D489" s="33" t="str">
        <f t="shared" si="104"/>
        <v>C100032</v>
      </c>
      <c r="E489" s="33"/>
      <c r="F489" s="34"/>
      <c r="G489" s="34" t="str">
        <f>"""NAV Direct"",""CRONUS JetCorp USA"",""32"",""1"",""25297"""</f>
        <v>"NAV Direct","CRONUS JetCorp USA","32","1","25297"</v>
      </c>
      <c r="H489" s="40">
        <v>43477</v>
      </c>
      <c r="I489" s="41">
        <v>25297</v>
      </c>
      <c r="J489" s="42" t="str">
        <f>"Customer"</f>
        <v>Customer</v>
      </c>
      <c r="K489" s="42" t="str">
        <f>"C100138"</f>
        <v>C100138</v>
      </c>
      <c r="L489" s="42" t="str">
        <f>IF($J489="Customer",_xll.NL("first",$J489,"Name","No.","@@"&amp;$K489),"")</f>
        <v>Dantons</v>
      </c>
      <c r="M489" s="42" t="str">
        <f>""</f>
        <v/>
      </c>
      <c r="N489" s="42" t="str">
        <f>IF($J489="Item",_xll.NL("first",$J489,"Description","No.","@@"&amp;$K489),"")</f>
        <v/>
      </c>
      <c r="O489" s="43">
        <v>0</v>
      </c>
      <c r="P489" s="43">
        <v>-1</v>
      </c>
      <c r="Q489" s="43">
        <v>0</v>
      </c>
      <c r="R489" s="43">
        <v>0</v>
      </c>
      <c r="S489" s="43">
        <v>0</v>
      </c>
      <c r="T489" s="43">
        <v>0</v>
      </c>
      <c r="U489" s="56"/>
    </row>
    <row r="490" spans="1:21" ht="17.25" customHeight="1" x14ac:dyDescent="0.3">
      <c r="A490" s="15" t="s">
        <v>30</v>
      </c>
      <c r="C490" s="19"/>
      <c r="D490" s="33" t="str">
        <f t="shared" si="104"/>
        <v>C100032</v>
      </c>
      <c r="E490" s="33"/>
      <c r="F490" s="34"/>
      <c r="G490" s="34" t="str">
        <f>"""NAV Direct"",""CRONUS JetCorp USA"",""32"",""1"",""132530"""</f>
        <v>"NAV Direct","CRONUS JetCorp USA","32","1","132530"</v>
      </c>
      <c r="H490" s="40">
        <v>43477</v>
      </c>
      <c r="I490" s="41">
        <v>132530</v>
      </c>
      <c r="J490" s="42" t="str">
        <f>"Customer"</f>
        <v>Customer</v>
      </c>
      <c r="K490" s="42" t="str">
        <f>"C100082"</f>
        <v>C100082</v>
      </c>
      <c r="L490" s="42" t="str">
        <f>IF($J490="Customer",_xll.NL("first",$J490,"Name","No.","@@"&amp;$K490),"")</f>
        <v>Sporting Goods Emporium</v>
      </c>
      <c r="M490" s="42" t="str">
        <f>""</f>
        <v/>
      </c>
      <c r="N490" s="42" t="str">
        <f>IF($J490="Item",_xll.NL("first",$J490,"Description","No.","@@"&amp;$K490),"")</f>
        <v/>
      </c>
      <c r="O490" s="43">
        <v>0</v>
      </c>
      <c r="P490" s="43">
        <v>-1</v>
      </c>
      <c r="Q490" s="43">
        <v>0</v>
      </c>
      <c r="R490" s="43">
        <v>0</v>
      </c>
      <c r="S490" s="43">
        <v>0</v>
      </c>
      <c r="T490" s="43">
        <v>0</v>
      </c>
      <c r="U490" s="56"/>
    </row>
    <row r="491" spans="1:21" ht="17.25" customHeight="1" x14ac:dyDescent="0.3">
      <c r="A491" s="15" t="s">
        <v>30</v>
      </c>
      <c r="C491" s="19"/>
      <c r="D491" s="33" t="str">
        <f t="shared" si="104"/>
        <v>C100032</v>
      </c>
      <c r="E491" s="33"/>
      <c r="F491" s="34"/>
      <c r="G491" s="34" t="str">
        <f>"""NAV Direct"",""CRONUS JetCorp USA"",""32"",""1"",""138724"""</f>
        <v>"NAV Direct","CRONUS JetCorp USA","32","1","138724"</v>
      </c>
      <c r="H491" s="40">
        <v>43477</v>
      </c>
      <c r="I491" s="41">
        <v>138724</v>
      </c>
      <c r="J491" s="42" t="str">
        <f>"Customer"</f>
        <v>Customer</v>
      </c>
      <c r="K491" s="42" t="str">
        <f>"C100021"</f>
        <v>C100021</v>
      </c>
      <c r="L491" s="42" t="str">
        <f>IF($J491="Customer",_xll.NL("first",$J491,"Name","No.","@@"&amp;$K491),"")</f>
        <v>Cronus Cardoxy Sales</v>
      </c>
      <c r="M491" s="42" t="str">
        <f>""</f>
        <v/>
      </c>
      <c r="N491" s="42" t="str">
        <f>IF($J491="Item",_xll.NL("first",$J491,"Description","No.","@@"&amp;$K491),"")</f>
        <v/>
      </c>
      <c r="O491" s="43">
        <v>0</v>
      </c>
      <c r="P491" s="43">
        <v>-144</v>
      </c>
      <c r="Q491" s="43">
        <v>0</v>
      </c>
      <c r="R491" s="43">
        <v>0</v>
      </c>
      <c r="S491" s="43">
        <v>0</v>
      </c>
      <c r="T491" s="43">
        <v>0</v>
      </c>
      <c r="U491" s="56"/>
    </row>
    <row r="492" spans="1:21" ht="17.25" customHeight="1" x14ac:dyDescent="0.3">
      <c r="A492" s="15" t="s">
        <v>30</v>
      </c>
      <c r="C492" s="19"/>
      <c r="D492" s="33"/>
      <c r="E492" s="33"/>
      <c r="F492" s="34"/>
      <c r="G492" s="34"/>
      <c r="H492" s="34"/>
      <c r="I492" s="34"/>
      <c r="J492" s="34"/>
      <c r="K492" s="34"/>
      <c r="L492" s="34"/>
      <c r="M492" s="34"/>
      <c r="N492" s="34"/>
      <c r="O492" s="44"/>
      <c r="P492" s="44"/>
      <c r="Q492" s="44"/>
      <c r="R492" s="44"/>
      <c r="S492" s="44"/>
      <c r="T492" s="44"/>
      <c r="U492" s="57"/>
    </row>
    <row r="493" spans="1:21" ht="17.25" customHeight="1" x14ac:dyDescent="0.3">
      <c r="A493" s="15" t="s">
        <v>30</v>
      </c>
      <c r="C493" s="19"/>
      <c r="D493" s="33"/>
      <c r="E493" s="33" t="s">
        <v>31</v>
      </c>
      <c r="F493" s="34" t="s">
        <v>31</v>
      </c>
      <c r="G493" s="34" t="s">
        <v>31</v>
      </c>
      <c r="H493" s="34"/>
      <c r="I493" s="34"/>
      <c r="J493" s="34" t="s">
        <v>31</v>
      </c>
      <c r="K493" s="34" t="s">
        <v>31</v>
      </c>
      <c r="L493" s="34" t="s">
        <v>31</v>
      </c>
      <c r="M493" s="34" t="s">
        <v>31</v>
      </c>
      <c r="N493" s="34"/>
      <c r="U493" s="58"/>
    </row>
    <row r="494" spans="1:21" ht="20.25" customHeight="1" x14ac:dyDescent="0.35">
      <c r="A494" s="15" t="s">
        <v>30</v>
      </c>
      <c r="C494" s="19"/>
      <c r="D494" s="35" t="str">
        <f t="shared" ref="D494" si="105">E494</f>
        <v>C100033</v>
      </c>
      <c r="E494" s="36" t="str">
        <f>"C100033"</f>
        <v>C100033</v>
      </c>
      <c r="F494" s="37" t="str">
        <f>"Frames &amp; Clock"</f>
        <v>Frames &amp; Clock</v>
      </c>
      <c r="G494" s="37"/>
      <c r="H494" s="38" t="str">
        <f>"EA"</f>
        <v>EA</v>
      </c>
      <c r="I494" s="37"/>
      <c r="J494" s="37"/>
      <c r="K494" s="37"/>
      <c r="L494" s="37"/>
      <c r="M494" s="37"/>
      <c r="N494" s="37"/>
      <c r="O494" s="39">
        <f>(SUBTOTAL(9,O495:O514))</f>
        <v>5200</v>
      </c>
      <c r="P494" s="39">
        <f>(SUBTOTAL(9,P495:P514))</f>
        <v>-831</v>
      </c>
      <c r="Q494" s="39">
        <f>(SUBTOTAL(9,Q495:Q514))</f>
        <v>0</v>
      </c>
      <c r="R494" s="39">
        <f>(SUBTOTAL(9,R495:R514))</f>
        <v>0</v>
      </c>
      <c r="S494" s="39">
        <f>(SUBTOTAL(9,S495:S514))</f>
        <v>0</v>
      </c>
      <c r="T494" s="39">
        <f>(SUBTOTAL(9,T495:T514))</f>
        <v>0</v>
      </c>
      <c r="U494" s="55">
        <f t="shared" ref="U494" si="106">SUBTOTAL(9,O495:T514)</f>
        <v>4369</v>
      </c>
    </row>
    <row r="495" spans="1:21" ht="17.25" customHeight="1" x14ac:dyDescent="0.3">
      <c r="A495" s="15" t="s">
        <v>30</v>
      </c>
      <c r="C495" s="19"/>
      <c r="D495" s="33" t="str">
        <f t="shared" ref="D495" si="107">D494</f>
        <v>C100033</v>
      </c>
      <c r="E495" s="33"/>
      <c r="F495" s="34"/>
      <c r="G495" s="34" t="str">
        <f>"""NAV Direct"",""CRONUS JetCorp USA"",""32"",""1"",""167521"""</f>
        <v>"NAV Direct","CRONUS JetCorp USA","32","1","167521"</v>
      </c>
      <c r="H495" s="40">
        <v>43466</v>
      </c>
      <c r="I495" s="41">
        <v>167521</v>
      </c>
      <c r="J495" s="42" t="str">
        <f>"Vendor"</f>
        <v>Vendor</v>
      </c>
      <c r="K495" s="42" t="str">
        <f>"V100009"</f>
        <v>V100009</v>
      </c>
      <c r="L495" s="42" t="str">
        <f>IF($J495="Customer",_xll.NL("first",$J495,"Name","No.","@@"&amp;$K495),"")</f>
        <v/>
      </c>
      <c r="M495" s="42" t="str">
        <f>"Malay-Dan Export Unit Sdn Bhd"</f>
        <v>Malay-Dan Export Unit Sdn Bhd</v>
      </c>
      <c r="N495" s="42" t="str">
        <f>IF($J495="Item",_xll.NL("first",$J495,"Description","No.","@@"&amp;$K495),"")</f>
        <v/>
      </c>
      <c r="O495" s="43">
        <v>400</v>
      </c>
      <c r="P495" s="43">
        <v>0</v>
      </c>
      <c r="Q495" s="43">
        <v>0</v>
      </c>
      <c r="R495" s="43">
        <v>0</v>
      </c>
      <c r="S495" s="43">
        <v>0</v>
      </c>
      <c r="T495" s="43">
        <v>0</v>
      </c>
      <c r="U495" s="56"/>
    </row>
    <row r="496" spans="1:21" ht="17.25" customHeight="1" x14ac:dyDescent="0.3">
      <c r="A496" s="15" t="s">
        <v>30</v>
      </c>
      <c r="C496" s="19"/>
      <c r="D496" s="33" t="str">
        <f t="shared" ref="D496:D513" si="108">D495</f>
        <v>C100033</v>
      </c>
      <c r="E496" s="33"/>
      <c r="F496" s="34"/>
      <c r="G496" s="34" t="str">
        <f>"""NAV Direct"",""CRONUS JetCorp USA"",""32"",""1"",""167539"""</f>
        <v>"NAV Direct","CRONUS JetCorp USA","32","1","167539"</v>
      </c>
      <c r="H496" s="40">
        <v>43466</v>
      </c>
      <c r="I496" s="41">
        <v>167539</v>
      </c>
      <c r="J496" s="42" t="str">
        <f>"Vendor"</f>
        <v>Vendor</v>
      </c>
      <c r="K496" s="42" t="str">
        <f>"V100040"</f>
        <v>V100040</v>
      </c>
      <c r="L496" s="42" t="str">
        <f>IF($J496="Customer",_xll.NL("first",$J496,"Name","No.","@@"&amp;$K496),"")</f>
        <v/>
      </c>
      <c r="M496" s="42" t="str">
        <f>"Technische Betriebe Rotkreuz"</f>
        <v>Technische Betriebe Rotkreuz</v>
      </c>
      <c r="N496" s="42" t="str">
        <f>IF($J496="Item",_xll.NL("first",$J496,"Description","No.","@@"&amp;$K496),"")</f>
        <v/>
      </c>
      <c r="O496" s="43">
        <v>200</v>
      </c>
      <c r="P496" s="43">
        <v>0</v>
      </c>
      <c r="Q496" s="43">
        <v>0</v>
      </c>
      <c r="R496" s="43">
        <v>0</v>
      </c>
      <c r="S496" s="43">
        <v>0</v>
      </c>
      <c r="T496" s="43">
        <v>0</v>
      </c>
      <c r="U496" s="56"/>
    </row>
    <row r="497" spans="1:21" ht="17.25" customHeight="1" x14ac:dyDescent="0.3">
      <c r="A497" s="15" t="s">
        <v>30</v>
      </c>
      <c r="C497" s="19"/>
      <c r="D497" s="33" t="str">
        <f t="shared" si="108"/>
        <v>C100033</v>
      </c>
      <c r="E497" s="33"/>
      <c r="F497" s="34"/>
      <c r="G497" s="34" t="str">
        <f>"""NAV Direct"",""CRONUS JetCorp USA"",""32"",""1"",""167548"""</f>
        <v>"NAV Direct","CRONUS JetCorp USA","32","1","167548"</v>
      </c>
      <c r="H497" s="40">
        <v>43466</v>
      </c>
      <c r="I497" s="41">
        <v>167548</v>
      </c>
      <c r="J497" s="42" t="str">
        <f>"Vendor"</f>
        <v>Vendor</v>
      </c>
      <c r="K497" s="42" t="str">
        <f>"V100001"</f>
        <v>V100001</v>
      </c>
      <c r="L497" s="42" t="str">
        <f>IF($J497="Customer",_xll.NL("first",$J497,"Name","No.","@@"&amp;$K497),"")</f>
        <v/>
      </c>
      <c r="M497" s="42" t="str">
        <f>"Greigner, Inc."</f>
        <v>Greigner, Inc.</v>
      </c>
      <c r="N497" s="42" t="str">
        <f>IF($J497="Item",_xll.NL("first",$J497,"Description","No.","@@"&amp;$K497),"")</f>
        <v/>
      </c>
      <c r="O497" s="43">
        <v>200</v>
      </c>
      <c r="P497" s="43">
        <v>0</v>
      </c>
      <c r="Q497" s="43">
        <v>0</v>
      </c>
      <c r="R497" s="43">
        <v>0</v>
      </c>
      <c r="S497" s="43">
        <v>0</v>
      </c>
      <c r="T497" s="43">
        <v>0</v>
      </c>
      <c r="U497" s="56"/>
    </row>
    <row r="498" spans="1:21" ht="17.25" customHeight="1" x14ac:dyDescent="0.3">
      <c r="A498" s="15" t="s">
        <v>30</v>
      </c>
      <c r="C498" s="19"/>
      <c r="D498" s="33" t="str">
        <f t="shared" si="108"/>
        <v>C100033</v>
      </c>
      <c r="E498" s="33"/>
      <c r="F498" s="34"/>
      <c r="G498" s="34" t="str">
        <f>"""NAV Direct"",""CRONUS JetCorp USA"",""32"",""1"",""167566"""</f>
        <v>"NAV Direct","CRONUS JetCorp USA","32","1","167566"</v>
      </c>
      <c r="H498" s="40">
        <v>43466</v>
      </c>
      <c r="I498" s="41">
        <v>167566</v>
      </c>
      <c r="J498" s="42" t="str">
        <f>"Vendor"</f>
        <v>Vendor</v>
      </c>
      <c r="K498" s="42" t="str">
        <f>"V100007"</f>
        <v>V100007</v>
      </c>
      <c r="L498" s="42" t="str">
        <f>IF($J498="Customer",_xll.NL("first",$J498,"Name","No.","@@"&amp;$K498),"")</f>
        <v/>
      </c>
      <c r="M498" s="42" t="str">
        <f>"TrendTech"</f>
        <v>TrendTech</v>
      </c>
      <c r="N498" s="42" t="str">
        <f>IF($J498="Item",_xll.NL("first",$J498,"Description","No.","@@"&amp;$K498),"")</f>
        <v/>
      </c>
      <c r="O498" s="43">
        <v>600</v>
      </c>
      <c r="P498" s="43">
        <v>0</v>
      </c>
      <c r="Q498" s="43">
        <v>0</v>
      </c>
      <c r="R498" s="43">
        <v>0</v>
      </c>
      <c r="S498" s="43">
        <v>0</v>
      </c>
      <c r="T498" s="43">
        <v>0</v>
      </c>
      <c r="U498" s="56"/>
    </row>
    <row r="499" spans="1:21" ht="17.25" customHeight="1" x14ac:dyDescent="0.3">
      <c r="A499" s="15" t="s">
        <v>30</v>
      </c>
      <c r="C499" s="19"/>
      <c r="D499" s="33" t="str">
        <f t="shared" si="108"/>
        <v>C100033</v>
      </c>
      <c r="E499" s="33"/>
      <c r="F499" s="34"/>
      <c r="G499" s="34" t="str">
        <f>"""NAV Direct"",""CRONUS JetCorp USA"",""32"",""1"",""167584"""</f>
        <v>"NAV Direct","CRONUS JetCorp USA","32","1","167584"</v>
      </c>
      <c r="H499" s="40">
        <v>43466</v>
      </c>
      <c r="I499" s="41">
        <v>167584</v>
      </c>
      <c r="J499" s="42" t="str">
        <f>"Vendor"</f>
        <v>Vendor</v>
      </c>
      <c r="K499" s="42" t="str">
        <f>"V100001"</f>
        <v>V100001</v>
      </c>
      <c r="L499" s="42" t="str">
        <f>IF($J499="Customer",_xll.NL("first",$J499,"Name","No.","@@"&amp;$K499),"")</f>
        <v/>
      </c>
      <c r="M499" s="42" t="str">
        <f>"Greigner, Inc."</f>
        <v>Greigner, Inc.</v>
      </c>
      <c r="N499" s="42" t="str">
        <f>IF($J499="Item",_xll.NL("first",$J499,"Description","No.","@@"&amp;$K499),"")</f>
        <v/>
      </c>
      <c r="O499" s="43">
        <v>1999.9999999999998</v>
      </c>
      <c r="P499" s="43">
        <v>0</v>
      </c>
      <c r="Q499" s="43">
        <v>0</v>
      </c>
      <c r="R499" s="43">
        <v>0</v>
      </c>
      <c r="S499" s="43">
        <v>0</v>
      </c>
      <c r="T499" s="43">
        <v>0</v>
      </c>
      <c r="U499" s="56"/>
    </row>
    <row r="500" spans="1:21" ht="17.25" customHeight="1" x14ac:dyDescent="0.3">
      <c r="A500" s="15" t="s">
        <v>30</v>
      </c>
      <c r="C500" s="19"/>
      <c r="D500" s="33" t="str">
        <f t="shared" si="108"/>
        <v>C100033</v>
      </c>
      <c r="E500" s="33"/>
      <c r="F500" s="34"/>
      <c r="G500" s="34" t="str">
        <f>"""NAV Direct"",""CRONUS JetCorp USA"",""32"",""1"",""167614"""</f>
        <v>"NAV Direct","CRONUS JetCorp USA","32","1","167614"</v>
      </c>
      <c r="H500" s="40">
        <v>43466</v>
      </c>
      <c r="I500" s="41">
        <v>167614</v>
      </c>
      <c r="J500" s="42" t="str">
        <f>"Vendor"</f>
        <v>Vendor</v>
      </c>
      <c r="K500" s="42" t="str">
        <f>"V100003"</f>
        <v>V100003</v>
      </c>
      <c r="L500" s="42" t="str">
        <f>IF($J500="Customer",_xll.NL("first",$J500,"Name","No.","@@"&amp;$K500),"")</f>
        <v/>
      </c>
      <c r="M500" s="42" t="str">
        <f>"LogoMasters"</f>
        <v>LogoMasters</v>
      </c>
      <c r="N500" s="42" t="str">
        <f>IF($J500="Item",_xll.NL("first",$J500,"Description","No.","@@"&amp;$K500),"")</f>
        <v/>
      </c>
      <c r="O500" s="43">
        <v>1800</v>
      </c>
      <c r="P500" s="43">
        <v>0</v>
      </c>
      <c r="Q500" s="43">
        <v>0</v>
      </c>
      <c r="R500" s="43">
        <v>0</v>
      </c>
      <c r="S500" s="43">
        <v>0</v>
      </c>
      <c r="T500" s="43">
        <v>0</v>
      </c>
      <c r="U500" s="56"/>
    </row>
    <row r="501" spans="1:21" ht="17.25" customHeight="1" x14ac:dyDescent="0.3">
      <c r="A501" s="15" t="s">
        <v>30</v>
      </c>
      <c r="C501" s="19"/>
      <c r="D501" s="33" t="str">
        <f t="shared" si="108"/>
        <v>C100033</v>
      </c>
      <c r="E501" s="33"/>
      <c r="F501" s="34"/>
      <c r="G501" s="34" t="str">
        <f>"""NAV Direct"",""CRONUS JetCorp USA"",""32"",""1"",""153171"""</f>
        <v>"NAV Direct","CRONUS JetCorp USA","32","1","153171"</v>
      </c>
      <c r="H501" s="40">
        <v>43470</v>
      </c>
      <c r="I501" s="41">
        <v>153171</v>
      </c>
      <c r="J501" s="42" t="str">
        <f>"Customer"</f>
        <v>Customer</v>
      </c>
      <c r="K501" s="42" t="str">
        <f>"C100136"</f>
        <v>C100136</v>
      </c>
      <c r="L501" s="42" t="str">
        <f>IF($J501="Customer",_xll.NL("first",$J501,"Name","No.","@@"&amp;$K501),"")</f>
        <v>First Bank</v>
      </c>
      <c r="M501" s="42" t="str">
        <f>""</f>
        <v/>
      </c>
      <c r="N501" s="42" t="str">
        <f>IF($J501="Item",_xll.NL("first",$J501,"Description","No.","@@"&amp;$K501),"")</f>
        <v/>
      </c>
      <c r="O501" s="43">
        <v>0</v>
      </c>
      <c r="P501" s="43">
        <v>-24</v>
      </c>
      <c r="Q501" s="43">
        <v>0</v>
      </c>
      <c r="R501" s="43">
        <v>0</v>
      </c>
      <c r="S501" s="43">
        <v>0</v>
      </c>
      <c r="T501" s="43">
        <v>0</v>
      </c>
      <c r="U501" s="56"/>
    </row>
    <row r="502" spans="1:21" ht="17.25" customHeight="1" x14ac:dyDescent="0.3">
      <c r="A502" s="15" t="s">
        <v>30</v>
      </c>
      <c r="C502" s="19"/>
      <c r="D502" s="33" t="str">
        <f t="shared" si="108"/>
        <v>C100033</v>
      </c>
      <c r="E502" s="33"/>
      <c r="F502" s="34"/>
      <c r="G502" s="34" t="str">
        <f>"""NAV Direct"",""CRONUS JetCorp USA"",""32"",""1"",""12466"""</f>
        <v>"NAV Direct","CRONUS JetCorp USA","32","1","12466"</v>
      </c>
      <c r="H502" s="40">
        <v>43471</v>
      </c>
      <c r="I502" s="41">
        <v>12466</v>
      </c>
      <c r="J502" s="42" t="str">
        <f>"Customer"</f>
        <v>Customer</v>
      </c>
      <c r="K502" s="42" t="str">
        <f>"C100041"</f>
        <v>C100041</v>
      </c>
      <c r="L502" s="42" t="str">
        <f>IF($J502="Customer",_xll.NL("first",$J502,"Name","No.","@@"&amp;$K502),"")</f>
        <v>Heimilisprydi</v>
      </c>
      <c r="M502" s="42" t="str">
        <f>""</f>
        <v/>
      </c>
      <c r="N502" s="42" t="str">
        <f>IF($J502="Item",_xll.NL("first",$J502,"Description","No.","@@"&amp;$K502),"")</f>
        <v/>
      </c>
      <c r="O502" s="43">
        <v>0</v>
      </c>
      <c r="P502" s="43">
        <v>-1</v>
      </c>
      <c r="Q502" s="43">
        <v>0</v>
      </c>
      <c r="R502" s="43">
        <v>0</v>
      </c>
      <c r="S502" s="43">
        <v>0</v>
      </c>
      <c r="T502" s="43">
        <v>0</v>
      </c>
      <c r="U502" s="56"/>
    </row>
    <row r="503" spans="1:21" ht="17.25" customHeight="1" x14ac:dyDescent="0.3">
      <c r="A503" s="15" t="s">
        <v>30</v>
      </c>
      <c r="C503" s="19"/>
      <c r="D503" s="33" t="str">
        <f t="shared" si="108"/>
        <v>C100033</v>
      </c>
      <c r="E503" s="33"/>
      <c r="F503" s="34"/>
      <c r="G503" s="34" t="str">
        <f>"""NAV Direct"",""CRONUS JetCorp USA"",""32"",""1"",""72509"""</f>
        <v>"NAV Direct","CRONUS JetCorp USA","32","1","72509"</v>
      </c>
      <c r="H503" s="40">
        <v>43471</v>
      </c>
      <c r="I503" s="41">
        <v>72509</v>
      </c>
      <c r="J503" s="42" t="str">
        <f>"Customer"</f>
        <v>Customer</v>
      </c>
      <c r="K503" s="42" t="str">
        <f>"C100107"</f>
        <v>C100107</v>
      </c>
      <c r="L503" s="42" t="str">
        <f>IF($J503="Customer",_xll.NL("first",$J503,"Name","No.","@@"&amp;$K503),"")</f>
        <v>Lexitechnology</v>
      </c>
      <c r="M503" s="42" t="str">
        <f>""</f>
        <v/>
      </c>
      <c r="N503" s="42" t="str">
        <f>IF($J503="Item",_xll.NL("first",$J503,"Description","No.","@@"&amp;$K503),"")</f>
        <v/>
      </c>
      <c r="O503" s="43">
        <v>0</v>
      </c>
      <c r="P503" s="43">
        <v>-144</v>
      </c>
      <c r="Q503" s="43">
        <v>0</v>
      </c>
      <c r="R503" s="43">
        <v>0</v>
      </c>
      <c r="S503" s="43">
        <v>0</v>
      </c>
      <c r="T503" s="43">
        <v>0</v>
      </c>
      <c r="U503" s="56"/>
    </row>
    <row r="504" spans="1:21" ht="17.25" customHeight="1" x14ac:dyDescent="0.3">
      <c r="A504" s="15" t="s">
        <v>30</v>
      </c>
      <c r="C504" s="19"/>
      <c r="D504" s="33" t="str">
        <f t="shared" si="108"/>
        <v>C100033</v>
      </c>
      <c r="E504" s="33"/>
      <c r="F504" s="34"/>
      <c r="G504" s="34" t="str">
        <f>"""NAV Direct"",""CRONUS JetCorp USA"",""32"",""1"",""78874"""</f>
        <v>"NAV Direct","CRONUS JetCorp USA","32","1","78874"</v>
      </c>
      <c r="H504" s="40">
        <v>43471</v>
      </c>
      <c r="I504" s="41">
        <v>78874</v>
      </c>
      <c r="J504" s="42" t="str">
        <f>"Customer"</f>
        <v>Customer</v>
      </c>
      <c r="K504" s="42" t="str">
        <f>"C100124"</f>
        <v>C100124</v>
      </c>
      <c r="L504" s="42" t="str">
        <f>IF($J504="Customer",_xll.NL("first",$J504,"Name","No.","@@"&amp;$K504),"")</f>
        <v>Ontocane Outdoors</v>
      </c>
      <c r="M504" s="42" t="str">
        <f>""</f>
        <v/>
      </c>
      <c r="N504" s="42" t="str">
        <f>IF($J504="Item",_xll.NL("first",$J504,"Description","No.","@@"&amp;$K504),"")</f>
        <v/>
      </c>
      <c r="O504" s="43">
        <v>0</v>
      </c>
      <c r="P504" s="43">
        <v>-48</v>
      </c>
      <c r="Q504" s="43">
        <v>0</v>
      </c>
      <c r="R504" s="43">
        <v>0</v>
      </c>
      <c r="S504" s="43">
        <v>0</v>
      </c>
      <c r="T504" s="43">
        <v>0</v>
      </c>
      <c r="U504" s="56"/>
    </row>
    <row r="505" spans="1:21" ht="17.25" customHeight="1" x14ac:dyDescent="0.3">
      <c r="A505" s="15" t="s">
        <v>30</v>
      </c>
      <c r="C505" s="19"/>
      <c r="D505" s="33" t="str">
        <f t="shared" si="108"/>
        <v>C100033</v>
      </c>
      <c r="E505" s="33"/>
      <c r="F505" s="34"/>
      <c r="G505" s="34" t="str">
        <f>"""NAV Direct"",""CRONUS JetCorp USA"",""32"",""1"",""118085"""</f>
        <v>"NAV Direct","CRONUS JetCorp USA","32","1","118085"</v>
      </c>
      <c r="H505" s="40">
        <v>43471</v>
      </c>
      <c r="I505" s="41">
        <v>118085</v>
      </c>
      <c r="J505" s="42" t="str">
        <f>"Customer"</f>
        <v>Customer</v>
      </c>
      <c r="K505" s="42" t="str">
        <f>"C100060"</f>
        <v>C100060</v>
      </c>
      <c r="L505" s="42" t="str">
        <f>IF($J505="Customer",_xll.NL("first",$J505,"Name","No.","@@"&amp;$K505),"")</f>
        <v>MEMA Ljubljana d.o.o.</v>
      </c>
      <c r="M505" s="42" t="str">
        <f>""</f>
        <v/>
      </c>
      <c r="N505" s="42" t="str">
        <f>IF($J505="Item",_xll.NL("first",$J505,"Description","No.","@@"&amp;$K505),"")</f>
        <v/>
      </c>
      <c r="O505" s="43">
        <v>0</v>
      </c>
      <c r="P505" s="43">
        <v>-1</v>
      </c>
      <c r="Q505" s="43">
        <v>0</v>
      </c>
      <c r="R505" s="43">
        <v>0</v>
      </c>
      <c r="S505" s="43">
        <v>0</v>
      </c>
      <c r="T505" s="43">
        <v>0</v>
      </c>
      <c r="U505" s="56"/>
    </row>
    <row r="506" spans="1:21" ht="17.25" customHeight="1" x14ac:dyDescent="0.3">
      <c r="A506" s="15" t="s">
        <v>30</v>
      </c>
      <c r="C506" s="19"/>
      <c r="D506" s="33" t="str">
        <f t="shared" si="108"/>
        <v>C100033</v>
      </c>
      <c r="E506" s="33"/>
      <c r="F506" s="34"/>
      <c r="G506" s="34" t="str">
        <f>"""NAV Direct"",""CRONUS JetCorp USA"",""32"",""1"",""111284"""</f>
        <v>"NAV Direct","CRONUS JetCorp USA","32","1","111284"</v>
      </c>
      <c r="H506" s="40">
        <v>43472</v>
      </c>
      <c r="I506" s="41">
        <v>111284</v>
      </c>
      <c r="J506" s="42" t="str">
        <f>"Customer"</f>
        <v>Customer</v>
      </c>
      <c r="K506" s="42" t="str">
        <f>"C100099"</f>
        <v>C100099</v>
      </c>
      <c r="L506" s="42" t="str">
        <f>IF($J506="Customer",_xll.NL("first",$J506,"Name","No.","@@"&amp;$K506),"")</f>
        <v>Voltive Systems</v>
      </c>
      <c r="M506" s="42" t="str">
        <f>""</f>
        <v/>
      </c>
      <c r="N506" s="42" t="str">
        <f>IF($J506="Item",_xll.NL("first",$J506,"Description","No.","@@"&amp;$K506),"")</f>
        <v/>
      </c>
      <c r="O506" s="43">
        <v>0</v>
      </c>
      <c r="P506" s="43">
        <v>-6</v>
      </c>
      <c r="Q506" s="43">
        <v>0</v>
      </c>
      <c r="R506" s="43">
        <v>0</v>
      </c>
      <c r="S506" s="43">
        <v>0</v>
      </c>
      <c r="T506" s="43">
        <v>0</v>
      </c>
      <c r="U506" s="56"/>
    </row>
    <row r="507" spans="1:21" ht="17.25" customHeight="1" x14ac:dyDescent="0.3">
      <c r="A507" s="15" t="s">
        <v>30</v>
      </c>
      <c r="C507" s="19"/>
      <c r="D507" s="33" t="str">
        <f t="shared" si="108"/>
        <v>C100033</v>
      </c>
      <c r="E507" s="33"/>
      <c r="F507" s="34"/>
      <c r="G507" s="34" t="str">
        <f>"""NAV Direct"",""CRONUS JetCorp USA"",""32"",""1"",""44511"""</f>
        <v>"NAV Direct","CRONUS JetCorp USA","32","1","44511"</v>
      </c>
      <c r="H507" s="40">
        <v>43473</v>
      </c>
      <c r="I507" s="41">
        <v>44511</v>
      </c>
      <c r="J507" s="42" t="str">
        <f>"Customer"</f>
        <v>Customer</v>
      </c>
      <c r="K507" s="42" t="str">
        <f>"C100139"</f>
        <v>C100139</v>
      </c>
      <c r="L507" s="42" t="str">
        <f>IF($J507="Customer",_xll.NL("first",$J507,"Name","No.","@@"&amp;$K507),"")</f>
        <v>Gamma Ray's</v>
      </c>
      <c r="M507" s="42" t="str">
        <f>""</f>
        <v/>
      </c>
      <c r="N507" s="42" t="str">
        <f>IF($J507="Item",_xll.NL("first",$J507,"Description","No.","@@"&amp;$K507),"")</f>
        <v/>
      </c>
      <c r="O507" s="43">
        <v>0</v>
      </c>
      <c r="P507" s="43">
        <v>-144</v>
      </c>
      <c r="Q507" s="43">
        <v>0</v>
      </c>
      <c r="R507" s="43">
        <v>0</v>
      </c>
      <c r="S507" s="43">
        <v>0</v>
      </c>
      <c r="T507" s="43">
        <v>0</v>
      </c>
      <c r="U507" s="56"/>
    </row>
    <row r="508" spans="1:21" ht="17.25" customHeight="1" x14ac:dyDescent="0.3">
      <c r="A508" s="15" t="s">
        <v>30</v>
      </c>
      <c r="C508" s="19"/>
      <c r="D508" s="33" t="str">
        <f t="shared" si="108"/>
        <v>C100033</v>
      </c>
      <c r="E508" s="33"/>
      <c r="F508" s="34"/>
      <c r="G508" s="34" t="str">
        <f>"""NAV Direct"",""CRONUS JetCorp USA"",""32"",""1"",""120193"""</f>
        <v>"NAV Direct","CRONUS JetCorp USA","32","1","120193"</v>
      </c>
      <c r="H508" s="40">
        <v>43474</v>
      </c>
      <c r="I508" s="41">
        <v>120193</v>
      </c>
      <c r="J508" s="42" t="str">
        <f>"Customer"</f>
        <v>Customer</v>
      </c>
      <c r="K508" s="42" t="str">
        <f>"C100049"</f>
        <v>C100049</v>
      </c>
      <c r="L508" s="42" t="str">
        <f>IF($J508="Customer",_xll.NL("first",$J508,"Name","No.","@@"&amp;$K508),"")</f>
        <v>Konberg Tapet AB</v>
      </c>
      <c r="M508" s="42" t="str">
        <f>""</f>
        <v/>
      </c>
      <c r="N508" s="42" t="str">
        <f>IF($J508="Item",_xll.NL("first",$J508,"Description","No.","@@"&amp;$K508),"")</f>
        <v/>
      </c>
      <c r="O508" s="43">
        <v>0</v>
      </c>
      <c r="P508" s="43">
        <v>-6</v>
      </c>
      <c r="Q508" s="43">
        <v>0</v>
      </c>
      <c r="R508" s="43">
        <v>0</v>
      </c>
      <c r="S508" s="43">
        <v>0</v>
      </c>
      <c r="T508" s="43">
        <v>0</v>
      </c>
      <c r="U508" s="56"/>
    </row>
    <row r="509" spans="1:21" ht="17.25" customHeight="1" x14ac:dyDescent="0.3">
      <c r="A509" s="15" t="s">
        <v>30</v>
      </c>
      <c r="C509" s="19"/>
      <c r="D509" s="33" t="str">
        <f t="shared" si="108"/>
        <v>C100033</v>
      </c>
      <c r="E509" s="33"/>
      <c r="F509" s="34"/>
      <c r="G509" s="34" t="str">
        <f>"""NAV Direct"",""CRONUS JetCorp USA"",""32"",""1"",""64614"""</f>
        <v>"NAV Direct","CRONUS JetCorp USA","32","1","64614"</v>
      </c>
      <c r="H509" s="40">
        <v>43475</v>
      </c>
      <c r="I509" s="41">
        <v>64614</v>
      </c>
      <c r="J509" s="42" t="str">
        <f>"Customer"</f>
        <v>Customer</v>
      </c>
      <c r="K509" s="42" t="str">
        <f>"C100136"</f>
        <v>C100136</v>
      </c>
      <c r="L509" s="42" t="str">
        <f>IF($J509="Customer",_xll.NL("first",$J509,"Name","No.","@@"&amp;$K509),"")</f>
        <v>First Bank</v>
      </c>
      <c r="M509" s="42" t="str">
        <f>""</f>
        <v/>
      </c>
      <c r="N509" s="42" t="str">
        <f>IF($J509="Item",_xll.NL("first",$J509,"Description","No.","@@"&amp;$K509),"")</f>
        <v/>
      </c>
      <c r="O509" s="43">
        <v>0</v>
      </c>
      <c r="P509" s="43">
        <v>-144</v>
      </c>
      <c r="Q509" s="43">
        <v>0</v>
      </c>
      <c r="R509" s="43">
        <v>0</v>
      </c>
      <c r="S509" s="43">
        <v>0</v>
      </c>
      <c r="T509" s="43">
        <v>0</v>
      </c>
      <c r="U509" s="56"/>
    </row>
    <row r="510" spans="1:21" ht="17.25" customHeight="1" x14ac:dyDescent="0.3">
      <c r="A510" s="15" t="s">
        <v>30</v>
      </c>
      <c r="C510" s="19"/>
      <c r="D510" s="33" t="str">
        <f t="shared" si="108"/>
        <v>C100033</v>
      </c>
      <c r="E510" s="33"/>
      <c r="F510" s="34"/>
      <c r="G510" s="34" t="str">
        <f>"""NAV Direct"",""CRONUS JetCorp USA"",""32"",""1"",""78904"""</f>
        <v>"NAV Direct","CRONUS JetCorp USA","32","1","78904"</v>
      </c>
      <c r="H510" s="40">
        <v>43475</v>
      </c>
      <c r="I510" s="41">
        <v>78904</v>
      </c>
      <c r="J510" s="42" t="str">
        <f>"Customer"</f>
        <v>Customer</v>
      </c>
      <c r="K510" s="42" t="str">
        <f>"C100128"</f>
        <v>C100128</v>
      </c>
      <c r="L510" s="42" t="str">
        <f>IF($J510="Customer",_xll.NL("first",$J510,"Name","No.","@@"&amp;$K510),"")</f>
        <v>Solar Tech</v>
      </c>
      <c r="M510" s="42" t="str">
        <f>""</f>
        <v/>
      </c>
      <c r="N510" s="42" t="str">
        <f>IF($J510="Item",_xll.NL("first",$J510,"Description","No.","@@"&amp;$K510),"")</f>
        <v/>
      </c>
      <c r="O510" s="43">
        <v>0</v>
      </c>
      <c r="P510" s="43">
        <v>-24</v>
      </c>
      <c r="Q510" s="43">
        <v>0</v>
      </c>
      <c r="R510" s="43">
        <v>0</v>
      </c>
      <c r="S510" s="43">
        <v>0</v>
      </c>
      <c r="T510" s="43">
        <v>0</v>
      </c>
      <c r="U510" s="56"/>
    </row>
    <row r="511" spans="1:21" ht="17.25" customHeight="1" x14ac:dyDescent="0.3">
      <c r="A511" s="15" t="s">
        <v>30</v>
      </c>
      <c r="C511" s="19"/>
      <c r="D511" s="33" t="str">
        <f t="shared" si="108"/>
        <v>C100033</v>
      </c>
      <c r="E511" s="33"/>
      <c r="F511" s="34"/>
      <c r="G511" s="34" t="str">
        <f>"""NAV Direct"",""CRONUS JetCorp USA"",""32"",""1"",""153180"""</f>
        <v>"NAV Direct","CRONUS JetCorp USA","32","1","153180"</v>
      </c>
      <c r="H511" s="40">
        <v>43475</v>
      </c>
      <c r="I511" s="41">
        <v>153180</v>
      </c>
      <c r="J511" s="42" t="str">
        <f>"Customer"</f>
        <v>Customer</v>
      </c>
      <c r="K511" s="42" t="str">
        <f>"C100108"</f>
        <v>C100108</v>
      </c>
      <c r="L511" s="42" t="str">
        <f>IF($J511="Customer",_xll.NL("first",$J511,"Name","No.","@@"&amp;$K511),"")</f>
        <v>Kinfix Industries</v>
      </c>
      <c r="M511" s="42" t="str">
        <f>""</f>
        <v/>
      </c>
      <c r="N511" s="42" t="str">
        <f>IF($J511="Item",_xll.NL("first",$J511,"Description","No.","@@"&amp;$K511),"")</f>
        <v/>
      </c>
      <c r="O511" s="43">
        <v>0</v>
      </c>
      <c r="P511" s="43">
        <v>-144</v>
      </c>
      <c r="Q511" s="43">
        <v>0</v>
      </c>
      <c r="R511" s="43">
        <v>0</v>
      </c>
      <c r="S511" s="43">
        <v>0</v>
      </c>
      <c r="T511" s="43">
        <v>0</v>
      </c>
      <c r="U511" s="56"/>
    </row>
    <row r="512" spans="1:21" ht="17.25" customHeight="1" x14ac:dyDescent="0.3">
      <c r="A512" s="15" t="s">
        <v>30</v>
      </c>
      <c r="C512" s="19"/>
      <c r="D512" s="33" t="str">
        <f t="shared" si="108"/>
        <v>C100033</v>
      </c>
      <c r="E512" s="33"/>
      <c r="F512" s="34"/>
      <c r="G512" s="34" t="str">
        <f>"""NAV Direct"",""CRONUS JetCorp USA"",""32"",""1"",""7591"""</f>
        <v>"NAV Direct","CRONUS JetCorp USA","32","1","7591"</v>
      </c>
      <c r="H512" s="40">
        <v>43476</v>
      </c>
      <c r="I512" s="41">
        <v>7591</v>
      </c>
      <c r="J512" s="42" t="str">
        <f>"Customer"</f>
        <v>Customer</v>
      </c>
      <c r="K512" s="42" t="str">
        <f>"C100030"</f>
        <v>C100030</v>
      </c>
      <c r="L512" s="42" t="str">
        <f>IF($J512="Customer",_xll.NL("first",$J512,"Name","No.","@@"&amp;$K512),"")</f>
        <v>Stutringers</v>
      </c>
      <c r="M512" s="42" t="str">
        <f>""</f>
        <v/>
      </c>
      <c r="N512" s="42" t="str">
        <f>IF($J512="Item",_xll.NL("first",$J512,"Description","No.","@@"&amp;$K512),"")</f>
        <v/>
      </c>
      <c r="O512" s="43">
        <v>0</v>
      </c>
      <c r="P512" s="43">
        <v>-1</v>
      </c>
      <c r="Q512" s="43">
        <v>0</v>
      </c>
      <c r="R512" s="43">
        <v>0</v>
      </c>
      <c r="S512" s="43">
        <v>0</v>
      </c>
      <c r="T512" s="43">
        <v>0</v>
      </c>
      <c r="U512" s="56"/>
    </row>
    <row r="513" spans="1:21" ht="17.25" customHeight="1" x14ac:dyDescent="0.3">
      <c r="A513" s="15" t="s">
        <v>30</v>
      </c>
      <c r="C513" s="19"/>
      <c r="D513" s="33" t="str">
        <f t="shared" si="108"/>
        <v>C100033</v>
      </c>
      <c r="E513" s="33"/>
      <c r="F513" s="34"/>
      <c r="G513" s="34" t="str">
        <f>"""NAV Direct"",""CRONUS JetCorp USA"",""32"",""1"",""114293"""</f>
        <v>"NAV Direct","CRONUS JetCorp USA","32","1","114293"</v>
      </c>
      <c r="H513" s="40">
        <v>43477</v>
      </c>
      <c r="I513" s="41">
        <v>114293</v>
      </c>
      <c r="J513" s="42" t="str">
        <f>"Customer"</f>
        <v>Customer</v>
      </c>
      <c r="K513" s="42" t="str">
        <f>"C100030"</f>
        <v>C100030</v>
      </c>
      <c r="L513" s="42" t="str">
        <f>IF($J513="Customer",_xll.NL("first",$J513,"Name","No.","@@"&amp;$K513),"")</f>
        <v>Stutringers</v>
      </c>
      <c r="M513" s="42" t="str">
        <f>""</f>
        <v/>
      </c>
      <c r="N513" s="42" t="str">
        <f>IF($J513="Item",_xll.NL("first",$J513,"Description","No.","@@"&amp;$K513),"")</f>
        <v/>
      </c>
      <c r="O513" s="43">
        <v>0</v>
      </c>
      <c r="P513" s="43">
        <v>-144</v>
      </c>
      <c r="Q513" s="43">
        <v>0</v>
      </c>
      <c r="R513" s="43">
        <v>0</v>
      </c>
      <c r="S513" s="43">
        <v>0</v>
      </c>
      <c r="T513" s="43">
        <v>0</v>
      </c>
      <c r="U513" s="56"/>
    </row>
    <row r="514" spans="1:21" ht="17.25" customHeight="1" x14ac:dyDescent="0.3">
      <c r="A514" s="15" t="s">
        <v>30</v>
      </c>
      <c r="C514" s="19"/>
      <c r="D514" s="33"/>
      <c r="E514" s="33"/>
      <c r="F514" s="34"/>
      <c r="G514" s="34"/>
      <c r="H514" s="34"/>
      <c r="I514" s="34"/>
      <c r="J514" s="34"/>
      <c r="K514" s="34"/>
      <c r="L514" s="34"/>
      <c r="M514" s="34"/>
      <c r="N514" s="34"/>
      <c r="O514" s="44"/>
      <c r="P514" s="44"/>
      <c r="Q514" s="44"/>
      <c r="R514" s="44"/>
      <c r="S514" s="44"/>
      <c r="T514" s="44"/>
      <c r="U514" s="57"/>
    </row>
    <row r="515" spans="1:21" ht="17.25" customHeight="1" x14ac:dyDescent="0.3">
      <c r="A515" s="15" t="s">
        <v>30</v>
      </c>
      <c r="C515" s="19"/>
      <c r="D515" s="33"/>
      <c r="E515" s="33" t="s">
        <v>31</v>
      </c>
      <c r="F515" s="34" t="s">
        <v>31</v>
      </c>
      <c r="G515" s="34" t="s">
        <v>31</v>
      </c>
      <c r="H515" s="34"/>
      <c r="I515" s="34"/>
      <c r="J515" s="34" t="s">
        <v>31</v>
      </c>
      <c r="K515" s="34" t="s">
        <v>31</v>
      </c>
      <c r="L515" s="34" t="s">
        <v>31</v>
      </c>
      <c r="M515" s="34" t="s">
        <v>31</v>
      </c>
      <c r="N515" s="34"/>
      <c r="U515" s="58"/>
    </row>
    <row r="516" spans="1:21" ht="20.25" customHeight="1" x14ac:dyDescent="0.35">
      <c r="A516" s="15" t="s">
        <v>30</v>
      </c>
      <c r="C516" s="19"/>
      <c r="D516" s="35" t="str">
        <f t="shared" ref="D516" si="109">E516</f>
        <v>C100034</v>
      </c>
      <c r="E516" s="36" t="str">
        <f>"C100034"</f>
        <v>C100034</v>
      </c>
      <c r="F516" s="37" t="str">
        <f>"Clock &amp; Pen Holder"</f>
        <v>Clock &amp; Pen Holder</v>
      </c>
      <c r="G516" s="37"/>
      <c r="H516" s="38" t="str">
        <f>"EA"</f>
        <v>EA</v>
      </c>
      <c r="I516" s="37"/>
      <c r="J516" s="37"/>
      <c r="K516" s="37"/>
      <c r="L516" s="37"/>
      <c r="M516" s="37"/>
      <c r="N516" s="37"/>
      <c r="O516" s="39">
        <f>(SUBTOTAL(9,O517:O525))</f>
        <v>1600</v>
      </c>
      <c r="P516" s="39">
        <f>(SUBTOTAL(9,P517:P525))</f>
        <v>-170</v>
      </c>
      <c r="Q516" s="39">
        <f>(SUBTOTAL(9,Q517:Q525))</f>
        <v>0</v>
      </c>
      <c r="R516" s="39">
        <f>(SUBTOTAL(9,R517:R525))</f>
        <v>0</v>
      </c>
      <c r="S516" s="39">
        <f>(SUBTOTAL(9,S517:S525))</f>
        <v>0</v>
      </c>
      <c r="T516" s="39">
        <f>(SUBTOTAL(9,T517:T525))</f>
        <v>0</v>
      </c>
      <c r="U516" s="55">
        <f t="shared" ref="U516" si="110">SUBTOTAL(9,O517:T525)</f>
        <v>1430</v>
      </c>
    </row>
    <row r="517" spans="1:21" ht="17.25" customHeight="1" x14ac:dyDescent="0.3">
      <c r="A517" s="15" t="s">
        <v>30</v>
      </c>
      <c r="C517" s="19"/>
      <c r="D517" s="33" t="str">
        <f t="shared" ref="D517" si="111">D516</f>
        <v>C100034</v>
      </c>
      <c r="E517" s="33"/>
      <c r="F517" s="34"/>
      <c r="G517" s="34" t="str">
        <f>"""NAV Direct"",""CRONUS JetCorp USA"",""32"",""1"",""167520"""</f>
        <v>"NAV Direct","CRONUS JetCorp USA","32","1","167520"</v>
      </c>
      <c r="H517" s="40">
        <v>43466</v>
      </c>
      <c r="I517" s="41">
        <v>167520</v>
      </c>
      <c r="J517" s="42" t="str">
        <f>"Vendor"</f>
        <v>Vendor</v>
      </c>
      <c r="K517" s="42" t="str">
        <f>"V100009"</f>
        <v>V100009</v>
      </c>
      <c r="L517" s="42" t="str">
        <f>IF($J517="Customer",_xll.NL("first",$J517,"Name","No.","@@"&amp;$K517),"")</f>
        <v/>
      </c>
      <c r="M517" s="42" t="str">
        <f>"Malay-Dan Export Unit Sdn Bhd"</f>
        <v>Malay-Dan Export Unit Sdn Bhd</v>
      </c>
      <c r="N517" s="42" t="str">
        <f>IF($J517="Item",_xll.NL("first",$J517,"Description","No.","@@"&amp;$K517),"")</f>
        <v/>
      </c>
      <c r="O517" s="43">
        <v>400</v>
      </c>
      <c r="P517" s="43">
        <v>0</v>
      </c>
      <c r="Q517" s="43">
        <v>0</v>
      </c>
      <c r="R517" s="43">
        <v>0</v>
      </c>
      <c r="S517" s="43">
        <v>0</v>
      </c>
      <c r="T517" s="43">
        <v>0</v>
      </c>
      <c r="U517" s="56"/>
    </row>
    <row r="518" spans="1:21" ht="17.25" customHeight="1" x14ac:dyDescent="0.3">
      <c r="A518" s="15" t="s">
        <v>30</v>
      </c>
      <c r="C518" s="19"/>
      <c r="D518" s="33" t="str">
        <f t="shared" ref="D518:D524" si="112">D517</f>
        <v>C100034</v>
      </c>
      <c r="E518" s="33"/>
      <c r="F518" s="34"/>
      <c r="G518" s="34" t="str">
        <f>"""NAV Direct"",""CRONUS JetCorp USA"",""32"",""1"",""167538"""</f>
        <v>"NAV Direct","CRONUS JetCorp USA","32","1","167538"</v>
      </c>
      <c r="H518" s="40">
        <v>43466</v>
      </c>
      <c r="I518" s="41">
        <v>167538</v>
      </c>
      <c r="J518" s="42" t="str">
        <f>"Vendor"</f>
        <v>Vendor</v>
      </c>
      <c r="K518" s="42" t="str">
        <f>"V100040"</f>
        <v>V100040</v>
      </c>
      <c r="L518" s="42" t="str">
        <f>IF($J518="Customer",_xll.NL("first",$J518,"Name","No.","@@"&amp;$K518),"")</f>
        <v/>
      </c>
      <c r="M518" s="42" t="str">
        <f>"Technische Betriebe Rotkreuz"</f>
        <v>Technische Betriebe Rotkreuz</v>
      </c>
      <c r="N518" s="42" t="str">
        <f>IF($J518="Item",_xll.NL("first",$J518,"Description","No.","@@"&amp;$K518),"")</f>
        <v/>
      </c>
      <c r="O518" s="43">
        <v>200</v>
      </c>
      <c r="P518" s="43">
        <v>0</v>
      </c>
      <c r="Q518" s="43">
        <v>0</v>
      </c>
      <c r="R518" s="43">
        <v>0</v>
      </c>
      <c r="S518" s="43">
        <v>0</v>
      </c>
      <c r="T518" s="43">
        <v>0</v>
      </c>
      <c r="U518" s="56"/>
    </row>
    <row r="519" spans="1:21" ht="17.25" customHeight="1" x14ac:dyDescent="0.3">
      <c r="A519" s="15" t="s">
        <v>30</v>
      </c>
      <c r="C519" s="19"/>
      <c r="D519" s="33" t="str">
        <f t="shared" si="112"/>
        <v>C100034</v>
      </c>
      <c r="E519" s="33"/>
      <c r="F519" s="34"/>
      <c r="G519" s="34" t="str">
        <f>"""NAV Direct"",""CRONUS JetCorp USA"",""32"",""1"",""167565"""</f>
        <v>"NAV Direct","CRONUS JetCorp USA","32","1","167565"</v>
      </c>
      <c r="H519" s="40">
        <v>43466</v>
      </c>
      <c r="I519" s="41">
        <v>167565</v>
      </c>
      <c r="J519" s="42" t="str">
        <f>"Vendor"</f>
        <v>Vendor</v>
      </c>
      <c r="K519" s="42" t="str">
        <f>"V100007"</f>
        <v>V100007</v>
      </c>
      <c r="L519" s="42" t="str">
        <f>IF($J519="Customer",_xll.NL("first",$J519,"Name","No.","@@"&amp;$K519),"")</f>
        <v/>
      </c>
      <c r="M519" s="42" t="str">
        <f>"TrendTech"</f>
        <v>TrendTech</v>
      </c>
      <c r="N519" s="42" t="str">
        <f>IF($J519="Item",_xll.NL("first",$J519,"Description","No.","@@"&amp;$K519),"")</f>
        <v/>
      </c>
      <c r="O519" s="43">
        <v>400</v>
      </c>
      <c r="P519" s="43">
        <v>0</v>
      </c>
      <c r="Q519" s="43">
        <v>0</v>
      </c>
      <c r="R519" s="43">
        <v>0</v>
      </c>
      <c r="S519" s="43">
        <v>0</v>
      </c>
      <c r="T519" s="43">
        <v>0</v>
      </c>
      <c r="U519" s="56"/>
    </row>
    <row r="520" spans="1:21" ht="17.25" customHeight="1" x14ac:dyDescent="0.3">
      <c r="A520" s="15" t="s">
        <v>30</v>
      </c>
      <c r="C520" s="19"/>
      <c r="D520" s="33" t="str">
        <f t="shared" si="112"/>
        <v>C100034</v>
      </c>
      <c r="E520" s="33"/>
      <c r="F520" s="34"/>
      <c r="G520" s="34" t="str">
        <f>"""NAV Direct"",""CRONUS JetCorp USA"",""32"",""1"",""167613"""</f>
        <v>"NAV Direct","CRONUS JetCorp USA","32","1","167613"</v>
      </c>
      <c r="H520" s="40">
        <v>43466</v>
      </c>
      <c r="I520" s="41">
        <v>167613</v>
      </c>
      <c r="J520" s="42" t="str">
        <f>"Vendor"</f>
        <v>Vendor</v>
      </c>
      <c r="K520" s="42" t="str">
        <f>"V100003"</f>
        <v>V100003</v>
      </c>
      <c r="L520" s="42" t="str">
        <f>IF($J520="Customer",_xll.NL("first",$J520,"Name","No.","@@"&amp;$K520),"")</f>
        <v/>
      </c>
      <c r="M520" s="42" t="str">
        <f>"LogoMasters"</f>
        <v>LogoMasters</v>
      </c>
      <c r="N520" s="42" t="str">
        <f>IF($J520="Item",_xll.NL("first",$J520,"Description","No.","@@"&amp;$K520),"")</f>
        <v/>
      </c>
      <c r="O520" s="43">
        <v>600</v>
      </c>
      <c r="P520" s="43">
        <v>0</v>
      </c>
      <c r="Q520" s="43">
        <v>0</v>
      </c>
      <c r="R520" s="43">
        <v>0</v>
      </c>
      <c r="S520" s="43">
        <v>0</v>
      </c>
      <c r="T520" s="43">
        <v>0</v>
      </c>
      <c r="U520" s="56"/>
    </row>
    <row r="521" spans="1:21" ht="17.25" customHeight="1" x14ac:dyDescent="0.3">
      <c r="A521" s="15" t="s">
        <v>30</v>
      </c>
      <c r="C521" s="19"/>
      <c r="D521" s="33" t="str">
        <f t="shared" si="112"/>
        <v>C100034</v>
      </c>
      <c r="E521" s="33"/>
      <c r="F521" s="34"/>
      <c r="G521" s="34" t="str">
        <f>"""NAV Direct"",""CRONUS JetCorp USA"",""32"",""1"",""10222"""</f>
        <v>"NAV Direct","CRONUS JetCorp USA","32","1","10222"</v>
      </c>
      <c r="H521" s="40">
        <v>43471</v>
      </c>
      <c r="I521" s="41">
        <v>10222</v>
      </c>
      <c r="J521" s="42" t="str">
        <f>"Customer"</f>
        <v>Customer</v>
      </c>
      <c r="K521" s="42" t="str">
        <f>"C100066"</f>
        <v>C100066</v>
      </c>
      <c r="L521" s="42" t="str">
        <f>IF($J521="Customer",_xll.NL("first",$J521,"Name","No.","@@"&amp;$K521),"")</f>
        <v>Office Solutions</v>
      </c>
      <c r="M521" s="42" t="str">
        <f>""</f>
        <v/>
      </c>
      <c r="N521" s="42" t="str">
        <f>IF($J521="Item",_xll.NL("first",$J521,"Description","No.","@@"&amp;$K521),"")</f>
        <v/>
      </c>
      <c r="O521" s="43">
        <v>0</v>
      </c>
      <c r="P521" s="43">
        <v>-12</v>
      </c>
      <c r="Q521" s="43">
        <v>0</v>
      </c>
      <c r="R521" s="43">
        <v>0</v>
      </c>
      <c r="S521" s="43">
        <v>0</v>
      </c>
      <c r="T521" s="43">
        <v>0</v>
      </c>
      <c r="U521" s="56"/>
    </row>
    <row r="522" spans="1:21" ht="17.25" customHeight="1" x14ac:dyDescent="0.3">
      <c r="A522" s="15" t="s">
        <v>30</v>
      </c>
      <c r="C522" s="19"/>
      <c r="D522" s="33" t="str">
        <f t="shared" si="112"/>
        <v>C100034</v>
      </c>
      <c r="E522" s="33"/>
      <c r="F522" s="34"/>
      <c r="G522" s="34" t="str">
        <f>"""NAV Direct"",""CRONUS JetCorp USA"",""32"",""1"",""118075"""</f>
        <v>"NAV Direct","CRONUS JetCorp USA","32","1","118075"</v>
      </c>
      <c r="H522" s="40">
        <v>43471</v>
      </c>
      <c r="I522" s="41">
        <v>118075</v>
      </c>
      <c r="J522" s="42" t="str">
        <f>"Customer"</f>
        <v>Customer</v>
      </c>
      <c r="K522" s="42" t="str">
        <f>"C100060"</f>
        <v>C100060</v>
      </c>
      <c r="L522" s="42" t="str">
        <f>IF($J522="Customer",_xll.NL("first",$J522,"Name","No.","@@"&amp;$K522),"")</f>
        <v>MEMA Ljubljana d.o.o.</v>
      </c>
      <c r="M522" s="42" t="str">
        <f>""</f>
        <v/>
      </c>
      <c r="N522" s="42" t="str">
        <f>IF($J522="Item",_xll.NL("first",$J522,"Description","No.","@@"&amp;$K522),"")</f>
        <v/>
      </c>
      <c r="O522" s="43">
        <v>0</v>
      </c>
      <c r="P522" s="43">
        <v>-13</v>
      </c>
      <c r="Q522" s="43">
        <v>0</v>
      </c>
      <c r="R522" s="43">
        <v>0</v>
      </c>
      <c r="S522" s="43">
        <v>0</v>
      </c>
      <c r="T522" s="43">
        <v>0</v>
      </c>
      <c r="U522" s="56"/>
    </row>
    <row r="523" spans="1:21" ht="17.25" customHeight="1" x14ac:dyDescent="0.3">
      <c r="A523" s="15" t="s">
        <v>30</v>
      </c>
      <c r="C523" s="19"/>
      <c r="D523" s="33" t="str">
        <f t="shared" si="112"/>
        <v>C100034</v>
      </c>
      <c r="E523" s="33"/>
      <c r="F523" s="34"/>
      <c r="G523" s="34" t="str">
        <f>"""NAV Direct"",""CRONUS JetCorp USA"",""32"",""1"",""116375"""</f>
        <v>"NAV Direct","CRONUS JetCorp USA","32","1","116375"</v>
      </c>
      <c r="H523" s="40">
        <v>43472</v>
      </c>
      <c r="I523" s="41">
        <v>116375</v>
      </c>
      <c r="J523" s="42" t="str">
        <f>"Customer"</f>
        <v>Customer</v>
      </c>
      <c r="K523" s="42" t="str">
        <f>"C100054"</f>
        <v>C100054</v>
      </c>
      <c r="L523" s="42" t="str">
        <f>IF($J523="Customer",_xll.NL("first",$J523,"Name","No.","@@"&amp;$K523),"")</f>
        <v>London Candoxy Storage Campus</v>
      </c>
      <c r="M523" s="42" t="str">
        <f>""</f>
        <v/>
      </c>
      <c r="N523" s="42" t="str">
        <f>IF($J523="Item",_xll.NL("first",$J523,"Description","No.","@@"&amp;$K523),"")</f>
        <v/>
      </c>
      <c r="O523" s="43">
        <v>0</v>
      </c>
      <c r="P523" s="43">
        <v>-1</v>
      </c>
      <c r="Q523" s="43">
        <v>0</v>
      </c>
      <c r="R523" s="43">
        <v>0</v>
      </c>
      <c r="S523" s="43">
        <v>0</v>
      </c>
      <c r="T523" s="43">
        <v>0</v>
      </c>
      <c r="U523" s="56"/>
    </row>
    <row r="524" spans="1:21" ht="17.25" customHeight="1" x14ac:dyDescent="0.3">
      <c r="A524" s="15" t="s">
        <v>30</v>
      </c>
      <c r="C524" s="19"/>
      <c r="D524" s="33" t="str">
        <f t="shared" si="112"/>
        <v>C100034</v>
      </c>
      <c r="E524" s="33"/>
      <c r="F524" s="34"/>
      <c r="G524" s="34" t="str">
        <f>"""NAV Direct"",""CRONUS JetCorp USA"",""32"",""1"",""114291"""</f>
        <v>"NAV Direct","CRONUS JetCorp USA","32","1","114291"</v>
      </c>
      <c r="H524" s="40">
        <v>43477</v>
      </c>
      <c r="I524" s="41">
        <v>114291</v>
      </c>
      <c r="J524" s="42" t="str">
        <f>"Customer"</f>
        <v>Customer</v>
      </c>
      <c r="K524" s="42" t="str">
        <f>"C100030"</f>
        <v>C100030</v>
      </c>
      <c r="L524" s="42" t="str">
        <f>IF($J524="Customer",_xll.NL("first",$J524,"Name","No.","@@"&amp;$K524),"")</f>
        <v>Stutringers</v>
      </c>
      <c r="M524" s="42" t="str">
        <f>""</f>
        <v/>
      </c>
      <c r="N524" s="42" t="str">
        <f>IF($J524="Item",_xll.NL("first",$J524,"Description","No.","@@"&amp;$K524),"")</f>
        <v/>
      </c>
      <c r="O524" s="43">
        <v>0</v>
      </c>
      <c r="P524" s="43">
        <v>-144</v>
      </c>
      <c r="Q524" s="43">
        <v>0</v>
      </c>
      <c r="R524" s="43">
        <v>0</v>
      </c>
      <c r="S524" s="43">
        <v>0</v>
      </c>
      <c r="T524" s="43">
        <v>0</v>
      </c>
      <c r="U524" s="56"/>
    </row>
    <row r="525" spans="1:21" ht="17.25" customHeight="1" x14ac:dyDescent="0.3">
      <c r="A525" s="15" t="s">
        <v>30</v>
      </c>
      <c r="C525" s="19"/>
      <c r="D525" s="33"/>
      <c r="E525" s="33"/>
      <c r="F525" s="34"/>
      <c r="G525" s="34"/>
      <c r="H525" s="34"/>
      <c r="I525" s="34"/>
      <c r="J525" s="34"/>
      <c r="K525" s="34"/>
      <c r="L525" s="34"/>
      <c r="M525" s="34"/>
      <c r="N525" s="34"/>
      <c r="O525" s="44"/>
      <c r="P525" s="44"/>
      <c r="Q525" s="44"/>
      <c r="R525" s="44"/>
      <c r="S525" s="44"/>
      <c r="T525" s="44"/>
      <c r="U525" s="57"/>
    </row>
    <row r="526" spans="1:21" ht="17.25" customHeight="1" x14ac:dyDescent="0.3">
      <c r="A526" s="15" t="s">
        <v>30</v>
      </c>
      <c r="C526" s="19"/>
      <c r="D526" s="33"/>
      <c r="E526" s="33" t="s">
        <v>31</v>
      </c>
      <c r="F526" s="34" t="s">
        <v>31</v>
      </c>
      <c r="G526" s="34" t="s">
        <v>31</v>
      </c>
      <c r="H526" s="34"/>
      <c r="I526" s="34"/>
      <c r="J526" s="34" t="s">
        <v>31</v>
      </c>
      <c r="K526" s="34" t="s">
        <v>31</v>
      </c>
      <c r="L526" s="34" t="s">
        <v>31</v>
      </c>
      <c r="M526" s="34" t="s">
        <v>31</v>
      </c>
      <c r="N526" s="34"/>
      <c r="U526" s="58"/>
    </row>
    <row r="527" spans="1:21" ht="20.25" customHeight="1" x14ac:dyDescent="0.35">
      <c r="A527" s="15" t="s">
        <v>30</v>
      </c>
      <c r="C527" s="19"/>
      <c r="D527" s="35" t="str">
        <f t="shared" ref="D527" si="113">E527</f>
        <v>C100035</v>
      </c>
      <c r="E527" s="36" t="str">
        <f>"C100035"</f>
        <v>C100035</v>
      </c>
      <c r="F527" s="37" t="str">
        <f>"Calculator &amp; World Time Clock"</f>
        <v>Calculator &amp; World Time Clock</v>
      </c>
      <c r="G527" s="37"/>
      <c r="H527" s="38" t="str">
        <f>"EA"</f>
        <v>EA</v>
      </c>
      <c r="I527" s="37"/>
      <c r="J527" s="37"/>
      <c r="K527" s="37"/>
      <c r="L527" s="37"/>
      <c r="M527" s="37"/>
      <c r="N527" s="37"/>
      <c r="O527" s="39">
        <f>(SUBTOTAL(9,O528:O551))</f>
        <v>5400</v>
      </c>
      <c r="P527" s="39">
        <f>(SUBTOTAL(9,P528:P551))</f>
        <v>-952</v>
      </c>
      <c r="Q527" s="39">
        <f>(SUBTOTAL(9,Q528:Q551))</f>
        <v>0</v>
      </c>
      <c r="R527" s="39">
        <f>(SUBTOTAL(9,R528:R551))</f>
        <v>0</v>
      </c>
      <c r="S527" s="39">
        <f>(SUBTOTAL(9,S528:S551))</f>
        <v>0</v>
      </c>
      <c r="T527" s="39">
        <f>(SUBTOTAL(9,T528:T551))</f>
        <v>0</v>
      </c>
      <c r="U527" s="55">
        <f t="shared" ref="U527" si="114">SUBTOTAL(9,O528:T551)</f>
        <v>4448</v>
      </c>
    </row>
    <row r="528" spans="1:21" ht="17.25" customHeight="1" x14ac:dyDescent="0.3">
      <c r="A528" s="15" t="s">
        <v>30</v>
      </c>
      <c r="C528" s="19"/>
      <c r="D528" s="33" t="str">
        <f t="shared" ref="D528" si="115">D527</f>
        <v>C100035</v>
      </c>
      <c r="E528" s="33"/>
      <c r="F528" s="34"/>
      <c r="G528" s="34" t="str">
        <f>"""NAV Direct"",""CRONUS JetCorp USA"",""32"",""1"",""167537"""</f>
        <v>"NAV Direct","CRONUS JetCorp USA","32","1","167537"</v>
      </c>
      <c r="H528" s="40">
        <v>43466</v>
      </c>
      <c r="I528" s="41">
        <v>167537</v>
      </c>
      <c r="J528" s="42" t="str">
        <f>"Vendor"</f>
        <v>Vendor</v>
      </c>
      <c r="K528" s="42" t="str">
        <f>"V100040"</f>
        <v>V100040</v>
      </c>
      <c r="L528" s="42" t="str">
        <f>IF($J528="Customer",_xll.NL("first",$J528,"Name","No.","@@"&amp;$K528),"")</f>
        <v/>
      </c>
      <c r="M528" s="42" t="str">
        <f>"Technische Betriebe Rotkreuz"</f>
        <v>Technische Betriebe Rotkreuz</v>
      </c>
      <c r="N528" s="42" t="str">
        <f>IF($J528="Item",_xll.NL("first",$J528,"Description","No.","@@"&amp;$K528),"")</f>
        <v/>
      </c>
      <c r="O528" s="43">
        <v>1200</v>
      </c>
      <c r="P528" s="43">
        <v>0</v>
      </c>
      <c r="Q528" s="43">
        <v>0</v>
      </c>
      <c r="R528" s="43">
        <v>0</v>
      </c>
      <c r="S528" s="43">
        <v>0</v>
      </c>
      <c r="T528" s="43">
        <v>0</v>
      </c>
      <c r="U528" s="56"/>
    </row>
    <row r="529" spans="1:21" ht="17.25" customHeight="1" x14ac:dyDescent="0.3">
      <c r="A529" s="15" t="s">
        <v>30</v>
      </c>
      <c r="C529" s="19"/>
      <c r="D529" s="33" t="str">
        <f t="shared" ref="D529:D550" si="116">D528</f>
        <v>C100035</v>
      </c>
      <c r="E529" s="33"/>
      <c r="F529" s="34"/>
      <c r="G529" s="34" t="str">
        <f>"""NAV Direct"",""CRONUS JetCorp USA"",""32"",""1"",""167564"""</f>
        <v>"NAV Direct","CRONUS JetCorp USA","32","1","167564"</v>
      </c>
      <c r="H529" s="40">
        <v>43466</v>
      </c>
      <c r="I529" s="41">
        <v>167564</v>
      </c>
      <c r="J529" s="42" t="str">
        <f>"Vendor"</f>
        <v>Vendor</v>
      </c>
      <c r="K529" s="42" t="str">
        <f>"V100007"</f>
        <v>V100007</v>
      </c>
      <c r="L529" s="42" t="str">
        <f>IF($J529="Customer",_xll.NL("first",$J529,"Name","No.","@@"&amp;$K529),"")</f>
        <v/>
      </c>
      <c r="M529" s="42" t="str">
        <f>"TrendTech"</f>
        <v>TrendTech</v>
      </c>
      <c r="N529" s="42" t="str">
        <f>IF($J529="Item",_xll.NL("first",$J529,"Description","No.","@@"&amp;$K529),"")</f>
        <v/>
      </c>
      <c r="O529" s="43">
        <v>999.99999999999989</v>
      </c>
      <c r="P529" s="43">
        <v>0</v>
      </c>
      <c r="Q529" s="43">
        <v>0</v>
      </c>
      <c r="R529" s="43">
        <v>0</v>
      </c>
      <c r="S529" s="43">
        <v>0</v>
      </c>
      <c r="T529" s="43">
        <v>0</v>
      </c>
      <c r="U529" s="56"/>
    </row>
    <row r="530" spans="1:21" ht="17.25" customHeight="1" x14ac:dyDescent="0.3">
      <c r="A530" s="15" t="s">
        <v>30</v>
      </c>
      <c r="C530" s="19"/>
      <c r="D530" s="33" t="str">
        <f t="shared" si="116"/>
        <v>C100035</v>
      </c>
      <c r="E530" s="33"/>
      <c r="F530" s="34"/>
      <c r="G530" s="34" t="str">
        <f>"""NAV Direct"",""CRONUS JetCorp USA"",""32"",""1"",""167583"""</f>
        <v>"NAV Direct","CRONUS JetCorp USA","32","1","167583"</v>
      </c>
      <c r="H530" s="40">
        <v>43466</v>
      </c>
      <c r="I530" s="41">
        <v>167583</v>
      </c>
      <c r="J530" s="42" t="str">
        <f>"Vendor"</f>
        <v>Vendor</v>
      </c>
      <c r="K530" s="42" t="str">
        <f>"V100001"</f>
        <v>V100001</v>
      </c>
      <c r="L530" s="42" t="str">
        <f>IF($J530="Customer",_xll.NL("first",$J530,"Name","No.","@@"&amp;$K530),"")</f>
        <v/>
      </c>
      <c r="M530" s="42" t="str">
        <f>"Greigner, Inc."</f>
        <v>Greigner, Inc.</v>
      </c>
      <c r="N530" s="42" t="str">
        <f>IF($J530="Item",_xll.NL("first",$J530,"Description","No.","@@"&amp;$K530),"")</f>
        <v/>
      </c>
      <c r="O530" s="43">
        <v>999.99999999999989</v>
      </c>
      <c r="P530" s="43">
        <v>0</v>
      </c>
      <c r="Q530" s="43">
        <v>0</v>
      </c>
      <c r="R530" s="43">
        <v>0</v>
      </c>
      <c r="S530" s="43">
        <v>0</v>
      </c>
      <c r="T530" s="43">
        <v>0</v>
      </c>
      <c r="U530" s="56"/>
    </row>
    <row r="531" spans="1:21" ht="17.25" customHeight="1" x14ac:dyDescent="0.3">
      <c r="A531" s="15" t="s">
        <v>30</v>
      </c>
      <c r="C531" s="19"/>
      <c r="D531" s="33" t="str">
        <f t="shared" si="116"/>
        <v>C100035</v>
      </c>
      <c r="E531" s="33"/>
      <c r="F531" s="34"/>
      <c r="G531" s="34" t="str">
        <f>"""NAV Direct"",""CRONUS JetCorp USA"",""32"",""1"",""167596"""</f>
        <v>"NAV Direct","CRONUS JetCorp USA","32","1","167596"</v>
      </c>
      <c r="H531" s="40">
        <v>43466</v>
      </c>
      <c r="I531" s="41">
        <v>167596</v>
      </c>
      <c r="J531" s="42" t="str">
        <f>"Vendor"</f>
        <v>Vendor</v>
      </c>
      <c r="K531" s="42" t="str">
        <f>"V100047"</f>
        <v>V100047</v>
      </c>
      <c r="L531" s="42" t="str">
        <f>IF($J531="Customer",_xll.NL("first",$J531,"Name","No.","@@"&amp;$K531),"")</f>
        <v/>
      </c>
      <c r="M531" s="42" t="str">
        <f>"WoodMart Supply Co."</f>
        <v>WoodMart Supply Co.</v>
      </c>
      <c r="N531" s="42" t="str">
        <f>IF($J531="Item",_xll.NL("first",$J531,"Description","No.","@@"&amp;$K531),"")</f>
        <v/>
      </c>
      <c r="O531" s="43">
        <v>200</v>
      </c>
      <c r="P531" s="43">
        <v>0</v>
      </c>
      <c r="Q531" s="43">
        <v>0</v>
      </c>
      <c r="R531" s="43">
        <v>0</v>
      </c>
      <c r="S531" s="43">
        <v>0</v>
      </c>
      <c r="T531" s="43">
        <v>0</v>
      </c>
      <c r="U531" s="56"/>
    </row>
    <row r="532" spans="1:21" ht="17.25" customHeight="1" x14ac:dyDescent="0.3">
      <c r="A532" s="15" t="s">
        <v>30</v>
      </c>
      <c r="C532" s="19"/>
      <c r="D532" s="33" t="str">
        <f t="shared" si="116"/>
        <v>C100035</v>
      </c>
      <c r="E532" s="33"/>
      <c r="F532" s="34"/>
      <c r="G532" s="34" t="str">
        <f>"""NAV Direct"",""CRONUS JetCorp USA"",""32"",""1"",""167612"""</f>
        <v>"NAV Direct","CRONUS JetCorp USA","32","1","167612"</v>
      </c>
      <c r="H532" s="40">
        <v>43466</v>
      </c>
      <c r="I532" s="41">
        <v>167612</v>
      </c>
      <c r="J532" s="42" t="str">
        <f>"Vendor"</f>
        <v>Vendor</v>
      </c>
      <c r="K532" s="42" t="str">
        <f>"V100003"</f>
        <v>V100003</v>
      </c>
      <c r="L532" s="42" t="str">
        <f>IF($J532="Customer",_xll.NL("first",$J532,"Name","No.","@@"&amp;$K532),"")</f>
        <v/>
      </c>
      <c r="M532" s="42" t="str">
        <f>"LogoMasters"</f>
        <v>LogoMasters</v>
      </c>
      <c r="N532" s="42" t="str">
        <f>IF($J532="Item",_xll.NL("first",$J532,"Description","No.","@@"&amp;$K532),"")</f>
        <v/>
      </c>
      <c r="O532" s="43">
        <v>1600</v>
      </c>
      <c r="P532" s="43">
        <v>0</v>
      </c>
      <c r="Q532" s="43">
        <v>0</v>
      </c>
      <c r="R532" s="43">
        <v>0</v>
      </c>
      <c r="S532" s="43">
        <v>0</v>
      </c>
      <c r="T532" s="43">
        <v>0</v>
      </c>
      <c r="U532" s="56"/>
    </row>
    <row r="533" spans="1:21" ht="17.25" customHeight="1" x14ac:dyDescent="0.3">
      <c r="A533" s="15" t="s">
        <v>30</v>
      </c>
      <c r="C533" s="19"/>
      <c r="D533" s="33" t="str">
        <f t="shared" si="116"/>
        <v>C100035</v>
      </c>
      <c r="E533" s="33"/>
      <c r="F533" s="34"/>
      <c r="G533" s="34" t="str">
        <f>"""NAV Direct"",""CRONUS JetCorp USA"",""32"",""1"",""167623"""</f>
        <v>"NAV Direct","CRONUS JetCorp USA","32","1","167623"</v>
      </c>
      <c r="H533" s="40">
        <v>43466</v>
      </c>
      <c r="I533" s="41">
        <v>167623</v>
      </c>
      <c r="J533" s="42" t="str">
        <f>"Vendor"</f>
        <v>Vendor</v>
      </c>
      <c r="K533" s="42" t="str">
        <f>"V100001"</f>
        <v>V100001</v>
      </c>
      <c r="L533" s="42" t="str">
        <f>IF($J533="Customer",_xll.NL("first",$J533,"Name","No.","@@"&amp;$K533),"")</f>
        <v/>
      </c>
      <c r="M533" s="42" t="str">
        <f>"Greigner, Inc."</f>
        <v>Greigner, Inc.</v>
      </c>
      <c r="N533" s="42" t="str">
        <f>IF($J533="Item",_xll.NL("first",$J533,"Description","No.","@@"&amp;$K533),"")</f>
        <v/>
      </c>
      <c r="O533" s="43">
        <v>400</v>
      </c>
      <c r="P533" s="43">
        <v>0</v>
      </c>
      <c r="Q533" s="43">
        <v>0</v>
      </c>
      <c r="R533" s="43">
        <v>0</v>
      </c>
      <c r="S533" s="43">
        <v>0</v>
      </c>
      <c r="T533" s="43">
        <v>0</v>
      </c>
      <c r="U533" s="56"/>
    </row>
    <row r="534" spans="1:21" ht="17.25" customHeight="1" x14ac:dyDescent="0.3">
      <c r="A534" s="15" t="s">
        <v>30</v>
      </c>
      <c r="C534" s="19"/>
      <c r="D534" s="33" t="str">
        <f t="shared" si="116"/>
        <v>C100035</v>
      </c>
      <c r="E534" s="33"/>
      <c r="F534" s="34"/>
      <c r="G534" s="34" t="str">
        <f>"""NAV Direct"",""CRONUS JetCorp USA"",""32"",""1"",""3888"""</f>
        <v>"NAV Direct","CRONUS JetCorp USA","32","1","3888"</v>
      </c>
      <c r="H534" s="40">
        <v>43467</v>
      </c>
      <c r="I534" s="41">
        <v>3888</v>
      </c>
      <c r="J534" s="42" t="str">
        <f>"Customer"</f>
        <v>Customer</v>
      </c>
      <c r="K534" s="42" t="str">
        <f>"C100099"</f>
        <v>C100099</v>
      </c>
      <c r="L534" s="42" t="str">
        <f>IF($J534="Customer",_xll.NL("first",$J534,"Name","No.","@@"&amp;$K534),"")</f>
        <v>Voltive Systems</v>
      </c>
      <c r="M534" s="42" t="str">
        <f>""</f>
        <v/>
      </c>
      <c r="N534" s="42" t="str">
        <f>IF($J534="Item",_xll.NL("first",$J534,"Description","No.","@@"&amp;$K534),"")</f>
        <v/>
      </c>
      <c r="O534" s="43">
        <v>0</v>
      </c>
      <c r="P534" s="43">
        <v>-144</v>
      </c>
      <c r="Q534" s="43">
        <v>0</v>
      </c>
      <c r="R534" s="43">
        <v>0</v>
      </c>
      <c r="S534" s="43">
        <v>0</v>
      </c>
      <c r="T534" s="43">
        <v>0</v>
      </c>
      <c r="U534" s="56"/>
    </row>
    <row r="535" spans="1:21" ht="17.25" customHeight="1" x14ac:dyDescent="0.3">
      <c r="A535" s="15" t="s">
        <v>30</v>
      </c>
      <c r="C535" s="19"/>
      <c r="D535" s="33" t="str">
        <f t="shared" si="116"/>
        <v>C100035</v>
      </c>
      <c r="E535" s="33"/>
      <c r="F535" s="34"/>
      <c r="G535" s="34" t="str">
        <f>"""NAV Direct"",""CRONUS JetCorp USA"",""32"",""1"",""147994"""</f>
        <v>"NAV Direct","CRONUS JetCorp USA","32","1","147994"</v>
      </c>
      <c r="H535" s="40">
        <v>43469</v>
      </c>
      <c r="I535" s="41">
        <v>147994</v>
      </c>
      <c r="J535" s="42" t="str">
        <f>"Customer"</f>
        <v>Customer</v>
      </c>
      <c r="K535" s="42" t="str">
        <f>"C100096"</f>
        <v>C100096</v>
      </c>
      <c r="L535" s="42" t="str">
        <f>IF($J535="Customer",_xll.NL("first",$J535,"Name","No.","@@"&amp;$K535),"")</f>
        <v>D-Com Industries</v>
      </c>
      <c r="M535" s="42" t="str">
        <f>""</f>
        <v/>
      </c>
      <c r="N535" s="42" t="str">
        <f>IF($J535="Item",_xll.NL("first",$J535,"Description","No.","@@"&amp;$K535),"")</f>
        <v/>
      </c>
      <c r="O535" s="43">
        <v>0</v>
      </c>
      <c r="P535" s="43">
        <v>-1</v>
      </c>
      <c r="Q535" s="43">
        <v>0</v>
      </c>
      <c r="R535" s="43">
        <v>0</v>
      </c>
      <c r="S535" s="43">
        <v>0</v>
      </c>
      <c r="T535" s="43">
        <v>0</v>
      </c>
      <c r="U535" s="56"/>
    </row>
    <row r="536" spans="1:21" ht="17.25" customHeight="1" x14ac:dyDescent="0.3">
      <c r="A536" s="15" t="s">
        <v>30</v>
      </c>
      <c r="C536" s="19"/>
      <c r="D536" s="33" t="str">
        <f t="shared" si="116"/>
        <v>C100035</v>
      </c>
      <c r="E536" s="33"/>
      <c r="F536" s="34"/>
      <c r="G536" s="34" t="str">
        <f>"""NAV Direct"",""CRONUS JetCorp USA"",""32"",""1"",""153197"""</f>
        <v>"NAV Direct","CRONUS JetCorp USA","32","1","153197"</v>
      </c>
      <c r="H536" s="40">
        <v>43469</v>
      </c>
      <c r="I536" s="41">
        <v>153197</v>
      </c>
      <c r="J536" s="42" t="str">
        <f>"Customer"</f>
        <v>Customer</v>
      </c>
      <c r="K536" s="42" t="str">
        <f>"C100136"</f>
        <v>C100136</v>
      </c>
      <c r="L536" s="42" t="str">
        <f>IF($J536="Customer",_xll.NL("first",$J536,"Name","No.","@@"&amp;$K536),"")</f>
        <v>First Bank</v>
      </c>
      <c r="M536" s="42" t="str">
        <f>""</f>
        <v/>
      </c>
      <c r="N536" s="42" t="str">
        <f>IF($J536="Item",_xll.NL("first",$J536,"Description","No.","@@"&amp;$K536),"")</f>
        <v/>
      </c>
      <c r="O536" s="43">
        <v>0</v>
      </c>
      <c r="P536" s="43">
        <v>-6</v>
      </c>
      <c r="Q536" s="43">
        <v>0</v>
      </c>
      <c r="R536" s="43">
        <v>0</v>
      </c>
      <c r="S536" s="43">
        <v>0</v>
      </c>
      <c r="T536" s="43">
        <v>0</v>
      </c>
      <c r="U536" s="56"/>
    </row>
    <row r="537" spans="1:21" ht="17.25" customHeight="1" x14ac:dyDescent="0.3">
      <c r="A537" s="15" t="s">
        <v>30</v>
      </c>
      <c r="C537" s="19"/>
      <c r="D537" s="33" t="str">
        <f t="shared" si="116"/>
        <v>C100035</v>
      </c>
      <c r="E537" s="33"/>
      <c r="F537" s="34"/>
      <c r="G537" s="34" t="str">
        <f>"""NAV Direct"",""CRONUS JetCorp USA"",""32"",""1"",""111299"""</f>
        <v>"NAV Direct","CRONUS JetCorp USA","32","1","111299"</v>
      </c>
      <c r="H537" s="40">
        <v>43470</v>
      </c>
      <c r="I537" s="41">
        <v>111299</v>
      </c>
      <c r="J537" s="42" t="str">
        <f>"Customer"</f>
        <v>Customer</v>
      </c>
      <c r="K537" s="42" t="str">
        <f>"C100037"</f>
        <v>C100037</v>
      </c>
      <c r="L537" s="42" t="str">
        <f>IF($J537="Customer",_xll.NL("first",$J537,"Name","No.","@@"&amp;$K537),"")</f>
        <v>Tempsons Tropies</v>
      </c>
      <c r="M537" s="42" t="str">
        <f>""</f>
        <v/>
      </c>
      <c r="N537" s="42" t="str">
        <f>IF($J537="Item",_xll.NL("first",$J537,"Description","No.","@@"&amp;$K537),"")</f>
        <v/>
      </c>
      <c r="O537" s="43">
        <v>0</v>
      </c>
      <c r="P537" s="43">
        <v>-1</v>
      </c>
      <c r="Q537" s="43">
        <v>0</v>
      </c>
      <c r="R537" s="43">
        <v>0</v>
      </c>
      <c r="S537" s="43">
        <v>0</v>
      </c>
      <c r="T537" s="43">
        <v>0</v>
      </c>
      <c r="U537" s="56"/>
    </row>
    <row r="538" spans="1:21" ht="17.25" customHeight="1" x14ac:dyDescent="0.3">
      <c r="A538" s="15" t="s">
        <v>30</v>
      </c>
      <c r="C538" s="19"/>
      <c r="D538" s="33" t="str">
        <f t="shared" si="116"/>
        <v>C100035</v>
      </c>
      <c r="E538" s="33"/>
      <c r="F538" s="34"/>
      <c r="G538" s="34" t="str">
        <f>"""NAV Direct"",""CRONUS JetCorp USA"",""32"",""1"",""153166"""</f>
        <v>"NAV Direct","CRONUS JetCorp USA","32","1","153166"</v>
      </c>
      <c r="H538" s="40">
        <v>43470</v>
      </c>
      <c r="I538" s="41">
        <v>153166</v>
      </c>
      <c r="J538" s="42" t="str">
        <f>"Customer"</f>
        <v>Customer</v>
      </c>
      <c r="K538" s="42" t="str">
        <f>"C100136"</f>
        <v>C100136</v>
      </c>
      <c r="L538" s="42" t="str">
        <f>IF($J538="Customer",_xll.NL("first",$J538,"Name","No.","@@"&amp;$K538),"")</f>
        <v>First Bank</v>
      </c>
      <c r="M538" s="42" t="str">
        <f>""</f>
        <v/>
      </c>
      <c r="N538" s="42" t="str">
        <f>IF($J538="Item",_xll.NL("first",$J538,"Description","No.","@@"&amp;$K538),"")</f>
        <v/>
      </c>
      <c r="O538" s="43">
        <v>0</v>
      </c>
      <c r="P538" s="43">
        <v>-144</v>
      </c>
      <c r="Q538" s="43">
        <v>0</v>
      </c>
      <c r="R538" s="43">
        <v>0</v>
      </c>
      <c r="S538" s="43">
        <v>0</v>
      </c>
      <c r="T538" s="43">
        <v>0</v>
      </c>
      <c r="U538" s="56"/>
    </row>
    <row r="539" spans="1:21" ht="17.25" customHeight="1" x14ac:dyDescent="0.3">
      <c r="A539" s="15" t="s">
        <v>30</v>
      </c>
      <c r="C539" s="19"/>
      <c r="D539" s="33" t="str">
        <f t="shared" si="116"/>
        <v>C100035</v>
      </c>
      <c r="E539" s="33"/>
      <c r="F539" s="34"/>
      <c r="G539" s="34" t="str">
        <f>"""NAV Direct"",""CRONUS JetCorp USA"",""32"",""1"",""10226"""</f>
        <v>"NAV Direct","CRONUS JetCorp USA","32","1","10226"</v>
      </c>
      <c r="H539" s="40">
        <v>43471</v>
      </c>
      <c r="I539" s="41">
        <v>10226</v>
      </c>
      <c r="J539" s="42" t="str">
        <f>"Customer"</f>
        <v>Customer</v>
      </c>
      <c r="K539" s="42" t="str">
        <f>"C100066"</f>
        <v>C100066</v>
      </c>
      <c r="L539" s="42" t="str">
        <f>IF($J539="Customer",_xll.NL("first",$J539,"Name","No.","@@"&amp;$K539),"")</f>
        <v>Office Solutions</v>
      </c>
      <c r="M539" s="42" t="str">
        <f>""</f>
        <v/>
      </c>
      <c r="N539" s="42" t="str">
        <f>IF($J539="Item",_xll.NL("first",$J539,"Description","No.","@@"&amp;$K539),"")</f>
        <v/>
      </c>
      <c r="O539" s="43">
        <v>0</v>
      </c>
      <c r="P539" s="43">
        <v>-1</v>
      </c>
      <c r="Q539" s="43">
        <v>0</v>
      </c>
      <c r="R539" s="43">
        <v>0</v>
      </c>
      <c r="S539" s="43">
        <v>0</v>
      </c>
      <c r="T539" s="43">
        <v>0</v>
      </c>
      <c r="U539" s="56"/>
    </row>
    <row r="540" spans="1:21" ht="17.25" customHeight="1" x14ac:dyDescent="0.3">
      <c r="A540" s="15" t="s">
        <v>30</v>
      </c>
      <c r="C540" s="19"/>
      <c r="D540" s="33" t="str">
        <f t="shared" si="116"/>
        <v>C100035</v>
      </c>
      <c r="E540" s="33"/>
      <c r="F540" s="34"/>
      <c r="G540" s="34" t="str">
        <f>"""NAV Direct"",""CRONUS JetCorp USA"",""32"",""1"",""118086"""</f>
        <v>"NAV Direct","CRONUS JetCorp USA","32","1","118086"</v>
      </c>
      <c r="H540" s="40">
        <v>43471</v>
      </c>
      <c r="I540" s="41">
        <v>118086</v>
      </c>
      <c r="J540" s="42" t="str">
        <f>"Customer"</f>
        <v>Customer</v>
      </c>
      <c r="K540" s="42" t="str">
        <f>"C100060"</f>
        <v>C100060</v>
      </c>
      <c r="L540" s="42" t="str">
        <f>IF($J540="Customer",_xll.NL("first",$J540,"Name","No.","@@"&amp;$K540),"")</f>
        <v>MEMA Ljubljana d.o.o.</v>
      </c>
      <c r="M540" s="42" t="str">
        <f>""</f>
        <v/>
      </c>
      <c r="N540" s="42" t="str">
        <f>IF($J540="Item",_xll.NL("first",$J540,"Description","No.","@@"&amp;$K540),"")</f>
        <v/>
      </c>
      <c r="O540" s="43">
        <v>0</v>
      </c>
      <c r="P540" s="43">
        <v>-1</v>
      </c>
      <c r="Q540" s="43">
        <v>0</v>
      </c>
      <c r="R540" s="43">
        <v>0</v>
      </c>
      <c r="S540" s="43">
        <v>0</v>
      </c>
      <c r="T540" s="43">
        <v>0</v>
      </c>
      <c r="U540" s="56"/>
    </row>
    <row r="541" spans="1:21" ht="17.25" customHeight="1" x14ac:dyDescent="0.3">
      <c r="A541" s="15" t="s">
        <v>30</v>
      </c>
      <c r="C541" s="19"/>
      <c r="D541" s="33" t="str">
        <f t="shared" si="116"/>
        <v>C100035</v>
      </c>
      <c r="E541" s="33"/>
      <c r="F541" s="34"/>
      <c r="G541" s="34" t="str">
        <f>"""NAV Direct"",""CRONUS JetCorp USA"",""32"",""1"",""3915"""</f>
        <v>"NAV Direct","CRONUS JetCorp USA","32","1","3915"</v>
      </c>
      <c r="H541" s="40">
        <v>43472</v>
      </c>
      <c r="I541" s="41">
        <v>3915</v>
      </c>
      <c r="J541" s="42" t="str">
        <f>"Customer"</f>
        <v>Customer</v>
      </c>
      <c r="K541" s="42" t="str">
        <f>"C100099"</f>
        <v>C100099</v>
      </c>
      <c r="L541" s="42" t="str">
        <f>IF($J541="Customer",_xll.NL("first",$J541,"Name","No.","@@"&amp;$K541),"")</f>
        <v>Voltive Systems</v>
      </c>
      <c r="M541" s="42" t="str">
        <f>""</f>
        <v/>
      </c>
      <c r="N541" s="42" t="str">
        <f>IF($J541="Item",_xll.NL("first",$J541,"Description","No.","@@"&amp;$K541),"")</f>
        <v/>
      </c>
      <c r="O541" s="43">
        <v>0</v>
      </c>
      <c r="P541" s="43">
        <v>-1</v>
      </c>
      <c r="Q541" s="43">
        <v>0</v>
      </c>
      <c r="R541" s="43">
        <v>0</v>
      </c>
      <c r="S541" s="43">
        <v>0</v>
      </c>
      <c r="T541" s="43">
        <v>0</v>
      </c>
      <c r="U541" s="56"/>
    </row>
    <row r="542" spans="1:21" ht="17.25" customHeight="1" x14ac:dyDescent="0.3">
      <c r="A542" s="15" t="s">
        <v>30</v>
      </c>
      <c r="C542" s="19"/>
      <c r="D542" s="33" t="str">
        <f t="shared" si="116"/>
        <v>C100035</v>
      </c>
      <c r="E542" s="33"/>
      <c r="F542" s="34"/>
      <c r="G542" s="34" t="str">
        <f>"""NAV Direct"",""CRONUS JetCorp USA"",""32"",""1"",""54727"""</f>
        <v>"NAV Direct","CRONUS JetCorp USA","32","1","54727"</v>
      </c>
      <c r="H542" s="40">
        <v>43472</v>
      </c>
      <c r="I542" s="41">
        <v>54727</v>
      </c>
      <c r="J542" s="42" t="str">
        <f>"Customer"</f>
        <v>Customer</v>
      </c>
      <c r="K542" s="42" t="str">
        <f>"C100084"</f>
        <v>C100084</v>
      </c>
      <c r="L542" s="42" t="str">
        <f>IF($J542="Customer",_xll.NL("first",$J542,"Name","No.","@@"&amp;$K542),"")</f>
        <v>The Cannon Group PLC</v>
      </c>
      <c r="M542" s="42" t="str">
        <f>""</f>
        <v/>
      </c>
      <c r="N542" s="42" t="str">
        <f>IF($J542="Item",_xll.NL("first",$J542,"Description","No.","@@"&amp;$K542),"")</f>
        <v/>
      </c>
      <c r="O542" s="43">
        <v>0</v>
      </c>
      <c r="P542" s="43">
        <v>-144</v>
      </c>
      <c r="Q542" s="43">
        <v>0</v>
      </c>
      <c r="R542" s="43">
        <v>0</v>
      </c>
      <c r="S542" s="43">
        <v>0</v>
      </c>
      <c r="T542" s="43">
        <v>0</v>
      </c>
      <c r="U542" s="56"/>
    </row>
    <row r="543" spans="1:21" ht="17.25" customHeight="1" x14ac:dyDescent="0.3">
      <c r="A543" s="15" t="s">
        <v>30</v>
      </c>
      <c r="C543" s="19"/>
      <c r="D543" s="33" t="str">
        <f t="shared" si="116"/>
        <v>C100035</v>
      </c>
      <c r="E543" s="33"/>
      <c r="F543" s="34"/>
      <c r="G543" s="34" t="str">
        <f>"""NAV Direct"",""CRONUS JetCorp USA"",""32"",""1"",""111306"""</f>
        <v>"NAV Direct","CRONUS JetCorp USA","32","1","111306"</v>
      </c>
      <c r="H543" s="40">
        <v>43472</v>
      </c>
      <c r="I543" s="41">
        <v>111306</v>
      </c>
      <c r="J543" s="42" t="str">
        <f>"Customer"</f>
        <v>Customer</v>
      </c>
      <c r="K543" s="42" t="str">
        <f>"C100099"</f>
        <v>C100099</v>
      </c>
      <c r="L543" s="42" t="str">
        <f>IF($J543="Customer",_xll.NL("first",$J543,"Name","No.","@@"&amp;$K543),"")</f>
        <v>Voltive Systems</v>
      </c>
      <c r="M543" s="42" t="str">
        <f>""</f>
        <v/>
      </c>
      <c r="N543" s="42" t="str">
        <f>IF($J543="Item",_xll.NL("first",$J543,"Description","No.","@@"&amp;$K543),"")</f>
        <v/>
      </c>
      <c r="O543" s="43">
        <v>0</v>
      </c>
      <c r="P543" s="43">
        <v>-1</v>
      </c>
      <c r="Q543" s="43">
        <v>0</v>
      </c>
      <c r="R543" s="43">
        <v>0</v>
      </c>
      <c r="S543" s="43">
        <v>0</v>
      </c>
      <c r="T543" s="43">
        <v>0</v>
      </c>
      <c r="U543" s="56"/>
    </row>
    <row r="544" spans="1:21" ht="17.25" customHeight="1" x14ac:dyDescent="0.3">
      <c r="A544" s="15" t="s">
        <v>30</v>
      </c>
      <c r="C544" s="19"/>
      <c r="D544" s="33" t="str">
        <f t="shared" si="116"/>
        <v>C100035</v>
      </c>
      <c r="E544" s="33"/>
      <c r="F544" s="34"/>
      <c r="G544" s="34" t="str">
        <f>"""NAV Direct"",""CRONUS JetCorp USA"",""32"",""1"",""3905"""</f>
        <v>"NAV Direct","CRONUS JetCorp USA","32","1","3905"</v>
      </c>
      <c r="H544" s="40">
        <v>43473</v>
      </c>
      <c r="I544" s="41">
        <v>3905</v>
      </c>
      <c r="J544" s="42" t="str">
        <f>"Customer"</f>
        <v>Customer</v>
      </c>
      <c r="K544" s="42" t="str">
        <f>"C100037"</f>
        <v>C100037</v>
      </c>
      <c r="L544" s="42" t="str">
        <f>IF($J544="Customer",_xll.NL("first",$J544,"Name","No.","@@"&amp;$K544),"")</f>
        <v>Tempsons Tropies</v>
      </c>
      <c r="M544" s="42" t="str">
        <f>""</f>
        <v/>
      </c>
      <c r="N544" s="42" t="str">
        <f>IF($J544="Item",_xll.NL("first",$J544,"Description","No.","@@"&amp;$K544),"")</f>
        <v/>
      </c>
      <c r="O544" s="43">
        <v>0</v>
      </c>
      <c r="P544" s="43">
        <v>-1</v>
      </c>
      <c r="Q544" s="43">
        <v>0</v>
      </c>
      <c r="R544" s="43">
        <v>0</v>
      </c>
      <c r="S544" s="43">
        <v>0</v>
      </c>
      <c r="T544" s="43">
        <v>0</v>
      </c>
      <c r="U544" s="56"/>
    </row>
    <row r="545" spans="1:21" ht="17.25" customHeight="1" x14ac:dyDescent="0.3">
      <c r="A545" s="15" t="s">
        <v>30</v>
      </c>
      <c r="C545" s="19"/>
      <c r="D545" s="33" t="str">
        <f t="shared" si="116"/>
        <v>C100035</v>
      </c>
      <c r="E545" s="33"/>
      <c r="F545" s="34"/>
      <c r="G545" s="34" t="str">
        <f>"""NAV Direct"",""CRONUS JetCorp USA"",""32"",""1"",""44520"""</f>
        <v>"NAV Direct","CRONUS JetCorp USA","32","1","44520"</v>
      </c>
      <c r="H545" s="40">
        <v>43473</v>
      </c>
      <c r="I545" s="41">
        <v>44520</v>
      </c>
      <c r="J545" s="42" t="str">
        <f>"Customer"</f>
        <v>Customer</v>
      </c>
      <c r="K545" s="42" t="str">
        <f>"C100139"</f>
        <v>C100139</v>
      </c>
      <c r="L545" s="42" t="str">
        <f>IF($J545="Customer",_xll.NL("first",$J545,"Name","No.","@@"&amp;$K545),"")</f>
        <v>Gamma Ray's</v>
      </c>
      <c r="M545" s="42" t="str">
        <f>""</f>
        <v/>
      </c>
      <c r="N545" s="42" t="str">
        <f>IF($J545="Item",_xll.NL("first",$J545,"Description","No.","@@"&amp;$K545),"")</f>
        <v/>
      </c>
      <c r="O545" s="43">
        <v>0</v>
      </c>
      <c r="P545" s="43">
        <v>-144</v>
      </c>
      <c r="Q545" s="43">
        <v>0</v>
      </c>
      <c r="R545" s="43">
        <v>0</v>
      </c>
      <c r="S545" s="43">
        <v>0</v>
      </c>
      <c r="T545" s="43">
        <v>0</v>
      </c>
      <c r="U545" s="56"/>
    </row>
    <row r="546" spans="1:21" ht="17.25" customHeight="1" x14ac:dyDescent="0.3">
      <c r="A546" s="15" t="s">
        <v>30</v>
      </c>
      <c r="C546" s="19"/>
      <c r="D546" s="33" t="str">
        <f t="shared" si="116"/>
        <v>C100035</v>
      </c>
      <c r="E546" s="33"/>
      <c r="F546" s="34"/>
      <c r="G546" s="34" t="str">
        <f>"""NAV Direct"",""CRONUS JetCorp USA"",""32"",""1"",""54699"""</f>
        <v>"NAV Direct","CRONUS JetCorp USA","32","1","54699"</v>
      </c>
      <c r="H546" s="40">
        <v>43474</v>
      </c>
      <c r="I546" s="41">
        <v>54699</v>
      </c>
      <c r="J546" s="42" t="str">
        <f>"Customer"</f>
        <v>Customer</v>
      </c>
      <c r="K546" s="42" t="str">
        <f>"C100096"</f>
        <v>C100096</v>
      </c>
      <c r="L546" s="42" t="str">
        <f>IF($J546="Customer",_xll.NL("first",$J546,"Name","No.","@@"&amp;$K546),"")</f>
        <v>D-Com Industries</v>
      </c>
      <c r="M546" s="42" t="str">
        <f>""</f>
        <v/>
      </c>
      <c r="N546" s="42" t="str">
        <f>IF($J546="Item",_xll.NL("first",$J546,"Description","No.","@@"&amp;$K546),"")</f>
        <v/>
      </c>
      <c r="O546" s="43">
        <v>0</v>
      </c>
      <c r="P546" s="43">
        <v>-144</v>
      </c>
      <c r="Q546" s="43">
        <v>0</v>
      </c>
      <c r="R546" s="43">
        <v>0</v>
      </c>
      <c r="S546" s="43">
        <v>0</v>
      </c>
      <c r="T546" s="43">
        <v>0</v>
      </c>
      <c r="U546" s="56"/>
    </row>
    <row r="547" spans="1:21" ht="17.25" customHeight="1" x14ac:dyDescent="0.3">
      <c r="A547" s="15" t="s">
        <v>30</v>
      </c>
      <c r="C547" s="19"/>
      <c r="D547" s="33" t="str">
        <f t="shared" si="116"/>
        <v>C100035</v>
      </c>
      <c r="E547" s="33"/>
      <c r="F547" s="34"/>
      <c r="G547" s="34" t="str">
        <f>"""NAV Direct"",""CRONUS JetCorp USA"",""32"",""1"",""114279"""</f>
        <v>"NAV Direct","CRONUS JetCorp USA","32","1","114279"</v>
      </c>
      <c r="H547" s="40">
        <v>43474</v>
      </c>
      <c r="I547" s="41">
        <v>114279</v>
      </c>
      <c r="J547" s="42" t="str">
        <f>"Customer"</f>
        <v>Customer</v>
      </c>
      <c r="K547" s="42" t="str">
        <f>"C100076"</f>
        <v>C100076</v>
      </c>
      <c r="L547" s="42" t="str">
        <f>IF($J547="Customer",_xll.NL("first",$J547,"Name","No.","@@"&amp;$K547),"")</f>
        <v>Showmasters</v>
      </c>
      <c r="M547" s="42" t="str">
        <f>""</f>
        <v/>
      </c>
      <c r="N547" s="42" t="str">
        <f>IF($J547="Item",_xll.NL("first",$J547,"Description","No.","@@"&amp;$K547),"")</f>
        <v/>
      </c>
      <c r="O547" s="43">
        <v>0</v>
      </c>
      <c r="P547" s="43">
        <v>-168</v>
      </c>
      <c r="Q547" s="43">
        <v>0</v>
      </c>
      <c r="R547" s="43">
        <v>0</v>
      </c>
      <c r="S547" s="43">
        <v>0</v>
      </c>
      <c r="T547" s="43">
        <v>0</v>
      </c>
      <c r="U547" s="56"/>
    </row>
    <row r="548" spans="1:21" ht="17.25" customHeight="1" x14ac:dyDescent="0.3">
      <c r="A548" s="15" t="s">
        <v>30</v>
      </c>
      <c r="C548" s="19"/>
      <c r="D548" s="33" t="str">
        <f t="shared" si="116"/>
        <v>C100035</v>
      </c>
      <c r="E548" s="33"/>
      <c r="F548" s="34"/>
      <c r="G548" s="34" t="str">
        <f>"""NAV Direct"",""CRONUS JetCorp USA"",""32"",""1"",""7588"""</f>
        <v>"NAV Direct","CRONUS JetCorp USA","32","1","7588"</v>
      </c>
      <c r="H548" s="40">
        <v>43476</v>
      </c>
      <c r="I548" s="41">
        <v>7588</v>
      </c>
      <c r="J548" s="42" t="str">
        <f>"Customer"</f>
        <v>Customer</v>
      </c>
      <c r="K548" s="42" t="str">
        <f>"C100030"</f>
        <v>C100030</v>
      </c>
      <c r="L548" s="42" t="str">
        <f>IF($J548="Customer",_xll.NL("first",$J548,"Name","No.","@@"&amp;$K548),"")</f>
        <v>Stutringers</v>
      </c>
      <c r="M548" s="42" t="str">
        <f>""</f>
        <v/>
      </c>
      <c r="N548" s="42" t="str">
        <f>IF($J548="Item",_xll.NL("first",$J548,"Description","No.","@@"&amp;$K548),"")</f>
        <v/>
      </c>
      <c r="O548" s="43">
        <v>0</v>
      </c>
      <c r="P548" s="43">
        <v>-49</v>
      </c>
      <c r="Q548" s="43">
        <v>0</v>
      </c>
      <c r="R548" s="43">
        <v>0</v>
      </c>
      <c r="S548" s="43">
        <v>0</v>
      </c>
      <c r="T548" s="43">
        <v>0</v>
      </c>
      <c r="U548" s="56"/>
    </row>
    <row r="549" spans="1:21" ht="17.25" customHeight="1" x14ac:dyDescent="0.3">
      <c r="A549" s="15" t="s">
        <v>30</v>
      </c>
      <c r="C549" s="19"/>
      <c r="D549" s="33" t="str">
        <f t="shared" si="116"/>
        <v>C100035</v>
      </c>
      <c r="E549" s="33"/>
      <c r="F549" s="34"/>
      <c r="G549" s="34" t="str">
        <f>"""NAV Direct"",""CRONUS JetCorp USA"",""32"",""1"",""10235"""</f>
        <v>"NAV Direct","CRONUS JetCorp USA","32","1","10235"</v>
      </c>
      <c r="H549" s="40">
        <v>43477</v>
      </c>
      <c r="I549" s="41">
        <v>10235</v>
      </c>
      <c r="J549" s="42" t="str">
        <f>"Customer"</f>
        <v>Customer</v>
      </c>
      <c r="K549" s="42" t="str">
        <f>"C100054"</f>
        <v>C100054</v>
      </c>
      <c r="L549" s="42" t="str">
        <f>IF($J549="Customer",_xll.NL("first",$J549,"Name","No.","@@"&amp;$K549),"")</f>
        <v>London Candoxy Storage Campus</v>
      </c>
      <c r="M549" s="42" t="str">
        <f>""</f>
        <v/>
      </c>
      <c r="N549" s="42" t="str">
        <f>IF($J549="Item",_xll.NL("first",$J549,"Description","No.","@@"&amp;$K549),"")</f>
        <v/>
      </c>
      <c r="O549" s="43">
        <v>0</v>
      </c>
      <c r="P549" s="43">
        <v>-1</v>
      </c>
      <c r="Q549" s="43">
        <v>0</v>
      </c>
      <c r="R549" s="43">
        <v>0</v>
      </c>
      <c r="S549" s="43">
        <v>0</v>
      </c>
      <c r="T549" s="43">
        <v>0</v>
      </c>
      <c r="U549" s="56"/>
    </row>
    <row r="550" spans="1:21" ht="17.25" customHeight="1" x14ac:dyDescent="0.3">
      <c r="A550" s="15" t="s">
        <v>30</v>
      </c>
      <c r="C550" s="19"/>
      <c r="D550" s="33" t="str">
        <f t="shared" si="116"/>
        <v>C100035</v>
      </c>
      <c r="E550" s="33"/>
      <c r="F550" s="34"/>
      <c r="G550" s="34" t="str">
        <f>"""NAV Direct"",""CRONUS JetCorp USA"",""32"",""1"",""114295"""</f>
        <v>"NAV Direct","CRONUS JetCorp USA","32","1","114295"</v>
      </c>
      <c r="H550" s="40">
        <v>43477</v>
      </c>
      <c r="I550" s="41">
        <v>114295</v>
      </c>
      <c r="J550" s="42" t="str">
        <f>"Customer"</f>
        <v>Customer</v>
      </c>
      <c r="K550" s="42" t="str">
        <f>"C100030"</f>
        <v>C100030</v>
      </c>
      <c r="L550" s="42" t="str">
        <f>IF($J550="Customer",_xll.NL("first",$J550,"Name","No.","@@"&amp;$K550),"")</f>
        <v>Stutringers</v>
      </c>
      <c r="M550" s="42" t="str">
        <f>""</f>
        <v/>
      </c>
      <c r="N550" s="42" t="str">
        <f>IF($J550="Item",_xll.NL("first",$J550,"Description","No.","@@"&amp;$K550),"")</f>
        <v/>
      </c>
      <c r="O550" s="43">
        <v>0</v>
      </c>
      <c r="P550" s="43">
        <v>-1</v>
      </c>
      <c r="Q550" s="43">
        <v>0</v>
      </c>
      <c r="R550" s="43">
        <v>0</v>
      </c>
      <c r="S550" s="43">
        <v>0</v>
      </c>
      <c r="T550" s="43">
        <v>0</v>
      </c>
      <c r="U550" s="56"/>
    </row>
    <row r="551" spans="1:21" ht="17.25" customHeight="1" x14ac:dyDescent="0.3">
      <c r="A551" s="15" t="s">
        <v>30</v>
      </c>
      <c r="C551" s="19"/>
      <c r="D551" s="33"/>
      <c r="E551" s="33"/>
      <c r="F551" s="34"/>
      <c r="G551" s="34"/>
      <c r="H551" s="34"/>
      <c r="I551" s="34"/>
      <c r="J551" s="34"/>
      <c r="K551" s="34"/>
      <c r="L551" s="34"/>
      <c r="M551" s="34"/>
      <c r="N551" s="34"/>
      <c r="O551" s="44"/>
      <c r="P551" s="44"/>
      <c r="Q551" s="44"/>
      <c r="R551" s="44"/>
      <c r="S551" s="44"/>
      <c r="T551" s="44"/>
      <c r="U551" s="57"/>
    </row>
    <row r="552" spans="1:21" ht="17.25" customHeight="1" x14ac:dyDescent="0.3">
      <c r="A552" s="15" t="s">
        <v>30</v>
      </c>
      <c r="C552" s="19"/>
      <c r="D552" s="33"/>
      <c r="E552" s="33" t="s">
        <v>31</v>
      </c>
      <c r="F552" s="34" t="s">
        <v>31</v>
      </c>
      <c r="G552" s="34" t="s">
        <v>31</v>
      </c>
      <c r="H552" s="34"/>
      <c r="I552" s="34"/>
      <c r="J552" s="34" t="s">
        <v>31</v>
      </c>
      <c r="K552" s="34" t="s">
        <v>31</v>
      </c>
      <c r="L552" s="34" t="s">
        <v>31</v>
      </c>
      <c r="M552" s="34" t="s">
        <v>31</v>
      </c>
      <c r="N552" s="34"/>
      <c r="U552" s="58"/>
    </row>
    <row r="553" spans="1:21" ht="20.25" customHeight="1" x14ac:dyDescent="0.35">
      <c r="A553" s="15" t="s">
        <v>30</v>
      </c>
      <c r="C553" s="19"/>
      <c r="D553" s="35" t="str">
        <f t="shared" ref="D553" si="117">E553</f>
        <v>C100036</v>
      </c>
      <c r="E553" s="36" t="str">
        <f>"C100036"</f>
        <v>C100036</v>
      </c>
      <c r="F553" s="37" t="str">
        <f>"Clock &amp; Business Card Holder"</f>
        <v>Clock &amp; Business Card Holder</v>
      </c>
      <c r="G553" s="37"/>
      <c r="H553" s="38" t="str">
        <f>"EA"</f>
        <v>EA</v>
      </c>
      <c r="I553" s="37"/>
      <c r="J553" s="37"/>
      <c r="K553" s="37"/>
      <c r="L553" s="37"/>
      <c r="M553" s="37"/>
      <c r="N553" s="37"/>
      <c r="O553" s="39">
        <f>(SUBTOTAL(9,O554:O562))</f>
        <v>1200</v>
      </c>
      <c r="P553" s="39">
        <f>(SUBTOTAL(9,P554:P562))</f>
        <v>-153</v>
      </c>
      <c r="Q553" s="39">
        <f>(SUBTOTAL(9,Q554:Q562))</f>
        <v>0</v>
      </c>
      <c r="R553" s="39">
        <f>(SUBTOTAL(9,R554:R562))</f>
        <v>0</v>
      </c>
      <c r="S553" s="39">
        <f>(SUBTOTAL(9,S554:S562))</f>
        <v>0</v>
      </c>
      <c r="T553" s="39">
        <f>(SUBTOTAL(9,T554:T562))</f>
        <v>0</v>
      </c>
      <c r="U553" s="55">
        <f t="shared" ref="U553" si="118">SUBTOTAL(9,O554:T562)</f>
        <v>1047</v>
      </c>
    </row>
    <row r="554" spans="1:21" ht="17.25" customHeight="1" x14ac:dyDescent="0.3">
      <c r="A554" s="15" t="s">
        <v>30</v>
      </c>
      <c r="C554" s="19"/>
      <c r="D554" s="33" t="str">
        <f t="shared" ref="D554" si="119">D553</f>
        <v>C100036</v>
      </c>
      <c r="E554" s="33"/>
      <c r="F554" s="34"/>
      <c r="G554" s="34" t="str">
        <f>"""NAV Direct"",""CRONUS JetCorp USA"",""32"",""1"",""167519"""</f>
        <v>"NAV Direct","CRONUS JetCorp USA","32","1","167519"</v>
      </c>
      <c r="H554" s="40">
        <v>43466</v>
      </c>
      <c r="I554" s="41">
        <v>167519</v>
      </c>
      <c r="J554" s="42" t="str">
        <f>"Vendor"</f>
        <v>Vendor</v>
      </c>
      <c r="K554" s="42" t="str">
        <f>"V100009"</f>
        <v>V100009</v>
      </c>
      <c r="L554" s="42" t="str">
        <f>IF($J554="Customer",_xll.NL("first",$J554,"Name","No.","@@"&amp;$K554),"")</f>
        <v/>
      </c>
      <c r="M554" s="42" t="str">
        <f>"Malay-Dan Export Unit Sdn Bhd"</f>
        <v>Malay-Dan Export Unit Sdn Bhd</v>
      </c>
      <c r="N554" s="42" t="str">
        <f>IF($J554="Item",_xll.NL("first",$J554,"Description","No.","@@"&amp;$K554),"")</f>
        <v/>
      </c>
      <c r="O554" s="43">
        <v>200</v>
      </c>
      <c r="P554" s="43">
        <v>0</v>
      </c>
      <c r="Q554" s="43">
        <v>0</v>
      </c>
      <c r="R554" s="43">
        <v>0</v>
      </c>
      <c r="S554" s="43">
        <v>0</v>
      </c>
      <c r="T554" s="43">
        <v>0</v>
      </c>
      <c r="U554" s="56"/>
    </row>
    <row r="555" spans="1:21" ht="17.25" customHeight="1" x14ac:dyDescent="0.3">
      <c r="A555" s="15" t="s">
        <v>30</v>
      </c>
      <c r="C555" s="19"/>
      <c r="D555" s="33" t="str">
        <f t="shared" ref="D555:D561" si="120">D554</f>
        <v>C100036</v>
      </c>
      <c r="E555" s="33"/>
      <c r="F555" s="34"/>
      <c r="G555" s="34" t="str">
        <f>"""NAV Direct"",""CRONUS JetCorp USA"",""32"",""1"",""167563"""</f>
        <v>"NAV Direct","CRONUS JetCorp USA","32","1","167563"</v>
      </c>
      <c r="H555" s="40">
        <v>43466</v>
      </c>
      <c r="I555" s="41">
        <v>167563</v>
      </c>
      <c r="J555" s="42" t="str">
        <f>"Vendor"</f>
        <v>Vendor</v>
      </c>
      <c r="K555" s="42" t="str">
        <f>"V100007"</f>
        <v>V100007</v>
      </c>
      <c r="L555" s="42" t="str">
        <f>IF($J555="Customer",_xll.NL("first",$J555,"Name","No.","@@"&amp;$K555),"")</f>
        <v/>
      </c>
      <c r="M555" s="42" t="str">
        <f>"TrendTech"</f>
        <v>TrendTech</v>
      </c>
      <c r="N555" s="42" t="str">
        <f>IF($J555="Item",_xll.NL("first",$J555,"Description","No.","@@"&amp;$K555),"")</f>
        <v/>
      </c>
      <c r="O555" s="43">
        <v>400</v>
      </c>
      <c r="P555" s="43">
        <v>0</v>
      </c>
      <c r="Q555" s="43">
        <v>0</v>
      </c>
      <c r="R555" s="43">
        <v>0</v>
      </c>
      <c r="S555" s="43">
        <v>0</v>
      </c>
      <c r="T555" s="43">
        <v>0</v>
      </c>
      <c r="U555" s="56"/>
    </row>
    <row r="556" spans="1:21" ht="17.25" customHeight="1" x14ac:dyDescent="0.3">
      <c r="A556" s="15" t="s">
        <v>30</v>
      </c>
      <c r="C556" s="19"/>
      <c r="D556" s="33" t="str">
        <f t="shared" si="120"/>
        <v>C100036</v>
      </c>
      <c r="E556" s="33"/>
      <c r="F556" s="34"/>
      <c r="G556" s="34" t="str">
        <f>"""NAV Direct"",""CRONUS JetCorp USA"",""32"",""1"",""167582"""</f>
        <v>"NAV Direct","CRONUS JetCorp USA","32","1","167582"</v>
      </c>
      <c r="H556" s="40">
        <v>43466</v>
      </c>
      <c r="I556" s="41">
        <v>167582</v>
      </c>
      <c r="J556" s="42" t="str">
        <f>"Vendor"</f>
        <v>Vendor</v>
      </c>
      <c r="K556" s="42" t="str">
        <f>"V100001"</f>
        <v>V100001</v>
      </c>
      <c r="L556" s="42" t="str">
        <f>IF($J556="Customer",_xll.NL("first",$J556,"Name","No.","@@"&amp;$K556),"")</f>
        <v/>
      </c>
      <c r="M556" s="42" t="str">
        <f>"Greigner, Inc."</f>
        <v>Greigner, Inc.</v>
      </c>
      <c r="N556" s="42" t="str">
        <f>IF($J556="Item",_xll.NL("first",$J556,"Description","No.","@@"&amp;$K556),"")</f>
        <v/>
      </c>
      <c r="O556" s="43">
        <v>400</v>
      </c>
      <c r="P556" s="43">
        <v>0</v>
      </c>
      <c r="Q556" s="43">
        <v>0</v>
      </c>
      <c r="R556" s="43">
        <v>0</v>
      </c>
      <c r="S556" s="43">
        <v>0</v>
      </c>
      <c r="T556" s="43">
        <v>0</v>
      </c>
      <c r="U556" s="56"/>
    </row>
    <row r="557" spans="1:21" ht="17.25" customHeight="1" x14ac:dyDescent="0.3">
      <c r="A557" s="15" t="s">
        <v>30</v>
      </c>
      <c r="C557" s="19"/>
      <c r="D557" s="33" t="str">
        <f t="shared" si="120"/>
        <v>C100036</v>
      </c>
      <c r="E557" s="33"/>
      <c r="F557" s="34"/>
      <c r="G557" s="34" t="str">
        <f>"""NAV Direct"",""CRONUS JetCorp USA"",""32"",""1"",""167611"""</f>
        <v>"NAV Direct","CRONUS JetCorp USA","32","1","167611"</v>
      </c>
      <c r="H557" s="40">
        <v>43466</v>
      </c>
      <c r="I557" s="41">
        <v>167611</v>
      </c>
      <c r="J557" s="42" t="str">
        <f>"Vendor"</f>
        <v>Vendor</v>
      </c>
      <c r="K557" s="42" t="str">
        <f>"V100003"</f>
        <v>V100003</v>
      </c>
      <c r="L557" s="42" t="str">
        <f>IF($J557="Customer",_xll.NL("first",$J557,"Name","No.","@@"&amp;$K557),"")</f>
        <v/>
      </c>
      <c r="M557" s="42" t="str">
        <f>"LogoMasters"</f>
        <v>LogoMasters</v>
      </c>
      <c r="N557" s="42" t="str">
        <f>IF($J557="Item",_xll.NL("first",$J557,"Description","No.","@@"&amp;$K557),"")</f>
        <v/>
      </c>
      <c r="O557" s="43">
        <v>200</v>
      </c>
      <c r="P557" s="43">
        <v>0</v>
      </c>
      <c r="Q557" s="43">
        <v>0</v>
      </c>
      <c r="R557" s="43">
        <v>0</v>
      </c>
      <c r="S557" s="43">
        <v>0</v>
      </c>
      <c r="T557" s="43">
        <v>0</v>
      </c>
      <c r="U557" s="56"/>
    </row>
    <row r="558" spans="1:21" ht="17.25" customHeight="1" x14ac:dyDescent="0.3">
      <c r="A558" s="15" t="s">
        <v>30</v>
      </c>
      <c r="C558" s="19"/>
      <c r="D558" s="33" t="str">
        <f t="shared" si="120"/>
        <v>C100036</v>
      </c>
      <c r="E558" s="33"/>
      <c r="F558" s="34"/>
      <c r="G558" s="34" t="str">
        <f>"""NAV Direct"",""CRONUS JetCorp USA"",""32"",""1"",""118078"""</f>
        <v>"NAV Direct","CRONUS JetCorp USA","32","1","118078"</v>
      </c>
      <c r="H558" s="40">
        <v>43471</v>
      </c>
      <c r="I558" s="41">
        <v>118078</v>
      </c>
      <c r="J558" s="42" t="str">
        <f>"Customer"</f>
        <v>Customer</v>
      </c>
      <c r="K558" s="42" t="str">
        <f>"C100060"</f>
        <v>C100060</v>
      </c>
      <c r="L558" s="42" t="str">
        <f>IF($J558="Customer",_xll.NL("first",$J558,"Name","No.","@@"&amp;$K558),"")</f>
        <v>MEMA Ljubljana d.o.o.</v>
      </c>
      <c r="M558" s="42" t="str">
        <f>""</f>
        <v/>
      </c>
      <c r="N558" s="42" t="str">
        <f>IF($J558="Item",_xll.NL("first",$J558,"Description","No.","@@"&amp;$K558),"")</f>
        <v/>
      </c>
      <c r="O558" s="43">
        <v>0</v>
      </c>
      <c r="P558" s="43">
        <v>-1</v>
      </c>
      <c r="Q558" s="43">
        <v>0</v>
      </c>
      <c r="R558" s="43">
        <v>0</v>
      </c>
      <c r="S558" s="43">
        <v>0</v>
      </c>
      <c r="T558" s="43">
        <v>0</v>
      </c>
      <c r="U558" s="56"/>
    </row>
    <row r="559" spans="1:21" ht="17.25" customHeight="1" x14ac:dyDescent="0.3">
      <c r="A559" s="15" t="s">
        <v>30</v>
      </c>
      <c r="C559" s="19"/>
      <c r="D559" s="33" t="str">
        <f t="shared" si="120"/>
        <v>C100036</v>
      </c>
      <c r="E559" s="33"/>
      <c r="F559" s="34"/>
      <c r="G559" s="34" t="str">
        <f>"""NAV Direct"",""CRONUS JetCorp USA"",""32"",""1"",""111316"""</f>
        <v>"NAV Direct","CRONUS JetCorp USA","32","1","111316"</v>
      </c>
      <c r="H559" s="40">
        <v>43472</v>
      </c>
      <c r="I559" s="41">
        <v>111316</v>
      </c>
      <c r="J559" s="42" t="str">
        <f>"Customer"</f>
        <v>Customer</v>
      </c>
      <c r="K559" s="42" t="str">
        <f>"C100099"</f>
        <v>C100099</v>
      </c>
      <c r="L559" s="42" t="str">
        <f>IF($J559="Customer",_xll.NL("first",$J559,"Name","No.","@@"&amp;$K559),"")</f>
        <v>Voltive Systems</v>
      </c>
      <c r="M559" s="42" t="str">
        <f>""</f>
        <v/>
      </c>
      <c r="N559" s="42" t="str">
        <f>IF($J559="Item",_xll.NL("first",$J559,"Description","No.","@@"&amp;$K559),"")</f>
        <v/>
      </c>
      <c r="O559" s="43">
        <v>0</v>
      </c>
      <c r="P559" s="43">
        <v>-1</v>
      </c>
      <c r="Q559" s="43">
        <v>0</v>
      </c>
      <c r="R559" s="43">
        <v>0</v>
      </c>
      <c r="S559" s="43">
        <v>0</v>
      </c>
      <c r="T559" s="43">
        <v>0</v>
      </c>
      <c r="U559" s="56"/>
    </row>
    <row r="560" spans="1:21" ht="17.25" customHeight="1" x14ac:dyDescent="0.3">
      <c r="A560" s="15" t="s">
        <v>30</v>
      </c>
      <c r="C560" s="19"/>
      <c r="D560" s="33" t="str">
        <f t="shared" si="120"/>
        <v>C100036</v>
      </c>
      <c r="E560" s="33"/>
      <c r="F560" s="34"/>
      <c r="G560" s="34" t="str">
        <f>"""NAV Direct"",""CRONUS JetCorp USA"",""32"",""1"",""3902"""</f>
        <v>"NAV Direct","CRONUS JetCorp USA","32","1","3902"</v>
      </c>
      <c r="H560" s="40">
        <v>43473</v>
      </c>
      <c r="I560" s="41">
        <v>3902</v>
      </c>
      <c r="J560" s="42" t="str">
        <f>"Customer"</f>
        <v>Customer</v>
      </c>
      <c r="K560" s="42" t="str">
        <f>"C100037"</f>
        <v>C100037</v>
      </c>
      <c r="L560" s="42" t="str">
        <f>IF($J560="Customer",_xll.NL("first",$J560,"Name","No.","@@"&amp;$K560),"")</f>
        <v>Tempsons Tropies</v>
      </c>
      <c r="M560" s="42" t="str">
        <f>""</f>
        <v/>
      </c>
      <c r="N560" s="42" t="str">
        <f>IF($J560="Item",_xll.NL("first",$J560,"Description","No.","@@"&amp;$K560),"")</f>
        <v/>
      </c>
      <c r="O560" s="43">
        <v>0</v>
      </c>
      <c r="P560" s="43">
        <v>-7</v>
      </c>
      <c r="Q560" s="43">
        <v>0</v>
      </c>
      <c r="R560" s="43">
        <v>0</v>
      </c>
      <c r="S560" s="43">
        <v>0</v>
      </c>
      <c r="T560" s="43">
        <v>0</v>
      </c>
      <c r="U560" s="56"/>
    </row>
    <row r="561" spans="1:21" ht="17.25" customHeight="1" x14ac:dyDescent="0.3">
      <c r="A561" s="15" t="s">
        <v>30</v>
      </c>
      <c r="C561" s="19"/>
      <c r="D561" s="33" t="str">
        <f t="shared" si="120"/>
        <v>C100036</v>
      </c>
      <c r="E561" s="33"/>
      <c r="F561" s="34"/>
      <c r="G561" s="34" t="str">
        <f>"""NAV Direct"",""CRONUS JetCorp USA"",""32"",""1"",""7576"""</f>
        <v>"NAV Direct","CRONUS JetCorp USA","32","1","7576"</v>
      </c>
      <c r="H561" s="40">
        <v>43476</v>
      </c>
      <c r="I561" s="41">
        <v>7576</v>
      </c>
      <c r="J561" s="42" t="str">
        <f>"Customer"</f>
        <v>Customer</v>
      </c>
      <c r="K561" s="42" t="str">
        <f>"C100083"</f>
        <v>C100083</v>
      </c>
      <c r="L561" s="42" t="str">
        <f>IF($J561="Customer",_xll.NL("first",$J561,"Name","No.","@@"&amp;$K561),"")</f>
        <v>Stanfords</v>
      </c>
      <c r="M561" s="42" t="str">
        <f>""</f>
        <v/>
      </c>
      <c r="N561" s="42" t="str">
        <f>IF($J561="Item",_xll.NL("first",$J561,"Description","No.","@@"&amp;$K561),"")</f>
        <v/>
      </c>
      <c r="O561" s="43">
        <v>0</v>
      </c>
      <c r="P561" s="43">
        <v>-144</v>
      </c>
      <c r="Q561" s="43">
        <v>0</v>
      </c>
      <c r="R561" s="43">
        <v>0</v>
      </c>
      <c r="S561" s="43">
        <v>0</v>
      </c>
      <c r="T561" s="43">
        <v>0</v>
      </c>
      <c r="U561" s="56"/>
    </row>
    <row r="562" spans="1:21" ht="17.25" customHeight="1" x14ac:dyDescent="0.3">
      <c r="A562" s="15" t="s">
        <v>30</v>
      </c>
      <c r="C562" s="19"/>
      <c r="D562" s="33"/>
      <c r="E562" s="33"/>
      <c r="F562" s="34"/>
      <c r="G562" s="34"/>
      <c r="H562" s="34"/>
      <c r="I562" s="34"/>
      <c r="J562" s="34"/>
      <c r="K562" s="34"/>
      <c r="L562" s="34"/>
      <c r="M562" s="34"/>
      <c r="N562" s="34"/>
      <c r="O562" s="44"/>
      <c r="P562" s="44"/>
      <c r="Q562" s="44"/>
      <c r="R562" s="44"/>
      <c r="S562" s="44"/>
      <c r="T562" s="44"/>
      <c r="U562" s="57"/>
    </row>
    <row r="563" spans="1:21" ht="17.25" customHeight="1" x14ac:dyDescent="0.3">
      <c r="A563" s="15" t="s">
        <v>30</v>
      </c>
      <c r="C563" s="19"/>
      <c r="D563" s="33"/>
      <c r="E563" s="33" t="s">
        <v>31</v>
      </c>
      <c r="F563" s="34" t="s">
        <v>31</v>
      </c>
      <c r="G563" s="34" t="s">
        <v>31</v>
      </c>
      <c r="H563" s="34"/>
      <c r="I563" s="34"/>
      <c r="J563" s="34" t="s">
        <v>31</v>
      </c>
      <c r="K563" s="34" t="s">
        <v>31</v>
      </c>
      <c r="L563" s="34" t="s">
        <v>31</v>
      </c>
      <c r="M563" s="34" t="s">
        <v>31</v>
      </c>
      <c r="N563" s="34"/>
      <c r="U563" s="58"/>
    </row>
    <row r="564" spans="1:21" ht="20.25" customHeight="1" x14ac:dyDescent="0.35">
      <c r="A564" s="15" t="s">
        <v>30</v>
      </c>
      <c r="C564" s="19"/>
      <c r="D564" s="35" t="str">
        <f t="shared" ref="D564" si="121">E564</f>
        <v>C100037</v>
      </c>
      <c r="E564" s="36" t="str">
        <f>"C100037"</f>
        <v>C100037</v>
      </c>
      <c r="F564" s="37" t="str">
        <f>"World Time Travel Alarm"</f>
        <v>World Time Travel Alarm</v>
      </c>
      <c r="G564" s="37"/>
      <c r="H564" s="38" t="str">
        <f>"EA"</f>
        <v>EA</v>
      </c>
      <c r="I564" s="37"/>
      <c r="J564" s="37"/>
      <c r="K564" s="37"/>
      <c r="L564" s="37"/>
      <c r="M564" s="37"/>
      <c r="N564" s="37"/>
      <c r="O564" s="39">
        <f>(SUBTOTAL(9,O565:O576))</f>
        <v>1400</v>
      </c>
      <c r="P564" s="39">
        <f>(SUBTOTAL(9,P565:P576))</f>
        <v>-781</v>
      </c>
      <c r="Q564" s="39">
        <f>(SUBTOTAL(9,Q565:Q576))</f>
        <v>0</v>
      </c>
      <c r="R564" s="39">
        <f>(SUBTOTAL(9,R565:R576))</f>
        <v>0</v>
      </c>
      <c r="S564" s="39">
        <f>(SUBTOTAL(9,S565:S576))</f>
        <v>0</v>
      </c>
      <c r="T564" s="39">
        <f>(SUBTOTAL(9,T565:T576))</f>
        <v>0</v>
      </c>
      <c r="U564" s="55">
        <f t="shared" ref="U564" si="122">SUBTOTAL(9,O565:T576)</f>
        <v>619</v>
      </c>
    </row>
    <row r="565" spans="1:21" ht="17.25" customHeight="1" x14ac:dyDescent="0.3">
      <c r="A565" s="15" t="s">
        <v>30</v>
      </c>
      <c r="C565" s="19"/>
      <c r="D565" s="33" t="str">
        <f t="shared" ref="D565" si="123">D564</f>
        <v>C100037</v>
      </c>
      <c r="E565" s="33"/>
      <c r="F565" s="34"/>
      <c r="G565" s="34" t="str">
        <f>"""NAV Direct"",""CRONUS JetCorp USA"",""32"",""1"",""167536"""</f>
        <v>"NAV Direct","CRONUS JetCorp USA","32","1","167536"</v>
      </c>
      <c r="H565" s="40">
        <v>43466</v>
      </c>
      <c r="I565" s="41">
        <v>167536</v>
      </c>
      <c r="J565" s="42" t="str">
        <f>"Vendor"</f>
        <v>Vendor</v>
      </c>
      <c r="K565" s="42" t="str">
        <f>"V100040"</f>
        <v>V100040</v>
      </c>
      <c r="L565" s="42" t="str">
        <f>IF($J565="Customer",_xll.NL("first",$J565,"Name","No.","@@"&amp;$K565),"")</f>
        <v/>
      </c>
      <c r="M565" s="42" t="str">
        <f>"Technische Betriebe Rotkreuz"</f>
        <v>Technische Betriebe Rotkreuz</v>
      </c>
      <c r="N565" s="42" t="str">
        <f>IF($J565="Item",_xll.NL("first",$J565,"Description","No.","@@"&amp;$K565),"")</f>
        <v/>
      </c>
      <c r="O565" s="43">
        <v>200</v>
      </c>
      <c r="P565" s="43">
        <v>0</v>
      </c>
      <c r="Q565" s="43">
        <v>0</v>
      </c>
      <c r="R565" s="43">
        <v>0</v>
      </c>
      <c r="S565" s="43">
        <v>0</v>
      </c>
      <c r="T565" s="43">
        <v>0</v>
      </c>
      <c r="U565" s="56"/>
    </row>
    <row r="566" spans="1:21" ht="17.25" customHeight="1" x14ac:dyDescent="0.3">
      <c r="A566" s="15" t="s">
        <v>30</v>
      </c>
      <c r="C566" s="19"/>
      <c r="D566" s="33" t="str">
        <f t="shared" ref="D566:D575" si="124">D565</f>
        <v>C100037</v>
      </c>
      <c r="E566" s="33"/>
      <c r="F566" s="34"/>
      <c r="G566" s="34" t="str">
        <f>"""NAV Direct"",""CRONUS JetCorp USA"",""32"",""1"",""167562"""</f>
        <v>"NAV Direct","CRONUS JetCorp USA","32","1","167562"</v>
      </c>
      <c r="H566" s="40">
        <v>43466</v>
      </c>
      <c r="I566" s="41">
        <v>167562</v>
      </c>
      <c r="J566" s="42" t="str">
        <f>"Vendor"</f>
        <v>Vendor</v>
      </c>
      <c r="K566" s="42" t="str">
        <f>"V100007"</f>
        <v>V100007</v>
      </c>
      <c r="L566" s="42" t="str">
        <f>IF($J566="Customer",_xll.NL("first",$J566,"Name","No.","@@"&amp;$K566),"")</f>
        <v/>
      </c>
      <c r="M566" s="42" t="str">
        <f>"TrendTech"</f>
        <v>TrendTech</v>
      </c>
      <c r="N566" s="42" t="str">
        <f>IF($J566="Item",_xll.NL("first",$J566,"Description","No.","@@"&amp;$K566),"")</f>
        <v/>
      </c>
      <c r="O566" s="43">
        <v>800</v>
      </c>
      <c r="P566" s="43">
        <v>0</v>
      </c>
      <c r="Q566" s="43">
        <v>0</v>
      </c>
      <c r="R566" s="43">
        <v>0</v>
      </c>
      <c r="S566" s="43">
        <v>0</v>
      </c>
      <c r="T566" s="43">
        <v>0</v>
      </c>
      <c r="U566" s="56"/>
    </row>
    <row r="567" spans="1:21" ht="17.25" customHeight="1" x14ac:dyDescent="0.3">
      <c r="A567" s="15" t="s">
        <v>30</v>
      </c>
      <c r="C567" s="19"/>
      <c r="D567" s="33" t="str">
        <f t="shared" si="124"/>
        <v>C100037</v>
      </c>
      <c r="E567" s="33"/>
      <c r="F567" s="34"/>
      <c r="G567" s="34" t="str">
        <f>"""NAV Direct"",""CRONUS JetCorp USA"",""32"",""1"",""167581"""</f>
        <v>"NAV Direct","CRONUS JetCorp USA","32","1","167581"</v>
      </c>
      <c r="H567" s="40">
        <v>43466</v>
      </c>
      <c r="I567" s="41">
        <v>167581</v>
      </c>
      <c r="J567" s="42" t="str">
        <f>"Vendor"</f>
        <v>Vendor</v>
      </c>
      <c r="K567" s="42" t="str">
        <f>"V100001"</f>
        <v>V100001</v>
      </c>
      <c r="L567" s="42" t="str">
        <f>IF($J567="Customer",_xll.NL("first",$J567,"Name","No.","@@"&amp;$K567),"")</f>
        <v/>
      </c>
      <c r="M567" s="42" t="str">
        <f>"Greigner, Inc."</f>
        <v>Greigner, Inc.</v>
      </c>
      <c r="N567" s="42" t="str">
        <f>IF($J567="Item",_xll.NL("first",$J567,"Description","No.","@@"&amp;$K567),"")</f>
        <v/>
      </c>
      <c r="O567" s="43">
        <v>200</v>
      </c>
      <c r="P567" s="43">
        <v>0</v>
      </c>
      <c r="Q567" s="43">
        <v>0</v>
      </c>
      <c r="R567" s="43">
        <v>0</v>
      </c>
      <c r="S567" s="43">
        <v>0</v>
      </c>
      <c r="T567" s="43">
        <v>0</v>
      </c>
      <c r="U567" s="56"/>
    </row>
    <row r="568" spans="1:21" ht="17.25" customHeight="1" x14ac:dyDescent="0.3">
      <c r="A568" s="15" t="s">
        <v>30</v>
      </c>
      <c r="C568" s="19"/>
      <c r="D568" s="33" t="str">
        <f t="shared" si="124"/>
        <v>C100037</v>
      </c>
      <c r="E568" s="33"/>
      <c r="F568" s="34"/>
      <c r="G568" s="34" t="str">
        <f>"""NAV Direct"",""CRONUS JetCorp USA"",""32"",""1"",""167610"""</f>
        <v>"NAV Direct","CRONUS JetCorp USA","32","1","167610"</v>
      </c>
      <c r="H568" s="40">
        <v>43466</v>
      </c>
      <c r="I568" s="41">
        <v>167610</v>
      </c>
      <c r="J568" s="42" t="str">
        <f>"Vendor"</f>
        <v>Vendor</v>
      </c>
      <c r="K568" s="42" t="str">
        <f>"V100003"</f>
        <v>V100003</v>
      </c>
      <c r="L568" s="42" t="str">
        <f>IF($J568="Customer",_xll.NL("first",$J568,"Name","No.","@@"&amp;$K568),"")</f>
        <v/>
      </c>
      <c r="M568" s="42" t="str">
        <f>"LogoMasters"</f>
        <v>LogoMasters</v>
      </c>
      <c r="N568" s="42" t="str">
        <f>IF($J568="Item",_xll.NL("first",$J568,"Description","No.","@@"&amp;$K568),"")</f>
        <v/>
      </c>
      <c r="O568" s="43">
        <v>200</v>
      </c>
      <c r="P568" s="43">
        <v>0</v>
      </c>
      <c r="Q568" s="43">
        <v>0</v>
      </c>
      <c r="R568" s="43">
        <v>0</v>
      </c>
      <c r="S568" s="43">
        <v>0</v>
      </c>
      <c r="T568" s="43">
        <v>0</v>
      </c>
      <c r="U568" s="56"/>
    </row>
    <row r="569" spans="1:21" ht="17.25" customHeight="1" x14ac:dyDescent="0.3">
      <c r="A569" s="15" t="s">
        <v>30</v>
      </c>
      <c r="C569" s="19"/>
      <c r="D569" s="33" t="str">
        <f t="shared" si="124"/>
        <v>C100037</v>
      </c>
      <c r="E569" s="33"/>
      <c r="F569" s="34"/>
      <c r="G569" s="34" t="str">
        <f>"""NAV Direct"",""CRONUS JetCorp USA"",""32"",""1"",""3886"""</f>
        <v>"NAV Direct","CRONUS JetCorp USA","32","1","3886"</v>
      </c>
      <c r="H569" s="40">
        <v>43467</v>
      </c>
      <c r="I569" s="41">
        <v>3886</v>
      </c>
      <c r="J569" s="42" t="str">
        <f>"Customer"</f>
        <v>Customer</v>
      </c>
      <c r="K569" s="42" t="str">
        <f>"C100099"</f>
        <v>C100099</v>
      </c>
      <c r="L569" s="42" t="str">
        <f>IF($J569="Customer",_xll.NL("first",$J569,"Name","No.","@@"&amp;$K569),"")</f>
        <v>Voltive Systems</v>
      </c>
      <c r="M569" s="42" t="str">
        <f>""</f>
        <v/>
      </c>
      <c r="N569" s="42" t="str">
        <f>IF($J569="Item",_xll.NL("first",$J569,"Description","No.","@@"&amp;$K569),"")</f>
        <v/>
      </c>
      <c r="O569" s="43">
        <v>0</v>
      </c>
      <c r="P569" s="43">
        <v>-144</v>
      </c>
      <c r="Q569" s="43">
        <v>0</v>
      </c>
      <c r="R569" s="43">
        <v>0</v>
      </c>
      <c r="S569" s="43">
        <v>0</v>
      </c>
      <c r="T569" s="43">
        <v>0</v>
      </c>
      <c r="U569" s="56"/>
    </row>
    <row r="570" spans="1:21" ht="17.25" customHeight="1" x14ac:dyDescent="0.3">
      <c r="A570" s="15" t="s">
        <v>30</v>
      </c>
      <c r="C570" s="19"/>
      <c r="D570" s="33" t="str">
        <f t="shared" si="124"/>
        <v>C100037</v>
      </c>
      <c r="E570" s="33"/>
      <c r="F570" s="34"/>
      <c r="G570" s="34" t="str">
        <f>"""NAV Direct"",""CRONUS JetCorp USA"",""32"",""1"",""7558"""</f>
        <v>"NAV Direct","CRONUS JetCorp USA","32","1","7558"</v>
      </c>
      <c r="H570" s="40">
        <v>43469</v>
      </c>
      <c r="I570" s="41">
        <v>7558</v>
      </c>
      <c r="J570" s="42" t="str">
        <f>"Customer"</f>
        <v>Customer</v>
      </c>
      <c r="K570" s="42" t="str">
        <f>"C100030"</f>
        <v>C100030</v>
      </c>
      <c r="L570" s="42" t="str">
        <f>IF($J570="Customer",_xll.NL("first",$J570,"Name","No.","@@"&amp;$K570),"")</f>
        <v>Stutringers</v>
      </c>
      <c r="M570" s="42" t="str">
        <f>""</f>
        <v/>
      </c>
      <c r="N570" s="42" t="str">
        <f>IF($J570="Item",_xll.NL("first",$J570,"Description","No.","@@"&amp;$K570),"")</f>
        <v/>
      </c>
      <c r="O570" s="43">
        <v>0</v>
      </c>
      <c r="P570" s="43">
        <v>-144</v>
      </c>
      <c r="Q570" s="43">
        <v>0</v>
      </c>
      <c r="R570" s="43">
        <v>0</v>
      </c>
      <c r="S570" s="43">
        <v>0</v>
      </c>
      <c r="T570" s="43">
        <v>0</v>
      </c>
      <c r="U570" s="56"/>
    </row>
    <row r="571" spans="1:21" ht="17.25" customHeight="1" x14ac:dyDescent="0.3">
      <c r="A571" s="15" t="s">
        <v>30</v>
      </c>
      <c r="C571" s="19"/>
      <c r="D571" s="33" t="str">
        <f t="shared" si="124"/>
        <v>C100037</v>
      </c>
      <c r="E571" s="33"/>
      <c r="F571" s="34"/>
      <c r="G571" s="34" t="str">
        <f>"""NAV Direct"",""CRONUS JetCorp USA"",""32"",""1"",""114274"""</f>
        <v>"NAV Direct","CRONUS JetCorp USA","32","1","114274"</v>
      </c>
      <c r="H571" s="40">
        <v>43470</v>
      </c>
      <c r="I571" s="41">
        <v>114274</v>
      </c>
      <c r="J571" s="42" t="str">
        <f>"Customer"</f>
        <v>Customer</v>
      </c>
      <c r="K571" s="42" t="str">
        <f>"C100076"</f>
        <v>C100076</v>
      </c>
      <c r="L571" s="42" t="str">
        <f>IF($J571="Customer",_xll.NL("first",$J571,"Name","No.","@@"&amp;$K571),"")</f>
        <v>Showmasters</v>
      </c>
      <c r="M571" s="42" t="str">
        <f>""</f>
        <v/>
      </c>
      <c r="N571" s="42" t="str">
        <f>IF($J571="Item",_xll.NL("first",$J571,"Description","No.","@@"&amp;$K571),"")</f>
        <v/>
      </c>
      <c r="O571" s="43">
        <v>0</v>
      </c>
      <c r="P571" s="43">
        <v>-1</v>
      </c>
      <c r="Q571" s="43">
        <v>0</v>
      </c>
      <c r="R571" s="43">
        <v>0</v>
      </c>
      <c r="S571" s="43">
        <v>0</v>
      </c>
      <c r="T571" s="43">
        <v>0</v>
      </c>
      <c r="U571" s="56"/>
    </row>
    <row r="572" spans="1:21" ht="17.25" customHeight="1" x14ac:dyDescent="0.3">
      <c r="A572" s="15" t="s">
        <v>30</v>
      </c>
      <c r="C572" s="19"/>
      <c r="D572" s="33" t="str">
        <f t="shared" si="124"/>
        <v>C100037</v>
      </c>
      <c r="E572" s="33"/>
      <c r="F572" s="34"/>
      <c r="G572" s="34" t="str">
        <f>"""NAV Direct"",""CRONUS JetCorp USA"",""32"",""1"",""111281"""</f>
        <v>"NAV Direct","CRONUS JetCorp USA","32","1","111281"</v>
      </c>
      <c r="H572" s="40">
        <v>43472</v>
      </c>
      <c r="I572" s="41">
        <v>111281</v>
      </c>
      <c r="J572" s="42" t="str">
        <f>"Customer"</f>
        <v>Customer</v>
      </c>
      <c r="K572" s="42" t="str">
        <f>"C100099"</f>
        <v>C100099</v>
      </c>
      <c r="L572" s="42" t="str">
        <f>IF($J572="Customer",_xll.NL("first",$J572,"Name","No.","@@"&amp;$K572),"")</f>
        <v>Voltive Systems</v>
      </c>
      <c r="M572" s="42" t="str">
        <f>""</f>
        <v/>
      </c>
      <c r="N572" s="42" t="str">
        <f>IF($J572="Item",_xll.NL("first",$J572,"Description","No.","@@"&amp;$K572),"")</f>
        <v/>
      </c>
      <c r="O572" s="43">
        <v>0</v>
      </c>
      <c r="P572" s="43">
        <v>-144</v>
      </c>
      <c r="Q572" s="43">
        <v>0</v>
      </c>
      <c r="R572" s="43">
        <v>0</v>
      </c>
      <c r="S572" s="43">
        <v>0</v>
      </c>
      <c r="T572" s="43">
        <v>0</v>
      </c>
      <c r="U572" s="56"/>
    </row>
    <row r="573" spans="1:21" ht="17.25" customHeight="1" x14ac:dyDescent="0.3">
      <c r="A573" s="15" t="s">
        <v>30</v>
      </c>
      <c r="C573" s="19"/>
      <c r="D573" s="33" t="str">
        <f t="shared" si="124"/>
        <v>C100037</v>
      </c>
      <c r="E573" s="33"/>
      <c r="F573" s="34"/>
      <c r="G573" s="34" t="str">
        <f>"""NAV Direct"",""CRONUS JetCorp USA"",""32"",""1"",""7577"""</f>
        <v>"NAV Direct","CRONUS JetCorp USA","32","1","7577"</v>
      </c>
      <c r="H573" s="40">
        <v>43476</v>
      </c>
      <c r="I573" s="41">
        <v>7577</v>
      </c>
      <c r="J573" s="42" t="str">
        <f>"Customer"</f>
        <v>Customer</v>
      </c>
      <c r="K573" s="42" t="str">
        <f>"C100083"</f>
        <v>C100083</v>
      </c>
      <c r="L573" s="42" t="str">
        <f>IF($J573="Customer",_xll.NL("first",$J573,"Name","No.","@@"&amp;$K573),"")</f>
        <v>Stanfords</v>
      </c>
      <c r="M573" s="42" t="str">
        <f>""</f>
        <v/>
      </c>
      <c r="N573" s="42" t="str">
        <f>IF($J573="Item",_xll.NL("first",$J573,"Description","No.","@@"&amp;$K573),"")</f>
        <v/>
      </c>
      <c r="O573" s="43">
        <v>0</v>
      </c>
      <c r="P573" s="43">
        <v>-12</v>
      </c>
      <c r="Q573" s="43">
        <v>0</v>
      </c>
      <c r="R573" s="43">
        <v>0</v>
      </c>
      <c r="S573" s="43">
        <v>0</v>
      </c>
      <c r="T573" s="43">
        <v>0</v>
      </c>
      <c r="U573" s="56"/>
    </row>
    <row r="574" spans="1:21" ht="17.25" customHeight="1" x14ac:dyDescent="0.3">
      <c r="A574" s="15" t="s">
        <v>30</v>
      </c>
      <c r="C574" s="19"/>
      <c r="D574" s="33" t="str">
        <f t="shared" si="124"/>
        <v>C100037</v>
      </c>
      <c r="E574" s="33"/>
      <c r="F574" s="34"/>
      <c r="G574" s="34" t="str">
        <f>"""NAV Direct"",""CRONUS JetCorp USA"",""32"",""1"",""10231"""</f>
        <v>"NAV Direct","CRONUS JetCorp USA","32","1","10231"</v>
      </c>
      <c r="H574" s="40">
        <v>43477</v>
      </c>
      <c r="I574" s="41">
        <v>10231</v>
      </c>
      <c r="J574" s="42" t="str">
        <f>"Customer"</f>
        <v>Customer</v>
      </c>
      <c r="K574" s="42" t="str">
        <f>"C100054"</f>
        <v>C100054</v>
      </c>
      <c r="L574" s="42" t="str">
        <f>IF($J574="Customer",_xll.NL("first",$J574,"Name","No.","@@"&amp;$K574),"")</f>
        <v>London Candoxy Storage Campus</v>
      </c>
      <c r="M574" s="42" t="str">
        <f>""</f>
        <v/>
      </c>
      <c r="N574" s="42" t="str">
        <f>IF($J574="Item",_xll.NL("first",$J574,"Description","No.","@@"&amp;$K574),"")</f>
        <v/>
      </c>
      <c r="O574" s="43">
        <v>0</v>
      </c>
      <c r="P574" s="43">
        <v>-48</v>
      </c>
      <c r="Q574" s="43">
        <v>0</v>
      </c>
      <c r="R574" s="43">
        <v>0</v>
      </c>
      <c r="S574" s="43">
        <v>0</v>
      </c>
      <c r="T574" s="43">
        <v>0</v>
      </c>
      <c r="U574" s="56"/>
    </row>
    <row r="575" spans="1:21" ht="17.25" customHeight="1" x14ac:dyDescent="0.3">
      <c r="A575" s="15" t="s">
        <v>30</v>
      </c>
      <c r="C575" s="19"/>
      <c r="D575" s="33" t="str">
        <f t="shared" si="124"/>
        <v>C100037</v>
      </c>
      <c r="E575" s="33"/>
      <c r="F575" s="34"/>
      <c r="G575" s="34" t="str">
        <f>"""NAV Direct"",""CRONUS JetCorp USA"",""32"",""1"",""114290"""</f>
        <v>"NAV Direct","CRONUS JetCorp USA","32","1","114290"</v>
      </c>
      <c r="H575" s="40">
        <v>43477</v>
      </c>
      <c r="I575" s="41">
        <v>114290</v>
      </c>
      <c r="J575" s="42" t="str">
        <f>"Customer"</f>
        <v>Customer</v>
      </c>
      <c r="K575" s="42" t="str">
        <f>"C100030"</f>
        <v>C100030</v>
      </c>
      <c r="L575" s="42" t="str">
        <f>IF($J575="Customer",_xll.NL("first",$J575,"Name","No.","@@"&amp;$K575),"")</f>
        <v>Stutringers</v>
      </c>
      <c r="M575" s="42" t="str">
        <f>""</f>
        <v/>
      </c>
      <c r="N575" s="42" t="str">
        <f>IF($J575="Item",_xll.NL("first",$J575,"Description","No.","@@"&amp;$K575),"")</f>
        <v/>
      </c>
      <c r="O575" s="43">
        <v>0</v>
      </c>
      <c r="P575" s="43">
        <v>-288</v>
      </c>
      <c r="Q575" s="43">
        <v>0</v>
      </c>
      <c r="R575" s="43">
        <v>0</v>
      </c>
      <c r="S575" s="43">
        <v>0</v>
      </c>
      <c r="T575" s="43">
        <v>0</v>
      </c>
      <c r="U575" s="56"/>
    </row>
    <row r="576" spans="1:21" ht="17.25" customHeight="1" x14ac:dyDescent="0.3">
      <c r="A576" s="15" t="s">
        <v>30</v>
      </c>
      <c r="C576" s="19"/>
      <c r="D576" s="33"/>
      <c r="E576" s="33"/>
      <c r="F576" s="34"/>
      <c r="G576" s="34"/>
      <c r="H576" s="34"/>
      <c r="I576" s="34"/>
      <c r="J576" s="34"/>
      <c r="K576" s="34"/>
      <c r="L576" s="34"/>
      <c r="M576" s="34"/>
      <c r="N576" s="34"/>
      <c r="O576" s="44"/>
      <c r="P576" s="44"/>
      <c r="Q576" s="44"/>
      <c r="R576" s="44"/>
      <c r="S576" s="44"/>
      <c r="T576" s="44"/>
      <c r="U576" s="57"/>
    </row>
    <row r="577" spans="1:21" ht="17.25" customHeight="1" x14ac:dyDescent="0.3">
      <c r="A577" s="15" t="s">
        <v>30</v>
      </c>
      <c r="C577" s="19"/>
      <c r="D577" s="33"/>
      <c r="E577" s="33" t="s">
        <v>31</v>
      </c>
      <c r="F577" s="34" t="s">
        <v>31</v>
      </c>
      <c r="G577" s="34" t="s">
        <v>31</v>
      </c>
      <c r="H577" s="34"/>
      <c r="I577" s="34"/>
      <c r="J577" s="34" t="s">
        <v>31</v>
      </c>
      <c r="K577" s="34" t="s">
        <v>31</v>
      </c>
      <c r="L577" s="34" t="s">
        <v>31</v>
      </c>
      <c r="M577" s="34" t="s">
        <v>31</v>
      </c>
      <c r="N577" s="34"/>
      <c r="U577" s="58"/>
    </row>
    <row r="578" spans="1:21" ht="20.25" customHeight="1" x14ac:dyDescent="0.35">
      <c r="A578" s="15" t="s">
        <v>30</v>
      </c>
      <c r="C578" s="19"/>
      <c r="D578" s="35" t="str">
        <f t="shared" ref="D578" si="125">E578</f>
        <v>C100038</v>
      </c>
      <c r="E578" s="36" t="str">
        <f>"C100038"</f>
        <v>C100038</v>
      </c>
      <c r="F578" s="37" t="str">
        <f>"Foldable Travel Speakers"</f>
        <v>Foldable Travel Speakers</v>
      </c>
      <c r="G578" s="37"/>
      <c r="H578" s="38" t="str">
        <f>"EA"</f>
        <v>EA</v>
      </c>
      <c r="I578" s="37"/>
      <c r="J578" s="37"/>
      <c r="K578" s="37"/>
      <c r="L578" s="37"/>
      <c r="M578" s="37"/>
      <c r="N578" s="37"/>
      <c r="O578" s="39">
        <f>(SUBTOTAL(9,O579:O590))</f>
        <v>1600</v>
      </c>
      <c r="P578" s="39">
        <f>(SUBTOTAL(9,P579:P590))</f>
        <v>-470</v>
      </c>
      <c r="Q578" s="39">
        <f>(SUBTOTAL(9,Q579:Q590))</f>
        <v>0</v>
      </c>
      <c r="R578" s="39">
        <f>(SUBTOTAL(9,R579:R590))</f>
        <v>0</v>
      </c>
      <c r="S578" s="39">
        <f>(SUBTOTAL(9,S579:S590))</f>
        <v>0</v>
      </c>
      <c r="T578" s="39">
        <f>(SUBTOTAL(9,T579:T590))</f>
        <v>0</v>
      </c>
      <c r="U578" s="55">
        <f t="shared" ref="U578" si="126">SUBTOTAL(9,O579:T590)</f>
        <v>1130</v>
      </c>
    </row>
    <row r="579" spans="1:21" ht="17.25" customHeight="1" x14ac:dyDescent="0.3">
      <c r="A579" s="15" t="s">
        <v>30</v>
      </c>
      <c r="C579" s="19"/>
      <c r="D579" s="33" t="str">
        <f t="shared" ref="D579" si="127">D578</f>
        <v>C100038</v>
      </c>
      <c r="E579" s="33"/>
      <c r="F579" s="34"/>
      <c r="G579" s="34" t="str">
        <f>"""NAV Direct"",""CRONUS JetCorp USA"",""32"",""1"",""168006"""</f>
        <v>"NAV Direct","CRONUS JetCorp USA","32","1","168006"</v>
      </c>
      <c r="H579" s="40">
        <v>43466</v>
      </c>
      <c r="I579" s="41">
        <v>168006</v>
      </c>
      <c r="J579" s="42" t="str">
        <f>"Vendor"</f>
        <v>Vendor</v>
      </c>
      <c r="K579" s="42" t="str">
        <f>"V100023"</f>
        <v>V100023</v>
      </c>
      <c r="L579" s="42" t="str">
        <f>IF($J579="Customer",_xll.NL("first",$J579,"Name","No.","@@"&amp;$K579),"")</f>
        <v/>
      </c>
      <c r="M579" s="42" t="str">
        <f>"PURE-LOOK"</f>
        <v>PURE-LOOK</v>
      </c>
      <c r="N579" s="42" t="str">
        <f>IF($J579="Item",_xll.NL("first",$J579,"Description","No.","@@"&amp;$K579),"")</f>
        <v/>
      </c>
      <c r="O579" s="43">
        <v>100</v>
      </c>
      <c r="P579" s="43">
        <v>0</v>
      </c>
      <c r="Q579" s="43">
        <v>0</v>
      </c>
      <c r="R579" s="43">
        <v>0</v>
      </c>
      <c r="S579" s="43">
        <v>0</v>
      </c>
      <c r="T579" s="43">
        <v>0</v>
      </c>
      <c r="U579" s="56"/>
    </row>
    <row r="580" spans="1:21" ht="17.25" customHeight="1" x14ac:dyDescent="0.3">
      <c r="A580" s="15" t="s">
        <v>30</v>
      </c>
      <c r="C580" s="19"/>
      <c r="D580" s="33" t="str">
        <f t="shared" ref="D580:D589" si="128">D579</f>
        <v>C100038</v>
      </c>
      <c r="E580" s="33"/>
      <c r="F580" s="34"/>
      <c r="G580" s="34" t="str">
        <f>"""NAV Direct"",""CRONUS JetCorp USA"",""32"",""1"",""168019"""</f>
        <v>"NAV Direct","CRONUS JetCorp USA","32","1","168019"</v>
      </c>
      <c r="H580" s="40">
        <v>43466</v>
      </c>
      <c r="I580" s="41">
        <v>168019</v>
      </c>
      <c r="J580" s="42" t="str">
        <f>"Vendor"</f>
        <v>Vendor</v>
      </c>
      <c r="K580" s="42" t="str">
        <f>"V100040"</f>
        <v>V100040</v>
      </c>
      <c r="L580" s="42" t="str">
        <f>IF($J580="Customer",_xll.NL("first",$J580,"Name","No.","@@"&amp;$K580),"")</f>
        <v/>
      </c>
      <c r="M580" s="42" t="str">
        <f>"Technische Betriebe Rotkreuz"</f>
        <v>Technische Betriebe Rotkreuz</v>
      </c>
      <c r="N580" s="42" t="str">
        <f>IF($J580="Item",_xll.NL("first",$J580,"Description","No.","@@"&amp;$K580),"")</f>
        <v/>
      </c>
      <c r="O580" s="43">
        <v>300</v>
      </c>
      <c r="P580" s="43">
        <v>0</v>
      </c>
      <c r="Q580" s="43">
        <v>0</v>
      </c>
      <c r="R580" s="43">
        <v>0</v>
      </c>
      <c r="S580" s="43">
        <v>0</v>
      </c>
      <c r="T580" s="43">
        <v>0</v>
      </c>
      <c r="U580" s="56"/>
    </row>
    <row r="581" spans="1:21" ht="17.25" customHeight="1" x14ac:dyDescent="0.3">
      <c r="A581" s="15" t="s">
        <v>30</v>
      </c>
      <c r="C581" s="19"/>
      <c r="D581" s="33" t="str">
        <f t="shared" si="128"/>
        <v>C100038</v>
      </c>
      <c r="E581" s="33"/>
      <c r="F581" s="34"/>
      <c r="G581" s="34" t="str">
        <f>"""NAV Direct"",""CRONUS JetCorp USA"",""32"",""1"",""168036"""</f>
        <v>"NAV Direct","CRONUS JetCorp USA","32","1","168036"</v>
      </c>
      <c r="H581" s="40">
        <v>43466</v>
      </c>
      <c r="I581" s="41">
        <v>168036</v>
      </c>
      <c r="J581" s="42" t="str">
        <f>"Vendor"</f>
        <v>Vendor</v>
      </c>
      <c r="K581" s="42" t="str">
        <f>"V100007"</f>
        <v>V100007</v>
      </c>
      <c r="L581" s="42" t="str">
        <f>IF($J581="Customer",_xll.NL("first",$J581,"Name","No.","@@"&amp;$K581),"")</f>
        <v/>
      </c>
      <c r="M581" s="42" t="str">
        <f>"TrendTech"</f>
        <v>TrendTech</v>
      </c>
      <c r="N581" s="42" t="str">
        <f>IF($J581="Item",_xll.NL("first",$J581,"Description","No.","@@"&amp;$K581),"")</f>
        <v/>
      </c>
      <c r="O581" s="43">
        <v>999.99999999999989</v>
      </c>
      <c r="P581" s="43">
        <v>0</v>
      </c>
      <c r="Q581" s="43">
        <v>0</v>
      </c>
      <c r="R581" s="43">
        <v>0</v>
      </c>
      <c r="S581" s="43">
        <v>0</v>
      </c>
      <c r="T581" s="43">
        <v>0</v>
      </c>
      <c r="U581" s="56"/>
    </row>
    <row r="582" spans="1:21" ht="17.25" customHeight="1" x14ac:dyDescent="0.3">
      <c r="A582" s="15" t="s">
        <v>30</v>
      </c>
      <c r="C582" s="19"/>
      <c r="D582" s="33" t="str">
        <f t="shared" si="128"/>
        <v>C100038</v>
      </c>
      <c r="E582" s="33"/>
      <c r="F582" s="34"/>
      <c r="G582" s="34" t="str">
        <f>"""NAV Direct"",""CRONUS JetCorp USA"",""32"",""1"",""168056"""</f>
        <v>"NAV Direct","CRONUS JetCorp USA","32","1","168056"</v>
      </c>
      <c r="H582" s="40">
        <v>43466</v>
      </c>
      <c r="I582" s="41">
        <v>168056</v>
      </c>
      <c r="J582" s="42" t="str">
        <f>"Vendor"</f>
        <v>Vendor</v>
      </c>
      <c r="K582" s="42" t="str">
        <f>"V100003"</f>
        <v>V100003</v>
      </c>
      <c r="L582" s="42" t="str">
        <f>IF($J582="Customer",_xll.NL("first",$J582,"Name","No.","@@"&amp;$K582),"")</f>
        <v/>
      </c>
      <c r="M582" s="42" t="str">
        <f>"LogoMasters"</f>
        <v>LogoMasters</v>
      </c>
      <c r="N582" s="42" t="str">
        <f>IF($J582="Item",_xll.NL("first",$J582,"Description","No.","@@"&amp;$K582),"")</f>
        <v/>
      </c>
      <c r="O582" s="43">
        <v>200</v>
      </c>
      <c r="P582" s="43">
        <v>0</v>
      </c>
      <c r="Q582" s="43">
        <v>0</v>
      </c>
      <c r="R582" s="43">
        <v>0</v>
      </c>
      <c r="S582" s="43">
        <v>0</v>
      </c>
      <c r="T582" s="43">
        <v>0</v>
      </c>
      <c r="U582" s="56"/>
    </row>
    <row r="583" spans="1:21" ht="17.25" customHeight="1" x14ac:dyDescent="0.3">
      <c r="A583" s="15" t="s">
        <v>30</v>
      </c>
      <c r="C583" s="19"/>
      <c r="D583" s="33" t="str">
        <f t="shared" si="128"/>
        <v>C100038</v>
      </c>
      <c r="E583" s="33"/>
      <c r="F583" s="34"/>
      <c r="G583" s="34" t="str">
        <f>"""NAV Direct"",""CRONUS JetCorp USA"",""32"",""1"",""120182"""</f>
        <v>"NAV Direct","CRONUS JetCorp USA","32","1","120182"</v>
      </c>
      <c r="H583" s="40">
        <v>43469</v>
      </c>
      <c r="I583" s="41">
        <v>120182</v>
      </c>
      <c r="J583" s="42" t="str">
        <f>"Customer"</f>
        <v>Customer</v>
      </c>
      <c r="K583" s="42" t="str">
        <f>"C100134"</f>
        <v>C100134</v>
      </c>
      <c r="L583" s="42" t="str">
        <f>IF($J583="Customer",_xll.NL("first",$J583,"Name","No.","@@"&amp;$K583),"")</f>
        <v>Iber Tech</v>
      </c>
      <c r="M583" s="42" t="str">
        <f>""</f>
        <v/>
      </c>
      <c r="N583" s="42" t="str">
        <f>IF($J583="Item",_xll.NL("first",$J583,"Description","No.","@@"&amp;$K583),"")</f>
        <v/>
      </c>
      <c r="O583" s="43">
        <v>0</v>
      </c>
      <c r="P583" s="43">
        <v>-144</v>
      </c>
      <c r="Q583" s="43">
        <v>0</v>
      </c>
      <c r="R583" s="43">
        <v>0</v>
      </c>
      <c r="S583" s="43">
        <v>0</v>
      </c>
      <c r="T583" s="43">
        <v>0</v>
      </c>
      <c r="U583" s="56"/>
    </row>
    <row r="584" spans="1:21" ht="17.25" customHeight="1" x14ac:dyDescent="0.3">
      <c r="A584" s="15" t="s">
        <v>30</v>
      </c>
      <c r="C584" s="19"/>
      <c r="D584" s="33" t="str">
        <f t="shared" si="128"/>
        <v>C100038</v>
      </c>
      <c r="E584" s="33"/>
      <c r="F584" s="34"/>
      <c r="G584" s="34" t="str">
        <f>"""NAV Direct"",""CRONUS JetCorp USA"",""32"",""1"",""111297"""</f>
        <v>"NAV Direct","CRONUS JetCorp USA","32","1","111297"</v>
      </c>
      <c r="H584" s="40">
        <v>43470</v>
      </c>
      <c r="I584" s="41">
        <v>111297</v>
      </c>
      <c r="J584" s="42" t="str">
        <f>"Customer"</f>
        <v>Customer</v>
      </c>
      <c r="K584" s="42" t="str">
        <f>"C100037"</f>
        <v>C100037</v>
      </c>
      <c r="L584" s="42" t="str">
        <f>IF($J584="Customer",_xll.NL("first",$J584,"Name","No.","@@"&amp;$K584),"")</f>
        <v>Tempsons Tropies</v>
      </c>
      <c r="M584" s="42" t="str">
        <f>""</f>
        <v/>
      </c>
      <c r="N584" s="42" t="str">
        <f>IF($J584="Item",_xll.NL("first",$J584,"Description","No.","@@"&amp;$K584),"")</f>
        <v/>
      </c>
      <c r="O584" s="43">
        <v>0</v>
      </c>
      <c r="P584" s="43">
        <v>-1</v>
      </c>
      <c r="Q584" s="43">
        <v>0</v>
      </c>
      <c r="R584" s="43">
        <v>0</v>
      </c>
      <c r="S584" s="43">
        <v>0</v>
      </c>
      <c r="T584" s="43">
        <v>0</v>
      </c>
      <c r="U584" s="56"/>
    </row>
    <row r="585" spans="1:21" ht="17.25" customHeight="1" x14ac:dyDescent="0.3">
      <c r="A585" s="15" t="s">
        <v>30</v>
      </c>
      <c r="C585" s="19"/>
      <c r="D585" s="33" t="str">
        <f t="shared" si="128"/>
        <v>C100038</v>
      </c>
      <c r="E585" s="33"/>
      <c r="F585" s="34"/>
      <c r="G585" s="34" t="str">
        <f>"""NAV Direct"",""CRONUS JetCorp USA"",""32"",""1"",""114272"""</f>
        <v>"NAV Direct","CRONUS JetCorp USA","32","1","114272"</v>
      </c>
      <c r="H585" s="40">
        <v>43470</v>
      </c>
      <c r="I585" s="41">
        <v>114272</v>
      </c>
      <c r="J585" s="42" t="str">
        <f>"Customer"</f>
        <v>Customer</v>
      </c>
      <c r="K585" s="42" t="str">
        <f>"C100076"</f>
        <v>C100076</v>
      </c>
      <c r="L585" s="42" t="str">
        <f>IF($J585="Customer",_xll.NL("first",$J585,"Name","No.","@@"&amp;$K585),"")</f>
        <v>Showmasters</v>
      </c>
      <c r="M585" s="42" t="str">
        <f>""</f>
        <v/>
      </c>
      <c r="N585" s="42" t="str">
        <f>IF($J585="Item",_xll.NL("first",$J585,"Description","No.","@@"&amp;$K585),"")</f>
        <v/>
      </c>
      <c r="O585" s="43">
        <v>0</v>
      </c>
      <c r="P585" s="43">
        <v>-12</v>
      </c>
      <c r="Q585" s="43">
        <v>0</v>
      </c>
      <c r="R585" s="43">
        <v>0</v>
      </c>
      <c r="S585" s="43">
        <v>0</v>
      </c>
      <c r="T585" s="43">
        <v>0</v>
      </c>
      <c r="U585" s="56"/>
    </row>
    <row r="586" spans="1:21" ht="17.25" customHeight="1" x14ac:dyDescent="0.3">
      <c r="A586" s="15" t="s">
        <v>30</v>
      </c>
      <c r="C586" s="19"/>
      <c r="D586" s="33" t="str">
        <f t="shared" si="128"/>
        <v>C100038</v>
      </c>
      <c r="E586" s="33"/>
      <c r="F586" s="34"/>
      <c r="G586" s="34" t="str">
        <f>"""NAV Direct"",""CRONUS JetCorp USA"",""32"",""1"",""111303"""</f>
        <v>"NAV Direct","CRONUS JetCorp USA","32","1","111303"</v>
      </c>
      <c r="H586" s="40">
        <v>43472</v>
      </c>
      <c r="I586" s="41">
        <v>111303</v>
      </c>
      <c r="J586" s="42" t="str">
        <f>"Customer"</f>
        <v>Customer</v>
      </c>
      <c r="K586" s="42" t="str">
        <f>"C100099"</f>
        <v>C100099</v>
      </c>
      <c r="L586" s="42" t="str">
        <f>IF($J586="Customer",_xll.NL("first",$J586,"Name","No.","@@"&amp;$K586),"")</f>
        <v>Voltive Systems</v>
      </c>
      <c r="M586" s="42" t="str">
        <f>""</f>
        <v/>
      </c>
      <c r="N586" s="42" t="str">
        <f>IF($J586="Item",_xll.NL("first",$J586,"Description","No.","@@"&amp;$K586),"")</f>
        <v/>
      </c>
      <c r="O586" s="43">
        <v>0</v>
      </c>
      <c r="P586" s="43">
        <v>-24</v>
      </c>
      <c r="Q586" s="43">
        <v>0</v>
      </c>
      <c r="R586" s="43">
        <v>0</v>
      </c>
      <c r="S586" s="43">
        <v>0</v>
      </c>
      <c r="T586" s="43">
        <v>0</v>
      </c>
      <c r="U586" s="56"/>
    </row>
    <row r="587" spans="1:21" ht="17.25" customHeight="1" x14ac:dyDescent="0.3">
      <c r="A587" s="15" t="s">
        <v>30</v>
      </c>
      <c r="C587" s="19"/>
      <c r="D587" s="33" t="str">
        <f t="shared" si="128"/>
        <v>C100038</v>
      </c>
      <c r="E587" s="33"/>
      <c r="F587" s="34"/>
      <c r="G587" s="34" t="str">
        <f>"""NAV Direct"",""CRONUS JetCorp USA"",""32"",""1"",""3904"""</f>
        <v>"NAV Direct","CRONUS JetCorp USA","32","1","3904"</v>
      </c>
      <c r="H587" s="40">
        <v>43473</v>
      </c>
      <c r="I587" s="41">
        <v>3904</v>
      </c>
      <c r="J587" s="42" t="str">
        <f>"Customer"</f>
        <v>Customer</v>
      </c>
      <c r="K587" s="42" t="str">
        <f>"C100037"</f>
        <v>C100037</v>
      </c>
      <c r="L587" s="42" t="str">
        <f>IF($J587="Customer",_xll.NL("first",$J587,"Name","No.","@@"&amp;$K587),"")</f>
        <v>Tempsons Tropies</v>
      </c>
      <c r="M587" s="42" t="str">
        <f>""</f>
        <v/>
      </c>
      <c r="N587" s="42" t="str">
        <f>IF($J587="Item",_xll.NL("first",$J587,"Description","No.","@@"&amp;$K587),"")</f>
        <v/>
      </c>
      <c r="O587" s="43">
        <v>0</v>
      </c>
      <c r="P587" s="43">
        <v>-1</v>
      </c>
      <c r="Q587" s="43">
        <v>0</v>
      </c>
      <c r="R587" s="43">
        <v>0</v>
      </c>
      <c r="S587" s="43">
        <v>0</v>
      </c>
      <c r="T587" s="43">
        <v>0</v>
      </c>
      <c r="U587" s="56"/>
    </row>
    <row r="588" spans="1:21" ht="17.25" customHeight="1" x14ac:dyDescent="0.3">
      <c r="A588" s="15" t="s">
        <v>30</v>
      </c>
      <c r="C588" s="19"/>
      <c r="D588" s="33" t="str">
        <f t="shared" si="128"/>
        <v>C100038</v>
      </c>
      <c r="E588" s="33"/>
      <c r="F588" s="34"/>
      <c r="G588" s="34" t="str">
        <f>"""NAV Direct"",""CRONUS JetCorp USA"",""32"",""1"",""114284"""</f>
        <v>"NAV Direct","CRONUS JetCorp USA","32","1","114284"</v>
      </c>
      <c r="H588" s="40">
        <v>43473</v>
      </c>
      <c r="I588" s="41">
        <v>114284</v>
      </c>
      <c r="J588" s="42" t="str">
        <f>"Customer"</f>
        <v>Customer</v>
      </c>
      <c r="K588" s="42" t="str">
        <f>"C100083"</f>
        <v>C100083</v>
      </c>
      <c r="L588" s="42" t="str">
        <f>IF($J588="Customer",_xll.NL("first",$J588,"Name","No.","@@"&amp;$K588),"")</f>
        <v>Stanfords</v>
      </c>
      <c r="M588" s="42" t="str">
        <f>""</f>
        <v/>
      </c>
      <c r="N588" s="42" t="str">
        <f>IF($J588="Item",_xll.NL("first",$J588,"Description","No.","@@"&amp;$K588),"")</f>
        <v/>
      </c>
      <c r="O588" s="43">
        <v>0</v>
      </c>
      <c r="P588" s="43">
        <v>-144</v>
      </c>
      <c r="Q588" s="43">
        <v>0</v>
      </c>
      <c r="R588" s="43">
        <v>0</v>
      </c>
      <c r="S588" s="43">
        <v>0</v>
      </c>
      <c r="T588" s="43">
        <v>0</v>
      </c>
      <c r="U588" s="56"/>
    </row>
    <row r="589" spans="1:21" ht="17.25" customHeight="1" x14ac:dyDescent="0.3">
      <c r="A589" s="15" t="s">
        <v>30</v>
      </c>
      <c r="C589" s="19"/>
      <c r="D589" s="33" t="str">
        <f t="shared" si="128"/>
        <v>C100038</v>
      </c>
      <c r="E589" s="33"/>
      <c r="F589" s="34"/>
      <c r="G589" s="34" t="str">
        <f>"""NAV Direct"",""CRONUS JetCorp USA"",""32"",""1"",""3922"""</f>
        <v>"NAV Direct","CRONUS JetCorp USA","32","1","3922"</v>
      </c>
      <c r="H589" s="40">
        <v>43475</v>
      </c>
      <c r="I589" s="41">
        <v>3922</v>
      </c>
      <c r="J589" s="42" t="str">
        <f>"Customer"</f>
        <v>Customer</v>
      </c>
      <c r="K589" s="42" t="str">
        <f>"C100099"</f>
        <v>C100099</v>
      </c>
      <c r="L589" s="42" t="str">
        <f>IF($J589="Customer",_xll.NL("first",$J589,"Name","No.","@@"&amp;$K589),"")</f>
        <v>Voltive Systems</v>
      </c>
      <c r="M589" s="42" t="str">
        <f>""</f>
        <v/>
      </c>
      <c r="N589" s="42" t="str">
        <f>IF($J589="Item",_xll.NL("first",$J589,"Description","No.","@@"&amp;$K589),"")</f>
        <v/>
      </c>
      <c r="O589" s="43">
        <v>0</v>
      </c>
      <c r="P589" s="43">
        <v>-144</v>
      </c>
      <c r="Q589" s="43">
        <v>0</v>
      </c>
      <c r="R589" s="43">
        <v>0</v>
      </c>
      <c r="S589" s="43">
        <v>0</v>
      </c>
      <c r="T589" s="43">
        <v>0</v>
      </c>
      <c r="U589" s="56"/>
    </row>
    <row r="590" spans="1:21" ht="17.25" customHeight="1" x14ac:dyDescent="0.3">
      <c r="A590" s="15" t="s">
        <v>30</v>
      </c>
      <c r="C590" s="19"/>
      <c r="D590" s="33"/>
      <c r="E590" s="33"/>
      <c r="F590" s="34"/>
      <c r="G590" s="34"/>
      <c r="H590" s="34"/>
      <c r="I590" s="34"/>
      <c r="J590" s="34"/>
      <c r="K590" s="34"/>
      <c r="L590" s="34"/>
      <c r="M590" s="34"/>
      <c r="N590" s="34"/>
      <c r="O590" s="44"/>
      <c r="P590" s="44"/>
      <c r="Q590" s="44"/>
      <c r="R590" s="44"/>
      <c r="S590" s="44"/>
      <c r="T590" s="44"/>
      <c r="U590" s="57"/>
    </row>
    <row r="591" spans="1:21" ht="17.25" customHeight="1" x14ac:dyDescent="0.3">
      <c r="A591" s="15" t="s">
        <v>30</v>
      </c>
      <c r="C591" s="19"/>
      <c r="D591" s="33"/>
      <c r="E591" s="33" t="s">
        <v>31</v>
      </c>
      <c r="F591" s="34" t="s">
        <v>31</v>
      </c>
      <c r="G591" s="34" t="s">
        <v>31</v>
      </c>
      <c r="H591" s="34"/>
      <c r="I591" s="34"/>
      <c r="J591" s="34" t="s">
        <v>31</v>
      </c>
      <c r="K591" s="34" t="s">
        <v>31</v>
      </c>
      <c r="L591" s="34" t="s">
        <v>31</v>
      </c>
      <c r="M591" s="34" t="s">
        <v>31</v>
      </c>
      <c r="N591" s="34"/>
      <c r="U591" s="58"/>
    </row>
    <row r="592" spans="1:21" ht="20.25" customHeight="1" x14ac:dyDescent="0.35">
      <c r="A592" s="15" t="s">
        <v>30</v>
      </c>
      <c r="C592" s="19"/>
      <c r="D592" s="35" t="str">
        <f t="shared" ref="D592" si="129">E592</f>
        <v>C100039</v>
      </c>
      <c r="E592" s="36" t="str">
        <f>"C100039"</f>
        <v>C100039</v>
      </c>
      <c r="F592" s="37" t="str">
        <f>"Portable Speaker &amp; MP3 Dock"</f>
        <v>Portable Speaker &amp; MP3 Dock</v>
      </c>
      <c r="G592" s="37"/>
      <c r="H592" s="38" t="str">
        <f>"EA"</f>
        <v>EA</v>
      </c>
      <c r="I592" s="37"/>
      <c r="J592" s="37"/>
      <c r="K592" s="37"/>
      <c r="L592" s="37"/>
      <c r="M592" s="37"/>
      <c r="N592" s="37"/>
      <c r="O592" s="39">
        <f>(SUBTOTAL(9,O593:O602))</f>
        <v>500</v>
      </c>
      <c r="P592" s="39">
        <f>(SUBTOTAL(9,P593:P602))</f>
        <v>-345</v>
      </c>
      <c r="Q592" s="39">
        <f>(SUBTOTAL(9,Q593:Q602))</f>
        <v>0</v>
      </c>
      <c r="R592" s="39">
        <f>(SUBTOTAL(9,R593:R602))</f>
        <v>0</v>
      </c>
      <c r="S592" s="39">
        <f>(SUBTOTAL(9,S593:S602))</f>
        <v>0</v>
      </c>
      <c r="T592" s="39">
        <f>(SUBTOTAL(9,T593:T602))</f>
        <v>0</v>
      </c>
      <c r="U592" s="55">
        <f t="shared" ref="U592" si="130">SUBTOTAL(9,O593:T602)</f>
        <v>155</v>
      </c>
    </row>
    <row r="593" spans="1:21" ht="17.25" customHeight="1" x14ac:dyDescent="0.3">
      <c r="A593" s="15" t="s">
        <v>30</v>
      </c>
      <c r="C593" s="19"/>
      <c r="D593" s="33" t="str">
        <f t="shared" ref="D593" si="131">D592</f>
        <v>C100039</v>
      </c>
      <c r="E593" s="33"/>
      <c r="F593" s="34"/>
      <c r="G593" s="34" t="str">
        <f>"""NAV Direct"",""CRONUS JetCorp USA"",""32"",""1"",""168018"""</f>
        <v>"NAV Direct","CRONUS JetCorp USA","32","1","168018"</v>
      </c>
      <c r="H593" s="40">
        <v>43466</v>
      </c>
      <c r="I593" s="41">
        <v>168018</v>
      </c>
      <c r="J593" s="42" t="str">
        <f>"Vendor"</f>
        <v>Vendor</v>
      </c>
      <c r="K593" s="42" t="str">
        <f>"V100040"</f>
        <v>V100040</v>
      </c>
      <c r="L593" s="42" t="str">
        <f>IF($J593="Customer",_xll.NL("first",$J593,"Name","No.","@@"&amp;$K593),"")</f>
        <v/>
      </c>
      <c r="M593" s="42" t="str">
        <f>"Technische Betriebe Rotkreuz"</f>
        <v>Technische Betriebe Rotkreuz</v>
      </c>
      <c r="N593" s="42" t="str">
        <f>IF($J593="Item",_xll.NL("first",$J593,"Description","No.","@@"&amp;$K593),"")</f>
        <v/>
      </c>
      <c r="O593" s="43">
        <v>200</v>
      </c>
      <c r="P593" s="43">
        <v>0</v>
      </c>
      <c r="Q593" s="43">
        <v>0</v>
      </c>
      <c r="R593" s="43">
        <v>0</v>
      </c>
      <c r="S593" s="43">
        <v>0</v>
      </c>
      <c r="T593" s="43">
        <v>0</v>
      </c>
      <c r="U593" s="56"/>
    </row>
    <row r="594" spans="1:21" ht="17.25" customHeight="1" x14ac:dyDescent="0.3">
      <c r="A594" s="15" t="s">
        <v>30</v>
      </c>
      <c r="C594" s="19"/>
      <c r="D594" s="33" t="str">
        <f t="shared" ref="D594:D601" si="132">D593</f>
        <v>C100039</v>
      </c>
      <c r="E594" s="33"/>
      <c r="F594" s="34"/>
      <c r="G594" s="34" t="str">
        <f>"""NAV Direct"",""CRONUS JetCorp USA"",""32"",""1"",""168035"""</f>
        <v>"NAV Direct","CRONUS JetCorp USA","32","1","168035"</v>
      </c>
      <c r="H594" s="40">
        <v>43466</v>
      </c>
      <c r="I594" s="41">
        <v>168035</v>
      </c>
      <c r="J594" s="42" t="str">
        <f>"Vendor"</f>
        <v>Vendor</v>
      </c>
      <c r="K594" s="42" t="str">
        <f>"V100007"</f>
        <v>V100007</v>
      </c>
      <c r="L594" s="42" t="str">
        <f>IF($J594="Customer",_xll.NL("first",$J594,"Name","No.","@@"&amp;$K594),"")</f>
        <v/>
      </c>
      <c r="M594" s="42" t="str">
        <f>"TrendTech"</f>
        <v>TrendTech</v>
      </c>
      <c r="N594" s="42" t="str">
        <f>IF($J594="Item",_xll.NL("first",$J594,"Description","No.","@@"&amp;$K594),"")</f>
        <v/>
      </c>
      <c r="O594" s="43">
        <v>300</v>
      </c>
      <c r="P594" s="43">
        <v>0</v>
      </c>
      <c r="Q594" s="43">
        <v>0</v>
      </c>
      <c r="R594" s="43">
        <v>0</v>
      </c>
      <c r="S594" s="43">
        <v>0</v>
      </c>
      <c r="T594" s="43">
        <v>0</v>
      </c>
      <c r="U594" s="56"/>
    </row>
    <row r="595" spans="1:21" ht="17.25" customHeight="1" x14ac:dyDescent="0.3">
      <c r="A595" s="15" t="s">
        <v>30</v>
      </c>
      <c r="C595" s="19"/>
      <c r="D595" s="33" t="str">
        <f t="shared" si="132"/>
        <v>C100039</v>
      </c>
      <c r="E595" s="33"/>
      <c r="F595" s="34"/>
      <c r="G595" s="34" t="str">
        <f>"""NAV Direct"",""CRONUS JetCorp USA"",""32"",""1"",""7560"""</f>
        <v>"NAV Direct","CRONUS JetCorp USA","32","1","7560"</v>
      </c>
      <c r="H595" s="40">
        <v>43469</v>
      </c>
      <c r="I595" s="41">
        <v>7560</v>
      </c>
      <c r="J595" s="42" t="str">
        <f>"Customer"</f>
        <v>Customer</v>
      </c>
      <c r="K595" s="42" t="str">
        <f>"C100030"</f>
        <v>C100030</v>
      </c>
      <c r="L595" s="42" t="str">
        <f>IF($J595="Customer",_xll.NL("first",$J595,"Name","No.","@@"&amp;$K595),"")</f>
        <v>Stutringers</v>
      </c>
      <c r="M595" s="42" t="str">
        <f>""</f>
        <v/>
      </c>
      <c r="N595" s="42" t="str">
        <f>IF($J595="Item",_xll.NL("first",$J595,"Description","No.","@@"&amp;$K595),"")</f>
        <v/>
      </c>
      <c r="O595" s="43">
        <v>0</v>
      </c>
      <c r="P595" s="43">
        <v>-6</v>
      </c>
      <c r="Q595" s="43">
        <v>0</v>
      </c>
      <c r="R595" s="43">
        <v>0</v>
      </c>
      <c r="S595" s="43">
        <v>0</v>
      </c>
      <c r="T595" s="43">
        <v>0</v>
      </c>
      <c r="U595" s="56"/>
    </row>
    <row r="596" spans="1:21" ht="17.25" customHeight="1" x14ac:dyDescent="0.3">
      <c r="A596" s="15" t="s">
        <v>30</v>
      </c>
      <c r="C596" s="19"/>
      <c r="D596" s="33" t="str">
        <f t="shared" si="132"/>
        <v>C100039</v>
      </c>
      <c r="E596" s="33"/>
      <c r="F596" s="34"/>
      <c r="G596" s="34" t="str">
        <f>"""NAV Direct"",""CRONUS JetCorp USA"",""32"",""1"",""111290"""</f>
        <v>"NAV Direct","CRONUS JetCorp USA","32","1","111290"</v>
      </c>
      <c r="H596" s="40">
        <v>43470</v>
      </c>
      <c r="I596" s="41">
        <v>111290</v>
      </c>
      <c r="J596" s="42" t="str">
        <f>"Customer"</f>
        <v>Customer</v>
      </c>
      <c r="K596" s="42" t="str">
        <f>"C100037"</f>
        <v>C100037</v>
      </c>
      <c r="L596" s="42" t="str">
        <f>IF($J596="Customer",_xll.NL("first",$J596,"Name","No.","@@"&amp;$K596),"")</f>
        <v>Tempsons Tropies</v>
      </c>
      <c r="M596" s="42" t="str">
        <f>""</f>
        <v/>
      </c>
      <c r="N596" s="42" t="str">
        <f>IF($J596="Item",_xll.NL("first",$J596,"Description","No.","@@"&amp;$K596),"")</f>
        <v/>
      </c>
      <c r="O596" s="43">
        <v>0</v>
      </c>
      <c r="P596" s="43">
        <v>-48</v>
      </c>
      <c r="Q596" s="43">
        <v>0</v>
      </c>
      <c r="R596" s="43">
        <v>0</v>
      </c>
      <c r="S596" s="43">
        <v>0</v>
      </c>
      <c r="T596" s="43">
        <v>0</v>
      </c>
      <c r="U596" s="56"/>
    </row>
    <row r="597" spans="1:21" ht="17.25" customHeight="1" x14ac:dyDescent="0.3">
      <c r="A597" s="15" t="s">
        <v>30</v>
      </c>
      <c r="C597" s="19"/>
      <c r="D597" s="33" t="str">
        <f t="shared" si="132"/>
        <v>C100039</v>
      </c>
      <c r="E597" s="33"/>
      <c r="F597" s="34"/>
      <c r="G597" s="34" t="str">
        <f>"""NAV Direct"",""CRONUS JetCorp USA"",""32"",""1"",""114273"""</f>
        <v>"NAV Direct","CRONUS JetCorp USA","32","1","114273"</v>
      </c>
      <c r="H597" s="40">
        <v>43470</v>
      </c>
      <c r="I597" s="41">
        <v>114273</v>
      </c>
      <c r="J597" s="42" t="str">
        <f>"Customer"</f>
        <v>Customer</v>
      </c>
      <c r="K597" s="42" t="str">
        <f>"C100076"</f>
        <v>C100076</v>
      </c>
      <c r="L597" s="42" t="str">
        <f>IF($J597="Customer",_xll.NL("first",$J597,"Name","No.","@@"&amp;$K597),"")</f>
        <v>Showmasters</v>
      </c>
      <c r="M597" s="42" t="str">
        <f>""</f>
        <v/>
      </c>
      <c r="N597" s="42" t="str">
        <f>IF($J597="Item",_xll.NL("first",$J597,"Description","No.","@@"&amp;$K597),"")</f>
        <v/>
      </c>
      <c r="O597" s="43">
        <v>0</v>
      </c>
      <c r="P597" s="43">
        <v>-1</v>
      </c>
      <c r="Q597" s="43">
        <v>0</v>
      </c>
      <c r="R597" s="43">
        <v>0</v>
      </c>
      <c r="S597" s="43">
        <v>0</v>
      </c>
      <c r="T597" s="43">
        <v>0</v>
      </c>
      <c r="U597" s="56"/>
    </row>
    <row r="598" spans="1:21" ht="17.25" customHeight="1" x14ac:dyDescent="0.3">
      <c r="A598" s="15" t="s">
        <v>30</v>
      </c>
      <c r="C598" s="19"/>
      <c r="D598" s="33" t="str">
        <f t="shared" si="132"/>
        <v>C100039</v>
      </c>
      <c r="E598" s="33"/>
      <c r="F598" s="34"/>
      <c r="G598" s="34" t="str">
        <f>"""NAV Direct"",""CRONUS JetCorp USA"",""32"",""1"",""10225"""</f>
        <v>"NAV Direct","CRONUS JetCorp USA","32","1","10225"</v>
      </c>
      <c r="H598" s="40">
        <v>43471</v>
      </c>
      <c r="I598" s="41">
        <v>10225</v>
      </c>
      <c r="J598" s="42" t="str">
        <f>"Customer"</f>
        <v>Customer</v>
      </c>
      <c r="K598" s="42" t="str">
        <f>"C100066"</f>
        <v>C100066</v>
      </c>
      <c r="L598" s="42" t="str">
        <f>IF($J598="Customer",_xll.NL("first",$J598,"Name","No.","@@"&amp;$K598),"")</f>
        <v>Office Solutions</v>
      </c>
      <c r="M598" s="42" t="str">
        <f>""</f>
        <v/>
      </c>
      <c r="N598" s="42" t="str">
        <f>IF($J598="Item",_xll.NL("first",$J598,"Description","No.","@@"&amp;$K598),"")</f>
        <v/>
      </c>
      <c r="O598" s="43">
        <v>0</v>
      </c>
      <c r="P598" s="43">
        <v>-1</v>
      </c>
      <c r="Q598" s="43">
        <v>0</v>
      </c>
      <c r="R598" s="43">
        <v>0</v>
      </c>
      <c r="S598" s="43">
        <v>0</v>
      </c>
      <c r="T598" s="43">
        <v>0</v>
      </c>
      <c r="U598" s="56"/>
    </row>
    <row r="599" spans="1:21" ht="17.25" customHeight="1" x14ac:dyDescent="0.3">
      <c r="A599" s="15" t="s">
        <v>30</v>
      </c>
      <c r="C599" s="19"/>
      <c r="D599" s="33" t="str">
        <f t="shared" si="132"/>
        <v>C100039</v>
      </c>
      <c r="E599" s="33"/>
      <c r="F599" s="34"/>
      <c r="G599" s="34" t="str">
        <f>"""NAV Direct"",""CRONUS JetCorp USA"",""32"",""1"",""118071"""</f>
        <v>"NAV Direct","CRONUS JetCorp USA","32","1","118071"</v>
      </c>
      <c r="H599" s="40">
        <v>43471</v>
      </c>
      <c r="I599" s="41">
        <v>118071</v>
      </c>
      <c r="J599" s="42" t="str">
        <f>"Customer"</f>
        <v>Customer</v>
      </c>
      <c r="K599" s="42" t="str">
        <f>"C100060"</f>
        <v>C100060</v>
      </c>
      <c r="L599" s="42" t="str">
        <f>IF($J599="Customer",_xll.NL("first",$J599,"Name","No.","@@"&amp;$K599),"")</f>
        <v>MEMA Ljubljana d.o.o.</v>
      </c>
      <c r="M599" s="42" t="str">
        <f>""</f>
        <v/>
      </c>
      <c r="N599" s="42" t="str">
        <f>IF($J599="Item",_xll.NL("first",$J599,"Description","No.","@@"&amp;$K599),"")</f>
        <v/>
      </c>
      <c r="O599" s="43">
        <v>0</v>
      </c>
      <c r="P599" s="43">
        <v>-144</v>
      </c>
      <c r="Q599" s="43">
        <v>0</v>
      </c>
      <c r="R599" s="43">
        <v>0</v>
      </c>
      <c r="S599" s="43">
        <v>0</v>
      </c>
      <c r="T599" s="43">
        <v>0</v>
      </c>
      <c r="U599" s="56"/>
    </row>
    <row r="600" spans="1:21" ht="17.25" customHeight="1" x14ac:dyDescent="0.3">
      <c r="A600" s="15" t="s">
        <v>30</v>
      </c>
      <c r="C600" s="19"/>
      <c r="D600" s="33" t="str">
        <f t="shared" si="132"/>
        <v>C100039</v>
      </c>
      <c r="E600" s="33"/>
      <c r="F600" s="34"/>
      <c r="G600" s="34" t="str">
        <f>"""NAV Direct"",""CRONUS JetCorp USA"",""32"",""1"",""7579"""</f>
        <v>"NAV Direct","CRONUS JetCorp USA","32","1","7579"</v>
      </c>
      <c r="H600" s="40">
        <v>43476</v>
      </c>
      <c r="I600" s="41">
        <v>7579</v>
      </c>
      <c r="J600" s="42" t="str">
        <f>"Customer"</f>
        <v>Customer</v>
      </c>
      <c r="K600" s="42" t="str">
        <f>"C100083"</f>
        <v>C100083</v>
      </c>
      <c r="L600" s="42" t="str">
        <f>IF($J600="Customer",_xll.NL("first",$J600,"Name","No.","@@"&amp;$K600),"")</f>
        <v>Stanfords</v>
      </c>
      <c r="M600" s="42" t="str">
        <f>""</f>
        <v/>
      </c>
      <c r="N600" s="42" t="str">
        <f>IF($J600="Item",_xll.NL("first",$J600,"Description","No.","@@"&amp;$K600),"")</f>
        <v/>
      </c>
      <c r="O600" s="43">
        <v>0</v>
      </c>
      <c r="P600" s="43">
        <v>-1</v>
      </c>
      <c r="Q600" s="43">
        <v>0</v>
      </c>
      <c r="R600" s="43">
        <v>0</v>
      </c>
      <c r="S600" s="43">
        <v>0</v>
      </c>
      <c r="T600" s="43">
        <v>0</v>
      </c>
      <c r="U600" s="56"/>
    </row>
    <row r="601" spans="1:21" ht="17.25" customHeight="1" x14ac:dyDescent="0.3">
      <c r="A601" s="15" t="s">
        <v>30</v>
      </c>
      <c r="C601" s="19"/>
      <c r="D601" s="33" t="str">
        <f t="shared" si="132"/>
        <v>C100039</v>
      </c>
      <c r="E601" s="33"/>
      <c r="F601" s="34"/>
      <c r="G601" s="34" t="str">
        <f>"""NAV Direct"",""CRONUS JetCorp USA"",""32"",""1"",""114292"""</f>
        <v>"NAV Direct","CRONUS JetCorp USA","32","1","114292"</v>
      </c>
      <c r="H601" s="40">
        <v>43477</v>
      </c>
      <c r="I601" s="41">
        <v>114292</v>
      </c>
      <c r="J601" s="42" t="str">
        <f>"Customer"</f>
        <v>Customer</v>
      </c>
      <c r="K601" s="42" t="str">
        <f>"C100030"</f>
        <v>C100030</v>
      </c>
      <c r="L601" s="42" t="str">
        <f>IF($J601="Customer",_xll.NL("first",$J601,"Name","No.","@@"&amp;$K601),"")</f>
        <v>Stutringers</v>
      </c>
      <c r="M601" s="42" t="str">
        <f>""</f>
        <v/>
      </c>
      <c r="N601" s="42" t="str">
        <f>IF($J601="Item",_xll.NL("first",$J601,"Description","No.","@@"&amp;$K601),"")</f>
        <v/>
      </c>
      <c r="O601" s="43">
        <v>0</v>
      </c>
      <c r="P601" s="43">
        <v>-144</v>
      </c>
      <c r="Q601" s="43">
        <v>0</v>
      </c>
      <c r="R601" s="43">
        <v>0</v>
      </c>
      <c r="S601" s="43">
        <v>0</v>
      </c>
      <c r="T601" s="43">
        <v>0</v>
      </c>
      <c r="U601" s="56"/>
    </row>
    <row r="602" spans="1:21" ht="17.25" customHeight="1" x14ac:dyDescent="0.3">
      <c r="A602" s="15" t="s">
        <v>30</v>
      </c>
      <c r="C602" s="19"/>
      <c r="D602" s="33"/>
      <c r="E602" s="33"/>
      <c r="F602" s="34"/>
      <c r="G602" s="34"/>
      <c r="H602" s="34"/>
      <c r="I602" s="34"/>
      <c r="J602" s="34"/>
      <c r="K602" s="34"/>
      <c r="L602" s="34"/>
      <c r="M602" s="34"/>
      <c r="N602" s="34"/>
      <c r="O602" s="44"/>
      <c r="P602" s="44"/>
      <c r="Q602" s="44"/>
      <c r="R602" s="44"/>
      <c r="S602" s="44"/>
      <c r="T602" s="44"/>
      <c r="U602" s="57"/>
    </row>
    <row r="603" spans="1:21" ht="17.25" customHeight="1" x14ac:dyDescent="0.3">
      <c r="A603" s="15" t="s">
        <v>30</v>
      </c>
      <c r="C603" s="19"/>
      <c r="D603" s="33"/>
      <c r="E603" s="33" t="s">
        <v>31</v>
      </c>
      <c r="F603" s="34" t="s">
        <v>31</v>
      </c>
      <c r="G603" s="34" t="s">
        <v>31</v>
      </c>
      <c r="H603" s="34"/>
      <c r="I603" s="34"/>
      <c r="J603" s="34" t="s">
        <v>31</v>
      </c>
      <c r="K603" s="34" t="s">
        <v>31</v>
      </c>
      <c r="L603" s="34" t="s">
        <v>31</v>
      </c>
      <c r="M603" s="34" t="s">
        <v>31</v>
      </c>
      <c r="N603" s="34"/>
      <c r="U603" s="58"/>
    </row>
    <row r="604" spans="1:21" ht="20.25" customHeight="1" x14ac:dyDescent="0.35">
      <c r="A604" s="15" t="s">
        <v>30</v>
      </c>
      <c r="C604" s="19"/>
      <c r="D604" s="35" t="str">
        <f t="shared" ref="D604" si="133">E604</f>
        <v>C100040</v>
      </c>
      <c r="E604" s="36" t="str">
        <f>"C100040"</f>
        <v>C100040</v>
      </c>
      <c r="F604" s="37" t="str">
        <f>"Channel Speaker System"</f>
        <v>Channel Speaker System</v>
      </c>
      <c r="G604" s="37"/>
      <c r="H604" s="38" t="str">
        <f>"EA"</f>
        <v>EA</v>
      </c>
      <c r="I604" s="37"/>
      <c r="J604" s="37"/>
      <c r="K604" s="37"/>
      <c r="L604" s="37"/>
      <c r="M604" s="37"/>
      <c r="N604" s="37"/>
      <c r="O604" s="39">
        <f>(SUBTOTAL(9,O605:O614))</f>
        <v>600</v>
      </c>
      <c r="P604" s="39">
        <f>(SUBTOTAL(9,P605:P614))</f>
        <v>-601</v>
      </c>
      <c r="Q604" s="39">
        <f>(SUBTOTAL(9,Q605:Q614))</f>
        <v>0</v>
      </c>
      <c r="R604" s="39">
        <f>(SUBTOTAL(9,R605:R614))</f>
        <v>0</v>
      </c>
      <c r="S604" s="39">
        <f>(SUBTOTAL(9,S605:S614))</f>
        <v>0</v>
      </c>
      <c r="T604" s="39">
        <f>(SUBTOTAL(9,T605:T614))</f>
        <v>0</v>
      </c>
      <c r="U604" s="55">
        <f t="shared" ref="U604" si="134">SUBTOTAL(9,O605:T614)</f>
        <v>-1</v>
      </c>
    </row>
    <row r="605" spans="1:21" ht="17.25" customHeight="1" x14ac:dyDescent="0.3">
      <c r="A605" s="15" t="s">
        <v>30</v>
      </c>
      <c r="C605" s="19"/>
      <c r="D605" s="33" t="str">
        <f t="shared" ref="D605" si="135">D604</f>
        <v>C100040</v>
      </c>
      <c r="E605" s="33"/>
      <c r="F605" s="34"/>
      <c r="G605" s="34" t="str">
        <f>"""NAV Direct"",""CRONUS JetCorp USA"",""32"",""1"",""168017"""</f>
        <v>"NAV Direct","CRONUS JetCorp USA","32","1","168017"</v>
      </c>
      <c r="H605" s="40">
        <v>43466</v>
      </c>
      <c r="I605" s="41">
        <v>168017</v>
      </c>
      <c r="J605" s="42" t="str">
        <f>"Vendor"</f>
        <v>Vendor</v>
      </c>
      <c r="K605" s="42" t="str">
        <f>"V100040"</f>
        <v>V100040</v>
      </c>
      <c r="L605" s="42" t="str">
        <f>IF($J605="Customer",_xll.NL("first",$J605,"Name","No.","@@"&amp;$K605),"")</f>
        <v/>
      </c>
      <c r="M605" s="42" t="str">
        <f>"Technische Betriebe Rotkreuz"</f>
        <v>Technische Betriebe Rotkreuz</v>
      </c>
      <c r="N605" s="42" t="str">
        <f>IF($J605="Item",_xll.NL("first",$J605,"Description","No.","@@"&amp;$K605),"")</f>
        <v/>
      </c>
      <c r="O605" s="43">
        <v>100</v>
      </c>
      <c r="P605" s="43">
        <v>0</v>
      </c>
      <c r="Q605" s="43">
        <v>0</v>
      </c>
      <c r="R605" s="43">
        <v>0</v>
      </c>
      <c r="S605" s="43">
        <v>0</v>
      </c>
      <c r="T605" s="43">
        <v>0</v>
      </c>
      <c r="U605" s="56"/>
    </row>
    <row r="606" spans="1:21" ht="17.25" customHeight="1" x14ac:dyDescent="0.3">
      <c r="A606" s="15" t="s">
        <v>30</v>
      </c>
      <c r="C606" s="19"/>
      <c r="D606" s="33" t="str">
        <f t="shared" ref="D606:D613" si="136">D605</f>
        <v>C100040</v>
      </c>
      <c r="E606" s="33"/>
      <c r="F606" s="34"/>
      <c r="G606" s="34" t="str">
        <f>"""NAV Direct"",""CRONUS JetCorp USA"",""32"",""1"",""168034"""</f>
        <v>"NAV Direct","CRONUS JetCorp USA","32","1","168034"</v>
      </c>
      <c r="H606" s="40">
        <v>43466</v>
      </c>
      <c r="I606" s="41">
        <v>168034</v>
      </c>
      <c r="J606" s="42" t="str">
        <f>"Vendor"</f>
        <v>Vendor</v>
      </c>
      <c r="K606" s="42" t="str">
        <f>"V100007"</f>
        <v>V100007</v>
      </c>
      <c r="L606" s="42" t="str">
        <f>IF($J606="Customer",_xll.NL("first",$J606,"Name","No.","@@"&amp;$K606),"")</f>
        <v/>
      </c>
      <c r="M606" s="42" t="str">
        <f>"TrendTech"</f>
        <v>TrendTech</v>
      </c>
      <c r="N606" s="42" t="str">
        <f>IF($J606="Item",_xll.NL("first",$J606,"Description","No.","@@"&amp;$K606),"")</f>
        <v/>
      </c>
      <c r="O606" s="43">
        <v>499.99999999999994</v>
      </c>
      <c r="P606" s="43">
        <v>0</v>
      </c>
      <c r="Q606" s="43">
        <v>0</v>
      </c>
      <c r="R606" s="43">
        <v>0</v>
      </c>
      <c r="S606" s="43">
        <v>0</v>
      </c>
      <c r="T606" s="43">
        <v>0</v>
      </c>
      <c r="U606" s="56"/>
    </row>
    <row r="607" spans="1:21" ht="17.25" customHeight="1" x14ac:dyDescent="0.3">
      <c r="A607" s="15" t="s">
        <v>30</v>
      </c>
      <c r="C607" s="19"/>
      <c r="D607" s="33" t="str">
        <f t="shared" si="136"/>
        <v>C100040</v>
      </c>
      <c r="E607" s="33"/>
      <c r="F607" s="34"/>
      <c r="G607" s="34" t="str">
        <f>"""NAV Direct"",""CRONUS JetCorp USA"",""32"",""1"",""3884"""</f>
        <v>"NAV Direct","CRONUS JetCorp USA","32","1","3884"</v>
      </c>
      <c r="H607" s="40">
        <v>43467</v>
      </c>
      <c r="I607" s="41">
        <v>3884</v>
      </c>
      <c r="J607" s="42" t="str">
        <f>"Customer"</f>
        <v>Customer</v>
      </c>
      <c r="K607" s="42" t="str">
        <f>"C100099"</f>
        <v>C100099</v>
      </c>
      <c r="L607" s="42" t="str">
        <f>IF($J607="Customer",_xll.NL("first",$J607,"Name","No.","@@"&amp;$K607),"")</f>
        <v>Voltive Systems</v>
      </c>
      <c r="M607" s="42" t="str">
        <f>""</f>
        <v/>
      </c>
      <c r="N607" s="42" t="str">
        <f>IF($J607="Item",_xll.NL("first",$J607,"Description","No.","@@"&amp;$K607),"")</f>
        <v/>
      </c>
      <c r="O607" s="43">
        <v>0</v>
      </c>
      <c r="P607" s="43">
        <v>-192</v>
      </c>
      <c r="Q607" s="43">
        <v>0</v>
      </c>
      <c r="R607" s="43">
        <v>0</v>
      </c>
      <c r="S607" s="43">
        <v>0</v>
      </c>
      <c r="T607" s="43">
        <v>0</v>
      </c>
      <c r="U607" s="56"/>
    </row>
    <row r="608" spans="1:21" ht="17.25" customHeight="1" x14ac:dyDescent="0.3">
      <c r="A608" s="15" t="s">
        <v>30</v>
      </c>
      <c r="C608" s="19"/>
      <c r="D608" s="33" t="str">
        <f t="shared" si="136"/>
        <v>C100040</v>
      </c>
      <c r="E608" s="33"/>
      <c r="F608" s="34"/>
      <c r="G608" s="34" t="str">
        <f>"""NAV Direct"",""CRONUS JetCorp USA"",""32"",""1"",""120181"""</f>
        <v>"NAV Direct","CRONUS JetCorp USA","32","1","120181"</v>
      </c>
      <c r="H608" s="40">
        <v>43469</v>
      </c>
      <c r="I608" s="41">
        <v>120181</v>
      </c>
      <c r="J608" s="42" t="str">
        <f>"Customer"</f>
        <v>Customer</v>
      </c>
      <c r="K608" s="42" t="str">
        <f>"C100134"</f>
        <v>C100134</v>
      </c>
      <c r="L608" s="42" t="str">
        <f>IF($J608="Customer",_xll.NL("first",$J608,"Name","No.","@@"&amp;$K608),"")</f>
        <v>Iber Tech</v>
      </c>
      <c r="M608" s="42" t="str">
        <f>""</f>
        <v/>
      </c>
      <c r="N608" s="42" t="str">
        <f>IF($J608="Item",_xll.NL("first",$J608,"Description","No.","@@"&amp;$K608),"")</f>
        <v/>
      </c>
      <c r="O608" s="43">
        <v>0</v>
      </c>
      <c r="P608" s="43">
        <v>-48</v>
      </c>
      <c r="Q608" s="43">
        <v>0</v>
      </c>
      <c r="R608" s="43">
        <v>0</v>
      </c>
      <c r="S608" s="43">
        <v>0</v>
      </c>
      <c r="T608" s="43">
        <v>0</v>
      </c>
      <c r="U608" s="56"/>
    </row>
    <row r="609" spans="1:21" ht="17.25" customHeight="1" x14ac:dyDescent="0.3">
      <c r="A609" s="15" t="s">
        <v>30</v>
      </c>
      <c r="C609" s="19"/>
      <c r="D609" s="33" t="str">
        <f t="shared" si="136"/>
        <v>C100040</v>
      </c>
      <c r="E609" s="33"/>
      <c r="F609" s="34"/>
      <c r="G609" s="34" t="str">
        <f>"""NAV Direct"",""CRONUS JetCorp USA"",""32"",""1"",""111287"""</f>
        <v>"NAV Direct","CRONUS JetCorp USA","32","1","111287"</v>
      </c>
      <c r="H609" s="40">
        <v>43470</v>
      </c>
      <c r="I609" s="41">
        <v>111287</v>
      </c>
      <c r="J609" s="42" t="str">
        <f>"Customer"</f>
        <v>Customer</v>
      </c>
      <c r="K609" s="42" t="str">
        <f>"C100037"</f>
        <v>C100037</v>
      </c>
      <c r="L609" s="42" t="str">
        <f>IF($J609="Customer",_xll.NL("first",$J609,"Name","No.","@@"&amp;$K609),"")</f>
        <v>Tempsons Tropies</v>
      </c>
      <c r="M609" s="42" t="str">
        <f>""</f>
        <v/>
      </c>
      <c r="N609" s="42" t="str">
        <f>IF($J609="Item",_xll.NL("first",$J609,"Description","No.","@@"&amp;$K609),"")</f>
        <v/>
      </c>
      <c r="O609" s="43">
        <v>0</v>
      </c>
      <c r="P609" s="43">
        <v>-144</v>
      </c>
      <c r="Q609" s="43">
        <v>0</v>
      </c>
      <c r="R609" s="43">
        <v>0</v>
      </c>
      <c r="S609" s="43">
        <v>0</v>
      </c>
      <c r="T609" s="43">
        <v>0</v>
      </c>
      <c r="U609" s="56"/>
    </row>
    <row r="610" spans="1:21" ht="17.25" customHeight="1" x14ac:dyDescent="0.3">
      <c r="A610" s="15" t="s">
        <v>30</v>
      </c>
      <c r="C610" s="19"/>
      <c r="D610" s="33" t="str">
        <f t="shared" si="136"/>
        <v>C100040</v>
      </c>
      <c r="E610" s="33"/>
      <c r="F610" s="34"/>
      <c r="G610" s="34" t="str">
        <f>"""NAV Direct"",""CRONUS JetCorp USA"",""32"",""1"",""114268"""</f>
        <v>"NAV Direct","CRONUS JetCorp USA","32","1","114268"</v>
      </c>
      <c r="H610" s="40">
        <v>43470</v>
      </c>
      <c r="I610" s="41">
        <v>114268</v>
      </c>
      <c r="J610" s="42" t="str">
        <f>"Customer"</f>
        <v>Customer</v>
      </c>
      <c r="K610" s="42" t="str">
        <f>"C100076"</f>
        <v>C100076</v>
      </c>
      <c r="L610" s="42" t="str">
        <f>IF($J610="Customer",_xll.NL("first",$J610,"Name","No.","@@"&amp;$K610),"")</f>
        <v>Showmasters</v>
      </c>
      <c r="M610" s="42" t="str">
        <f>""</f>
        <v/>
      </c>
      <c r="N610" s="42" t="str">
        <f>IF($J610="Item",_xll.NL("first",$J610,"Description","No.","@@"&amp;$K610),"")</f>
        <v/>
      </c>
      <c r="O610" s="43">
        <v>0</v>
      </c>
      <c r="P610" s="43">
        <v>-24</v>
      </c>
      <c r="Q610" s="43">
        <v>0</v>
      </c>
      <c r="R610" s="43">
        <v>0</v>
      </c>
      <c r="S610" s="43">
        <v>0</v>
      </c>
      <c r="T610" s="43">
        <v>0</v>
      </c>
      <c r="U610" s="56"/>
    </row>
    <row r="611" spans="1:21" ht="17.25" customHeight="1" x14ac:dyDescent="0.3">
      <c r="A611" s="15" t="s">
        <v>30</v>
      </c>
      <c r="C611" s="19"/>
      <c r="D611" s="33" t="str">
        <f t="shared" si="136"/>
        <v>C100040</v>
      </c>
      <c r="E611" s="33"/>
      <c r="F611" s="34"/>
      <c r="G611" s="34" t="str">
        <f>"""NAV Direct"",""CRONUS JetCorp USA"",""32"",""1"",""111310"""</f>
        <v>"NAV Direct","CRONUS JetCorp USA","32","1","111310"</v>
      </c>
      <c r="H611" s="40">
        <v>43472</v>
      </c>
      <c r="I611" s="41">
        <v>111310</v>
      </c>
      <c r="J611" s="42" t="str">
        <f>"Customer"</f>
        <v>Customer</v>
      </c>
      <c r="K611" s="42" t="str">
        <f>"C100099"</f>
        <v>C100099</v>
      </c>
      <c r="L611" s="42" t="str">
        <f>IF($J611="Customer",_xll.NL("first",$J611,"Name","No.","@@"&amp;$K611),"")</f>
        <v>Voltive Systems</v>
      </c>
      <c r="M611" s="42" t="str">
        <f>""</f>
        <v/>
      </c>
      <c r="N611" s="42" t="str">
        <f>IF($J611="Item",_xll.NL("first",$J611,"Description","No.","@@"&amp;$K611),"")</f>
        <v/>
      </c>
      <c r="O611" s="43">
        <v>0</v>
      </c>
      <c r="P611" s="43">
        <v>-144</v>
      </c>
      <c r="Q611" s="43">
        <v>0</v>
      </c>
      <c r="R611" s="43">
        <v>0</v>
      </c>
      <c r="S611" s="43">
        <v>0</v>
      </c>
      <c r="T611" s="43">
        <v>0</v>
      </c>
      <c r="U611" s="56"/>
    </row>
    <row r="612" spans="1:21" ht="17.25" customHeight="1" x14ac:dyDescent="0.3">
      <c r="A612" s="15" t="s">
        <v>30</v>
      </c>
      <c r="C612" s="19"/>
      <c r="D612" s="33" t="str">
        <f t="shared" si="136"/>
        <v>C100040</v>
      </c>
      <c r="E612" s="33"/>
      <c r="F612" s="34"/>
      <c r="G612" s="34" t="str">
        <f>"""NAV Direct"",""CRONUS JetCorp USA"",""32"",""1"",""116371"""</f>
        <v>"NAV Direct","CRONUS JetCorp USA","32","1","116371"</v>
      </c>
      <c r="H612" s="40">
        <v>43472</v>
      </c>
      <c r="I612" s="41">
        <v>116371</v>
      </c>
      <c r="J612" s="42" t="str">
        <f>"Customer"</f>
        <v>Customer</v>
      </c>
      <c r="K612" s="42" t="str">
        <f>"C100054"</f>
        <v>C100054</v>
      </c>
      <c r="L612" s="42" t="str">
        <f>IF($J612="Customer",_xll.NL("first",$J612,"Name","No.","@@"&amp;$K612),"")</f>
        <v>London Candoxy Storage Campus</v>
      </c>
      <c r="M612" s="42" t="str">
        <f>""</f>
        <v/>
      </c>
      <c r="N612" s="42" t="str">
        <f>IF($J612="Item",_xll.NL("first",$J612,"Description","No.","@@"&amp;$K612),"")</f>
        <v/>
      </c>
      <c r="O612" s="43">
        <v>0</v>
      </c>
      <c r="P612" s="43">
        <v>-48</v>
      </c>
      <c r="Q612" s="43">
        <v>0</v>
      </c>
      <c r="R612" s="43">
        <v>0</v>
      </c>
      <c r="S612" s="43">
        <v>0</v>
      </c>
      <c r="T612" s="43">
        <v>0</v>
      </c>
      <c r="U612" s="56"/>
    </row>
    <row r="613" spans="1:21" ht="17.25" customHeight="1" x14ac:dyDescent="0.3">
      <c r="A613" s="15" t="s">
        <v>30</v>
      </c>
      <c r="C613" s="19"/>
      <c r="D613" s="33" t="str">
        <f t="shared" si="136"/>
        <v>C100040</v>
      </c>
      <c r="E613" s="33"/>
      <c r="F613" s="34"/>
      <c r="G613" s="34" t="str">
        <f>"""NAV Direct"",""CRONUS JetCorp USA"",""32"",""1"",""7578"""</f>
        <v>"NAV Direct","CRONUS JetCorp USA","32","1","7578"</v>
      </c>
      <c r="H613" s="40">
        <v>43476</v>
      </c>
      <c r="I613" s="41">
        <v>7578</v>
      </c>
      <c r="J613" s="42" t="str">
        <f>"Customer"</f>
        <v>Customer</v>
      </c>
      <c r="K613" s="42" t="str">
        <f>"C100083"</f>
        <v>C100083</v>
      </c>
      <c r="L613" s="42" t="str">
        <f>IF($J613="Customer",_xll.NL("first",$J613,"Name","No.","@@"&amp;$K613),"")</f>
        <v>Stanfords</v>
      </c>
      <c r="M613" s="42" t="str">
        <f>""</f>
        <v/>
      </c>
      <c r="N613" s="42" t="str">
        <f>IF($J613="Item",_xll.NL("first",$J613,"Description","No.","@@"&amp;$K613),"")</f>
        <v/>
      </c>
      <c r="O613" s="43">
        <v>0</v>
      </c>
      <c r="P613" s="43">
        <v>-1</v>
      </c>
      <c r="Q613" s="43">
        <v>0</v>
      </c>
      <c r="R613" s="43">
        <v>0</v>
      </c>
      <c r="S613" s="43">
        <v>0</v>
      </c>
      <c r="T613" s="43">
        <v>0</v>
      </c>
      <c r="U613" s="56"/>
    </row>
    <row r="614" spans="1:21" ht="17.25" customHeight="1" x14ac:dyDescent="0.3">
      <c r="A614" s="15" t="s">
        <v>30</v>
      </c>
      <c r="C614" s="19"/>
      <c r="D614" s="33"/>
      <c r="E614" s="33"/>
      <c r="F614" s="34"/>
      <c r="G614" s="34"/>
      <c r="H614" s="34"/>
      <c r="I614" s="34"/>
      <c r="J614" s="34"/>
      <c r="K614" s="34"/>
      <c r="L614" s="34"/>
      <c r="M614" s="34"/>
      <c r="N614" s="34"/>
      <c r="O614" s="44"/>
      <c r="P614" s="44"/>
      <c r="Q614" s="44"/>
      <c r="R614" s="44"/>
      <c r="S614" s="44"/>
      <c r="T614" s="44"/>
      <c r="U614" s="57"/>
    </row>
    <row r="615" spans="1:21" ht="17.25" customHeight="1" x14ac:dyDescent="0.3">
      <c r="A615" s="15" t="s">
        <v>30</v>
      </c>
      <c r="C615" s="19"/>
      <c r="D615" s="33"/>
      <c r="E615" s="33" t="s">
        <v>31</v>
      </c>
      <c r="F615" s="34" t="s">
        <v>31</v>
      </c>
      <c r="G615" s="34" t="s">
        <v>31</v>
      </c>
      <c r="H615" s="34"/>
      <c r="I615" s="34"/>
      <c r="J615" s="34" t="s">
        <v>31</v>
      </c>
      <c r="K615" s="34" t="s">
        <v>31</v>
      </c>
      <c r="L615" s="34" t="s">
        <v>31</v>
      </c>
      <c r="M615" s="34" t="s">
        <v>31</v>
      </c>
      <c r="N615" s="34"/>
      <c r="U615" s="58"/>
    </row>
    <row r="616" spans="1:21" ht="20.25" customHeight="1" x14ac:dyDescent="0.35">
      <c r="A616" s="15" t="s">
        <v>30</v>
      </c>
      <c r="C616" s="19"/>
      <c r="D616" s="35" t="str">
        <f t="shared" ref="D616" si="137">E616</f>
        <v>C100041</v>
      </c>
      <c r="E616" s="36" t="str">
        <f>"C100041"</f>
        <v>C100041</v>
      </c>
      <c r="F616" s="37" t="str">
        <f>"Folding Stereo Speakers"</f>
        <v>Folding Stereo Speakers</v>
      </c>
      <c r="G616" s="37"/>
      <c r="H616" s="38" t="str">
        <f>"EA"</f>
        <v>EA</v>
      </c>
      <c r="I616" s="37"/>
      <c r="J616" s="37"/>
      <c r="K616" s="37"/>
      <c r="L616" s="37"/>
      <c r="M616" s="37"/>
      <c r="N616" s="37"/>
      <c r="O616" s="39">
        <f>(SUBTOTAL(9,O617:O628))</f>
        <v>1400</v>
      </c>
      <c r="P616" s="39">
        <f>(SUBTOTAL(9,P617:P628))</f>
        <v>-368</v>
      </c>
      <c r="Q616" s="39">
        <f>(SUBTOTAL(9,Q617:Q628))</f>
        <v>0</v>
      </c>
      <c r="R616" s="39">
        <f>(SUBTOTAL(9,R617:R628))</f>
        <v>0</v>
      </c>
      <c r="S616" s="39">
        <f>(SUBTOTAL(9,S617:S628))</f>
        <v>0</v>
      </c>
      <c r="T616" s="39">
        <f>(SUBTOTAL(9,T617:T628))</f>
        <v>0</v>
      </c>
      <c r="U616" s="55">
        <f t="shared" ref="U616" si="138">SUBTOTAL(9,O617:T628)</f>
        <v>1032</v>
      </c>
    </row>
    <row r="617" spans="1:21" ht="17.25" customHeight="1" x14ac:dyDescent="0.3">
      <c r="A617" s="15" t="s">
        <v>30</v>
      </c>
      <c r="C617" s="19"/>
      <c r="D617" s="33" t="str">
        <f t="shared" ref="D617" si="139">D616</f>
        <v>C100041</v>
      </c>
      <c r="E617" s="33"/>
      <c r="F617" s="34"/>
      <c r="G617" s="34" t="str">
        <f>"""NAV Direct"",""CRONUS JetCorp USA"",""32"",""1"",""168005"""</f>
        <v>"NAV Direct","CRONUS JetCorp USA","32","1","168005"</v>
      </c>
      <c r="H617" s="40">
        <v>43466</v>
      </c>
      <c r="I617" s="41">
        <v>168005</v>
      </c>
      <c r="J617" s="42" t="str">
        <f>"Vendor"</f>
        <v>Vendor</v>
      </c>
      <c r="K617" s="42" t="str">
        <f>"V100023"</f>
        <v>V100023</v>
      </c>
      <c r="L617" s="42" t="str">
        <f>IF($J617="Customer",_xll.NL("first",$J617,"Name","No.","@@"&amp;$K617),"")</f>
        <v/>
      </c>
      <c r="M617" s="42" t="str">
        <f>"PURE-LOOK"</f>
        <v>PURE-LOOK</v>
      </c>
      <c r="N617" s="42" t="str">
        <f>IF($J617="Item",_xll.NL("first",$J617,"Description","No.","@@"&amp;$K617),"")</f>
        <v/>
      </c>
      <c r="O617" s="43">
        <v>200</v>
      </c>
      <c r="P617" s="43">
        <v>0</v>
      </c>
      <c r="Q617" s="43">
        <v>0</v>
      </c>
      <c r="R617" s="43">
        <v>0</v>
      </c>
      <c r="S617" s="43">
        <v>0</v>
      </c>
      <c r="T617" s="43">
        <v>0</v>
      </c>
      <c r="U617" s="56"/>
    </row>
    <row r="618" spans="1:21" ht="17.25" customHeight="1" x14ac:dyDescent="0.3">
      <c r="A618" s="15" t="s">
        <v>30</v>
      </c>
      <c r="C618" s="19"/>
      <c r="D618" s="33" t="str">
        <f t="shared" ref="D618:D627" si="140">D617</f>
        <v>C100041</v>
      </c>
      <c r="E618" s="33"/>
      <c r="F618" s="34"/>
      <c r="G618" s="34" t="str">
        <f>"""NAV Direct"",""CRONUS JetCorp USA"",""32"",""1"",""168016"""</f>
        <v>"NAV Direct","CRONUS JetCorp USA","32","1","168016"</v>
      </c>
      <c r="H618" s="40">
        <v>43466</v>
      </c>
      <c r="I618" s="41">
        <v>168016</v>
      </c>
      <c r="J618" s="42" t="str">
        <f>"Vendor"</f>
        <v>Vendor</v>
      </c>
      <c r="K618" s="42" t="str">
        <f>"V100040"</f>
        <v>V100040</v>
      </c>
      <c r="L618" s="42" t="str">
        <f>IF($J618="Customer",_xll.NL("first",$J618,"Name","No.","@@"&amp;$K618),"")</f>
        <v/>
      </c>
      <c r="M618" s="42" t="str">
        <f>"Technische Betriebe Rotkreuz"</f>
        <v>Technische Betriebe Rotkreuz</v>
      </c>
      <c r="N618" s="42" t="str">
        <f>IF($J618="Item",_xll.NL("first",$J618,"Description","No.","@@"&amp;$K618),"")</f>
        <v/>
      </c>
      <c r="O618" s="43">
        <v>300</v>
      </c>
      <c r="P618" s="43">
        <v>0</v>
      </c>
      <c r="Q618" s="43">
        <v>0</v>
      </c>
      <c r="R618" s="43">
        <v>0</v>
      </c>
      <c r="S618" s="43">
        <v>0</v>
      </c>
      <c r="T618" s="43">
        <v>0</v>
      </c>
      <c r="U618" s="56"/>
    </row>
    <row r="619" spans="1:21" ht="17.25" customHeight="1" x14ac:dyDescent="0.3">
      <c r="A619" s="15" t="s">
        <v>30</v>
      </c>
      <c r="C619" s="19"/>
      <c r="D619" s="33" t="str">
        <f t="shared" si="140"/>
        <v>C100041</v>
      </c>
      <c r="E619" s="33"/>
      <c r="F619" s="34"/>
      <c r="G619" s="34" t="str">
        <f>"""NAV Direct"",""CRONUS JetCorp USA"",""32"",""1"",""168033"""</f>
        <v>"NAV Direct","CRONUS JetCorp USA","32","1","168033"</v>
      </c>
      <c r="H619" s="40">
        <v>43466</v>
      </c>
      <c r="I619" s="41">
        <v>168033</v>
      </c>
      <c r="J619" s="42" t="str">
        <f>"Vendor"</f>
        <v>Vendor</v>
      </c>
      <c r="K619" s="42" t="str">
        <f>"V100007"</f>
        <v>V100007</v>
      </c>
      <c r="L619" s="42" t="str">
        <f>IF($J619="Customer",_xll.NL("first",$J619,"Name","No.","@@"&amp;$K619),"")</f>
        <v/>
      </c>
      <c r="M619" s="42" t="str">
        <f>"TrendTech"</f>
        <v>TrendTech</v>
      </c>
      <c r="N619" s="42" t="str">
        <f>IF($J619="Item",_xll.NL("first",$J619,"Description","No.","@@"&amp;$K619),"")</f>
        <v/>
      </c>
      <c r="O619" s="43">
        <v>499.99999999999994</v>
      </c>
      <c r="P619" s="43">
        <v>0</v>
      </c>
      <c r="Q619" s="43">
        <v>0</v>
      </c>
      <c r="R619" s="43">
        <v>0</v>
      </c>
      <c r="S619" s="43">
        <v>0</v>
      </c>
      <c r="T619" s="43">
        <v>0</v>
      </c>
      <c r="U619" s="56"/>
    </row>
    <row r="620" spans="1:21" ht="17.25" customHeight="1" x14ac:dyDescent="0.3">
      <c r="A620" s="15" t="s">
        <v>30</v>
      </c>
      <c r="C620" s="19"/>
      <c r="D620" s="33" t="str">
        <f t="shared" si="140"/>
        <v>C100041</v>
      </c>
      <c r="E620" s="33"/>
      <c r="F620" s="34"/>
      <c r="G620" s="34" t="str">
        <f>"""NAV Direct"",""CRONUS JetCorp USA"",""32"",""1"",""168055"""</f>
        <v>"NAV Direct","CRONUS JetCorp USA","32","1","168055"</v>
      </c>
      <c r="H620" s="40">
        <v>43466</v>
      </c>
      <c r="I620" s="41">
        <v>168055</v>
      </c>
      <c r="J620" s="42" t="str">
        <f>"Vendor"</f>
        <v>Vendor</v>
      </c>
      <c r="K620" s="42" t="str">
        <f>"V100003"</f>
        <v>V100003</v>
      </c>
      <c r="L620" s="42" t="str">
        <f>IF($J620="Customer",_xll.NL("first",$J620,"Name","No.","@@"&amp;$K620),"")</f>
        <v/>
      </c>
      <c r="M620" s="42" t="str">
        <f>"LogoMasters"</f>
        <v>LogoMasters</v>
      </c>
      <c r="N620" s="42" t="str">
        <f>IF($J620="Item",_xll.NL("first",$J620,"Description","No.","@@"&amp;$K620),"")</f>
        <v/>
      </c>
      <c r="O620" s="43">
        <v>400</v>
      </c>
      <c r="P620" s="43">
        <v>0</v>
      </c>
      <c r="Q620" s="43">
        <v>0</v>
      </c>
      <c r="R620" s="43">
        <v>0</v>
      </c>
      <c r="S620" s="43">
        <v>0</v>
      </c>
      <c r="T620" s="43">
        <v>0</v>
      </c>
      <c r="U620" s="56"/>
    </row>
    <row r="621" spans="1:21" ht="17.25" customHeight="1" x14ac:dyDescent="0.3">
      <c r="A621" s="15" t="s">
        <v>30</v>
      </c>
      <c r="C621" s="19"/>
      <c r="D621" s="33" t="str">
        <f t="shared" si="140"/>
        <v>C100041</v>
      </c>
      <c r="E621" s="33"/>
      <c r="F621" s="34"/>
      <c r="G621" s="34" t="str">
        <f>"""NAV Direct"",""CRONUS JetCorp USA"",""32"",""1"",""15148"""</f>
        <v>"NAV Direct","CRONUS JetCorp USA","32","1","15148"</v>
      </c>
      <c r="H621" s="40">
        <v>43471</v>
      </c>
      <c r="I621" s="41">
        <v>15148</v>
      </c>
      <c r="J621" s="42" t="str">
        <f>"Customer"</f>
        <v>Customer</v>
      </c>
      <c r="K621" s="42" t="str">
        <f>"C100134"</f>
        <v>C100134</v>
      </c>
      <c r="L621" s="42" t="str">
        <f>IF($J621="Customer",_xll.NL("first",$J621,"Name","No.","@@"&amp;$K621),"")</f>
        <v>Iber Tech</v>
      </c>
      <c r="M621" s="42" t="str">
        <f>""</f>
        <v/>
      </c>
      <c r="N621" s="42" t="str">
        <f>IF($J621="Item",_xll.NL("first",$J621,"Description","No.","@@"&amp;$K621),"")</f>
        <v/>
      </c>
      <c r="O621" s="43">
        <v>0</v>
      </c>
      <c r="P621" s="43">
        <v>-48</v>
      </c>
      <c r="Q621" s="43">
        <v>0</v>
      </c>
      <c r="R621" s="43">
        <v>0</v>
      </c>
      <c r="S621" s="43">
        <v>0</v>
      </c>
      <c r="T621" s="43">
        <v>0</v>
      </c>
      <c r="U621" s="56"/>
    </row>
    <row r="622" spans="1:21" ht="17.25" customHeight="1" x14ac:dyDescent="0.3">
      <c r="A622" s="15" t="s">
        <v>30</v>
      </c>
      <c r="C622" s="19"/>
      <c r="D622" s="33" t="str">
        <f t="shared" si="140"/>
        <v>C100041</v>
      </c>
      <c r="E622" s="33"/>
      <c r="F622" s="34"/>
      <c r="G622" s="34" t="str">
        <f>"""NAV Direct"",""CRONUS JetCorp USA"",""32"",""1"",""118077"""</f>
        <v>"NAV Direct","CRONUS JetCorp USA","32","1","118077"</v>
      </c>
      <c r="H622" s="40">
        <v>43471</v>
      </c>
      <c r="I622" s="41">
        <v>118077</v>
      </c>
      <c r="J622" s="42" t="str">
        <f>"Customer"</f>
        <v>Customer</v>
      </c>
      <c r="K622" s="42" t="str">
        <f>"C100060"</f>
        <v>C100060</v>
      </c>
      <c r="L622" s="42" t="str">
        <f>IF($J622="Customer",_xll.NL("first",$J622,"Name","No.","@@"&amp;$K622),"")</f>
        <v>MEMA Ljubljana d.o.o.</v>
      </c>
      <c r="M622" s="42" t="str">
        <f>""</f>
        <v/>
      </c>
      <c r="N622" s="42" t="str">
        <f>IF($J622="Item",_xll.NL("first",$J622,"Description","No.","@@"&amp;$K622),"")</f>
        <v/>
      </c>
      <c r="O622" s="43">
        <v>0</v>
      </c>
      <c r="P622" s="43">
        <v>-1</v>
      </c>
      <c r="Q622" s="43">
        <v>0</v>
      </c>
      <c r="R622" s="43">
        <v>0</v>
      </c>
      <c r="S622" s="43">
        <v>0</v>
      </c>
      <c r="T622" s="43">
        <v>0</v>
      </c>
      <c r="U622" s="56"/>
    </row>
    <row r="623" spans="1:21" ht="17.25" customHeight="1" x14ac:dyDescent="0.3">
      <c r="A623" s="15" t="s">
        <v>30</v>
      </c>
      <c r="C623" s="19"/>
      <c r="D623" s="33" t="str">
        <f t="shared" si="140"/>
        <v>C100041</v>
      </c>
      <c r="E623" s="33"/>
      <c r="F623" s="34"/>
      <c r="G623" s="34" t="str">
        <f>"""NAV Direct"",""CRONUS JetCorp USA"",""32"",""1"",""3911"""</f>
        <v>"NAV Direct","CRONUS JetCorp USA","32","1","3911"</v>
      </c>
      <c r="H623" s="40">
        <v>43472</v>
      </c>
      <c r="I623" s="41">
        <v>3911</v>
      </c>
      <c r="J623" s="42" t="str">
        <f>"Customer"</f>
        <v>Customer</v>
      </c>
      <c r="K623" s="42" t="str">
        <f>"C100099"</f>
        <v>C100099</v>
      </c>
      <c r="L623" s="42" t="str">
        <f>IF($J623="Customer",_xll.NL("first",$J623,"Name","No.","@@"&amp;$K623),"")</f>
        <v>Voltive Systems</v>
      </c>
      <c r="M623" s="42" t="str">
        <f>""</f>
        <v/>
      </c>
      <c r="N623" s="42" t="str">
        <f>IF($J623="Item",_xll.NL("first",$J623,"Description","No.","@@"&amp;$K623),"")</f>
        <v/>
      </c>
      <c r="O623" s="43">
        <v>0</v>
      </c>
      <c r="P623" s="43">
        <v>-24</v>
      </c>
      <c r="Q623" s="43">
        <v>0</v>
      </c>
      <c r="R623" s="43">
        <v>0</v>
      </c>
      <c r="S623" s="43">
        <v>0</v>
      </c>
      <c r="T623" s="43">
        <v>0</v>
      </c>
      <c r="U623" s="56"/>
    </row>
    <row r="624" spans="1:21" ht="17.25" customHeight="1" x14ac:dyDescent="0.3">
      <c r="A624" s="15" t="s">
        <v>30</v>
      </c>
      <c r="C624" s="19"/>
      <c r="D624" s="33" t="str">
        <f t="shared" si="140"/>
        <v>C100041</v>
      </c>
      <c r="E624" s="33"/>
      <c r="F624" s="34"/>
      <c r="G624" s="34" t="str">
        <f>"""NAV Direct"",""CRONUS JetCorp USA"",""32"",""1"",""111285"""</f>
        <v>"NAV Direct","CRONUS JetCorp USA","32","1","111285"</v>
      </c>
      <c r="H624" s="40">
        <v>43472</v>
      </c>
      <c r="I624" s="41">
        <v>111285</v>
      </c>
      <c r="J624" s="42" t="str">
        <f>"Customer"</f>
        <v>Customer</v>
      </c>
      <c r="K624" s="42" t="str">
        <f>"C100099"</f>
        <v>C100099</v>
      </c>
      <c r="L624" s="42" t="str">
        <f>IF($J624="Customer",_xll.NL("first",$J624,"Name","No.","@@"&amp;$K624),"")</f>
        <v>Voltive Systems</v>
      </c>
      <c r="M624" s="42" t="str">
        <f>""</f>
        <v/>
      </c>
      <c r="N624" s="42" t="str">
        <f>IF($J624="Item",_xll.NL("first",$J624,"Description","No.","@@"&amp;$K624),"")</f>
        <v/>
      </c>
      <c r="O624" s="43">
        <v>0</v>
      </c>
      <c r="P624" s="43">
        <v>-1</v>
      </c>
      <c r="Q624" s="43">
        <v>0</v>
      </c>
      <c r="R624" s="43">
        <v>0</v>
      </c>
      <c r="S624" s="43">
        <v>0</v>
      </c>
      <c r="T624" s="43">
        <v>0</v>
      </c>
      <c r="U624" s="56"/>
    </row>
    <row r="625" spans="1:21" ht="17.25" customHeight="1" x14ac:dyDescent="0.3">
      <c r="A625" s="15" t="s">
        <v>30</v>
      </c>
      <c r="C625" s="19"/>
      <c r="D625" s="33" t="str">
        <f t="shared" si="140"/>
        <v>C100041</v>
      </c>
      <c r="E625" s="33"/>
      <c r="F625" s="34"/>
      <c r="G625" s="34" t="str">
        <f>"""NAV Direct"",""CRONUS JetCorp USA"",""32"",""1"",""111315"""</f>
        <v>"NAV Direct","CRONUS JetCorp USA","32","1","111315"</v>
      </c>
      <c r="H625" s="40">
        <v>43472</v>
      </c>
      <c r="I625" s="41">
        <v>111315</v>
      </c>
      <c r="J625" s="42" t="str">
        <f>"Customer"</f>
        <v>Customer</v>
      </c>
      <c r="K625" s="42" t="str">
        <f>"C100099"</f>
        <v>C100099</v>
      </c>
      <c r="L625" s="42" t="str">
        <f>IF($J625="Customer",_xll.NL("first",$J625,"Name","No.","@@"&amp;$K625),"")</f>
        <v>Voltive Systems</v>
      </c>
      <c r="M625" s="42" t="str">
        <f>""</f>
        <v/>
      </c>
      <c r="N625" s="42" t="str">
        <f>IF($J625="Item",_xll.NL("first",$J625,"Description","No.","@@"&amp;$K625),"")</f>
        <v/>
      </c>
      <c r="O625" s="43">
        <v>0</v>
      </c>
      <c r="P625" s="43">
        <v>-6</v>
      </c>
      <c r="Q625" s="43">
        <v>0</v>
      </c>
      <c r="R625" s="43">
        <v>0</v>
      </c>
      <c r="S625" s="43">
        <v>0</v>
      </c>
      <c r="T625" s="43">
        <v>0</v>
      </c>
      <c r="U625" s="56"/>
    </row>
    <row r="626" spans="1:21" ht="17.25" customHeight="1" x14ac:dyDescent="0.3">
      <c r="A626" s="15" t="s">
        <v>30</v>
      </c>
      <c r="C626" s="19"/>
      <c r="D626" s="33" t="str">
        <f t="shared" si="140"/>
        <v>C100041</v>
      </c>
      <c r="E626" s="33"/>
      <c r="F626" s="34"/>
      <c r="G626" s="34" t="str">
        <f>"""NAV Direct"",""CRONUS JetCorp USA"",""32"",""1"",""3920"""</f>
        <v>"NAV Direct","CRONUS JetCorp USA","32","1","3920"</v>
      </c>
      <c r="H626" s="40">
        <v>43475</v>
      </c>
      <c r="I626" s="41">
        <v>3920</v>
      </c>
      <c r="J626" s="42" t="str">
        <f>"Customer"</f>
        <v>Customer</v>
      </c>
      <c r="K626" s="42" t="str">
        <f>"C100099"</f>
        <v>C100099</v>
      </c>
      <c r="L626" s="42" t="str">
        <f>IF($J626="Customer",_xll.NL("first",$J626,"Name","No.","@@"&amp;$K626),"")</f>
        <v>Voltive Systems</v>
      </c>
      <c r="M626" s="42" t="str">
        <f>""</f>
        <v/>
      </c>
      <c r="N626" s="42" t="str">
        <f>IF($J626="Item",_xll.NL("first",$J626,"Description","No.","@@"&amp;$K626),"")</f>
        <v/>
      </c>
      <c r="O626" s="43">
        <v>0</v>
      </c>
      <c r="P626" s="43">
        <v>-144</v>
      </c>
      <c r="Q626" s="43">
        <v>0</v>
      </c>
      <c r="R626" s="43">
        <v>0</v>
      </c>
      <c r="S626" s="43">
        <v>0</v>
      </c>
      <c r="T626" s="43">
        <v>0</v>
      </c>
      <c r="U626" s="56"/>
    </row>
    <row r="627" spans="1:21" ht="17.25" customHeight="1" x14ac:dyDescent="0.3">
      <c r="A627" s="15" t="s">
        <v>30</v>
      </c>
      <c r="C627" s="19"/>
      <c r="D627" s="33" t="str">
        <f t="shared" si="140"/>
        <v>C100041</v>
      </c>
      <c r="E627" s="33"/>
      <c r="F627" s="34"/>
      <c r="G627" s="34" t="str">
        <f>"""NAV Direct"",""CRONUS JetCorp USA"",""32"",""1"",""7565"""</f>
        <v>"NAV Direct","CRONUS JetCorp USA","32","1","7565"</v>
      </c>
      <c r="H627" s="40">
        <v>43477</v>
      </c>
      <c r="I627" s="41">
        <v>7565</v>
      </c>
      <c r="J627" s="42" t="str">
        <f>"Customer"</f>
        <v>Customer</v>
      </c>
      <c r="K627" s="42" t="str">
        <f>"C100076"</f>
        <v>C100076</v>
      </c>
      <c r="L627" s="42" t="str">
        <f>IF($J627="Customer",_xll.NL("first",$J627,"Name","No.","@@"&amp;$K627),"")</f>
        <v>Showmasters</v>
      </c>
      <c r="M627" s="42" t="str">
        <f>""</f>
        <v/>
      </c>
      <c r="N627" s="42" t="str">
        <f>IF($J627="Item",_xll.NL("first",$J627,"Description","No.","@@"&amp;$K627),"")</f>
        <v/>
      </c>
      <c r="O627" s="43">
        <v>0</v>
      </c>
      <c r="P627" s="43">
        <v>-144</v>
      </c>
      <c r="Q627" s="43">
        <v>0</v>
      </c>
      <c r="R627" s="43">
        <v>0</v>
      </c>
      <c r="S627" s="43">
        <v>0</v>
      </c>
      <c r="T627" s="43">
        <v>0</v>
      </c>
      <c r="U627" s="56"/>
    </row>
    <row r="628" spans="1:21" ht="17.25" customHeight="1" x14ac:dyDescent="0.3">
      <c r="A628" s="15" t="s">
        <v>30</v>
      </c>
      <c r="C628" s="19"/>
      <c r="D628" s="33"/>
      <c r="E628" s="33"/>
      <c r="F628" s="34"/>
      <c r="G628" s="34"/>
      <c r="H628" s="34"/>
      <c r="I628" s="34"/>
      <c r="J628" s="34"/>
      <c r="K628" s="34"/>
      <c r="L628" s="34"/>
      <c r="M628" s="34"/>
      <c r="N628" s="34"/>
      <c r="O628" s="44"/>
      <c r="P628" s="44"/>
      <c r="Q628" s="44"/>
      <c r="R628" s="44"/>
      <c r="S628" s="44"/>
      <c r="T628" s="44"/>
      <c r="U628" s="57"/>
    </row>
    <row r="629" spans="1:21" ht="17.25" customHeight="1" x14ac:dyDescent="0.3">
      <c r="A629" s="15" t="s">
        <v>30</v>
      </c>
      <c r="C629" s="19"/>
      <c r="D629" s="33"/>
      <c r="E629" s="33" t="s">
        <v>31</v>
      </c>
      <c r="F629" s="34" t="s">
        <v>31</v>
      </c>
      <c r="G629" s="34" t="s">
        <v>31</v>
      </c>
      <c r="H629" s="34"/>
      <c r="I629" s="34"/>
      <c r="J629" s="34" t="s">
        <v>31</v>
      </c>
      <c r="K629" s="34" t="s">
        <v>31</v>
      </c>
      <c r="L629" s="34" t="s">
        <v>31</v>
      </c>
      <c r="M629" s="34" t="s">
        <v>31</v>
      </c>
      <c r="N629" s="34"/>
      <c r="U629" s="58"/>
    </row>
    <row r="630" spans="1:21" ht="20.25" customHeight="1" x14ac:dyDescent="0.35">
      <c r="A630" s="15" t="s">
        <v>30</v>
      </c>
      <c r="C630" s="19"/>
      <c r="D630" s="35" t="str">
        <f t="shared" ref="D630" si="141">E630</f>
        <v>C100042</v>
      </c>
      <c r="E630" s="36" t="str">
        <f>"C100042"</f>
        <v>C100042</v>
      </c>
      <c r="F630" s="37" t="str">
        <f>"Retractable Earbuds"</f>
        <v>Retractable Earbuds</v>
      </c>
      <c r="G630" s="37"/>
      <c r="H630" s="38" t="str">
        <f>"EA"</f>
        <v>EA</v>
      </c>
      <c r="I630" s="37"/>
      <c r="J630" s="37"/>
      <c r="K630" s="37"/>
      <c r="L630" s="37"/>
      <c r="M630" s="37"/>
      <c r="N630" s="37"/>
      <c r="O630" s="39">
        <f>(SUBTOTAL(9,O631:O640))</f>
        <v>1500</v>
      </c>
      <c r="P630" s="39">
        <f>(SUBTOTAL(9,P631:P640))</f>
        <v>-433</v>
      </c>
      <c r="Q630" s="39">
        <f>(SUBTOTAL(9,Q631:Q640))</f>
        <v>0</v>
      </c>
      <c r="R630" s="39">
        <f>(SUBTOTAL(9,R631:R640))</f>
        <v>0</v>
      </c>
      <c r="S630" s="39">
        <f>(SUBTOTAL(9,S631:S640))</f>
        <v>0</v>
      </c>
      <c r="T630" s="39">
        <f>(SUBTOTAL(9,T631:T640))</f>
        <v>0</v>
      </c>
      <c r="U630" s="55">
        <f t="shared" ref="U630" si="142">SUBTOTAL(9,O631:T640)</f>
        <v>1067</v>
      </c>
    </row>
    <row r="631" spans="1:21" ht="17.25" customHeight="1" x14ac:dyDescent="0.3">
      <c r="A631" s="15" t="s">
        <v>30</v>
      </c>
      <c r="C631" s="19"/>
      <c r="D631" s="33" t="str">
        <f t="shared" ref="D631" si="143">D630</f>
        <v>C100042</v>
      </c>
      <c r="E631" s="33"/>
      <c r="F631" s="34"/>
      <c r="G631" s="34" t="str">
        <f>"""NAV Direct"",""CRONUS JetCorp USA"",""32"",""1"",""168004"""</f>
        <v>"NAV Direct","CRONUS JetCorp USA","32","1","168004"</v>
      </c>
      <c r="H631" s="40">
        <v>43466</v>
      </c>
      <c r="I631" s="41">
        <v>168004</v>
      </c>
      <c r="J631" s="42" t="str">
        <f>"Vendor"</f>
        <v>Vendor</v>
      </c>
      <c r="K631" s="42" t="str">
        <f>"V100023"</f>
        <v>V100023</v>
      </c>
      <c r="L631" s="42" t="str">
        <f>IF($J631="Customer",_xll.NL("first",$J631,"Name","No.","@@"&amp;$K631),"")</f>
        <v/>
      </c>
      <c r="M631" s="42" t="str">
        <f>"PURE-LOOK"</f>
        <v>PURE-LOOK</v>
      </c>
      <c r="N631" s="42" t="str">
        <f>IF($J631="Item",_xll.NL("first",$J631,"Description","No.","@@"&amp;$K631),"")</f>
        <v/>
      </c>
      <c r="O631" s="43">
        <v>200</v>
      </c>
      <c r="P631" s="43">
        <v>0</v>
      </c>
      <c r="Q631" s="43">
        <v>0</v>
      </c>
      <c r="R631" s="43">
        <v>0</v>
      </c>
      <c r="S631" s="43">
        <v>0</v>
      </c>
      <c r="T631" s="43">
        <v>0</v>
      </c>
      <c r="U631" s="56"/>
    </row>
    <row r="632" spans="1:21" ht="17.25" customHeight="1" x14ac:dyDescent="0.3">
      <c r="A632" s="15" t="s">
        <v>30</v>
      </c>
      <c r="C632" s="19"/>
      <c r="D632" s="33" t="str">
        <f t="shared" ref="D632:D639" si="144">D631</f>
        <v>C100042</v>
      </c>
      <c r="E632" s="33"/>
      <c r="F632" s="34"/>
      <c r="G632" s="34" t="str">
        <f>"""NAV Direct"",""CRONUS JetCorp USA"",""32"",""1"",""168015"""</f>
        <v>"NAV Direct","CRONUS JetCorp USA","32","1","168015"</v>
      </c>
      <c r="H632" s="40">
        <v>43466</v>
      </c>
      <c r="I632" s="41">
        <v>168015</v>
      </c>
      <c r="J632" s="42" t="str">
        <f>"Vendor"</f>
        <v>Vendor</v>
      </c>
      <c r="K632" s="42" t="str">
        <f>"V100040"</f>
        <v>V100040</v>
      </c>
      <c r="L632" s="42" t="str">
        <f>IF($J632="Customer",_xll.NL("first",$J632,"Name","No.","@@"&amp;$K632),"")</f>
        <v/>
      </c>
      <c r="M632" s="42" t="str">
        <f>"Technische Betriebe Rotkreuz"</f>
        <v>Technische Betriebe Rotkreuz</v>
      </c>
      <c r="N632" s="42" t="str">
        <f>IF($J632="Item",_xll.NL("first",$J632,"Description","No.","@@"&amp;$K632),"")</f>
        <v/>
      </c>
      <c r="O632" s="43">
        <v>400</v>
      </c>
      <c r="P632" s="43">
        <v>0</v>
      </c>
      <c r="Q632" s="43">
        <v>0</v>
      </c>
      <c r="R632" s="43">
        <v>0</v>
      </c>
      <c r="S632" s="43">
        <v>0</v>
      </c>
      <c r="T632" s="43">
        <v>0</v>
      </c>
      <c r="U632" s="56"/>
    </row>
    <row r="633" spans="1:21" ht="17.25" customHeight="1" x14ac:dyDescent="0.3">
      <c r="A633" s="15" t="s">
        <v>30</v>
      </c>
      <c r="C633" s="19"/>
      <c r="D633" s="33" t="str">
        <f t="shared" si="144"/>
        <v>C100042</v>
      </c>
      <c r="E633" s="33"/>
      <c r="F633" s="34"/>
      <c r="G633" s="34" t="str">
        <f>"""NAV Direct"",""CRONUS JetCorp USA"",""32"",""1"",""168020"""</f>
        <v>"NAV Direct","CRONUS JetCorp USA","32","1","168020"</v>
      </c>
      <c r="H633" s="40">
        <v>43466</v>
      </c>
      <c r="I633" s="41">
        <v>168020</v>
      </c>
      <c r="J633" s="42" t="str">
        <f>"Vendor"</f>
        <v>Vendor</v>
      </c>
      <c r="K633" s="42" t="str">
        <f>"V100001"</f>
        <v>V100001</v>
      </c>
      <c r="L633" s="42" t="str">
        <f>IF($J633="Customer",_xll.NL("first",$J633,"Name","No.","@@"&amp;$K633),"")</f>
        <v/>
      </c>
      <c r="M633" s="42" t="str">
        <f>"Greigner, Inc."</f>
        <v>Greigner, Inc.</v>
      </c>
      <c r="N633" s="42" t="str">
        <f>IF($J633="Item",_xll.NL("first",$J633,"Description","No.","@@"&amp;$K633),"")</f>
        <v/>
      </c>
      <c r="O633" s="43">
        <v>200</v>
      </c>
      <c r="P633" s="43">
        <v>0</v>
      </c>
      <c r="Q633" s="43">
        <v>0</v>
      </c>
      <c r="R633" s="43">
        <v>0</v>
      </c>
      <c r="S633" s="43">
        <v>0</v>
      </c>
      <c r="T633" s="43">
        <v>0</v>
      </c>
      <c r="U633" s="56"/>
    </row>
    <row r="634" spans="1:21" ht="17.25" customHeight="1" x14ac:dyDescent="0.3">
      <c r="A634" s="15" t="s">
        <v>30</v>
      </c>
      <c r="C634" s="19"/>
      <c r="D634" s="33" t="str">
        <f t="shared" si="144"/>
        <v>C100042</v>
      </c>
      <c r="E634" s="33"/>
      <c r="F634" s="34"/>
      <c r="G634" s="34" t="str">
        <f>"""NAV Direct"",""CRONUS JetCorp USA"",""32"",""1"",""168041"""</f>
        <v>"NAV Direct","CRONUS JetCorp USA","32","1","168041"</v>
      </c>
      <c r="H634" s="40">
        <v>43466</v>
      </c>
      <c r="I634" s="41">
        <v>168041</v>
      </c>
      <c r="J634" s="42" t="str">
        <f>"Vendor"</f>
        <v>Vendor</v>
      </c>
      <c r="K634" s="42" t="str">
        <f>"V100001"</f>
        <v>V100001</v>
      </c>
      <c r="L634" s="42" t="str">
        <f>IF($J634="Customer",_xll.NL("first",$J634,"Name","No.","@@"&amp;$K634),"")</f>
        <v/>
      </c>
      <c r="M634" s="42" t="str">
        <f>"Greigner, Inc."</f>
        <v>Greigner, Inc.</v>
      </c>
      <c r="N634" s="42" t="str">
        <f>IF($J634="Item",_xll.NL("first",$J634,"Description","No.","@@"&amp;$K634),"")</f>
        <v/>
      </c>
      <c r="O634" s="43">
        <v>499.99999999999994</v>
      </c>
      <c r="P634" s="43">
        <v>0</v>
      </c>
      <c r="Q634" s="43">
        <v>0</v>
      </c>
      <c r="R634" s="43">
        <v>0</v>
      </c>
      <c r="S634" s="43">
        <v>0</v>
      </c>
      <c r="T634" s="43">
        <v>0</v>
      </c>
      <c r="U634" s="56"/>
    </row>
    <row r="635" spans="1:21" ht="17.25" customHeight="1" x14ac:dyDescent="0.3">
      <c r="A635" s="15" t="s">
        <v>30</v>
      </c>
      <c r="C635" s="19"/>
      <c r="D635" s="33" t="str">
        <f t="shared" si="144"/>
        <v>C100042</v>
      </c>
      <c r="E635" s="33"/>
      <c r="F635" s="34"/>
      <c r="G635" s="34" t="str">
        <f>"""NAV Direct"",""CRONUS JetCorp USA"",""32"",""1"",""168054"""</f>
        <v>"NAV Direct","CRONUS JetCorp USA","32","1","168054"</v>
      </c>
      <c r="H635" s="40">
        <v>43466</v>
      </c>
      <c r="I635" s="41">
        <v>168054</v>
      </c>
      <c r="J635" s="42" t="str">
        <f>"Vendor"</f>
        <v>Vendor</v>
      </c>
      <c r="K635" s="42" t="str">
        <f>"V100003"</f>
        <v>V100003</v>
      </c>
      <c r="L635" s="42" t="str">
        <f>IF($J635="Customer",_xll.NL("first",$J635,"Name","No.","@@"&amp;$K635),"")</f>
        <v/>
      </c>
      <c r="M635" s="42" t="str">
        <f>"LogoMasters"</f>
        <v>LogoMasters</v>
      </c>
      <c r="N635" s="42" t="str">
        <f>IF($J635="Item",_xll.NL("first",$J635,"Description","No.","@@"&amp;$K635),"")</f>
        <v/>
      </c>
      <c r="O635" s="43">
        <v>200</v>
      </c>
      <c r="P635" s="43">
        <v>0</v>
      </c>
      <c r="Q635" s="43">
        <v>0</v>
      </c>
      <c r="R635" s="43">
        <v>0</v>
      </c>
      <c r="S635" s="43">
        <v>0</v>
      </c>
      <c r="T635" s="43">
        <v>0</v>
      </c>
      <c r="U635" s="56"/>
    </row>
    <row r="636" spans="1:21" ht="17.25" customHeight="1" x14ac:dyDescent="0.3">
      <c r="A636" s="15" t="s">
        <v>30</v>
      </c>
      <c r="C636" s="19"/>
      <c r="D636" s="33" t="str">
        <f t="shared" si="144"/>
        <v>C100042</v>
      </c>
      <c r="E636" s="33"/>
      <c r="F636" s="34"/>
      <c r="G636" s="34" t="str">
        <f>"""NAV Direct"",""CRONUS JetCorp USA"",""32"",""1"",""64581"""</f>
        <v>"NAV Direct","CRONUS JetCorp USA","32","1","64581"</v>
      </c>
      <c r="H636" s="40">
        <v>43469</v>
      </c>
      <c r="I636" s="41">
        <v>64581</v>
      </c>
      <c r="J636" s="42" t="str">
        <f>"Customer"</f>
        <v>Customer</v>
      </c>
      <c r="K636" s="42" t="str">
        <f>"C100140"</f>
        <v>C100140</v>
      </c>
      <c r="L636" s="42" t="str">
        <f>IF($J636="Customer",_xll.NL("first",$J636,"Name","No.","@@"&amp;$K636),"")</f>
        <v>Super Daves</v>
      </c>
      <c r="M636" s="42" t="str">
        <f>""</f>
        <v/>
      </c>
      <c r="N636" s="42" t="str">
        <f>IF($J636="Item",_xll.NL("first",$J636,"Description","No.","@@"&amp;$K636),"")</f>
        <v/>
      </c>
      <c r="O636" s="43">
        <v>0</v>
      </c>
      <c r="P636" s="43">
        <v>-144</v>
      </c>
      <c r="Q636" s="43">
        <v>0</v>
      </c>
      <c r="R636" s="43">
        <v>0</v>
      </c>
      <c r="S636" s="43">
        <v>0</v>
      </c>
      <c r="T636" s="43">
        <v>0</v>
      </c>
      <c r="U636" s="56"/>
    </row>
    <row r="637" spans="1:21" ht="17.25" customHeight="1" x14ac:dyDescent="0.3">
      <c r="A637" s="15" t="s">
        <v>30</v>
      </c>
      <c r="C637" s="19"/>
      <c r="D637" s="33" t="str">
        <f t="shared" si="144"/>
        <v>C100042</v>
      </c>
      <c r="E637" s="33"/>
      <c r="F637" s="34"/>
      <c r="G637" s="34" t="str">
        <f>"""NAV Direct"",""CRONUS JetCorp USA"",""32"",""1"",""72517"""</f>
        <v>"NAV Direct","CRONUS JetCorp USA","32","1","72517"</v>
      </c>
      <c r="H637" s="40">
        <v>43471</v>
      </c>
      <c r="I637" s="41">
        <v>72517</v>
      </c>
      <c r="J637" s="42" t="str">
        <f>"Customer"</f>
        <v>Customer</v>
      </c>
      <c r="K637" s="42" t="str">
        <f>"C100107"</f>
        <v>C100107</v>
      </c>
      <c r="L637" s="42" t="str">
        <f>IF($J637="Customer",_xll.NL("first",$J637,"Name","No.","@@"&amp;$K637),"")</f>
        <v>Lexitechnology</v>
      </c>
      <c r="M637" s="42" t="str">
        <f>""</f>
        <v/>
      </c>
      <c r="N637" s="42" t="str">
        <f>IF($J637="Item",_xll.NL("first",$J637,"Description","No.","@@"&amp;$K637),"")</f>
        <v/>
      </c>
      <c r="O637" s="43">
        <v>0</v>
      </c>
      <c r="P637" s="43">
        <v>-144</v>
      </c>
      <c r="Q637" s="43">
        <v>0</v>
      </c>
      <c r="R637" s="43">
        <v>0</v>
      </c>
      <c r="S637" s="43">
        <v>0</v>
      </c>
      <c r="T637" s="43">
        <v>0</v>
      </c>
      <c r="U637" s="56"/>
    </row>
    <row r="638" spans="1:21" ht="17.25" customHeight="1" x14ac:dyDescent="0.3">
      <c r="A638" s="15" t="s">
        <v>30</v>
      </c>
      <c r="C638" s="19"/>
      <c r="D638" s="33" t="str">
        <f t="shared" si="144"/>
        <v>C100042</v>
      </c>
      <c r="E638" s="33"/>
      <c r="F638" s="34"/>
      <c r="G638" s="34" t="str">
        <f>"""NAV Direct"",""CRONUS JetCorp USA"",""32"",""1"",""78881"""</f>
        <v>"NAV Direct","CRONUS JetCorp USA","32","1","78881"</v>
      </c>
      <c r="H638" s="40">
        <v>43471</v>
      </c>
      <c r="I638" s="41">
        <v>78881</v>
      </c>
      <c r="J638" s="42" t="str">
        <f>"Customer"</f>
        <v>Customer</v>
      </c>
      <c r="K638" s="42" t="str">
        <f>"C100124"</f>
        <v>C100124</v>
      </c>
      <c r="L638" s="42" t="str">
        <f>IF($J638="Customer",_xll.NL("first",$J638,"Name","No.","@@"&amp;$K638),"")</f>
        <v>Ontocane Outdoors</v>
      </c>
      <c r="M638" s="42" t="str">
        <f>""</f>
        <v/>
      </c>
      <c r="N638" s="42" t="str">
        <f>IF($J638="Item",_xll.NL("first",$J638,"Description","No.","@@"&amp;$K638),"")</f>
        <v/>
      </c>
      <c r="O638" s="43">
        <v>0</v>
      </c>
      <c r="P638" s="43">
        <v>-1</v>
      </c>
      <c r="Q638" s="43">
        <v>0</v>
      </c>
      <c r="R638" s="43">
        <v>0</v>
      </c>
      <c r="S638" s="43">
        <v>0</v>
      </c>
      <c r="T638" s="43">
        <v>0</v>
      </c>
      <c r="U638" s="56"/>
    </row>
    <row r="639" spans="1:21" ht="17.25" customHeight="1" x14ac:dyDescent="0.3">
      <c r="A639" s="15" t="s">
        <v>30</v>
      </c>
      <c r="C639" s="19"/>
      <c r="D639" s="33" t="str">
        <f t="shared" si="144"/>
        <v>C100042</v>
      </c>
      <c r="E639" s="33"/>
      <c r="F639" s="34"/>
      <c r="G639" s="34" t="str">
        <f>"""NAV Direct"",""CRONUS JetCorp USA"",""32"",""1"",""44526"""</f>
        <v>"NAV Direct","CRONUS JetCorp USA","32","1","44526"</v>
      </c>
      <c r="H639" s="40">
        <v>43473</v>
      </c>
      <c r="I639" s="41">
        <v>44526</v>
      </c>
      <c r="J639" s="42" t="str">
        <f>"Customer"</f>
        <v>Customer</v>
      </c>
      <c r="K639" s="42" t="str">
        <f>"C100139"</f>
        <v>C100139</v>
      </c>
      <c r="L639" s="42" t="str">
        <f>IF($J639="Customer",_xll.NL("first",$J639,"Name","No.","@@"&amp;$K639),"")</f>
        <v>Gamma Ray's</v>
      </c>
      <c r="M639" s="42" t="str">
        <f>""</f>
        <v/>
      </c>
      <c r="N639" s="42" t="str">
        <f>IF($J639="Item",_xll.NL("first",$J639,"Description","No.","@@"&amp;$K639),"")</f>
        <v/>
      </c>
      <c r="O639" s="43">
        <v>0</v>
      </c>
      <c r="P639" s="43">
        <v>-144</v>
      </c>
      <c r="Q639" s="43">
        <v>0</v>
      </c>
      <c r="R639" s="43">
        <v>0</v>
      </c>
      <c r="S639" s="43">
        <v>0</v>
      </c>
      <c r="T639" s="43">
        <v>0</v>
      </c>
      <c r="U639" s="56"/>
    </row>
    <row r="640" spans="1:21" ht="17.25" customHeight="1" x14ac:dyDescent="0.3">
      <c r="A640" s="15" t="s">
        <v>30</v>
      </c>
      <c r="C640" s="19"/>
      <c r="D640" s="33"/>
      <c r="E640" s="33"/>
      <c r="F640" s="34"/>
      <c r="G640" s="34"/>
      <c r="H640" s="34"/>
      <c r="I640" s="34"/>
      <c r="J640" s="34"/>
      <c r="K640" s="34"/>
      <c r="L640" s="34"/>
      <c r="M640" s="34"/>
      <c r="N640" s="34"/>
      <c r="O640" s="44"/>
      <c r="P640" s="44"/>
      <c r="Q640" s="44"/>
      <c r="R640" s="44"/>
      <c r="S640" s="44"/>
      <c r="T640" s="44"/>
      <c r="U640" s="57"/>
    </row>
    <row r="641" spans="1:21" ht="17.25" customHeight="1" x14ac:dyDescent="0.3">
      <c r="A641" s="15" t="s">
        <v>30</v>
      </c>
      <c r="C641" s="19"/>
      <c r="D641" s="33"/>
      <c r="E641" s="33" t="s">
        <v>31</v>
      </c>
      <c r="F641" s="34" t="s">
        <v>31</v>
      </c>
      <c r="G641" s="34" t="s">
        <v>31</v>
      </c>
      <c r="H641" s="34"/>
      <c r="I641" s="34"/>
      <c r="J641" s="34" t="s">
        <v>31</v>
      </c>
      <c r="K641" s="34" t="s">
        <v>31</v>
      </c>
      <c r="L641" s="34" t="s">
        <v>31</v>
      </c>
      <c r="M641" s="34" t="s">
        <v>31</v>
      </c>
      <c r="N641" s="34"/>
      <c r="U641" s="58"/>
    </row>
    <row r="642" spans="1:21" ht="20.25" customHeight="1" x14ac:dyDescent="0.35">
      <c r="A642" s="15" t="s">
        <v>30</v>
      </c>
      <c r="C642" s="19"/>
      <c r="D642" s="35" t="str">
        <f t="shared" ref="D642" si="145">E642</f>
        <v>C100043</v>
      </c>
      <c r="E642" s="36" t="str">
        <f>"C100043"</f>
        <v>C100043</v>
      </c>
      <c r="F642" s="37" t="str">
        <f>"Pro-Travel Technology Set"</f>
        <v>Pro-Travel Technology Set</v>
      </c>
      <c r="G642" s="37"/>
      <c r="H642" s="38" t="str">
        <f>"EA"</f>
        <v>EA</v>
      </c>
      <c r="I642" s="37"/>
      <c r="J642" s="37"/>
      <c r="K642" s="37"/>
      <c r="L642" s="37"/>
      <c r="M642" s="37"/>
      <c r="N642" s="37"/>
      <c r="O642" s="39">
        <f>(SUBTOTAL(9,O643:O651))</f>
        <v>300</v>
      </c>
      <c r="P642" s="39">
        <f>(SUBTOTAL(9,P643:P651))</f>
        <v>-319</v>
      </c>
      <c r="Q642" s="39">
        <f>(SUBTOTAL(9,Q643:Q651))</f>
        <v>0</v>
      </c>
      <c r="R642" s="39">
        <f>(SUBTOTAL(9,R643:R651))</f>
        <v>0</v>
      </c>
      <c r="S642" s="39">
        <f>(SUBTOTAL(9,S643:S651))</f>
        <v>0</v>
      </c>
      <c r="T642" s="39">
        <f>(SUBTOTAL(9,T643:T651))</f>
        <v>0</v>
      </c>
      <c r="U642" s="55">
        <f t="shared" ref="U642" si="146">SUBTOTAL(9,O643:T651)</f>
        <v>-19</v>
      </c>
    </row>
    <row r="643" spans="1:21" ht="17.25" customHeight="1" x14ac:dyDescent="0.3">
      <c r="A643" s="15" t="s">
        <v>30</v>
      </c>
      <c r="C643" s="19"/>
      <c r="D643" s="33" t="str">
        <f t="shared" ref="D643" si="147">D642</f>
        <v>C100043</v>
      </c>
      <c r="E643" s="33"/>
      <c r="F643" s="34"/>
      <c r="G643" s="34" t="str">
        <f>"""NAV Direct"",""CRONUS JetCorp USA"",""32"",""1"",""168032"""</f>
        <v>"NAV Direct","CRONUS JetCorp USA","32","1","168032"</v>
      </c>
      <c r="H643" s="40">
        <v>43466</v>
      </c>
      <c r="I643" s="41">
        <v>168032</v>
      </c>
      <c r="J643" s="42" t="str">
        <f>"Vendor"</f>
        <v>Vendor</v>
      </c>
      <c r="K643" s="42" t="str">
        <f>"V100007"</f>
        <v>V100007</v>
      </c>
      <c r="L643" s="42" t="str">
        <f>IF($J643="Customer",_xll.NL("first",$J643,"Name","No.","@@"&amp;$K643),"")</f>
        <v/>
      </c>
      <c r="M643" s="42" t="str">
        <f>"TrendTech"</f>
        <v>TrendTech</v>
      </c>
      <c r="N643" s="42" t="str">
        <f>IF($J643="Item",_xll.NL("first",$J643,"Description","No.","@@"&amp;$K643),"")</f>
        <v/>
      </c>
      <c r="O643" s="43">
        <v>200</v>
      </c>
      <c r="P643" s="43">
        <v>0</v>
      </c>
      <c r="Q643" s="43">
        <v>0</v>
      </c>
      <c r="R643" s="43">
        <v>0</v>
      </c>
      <c r="S643" s="43">
        <v>0</v>
      </c>
      <c r="T643" s="43">
        <v>0</v>
      </c>
      <c r="U643" s="56"/>
    </row>
    <row r="644" spans="1:21" ht="17.25" customHeight="1" x14ac:dyDescent="0.3">
      <c r="A644" s="15" t="s">
        <v>30</v>
      </c>
      <c r="C644" s="19"/>
      <c r="D644" s="33" t="str">
        <f t="shared" ref="D644:D650" si="148">D643</f>
        <v>C100043</v>
      </c>
      <c r="E644" s="33"/>
      <c r="F644" s="34"/>
      <c r="G644" s="34" t="str">
        <f>"""NAV Direct"",""CRONUS JetCorp USA"",""32"",""1"",""168053"""</f>
        <v>"NAV Direct","CRONUS JetCorp USA","32","1","168053"</v>
      </c>
      <c r="H644" s="40">
        <v>43466</v>
      </c>
      <c r="I644" s="41">
        <v>168053</v>
      </c>
      <c r="J644" s="42" t="str">
        <f>"Vendor"</f>
        <v>Vendor</v>
      </c>
      <c r="K644" s="42" t="str">
        <f>"V100003"</f>
        <v>V100003</v>
      </c>
      <c r="L644" s="42" t="str">
        <f>IF($J644="Customer",_xll.NL("first",$J644,"Name","No.","@@"&amp;$K644),"")</f>
        <v/>
      </c>
      <c r="M644" s="42" t="str">
        <f>"LogoMasters"</f>
        <v>LogoMasters</v>
      </c>
      <c r="N644" s="42" t="str">
        <f>IF($J644="Item",_xll.NL("first",$J644,"Description","No.","@@"&amp;$K644),"")</f>
        <v/>
      </c>
      <c r="O644" s="43">
        <v>100</v>
      </c>
      <c r="P644" s="43">
        <v>0</v>
      </c>
      <c r="Q644" s="43">
        <v>0</v>
      </c>
      <c r="R644" s="43">
        <v>0</v>
      </c>
      <c r="S644" s="43">
        <v>0</v>
      </c>
      <c r="T644" s="43">
        <v>0</v>
      </c>
      <c r="U644" s="56"/>
    </row>
    <row r="645" spans="1:21" ht="17.25" customHeight="1" x14ac:dyDescent="0.3">
      <c r="A645" s="15" t="s">
        <v>30</v>
      </c>
      <c r="C645" s="19"/>
      <c r="D645" s="33" t="str">
        <f t="shared" si="148"/>
        <v>C100043</v>
      </c>
      <c r="E645" s="33"/>
      <c r="F645" s="34"/>
      <c r="G645" s="34" t="str">
        <f>"""NAV Direct"",""CRONUS JetCorp USA"",""32"",""1"",""3889"""</f>
        <v>"NAV Direct","CRONUS JetCorp USA","32","1","3889"</v>
      </c>
      <c r="H645" s="40">
        <v>43467</v>
      </c>
      <c r="I645" s="41">
        <v>3889</v>
      </c>
      <c r="J645" s="42" t="str">
        <f>"Customer"</f>
        <v>Customer</v>
      </c>
      <c r="K645" s="42" t="str">
        <f>"C100099"</f>
        <v>C100099</v>
      </c>
      <c r="L645" s="42" t="str">
        <f>IF($J645="Customer",_xll.NL("first",$J645,"Name","No.","@@"&amp;$K645),"")</f>
        <v>Voltive Systems</v>
      </c>
      <c r="M645" s="42" t="str">
        <f>""</f>
        <v/>
      </c>
      <c r="N645" s="42" t="str">
        <f>IF($J645="Item",_xll.NL("first",$J645,"Description","No.","@@"&amp;$K645),"")</f>
        <v/>
      </c>
      <c r="O645" s="43">
        <v>0</v>
      </c>
      <c r="P645" s="43">
        <v>-12</v>
      </c>
      <c r="Q645" s="43">
        <v>0</v>
      </c>
      <c r="R645" s="43">
        <v>0</v>
      </c>
      <c r="S645" s="43">
        <v>0</v>
      </c>
      <c r="T645" s="43">
        <v>0</v>
      </c>
      <c r="U645" s="56"/>
    </row>
    <row r="646" spans="1:21" ht="17.25" customHeight="1" x14ac:dyDescent="0.3">
      <c r="A646" s="15" t="s">
        <v>30</v>
      </c>
      <c r="C646" s="19"/>
      <c r="D646" s="33" t="str">
        <f t="shared" si="148"/>
        <v>C100043</v>
      </c>
      <c r="E646" s="33"/>
      <c r="F646" s="34"/>
      <c r="G646" s="34" t="str">
        <f>"""NAV Direct"",""CRONUS JetCorp USA"",""32"",""1"",""12455"""</f>
        <v>"NAV Direct","CRONUS JetCorp USA","32","1","12455"</v>
      </c>
      <c r="H646" s="40">
        <v>43469</v>
      </c>
      <c r="I646" s="41">
        <v>12455</v>
      </c>
      <c r="J646" s="42" t="str">
        <f>"Customer"</f>
        <v>Customer</v>
      </c>
      <c r="K646" s="42" t="str">
        <f>"C100064"</f>
        <v>C100064</v>
      </c>
      <c r="L646" s="42" t="str">
        <f>IF($J646="Customer",_xll.NL("first",$J646,"Name","No.","@@"&amp;$K646),"")</f>
        <v>Möbel Siegfried</v>
      </c>
      <c r="M646" s="42" t="str">
        <f>""</f>
        <v/>
      </c>
      <c r="N646" s="42" t="str">
        <f>IF($J646="Item",_xll.NL("first",$J646,"Description","No.","@@"&amp;$K646),"")</f>
        <v/>
      </c>
      <c r="O646" s="43">
        <v>0</v>
      </c>
      <c r="P646" s="43">
        <v>-6</v>
      </c>
      <c r="Q646" s="43">
        <v>0</v>
      </c>
      <c r="R646" s="43">
        <v>0</v>
      </c>
      <c r="S646" s="43">
        <v>0</v>
      </c>
      <c r="T646" s="43">
        <v>0</v>
      </c>
      <c r="U646" s="56"/>
    </row>
    <row r="647" spans="1:21" ht="17.25" customHeight="1" x14ac:dyDescent="0.3">
      <c r="A647" s="15" t="s">
        <v>30</v>
      </c>
      <c r="C647" s="19"/>
      <c r="D647" s="33" t="str">
        <f t="shared" si="148"/>
        <v>C100043</v>
      </c>
      <c r="E647" s="33"/>
      <c r="F647" s="34"/>
      <c r="G647" s="34" t="str">
        <f>"""NAV Direct"",""CRONUS JetCorp USA"",""32"",""1"",""111291"""</f>
        <v>"NAV Direct","CRONUS JetCorp USA","32","1","111291"</v>
      </c>
      <c r="H647" s="40">
        <v>43470</v>
      </c>
      <c r="I647" s="41">
        <v>111291</v>
      </c>
      <c r="J647" s="42" t="str">
        <f>"Customer"</f>
        <v>Customer</v>
      </c>
      <c r="K647" s="42" t="str">
        <f>"C100037"</f>
        <v>C100037</v>
      </c>
      <c r="L647" s="42" t="str">
        <f>IF($J647="Customer",_xll.NL("first",$J647,"Name","No.","@@"&amp;$K647),"")</f>
        <v>Tempsons Tropies</v>
      </c>
      <c r="M647" s="42" t="str">
        <f>""</f>
        <v/>
      </c>
      <c r="N647" s="42" t="str">
        <f>IF($J647="Item",_xll.NL("first",$J647,"Description","No.","@@"&amp;$K647),"")</f>
        <v/>
      </c>
      <c r="O647" s="43">
        <v>0</v>
      </c>
      <c r="P647" s="43">
        <v>-12</v>
      </c>
      <c r="Q647" s="43">
        <v>0</v>
      </c>
      <c r="R647" s="43">
        <v>0</v>
      </c>
      <c r="S647" s="43">
        <v>0</v>
      </c>
      <c r="T647" s="43">
        <v>0</v>
      </c>
      <c r="U647" s="56"/>
    </row>
    <row r="648" spans="1:21" ht="17.25" customHeight="1" x14ac:dyDescent="0.3">
      <c r="A648" s="15" t="s">
        <v>30</v>
      </c>
      <c r="C648" s="19"/>
      <c r="D648" s="33" t="str">
        <f t="shared" si="148"/>
        <v>C100043</v>
      </c>
      <c r="E648" s="33"/>
      <c r="F648" s="34"/>
      <c r="G648" s="34" t="str">
        <f>"""NAV Direct"",""CRONUS JetCorp USA"",""32"",""1"",""111277"""</f>
        <v>"NAV Direct","CRONUS JetCorp USA","32","1","111277"</v>
      </c>
      <c r="H648" s="40">
        <v>43472</v>
      </c>
      <c r="I648" s="41">
        <v>111277</v>
      </c>
      <c r="J648" s="42" t="str">
        <f>"Customer"</f>
        <v>Customer</v>
      </c>
      <c r="K648" s="42" t="str">
        <f>"C100099"</f>
        <v>C100099</v>
      </c>
      <c r="L648" s="42" t="str">
        <f>IF($J648="Customer",_xll.NL("first",$J648,"Name","No.","@@"&amp;$K648),"")</f>
        <v>Voltive Systems</v>
      </c>
      <c r="M648" s="42" t="str">
        <f>""</f>
        <v/>
      </c>
      <c r="N648" s="42" t="str">
        <f>IF($J648="Item",_xll.NL("first",$J648,"Description","No.","@@"&amp;$K648),"")</f>
        <v/>
      </c>
      <c r="O648" s="43">
        <v>0</v>
      </c>
      <c r="P648" s="43">
        <v>-144</v>
      </c>
      <c r="Q648" s="43">
        <v>0</v>
      </c>
      <c r="R648" s="43">
        <v>0</v>
      </c>
      <c r="S648" s="43">
        <v>0</v>
      </c>
      <c r="T648" s="43">
        <v>0</v>
      </c>
      <c r="U648" s="56"/>
    </row>
    <row r="649" spans="1:21" ht="17.25" customHeight="1" x14ac:dyDescent="0.3">
      <c r="A649" s="15" t="s">
        <v>30</v>
      </c>
      <c r="C649" s="19"/>
      <c r="D649" s="33" t="str">
        <f t="shared" si="148"/>
        <v>C100043</v>
      </c>
      <c r="E649" s="33"/>
      <c r="F649" s="34"/>
      <c r="G649" s="34" t="str">
        <f>"""NAV Direct"",""CRONUS JetCorp USA"",""32"",""1"",""114287"""</f>
        <v>"NAV Direct","CRONUS JetCorp USA","32","1","114287"</v>
      </c>
      <c r="H649" s="40">
        <v>43473</v>
      </c>
      <c r="I649" s="41">
        <v>114287</v>
      </c>
      <c r="J649" s="42" t="str">
        <f>"Customer"</f>
        <v>Customer</v>
      </c>
      <c r="K649" s="42" t="str">
        <f>"C100083"</f>
        <v>C100083</v>
      </c>
      <c r="L649" s="42" t="str">
        <f>IF($J649="Customer",_xll.NL("first",$J649,"Name","No.","@@"&amp;$K649),"")</f>
        <v>Stanfords</v>
      </c>
      <c r="M649" s="42" t="str">
        <f>""</f>
        <v/>
      </c>
      <c r="N649" s="42" t="str">
        <f>IF($J649="Item",_xll.NL("first",$J649,"Description","No.","@@"&amp;$K649),"")</f>
        <v/>
      </c>
      <c r="O649" s="43">
        <v>0</v>
      </c>
      <c r="P649" s="43">
        <v>-1</v>
      </c>
      <c r="Q649" s="43">
        <v>0</v>
      </c>
      <c r="R649" s="43">
        <v>0</v>
      </c>
      <c r="S649" s="43">
        <v>0</v>
      </c>
      <c r="T649" s="43">
        <v>0</v>
      </c>
      <c r="U649" s="56"/>
    </row>
    <row r="650" spans="1:21" ht="17.25" customHeight="1" x14ac:dyDescent="0.3">
      <c r="A650" s="15" t="s">
        <v>30</v>
      </c>
      <c r="C650" s="19"/>
      <c r="D650" s="33" t="str">
        <f t="shared" si="148"/>
        <v>C100043</v>
      </c>
      <c r="E650" s="33"/>
      <c r="F650" s="34"/>
      <c r="G650" s="34" t="str">
        <f>"""NAV Direct"",""CRONUS JetCorp USA"",""32"",""1"",""116377"""</f>
        <v>"NAV Direct","CRONUS JetCorp USA","32","1","116377"</v>
      </c>
      <c r="H650" s="40">
        <v>43473</v>
      </c>
      <c r="I650" s="41">
        <v>116377</v>
      </c>
      <c r="J650" s="42" t="str">
        <f>"Customer"</f>
        <v>Customer</v>
      </c>
      <c r="K650" s="42" t="str">
        <f>"C100066"</f>
        <v>C100066</v>
      </c>
      <c r="L650" s="42" t="str">
        <f>IF($J650="Customer",_xll.NL("first",$J650,"Name","No.","@@"&amp;$K650),"")</f>
        <v>Office Solutions</v>
      </c>
      <c r="M650" s="42" t="str">
        <f>""</f>
        <v/>
      </c>
      <c r="N650" s="42" t="str">
        <f>IF($J650="Item",_xll.NL("first",$J650,"Description","No.","@@"&amp;$K650),"")</f>
        <v/>
      </c>
      <c r="O650" s="43">
        <v>0</v>
      </c>
      <c r="P650" s="43">
        <v>-144</v>
      </c>
      <c r="Q650" s="43">
        <v>0</v>
      </c>
      <c r="R650" s="43">
        <v>0</v>
      </c>
      <c r="S650" s="43">
        <v>0</v>
      </c>
      <c r="T650" s="43">
        <v>0</v>
      </c>
      <c r="U650" s="56"/>
    </row>
    <row r="651" spans="1:21" ht="17.25" customHeight="1" x14ac:dyDescent="0.3">
      <c r="A651" s="15" t="s">
        <v>30</v>
      </c>
      <c r="C651" s="19"/>
      <c r="D651" s="33"/>
      <c r="E651" s="33"/>
      <c r="F651" s="34"/>
      <c r="G651" s="34"/>
      <c r="H651" s="34"/>
      <c r="I651" s="34"/>
      <c r="J651" s="34"/>
      <c r="K651" s="34"/>
      <c r="L651" s="34"/>
      <c r="M651" s="34"/>
      <c r="N651" s="34"/>
      <c r="O651" s="44"/>
      <c r="P651" s="44"/>
      <c r="Q651" s="44"/>
      <c r="R651" s="44"/>
      <c r="S651" s="44"/>
      <c r="T651" s="44"/>
      <c r="U651" s="57"/>
    </row>
    <row r="652" spans="1:21" ht="17.25" customHeight="1" x14ac:dyDescent="0.3">
      <c r="A652" s="15" t="s">
        <v>30</v>
      </c>
      <c r="C652" s="19"/>
      <c r="D652" s="33"/>
      <c r="E652" s="33" t="s">
        <v>31</v>
      </c>
      <c r="F652" s="34" t="s">
        <v>31</v>
      </c>
      <c r="G652" s="34" t="s">
        <v>31</v>
      </c>
      <c r="H652" s="34"/>
      <c r="I652" s="34"/>
      <c r="J652" s="34" t="s">
        <v>31</v>
      </c>
      <c r="K652" s="34" t="s">
        <v>31</v>
      </c>
      <c r="L652" s="34" t="s">
        <v>31</v>
      </c>
      <c r="M652" s="34" t="s">
        <v>31</v>
      </c>
      <c r="N652" s="34"/>
      <c r="U652" s="58"/>
    </row>
    <row r="653" spans="1:21" ht="20.25" customHeight="1" x14ac:dyDescent="0.35">
      <c r="A653" s="15" t="s">
        <v>30</v>
      </c>
      <c r="C653" s="19"/>
      <c r="D653" s="35" t="str">
        <f t="shared" ref="D653" si="149">E653</f>
        <v>C100044</v>
      </c>
      <c r="E653" s="36" t="str">
        <f>"C100044"</f>
        <v>C100044</v>
      </c>
      <c r="F653" s="37" t="str">
        <f>"VOIP Headset with Mic"</f>
        <v>VOIP Headset with Mic</v>
      </c>
      <c r="G653" s="37"/>
      <c r="H653" s="38" t="str">
        <f>"EA"</f>
        <v>EA</v>
      </c>
      <c r="I653" s="37"/>
      <c r="J653" s="37"/>
      <c r="K653" s="37"/>
      <c r="L653" s="37"/>
      <c r="M653" s="37"/>
      <c r="N653" s="37"/>
      <c r="O653" s="39">
        <f>(SUBTOTAL(9,O654:O670))</f>
        <v>4200</v>
      </c>
      <c r="P653" s="39">
        <f>(SUBTOTAL(9,P654:P670))</f>
        <v>-873</v>
      </c>
      <c r="Q653" s="39">
        <f>(SUBTOTAL(9,Q654:Q670))</f>
        <v>0</v>
      </c>
      <c r="R653" s="39">
        <f>(SUBTOTAL(9,R654:R670))</f>
        <v>0</v>
      </c>
      <c r="S653" s="39">
        <f>(SUBTOTAL(9,S654:S670))</f>
        <v>0</v>
      </c>
      <c r="T653" s="39">
        <f>(SUBTOTAL(9,T654:T670))</f>
        <v>0</v>
      </c>
      <c r="U653" s="55">
        <f t="shared" ref="U653" si="150">SUBTOTAL(9,O654:T670)</f>
        <v>3327</v>
      </c>
    </row>
    <row r="654" spans="1:21" ht="17.25" customHeight="1" x14ac:dyDescent="0.3">
      <c r="A654" s="15" t="s">
        <v>30</v>
      </c>
      <c r="C654" s="19"/>
      <c r="D654" s="33" t="str">
        <f t="shared" ref="D654" si="151">D653</f>
        <v>C100044</v>
      </c>
      <c r="E654" s="33"/>
      <c r="F654" s="34"/>
      <c r="G654" s="34" t="str">
        <f>"""NAV Direct"",""CRONUS JetCorp USA"",""32"",""1"",""168003"""</f>
        <v>"NAV Direct","CRONUS JetCorp USA","32","1","168003"</v>
      </c>
      <c r="H654" s="40">
        <v>43466</v>
      </c>
      <c r="I654" s="41">
        <v>168003</v>
      </c>
      <c r="J654" s="42" t="str">
        <f>"Vendor"</f>
        <v>Vendor</v>
      </c>
      <c r="K654" s="42" t="str">
        <f>"V100023"</f>
        <v>V100023</v>
      </c>
      <c r="L654" s="42" t="str">
        <f>IF($J654="Customer",_xll.NL("first",$J654,"Name","No.","@@"&amp;$K654),"")</f>
        <v/>
      </c>
      <c r="M654" s="42" t="str">
        <f>"PURE-LOOK"</f>
        <v>PURE-LOOK</v>
      </c>
      <c r="N654" s="42" t="str">
        <f>IF($J654="Item",_xll.NL("first",$J654,"Description","No.","@@"&amp;$K654),"")</f>
        <v/>
      </c>
      <c r="O654" s="43">
        <v>200</v>
      </c>
      <c r="P654" s="43">
        <v>0</v>
      </c>
      <c r="Q654" s="43">
        <v>0</v>
      </c>
      <c r="R654" s="43">
        <v>0</v>
      </c>
      <c r="S654" s="43">
        <v>0</v>
      </c>
      <c r="T654" s="43">
        <v>0</v>
      </c>
      <c r="U654" s="56"/>
    </row>
    <row r="655" spans="1:21" ht="17.25" customHeight="1" x14ac:dyDescent="0.3">
      <c r="A655" s="15" t="s">
        <v>30</v>
      </c>
      <c r="C655" s="19"/>
      <c r="D655" s="33" t="str">
        <f t="shared" ref="D655:D669" si="152">D654</f>
        <v>C100044</v>
      </c>
      <c r="E655" s="33"/>
      <c r="F655" s="34"/>
      <c r="G655" s="34" t="str">
        <f>"""NAV Direct"",""CRONUS JetCorp USA"",""32"",""1"",""168014"""</f>
        <v>"NAV Direct","CRONUS JetCorp USA","32","1","168014"</v>
      </c>
      <c r="H655" s="40">
        <v>43466</v>
      </c>
      <c r="I655" s="41">
        <v>168014</v>
      </c>
      <c r="J655" s="42" t="str">
        <f>"Vendor"</f>
        <v>Vendor</v>
      </c>
      <c r="K655" s="42" t="str">
        <f>"V100040"</f>
        <v>V100040</v>
      </c>
      <c r="L655" s="42" t="str">
        <f>IF($J655="Customer",_xll.NL("first",$J655,"Name","No.","@@"&amp;$K655),"")</f>
        <v/>
      </c>
      <c r="M655" s="42" t="str">
        <f>"Technische Betriebe Rotkreuz"</f>
        <v>Technische Betriebe Rotkreuz</v>
      </c>
      <c r="N655" s="42" t="str">
        <f>IF($J655="Item",_xll.NL("first",$J655,"Description","No.","@@"&amp;$K655),"")</f>
        <v/>
      </c>
      <c r="O655" s="43">
        <v>900</v>
      </c>
      <c r="P655" s="43">
        <v>0</v>
      </c>
      <c r="Q655" s="43">
        <v>0</v>
      </c>
      <c r="R655" s="43">
        <v>0</v>
      </c>
      <c r="S655" s="43">
        <v>0</v>
      </c>
      <c r="T655" s="43">
        <v>0</v>
      </c>
      <c r="U655" s="56"/>
    </row>
    <row r="656" spans="1:21" ht="17.25" customHeight="1" x14ac:dyDescent="0.3">
      <c r="A656" s="15" t="s">
        <v>30</v>
      </c>
      <c r="C656" s="19"/>
      <c r="D656" s="33" t="str">
        <f t="shared" si="152"/>
        <v>C100044</v>
      </c>
      <c r="E656" s="33"/>
      <c r="F656" s="34"/>
      <c r="G656" s="34" t="str">
        <f>"""NAV Direct"",""CRONUS JetCorp USA"",""32"",""1"",""168031"""</f>
        <v>"NAV Direct","CRONUS JetCorp USA","32","1","168031"</v>
      </c>
      <c r="H656" s="40">
        <v>43466</v>
      </c>
      <c r="I656" s="41">
        <v>168031</v>
      </c>
      <c r="J656" s="42" t="str">
        <f>"Vendor"</f>
        <v>Vendor</v>
      </c>
      <c r="K656" s="42" t="str">
        <f>"V100007"</f>
        <v>V100007</v>
      </c>
      <c r="L656" s="42" t="str">
        <f>IF($J656="Customer",_xll.NL("first",$J656,"Name","No.","@@"&amp;$K656),"")</f>
        <v/>
      </c>
      <c r="M656" s="42" t="str">
        <f>"TrendTech"</f>
        <v>TrendTech</v>
      </c>
      <c r="N656" s="42" t="str">
        <f>IF($J656="Item",_xll.NL("first",$J656,"Description","No.","@@"&amp;$K656),"")</f>
        <v/>
      </c>
      <c r="O656" s="43">
        <v>1400</v>
      </c>
      <c r="P656" s="43">
        <v>0</v>
      </c>
      <c r="Q656" s="43">
        <v>0</v>
      </c>
      <c r="R656" s="43">
        <v>0</v>
      </c>
      <c r="S656" s="43">
        <v>0</v>
      </c>
      <c r="T656" s="43">
        <v>0</v>
      </c>
      <c r="U656" s="56"/>
    </row>
    <row r="657" spans="1:21" ht="17.25" customHeight="1" x14ac:dyDescent="0.3">
      <c r="A657" s="15" t="s">
        <v>30</v>
      </c>
      <c r="C657" s="19"/>
      <c r="D657" s="33" t="str">
        <f t="shared" si="152"/>
        <v>C100044</v>
      </c>
      <c r="E657" s="33"/>
      <c r="F657" s="34"/>
      <c r="G657" s="34" t="str">
        <f>"""NAV Direct"",""CRONUS JetCorp USA"",""32"",""1"",""168040"""</f>
        <v>"NAV Direct","CRONUS JetCorp USA","32","1","168040"</v>
      </c>
      <c r="H657" s="40">
        <v>43466</v>
      </c>
      <c r="I657" s="41">
        <v>168040</v>
      </c>
      <c r="J657" s="42" t="str">
        <f>"Vendor"</f>
        <v>Vendor</v>
      </c>
      <c r="K657" s="42" t="str">
        <f>"V100001"</f>
        <v>V100001</v>
      </c>
      <c r="L657" s="42" t="str">
        <f>IF($J657="Customer",_xll.NL("first",$J657,"Name","No.","@@"&amp;$K657),"")</f>
        <v/>
      </c>
      <c r="M657" s="42" t="str">
        <f>"Greigner, Inc."</f>
        <v>Greigner, Inc.</v>
      </c>
      <c r="N657" s="42" t="str">
        <f>IF($J657="Item",_xll.NL("first",$J657,"Description","No.","@@"&amp;$K657),"")</f>
        <v/>
      </c>
      <c r="O657" s="43">
        <v>999.99999999999989</v>
      </c>
      <c r="P657" s="43">
        <v>0</v>
      </c>
      <c r="Q657" s="43">
        <v>0</v>
      </c>
      <c r="R657" s="43">
        <v>0</v>
      </c>
      <c r="S657" s="43">
        <v>0</v>
      </c>
      <c r="T657" s="43">
        <v>0</v>
      </c>
      <c r="U657" s="56"/>
    </row>
    <row r="658" spans="1:21" ht="17.25" customHeight="1" x14ac:dyDescent="0.3">
      <c r="A658" s="15" t="s">
        <v>30</v>
      </c>
      <c r="C658" s="19"/>
      <c r="D658" s="33" t="str">
        <f t="shared" si="152"/>
        <v>C100044</v>
      </c>
      <c r="E658" s="33"/>
      <c r="F658" s="34"/>
      <c r="G658" s="34" t="str">
        <f>"""NAV Direct"",""CRONUS JetCorp USA"",""32"",""1"",""168052"""</f>
        <v>"NAV Direct","CRONUS JetCorp USA","32","1","168052"</v>
      </c>
      <c r="H658" s="40">
        <v>43466</v>
      </c>
      <c r="I658" s="41">
        <v>168052</v>
      </c>
      <c r="J658" s="42" t="str">
        <f>"Vendor"</f>
        <v>Vendor</v>
      </c>
      <c r="K658" s="42" t="str">
        <f>"V100003"</f>
        <v>V100003</v>
      </c>
      <c r="L658" s="42" t="str">
        <f>IF($J658="Customer",_xll.NL("first",$J658,"Name","No.","@@"&amp;$K658),"")</f>
        <v/>
      </c>
      <c r="M658" s="42" t="str">
        <f>"LogoMasters"</f>
        <v>LogoMasters</v>
      </c>
      <c r="N658" s="42" t="str">
        <f>IF($J658="Item",_xll.NL("first",$J658,"Description","No.","@@"&amp;$K658),"")</f>
        <v/>
      </c>
      <c r="O658" s="43">
        <v>700</v>
      </c>
      <c r="P658" s="43">
        <v>0</v>
      </c>
      <c r="Q658" s="43">
        <v>0</v>
      </c>
      <c r="R658" s="43">
        <v>0</v>
      </c>
      <c r="S658" s="43">
        <v>0</v>
      </c>
      <c r="T658" s="43">
        <v>0</v>
      </c>
      <c r="U658" s="56"/>
    </row>
    <row r="659" spans="1:21" ht="17.25" customHeight="1" x14ac:dyDescent="0.3">
      <c r="A659" s="15" t="s">
        <v>30</v>
      </c>
      <c r="C659" s="19"/>
      <c r="D659" s="33" t="str">
        <f t="shared" si="152"/>
        <v>C100044</v>
      </c>
      <c r="E659" s="33"/>
      <c r="F659" s="34"/>
      <c r="G659" s="34" t="str">
        <f>"""NAV Direct"",""CRONUS JetCorp USA"",""32"",""1"",""3890"""</f>
        <v>"NAV Direct","CRONUS JetCorp USA","32","1","3890"</v>
      </c>
      <c r="H659" s="40">
        <v>43467</v>
      </c>
      <c r="I659" s="41">
        <v>3890</v>
      </c>
      <c r="J659" s="42" t="str">
        <f>"Customer"</f>
        <v>Customer</v>
      </c>
      <c r="K659" s="42" t="str">
        <f>"C100099"</f>
        <v>C100099</v>
      </c>
      <c r="L659" s="42" t="str">
        <f>IF($J659="Customer",_xll.NL("first",$J659,"Name","No.","@@"&amp;$K659),"")</f>
        <v>Voltive Systems</v>
      </c>
      <c r="M659" s="42" t="str">
        <f>""</f>
        <v/>
      </c>
      <c r="N659" s="42" t="str">
        <f>IF($J659="Item",_xll.NL("first",$J659,"Description","No.","@@"&amp;$K659),"")</f>
        <v/>
      </c>
      <c r="O659" s="43">
        <v>0</v>
      </c>
      <c r="P659" s="43">
        <v>-168</v>
      </c>
      <c r="Q659" s="43">
        <v>0</v>
      </c>
      <c r="R659" s="43">
        <v>0</v>
      </c>
      <c r="S659" s="43">
        <v>0</v>
      </c>
      <c r="T659" s="43">
        <v>0</v>
      </c>
      <c r="U659" s="56"/>
    </row>
    <row r="660" spans="1:21" ht="17.25" customHeight="1" x14ac:dyDescent="0.3">
      <c r="A660" s="15" t="s">
        <v>30</v>
      </c>
      <c r="C660" s="19"/>
      <c r="D660" s="33" t="str">
        <f t="shared" si="152"/>
        <v>C100044</v>
      </c>
      <c r="E660" s="33"/>
      <c r="F660" s="34"/>
      <c r="G660" s="34" t="str">
        <f>"""NAV Direct"",""CRONUS JetCorp USA"",""32"",""1"",""120184"""</f>
        <v>"NAV Direct","CRONUS JetCorp USA","32","1","120184"</v>
      </c>
      <c r="H660" s="40">
        <v>43469</v>
      </c>
      <c r="I660" s="41">
        <v>120184</v>
      </c>
      <c r="J660" s="42" t="str">
        <f>"Customer"</f>
        <v>Customer</v>
      </c>
      <c r="K660" s="42" t="str">
        <f>"C100134"</f>
        <v>C100134</v>
      </c>
      <c r="L660" s="42" t="str">
        <f>IF($J660="Customer",_xll.NL("first",$J660,"Name","No.","@@"&amp;$K660),"")</f>
        <v>Iber Tech</v>
      </c>
      <c r="M660" s="42" t="str">
        <f>""</f>
        <v/>
      </c>
      <c r="N660" s="42" t="str">
        <f>IF($J660="Item",_xll.NL("first",$J660,"Description","No.","@@"&amp;$K660),"")</f>
        <v/>
      </c>
      <c r="O660" s="43">
        <v>0</v>
      </c>
      <c r="P660" s="43">
        <v>-12</v>
      </c>
      <c r="Q660" s="43">
        <v>0</v>
      </c>
      <c r="R660" s="43">
        <v>0</v>
      </c>
      <c r="S660" s="43">
        <v>0</v>
      </c>
      <c r="T660" s="43">
        <v>0</v>
      </c>
      <c r="U660" s="56"/>
    </row>
    <row r="661" spans="1:21" ht="17.25" customHeight="1" x14ac:dyDescent="0.3">
      <c r="A661" s="15" t="s">
        <v>30</v>
      </c>
      <c r="C661" s="19"/>
      <c r="D661" s="33" t="str">
        <f t="shared" si="152"/>
        <v>C100044</v>
      </c>
      <c r="E661" s="33"/>
      <c r="F661" s="34"/>
      <c r="G661" s="34" t="str">
        <f>"""NAV Direct"",""CRONUS JetCorp USA"",""32"",""1"",""153196"""</f>
        <v>"NAV Direct","CRONUS JetCorp USA","32","1","153196"</v>
      </c>
      <c r="H661" s="40">
        <v>43469</v>
      </c>
      <c r="I661" s="41">
        <v>153196</v>
      </c>
      <c r="J661" s="42" t="str">
        <f>"Customer"</f>
        <v>Customer</v>
      </c>
      <c r="K661" s="42" t="str">
        <f>"C100136"</f>
        <v>C100136</v>
      </c>
      <c r="L661" s="42" t="str">
        <f>IF($J661="Customer",_xll.NL("first",$J661,"Name","No.","@@"&amp;$K661),"")</f>
        <v>First Bank</v>
      </c>
      <c r="M661" s="42" t="str">
        <f>""</f>
        <v/>
      </c>
      <c r="N661" s="42" t="str">
        <f>IF($J661="Item",_xll.NL("first",$J661,"Description","No.","@@"&amp;$K661),"")</f>
        <v/>
      </c>
      <c r="O661" s="43">
        <v>0</v>
      </c>
      <c r="P661" s="43">
        <v>-12</v>
      </c>
      <c r="Q661" s="43">
        <v>0</v>
      </c>
      <c r="R661" s="43">
        <v>0</v>
      </c>
      <c r="S661" s="43">
        <v>0</v>
      </c>
      <c r="T661" s="43">
        <v>0</v>
      </c>
      <c r="U661" s="56"/>
    </row>
    <row r="662" spans="1:21" ht="17.25" customHeight="1" x14ac:dyDescent="0.3">
      <c r="A662" s="15" t="s">
        <v>30</v>
      </c>
      <c r="C662" s="19"/>
      <c r="D662" s="33" t="str">
        <f t="shared" si="152"/>
        <v>C100044</v>
      </c>
      <c r="E662" s="33"/>
      <c r="F662" s="34"/>
      <c r="G662" s="34" t="str">
        <f>"""NAV Direct"",""CRONUS JetCorp USA"",""32"",""1"",""111300"""</f>
        <v>"NAV Direct","CRONUS JetCorp USA","32","1","111300"</v>
      </c>
      <c r="H662" s="40">
        <v>43470</v>
      </c>
      <c r="I662" s="41">
        <v>111300</v>
      </c>
      <c r="J662" s="42" t="str">
        <f>"Customer"</f>
        <v>Customer</v>
      </c>
      <c r="K662" s="42" t="str">
        <f>"C100037"</f>
        <v>C100037</v>
      </c>
      <c r="L662" s="42" t="str">
        <f>IF($J662="Customer",_xll.NL("first",$J662,"Name","No.","@@"&amp;$K662),"")</f>
        <v>Tempsons Tropies</v>
      </c>
      <c r="M662" s="42" t="str">
        <f>""</f>
        <v/>
      </c>
      <c r="N662" s="42" t="str">
        <f>IF($J662="Item",_xll.NL("first",$J662,"Description","No.","@@"&amp;$K662),"")</f>
        <v/>
      </c>
      <c r="O662" s="43">
        <v>0</v>
      </c>
      <c r="P662" s="43">
        <v>-1</v>
      </c>
      <c r="Q662" s="43">
        <v>0</v>
      </c>
      <c r="R662" s="43">
        <v>0</v>
      </c>
      <c r="S662" s="43">
        <v>0</v>
      </c>
      <c r="T662" s="43">
        <v>0</v>
      </c>
      <c r="U662" s="56"/>
    </row>
    <row r="663" spans="1:21" ht="17.25" customHeight="1" x14ac:dyDescent="0.3">
      <c r="A663" s="15" t="s">
        <v>30</v>
      </c>
      <c r="C663" s="19"/>
      <c r="D663" s="33" t="str">
        <f t="shared" si="152"/>
        <v>C100044</v>
      </c>
      <c r="E663" s="33"/>
      <c r="F663" s="34"/>
      <c r="G663" s="34" t="str">
        <f>"""NAV Direct"",""CRONUS JetCorp USA"",""32"",""1"",""15152"""</f>
        <v>"NAV Direct","CRONUS JetCorp USA","32","1","15152"</v>
      </c>
      <c r="H663" s="40">
        <v>43471</v>
      </c>
      <c r="I663" s="41">
        <v>15152</v>
      </c>
      <c r="J663" s="42" t="str">
        <f>"Customer"</f>
        <v>Customer</v>
      </c>
      <c r="K663" s="42" t="str">
        <f>"C100134"</f>
        <v>C100134</v>
      </c>
      <c r="L663" s="42" t="str">
        <f>IF($J663="Customer",_xll.NL("first",$J663,"Name","No.","@@"&amp;$K663),"")</f>
        <v>Iber Tech</v>
      </c>
      <c r="M663" s="42" t="str">
        <f>""</f>
        <v/>
      </c>
      <c r="N663" s="42" t="str">
        <f>IF($J663="Item",_xll.NL("first",$J663,"Description","No.","@@"&amp;$K663),"")</f>
        <v/>
      </c>
      <c r="O663" s="43">
        <v>0</v>
      </c>
      <c r="P663" s="43">
        <v>-24</v>
      </c>
      <c r="Q663" s="43">
        <v>0</v>
      </c>
      <c r="R663" s="43">
        <v>0</v>
      </c>
      <c r="S663" s="43">
        <v>0</v>
      </c>
      <c r="T663" s="43">
        <v>0</v>
      </c>
      <c r="U663" s="56"/>
    </row>
    <row r="664" spans="1:21" ht="17.25" customHeight="1" x14ac:dyDescent="0.3">
      <c r="A664" s="15" t="s">
        <v>30</v>
      </c>
      <c r="C664" s="19"/>
      <c r="D664" s="33" t="str">
        <f t="shared" si="152"/>
        <v>C100044</v>
      </c>
      <c r="E664" s="33"/>
      <c r="F664" s="34"/>
      <c r="G664" s="34" t="str">
        <f>"""NAV Direct"",""CRONUS JetCorp USA"",""32"",""1"",""118083"""</f>
        <v>"NAV Direct","CRONUS JetCorp USA","32","1","118083"</v>
      </c>
      <c r="H664" s="40">
        <v>43471</v>
      </c>
      <c r="I664" s="41">
        <v>118083</v>
      </c>
      <c r="J664" s="42" t="str">
        <f>"Customer"</f>
        <v>Customer</v>
      </c>
      <c r="K664" s="42" t="str">
        <f>"C100060"</f>
        <v>C100060</v>
      </c>
      <c r="L664" s="42" t="str">
        <f>IF($J664="Customer",_xll.NL("first",$J664,"Name","No.","@@"&amp;$K664),"")</f>
        <v>MEMA Ljubljana d.o.o.</v>
      </c>
      <c r="M664" s="42" t="str">
        <f>""</f>
        <v/>
      </c>
      <c r="N664" s="42" t="str">
        <f>IF($J664="Item",_xll.NL("first",$J664,"Description","No.","@@"&amp;$K664),"")</f>
        <v/>
      </c>
      <c r="O664" s="43">
        <v>0</v>
      </c>
      <c r="P664" s="43">
        <v>-54</v>
      </c>
      <c r="Q664" s="43">
        <v>0</v>
      </c>
      <c r="R664" s="43">
        <v>0</v>
      </c>
      <c r="S664" s="43">
        <v>0</v>
      </c>
      <c r="T664" s="43">
        <v>0</v>
      </c>
      <c r="U664" s="56"/>
    </row>
    <row r="665" spans="1:21" ht="17.25" customHeight="1" x14ac:dyDescent="0.3">
      <c r="A665" s="15" t="s">
        <v>30</v>
      </c>
      <c r="C665" s="19"/>
      <c r="D665" s="33" t="str">
        <f t="shared" si="152"/>
        <v>C100044</v>
      </c>
      <c r="E665" s="33"/>
      <c r="F665" s="34"/>
      <c r="G665" s="34" t="str">
        <f>"""NAV Direct"",""CRONUS JetCorp USA"",""32"",""1"",""111314"""</f>
        <v>"NAV Direct","CRONUS JetCorp USA","32","1","111314"</v>
      </c>
      <c r="H665" s="40">
        <v>43472</v>
      </c>
      <c r="I665" s="41">
        <v>111314</v>
      </c>
      <c r="J665" s="42" t="str">
        <f>"Customer"</f>
        <v>Customer</v>
      </c>
      <c r="K665" s="42" t="str">
        <f>"C100099"</f>
        <v>C100099</v>
      </c>
      <c r="L665" s="42" t="str">
        <f>IF($J665="Customer",_xll.NL("first",$J665,"Name","No.","@@"&amp;$K665),"")</f>
        <v>Voltive Systems</v>
      </c>
      <c r="M665" s="42" t="str">
        <f>""</f>
        <v/>
      </c>
      <c r="N665" s="42" t="str">
        <f>IF($J665="Item",_xll.NL("first",$J665,"Description","No.","@@"&amp;$K665),"")</f>
        <v/>
      </c>
      <c r="O665" s="43">
        <v>0</v>
      </c>
      <c r="P665" s="43">
        <v>-144</v>
      </c>
      <c r="Q665" s="43">
        <v>0</v>
      </c>
      <c r="R665" s="43">
        <v>0</v>
      </c>
      <c r="S665" s="43">
        <v>0</v>
      </c>
      <c r="T665" s="43">
        <v>0</v>
      </c>
      <c r="U665" s="56"/>
    </row>
    <row r="666" spans="1:21" ht="17.25" customHeight="1" x14ac:dyDescent="0.3">
      <c r="A666" s="15" t="s">
        <v>30</v>
      </c>
      <c r="C666" s="19"/>
      <c r="D666" s="33" t="str">
        <f t="shared" si="152"/>
        <v>C100044</v>
      </c>
      <c r="E666" s="33"/>
      <c r="F666" s="34"/>
      <c r="G666" s="34" t="str">
        <f>"""NAV Direct"",""CRONUS JetCorp USA"",""32"",""1"",""44512"""</f>
        <v>"NAV Direct","CRONUS JetCorp USA","32","1","44512"</v>
      </c>
      <c r="H666" s="40">
        <v>43473</v>
      </c>
      <c r="I666" s="41">
        <v>44512</v>
      </c>
      <c r="J666" s="42" t="str">
        <f>"Customer"</f>
        <v>Customer</v>
      </c>
      <c r="K666" s="42" t="str">
        <f>"C100139"</f>
        <v>C100139</v>
      </c>
      <c r="L666" s="42" t="str">
        <f>IF($J666="Customer",_xll.NL("first",$J666,"Name","No.","@@"&amp;$K666),"")</f>
        <v>Gamma Ray's</v>
      </c>
      <c r="M666" s="42" t="str">
        <f>""</f>
        <v/>
      </c>
      <c r="N666" s="42" t="str">
        <f>IF($J666="Item",_xll.NL("first",$J666,"Description","No.","@@"&amp;$K666),"")</f>
        <v/>
      </c>
      <c r="O666" s="43">
        <v>0</v>
      </c>
      <c r="P666" s="43">
        <v>-288</v>
      </c>
      <c r="Q666" s="43">
        <v>0</v>
      </c>
      <c r="R666" s="43">
        <v>0</v>
      </c>
      <c r="S666" s="43">
        <v>0</v>
      </c>
      <c r="T666" s="43">
        <v>0</v>
      </c>
      <c r="U666" s="56"/>
    </row>
    <row r="667" spans="1:21" ht="17.25" customHeight="1" x14ac:dyDescent="0.3">
      <c r="A667" s="15" t="s">
        <v>30</v>
      </c>
      <c r="C667" s="19"/>
      <c r="D667" s="33" t="str">
        <f t="shared" si="152"/>
        <v>C100044</v>
      </c>
      <c r="E667" s="33"/>
      <c r="F667" s="34"/>
      <c r="G667" s="34" t="str">
        <f>"""NAV Direct"",""CRONUS JetCorp USA"",""32"",""1"",""114285"""</f>
        <v>"NAV Direct","CRONUS JetCorp USA","32","1","114285"</v>
      </c>
      <c r="H667" s="40">
        <v>43473</v>
      </c>
      <c r="I667" s="41">
        <v>114285</v>
      </c>
      <c r="J667" s="42" t="str">
        <f>"Customer"</f>
        <v>Customer</v>
      </c>
      <c r="K667" s="42" t="str">
        <f>"C100083"</f>
        <v>C100083</v>
      </c>
      <c r="L667" s="42" t="str">
        <f>IF($J667="Customer",_xll.NL("first",$J667,"Name","No.","@@"&amp;$K667),"")</f>
        <v>Stanfords</v>
      </c>
      <c r="M667" s="42" t="str">
        <f>""</f>
        <v/>
      </c>
      <c r="N667" s="42" t="str">
        <f>IF($J667="Item",_xll.NL("first",$J667,"Description","No.","@@"&amp;$K667),"")</f>
        <v/>
      </c>
      <c r="O667" s="43">
        <v>0</v>
      </c>
      <c r="P667" s="43">
        <v>-144</v>
      </c>
      <c r="Q667" s="43">
        <v>0</v>
      </c>
      <c r="R667" s="43">
        <v>0</v>
      </c>
      <c r="S667" s="43">
        <v>0</v>
      </c>
      <c r="T667" s="43">
        <v>0</v>
      </c>
      <c r="U667" s="56"/>
    </row>
    <row r="668" spans="1:21" ht="17.25" customHeight="1" x14ac:dyDescent="0.3">
      <c r="A668" s="15" t="s">
        <v>30</v>
      </c>
      <c r="C668" s="19"/>
      <c r="D668" s="33" t="str">
        <f t="shared" si="152"/>
        <v>C100044</v>
      </c>
      <c r="E668" s="33"/>
      <c r="F668" s="34"/>
      <c r="G668" s="34" t="str">
        <f>"""NAV Direct"",""CRONUS JetCorp USA"",""32"",""1"",""120192"""</f>
        <v>"NAV Direct","CRONUS JetCorp USA","32","1","120192"</v>
      </c>
      <c r="H668" s="40">
        <v>43474</v>
      </c>
      <c r="I668" s="41">
        <v>120192</v>
      </c>
      <c r="J668" s="42" t="str">
        <f>"Customer"</f>
        <v>Customer</v>
      </c>
      <c r="K668" s="42" t="str">
        <f>"C100049"</f>
        <v>C100049</v>
      </c>
      <c r="L668" s="42" t="str">
        <f>IF($J668="Customer",_xll.NL("first",$J668,"Name","No.","@@"&amp;$K668),"")</f>
        <v>Konberg Tapet AB</v>
      </c>
      <c r="M668" s="42" t="str">
        <f>""</f>
        <v/>
      </c>
      <c r="N668" s="42" t="str">
        <f>IF($J668="Item",_xll.NL("first",$J668,"Description","No.","@@"&amp;$K668),"")</f>
        <v/>
      </c>
      <c r="O668" s="43">
        <v>0</v>
      </c>
      <c r="P668" s="43">
        <v>-24</v>
      </c>
      <c r="Q668" s="43">
        <v>0</v>
      </c>
      <c r="R668" s="43">
        <v>0</v>
      </c>
      <c r="S668" s="43">
        <v>0</v>
      </c>
      <c r="T668" s="43">
        <v>0</v>
      </c>
      <c r="U668" s="56"/>
    </row>
    <row r="669" spans="1:21" ht="17.25" customHeight="1" x14ac:dyDescent="0.3">
      <c r="A669" s="15" t="s">
        <v>30</v>
      </c>
      <c r="C669" s="19"/>
      <c r="D669" s="33" t="str">
        <f t="shared" si="152"/>
        <v>C100044</v>
      </c>
      <c r="E669" s="33"/>
      <c r="F669" s="34"/>
      <c r="G669" s="34" t="str">
        <f>"""NAV Direct"",""CRONUS JetCorp USA"",""32"",""1"",""7580"""</f>
        <v>"NAV Direct","CRONUS JetCorp USA","32","1","7580"</v>
      </c>
      <c r="H669" s="40">
        <v>43476</v>
      </c>
      <c r="I669" s="41">
        <v>7580</v>
      </c>
      <c r="J669" s="42" t="str">
        <f>"Customer"</f>
        <v>Customer</v>
      </c>
      <c r="K669" s="42" t="str">
        <f>"C100083"</f>
        <v>C100083</v>
      </c>
      <c r="L669" s="42" t="str">
        <f>IF($J669="Customer",_xll.NL("first",$J669,"Name","No.","@@"&amp;$K669),"")</f>
        <v>Stanfords</v>
      </c>
      <c r="M669" s="42" t="str">
        <f>""</f>
        <v/>
      </c>
      <c r="N669" s="42" t="str">
        <f>IF($J669="Item",_xll.NL("first",$J669,"Description","No.","@@"&amp;$K669),"")</f>
        <v/>
      </c>
      <c r="O669" s="43">
        <v>0</v>
      </c>
      <c r="P669" s="43">
        <v>-2</v>
      </c>
      <c r="Q669" s="43">
        <v>0</v>
      </c>
      <c r="R669" s="43">
        <v>0</v>
      </c>
      <c r="S669" s="43">
        <v>0</v>
      </c>
      <c r="T669" s="43">
        <v>0</v>
      </c>
      <c r="U669" s="56"/>
    </row>
    <row r="670" spans="1:21" ht="17.25" customHeight="1" x14ac:dyDescent="0.3">
      <c r="A670" s="15" t="s">
        <v>30</v>
      </c>
      <c r="C670" s="19"/>
      <c r="D670" s="33"/>
      <c r="E670" s="33"/>
      <c r="F670" s="34"/>
      <c r="G670" s="34"/>
      <c r="H670" s="34"/>
      <c r="I670" s="34"/>
      <c r="J670" s="34"/>
      <c r="K670" s="34"/>
      <c r="L670" s="34"/>
      <c r="M670" s="34"/>
      <c r="N670" s="34"/>
      <c r="O670" s="44"/>
      <c r="P670" s="44"/>
      <c r="Q670" s="44"/>
      <c r="R670" s="44"/>
      <c r="S670" s="44"/>
      <c r="T670" s="44"/>
      <c r="U670" s="57"/>
    </row>
    <row r="671" spans="1:21" ht="17.25" customHeight="1" x14ac:dyDescent="0.3">
      <c r="A671" s="15" t="s">
        <v>30</v>
      </c>
      <c r="C671" s="19"/>
      <c r="D671" s="33"/>
      <c r="E671" s="33" t="s">
        <v>31</v>
      </c>
      <c r="F671" s="34" t="s">
        <v>31</v>
      </c>
      <c r="G671" s="34" t="s">
        <v>31</v>
      </c>
      <c r="H671" s="34"/>
      <c r="I671" s="34"/>
      <c r="J671" s="34" t="s">
        <v>31</v>
      </c>
      <c r="K671" s="34" t="s">
        <v>31</v>
      </c>
      <c r="L671" s="34" t="s">
        <v>31</v>
      </c>
      <c r="M671" s="34" t="s">
        <v>31</v>
      </c>
      <c r="N671" s="34"/>
      <c r="U671" s="58"/>
    </row>
    <row r="672" spans="1:21" ht="20.25" customHeight="1" x14ac:dyDescent="0.35">
      <c r="A672" s="15" t="s">
        <v>30</v>
      </c>
      <c r="C672" s="19"/>
      <c r="D672" s="35" t="str">
        <f t="shared" ref="D672" si="153">E672</f>
        <v>C100045</v>
      </c>
      <c r="E672" s="36" t="str">
        <f>"C100045"</f>
        <v>C100045</v>
      </c>
      <c r="F672" s="37" t="str">
        <f>"Wireless Headphones"</f>
        <v>Wireless Headphones</v>
      </c>
      <c r="G672" s="37"/>
      <c r="H672" s="38" t="str">
        <f>"EA"</f>
        <v>EA</v>
      </c>
      <c r="I672" s="37"/>
      <c r="J672" s="37"/>
      <c r="K672" s="37"/>
      <c r="L672" s="37"/>
      <c r="M672" s="37"/>
      <c r="N672" s="37"/>
      <c r="O672" s="39">
        <f>(SUBTOTAL(9,O673:O680))</f>
        <v>900</v>
      </c>
      <c r="P672" s="39">
        <f>(SUBTOTAL(9,P673:P680))</f>
        <v>-457</v>
      </c>
      <c r="Q672" s="39">
        <f>(SUBTOTAL(9,Q673:Q680))</f>
        <v>0</v>
      </c>
      <c r="R672" s="39">
        <f>(SUBTOTAL(9,R673:R680))</f>
        <v>0</v>
      </c>
      <c r="S672" s="39">
        <f>(SUBTOTAL(9,S673:S680))</f>
        <v>0</v>
      </c>
      <c r="T672" s="39">
        <f>(SUBTOTAL(9,T673:T680))</f>
        <v>0</v>
      </c>
      <c r="U672" s="55">
        <f t="shared" ref="U672" si="154">SUBTOTAL(9,O673:T680)</f>
        <v>443</v>
      </c>
    </row>
    <row r="673" spans="1:21" ht="17.25" customHeight="1" x14ac:dyDescent="0.3">
      <c r="A673" s="15" t="s">
        <v>30</v>
      </c>
      <c r="C673" s="19"/>
      <c r="D673" s="33" t="str">
        <f t="shared" ref="D673" si="155">D672</f>
        <v>C100045</v>
      </c>
      <c r="E673" s="33"/>
      <c r="F673" s="34"/>
      <c r="G673" s="34" t="str">
        <f>"""NAV Direct"",""CRONUS JetCorp USA"",""32"",""1"",""168002"""</f>
        <v>"NAV Direct","CRONUS JetCorp USA","32","1","168002"</v>
      </c>
      <c r="H673" s="40">
        <v>43466</v>
      </c>
      <c r="I673" s="41">
        <v>168002</v>
      </c>
      <c r="J673" s="42" t="str">
        <f>"Vendor"</f>
        <v>Vendor</v>
      </c>
      <c r="K673" s="42" t="str">
        <f>"V100023"</f>
        <v>V100023</v>
      </c>
      <c r="L673" s="42" t="str">
        <f>IF($J673="Customer",_xll.NL("first",$J673,"Name","No.","@@"&amp;$K673),"")</f>
        <v/>
      </c>
      <c r="M673" s="42" t="str">
        <f>"PURE-LOOK"</f>
        <v>PURE-LOOK</v>
      </c>
      <c r="N673" s="42" t="str">
        <f>IF($J673="Item",_xll.NL("first",$J673,"Description","No.","@@"&amp;$K673),"")</f>
        <v/>
      </c>
      <c r="O673" s="43">
        <v>100</v>
      </c>
      <c r="P673" s="43">
        <v>0</v>
      </c>
      <c r="Q673" s="43">
        <v>0</v>
      </c>
      <c r="R673" s="43">
        <v>0</v>
      </c>
      <c r="S673" s="43">
        <v>0</v>
      </c>
      <c r="T673" s="43">
        <v>0</v>
      </c>
      <c r="U673" s="56"/>
    </row>
    <row r="674" spans="1:21" ht="17.25" customHeight="1" x14ac:dyDescent="0.3">
      <c r="A674" s="15" t="s">
        <v>30</v>
      </c>
      <c r="C674" s="19"/>
      <c r="D674" s="33" t="str">
        <f t="shared" ref="D674:D679" si="156">D673</f>
        <v>C100045</v>
      </c>
      <c r="E674" s="33"/>
      <c r="F674" s="34"/>
      <c r="G674" s="34" t="str">
        <f>"""NAV Direct"",""CRONUS JetCorp USA"",""32"",""1"",""168013"""</f>
        <v>"NAV Direct","CRONUS JetCorp USA","32","1","168013"</v>
      </c>
      <c r="H674" s="40">
        <v>43466</v>
      </c>
      <c r="I674" s="41">
        <v>168013</v>
      </c>
      <c r="J674" s="42" t="str">
        <f>"Vendor"</f>
        <v>Vendor</v>
      </c>
      <c r="K674" s="42" t="str">
        <f>"V100040"</f>
        <v>V100040</v>
      </c>
      <c r="L674" s="42" t="str">
        <f>IF($J674="Customer",_xll.NL("first",$J674,"Name","No.","@@"&amp;$K674),"")</f>
        <v/>
      </c>
      <c r="M674" s="42" t="str">
        <f>"Technische Betriebe Rotkreuz"</f>
        <v>Technische Betriebe Rotkreuz</v>
      </c>
      <c r="N674" s="42" t="str">
        <f>IF($J674="Item",_xll.NL("first",$J674,"Description","No.","@@"&amp;$K674),"")</f>
        <v/>
      </c>
      <c r="O674" s="43">
        <v>100</v>
      </c>
      <c r="P674" s="43">
        <v>0</v>
      </c>
      <c r="Q674" s="43">
        <v>0</v>
      </c>
      <c r="R674" s="43">
        <v>0</v>
      </c>
      <c r="S674" s="43">
        <v>0</v>
      </c>
      <c r="T674" s="43">
        <v>0</v>
      </c>
      <c r="U674" s="56"/>
    </row>
    <row r="675" spans="1:21" ht="17.25" customHeight="1" x14ac:dyDescent="0.3">
      <c r="A675" s="15" t="s">
        <v>30</v>
      </c>
      <c r="C675" s="19"/>
      <c r="D675" s="33" t="str">
        <f t="shared" si="156"/>
        <v>C100045</v>
      </c>
      <c r="E675" s="33"/>
      <c r="F675" s="34"/>
      <c r="G675" s="34" t="str">
        <f>"""NAV Direct"",""CRONUS JetCorp USA"",""32"",""1"",""168030"""</f>
        <v>"NAV Direct","CRONUS JetCorp USA","32","1","168030"</v>
      </c>
      <c r="H675" s="40">
        <v>43466</v>
      </c>
      <c r="I675" s="41">
        <v>168030</v>
      </c>
      <c r="J675" s="42" t="str">
        <f>"Vendor"</f>
        <v>Vendor</v>
      </c>
      <c r="K675" s="42" t="str">
        <f>"V100007"</f>
        <v>V100007</v>
      </c>
      <c r="L675" s="42" t="str">
        <f>IF($J675="Customer",_xll.NL("first",$J675,"Name","No.","@@"&amp;$K675),"")</f>
        <v/>
      </c>
      <c r="M675" s="42" t="str">
        <f>"TrendTech"</f>
        <v>TrendTech</v>
      </c>
      <c r="N675" s="42" t="str">
        <f>IF($J675="Item",_xll.NL("first",$J675,"Description","No.","@@"&amp;$K675),"")</f>
        <v/>
      </c>
      <c r="O675" s="43">
        <v>700</v>
      </c>
      <c r="P675" s="43">
        <v>0</v>
      </c>
      <c r="Q675" s="43">
        <v>0</v>
      </c>
      <c r="R675" s="43">
        <v>0</v>
      </c>
      <c r="S675" s="43">
        <v>0</v>
      </c>
      <c r="T675" s="43">
        <v>0</v>
      </c>
      <c r="U675" s="56"/>
    </row>
    <row r="676" spans="1:21" ht="17.25" customHeight="1" x14ac:dyDescent="0.3">
      <c r="A676" s="15" t="s">
        <v>30</v>
      </c>
      <c r="C676" s="19"/>
      <c r="D676" s="33" t="str">
        <f t="shared" si="156"/>
        <v>C100045</v>
      </c>
      <c r="E676" s="33"/>
      <c r="F676" s="34"/>
      <c r="G676" s="34" t="str">
        <f>"""NAV Direct"",""CRONUS JetCorp USA"",""32"",""1"",""111278"""</f>
        <v>"NAV Direct","CRONUS JetCorp USA","32","1","111278"</v>
      </c>
      <c r="H676" s="40">
        <v>43472</v>
      </c>
      <c r="I676" s="41">
        <v>111278</v>
      </c>
      <c r="J676" s="42" t="str">
        <f>"Customer"</f>
        <v>Customer</v>
      </c>
      <c r="K676" s="42" t="str">
        <f>"C100099"</f>
        <v>C100099</v>
      </c>
      <c r="L676" s="42" t="str">
        <f>IF($J676="Customer",_xll.NL("first",$J676,"Name","No.","@@"&amp;$K676),"")</f>
        <v>Voltive Systems</v>
      </c>
      <c r="M676" s="42" t="str">
        <f>""</f>
        <v/>
      </c>
      <c r="N676" s="42" t="str">
        <f>IF($J676="Item",_xll.NL("first",$J676,"Description","No.","@@"&amp;$K676),"")</f>
        <v/>
      </c>
      <c r="O676" s="43">
        <v>0</v>
      </c>
      <c r="P676" s="43">
        <v>-144</v>
      </c>
      <c r="Q676" s="43">
        <v>0</v>
      </c>
      <c r="R676" s="43">
        <v>0</v>
      </c>
      <c r="S676" s="43">
        <v>0</v>
      </c>
      <c r="T676" s="43">
        <v>0</v>
      </c>
      <c r="U676" s="56"/>
    </row>
    <row r="677" spans="1:21" ht="17.25" customHeight="1" x14ac:dyDescent="0.3">
      <c r="A677" s="15" t="s">
        <v>30</v>
      </c>
      <c r="C677" s="19"/>
      <c r="D677" s="33" t="str">
        <f t="shared" si="156"/>
        <v>C100045</v>
      </c>
      <c r="E677" s="33"/>
      <c r="F677" s="34"/>
      <c r="G677" s="34" t="str">
        <f>"""NAV Direct"",""CRONUS JetCorp USA"",""32"",""1"",""3896"""</f>
        <v>"NAV Direct","CRONUS JetCorp USA","32","1","3896"</v>
      </c>
      <c r="H677" s="40">
        <v>43473</v>
      </c>
      <c r="I677" s="41">
        <v>3896</v>
      </c>
      <c r="J677" s="42" t="str">
        <f>"Customer"</f>
        <v>Customer</v>
      </c>
      <c r="K677" s="42" t="str">
        <f>"C100037"</f>
        <v>C100037</v>
      </c>
      <c r="L677" s="42" t="str">
        <f>IF($J677="Customer",_xll.NL("first",$J677,"Name","No.","@@"&amp;$K677),"")</f>
        <v>Tempsons Tropies</v>
      </c>
      <c r="M677" s="42" t="str">
        <f>""</f>
        <v/>
      </c>
      <c r="N677" s="42" t="str">
        <f>IF($J677="Item",_xll.NL("first",$J677,"Description","No.","@@"&amp;$K677),"")</f>
        <v/>
      </c>
      <c r="O677" s="43">
        <v>0</v>
      </c>
      <c r="P677" s="43">
        <v>-144</v>
      </c>
      <c r="Q677" s="43">
        <v>0</v>
      </c>
      <c r="R677" s="43">
        <v>0</v>
      </c>
      <c r="S677" s="43">
        <v>0</v>
      </c>
      <c r="T677" s="43">
        <v>0</v>
      </c>
      <c r="U677" s="56"/>
    </row>
    <row r="678" spans="1:21" ht="17.25" customHeight="1" x14ac:dyDescent="0.3">
      <c r="A678" s="15" t="s">
        <v>30</v>
      </c>
      <c r="C678" s="19"/>
      <c r="D678" s="33" t="str">
        <f t="shared" si="156"/>
        <v>C100045</v>
      </c>
      <c r="E678" s="33"/>
      <c r="F678" s="34"/>
      <c r="G678" s="34" t="str">
        <f>"""NAV Direct"",""CRONUS JetCorp USA"",""32"",""1"",""120189"""</f>
        <v>"NAV Direct","CRONUS JetCorp USA","32","1","120189"</v>
      </c>
      <c r="H678" s="40">
        <v>43474</v>
      </c>
      <c r="I678" s="41">
        <v>120189</v>
      </c>
      <c r="J678" s="42" t="str">
        <f>"Customer"</f>
        <v>Customer</v>
      </c>
      <c r="K678" s="42" t="str">
        <f>"C100049"</f>
        <v>C100049</v>
      </c>
      <c r="L678" s="42" t="str">
        <f>IF($J678="Customer",_xll.NL("first",$J678,"Name","No.","@@"&amp;$K678),"")</f>
        <v>Konberg Tapet AB</v>
      </c>
      <c r="M678" s="42" t="str">
        <f>""</f>
        <v/>
      </c>
      <c r="N678" s="42" t="str">
        <f>IF($J678="Item",_xll.NL("first",$J678,"Description","No.","@@"&amp;$K678),"")</f>
        <v/>
      </c>
      <c r="O678" s="43">
        <v>0</v>
      </c>
      <c r="P678" s="43">
        <v>-24</v>
      </c>
      <c r="Q678" s="43">
        <v>0</v>
      </c>
      <c r="R678" s="43">
        <v>0</v>
      </c>
      <c r="S678" s="43">
        <v>0</v>
      </c>
      <c r="T678" s="43">
        <v>0</v>
      </c>
      <c r="U678" s="56"/>
    </row>
    <row r="679" spans="1:21" ht="17.25" customHeight="1" x14ac:dyDescent="0.3">
      <c r="A679" s="15" t="s">
        <v>30</v>
      </c>
      <c r="C679" s="19"/>
      <c r="D679" s="33" t="str">
        <f t="shared" si="156"/>
        <v>C100045</v>
      </c>
      <c r="E679" s="33"/>
      <c r="F679" s="34"/>
      <c r="G679" s="34" t="str">
        <f>"""NAV Direct"",""CRONUS JetCorp USA"",""32"",""1"",""3917"""</f>
        <v>"NAV Direct","CRONUS JetCorp USA","32","1","3917"</v>
      </c>
      <c r="H679" s="40">
        <v>43475</v>
      </c>
      <c r="I679" s="41">
        <v>3917</v>
      </c>
      <c r="J679" s="42" t="str">
        <f>"Customer"</f>
        <v>Customer</v>
      </c>
      <c r="K679" s="42" t="str">
        <f>"C100099"</f>
        <v>C100099</v>
      </c>
      <c r="L679" s="42" t="str">
        <f>IF($J679="Customer",_xll.NL("first",$J679,"Name","No.","@@"&amp;$K679),"")</f>
        <v>Voltive Systems</v>
      </c>
      <c r="M679" s="42" t="str">
        <f>""</f>
        <v/>
      </c>
      <c r="N679" s="42" t="str">
        <f>IF($J679="Item",_xll.NL("first",$J679,"Description","No.","@@"&amp;$K679),"")</f>
        <v/>
      </c>
      <c r="O679" s="43">
        <v>0</v>
      </c>
      <c r="P679" s="43">
        <v>-145</v>
      </c>
      <c r="Q679" s="43">
        <v>0</v>
      </c>
      <c r="R679" s="43">
        <v>0</v>
      </c>
      <c r="S679" s="43">
        <v>0</v>
      </c>
      <c r="T679" s="43">
        <v>0</v>
      </c>
      <c r="U679" s="56"/>
    </row>
    <row r="680" spans="1:21" ht="17.25" customHeight="1" x14ac:dyDescent="0.3">
      <c r="A680" s="15" t="s">
        <v>30</v>
      </c>
      <c r="C680" s="19"/>
      <c r="D680" s="33"/>
      <c r="E680" s="33"/>
      <c r="F680" s="34"/>
      <c r="G680" s="34"/>
      <c r="H680" s="34"/>
      <c r="I680" s="34"/>
      <c r="J680" s="34"/>
      <c r="K680" s="34"/>
      <c r="L680" s="34"/>
      <c r="M680" s="34"/>
      <c r="N680" s="34"/>
      <c r="O680" s="44"/>
      <c r="P680" s="44"/>
      <c r="Q680" s="44"/>
      <c r="R680" s="44"/>
      <c r="S680" s="44"/>
      <c r="T680" s="44"/>
      <c r="U680" s="57"/>
    </row>
    <row r="681" spans="1:21" ht="17.25" customHeight="1" x14ac:dyDescent="0.3">
      <c r="A681" s="15" t="s">
        <v>30</v>
      </c>
      <c r="C681" s="19"/>
      <c r="D681" s="33"/>
      <c r="E681" s="33" t="s">
        <v>31</v>
      </c>
      <c r="F681" s="34" t="s">
        <v>31</v>
      </c>
      <c r="G681" s="34" t="s">
        <v>31</v>
      </c>
      <c r="H681" s="34"/>
      <c r="I681" s="34"/>
      <c r="J681" s="34" t="s">
        <v>31</v>
      </c>
      <c r="K681" s="34" t="s">
        <v>31</v>
      </c>
      <c r="L681" s="34" t="s">
        <v>31</v>
      </c>
      <c r="M681" s="34" t="s">
        <v>31</v>
      </c>
      <c r="N681" s="34"/>
      <c r="U681" s="58"/>
    </row>
    <row r="682" spans="1:21" ht="20.25" customHeight="1" x14ac:dyDescent="0.35">
      <c r="A682" s="15" t="s">
        <v>30</v>
      </c>
      <c r="C682" s="19"/>
      <c r="D682" s="35" t="str">
        <f t="shared" ref="D682" si="157">E682</f>
        <v>C100046</v>
      </c>
      <c r="E682" s="36" t="str">
        <f>"C100046"</f>
        <v>C100046</v>
      </c>
      <c r="F682" s="37" t="str">
        <f>"1GB MP3 Player"</f>
        <v>1GB MP3 Player</v>
      </c>
      <c r="G682" s="37"/>
      <c r="H682" s="38" t="str">
        <f>"EA"</f>
        <v>EA</v>
      </c>
      <c r="I682" s="37"/>
      <c r="J682" s="37"/>
      <c r="K682" s="37"/>
      <c r="L682" s="37"/>
      <c r="M682" s="37"/>
      <c r="N682" s="37"/>
      <c r="O682" s="39">
        <f>(SUBTOTAL(9,O683:O692))</f>
        <v>800</v>
      </c>
      <c r="P682" s="39">
        <f>(SUBTOTAL(9,P683:P692))</f>
        <v>-459</v>
      </c>
      <c r="Q682" s="39">
        <f>(SUBTOTAL(9,Q683:Q692))</f>
        <v>0</v>
      </c>
      <c r="R682" s="39">
        <f>(SUBTOTAL(9,R683:R692))</f>
        <v>0</v>
      </c>
      <c r="S682" s="39">
        <f>(SUBTOTAL(9,S683:S692))</f>
        <v>0</v>
      </c>
      <c r="T682" s="39">
        <f>(SUBTOTAL(9,T683:T692))</f>
        <v>0</v>
      </c>
      <c r="U682" s="55">
        <f t="shared" ref="U682" si="158">SUBTOTAL(9,O683:T692)</f>
        <v>341</v>
      </c>
    </row>
    <row r="683" spans="1:21" ht="17.25" customHeight="1" x14ac:dyDescent="0.3">
      <c r="A683" s="15" t="s">
        <v>30</v>
      </c>
      <c r="C683" s="19"/>
      <c r="D683" s="33" t="str">
        <f t="shared" ref="D683" si="159">D682</f>
        <v>C100046</v>
      </c>
      <c r="E683" s="33"/>
      <c r="F683" s="34"/>
      <c r="G683" s="34" t="str">
        <f>"""NAV Direct"",""CRONUS JetCorp USA"",""32"",""1"",""168012"""</f>
        <v>"NAV Direct","CRONUS JetCorp USA","32","1","168012"</v>
      </c>
      <c r="H683" s="40">
        <v>43466</v>
      </c>
      <c r="I683" s="41">
        <v>168012</v>
      </c>
      <c r="J683" s="42" t="str">
        <f>"Vendor"</f>
        <v>Vendor</v>
      </c>
      <c r="K683" s="42" t="str">
        <f>"V100040"</f>
        <v>V100040</v>
      </c>
      <c r="L683" s="42" t="str">
        <f>IF($J683="Customer",_xll.NL("first",$J683,"Name","No.","@@"&amp;$K683),"")</f>
        <v/>
      </c>
      <c r="M683" s="42" t="str">
        <f>"Technische Betriebe Rotkreuz"</f>
        <v>Technische Betriebe Rotkreuz</v>
      </c>
      <c r="N683" s="42" t="str">
        <f>IF($J683="Item",_xll.NL("first",$J683,"Description","No.","@@"&amp;$K683),"")</f>
        <v/>
      </c>
      <c r="O683" s="43">
        <v>200</v>
      </c>
      <c r="P683" s="43">
        <v>0</v>
      </c>
      <c r="Q683" s="43">
        <v>0</v>
      </c>
      <c r="R683" s="43">
        <v>0</v>
      </c>
      <c r="S683" s="43">
        <v>0</v>
      </c>
      <c r="T683" s="43">
        <v>0</v>
      </c>
      <c r="U683" s="56"/>
    </row>
    <row r="684" spans="1:21" ht="17.25" customHeight="1" x14ac:dyDescent="0.3">
      <c r="A684" s="15" t="s">
        <v>30</v>
      </c>
      <c r="C684" s="19"/>
      <c r="D684" s="33" t="str">
        <f t="shared" ref="D684:D691" si="160">D683</f>
        <v>C100046</v>
      </c>
      <c r="E684" s="33"/>
      <c r="F684" s="34"/>
      <c r="G684" s="34" t="str">
        <f>"""NAV Direct"",""CRONUS JetCorp USA"",""32"",""1"",""168029"""</f>
        <v>"NAV Direct","CRONUS JetCorp USA","32","1","168029"</v>
      </c>
      <c r="H684" s="40">
        <v>43466</v>
      </c>
      <c r="I684" s="41">
        <v>168029</v>
      </c>
      <c r="J684" s="42" t="str">
        <f>"Vendor"</f>
        <v>Vendor</v>
      </c>
      <c r="K684" s="42" t="str">
        <f>"V100007"</f>
        <v>V100007</v>
      </c>
      <c r="L684" s="42" t="str">
        <f>IF($J684="Customer",_xll.NL("first",$J684,"Name","No.","@@"&amp;$K684),"")</f>
        <v/>
      </c>
      <c r="M684" s="42" t="str">
        <f>"TrendTech"</f>
        <v>TrendTech</v>
      </c>
      <c r="N684" s="42" t="str">
        <f>IF($J684="Item",_xll.NL("first",$J684,"Description","No.","@@"&amp;$K684),"")</f>
        <v/>
      </c>
      <c r="O684" s="43">
        <v>499.99999999999994</v>
      </c>
      <c r="P684" s="43">
        <v>0</v>
      </c>
      <c r="Q684" s="43">
        <v>0</v>
      </c>
      <c r="R684" s="43">
        <v>0</v>
      </c>
      <c r="S684" s="43">
        <v>0</v>
      </c>
      <c r="T684" s="43">
        <v>0</v>
      </c>
      <c r="U684" s="56"/>
    </row>
    <row r="685" spans="1:21" ht="17.25" customHeight="1" x14ac:dyDescent="0.3">
      <c r="A685" s="15" t="s">
        <v>30</v>
      </c>
      <c r="C685" s="19"/>
      <c r="D685" s="33" t="str">
        <f t="shared" si="160"/>
        <v>C100046</v>
      </c>
      <c r="E685" s="33"/>
      <c r="F685" s="34"/>
      <c r="G685" s="34" t="str">
        <f>"""NAV Direct"",""CRONUS JetCorp USA"",""32"",""1"",""168039"""</f>
        <v>"NAV Direct","CRONUS JetCorp USA","32","1","168039"</v>
      </c>
      <c r="H685" s="40">
        <v>43466</v>
      </c>
      <c r="I685" s="41">
        <v>168039</v>
      </c>
      <c r="J685" s="42" t="str">
        <f>"Vendor"</f>
        <v>Vendor</v>
      </c>
      <c r="K685" s="42" t="str">
        <f>"V100001"</f>
        <v>V100001</v>
      </c>
      <c r="L685" s="42" t="str">
        <f>IF($J685="Customer",_xll.NL("first",$J685,"Name","No.","@@"&amp;$K685),"")</f>
        <v/>
      </c>
      <c r="M685" s="42" t="str">
        <f>"Greigner, Inc."</f>
        <v>Greigner, Inc.</v>
      </c>
      <c r="N685" s="42" t="str">
        <f>IF($J685="Item",_xll.NL("first",$J685,"Description","No.","@@"&amp;$K685),"")</f>
        <v/>
      </c>
      <c r="O685" s="43">
        <v>100</v>
      </c>
      <c r="P685" s="43">
        <v>0</v>
      </c>
      <c r="Q685" s="43">
        <v>0</v>
      </c>
      <c r="R685" s="43">
        <v>0</v>
      </c>
      <c r="S685" s="43">
        <v>0</v>
      </c>
      <c r="T685" s="43">
        <v>0</v>
      </c>
      <c r="U685" s="56"/>
    </row>
    <row r="686" spans="1:21" ht="17.25" customHeight="1" x14ac:dyDescent="0.3">
      <c r="A686" s="15" t="s">
        <v>30</v>
      </c>
      <c r="C686" s="19"/>
      <c r="D686" s="33" t="str">
        <f t="shared" si="160"/>
        <v>C100046</v>
      </c>
      <c r="E686" s="33"/>
      <c r="F686" s="34"/>
      <c r="G686" s="34" t="str">
        <f>"""NAV Direct"",""CRONUS JetCorp USA"",""32"",""1"",""7556"""</f>
        <v>"NAV Direct","CRONUS JetCorp USA","32","1","7556"</v>
      </c>
      <c r="H686" s="40">
        <v>43469</v>
      </c>
      <c r="I686" s="41">
        <v>7556</v>
      </c>
      <c r="J686" s="42" t="str">
        <f>"Customer"</f>
        <v>Customer</v>
      </c>
      <c r="K686" s="42" t="str">
        <f>"C100030"</f>
        <v>C100030</v>
      </c>
      <c r="L686" s="42" t="str">
        <f>IF($J686="Customer",_xll.NL("first",$J686,"Name","No.","@@"&amp;$K686),"")</f>
        <v>Stutringers</v>
      </c>
      <c r="M686" s="42" t="str">
        <f>""</f>
        <v/>
      </c>
      <c r="N686" s="42" t="str">
        <f>IF($J686="Item",_xll.NL("first",$J686,"Description","No.","@@"&amp;$K686),"")</f>
        <v/>
      </c>
      <c r="O686" s="43">
        <v>0</v>
      </c>
      <c r="P686" s="43">
        <v>-144</v>
      </c>
      <c r="Q686" s="43">
        <v>0</v>
      </c>
      <c r="R686" s="43">
        <v>0</v>
      </c>
      <c r="S686" s="43">
        <v>0</v>
      </c>
      <c r="T686" s="43">
        <v>0</v>
      </c>
      <c r="U686" s="56"/>
    </row>
    <row r="687" spans="1:21" ht="17.25" customHeight="1" x14ac:dyDescent="0.3">
      <c r="A687" s="15" t="s">
        <v>30</v>
      </c>
      <c r="C687" s="19"/>
      <c r="D687" s="33" t="str">
        <f t="shared" si="160"/>
        <v>C100046</v>
      </c>
      <c r="E687" s="33"/>
      <c r="F687" s="34"/>
      <c r="G687" s="34" t="str">
        <f>"""NAV Direct"",""CRONUS JetCorp USA"",""32"",""1"",""120183"""</f>
        <v>"NAV Direct","CRONUS JetCorp USA","32","1","120183"</v>
      </c>
      <c r="H687" s="40">
        <v>43469</v>
      </c>
      <c r="I687" s="41">
        <v>120183</v>
      </c>
      <c r="J687" s="42" t="str">
        <f>"Customer"</f>
        <v>Customer</v>
      </c>
      <c r="K687" s="42" t="str">
        <f>"C100134"</f>
        <v>C100134</v>
      </c>
      <c r="L687" s="42" t="str">
        <f>IF($J687="Customer",_xll.NL("first",$J687,"Name","No.","@@"&amp;$K687),"")</f>
        <v>Iber Tech</v>
      </c>
      <c r="M687" s="42" t="str">
        <f>""</f>
        <v/>
      </c>
      <c r="N687" s="42" t="str">
        <f>IF($J687="Item",_xll.NL("first",$J687,"Description","No.","@@"&amp;$K687),"")</f>
        <v/>
      </c>
      <c r="O687" s="43">
        <v>0</v>
      </c>
      <c r="P687" s="43">
        <v>-12</v>
      </c>
      <c r="Q687" s="43">
        <v>0</v>
      </c>
      <c r="R687" s="43">
        <v>0</v>
      </c>
      <c r="S687" s="43">
        <v>0</v>
      </c>
      <c r="T687" s="43">
        <v>0</v>
      </c>
      <c r="U687" s="56"/>
    </row>
    <row r="688" spans="1:21" ht="17.25" customHeight="1" x14ac:dyDescent="0.3">
      <c r="A688" s="15" t="s">
        <v>30</v>
      </c>
      <c r="C688" s="19"/>
      <c r="D688" s="33" t="str">
        <f t="shared" si="160"/>
        <v>C100046</v>
      </c>
      <c r="E688" s="33"/>
      <c r="F688" s="34"/>
      <c r="G688" s="34" t="str">
        <f>"""NAV Direct"",""CRONUS JetCorp USA"",""32"",""1"",""15154"""</f>
        <v>"NAV Direct","CRONUS JetCorp USA","32","1","15154"</v>
      </c>
      <c r="H688" s="40">
        <v>43471</v>
      </c>
      <c r="I688" s="41">
        <v>15154</v>
      </c>
      <c r="J688" s="42" t="str">
        <f>"Customer"</f>
        <v>Customer</v>
      </c>
      <c r="K688" s="42" t="str">
        <f>"C100134"</f>
        <v>C100134</v>
      </c>
      <c r="L688" s="42" t="str">
        <f>IF($J688="Customer",_xll.NL("first",$J688,"Name","No.","@@"&amp;$K688),"")</f>
        <v>Iber Tech</v>
      </c>
      <c r="M688" s="42" t="str">
        <f>""</f>
        <v/>
      </c>
      <c r="N688" s="42" t="str">
        <f>IF($J688="Item",_xll.NL("first",$J688,"Description","No.","@@"&amp;$K688),"")</f>
        <v/>
      </c>
      <c r="O688" s="43">
        <v>0</v>
      </c>
      <c r="P688" s="43">
        <v>-1</v>
      </c>
      <c r="Q688" s="43">
        <v>0</v>
      </c>
      <c r="R688" s="43">
        <v>0</v>
      </c>
      <c r="S688" s="43">
        <v>0</v>
      </c>
      <c r="T688" s="43">
        <v>0</v>
      </c>
      <c r="U688" s="56"/>
    </row>
    <row r="689" spans="1:21" ht="17.25" customHeight="1" x14ac:dyDescent="0.3">
      <c r="A689" s="15" t="s">
        <v>30</v>
      </c>
      <c r="C689" s="19"/>
      <c r="D689" s="33" t="str">
        <f t="shared" si="160"/>
        <v>C100046</v>
      </c>
      <c r="E689" s="33"/>
      <c r="F689" s="34"/>
      <c r="G689" s="34" t="str">
        <f>"""NAV Direct"",""CRONUS JetCorp USA"",""32"",""1"",""3912"""</f>
        <v>"NAV Direct","CRONUS JetCorp USA","32","1","3912"</v>
      </c>
      <c r="H689" s="40">
        <v>43472</v>
      </c>
      <c r="I689" s="41">
        <v>3912</v>
      </c>
      <c r="J689" s="42" t="str">
        <f>"Customer"</f>
        <v>Customer</v>
      </c>
      <c r="K689" s="42" t="str">
        <f>"C100099"</f>
        <v>C100099</v>
      </c>
      <c r="L689" s="42" t="str">
        <f>IF($J689="Customer",_xll.NL("first",$J689,"Name","No.","@@"&amp;$K689),"")</f>
        <v>Voltive Systems</v>
      </c>
      <c r="M689" s="42" t="str">
        <f>""</f>
        <v/>
      </c>
      <c r="N689" s="42" t="str">
        <f>IF($J689="Item",_xll.NL("first",$J689,"Description","No.","@@"&amp;$K689),"")</f>
        <v/>
      </c>
      <c r="O689" s="43">
        <v>0</v>
      </c>
      <c r="P689" s="43">
        <v>-13</v>
      </c>
      <c r="Q689" s="43">
        <v>0</v>
      </c>
      <c r="R689" s="43">
        <v>0</v>
      </c>
      <c r="S689" s="43">
        <v>0</v>
      </c>
      <c r="T689" s="43">
        <v>0</v>
      </c>
      <c r="U689" s="56"/>
    </row>
    <row r="690" spans="1:21" ht="17.25" customHeight="1" x14ac:dyDescent="0.3">
      <c r="A690" s="15" t="s">
        <v>30</v>
      </c>
      <c r="C690" s="19"/>
      <c r="D690" s="33" t="str">
        <f t="shared" si="160"/>
        <v>C100046</v>
      </c>
      <c r="E690" s="33"/>
      <c r="F690" s="34"/>
      <c r="G690" s="34" t="str">
        <f>"""NAV Direct"",""CRONUS JetCorp USA"",""32"",""1"",""114277"""</f>
        <v>"NAV Direct","CRONUS JetCorp USA","32","1","114277"</v>
      </c>
      <c r="H690" s="40">
        <v>43474</v>
      </c>
      <c r="I690" s="41">
        <v>114277</v>
      </c>
      <c r="J690" s="42" t="str">
        <f>"Customer"</f>
        <v>Customer</v>
      </c>
      <c r="K690" s="42" t="str">
        <f>"C100076"</f>
        <v>C100076</v>
      </c>
      <c r="L690" s="42" t="str">
        <f>IF($J690="Customer",_xll.NL("first",$J690,"Name","No.","@@"&amp;$K690),"")</f>
        <v>Showmasters</v>
      </c>
      <c r="M690" s="42" t="str">
        <f>""</f>
        <v/>
      </c>
      <c r="N690" s="42" t="str">
        <f>IF($J690="Item",_xll.NL("first",$J690,"Description","No.","@@"&amp;$K690),"")</f>
        <v/>
      </c>
      <c r="O690" s="43">
        <v>0</v>
      </c>
      <c r="P690" s="43">
        <v>-145</v>
      </c>
      <c r="Q690" s="43">
        <v>0</v>
      </c>
      <c r="R690" s="43">
        <v>0</v>
      </c>
      <c r="S690" s="43">
        <v>0</v>
      </c>
      <c r="T690" s="43">
        <v>0</v>
      </c>
      <c r="U690" s="56"/>
    </row>
    <row r="691" spans="1:21" ht="17.25" customHeight="1" x14ac:dyDescent="0.3">
      <c r="A691" s="15" t="s">
        <v>30</v>
      </c>
      <c r="C691" s="19"/>
      <c r="D691" s="33" t="str">
        <f t="shared" si="160"/>
        <v>C100046</v>
      </c>
      <c r="E691" s="33"/>
      <c r="F691" s="34"/>
      <c r="G691" s="34" t="str">
        <f>"""NAV Direct"",""CRONUS JetCorp USA"",""32"",""1"",""7574"""</f>
        <v>"NAV Direct","CRONUS JetCorp USA","32","1","7574"</v>
      </c>
      <c r="H691" s="40">
        <v>43476</v>
      </c>
      <c r="I691" s="41">
        <v>7574</v>
      </c>
      <c r="J691" s="42" t="str">
        <f>"Customer"</f>
        <v>Customer</v>
      </c>
      <c r="K691" s="42" t="str">
        <f>"C100083"</f>
        <v>C100083</v>
      </c>
      <c r="L691" s="42" t="str">
        <f>IF($J691="Customer",_xll.NL("first",$J691,"Name","No.","@@"&amp;$K691),"")</f>
        <v>Stanfords</v>
      </c>
      <c r="M691" s="42" t="str">
        <f>""</f>
        <v/>
      </c>
      <c r="N691" s="42" t="str">
        <f>IF($J691="Item",_xll.NL("first",$J691,"Description","No.","@@"&amp;$K691),"")</f>
        <v/>
      </c>
      <c r="O691" s="43">
        <v>0</v>
      </c>
      <c r="P691" s="43">
        <v>-144</v>
      </c>
      <c r="Q691" s="43">
        <v>0</v>
      </c>
      <c r="R691" s="43">
        <v>0</v>
      </c>
      <c r="S691" s="43">
        <v>0</v>
      </c>
      <c r="T691" s="43">
        <v>0</v>
      </c>
      <c r="U691" s="56"/>
    </row>
    <row r="692" spans="1:21" ht="17.25" customHeight="1" x14ac:dyDescent="0.3">
      <c r="A692" s="15" t="s">
        <v>30</v>
      </c>
      <c r="C692" s="19"/>
      <c r="D692" s="33"/>
      <c r="E692" s="33"/>
      <c r="F692" s="34"/>
      <c r="G692" s="34"/>
      <c r="H692" s="34"/>
      <c r="I692" s="34"/>
      <c r="J692" s="34"/>
      <c r="K692" s="34"/>
      <c r="L692" s="34"/>
      <c r="M692" s="34"/>
      <c r="N692" s="34"/>
      <c r="O692" s="44"/>
      <c r="P692" s="44"/>
      <c r="Q692" s="44"/>
      <c r="R692" s="44"/>
      <c r="S692" s="44"/>
      <c r="T692" s="44"/>
      <c r="U692" s="57"/>
    </row>
    <row r="693" spans="1:21" ht="17.25" customHeight="1" x14ac:dyDescent="0.3">
      <c r="A693" s="15" t="s">
        <v>30</v>
      </c>
      <c r="C693" s="19"/>
      <c r="D693" s="33"/>
      <c r="E693" s="33" t="s">
        <v>31</v>
      </c>
      <c r="F693" s="34" t="s">
        <v>31</v>
      </c>
      <c r="G693" s="34" t="s">
        <v>31</v>
      </c>
      <c r="H693" s="34"/>
      <c r="I693" s="34"/>
      <c r="J693" s="34" t="s">
        <v>31</v>
      </c>
      <c r="K693" s="34" t="s">
        <v>31</v>
      </c>
      <c r="L693" s="34" t="s">
        <v>31</v>
      </c>
      <c r="M693" s="34" t="s">
        <v>31</v>
      </c>
      <c r="N693" s="34"/>
      <c r="U693" s="58"/>
    </row>
    <row r="694" spans="1:21" ht="20.25" customHeight="1" x14ac:dyDescent="0.35">
      <c r="A694" s="15" t="s">
        <v>30</v>
      </c>
      <c r="C694" s="19"/>
      <c r="D694" s="35" t="str">
        <f t="shared" ref="D694" si="161">E694</f>
        <v>C100047</v>
      </c>
      <c r="E694" s="36" t="str">
        <f>"C100047"</f>
        <v>C100047</v>
      </c>
      <c r="F694" s="37" t="str">
        <f>"2GB MP3 Player"</f>
        <v>2GB MP3 Player</v>
      </c>
      <c r="G694" s="37"/>
      <c r="H694" s="38" t="str">
        <f>"EA"</f>
        <v>EA</v>
      </c>
      <c r="I694" s="37"/>
      <c r="J694" s="37"/>
      <c r="K694" s="37"/>
      <c r="L694" s="37"/>
      <c r="M694" s="37"/>
      <c r="N694" s="37"/>
      <c r="O694" s="39">
        <f>(SUBTOTAL(9,O695:O703))</f>
        <v>1300</v>
      </c>
      <c r="P694" s="39">
        <f>(SUBTOTAL(9,P695:P703))</f>
        <v>-114</v>
      </c>
      <c r="Q694" s="39">
        <f>(SUBTOTAL(9,Q695:Q703))</f>
        <v>0</v>
      </c>
      <c r="R694" s="39">
        <f>(SUBTOTAL(9,R695:R703))</f>
        <v>0</v>
      </c>
      <c r="S694" s="39">
        <f>(SUBTOTAL(9,S695:S703))</f>
        <v>0</v>
      </c>
      <c r="T694" s="39">
        <f>(SUBTOTAL(9,T695:T703))</f>
        <v>0</v>
      </c>
      <c r="U694" s="55">
        <f t="shared" ref="U694" si="162">SUBTOTAL(9,O695:T703)</f>
        <v>1186</v>
      </c>
    </row>
    <row r="695" spans="1:21" ht="17.25" customHeight="1" x14ac:dyDescent="0.3">
      <c r="A695" s="15" t="s">
        <v>30</v>
      </c>
      <c r="C695" s="19"/>
      <c r="D695" s="33" t="str">
        <f t="shared" ref="D695" si="163">D694</f>
        <v>C100047</v>
      </c>
      <c r="E695" s="33"/>
      <c r="F695" s="34"/>
      <c r="G695" s="34" t="str">
        <f>"""NAV Direct"",""CRONUS JetCorp USA"",""32"",""1"",""168001"""</f>
        <v>"NAV Direct","CRONUS JetCorp USA","32","1","168001"</v>
      </c>
      <c r="H695" s="40">
        <v>43466</v>
      </c>
      <c r="I695" s="41">
        <v>168001</v>
      </c>
      <c r="J695" s="42" t="str">
        <f>"Vendor"</f>
        <v>Vendor</v>
      </c>
      <c r="K695" s="42" t="str">
        <f>"V100023"</f>
        <v>V100023</v>
      </c>
      <c r="L695" s="42" t="str">
        <f>IF($J695="Customer",_xll.NL("first",$J695,"Name","No.","@@"&amp;$K695),"")</f>
        <v/>
      </c>
      <c r="M695" s="42" t="str">
        <f>"PURE-LOOK"</f>
        <v>PURE-LOOK</v>
      </c>
      <c r="N695" s="42" t="str">
        <f>IF($J695="Item",_xll.NL("first",$J695,"Description","No.","@@"&amp;$K695),"")</f>
        <v/>
      </c>
      <c r="O695" s="43">
        <v>499.99999999999994</v>
      </c>
      <c r="P695" s="43">
        <v>0</v>
      </c>
      <c r="Q695" s="43">
        <v>0</v>
      </c>
      <c r="R695" s="43">
        <v>0</v>
      </c>
      <c r="S695" s="43">
        <v>0</v>
      </c>
      <c r="T695" s="43">
        <v>0</v>
      </c>
      <c r="U695" s="56"/>
    </row>
    <row r="696" spans="1:21" ht="17.25" customHeight="1" x14ac:dyDescent="0.3">
      <c r="A696" s="15" t="s">
        <v>30</v>
      </c>
      <c r="C696" s="19"/>
      <c r="D696" s="33" t="str">
        <f t="shared" ref="D696:D702" si="164">D695</f>
        <v>C100047</v>
      </c>
      <c r="E696" s="33"/>
      <c r="F696" s="34"/>
      <c r="G696" s="34" t="str">
        <f>"""NAV Direct"",""CRONUS JetCorp USA"",""32"",""1"",""168011"""</f>
        <v>"NAV Direct","CRONUS JetCorp USA","32","1","168011"</v>
      </c>
      <c r="H696" s="40">
        <v>43466</v>
      </c>
      <c r="I696" s="41">
        <v>168011</v>
      </c>
      <c r="J696" s="42" t="str">
        <f>"Vendor"</f>
        <v>Vendor</v>
      </c>
      <c r="K696" s="42" t="str">
        <f>"V100040"</f>
        <v>V100040</v>
      </c>
      <c r="L696" s="42" t="str">
        <f>IF($J696="Customer",_xll.NL("first",$J696,"Name","No.","@@"&amp;$K696),"")</f>
        <v/>
      </c>
      <c r="M696" s="42" t="str">
        <f>"Technische Betriebe Rotkreuz"</f>
        <v>Technische Betriebe Rotkreuz</v>
      </c>
      <c r="N696" s="42" t="str">
        <f>IF($J696="Item",_xll.NL("first",$J696,"Description","No.","@@"&amp;$K696),"")</f>
        <v/>
      </c>
      <c r="O696" s="43">
        <v>200</v>
      </c>
      <c r="P696" s="43">
        <v>0</v>
      </c>
      <c r="Q696" s="43">
        <v>0</v>
      </c>
      <c r="R696" s="43">
        <v>0</v>
      </c>
      <c r="S696" s="43">
        <v>0</v>
      </c>
      <c r="T696" s="43">
        <v>0</v>
      </c>
      <c r="U696" s="56"/>
    </row>
    <row r="697" spans="1:21" ht="17.25" customHeight="1" x14ac:dyDescent="0.3">
      <c r="A697" s="15" t="s">
        <v>30</v>
      </c>
      <c r="C697" s="19"/>
      <c r="D697" s="33" t="str">
        <f t="shared" si="164"/>
        <v>C100047</v>
      </c>
      <c r="E697" s="33"/>
      <c r="F697" s="34"/>
      <c r="G697" s="34" t="str">
        <f>"""NAV Direct"",""CRONUS JetCorp USA"",""32"",""1"",""168028"""</f>
        <v>"NAV Direct","CRONUS JetCorp USA","32","1","168028"</v>
      </c>
      <c r="H697" s="40">
        <v>43466</v>
      </c>
      <c r="I697" s="41">
        <v>168028</v>
      </c>
      <c r="J697" s="42" t="str">
        <f>"Vendor"</f>
        <v>Vendor</v>
      </c>
      <c r="K697" s="42" t="str">
        <f>"V100007"</f>
        <v>V100007</v>
      </c>
      <c r="L697" s="42" t="str">
        <f>IF($J697="Customer",_xll.NL("first",$J697,"Name","No.","@@"&amp;$K697),"")</f>
        <v/>
      </c>
      <c r="M697" s="42" t="str">
        <f>"TrendTech"</f>
        <v>TrendTech</v>
      </c>
      <c r="N697" s="42" t="str">
        <f>IF($J697="Item",_xll.NL("first",$J697,"Description","No.","@@"&amp;$K697),"")</f>
        <v/>
      </c>
      <c r="O697" s="43">
        <v>400</v>
      </c>
      <c r="P697" s="43">
        <v>0</v>
      </c>
      <c r="Q697" s="43">
        <v>0</v>
      </c>
      <c r="R697" s="43">
        <v>0</v>
      </c>
      <c r="S697" s="43">
        <v>0</v>
      </c>
      <c r="T697" s="43">
        <v>0</v>
      </c>
      <c r="U697" s="56"/>
    </row>
    <row r="698" spans="1:21" ht="17.25" customHeight="1" x14ac:dyDescent="0.3">
      <c r="A698" s="15" t="s">
        <v>30</v>
      </c>
      <c r="C698" s="19"/>
      <c r="D698" s="33" t="str">
        <f t="shared" si="164"/>
        <v>C100047</v>
      </c>
      <c r="E698" s="33"/>
      <c r="F698" s="34"/>
      <c r="G698" s="34" t="str">
        <f>"""NAV Direct"",""CRONUS JetCorp USA"",""32"",""1"",""168051"""</f>
        <v>"NAV Direct","CRONUS JetCorp USA","32","1","168051"</v>
      </c>
      <c r="H698" s="40">
        <v>43466</v>
      </c>
      <c r="I698" s="41">
        <v>168051</v>
      </c>
      <c r="J698" s="42" t="str">
        <f>"Vendor"</f>
        <v>Vendor</v>
      </c>
      <c r="K698" s="42" t="str">
        <f>"V100003"</f>
        <v>V100003</v>
      </c>
      <c r="L698" s="42" t="str">
        <f>IF($J698="Customer",_xll.NL("first",$J698,"Name","No.","@@"&amp;$K698),"")</f>
        <v/>
      </c>
      <c r="M698" s="42" t="str">
        <f>"LogoMasters"</f>
        <v>LogoMasters</v>
      </c>
      <c r="N698" s="42" t="str">
        <f>IF($J698="Item",_xll.NL("first",$J698,"Description","No.","@@"&amp;$K698),"")</f>
        <v/>
      </c>
      <c r="O698" s="43">
        <v>200</v>
      </c>
      <c r="P698" s="43">
        <v>0</v>
      </c>
      <c r="Q698" s="43">
        <v>0</v>
      </c>
      <c r="R698" s="43">
        <v>0</v>
      </c>
      <c r="S698" s="43">
        <v>0</v>
      </c>
      <c r="T698" s="43">
        <v>0</v>
      </c>
      <c r="U698" s="56"/>
    </row>
    <row r="699" spans="1:21" ht="17.25" customHeight="1" x14ac:dyDescent="0.3">
      <c r="A699" s="15" t="s">
        <v>30</v>
      </c>
      <c r="C699" s="19"/>
      <c r="D699" s="33" t="str">
        <f t="shared" si="164"/>
        <v>C100047</v>
      </c>
      <c r="E699" s="33"/>
      <c r="F699" s="34"/>
      <c r="G699" s="34" t="str">
        <f>"""NAV Direct"",""CRONUS JetCorp USA"",""32"",""1"",""12462"""</f>
        <v>"NAV Direct","CRONUS JetCorp USA","32","1","12462"</v>
      </c>
      <c r="H699" s="40">
        <v>43471</v>
      </c>
      <c r="I699" s="41">
        <v>12462</v>
      </c>
      <c r="J699" s="42" t="str">
        <f>"Customer"</f>
        <v>Customer</v>
      </c>
      <c r="K699" s="42" t="str">
        <f>"C100041"</f>
        <v>C100041</v>
      </c>
      <c r="L699" s="42" t="str">
        <f>IF($J699="Customer",_xll.NL("first",$J699,"Name","No.","@@"&amp;$K699),"")</f>
        <v>Heimilisprydi</v>
      </c>
      <c r="M699" s="42" t="str">
        <f>""</f>
        <v/>
      </c>
      <c r="N699" s="42" t="str">
        <f>IF($J699="Item",_xll.NL("first",$J699,"Description","No.","@@"&amp;$K699),"")</f>
        <v/>
      </c>
      <c r="O699" s="43">
        <v>0</v>
      </c>
      <c r="P699" s="43">
        <v>-12</v>
      </c>
      <c r="Q699" s="43">
        <v>0</v>
      </c>
      <c r="R699" s="43">
        <v>0</v>
      </c>
      <c r="S699" s="43">
        <v>0</v>
      </c>
      <c r="T699" s="43">
        <v>0</v>
      </c>
      <c r="U699" s="56"/>
    </row>
    <row r="700" spans="1:21" ht="17.25" customHeight="1" x14ac:dyDescent="0.3">
      <c r="A700" s="15" t="s">
        <v>30</v>
      </c>
      <c r="C700" s="19"/>
      <c r="D700" s="33" t="str">
        <f t="shared" si="164"/>
        <v>C100047</v>
      </c>
      <c r="E700" s="33"/>
      <c r="F700" s="34"/>
      <c r="G700" s="34" t="str">
        <f>"""NAV Direct"",""CRONUS JetCorp USA"",""32"",""1"",""111282"""</f>
        <v>"NAV Direct","CRONUS JetCorp USA","32","1","111282"</v>
      </c>
      <c r="H700" s="40">
        <v>43472</v>
      </c>
      <c r="I700" s="41">
        <v>111282</v>
      </c>
      <c r="J700" s="42" t="str">
        <f>"Customer"</f>
        <v>Customer</v>
      </c>
      <c r="K700" s="42" t="str">
        <f>"C100099"</f>
        <v>C100099</v>
      </c>
      <c r="L700" s="42" t="str">
        <f>IF($J700="Customer",_xll.NL("first",$J700,"Name","No.","@@"&amp;$K700),"")</f>
        <v>Voltive Systems</v>
      </c>
      <c r="M700" s="42" t="str">
        <f>""</f>
        <v/>
      </c>
      <c r="N700" s="42" t="str">
        <f>IF($J700="Item",_xll.NL("first",$J700,"Description","No.","@@"&amp;$K700),"")</f>
        <v/>
      </c>
      <c r="O700" s="43">
        <v>0</v>
      </c>
      <c r="P700" s="43">
        <v>-6</v>
      </c>
      <c r="Q700" s="43">
        <v>0</v>
      </c>
      <c r="R700" s="43">
        <v>0</v>
      </c>
      <c r="S700" s="43">
        <v>0</v>
      </c>
      <c r="T700" s="43">
        <v>0</v>
      </c>
      <c r="U700" s="56"/>
    </row>
    <row r="701" spans="1:21" ht="17.25" customHeight="1" x14ac:dyDescent="0.3">
      <c r="A701" s="15" t="s">
        <v>30</v>
      </c>
      <c r="C701" s="19"/>
      <c r="D701" s="33" t="str">
        <f t="shared" si="164"/>
        <v>C100047</v>
      </c>
      <c r="E701" s="33"/>
      <c r="F701" s="34"/>
      <c r="G701" s="34" t="str">
        <f>"""NAV Direct"",""CRONUS JetCorp USA"",""32"",""1"",""111311"""</f>
        <v>"NAV Direct","CRONUS JetCorp USA","32","1","111311"</v>
      </c>
      <c r="H701" s="40">
        <v>43472</v>
      </c>
      <c r="I701" s="41">
        <v>111311</v>
      </c>
      <c r="J701" s="42" t="str">
        <f>"Customer"</f>
        <v>Customer</v>
      </c>
      <c r="K701" s="42" t="str">
        <f>"C100099"</f>
        <v>C100099</v>
      </c>
      <c r="L701" s="42" t="str">
        <f>IF($J701="Customer",_xll.NL("first",$J701,"Name","No.","@@"&amp;$K701),"")</f>
        <v>Voltive Systems</v>
      </c>
      <c r="M701" s="42" t="str">
        <f>""</f>
        <v/>
      </c>
      <c r="N701" s="42" t="str">
        <f>IF($J701="Item",_xll.NL("first",$J701,"Description","No.","@@"&amp;$K701),"")</f>
        <v/>
      </c>
      <c r="O701" s="43">
        <v>0</v>
      </c>
      <c r="P701" s="43">
        <v>-48</v>
      </c>
      <c r="Q701" s="43">
        <v>0</v>
      </c>
      <c r="R701" s="43">
        <v>0</v>
      </c>
      <c r="S701" s="43">
        <v>0</v>
      </c>
      <c r="T701" s="43">
        <v>0</v>
      </c>
      <c r="U701" s="56"/>
    </row>
    <row r="702" spans="1:21" ht="17.25" customHeight="1" x14ac:dyDescent="0.3">
      <c r="A702" s="15" t="s">
        <v>30</v>
      </c>
      <c r="C702" s="19"/>
      <c r="D702" s="33" t="str">
        <f t="shared" si="164"/>
        <v>C100047</v>
      </c>
      <c r="E702" s="33"/>
      <c r="F702" s="34"/>
      <c r="G702" s="34" t="str">
        <f>"""NAV Direct"",""CRONUS JetCorp USA"",""32"",""1"",""7566"""</f>
        <v>"NAV Direct","CRONUS JetCorp USA","32","1","7566"</v>
      </c>
      <c r="H702" s="40">
        <v>43477</v>
      </c>
      <c r="I702" s="41">
        <v>7566</v>
      </c>
      <c r="J702" s="42" t="str">
        <f>"Customer"</f>
        <v>Customer</v>
      </c>
      <c r="K702" s="42" t="str">
        <f>"C100076"</f>
        <v>C100076</v>
      </c>
      <c r="L702" s="42" t="str">
        <f>IF($J702="Customer",_xll.NL("first",$J702,"Name","No.","@@"&amp;$K702),"")</f>
        <v>Showmasters</v>
      </c>
      <c r="M702" s="42" t="str">
        <f>""</f>
        <v/>
      </c>
      <c r="N702" s="42" t="str">
        <f>IF($J702="Item",_xll.NL("first",$J702,"Description","No.","@@"&amp;$K702),"")</f>
        <v/>
      </c>
      <c r="O702" s="43">
        <v>0</v>
      </c>
      <c r="P702" s="43">
        <v>-48</v>
      </c>
      <c r="Q702" s="43">
        <v>0</v>
      </c>
      <c r="R702" s="43">
        <v>0</v>
      </c>
      <c r="S702" s="43">
        <v>0</v>
      </c>
      <c r="T702" s="43">
        <v>0</v>
      </c>
      <c r="U702" s="56"/>
    </row>
    <row r="703" spans="1:21" ht="17.25" customHeight="1" x14ac:dyDescent="0.3">
      <c r="A703" s="15" t="s">
        <v>30</v>
      </c>
      <c r="C703" s="19"/>
      <c r="D703" s="33"/>
      <c r="E703" s="33"/>
      <c r="F703" s="34"/>
      <c r="G703" s="34"/>
      <c r="H703" s="34"/>
      <c r="I703" s="34"/>
      <c r="J703" s="34"/>
      <c r="K703" s="34"/>
      <c r="L703" s="34"/>
      <c r="M703" s="34"/>
      <c r="N703" s="34"/>
      <c r="O703" s="44"/>
      <c r="P703" s="44"/>
      <c r="Q703" s="44"/>
      <c r="R703" s="44"/>
      <c r="S703" s="44"/>
      <c r="T703" s="44"/>
      <c r="U703" s="57"/>
    </row>
    <row r="704" spans="1:21" ht="17.25" customHeight="1" x14ac:dyDescent="0.3">
      <c r="A704" s="15" t="s">
        <v>30</v>
      </c>
      <c r="C704" s="19"/>
      <c r="D704" s="33"/>
      <c r="E704" s="33" t="s">
        <v>31</v>
      </c>
      <c r="F704" s="34" t="s">
        <v>31</v>
      </c>
      <c r="G704" s="34" t="s">
        <v>31</v>
      </c>
      <c r="H704" s="34"/>
      <c r="I704" s="34"/>
      <c r="J704" s="34" t="s">
        <v>31</v>
      </c>
      <c r="K704" s="34" t="s">
        <v>31</v>
      </c>
      <c r="L704" s="34" t="s">
        <v>31</v>
      </c>
      <c r="M704" s="34" t="s">
        <v>31</v>
      </c>
      <c r="N704" s="34"/>
      <c r="U704" s="58"/>
    </row>
    <row r="705" spans="1:21" ht="20.25" customHeight="1" x14ac:dyDescent="0.35">
      <c r="A705" s="15" t="s">
        <v>30</v>
      </c>
      <c r="C705" s="19"/>
      <c r="D705" s="35" t="str">
        <f t="shared" ref="D705" si="165">E705</f>
        <v>C100048</v>
      </c>
      <c r="E705" s="36" t="str">
        <f>"C100048"</f>
        <v>C100048</v>
      </c>
      <c r="F705" s="37" t="str">
        <f>"USB MP3 Player"</f>
        <v>USB MP3 Player</v>
      </c>
      <c r="G705" s="37"/>
      <c r="H705" s="38" t="str">
        <f>"EA"</f>
        <v>EA</v>
      </c>
      <c r="I705" s="37"/>
      <c r="J705" s="37"/>
      <c r="K705" s="37"/>
      <c r="L705" s="37"/>
      <c r="M705" s="37"/>
      <c r="N705" s="37"/>
      <c r="O705" s="39">
        <f>(SUBTOTAL(9,O706:O716))</f>
        <v>1000</v>
      </c>
      <c r="P705" s="39">
        <f>(SUBTOTAL(9,P706:P716))</f>
        <v>-482</v>
      </c>
      <c r="Q705" s="39">
        <f>(SUBTOTAL(9,Q706:Q716))</f>
        <v>0</v>
      </c>
      <c r="R705" s="39">
        <f>(SUBTOTAL(9,R706:R716))</f>
        <v>0</v>
      </c>
      <c r="S705" s="39">
        <f>(SUBTOTAL(9,S706:S716))</f>
        <v>0</v>
      </c>
      <c r="T705" s="39">
        <f>(SUBTOTAL(9,T706:T716))</f>
        <v>0</v>
      </c>
      <c r="U705" s="55">
        <f t="shared" ref="U705" si="166">SUBTOTAL(9,O706:T716)</f>
        <v>518</v>
      </c>
    </row>
    <row r="706" spans="1:21" ht="17.25" customHeight="1" x14ac:dyDescent="0.3">
      <c r="A706" s="15" t="s">
        <v>30</v>
      </c>
      <c r="C706" s="19"/>
      <c r="D706" s="33" t="str">
        <f t="shared" ref="D706" si="167">D705</f>
        <v>C100048</v>
      </c>
      <c r="E706" s="33"/>
      <c r="F706" s="34"/>
      <c r="G706" s="34" t="str">
        <f>"""NAV Direct"",""CRONUS JetCorp USA"",""32"",""1"",""168010"""</f>
        <v>"NAV Direct","CRONUS JetCorp USA","32","1","168010"</v>
      </c>
      <c r="H706" s="40">
        <v>43466</v>
      </c>
      <c r="I706" s="41">
        <v>168010</v>
      </c>
      <c r="J706" s="42" t="str">
        <f>"Vendor"</f>
        <v>Vendor</v>
      </c>
      <c r="K706" s="42" t="str">
        <f>"V100040"</f>
        <v>V100040</v>
      </c>
      <c r="L706" s="42" t="str">
        <f>IF($J706="Customer",_xll.NL("first",$J706,"Name","No.","@@"&amp;$K706),"")</f>
        <v/>
      </c>
      <c r="M706" s="42" t="str">
        <f>"Technische Betriebe Rotkreuz"</f>
        <v>Technische Betriebe Rotkreuz</v>
      </c>
      <c r="N706" s="42" t="str">
        <f>IF($J706="Item",_xll.NL("first",$J706,"Description","No.","@@"&amp;$K706),"")</f>
        <v/>
      </c>
      <c r="O706" s="43">
        <v>300</v>
      </c>
      <c r="P706" s="43">
        <v>0</v>
      </c>
      <c r="Q706" s="43">
        <v>0</v>
      </c>
      <c r="R706" s="43">
        <v>0</v>
      </c>
      <c r="S706" s="43">
        <v>0</v>
      </c>
      <c r="T706" s="43">
        <v>0</v>
      </c>
      <c r="U706" s="56"/>
    </row>
    <row r="707" spans="1:21" ht="17.25" customHeight="1" x14ac:dyDescent="0.3">
      <c r="A707" s="15" t="s">
        <v>30</v>
      </c>
      <c r="C707" s="19"/>
      <c r="D707" s="33" t="str">
        <f t="shared" ref="D707:D715" si="168">D706</f>
        <v>C100048</v>
      </c>
      <c r="E707" s="33"/>
      <c r="F707" s="34"/>
      <c r="G707" s="34" t="str">
        <f>"""NAV Direct"",""CRONUS JetCorp USA"",""32"",""1"",""168027"""</f>
        <v>"NAV Direct","CRONUS JetCorp USA","32","1","168027"</v>
      </c>
      <c r="H707" s="40">
        <v>43466</v>
      </c>
      <c r="I707" s="41">
        <v>168027</v>
      </c>
      <c r="J707" s="42" t="str">
        <f>"Vendor"</f>
        <v>Vendor</v>
      </c>
      <c r="K707" s="42" t="str">
        <f>"V100007"</f>
        <v>V100007</v>
      </c>
      <c r="L707" s="42" t="str">
        <f>IF($J707="Customer",_xll.NL("first",$J707,"Name","No.","@@"&amp;$K707),"")</f>
        <v/>
      </c>
      <c r="M707" s="42" t="str">
        <f>"TrendTech"</f>
        <v>TrendTech</v>
      </c>
      <c r="N707" s="42" t="str">
        <f>IF($J707="Item",_xll.NL("first",$J707,"Description","No.","@@"&amp;$K707),"")</f>
        <v/>
      </c>
      <c r="O707" s="43">
        <v>300</v>
      </c>
      <c r="P707" s="43">
        <v>0</v>
      </c>
      <c r="Q707" s="43">
        <v>0</v>
      </c>
      <c r="R707" s="43">
        <v>0</v>
      </c>
      <c r="S707" s="43">
        <v>0</v>
      </c>
      <c r="T707" s="43">
        <v>0</v>
      </c>
      <c r="U707" s="56"/>
    </row>
    <row r="708" spans="1:21" ht="17.25" customHeight="1" x14ac:dyDescent="0.3">
      <c r="A708" s="15" t="s">
        <v>30</v>
      </c>
      <c r="C708" s="19"/>
      <c r="D708" s="33" t="str">
        <f t="shared" si="168"/>
        <v>C100048</v>
      </c>
      <c r="E708" s="33"/>
      <c r="F708" s="34"/>
      <c r="G708" s="34" t="str">
        <f>"""NAV Direct"",""CRONUS JetCorp USA"",""32"",""1"",""168038"""</f>
        <v>"NAV Direct","CRONUS JetCorp USA","32","1","168038"</v>
      </c>
      <c r="H708" s="40">
        <v>43466</v>
      </c>
      <c r="I708" s="41">
        <v>168038</v>
      </c>
      <c r="J708" s="42" t="str">
        <f>"Vendor"</f>
        <v>Vendor</v>
      </c>
      <c r="K708" s="42" t="str">
        <f>"V100001"</f>
        <v>V100001</v>
      </c>
      <c r="L708" s="42" t="str">
        <f>IF($J708="Customer",_xll.NL("first",$J708,"Name","No.","@@"&amp;$K708),"")</f>
        <v/>
      </c>
      <c r="M708" s="42" t="str">
        <f>"Greigner, Inc."</f>
        <v>Greigner, Inc.</v>
      </c>
      <c r="N708" s="42" t="str">
        <f>IF($J708="Item",_xll.NL("first",$J708,"Description","No.","@@"&amp;$K708),"")</f>
        <v/>
      </c>
      <c r="O708" s="43">
        <v>100</v>
      </c>
      <c r="P708" s="43">
        <v>0</v>
      </c>
      <c r="Q708" s="43">
        <v>0</v>
      </c>
      <c r="R708" s="43">
        <v>0</v>
      </c>
      <c r="S708" s="43">
        <v>0</v>
      </c>
      <c r="T708" s="43">
        <v>0</v>
      </c>
      <c r="U708" s="56"/>
    </row>
    <row r="709" spans="1:21" ht="17.25" customHeight="1" x14ac:dyDescent="0.3">
      <c r="A709" s="15" t="s">
        <v>30</v>
      </c>
      <c r="C709" s="19"/>
      <c r="D709" s="33" t="str">
        <f t="shared" si="168"/>
        <v>C100048</v>
      </c>
      <c r="E709" s="33"/>
      <c r="F709" s="34"/>
      <c r="G709" s="34" t="str">
        <f>"""NAV Direct"",""CRONUS JetCorp USA"",""32"",""1"",""168050"""</f>
        <v>"NAV Direct","CRONUS JetCorp USA","32","1","168050"</v>
      </c>
      <c r="H709" s="40">
        <v>43466</v>
      </c>
      <c r="I709" s="41">
        <v>168050</v>
      </c>
      <c r="J709" s="42" t="str">
        <f>"Vendor"</f>
        <v>Vendor</v>
      </c>
      <c r="K709" s="42" t="str">
        <f>"V100003"</f>
        <v>V100003</v>
      </c>
      <c r="L709" s="42" t="str">
        <f>IF($J709="Customer",_xll.NL("first",$J709,"Name","No.","@@"&amp;$K709),"")</f>
        <v/>
      </c>
      <c r="M709" s="42" t="str">
        <f>"LogoMasters"</f>
        <v>LogoMasters</v>
      </c>
      <c r="N709" s="42" t="str">
        <f>IF($J709="Item",_xll.NL("first",$J709,"Description","No.","@@"&amp;$K709),"")</f>
        <v/>
      </c>
      <c r="O709" s="43">
        <v>300</v>
      </c>
      <c r="P709" s="43">
        <v>0</v>
      </c>
      <c r="Q709" s="43">
        <v>0</v>
      </c>
      <c r="R709" s="43">
        <v>0</v>
      </c>
      <c r="S709" s="43">
        <v>0</v>
      </c>
      <c r="T709" s="43">
        <v>0</v>
      </c>
      <c r="U709" s="56"/>
    </row>
    <row r="710" spans="1:21" ht="17.25" customHeight="1" x14ac:dyDescent="0.3">
      <c r="A710" s="15" t="s">
        <v>30</v>
      </c>
      <c r="C710" s="19"/>
      <c r="D710" s="33" t="str">
        <f t="shared" si="168"/>
        <v>C100048</v>
      </c>
      <c r="E710" s="33"/>
      <c r="F710" s="34"/>
      <c r="G710" s="34" t="str">
        <f>"""NAV Direct"",""CRONUS JetCorp USA"",""32"",""1"",""7557"""</f>
        <v>"NAV Direct","CRONUS JetCorp USA","32","1","7557"</v>
      </c>
      <c r="H710" s="40">
        <v>43469</v>
      </c>
      <c r="I710" s="41">
        <v>7557</v>
      </c>
      <c r="J710" s="42" t="str">
        <f>"Customer"</f>
        <v>Customer</v>
      </c>
      <c r="K710" s="42" t="str">
        <f>"C100030"</f>
        <v>C100030</v>
      </c>
      <c r="L710" s="42" t="str">
        <f>IF($J710="Customer",_xll.NL("first",$J710,"Name","No.","@@"&amp;$K710),"")</f>
        <v>Stutringers</v>
      </c>
      <c r="M710" s="42" t="str">
        <f>""</f>
        <v/>
      </c>
      <c r="N710" s="42" t="str">
        <f>IF($J710="Item",_xll.NL("first",$J710,"Description","No.","@@"&amp;$K710),"")</f>
        <v/>
      </c>
      <c r="O710" s="43">
        <v>0</v>
      </c>
      <c r="P710" s="43">
        <v>-144</v>
      </c>
      <c r="Q710" s="43">
        <v>0</v>
      </c>
      <c r="R710" s="43">
        <v>0</v>
      </c>
      <c r="S710" s="43">
        <v>0</v>
      </c>
      <c r="T710" s="43">
        <v>0</v>
      </c>
      <c r="U710" s="56"/>
    </row>
    <row r="711" spans="1:21" ht="17.25" customHeight="1" x14ac:dyDescent="0.3">
      <c r="A711" s="15" t="s">
        <v>30</v>
      </c>
      <c r="C711" s="19"/>
      <c r="D711" s="33" t="str">
        <f t="shared" si="168"/>
        <v>C100048</v>
      </c>
      <c r="E711" s="33"/>
      <c r="F711" s="34"/>
      <c r="G711" s="34" t="str">
        <f>"""NAV Direct"",""CRONUS JetCorp USA"",""32"",""1"",""111295"""</f>
        <v>"NAV Direct","CRONUS JetCorp USA","32","1","111295"</v>
      </c>
      <c r="H711" s="40">
        <v>43470</v>
      </c>
      <c r="I711" s="41">
        <v>111295</v>
      </c>
      <c r="J711" s="42" t="str">
        <f>"Customer"</f>
        <v>Customer</v>
      </c>
      <c r="K711" s="42" t="str">
        <f>"C100037"</f>
        <v>C100037</v>
      </c>
      <c r="L711" s="42" t="str">
        <f>IF($J711="Customer",_xll.NL("first",$J711,"Name","No.","@@"&amp;$K711),"")</f>
        <v>Tempsons Tropies</v>
      </c>
      <c r="M711" s="42" t="str">
        <f>""</f>
        <v/>
      </c>
      <c r="N711" s="42" t="str">
        <f>IF($J711="Item",_xll.NL("first",$J711,"Description","No.","@@"&amp;$K711),"")</f>
        <v/>
      </c>
      <c r="O711" s="43">
        <v>0</v>
      </c>
      <c r="P711" s="43">
        <v>-1</v>
      </c>
      <c r="Q711" s="43">
        <v>0</v>
      </c>
      <c r="R711" s="43">
        <v>0</v>
      </c>
      <c r="S711" s="43">
        <v>0</v>
      </c>
      <c r="T711" s="43">
        <v>0</v>
      </c>
      <c r="U711" s="56"/>
    </row>
    <row r="712" spans="1:21" ht="17.25" customHeight="1" x14ac:dyDescent="0.3">
      <c r="A712" s="15" t="s">
        <v>30</v>
      </c>
      <c r="C712" s="19"/>
      <c r="D712" s="33" t="str">
        <f t="shared" si="168"/>
        <v>C100048</v>
      </c>
      <c r="E712" s="33"/>
      <c r="F712" s="34"/>
      <c r="G712" s="34" t="str">
        <f>"""NAV Direct"",""CRONUS JetCorp USA"",""32"",""1"",""12459"""</f>
        <v>"NAV Direct","CRONUS JetCorp USA","32","1","12459"</v>
      </c>
      <c r="H712" s="40">
        <v>43471</v>
      </c>
      <c r="I712" s="41">
        <v>12459</v>
      </c>
      <c r="J712" s="42" t="str">
        <f>"Customer"</f>
        <v>Customer</v>
      </c>
      <c r="K712" s="42" t="str">
        <f>"C100041"</f>
        <v>C100041</v>
      </c>
      <c r="L712" s="42" t="str">
        <f>IF($J712="Customer",_xll.NL("first",$J712,"Name","No.","@@"&amp;$K712),"")</f>
        <v>Heimilisprydi</v>
      </c>
      <c r="M712" s="42" t="str">
        <f>""</f>
        <v/>
      </c>
      <c r="N712" s="42" t="str">
        <f>IF($J712="Item",_xll.NL("first",$J712,"Description","No.","@@"&amp;$K712),"")</f>
        <v/>
      </c>
      <c r="O712" s="43">
        <v>0</v>
      </c>
      <c r="P712" s="43">
        <v>-144</v>
      </c>
      <c r="Q712" s="43">
        <v>0</v>
      </c>
      <c r="R712" s="43">
        <v>0</v>
      </c>
      <c r="S712" s="43">
        <v>0</v>
      </c>
      <c r="T712" s="43">
        <v>0</v>
      </c>
      <c r="U712" s="56"/>
    </row>
    <row r="713" spans="1:21" ht="17.25" customHeight="1" x14ac:dyDescent="0.3">
      <c r="A713" s="15" t="s">
        <v>30</v>
      </c>
      <c r="C713" s="19"/>
      <c r="D713" s="33" t="str">
        <f t="shared" si="168"/>
        <v>C100048</v>
      </c>
      <c r="E713" s="33"/>
      <c r="F713" s="34"/>
      <c r="G713" s="34" t="str">
        <f>"""NAV Direct"",""CRONUS JetCorp USA"",""32"",""1"",""3903"""</f>
        <v>"NAV Direct","CRONUS JetCorp USA","32","1","3903"</v>
      </c>
      <c r="H713" s="40">
        <v>43473</v>
      </c>
      <c r="I713" s="41">
        <v>3903</v>
      </c>
      <c r="J713" s="42" t="str">
        <f>"Customer"</f>
        <v>Customer</v>
      </c>
      <c r="K713" s="42" t="str">
        <f>"C100037"</f>
        <v>C100037</v>
      </c>
      <c r="L713" s="42" t="str">
        <f>IF($J713="Customer",_xll.NL("first",$J713,"Name","No.","@@"&amp;$K713),"")</f>
        <v>Tempsons Tropies</v>
      </c>
      <c r="M713" s="42" t="str">
        <f>""</f>
        <v/>
      </c>
      <c r="N713" s="42" t="str">
        <f>IF($J713="Item",_xll.NL("first",$J713,"Description","No.","@@"&amp;$K713),"")</f>
        <v/>
      </c>
      <c r="O713" s="43">
        <v>0</v>
      </c>
      <c r="P713" s="43">
        <v>-1</v>
      </c>
      <c r="Q713" s="43">
        <v>0</v>
      </c>
      <c r="R713" s="43">
        <v>0</v>
      </c>
      <c r="S713" s="43">
        <v>0</v>
      </c>
      <c r="T713" s="43">
        <v>0</v>
      </c>
      <c r="U713" s="56"/>
    </row>
    <row r="714" spans="1:21" ht="17.25" customHeight="1" x14ac:dyDescent="0.3">
      <c r="A714" s="15" t="s">
        <v>30</v>
      </c>
      <c r="C714" s="19"/>
      <c r="D714" s="33" t="str">
        <f t="shared" si="168"/>
        <v>C100048</v>
      </c>
      <c r="E714" s="33"/>
      <c r="F714" s="34"/>
      <c r="G714" s="34" t="str">
        <f>"""NAV Direct"",""CRONUS JetCorp USA"",""32"",""1"",""120190"""</f>
        <v>"NAV Direct","CRONUS JetCorp USA","32","1","120190"</v>
      </c>
      <c r="H714" s="40">
        <v>43474</v>
      </c>
      <c r="I714" s="41">
        <v>120190</v>
      </c>
      <c r="J714" s="42" t="str">
        <f>"Customer"</f>
        <v>Customer</v>
      </c>
      <c r="K714" s="42" t="str">
        <f>"C100049"</f>
        <v>C100049</v>
      </c>
      <c r="L714" s="42" t="str">
        <f>IF($J714="Customer",_xll.NL("first",$J714,"Name","No.","@@"&amp;$K714),"")</f>
        <v>Konberg Tapet AB</v>
      </c>
      <c r="M714" s="42" t="str">
        <f>""</f>
        <v/>
      </c>
      <c r="N714" s="42" t="str">
        <f>IF($J714="Item",_xll.NL("first",$J714,"Description","No.","@@"&amp;$K714),"")</f>
        <v/>
      </c>
      <c r="O714" s="43">
        <v>0</v>
      </c>
      <c r="P714" s="43">
        <v>-48</v>
      </c>
      <c r="Q714" s="43">
        <v>0</v>
      </c>
      <c r="R714" s="43">
        <v>0</v>
      </c>
      <c r="S714" s="43">
        <v>0</v>
      </c>
      <c r="T714" s="43">
        <v>0</v>
      </c>
      <c r="U714" s="56"/>
    </row>
    <row r="715" spans="1:21" ht="17.25" customHeight="1" x14ac:dyDescent="0.3">
      <c r="A715" s="15" t="s">
        <v>30</v>
      </c>
      <c r="C715" s="19"/>
      <c r="D715" s="33" t="str">
        <f t="shared" si="168"/>
        <v>C100048</v>
      </c>
      <c r="E715" s="33"/>
      <c r="F715" s="34"/>
      <c r="G715" s="34" t="str">
        <f>"""NAV Direct"",""CRONUS JetCorp USA"",""32"",""1"",""7575"""</f>
        <v>"NAV Direct","CRONUS JetCorp USA","32","1","7575"</v>
      </c>
      <c r="H715" s="40">
        <v>43476</v>
      </c>
      <c r="I715" s="41">
        <v>7575</v>
      </c>
      <c r="J715" s="42" t="str">
        <f>"Customer"</f>
        <v>Customer</v>
      </c>
      <c r="K715" s="42" t="str">
        <f>"C100083"</f>
        <v>C100083</v>
      </c>
      <c r="L715" s="42" t="str">
        <f>IF($J715="Customer",_xll.NL("first",$J715,"Name","No.","@@"&amp;$K715),"")</f>
        <v>Stanfords</v>
      </c>
      <c r="M715" s="42" t="str">
        <f>""</f>
        <v/>
      </c>
      <c r="N715" s="42" t="str">
        <f>IF($J715="Item",_xll.NL("first",$J715,"Description","No.","@@"&amp;$K715),"")</f>
        <v/>
      </c>
      <c r="O715" s="43">
        <v>0</v>
      </c>
      <c r="P715" s="43">
        <v>-144</v>
      </c>
      <c r="Q715" s="43">
        <v>0</v>
      </c>
      <c r="R715" s="43">
        <v>0</v>
      </c>
      <c r="S715" s="43">
        <v>0</v>
      </c>
      <c r="T715" s="43">
        <v>0</v>
      </c>
      <c r="U715" s="56"/>
    </row>
    <row r="716" spans="1:21" ht="17.25" customHeight="1" x14ac:dyDescent="0.3">
      <c r="A716" s="15" t="s">
        <v>30</v>
      </c>
      <c r="C716" s="19"/>
      <c r="D716" s="33"/>
      <c r="E716" s="33"/>
      <c r="F716" s="34"/>
      <c r="G716" s="34"/>
      <c r="H716" s="34"/>
      <c r="I716" s="34"/>
      <c r="J716" s="34"/>
      <c r="K716" s="34"/>
      <c r="L716" s="34"/>
      <c r="M716" s="34"/>
      <c r="N716" s="34"/>
      <c r="O716" s="44"/>
      <c r="P716" s="44"/>
      <c r="Q716" s="44"/>
      <c r="R716" s="44"/>
      <c r="S716" s="44"/>
      <c r="T716" s="44"/>
      <c r="U716" s="57"/>
    </row>
    <row r="717" spans="1:21" ht="17.25" customHeight="1" x14ac:dyDescent="0.3">
      <c r="A717" s="15" t="s">
        <v>30</v>
      </c>
      <c r="C717" s="19"/>
      <c r="D717" s="33"/>
      <c r="E717" s="33" t="s">
        <v>31</v>
      </c>
      <c r="F717" s="34" t="s">
        <v>31</v>
      </c>
      <c r="G717" s="34" t="s">
        <v>31</v>
      </c>
      <c r="H717" s="34"/>
      <c r="I717" s="34"/>
      <c r="J717" s="34" t="s">
        <v>31</v>
      </c>
      <c r="K717" s="34" t="s">
        <v>31</v>
      </c>
      <c r="L717" s="34" t="s">
        <v>31</v>
      </c>
      <c r="M717" s="34" t="s">
        <v>31</v>
      </c>
      <c r="N717" s="34"/>
      <c r="U717" s="58"/>
    </row>
    <row r="718" spans="1:21" ht="20.25" customHeight="1" x14ac:dyDescent="0.35">
      <c r="A718" s="15" t="s">
        <v>30</v>
      </c>
      <c r="C718" s="19"/>
      <c r="D718" s="35" t="str">
        <f t="shared" ref="D718" si="169">E718</f>
        <v>C100049</v>
      </c>
      <c r="E718" s="36" t="str">
        <f>"C100049"</f>
        <v>C100049</v>
      </c>
      <c r="F718" s="37" t="str">
        <f>"4GB MP3 Player"</f>
        <v>4GB MP3 Player</v>
      </c>
      <c r="G718" s="37"/>
      <c r="H718" s="38" t="str">
        <f>"EA"</f>
        <v>EA</v>
      </c>
      <c r="I718" s="37"/>
      <c r="J718" s="37"/>
      <c r="K718" s="37"/>
      <c r="L718" s="37"/>
      <c r="M718" s="37"/>
      <c r="N718" s="37"/>
      <c r="O718" s="39">
        <f>(SUBTOTAL(9,O719:O725))</f>
        <v>1500</v>
      </c>
      <c r="P718" s="39">
        <f>(SUBTOTAL(9,P719:P725))</f>
        <v>-438</v>
      </c>
      <c r="Q718" s="39">
        <f>(SUBTOTAL(9,Q719:Q725))</f>
        <v>0</v>
      </c>
      <c r="R718" s="39">
        <f>(SUBTOTAL(9,R719:R725))</f>
        <v>0</v>
      </c>
      <c r="S718" s="39">
        <f>(SUBTOTAL(9,S719:S725))</f>
        <v>0</v>
      </c>
      <c r="T718" s="39">
        <f>(SUBTOTAL(9,T719:T725))</f>
        <v>0</v>
      </c>
      <c r="U718" s="55">
        <f t="shared" ref="U718" si="170">SUBTOTAL(9,O719:T725)</f>
        <v>1062</v>
      </c>
    </row>
    <row r="719" spans="1:21" ht="17.25" customHeight="1" x14ac:dyDescent="0.3">
      <c r="A719" s="15" t="s">
        <v>30</v>
      </c>
      <c r="C719" s="19"/>
      <c r="D719" s="33" t="str">
        <f t="shared" ref="D719" si="171">D718</f>
        <v>C100049</v>
      </c>
      <c r="E719" s="33"/>
      <c r="F719" s="34"/>
      <c r="G719" s="34" t="str">
        <f>"""NAV Direct"",""CRONUS JetCorp USA"",""32"",""1"",""168000"""</f>
        <v>"NAV Direct","CRONUS JetCorp USA","32","1","168000"</v>
      </c>
      <c r="H719" s="40">
        <v>43466</v>
      </c>
      <c r="I719" s="41">
        <v>168000</v>
      </c>
      <c r="J719" s="42" t="str">
        <f>"Vendor"</f>
        <v>Vendor</v>
      </c>
      <c r="K719" s="42" t="str">
        <f>"V100023"</f>
        <v>V100023</v>
      </c>
      <c r="L719" s="42" t="str">
        <f>IF($J719="Customer",_xll.NL("first",$J719,"Name","No.","@@"&amp;$K719),"")</f>
        <v/>
      </c>
      <c r="M719" s="42" t="str">
        <f>"PURE-LOOK"</f>
        <v>PURE-LOOK</v>
      </c>
      <c r="N719" s="42" t="str">
        <f>IF($J719="Item",_xll.NL("first",$J719,"Description","No.","@@"&amp;$K719),"")</f>
        <v/>
      </c>
      <c r="O719" s="43">
        <v>700</v>
      </c>
      <c r="P719" s="43">
        <v>0</v>
      </c>
      <c r="Q719" s="43">
        <v>0</v>
      </c>
      <c r="R719" s="43">
        <v>0</v>
      </c>
      <c r="S719" s="43">
        <v>0</v>
      </c>
      <c r="T719" s="43">
        <v>0</v>
      </c>
      <c r="U719" s="56"/>
    </row>
    <row r="720" spans="1:21" ht="17.25" customHeight="1" x14ac:dyDescent="0.3">
      <c r="A720" s="15" t="s">
        <v>30</v>
      </c>
      <c r="C720" s="19"/>
      <c r="D720" s="33" t="str">
        <f t="shared" ref="D720:D724" si="172">D719</f>
        <v>C100049</v>
      </c>
      <c r="E720" s="33"/>
      <c r="F720" s="34"/>
      <c r="G720" s="34" t="str">
        <f>"""NAV Direct"",""CRONUS JetCorp USA"",""32"",""1"",""168026"""</f>
        <v>"NAV Direct","CRONUS JetCorp USA","32","1","168026"</v>
      </c>
      <c r="H720" s="40">
        <v>43466</v>
      </c>
      <c r="I720" s="41">
        <v>168026</v>
      </c>
      <c r="J720" s="42" t="str">
        <f>"Vendor"</f>
        <v>Vendor</v>
      </c>
      <c r="K720" s="42" t="str">
        <f>"V100007"</f>
        <v>V100007</v>
      </c>
      <c r="L720" s="42" t="str">
        <f>IF($J720="Customer",_xll.NL("first",$J720,"Name","No.","@@"&amp;$K720),"")</f>
        <v/>
      </c>
      <c r="M720" s="42" t="str">
        <f>"TrendTech"</f>
        <v>TrendTech</v>
      </c>
      <c r="N720" s="42" t="str">
        <f>IF($J720="Item",_xll.NL("first",$J720,"Description","No.","@@"&amp;$K720),"")</f>
        <v/>
      </c>
      <c r="O720" s="43">
        <v>800</v>
      </c>
      <c r="P720" s="43">
        <v>0</v>
      </c>
      <c r="Q720" s="43">
        <v>0</v>
      </c>
      <c r="R720" s="43">
        <v>0</v>
      </c>
      <c r="S720" s="43">
        <v>0</v>
      </c>
      <c r="T720" s="43">
        <v>0</v>
      </c>
      <c r="U720" s="56"/>
    </row>
    <row r="721" spans="1:21" ht="17.25" customHeight="1" x14ac:dyDescent="0.3">
      <c r="A721" s="15" t="s">
        <v>30</v>
      </c>
      <c r="C721" s="19"/>
      <c r="D721" s="33" t="str">
        <f t="shared" si="172"/>
        <v>C100049</v>
      </c>
      <c r="E721" s="33"/>
      <c r="F721" s="34"/>
      <c r="G721" s="34" t="str">
        <f>"""NAV Direct"",""CRONUS JetCorp USA"",""32"",""1"",""111289"""</f>
        <v>"NAV Direct","CRONUS JetCorp USA","32","1","111289"</v>
      </c>
      <c r="H721" s="40">
        <v>43470</v>
      </c>
      <c r="I721" s="41">
        <v>111289</v>
      </c>
      <c r="J721" s="42" t="str">
        <f>"Customer"</f>
        <v>Customer</v>
      </c>
      <c r="K721" s="42" t="str">
        <f>"C100037"</f>
        <v>C100037</v>
      </c>
      <c r="L721" s="42" t="str">
        <f>IF($J721="Customer",_xll.NL("first",$J721,"Name","No.","@@"&amp;$K721),"")</f>
        <v>Tempsons Tropies</v>
      </c>
      <c r="M721" s="42" t="str">
        <f>""</f>
        <v/>
      </c>
      <c r="N721" s="42" t="str">
        <f>IF($J721="Item",_xll.NL("first",$J721,"Description","No.","@@"&amp;$K721),"")</f>
        <v/>
      </c>
      <c r="O721" s="43">
        <v>0</v>
      </c>
      <c r="P721" s="43">
        <v>-144</v>
      </c>
      <c r="Q721" s="43">
        <v>0</v>
      </c>
      <c r="R721" s="43">
        <v>0</v>
      </c>
      <c r="S721" s="43">
        <v>0</v>
      </c>
      <c r="T721" s="43">
        <v>0</v>
      </c>
      <c r="U721" s="56"/>
    </row>
    <row r="722" spans="1:21" ht="17.25" customHeight="1" x14ac:dyDescent="0.3">
      <c r="A722" s="15" t="s">
        <v>30</v>
      </c>
      <c r="C722" s="19"/>
      <c r="D722" s="33" t="str">
        <f t="shared" si="172"/>
        <v>C100049</v>
      </c>
      <c r="E722" s="33"/>
      <c r="F722" s="34"/>
      <c r="G722" s="34" t="str">
        <f>"""NAV Direct"",""CRONUS JetCorp USA"",""32"",""1"",""111280"""</f>
        <v>"NAV Direct","CRONUS JetCorp USA","32","1","111280"</v>
      </c>
      <c r="H722" s="40">
        <v>43472</v>
      </c>
      <c r="I722" s="41">
        <v>111280</v>
      </c>
      <c r="J722" s="42" t="str">
        <f>"Customer"</f>
        <v>Customer</v>
      </c>
      <c r="K722" s="42" t="str">
        <f>"C100099"</f>
        <v>C100099</v>
      </c>
      <c r="L722" s="42" t="str">
        <f>IF($J722="Customer",_xll.NL("first",$J722,"Name","No.","@@"&amp;$K722),"")</f>
        <v>Voltive Systems</v>
      </c>
      <c r="M722" s="42" t="str">
        <f>""</f>
        <v/>
      </c>
      <c r="N722" s="42" t="str">
        <f>IF($J722="Item",_xll.NL("first",$J722,"Description","No.","@@"&amp;$K722),"")</f>
        <v/>
      </c>
      <c r="O722" s="43">
        <v>0</v>
      </c>
      <c r="P722" s="43">
        <v>-144</v>
      </c>
      <c r="Q722" s="43">
        <v>0</v>
      </c>
      <c r="R722" s="43">
        <v>0</v>
      </c>
      <c r="S722" s="43">
        <v>0</v>
      </c>
      <c r="T722" s="43">
        <v>0</v>
      </c>
      <c r="U722" s="56"/>
    </row>
    <row r="723" spans="1:21" ht="17.25" customHeight="1" x14ac:dyDescent="0.3">
      <c r="A723" s="15" t="s">
        <v>30</v>
      </c>
      <c r="C723" s="19"/>
      <c r="D723" s="33" t="str">
        <f t="shared" si="172"/>
        <v>C100049</v>
      </c>
      <c r="E723" s="33"/>
      <c r="F723" s="34"/>
      <c r="G723" s="34" t="str">
        <f>"""NAV Direct"",""CRONUS JetCorp USA"",""32"",""1"",""116380"""</f>
        <v>"NAV Direct","CRONUS JetCorp USA","32","1","116380"</v>
      </c>
      <c r="H723" s="40">
        <v>43473</v>
      </c>
      <c r="I723" s="41">
        <v>116380</v>
      </c>
      <c r="J723" s="42" t="str">
        <f>"Customer"</f>
        <v>Customer</v>
      </c>
      <c r="K723" s="42" t="str">
        <f>"C100066"</f>
        <v>C100066</v>
      </c>
      <c r="L723" s="42" t="str">
        <f>IF($J723="Customer",_xll.NL("first",$J723,"Name","No.","@@"&amp;$K723),"")</f>
        <v>Office Solutions</v>
      </c>
      <c r="M723" s="42" t="str">
        <f>""</f>
        <v/>
      </c>
      <c r="N723" s="42" t="str">
        <f>IF($J723="Item",_xll.NL("first",$J723,"Description","No.","@@"&amp;$K723),"")</f>
        <v/>
      </c>
      <c r="O723" s="43">
        <v>0</v>
      </c>
      <c r="P723" s="43">
        <v>-6</v>
      </c>
      <c r="Q723" s="43">
        <v>0</v>
      </c>
      <c r="R723" s="43">
        <v>0</v>
      </c>
      <c r="S723" s="43">
        <v>0</v>
      </c>
      <c r="T723" s="43">
        <v>0</v>
      </c>
      <c r="U723" s="56"/>
    </row>
    <row r="724" spans="1:21" ht="17.25" customHeight="1" x14ac:dyDescent="0.3">
      <c r="A724" s="15" t="s">
        <v>30</v>
      </c>
      <c r="C724" s="19"/>
      <c r="D724" s="33" t="str">
        <f t="shared" si="172"/>
        <v>C100049</v>
      </c>
      <c r="E724" s="33"/>
      <c r="F724" s="34"/>
      <c r="G724" s="34" t="str">
        <f>"""NAV Direct"",""CRONUS JetCorp USA"",""32"",""1"",""120187"""</f>
        <v>"NAV Direct","CRONUS JetCorp USA","32","1","120187"</v>
      </c>
      <c r="H724" s="40">
        <v>43474</v>
      </c>
      <c r="I724" s="41">
        <v>120187</v>
      </c>
      <c r="J724" s="42" t="str">
        <f>"Customer"</f>
        <v>Customer</v>
      </c>
      <c r="K724" s="42" t="str">
        <f>"C100049"</f>
        <v>C100049</v>
      </c>
      <c r="L724" s="42" t="str">
        <f>IF($J724="Customer",_xll.NL("first",$J724,"Name","No.","@@"&amp;$K724),"")</f>
        <v>Konberg Tapet AB</v>
      </c>
      <c r="M724" s="42" t="str">
        <f>""</f>
        <v/>
      </c>
      <c r="N724" s="42" t="str">
        <f>IF($J724="Item",_xll.NL("first",$J724,"Description","No.","@@"&amp;$K724),"")</f>
        <v/>
      </c>
      <c r="O724" s="43">
        <v>0</v>
      </c>
      <c r="P724" s="43">
        <v>-144</v>
      </c>
      <c r="Q724" s="43">
        <v>0</v>
      </c>
      <c r="R724" s="43">
        <v>0</v>
      </c>
      <c r="S724" s="43">
        <v>0</v>
      </c>
      <c r="T724" s="43">
        <v>0</v>
      </c>
      <c r="U724" s="56"/>
    </row>
    <row r="725" spans="1:21" ht="17.25" customHeight="1" x14ac:dyDescent="0.3">
      <c r="A725" s="15" t="s">
        <v>30</v>
      </c>
      <c r="C725" s="19"/>
      <c r="D725" s="33"/>
      <c r="E725" s="33"/>
      <c r="F725" s="34"/>
      <c r="G725" s="34"/>
      <c r="H725" s="34"/>
      <c r="I725" s="34"/>
      <c r="J725" s="34"/>
      <c r="K725" s="34"/>
      <c r="L725" s="34"/>
      <c r="M725" s="34"/>
      <c r="N725" s="34"/>
      <c r="O725" s="44"/>
      <c r="P725" s="44"/>
      <c r="Q725" s="44"/>
      <c r="R725" s="44"/>
      <c r="S725" s="44"/>
      <c r="T725" s="44"/>
      <c r="U725" s="57"/>
    </row>
    <row r="726" spans="1:21" ht="17.25" customHeight="1" x14ac:dyDescent="0.3">
      <c r="A726" s="15" t="s">
        <v>30</v>
      </c>
      <c r="C726" s="19"/>
      <c r="D726" s="33"/>
      <c r="E726" s="33" t="s">
        <v>31</v>
      </c>
      <c r="F726" s="34" t="s">
        <v>31</v>
      </c>
      <c r="G726" s="34" t="s">
        <v>31</v>
      </c>
      <c r="H726" s="34"/>
      <c r="I726" s="34"/>
      <c r="J726" s="34" t="s">
        <v>31</v>
      </c>
      <c r="K726" s="34" t="s">
        <v>31</v>
      </c>
      <c r="L726" s="34" t="s">
        <v>31</v>
      </c>
      <c r="M726" s="34" t="s">
        <v>31</v>
      </c>
      <c r="N726" s="34"/>
      <c r="U726" s="58"/>
    </row>
    <row r="727" spans="1:21" ht="20.25" customHeight="1" x14ac:dyDescent="0.35">
      <c r="A727" s="15" t="s">
        <v>30</v>
      </c>
      <c r="C727" s="19"/>
      <c r="D727" s="35" t="str">
        <f t="shared" ref="D727" si="173">E727</f>
        <v>C100050</v>
      </c>
      <c r="E727" s="36" t="str">
        <f>"C100050"</f>
        <v>C100050</v>
      </c>
      <c r="F727" s="37" t="str">
        <f>"Clip-on MP3 Player"</f>
        <v>Clip-on MP3 Player</v>
      </c>
      <c r="G727" s="37"/>
      <c r="H727" s="38" t="str">
        <f>"EA"</f>
        <v>EA</v>
      </c>
      <c r="I727" s="37"/>
      <c r="J727" s="37"/>
      <c r="K727" s="37"/>
      <c r="L727" s="37"/>
      <c r="M727" s="37"/>
      <c r="N727" s="37"/>
      <c r="O727" s="39">
        <f>(SUBTOTAL(9,O728:O733))</f>
        <v>1100</v>
      </c>
      <c r="P727" s="39">
        <f>(SUBTOTAL(9,P728:P733))</f>
        <v>-7</v>
      </c>
      <c r="Q727" s="39">
        <f>(SUBTOTAL(9,Q728:Q733))</f>
        <v>0</v>
      </c>
      <c r="R727" s="39">
        <f>(SUBTOTAL(9,R728:R733))</f>
        <v>0</v>
      </c>
      <c r="S727" s="39">
        <f>(SUBTOTAL(9,S728:S733))</f>
        <v>0</v>
      </c>
      <c r="T727" s="39">
        <f>(SUBTOTAL(9,T728:T733))</f>
        <v>0</v>
      </c>
      <c r="U727" s="55">
        <f t="shared" ref="U727" si="174">SUBTOTAL(9,O728:T733)</f>
        <v>1093</v>
      </c>
    </row>
    <row r="728" spans="1:21" ht="17.25" customHeight="1" x14ac:dyDescent="0.3">
      <c r="A728" s="15" t="s">
        <v>30</v>
      </c>
      <c r="C728" s="19"/>
      <c r="D728" s="33" t="str">
        <f t="shared" ref="D728" si="175">D727</f>
        <v>C100050</v>
      </c>
      <c r="E728" s="33"/>
      <c r="F728" s="34"/>
      <c r="G728" s="34" t="str">
        <f>"""NAV Direct"",""CRONUS JetCorp USA"",""32"",""1"",""167999"""</f>
        <v>"NAV Direct","CRONUS JetCorp USA","32","1","167999"</v>
      </c>
      <c r="H728" s="40">
        <v>43466</v>
      </c>
      <c r="I728" s="41">
        <v>167999</v>
      </c>
      <c r="J728" s="42" t="str">
        <f>"Vendor"</f>
        <v>Vendor</v>
      </c>
      <c r="K728" s="42" t="str">
        <f>"V100023"</f>
        <v>V100023</v>
      </c>
      <c r="L728" s="42" t="str">
        <f>IF($J728="Customer",_xll.NL("first",$J728,"Name","No.","@@"&amp;$K728),"")</f>
        <v/>
      </c>
      <c r="M728" s="42" t="str">
        <f>"PURE-LOOK"</f>
        <v>PURE-LOOK</v>
      </c>
      <c r="N728" s="42" t="str">
        <f>IF($J728="Item",_xll.NL("first",$J728,"Description","No.","@@"&amp;$K728),"")</f>
        <v/>
      </c>
      <c r="O728" s="43">
        <v>300</v>
      </c>
      <c r="P728" s="43">
        <v>0</v>
      </c>
      <c r="Q728" s="43">
        <v>0</v>
      </c>
      <c r="R728" s="43">
        <v>0</v>
      </c>
      <c r="S728" s="43">
        <v>0</v>
      </c>
      <c r="T728" s="43">
        <v>0</v>
      </c>
      <c r="U728" s="56"/>
    </row>
    <row r="729" spans="1:21" ht="17.25" customHeight="1" x14ac:dyDescent="0.3">
      <c r="A729" s="15" t="s">
        <v>30</v>
      </c>
      <c r="C729" s="19"/>
      <c r="D729" s="33" t="str">
        <f t="shared" ref="D729:D732" si="176">D728</f>
        <v>C100050</v>
      </c>
      <c r="E729" s="33"/>
      <c r="F729" s="34"/>
      <c r="G729" s="34" t="str">
        <f>"""NAV Direct"",""CRONUS JetCorp USA"",""32"",""1"",""168025"""</f>
        <v>"NAV Direct","CRONUS JetCorp USA","32","1","168025"</v>
      </c>
      <c r="H729" s="40">
        <v>43466</v>
      </c>
      <c r="I729" s="41">
        <v>168025</v>
      </c>
      <c r="J729" s="42" t="str">
        <f>"Vendor"</f>
        <v>Vendor</v>
      </c>
      <c r="K729" s="42" t="str">
        <f>"V100007"</f>
        <v>V100007</v>
      </c>
      <c r="L729" s="42" t="str">
        <f>IF($J729="Customer",_xll.NL("first",$J729,"Name","No.","@@"&amp;$K729),"")</f>
        <v/>
      </c>
      <c r="M729" s="42" t="str">
        <f>"TrendTech"</f>
        <v>TrendTech</v>
      </c>
      <c r="N729" s="42" t="str">
        <f>IF($J729="Item",_xll.NL("first",$J729,"Description","No.","@@"&amp;$K729),"")</f>
        <v/>
      </c>
      <c r="O729" s="43">
        <v>700</v>
      </c>
      <c r="P729" s="43">
        <v>0</v>
      </c>
      <c r="Q729" s="43">
        <v>0</v>
      </c>
      <c r="R729" s="43">
        <v>0</v>
      </c>
      <c r="S729" s="43">
        <v>0</v>
      </c>
      <c r="T729" s="43">
        <v>0</v>
      </c>
      <c r="U729" s="56"/>
    </row>
    <row r="730" spans="1:21" ht="17.25" customHeight="1" x14ac:dyDescent="0.3">
      <c r="A730" s="15" t="s">
        <v>30</v>
      </c>
      <c r="C730" s="19"/>
      <c r="D730" s="33" t="str">
        <f t="shared" si="176"/>
        <v>C100050</v>
      </c>
      <c r="E730" s="33"/>
      <c r="F730" s="34"/>
      <c r="G730" s="34" t="str">
        <f>"""NAV Direct"",""CRONUS JetCorp USA"",""32"",""1"",""168049"""</f>
        <v>"NAV Direct","CRONUS JetCorp USA","32","1","168049"</v>
      </c>
      <c r="H730" s="40">
        <v>43466</v>
      </c>
      <c r="I730" s="41">
        <v>168049</v>
      </c>
      <c r="J730" s="42" t="str">
        <f>"Vendor"</f>
        <v>Vendor</v>
      </c>
      <c r="K730" s="42" t="str">
        <f>"V100003"</f>
        <v>V100003</v>
      </c>
      <c r="L730" s="42" t="str">
        <f>IF($J730="Customer",_xll.NL("first",$J730,"Name","No.","@@"&amp;$K730),"")</f>
        <v/>
      </c>
      <c r="M730" s="42" t="str">
        <f>"LogoMasters"</f>
        <v>LogoMasters</v>
      </c>
      <c r="N730" s="42" t="str">
        <f>IF($J730="Item",_xll.NL("first",$J730,"Description","No.","@@"&amp;$K730),"")</f>
        <v/>
      </c>
      <c r="O730" s="43">
        <v>100</v>
      </c>
      <c r="P730" s="43">
        <v>0</v>
      </c>
      <c r="Q730" s="43">
        <v>0</v>
      </c>
      <c r="R730" s="43">
        <v>0</v>
      </c>
      <c r="S730" s="43">
        <v>0</v>
      </c>
      <c r="T730" s="43">
        <v>0</v>
      </c>
      <c r="U730" s="56"/>
    </row>
    <row r="731" spans="1:21" ht="17.25" customHeight="1" x14ac:dyDescent="0.3">
      <c r="A731" s="15" t="s">
        <v>30</v>
      </c>
      <c r="C731" s="19"/>
      <c r="D731" s="33" t="str">
        <f t="shared" si="176"/>
        <v>C100050</v>
      </c>
      <c r="E731" s="33"/>
      <c r="F731" s="34"/>
      <c r="G731" s="34" t="str">
        <f>"""NAV Direct"",""CRONUS JetCorp USA"",""32"",""1"",""12456"""</f>
        <v>"NAV Direct","CRONUS JetCorp USA","32","1","12456"</v>
      </c>
      <c r="H731" s="40">
        <v>43469</v>
      </c>
      <c r="I731" s="41">
        <v>12456</v>
      </c>
      <c r="J731" s="42" t="str">
        <f>"Customer"</f>
        <v>Customer</v>
      </c>
      <c r="K731" s="42" t="str">
        <f>"C100064"</f>
        <v>C100064</v>
      </c>
      <c r="L731" s="42" t="str">
        <f>IF($J731="Customer",_xll.NL("first",$J731,"Name","No.","@@"&amp;$K731),"")</f>
        <v>Möbel Siegfried</v>
      </c>
      <c r="M731" s="42" t="str">
        <f>""</f>
        <v/>
      </c>
      <c r="N731" s="42" t="str">
        <f>IF($J731="Item",_xll.NL("first",$J731,"Description","No.","@@"&amp;$K731),"")</f>
        <v/>
      </c>
      <c r="O731" s="43">
        <v>0</v>
      </c>
      <c r="P731" s="43">
        <v>-6</v>
      </c>
      <c r="Q731" s="43">
        <v>0</v>
      </c>
      <c r="R731" s="43">
        <v>0</v>
      </c>
      <c r="S731" s="43">
        <v>0</v>
      </c>
      <c r="T731" s="43">
        <v>0</v>
      </c>
      <c r="U731" s="56"/>
    </row>
    <row r="732" spans="1:21" ht="17.25" customHeight="1" x14ac:dyDescent="0.3">
      <c r="A732" s="15" t="s">
        <v>30</v>
      </c>
      <c r="C732" s="19"/>
      <c r="D732" s="33" t="str">
        <f t="shared" si="176"/>
        <v>C100050</v>
      </c>
      <c r="E732" s="33"/>
      <c r="F732" s="34"/>
      <c r="G732" s="34" t="str">
        <f>"""NAV Direct"",""CRONUS JetCorp USA"",""32"",""1"",""7590"""</f>
        <v>"NAV Direct","CRONUS JetCorp USA","32","1","7590"</v>
      </c>
      <c r="H732" s="40">
        <v>43476</v>
      </c>
      <c r="I732" s="41">
        <v>7590</v>
      </c>
      <c r="J732" s="42" t="str">
        <f>"Customer"</f>
        <v>Customer</v>
      </c>
      <c r="K732" s="42" t="str">
        <f>"C100030"</f>
        <v>C100030</v>
      </c>
      <c r="L732" s="42" t="str">
        <f>IF($J732="Customer",_xll.NL("first",$J732,"Name","No.","@@"&amp;$K732),"")</f>
        <v>Stutringers</v>
      </c>
      <c r="M732" s="42" t="str">
        <f>""</f>
        <v/>
      </c>
      <c r="N732" s="42" t="str">
        <f>IF($J732="Item",_xll.NL("first",$J732,"Description","No.","@@"&amp;$K732),"")</f>
        <v/>
      </c>
      <c r="O732" s="43">
        <v>0</v>
      </c>
      <c r="P732" s="43">
        <v>-1</v>
      </c>
      <c r="Q732" s="43">
        <v>0</v>
      </c>
      <c r="R732" s="43">
        <v>0</v>
      </c>
      <c r="S732" s="43">
        <v>0</v>
      </c>
      <c r="T732" s="43">
        <v>0</v>
      </c>
      <c r="U732" s="56"/>
    </row>
    <row r="733" spans="1:21" ht="17.25" customHeight="1" x14ac:dyDescent="0.3">
      <c r="A733" s="15" t="s">
        <v>30</v>
      </c>
      <c r="C733" s="19"/>
      <c r="D733" s="33"/>
      <c r="E733" s="33"/>
      <c r="F733" s="34"/>
      <c r="G733" s="34"/>
      <c r="H733" s="34"/>
      <c r="I733" s="34"/>
      <c r="J733" s="34"/>
      <c r="K733" s="34"/>
      <c r="L733" s="34"/>
      <c r="M733" s="34"/>
      <c r="N733" s="34"/>
      <c r="O733" s="44"/>
      <c r="P733" s="44"/>
      <c r="Q733" s="44"/>
      <c r="R733" s="44"/>
      <c r="S733" s="44"/>
      <c r="T733" s="44"/>
      <c r="U733" s="57"/>
    </row>
    <row r="734" spans="1:21" ht="17.25" customHeight="1" x14ac:dyDescent="0.3">
      <c r="A734" s="15" t="s">
        <v>30</v>
      </c>
      <c r="C734" s="19"/>
      <c r="D734" s="33"/>
      <c r="E734" s="33" t="s">
        <v>31</v>
      </c>
      <c r="F734" s="34" t="s">
        <v>31</v>
      </c>
      <c r="G734" s="34" t="s">
        <v>31</v>
      </c>
      <c r="H734" s="34"/>
      <c r="I734" s="34"/>
      <c r="J734" s="34" t="s">
        <v>31</v>
      </c>
      <c r="K734" s="34" t="s">
        <v>31</v>
      </c>
      <c r="L734" s="34" t="s">
        <v>31</v>
      </c>
      <c r="M734" s="34" t="s">
        <v>31</v>
      </c>
      <c r="N734" s="34"/>
      <c r="U734" s="58"/>
    </row>
    <row r="735" spans="1:21" ht="20.25" customHeight="1" x14ac:dyDescent="0.35">
      <c r="A735" s="15" t="s">
        <v>30</v>
      </c>
      <c r="C735" s="19"/>
      <c r="D735" s="35" t="str">
        <f t="shared" ref="D735" si="177">E735</f>
        <v>C100051</v>
      </c>
      <c r="E735" s="36" t="str">
        <f>"C100051"</f>
        <v>C100051</v>
      </c>
      <c r="F735" s="37" t="str">
        <f>"Bamboo Digital Picutre Frame"</f>
        <v>Bamboo Digital Picutre Frame</v>
      </c>
      <c r="G735" s="37"/>
      <c r="H735" s="38" t="str">
        <f>"EA"</f>
        <v>EA</v>
      </c>
      <c r="I735" s="37"/>
      <c r="J735" s="37"/>
      <c r="K735" s="37"/>
      <c r="L735" s="37"/>
      <c r="M735" s="37"/>
      <c r="N735" s="37"/>
      <c r="O735" s="39">
        <f>(SUBTOTAL(9,O736:O741))</f>
        <v>1300</v>
      </c>
      <c r="P735" s="39">
        <f>(SUBTOTAL(9,P736:P741))</f>
        <v>-432</v>
      </c>
      <c r="Q735" s="39">
        <f>(SUBTOTAL(9,Q736:Q741))</f>
        <v>0</v>
      </c>
      <c r="R735" s="39">
        <f>(SUBTOTAL(9,R736:R741))</f>
        <v>0</v>
      </c>
      <c r="S735" s="39">
        <f>(SUBTOTAL(9,S736:S741))</f>
        <v>0</v>
      </c>
      <c r="T735" s="39">
        <f>(SUBTOTAL(9,T736:T741))</f>
        <v>0</v>
      </c>
      <c r="U735" s="55">
        <f t="shared" ref="U735" si="178">SUBTOTAL(9,O736:T741)</f>
        <v>868</v>
      </c>
    </row>
    <row r="736" spans="1:21" ht="17.25" customHeight="1" x14ac:dyDescent="0.3">
      <c r="A736" s="15" t="s">
        <v>30</v>
      </c>
      <c r="C736" s="19"/>
      <c r="D736" s="33" t="str">
        <f t="shared" ref="D736" si="179">D735</f>
        <v>C100051</v>
      </c>
      <c r="E736" s="33"/>
      <c r="F736" s="34"/>
      <c r="G736" s="34" t="str">
        <f>"""NAV Direct"",""CRONUS JetCorp USA"",""32"",""1"",""168024"""</f>
        <v>"NAV Direct","CRONUS JetCorp USA","32","1","168024"</v>
      </c>
      <c r="H736" s="40">
        <v>43466</v>
      </c>
      <c r="I736" s="41">
        <v>168024</v>
      </c>
      <c r="J736" s="42" t="str">
        <f>"Vendor"</f>
        <v>Vendor</v>
      </c>
      <c r="K736" s="42" t="str">
        <f>"V100007"</f>
        <v>V100007</v>
      </c>
      <c r="L736" s="42" t="str">
        <f>IF($J736="Customer",_xll.NL("first",$J736,"Name","No.","@@"&amp;$K736),"")</f>
        <v/>
      </c>
      <c r="M736" s="42" t="str">
        <f>"TrendTech"</f>
        <v>TrendTech</v>
      </c>
      <c r="N736" s="42" t="str">
        <f>IF($J736="Item",_xll.NL("first",$J736,"Description","No.","@@"&amp;$K736),"")</f>
        <v/>
      </c>
      <c r="O736" s="43">
        <v>700</v>
      </c>
      <c r="P736" s="43">
        <v>0</v>
      </c>
      <c r="Q736" s="43">
        <v>0</v>
      </c>
      <c r="R736" s="43">
        <v>0</v>
      </c>
      <c r="S736" s="43">
        <v>0</v>
      </c>
      <c r="T736" s="43">
        <v>0</v>
      </c>
      <c r="U736" s="56"/>
    </row>
    <row r="737" spans="1:21" ht="17.25" customHeight="1" x14ac:dyDescent="0.3">
      <c r="A737" s="15" t="s">
        <v>30</v>
      </c>
      <c r="C737" s="19"/>
      <c r="D737" s="33" t="str">
        <f t="shared" ref="D737:D740" si="180">D736</f>
        <v>C100051</v>
      </c>
      <c r="E737" s="33"/>
      <c r="F737" s="34"/>
      <c r="G737" s="34" t="str">
        <f>"""NAV Direct"",""CRONUS JetCorp USA"",""32"",""1"",""168048"""</f>
        <v>"NAV Direct","CRONUS JetCorp USA","32","1","168048"</v>
      </c>
      <c r="H737" s="40">
        <v>43466</v>
      </c>
      <c r="I737" s="41">
        <v>168048</v>
      </c>
      <c r="J737" s="42" t="str">
        <f>"Vendor"</f>
        <v>Vendor</v>
      </c>
      <c r="K737" s="42" t="str">
        <f>"V100003"</f>
        <v>V100003</v>
      </c>
      <c r="L737" s="42" t="str">
        <f>IF($J737="Customer",_xll.NL("first",$J737,"Name","No.","@@"&amp;$K737),"")</f>
        <v/>
      </c>
      <c r="M737" s="42" t="str">
        <f>"LogoMasters"</f>
        <v>LogoMasters</v>
      </c>
      <c r="N737" s="42" t="str">
        <f>IF($J737="Item",_xll.NL("first",$J737,"Description","No.","@@"&amp;$K737),"")</f>
        <v/>
      </c>
      <c r="O737" s="43">
        <v>600</v>
      </c>
      <c r="P737" s="43">
        <v>0</v>
      </c>
      <c r="Q737" s="43">
        <v>0</v>
      </c>
      <c r="R737" s="43">
        <v>0</v>
      </c>
      <c r="S737" s="43">
        <v>0</v>
      </c>
      <c r="T737" s="43">
        <v>0</v>
      </c>
      <c r="U737" s="56"/>
    </row>
    <row r="738" spans="1:21" ht="17.25" customHeight="1" x14ac:dyDescent="0.3">
      <c r="A738" s="15" t="s">
        <v>30</v>
      </c>
      <c r="C738" s="19"/>
      <c r="D738" s="33" t="str">
        <f t="shared" si="180"/>
        <v>C100051</v>
      </c>
      <c r="E738" s="33"/>
      <c r="F738" s="34"/>
      <c r="G738" s="34" t="str">
        <f>"""NAV Direct"",""CRONUS JetCorp USA"",""32"",""1"",""12450"""</f>
        <v>"NAV Direct","CRONUS JetCorp USA","32","1","12450"</v>
      </c>
      <c r="H738" s="40">
        <v>43469</v>
      </c>
      <c r="I738" s="41">
        <v>12450</v>
      </c>
      <c r="J738" s="42" t="str">
        <f>"Customer"</f>
        <v>Customer</v>
      </c>
      <c r="K738" s="42" t="str">
        <f>"C100064"</f>
        <v>C100064</v>
      </c>
      <c r="L738" s="42" t="str">
        <f>IF($J738="Customer",_xll.NL("first",$J738,"Name","No.","@@"&amp;$K738),"")</f>
        <v>Möbel Siegfried</v>
      </c>
      <c r="M738" s="42" t="str">
        <f>""</f>
        <v/>
      </c>
      <c r="N738" s="42" t="str">
        <f>IF($J738="Item",_xll.NL("first",$J738,"Description","No.","@@"&amp;$K738),"")</f>
        <v/>
      </c>
      <c r="O738" s="43">
        <v>0</v>
      </c>
      <c r="P738" s="43">
        <v>-144</v>
      </c>
      <c r="Q738" s="43">
        <v>0</v>
      </c>
      <c r="R738" s="43">
        <v>0</v>
      </c>
      <c r="S738" s="43">
        <v>0</v>
      </c>
      <c r="T738" s="43">
        <v>0</v>
      </c>
      <c r="U738" s="56"/>
    </row>
    <row r="739" spans="1:21" ht="17.25" customHeight="1" x14ac:dyDescent="0.3">
      <c r="A739" s="15" t="s">
        <v>30</v>
      </c>
      <c r="C739" s="19"/>
      <c r="D739" s="33" t="str">
        <f t="shared" si="180"/>
        <v>C100051</v>
      </c>
      <c r="E739" s="33"/>
      <c r="F739" s="34"/>
      <c r="G739" s="34" t="str">
        <f>"""NAV Direct"",""CRONUS JetCorp USA"",""32"",""1"",""114265"""</f>
        <v>"NAV Direct","CRONUS JetCorp USA","32","1","114265"</v>
      </c>
      <c r="H739" s="40">
        <v>43470</v>
      </c>
      <c r="I739" s="41">
        <v>114265</v>
      </c>
      <c r="J739" s="42" t="str">
        <f>"Customer"</f>
        <v>Customer</v>
      </c>
      <c r="K739" s="42" t="str">
        <f>"C100076"</f>
        <v>C100076</v>
      </c>
      <c r="L739" s="42" t="str">
        <f>IF($J739="Customer",_xll.NL("first",$J739,"Name","No.","@@"&amp;$K739),"")</f>
        <v>Showmasters</v>
      </c>
      <c r="M739" s="42" t="str">
        <f>""</f>
        <v/>
      </c>
      <c r="N739" s="42" t="str">
        <f>IF($J739="Item",_xll.NL("first",$J739,"Description","No.","@@"&amp;$K739),"")</f>
        <v/>
      </c>
      <c r="O739" s="43">
        <v>0</v>
      </c>
      <c r="P739" s="43">
        <v>-144</v>
      </c>
      <c r="Q739" s="43">
        <v>0</v>
      </c>
      <c r="R739" s="43">
        <v>0</v>
      </c>
      <c r="S739" s="43">
        <v>0</v>
      </c>
      <c r="T739" s="43">
        <v>0</v>
      </c>
      <c r="U739" s="56"/>
    </row>
    <row r="740" spans="1:21" ht="17.25" customHeight="1" x14ac:dyDescent="0.3">
      <c r="A740" s="15" t="s">
        <v>30</v>
      </c>
      <c r="C740" s="19"/>
      <c r="D740" s="33" t="str">
        <f t="shared" si="180"/>
        <v>C100051</v>
      </c>
      <c r="E740" s="33"/>
      <c r="F740" s="34"/>
      <c r="G740" s="34" t="str">
        <f>"""NAV Direct"",""CRONUS JetCorp USA"",""32"",""1"",""111309"""</f>
        <v>"NAV Direct","CRONUS JetCorp USA","32","1","111309"</v>
      </c>
      <c r="H740" s="40">
        <v>43472</v>
      </c>
      <c r="I740" s="41">
        <v>111309</v>
      </c>
      <c r="J740" s="42" t="str">
        <f>"Customer"</f>
        <v>Customer</v>
      </c>
      <c r="K740" s="42" t="str">
        <f>"C100099"</f>
        <v>C100099</v>
      </c>
      <c r="L740" s="42" t="str">
        <f>IF($J740="Customer",_xll.NL("first",$J740,"Name","No.","@@"&amp;$K740),"")</f>
        <v>Voltive Systems</v>
      </c>
      <c r="M740" s="42" t="str">
        <f>""</f>
        <v/>
      </c>
      <c r="N740" s="42" t="str">
        <f>IF($J740="Item",_xll.NL("first",$J740,"Description","No.","@@"&amp;$K740),"")</f>
        <v/>
      </c>
      <c r="O740" s="43">
        <v>0</v>
      </c>
      <c r="P740" s="43">
        <v>-144</v>
      </c>
      <c r="Q740" s="43">
        <v>0</v>
      </c>
      <c r="R740" s="43">
        <v>0</v>
      </c>
      <c r="S740" s="43">
        <v>0</v>
      </c>
      <c r="T740" s="43">
        <v>0</v>
      </c>
      <c r="U740" s="56"/>
    </row>
    <row r="741" spans="1:21" ht="17.25" customHeight="1" x14ac:dyDescent="0.3">
      <c r="A741" s="15" t="s">
        <v>30</v>
      </c>
      <c r="C741" s="19"/>
      <c r="D741" s="33"/>
      <c r="E741" s="33"/>
      <c r="F741" s="34"/>
      <c r="G741" s="34"/>
      <c r="H741" s="34"/>
      <c r="I741" s="34"/>
      <c r="J741" s="34"/>
      <c r="K741" s="34"/>
      <c r="L741" s="34"/>
      <c r="M741" s="34"/>
      <c r="N741" s="34"/>
      <c r="O741" s="44"/>
      <c r="P741" s="44"/>
      <c r="Q741" s="44"/>
      <c r="R741" s="44"/>
      <c r="S741" s="44"/>
      <c r="T741" s="44"/>
      <c r="U741" s="57"/>
    </row>
    <row r="742" spans="1:21" ht="17.25" customHeight="1" x14ac:dyDescent="0.3">
      <c r="A742" s="15" t="s">
        <v>30</v>
      </c>
      <c r="C742" s="19"/>
      <c r="D742" s="33"/>
      <c r="E742" s="33" t="s">
        <v>31</v>
      </c>
      <c r="F742" s="34" t="s">
        <v>31</v>
      </c>
      <c r="G742" s="34" t="s">
        <v>31</v>
      </c>
      <c r="H742" s="34"/>
      <c r="I742" s="34"/>
      <c r="J742" s="34" t="s">
        <v>31</v>
      </c>
      <c r="K742" s="34" t="s">
        <v>31</v>
      </c>
      <c r="L742" s="34" t="s">
        <v>31</v>
      </c>
      <c r="M742" s="34" t="s">
        <v>31</v>
      </c>
      <c r="N742" s="34"/>
      <c r="U742" s="58"/>
    </row>
    <row r="743" spans="1:21" ht="20.25" customHeight="1" x14ac:dyDescent="0.35">
      <c r="A743" s="15" t="s">
        <v>30</v>
      </c>
      <c r="C743" s="19"/>
      <c r="D743" s="35" t="str">
        <f t="shared" ref="D743" si="181">E743</f>
        <v>C100052</v>
      </c>
      <c r="E743" s="36" t="str">
        <f>"C100052"</f>
        <v>C100052</v>
      </c>
      <c r="F743" s="37" t="str">
        <f>"Black Digital Picture Frame"</f>
        <v>Black Digital Picture Frame</v>
      </c>
      <c r="G743" s="37"/>
      <c r="H743" s="38" t="str">
        <f>"EA"</f>
        <v>EA</v>
      </c>
      <c r="I743" s="37"/>
      <c r="J743" s="37"/>
      <c r="K743" s="37"/>
      <c r="L743" s="37"/>
      <c r="M743" s="37"/>
      <c r="N743" s="37"/>
      <c r="O743" s="39">
        <f>(SUBTOTAL(9,O744:O749))</f>
        <v>800</v>
      </c>
      <c r="P743" s="39">
        <f>(SUBTOTAL(9,P744:P749))</f>
        <v>-192</v>
      </c>
      <c r="Q743" s="39">
        <f>(SUBTOTAL(9,Q744:Q749))</f>
        <v>0</v>
      </c>
      <c r="R743" s="39">
        <f>(SUBTOTAL(9,R744:R749))</f>
        <v>0</v>
      </c>
      <c r="S743" s="39">
        <f>(SUBTOTAL(9,S744:S749))</f>
        <v>0</v>
      </c>
      <c r="T743" s="39">
        <f>(SUBTOTAL(9,T744:T749))</f>
        <v>0</v>
      </c>
      <c r="U743" s="55">
        <f t="shared" ref="U743" si="182">SUBTOTAL(9,O744:T749)</f>
        <v>608</v>
      </c>
    </row>
    <row r="744" spans="1:21" ht="17.25" customHeight="1" x14ac:dyDescent="0.3">
      <c r="A744" s="15" t="s">
        <v>30</v>
      </c>
      <c r="C744" s="19"/>
      <c r="D744" s="33" t="str">
        <f t="shared" ref="D744" si="183">D743</f>
        <v>C100052</v>
      </c>
      <c r="E744" s="33"/>
      <c r="F744" s="34"/>
      <c r="G744" s="34" t="str">
        <f>"""NAV Direct"",""CRONUS JetCorp USA"",""32"",""1"",""168009"""</f>
        <v>"NAV Direct","CRONUS JetCorp USA","32","1","168009"</v>
      </c>
      <c r="H744" s="40">
        <v>43466</v>
      </c>
      <c r="I744" s="41">
        <v>168009</v>
      </c>
      <c r="J744" s="42" t="str">
        <f>"Vendor"</f>
        <v>Vendor</v>
      </c>
      <c r="K744" s="42" t="str">
        <f>"V100040"</f>
        <v>V100040</v>
      </c>
      <c r="L744" s="42" t="str">
        <f>IF($J744="Customer",_xll.NL("first",$J744,"Name","No.","@@"&amp;$K744),"")</f>
        <v/>
      </c>
      <c r="M744" s="42" t="str">
        <f>"Technische Betriebe Rotkreuz"</f>
        <v>Technische Betriebe Rotkreuz</v>
      </c>
      <c r="N744" s="42" t="str">
        <f>IF($J744="Item",_xll.NL("first",$J744,"Description","No.","@@"&amp;$K744),"")</f>
        <v/>
      </c>
      <c r="O744" s="43">
        <v>300</v>
      </c>
      <c r="P744" s="43">
        <v>0</v>
      </c>
      <c r="Q744" s="43">
        <v>0</v>
      </c>
      <c r="R744" s="43">
        <v>0</v>
      </c>
      <c r="S744" s="43">
        <v>0</v>
      </c>
      <c r="T744" s="43">
        <v>0</v>
      </c>
      <c r="U744" s="56"/>
    </row>
    <row r="745" spans="1:21" ht="17.25" customHeight="1" x14ac:dyDescent="0.3">
      <c r="A745" s="15" t="s">
        <v>30</v>
      </c>
      <c r="C745" s="19"/>
      <c r="D745" s="33" t="str">
        <f t="shared" ref="D745:D748" si="184">D744</f>
        <v>C100052</v>
      </c>
      <c r="E745" s="33"/>
      <c r="F745" s="34"/>
      <c r="G745" s="34" t="str">
        <f>"""NAV Direct"",""CRONUS JetCorp USA"",""32"",""1"",""168023"""</f>
        <v>"NAV Direct","CRONUS JetCorp USA","32","1","168023"</v>
      </c>
      <c r="H745" s="40">
        <v>43466</v>
      </c>
      <c r="I745" s="41">
        <v>168023</v>
      </c>
      <c r="J745" s="42" t="str">
        <f>"Vendor"</f>
        <v>Vendor</v>
      </c>
      <c r="K745" s="42" t="str">
        <f>"V100007"</f>
        <v>V100007</v>
      </c>
      <c r="L745" s="42" t="str">
        <f>IF($J745="Customer",_xll.NL("first",$J745,"Name","No.","@@"&amp;$K745),"")</f>
        <v/>
      </c>
      <c r="M745" s="42" t="str">
        <f>"TrendTech"</f>
        <v>TrendTech</v>
      </c>
      <c r="N745" s="42" t="str">
        <f>IF($J745="Item",_xll.NL("first",$J745,"Description","No.","@@"&amp;$K745),"")</f>
        <v/>
      </c>
      <c r="O745" s="43">
        <v>200</v>
      </c>
      <c r="P745" s="43">
        <v>0</v>
      </c>
      <c r="Q745" s="43">
        <v>0</v>
      </c>
      <c r="R745" s="43">
        <v>0</v>
      </c>
      <c r="S745" s="43">
        <v>0</v>
      </c>
      <c r="T745" s="43">
        <v>0</v>
      </c>
      <c r="U745" s="56"/>
    </row>
    <row r="746" spans="1:21" ht="17.25" customHeight="1" x14ac:dyDescent="0.3">
      <c r="A746" s="15" t="s">
        <v>30</v>
      </c>
      <c r="C746" s="19"/>
      <c r="D746" s="33" t="str">
        <f t="shared" si="184"/>
        <v>C100052</v>
      </c>
      <c r="E746" s="33"/>
      <c r="F746" s="34"/>
      <c r="G746" s="34" t="str">
        <f>"""NAV Direct"",""CRONUS JetCorp USA"",""32"",""1"",""168047"""</f>
        <v>"NAV Direct","CRONUS JetCorp USA","32","1","168047"</v>
      </c>
      <c r="H746" s="40">
        <v>43466</v>
      </c>
      <c r="I746" s="41">
        <v>168047</v>
      </c>
      <c r="J746" s="42" t="str">
        <f>"Vendor"</f>
        <v>Vendor</v>
      </c>
      <c r="K746" s="42" t="str">
        <f>"V100003"</f>
        <v>V100003</v>
      </c>
      <c r="L746" s="42" t="str">
        <f>IF($J746="Customer",_xll.NL("first",$J746,"Name","No.","@@"&amp;$K746),"")</f>
        <v/>
      </c>
      <c r="M746" s="42" t="str">
        <f>"LogoMasters"</f>
        <v>LogoMasters</v>
      </c>
      <c r="N746" s="42" t="str">
        <f>IF($J746="Item",_xll.NL("first",$J746,"Description","No.","@@"&amp;$K746),"")</f>
        <v/>
      </c>
      <c r="O746" s="43">
        <v>300</v>
      </c>
      <c r="P746" s="43">
        <v>0</v>
      </c>
      <c r="Q746" s="43">
        <v>0</v>
      </c>
      <c r="R746" s="43">
        <v>0</v>
      </c>
      <c r="S746" s="43">
        <v>0</v>
      </c>
      <c r="T746" s="43">
        <v>0</v>
      </c>
      <c r="U746" s="56"/>
    </row>
    <row r="747" spans="1:21" ht="17.25" customHeight="1" x14ac:dyDescent="0.3">
      <c r="A747" s="15" t="s">
        <v>30</v>
      </c>
      <c r="C747" s="19"/>
      <c r="D747" s="33" t="str">
        <f t="shared" si="184"/>
        <v>C100052</v>
      </c>
      <c r="E747" s="33"/>
      <c r="F747" s="34"/>
      <c r="G747" s="34" t="str">
        <f>"""NAV Direct"",""CRONUS JetCorp USA"",""32"",""1"",""10218"""</f>
        <v>"NAV Direct","CRONUS JetCorp USA","32","1","10218"</v>
      </c>
      <c r="H747" s="40">
        <v>43471</v>
      </c>
      <c r="I747" s="41">
        <v>10218</v>
      </c>
      <c r="J747" s="42" t="str">
        <f>"Customer"</f>
        <v>Customer</v>
      </c>
      <c r="K747" s="42" t="str">
        <f>"C100066"</f>
        <v>C100066</v>
      </c>
      <c r="L747" s="42" t="str">
        <f>IF($J747="Customer",_xll.NL("first",$J747,"Name","No.","@@"&amp;$K747),"")</f>
        <v>Office Solutions</v>
      </c>
      <c r="M747" s="42" t="str">
        <f>""</f>
        <v/>
      </c>
      <c r="N747" s="42" t="str">
        <f>IF($J747="Item",_xll.NL("first",$J747,"Description","No.","@@"&amp;$K747),"")</f>
        <v/>
      </c>
      <c r="O747" s="43">
        <v>0</v>
      </c>
      <c r="P747" s="43">
        <v>-48</v>
      </c>
      <c r="Q747" s="43">
        <v>0</v>
      </c>
      <c r="R747" s="43">
        <v>0</v>
      </c>
      <c r="S747" s="43">
        <v>0</v>
      </c>
      <c r="T747" s="43">
        <v>0</v>
      </c>
      <c r="U747" s="56"/>
    </row>
    <row r="748" spans="1:21" ht="17.25" customHeight="1" x14ac:dyDescent="0.3">
      <c r="A748" s="15" t="s">
        <v>30</v>
      </c>
      <c r="C748" s="19"/>
      <c r="D748" s="33" t="str">
        <f t="shared" si="184"/>
        <v>C100052</v>
      </c>
      <c r="E748" s="33"/>
      <c r="F748" s="34"/>
      <c r="G748" s="34" t="str">
        <f>"""NAV Direct"",""CRONUS JetCorp USA"",""32"",""1"",""118069"""</f>
        <v>"NAV Direct","CRONUS JetCorp USA","32","1","118069"</v>
      </c>
      <c r="H748" s="40">
        <v>43471</v>
      </c>
      <c r="I748" s="41">
        <v>118069</v>
      </c>
      <c r="J748" s="42" t="str">
        <f>"Customer"</f>
        <v>Customer</v>
      </c>
      <c r="K748" s="42" t="str">
        <f>"C100060"</f>
        <v>C100060</v>
      </c>
      <c r="L748" s="42" t="str">
        <f>IF($J748="Customer",_xll.NL("first",$J748,"Name","No.","@@"&amp;$K748),"")</f>
        <v>MEMA Ljubljana d.o.o.</v>
      </c>
      <c r="M748" s="42" t="str">
        <f>""</f>
        <v/>
      </c>
      <c r="N748" s="42" t="str">
        <f>IF($J748="Item",_xll.NL("first",$J748,"Description","No.","@@"&amp;$K748),"")</f>
        <v/>
      </c>
      <c r="O748" s="43">
        <v>0</v>
      </c>
      <c r="P748" s="43">
        <v>-144</v>
      </c>
      <c r="Q748" s="43">
        <v>0</v>
      </c>
      <c r="R748" s="43">
        <v>0</v>
      </c>
      <c r="S748" s="43">
        <v>0</v>
      </c>
      <c r="T748" s="43">
        <v>0</v>
      </c>
      <c r="U748" s="56"/>
    </row>
    <row r="749" spans="1:21" ht="17.25" customHeight="1" x14ac:dyDescent="0.3">
      <c r="A749" s="15" t="s">
        <v>30</v>
      </c>
      <c r="C749" s="19"/>
      <c r="D749" s="33"/>
      <c r="E749" s="33"/>
      <c r="F749" s="34"/>
      <c r="G749" s="34"/>
      <c r="H749" s="34"/>
      <c r="I749" s="34"/>
      <c r="J749" s="34"/>
      <c r="K749" s="34"/>
      <c r="L749" s="34"/>
      <c r="M749" s="34"/>
      <c r="N749" s="34"/>
      <c r="O749" s="44"/>
      <c r="P749" s="44"/>
      <c r="Q749" s="44"/>
      <c r="R749" s="44"/>
      <c r="S749" s="44"/>
      <c r="T749" s="44"/>
      <c r="U749" s="57"/>
    </row>
    <row r="750" spans="1:21" ht="17.25" customHeight="1" x14ac:dyDescent="0.3">
      <c r="A750" s="15" t="s">
        <v>30</v>
      </c>
      <c r="C750" s="19"/>
      <c r="D750" s="33"/>
      <c r="E750" s="33" t="s">
        <v>31</v>
      </c>
      <c r="F750" s="34" t="s">
        <v>31</v>
      </c>
      <c r="G750" s="34" t="s">
        <v>31</v>
      </c>
      <c r="H750" s="34"/>
      <c r="I750" s="34"/>
      <c r="J750" s="34" t="s">
        <v>31</v>
      </c>
      <c r="K750" s="34" t="s">
        <v>31</v>
      </c>
      <c r="L750" s="34" t="s">
        <v>31</v>
      </c>
      <c r="M750" s="34" t="s">
        <v>31</v>
      </c>
      <c r="N750" s="34"/>
      <c r="U750" s="58"/>
    </row>
    <row r="751" spans="1:21" ht="20.25" customHeight="1" x14ac:dyDescent="0.35">
      <c r="A751" s="15" t="s">
        <v>30</v>
      </c>
      <c r="C751" s="19"/>
      <c r="D751" s="35" t="str">
        <f t="shared" ref="D751" si="185">E751</f>
        <v>C100053</v>
      </c>
      <c r="E751" s="36" t="str">
        <f>"C100053"</f>
        <v>C100053</v>
      </c>
      <c r="F751" s="37" t="str">
        <f>"Book Style Photo Frame &amp; Clock"</f>
        <v>Book Style Photo Frame &amp; Clock</v>
      </c>
      <c r="G751" s="37"/>
      <c r="H751" s="38" t="str">
        <f>"EA"</f>
        <v>EA</v>
      </c>
      <c r="I751" s="37"/>
      <c r="J751" s="37"/>
      <c r="K751" s="37"/>
      <c r="L751" s="37"/>
      <c r="M751" s="37"/>
      <c r="N751" s="37"/>
      <c r="O751" s="39">
        <f>(SUBTOTAL(9,O752:O762))</f>
        <v>800</v>
      </c>
      <c r="P751" s="39">
        <f>(SUBTOTAL(9,P752:P762))</f>
        <v>-402</v>
      </c>
      <c r="Q751" s="39">
        <f>(SUBTOTAL(9,Q752:Q762))</f>
        <v>0</v>
      </c>
      <c r="R751" s="39">
        <f>(SUBTOTAL(9,R752:R762))</f>
        <v>0</v>
      </c>
      <c r="S751" s="39">
        <f>(SUBTOTAL(9,S752:S762))</f>
        <v>0</v>
      </c>
      <c r="T751" s="39">
        <f>(SUBTOTAL(9,T752:T762))</f>
        <v>0</v>
      </c>
      <c r="U751" s="55">
        <f t="shared" ref="U751" si="186">SUBTOTAL(9,O752:T762)</f>
        <v>398</v>
      </c>
    </row>
    <row r="752" spans="1:21" ht="17.25" customHeight="1" x14ac:dyDescent="0.3">
      <c r="A752" s="15" t="s">
        <v>30</v>
      </c>
      <c r="C752" s="19"/>
      <c r="D752" s="33" t="str">
        <f t="shared" ref="D752" si="187">D751</f>
        <v>C100053</v>
      </c>
      <c r="E752" s="33"/>
      <c r="F752" s="34"/>
      <c r="G752" s="34" t="str">
        <f>"""NAV Direct"",""CRONUS JetCorp USA"",""32"",""1"",""167998"""</f>
        <v>"NAV Direct","CRONUS JetCorp USA","32","1","167998"</v>
      </c>
      <c r="H752" s="40">
        <v>43466</v>
      </c>
      <c r="I752" s="41">
        <v>167998</v>
      </c>
      <c r="J752" s="42" t="str">
        <f>"Vendor"</f>
        <v>Vendor</v>
      </c>
      <c r="K752" s="42" t="str">
        <f>"V100023"</f>
        <v>V100023</v>
      </c>
      <c r="L752" s="42" t="str">
        <f>IF($J752="Customer",_xll.NL("first",$J752,"Name","No.","@@"&amp;$K752),"")</f>
        <v/>
      </c>
      <c r="M752" s="42" t="str">
        <f>"PURE-LOOK"</f>
        <v>PURE-LOOK</v>
      </c>
      <c r="N752" s="42" t="str">
        <f>IF($J752="Item",_xll.NL("first",$J752,"Description","No.","@@"&amp;$K752),"")</f>
        <v/>
      </c>
      <c r="O752" s="43">
        <v>200</v>
      </c>
      <c r="P752" s="43">
        <v>0</v>
      </c>
      <c r="Q752" s="43">
        <v>0</v>
      </c>
      <c r="R752" s="43">
        <v>0</v>
      </c>
      <c r="S752" s="43">
        <v>0</v>
      </c>
      <c r="T752" s="43">
        <v>0</v>
      </c>
      <c r="U752" s="56"/>
    </row>
    <row r="753" spans="1:21" ht="17.25" customHeight="1" x14ac:dyDescent="0.3">
      <c r="A753" s="15" t="s">
        <v>30</v>
      </c>
      <c r="C753" s="19"/>
      <c r="D753" s="33" t="str">
        <f t="shared" ref="D753:D761" si="188">D752</f>
        <v>C100053</v>
      </c>
      <c r="E753" s="33"/>
      <c r="F753" s="34"/>
      <c r="G753" s="34" t="str">
        <f>"""NAV Direct"",""CRONUS JetCorp USA"",""32"",""1"",""168008"""</f>
        <v>"NAV Direct","CRONUS JetCorp USA","32","1","168008"</v>
      </c>
      <c r="H753" s="40">
        <v>43466</v>
      </c>
      <c r="I753" s="41">
        <v>168008</v>
      </c>
      <c r="J753" s="42" t="str">
        <f>"Vendor"</f>
        <v>Vendor</v>
      </c>
      <c r="K753" s="42" t="str">
        <f>"V100040"</f>
        <v>V100040</v>
      </c>
      <c r="L753" s="42" t="str">
        <f>IF($J753="Customer",_xll.NL("first",$J753,"Name","No.","@@"&amp;$K753),"")</f>
        <v/>
      </c>
      <c r="M753" s="42" t="str">
        <f>"Technische Betriebe Rotkreuz"</f>
        <v>Technische Betriebe Rotkreuz</v>
      </c>
      <c r="N753" s="42" t="str">
        <f>IF($J753="Item",_xll.NL("first",$J753,"Description","No.","@@"&amp;$K753),"")</f>
        <v/>
      </c>
      <c r="O753" s="43">
        <v>200</v>
      </c>
      <c r="P753" s="43">
        <v>0</v>
      </c>
      <c r="Q753" s="43">
        <v>0</v>
      </c>
      <c r="R753" s="43">
        <v>0</v>
      </c>
      <c r="S753" s="43">
        <v>0</v>
      </c>
      <c r="T753" s="43">
        <v>0</v>
      </c>
      <c r="U753" s="56"/>
    </row>
    <row r="754" spans="1:21" ht="17.25" customHeight="1" x14ac:dyDescent="0.3">
      <c r="A754" s="15" t="s">
        <v>30</v>
      </c>
      <c r="C754" s="19"/>
      <c r="D754" s="33" t="str">
        <f t="shared" si="188"/>
        <v>C100053</v>
      </c>
      <c r="E754" s="33"/>
      <c r="F754" s="34"/>
      <c r="G754" s="34" t="str">
        <f>"""NAV Direct"",""CRONUS JetCorp USA"",""32"",""1"",""168046"""</f>
        <v>"NAV Direct","CRONUS JetCorp USA","32","1","168046"</v>
      </c>
      <c r="H754" s="40">
        <v>43466</v>
      </c>
      <c r="I754" s="41">
        <v>168046</v>
      </c>
      <c r="J754" s="42" t="str">
        <f>"Vendor"</f>
        <v>Vendor</v>
      </c>
      <c r="K754" s="42" t="str">
        <f>"V100003"</f>
        <v>V100003</v>
      </c>
      <c r="L754" s="42" t="str">
        <f>IF($J754="Customer",_xll.NL("first",$J754,"Name","No.","@@"&amp;$K754),"")</f>
        <v/>
      </c>
      <c r="M754" s="42" t="str">
        <f>"LogoMasters"</f>
        <v>LogoMasters</v>
      </c>
      <c r="N754" s="42" t="str">
        <f>IF($J754="Item",_xll.NL("first",$J754,"Description","No.","@@"&amp;$K754),"")</f>
        <v/>
      </c>
      <c r="O754" s="43">
        <v>400</v>
      </c>
      <c r="P754" s="43">
        <v>0</v>
      </c>
      <c r="Q754" s="43">
        <v>0</v>
      </c>
      <c r="R754" s="43">
        <v>0</v>
      </c>
      <c r="S754" s="43">
        <v>0</v>
      </c>
      <c r="T754" s="43">
        <v>0</v>
      </c>
      <c r="U754" s="56"/>
    </row>
    <row r="755" spans="1:21" ht="17.25" customHeight="1" x14ac:dyDescent="0.3">
      <c r="A755" s="15" t="s">
        <v>30</v>
      </c>
      <c r="C755" s="19"/>
      <c r="D755" s="33" t="str">
        <f t="shared" si="188"/>
        <v>C100053</v>
      </c>
      <c r="E755" s="33"/>
      <c r="F755" s="34"/>
      <c r="G755" s="34" t="str">
        <f>"""NAV Direct"",""CRONUS JetCorp USA"",""32"",""1"",""3887"""</f>
        <v>"NAV Direct","CRONUS JetCorp USA","32","1","3887"</v>
      </c>
      <c r="H755" s="40">
        <v>43467</v>
      </c>
      <c r="I755" s="41">
        <v>3887</v>
      </c>
      <c r="J755" s="42" t="str">
        <f>"Customer"</f>
        <v>Customer</v>
      </c>
      <c r="K755" s="42" t="str">
        <f>"C100099"</f>
        <v>C100099</v>
      </c>
      <c r="L755" s="42" t="str">
        <f>IF($J755="Customer",_xll.NL("first",$J755,"Name","No.","@@"&amp;$K755),"")</f>
        <v>Voltive Systems</v>
      </c>
      <c r="M755" s="42" t="str">
        <f>""</f>
        <v/>
      </c>
      <c r="N755" s="42" t="str">
        <f>IF($J755="Item",_xll.NL("first",$J755,"Description","No.","@@"&amp;$K755),"")</f>
        <v/>
      </c>
      <c r="O755" s="43">
        <v>0</v>
      </c>
      <c r="P755" s="43">
        <v>-48</v>
      </c>
      <c r="Q755" s="43">
        <v>0</v>
      </c>
      <c r="R755" s="43">
        <v>0</v>
      </c>
      <c r="S755" s="43">
        <v>0</v>
      </c>
      <c r="T755" s="43">
        <v>0</v>
      </c>
      <c r="U755" s="56"/>
    </row>
    <row r="756" spans="1:21" ht="17.25" customHeight="1" x14ac:dyDescent="0.3">
      <c r="A756" s="15" t="s">
        <v>30</v>
      </c>
      <c r="C756" s="19"/>
      <c r="D756" s="33" t="str">
        <f t="shared" si="188"/>
        <v>C100053</v>
      </c>
      <c r="E756" s="33"/>
      <c r="F756" s="34"/>
      <c r="G756" s="34" t="str">
        <f>"""NAV Direct"",""CRONUS JetCorp USA"",""32"",""1"",""116372"""</f>
        <v>"NAV Direct","CRONUS JetCorp USA","32","1","116372"</v>
      </c>
      <c r="H756" s="40">
        <v>43472</v>
      </c>
      <c r="I756" s="41">
        <v>116372</v>
      </c>
      <c r="J756" s="42" t="str">
        <f>"Customer"</f>
        <v>Customer</v>
      </c>
      <c r="K756" s="42" t="str">
        <f>"C100054"</f>
        <v>C100054</v>
      </c>
      <c r="L756" s="42" t="str">
        <f>IF($J756="Customer",_xll.NL("first",$J756,"Name","No.","@@"&amp;$K756),"")</f>
        <v>London Candoxy Storage Campus</v>
      </c>
      <c r="M756" s="42" t="str">
        <f>""</f>
        <v/>
      </c>
      <c r="N756" s="42" t="str">
        <f>IF($J756="Item",_xll.NL("first",$J756,"Description","No.","@@"&amp;$K756),"")</f>
        <v/>
      </c>
      <c r="O756" s="43">
        <v>0</v>
      </c>
      <c r="P756" s="43">
        <v>-24</v>
      </c>
      <c r="Q756" s="43">
        <v>0</v>
      </c>
      <c r="R756" s="43">
        <v>0</v>
      </c>
      <c r="S756" s="43">
        <v>0</v>
      </c>
      <c r="T756" s="43">
        <v>0</v>
      </c>
      <c r="U756" s="56"/>
    </row>
    <row r="757" spans="1:21" ht="17.25" customHeight="1" x14ac:dyDescent="0.3">
      <c r="A757" s="15" t="s">
        <v>30</v>
      </c>
      <c r="C757" s="19"/>
      <c r="D757" s="33" t="str">
        <f t="shared" si="188"/>
        <v>C100053</v>
      </c>
      <c r="E757" s="33"/>
      <c r="F757" s="34"/>
      <c r="G757" s="34" t="str">
        <f>"""NAV Direct"",""CRONUS JetCorp USA"",""32"",""1"",""3901"""</f>
        <v>"NAV Direct","CRONUS JetCorp USA","32","1","3901"</v>
      </c>
      <c r="H757" s="40">
        <v>43473</v>
      </c>
      <c r="I757" s="41">
        <v>3901</v>
      </c>
      <c r="J757" s="42" t="str">
        <f>"Customer"</f>
        <v>Customer</v>
      </c>
      <c r="K757" s="42" t="str">
        <f>"C100037"</f>
        <v>C100037</v>
      </c>
      <c r="L757" s="42" t="str">
        <f>IF($J757="Customer",_xll.NL("first",$J757,"Name","No.","@@"&amp;$K757),"")</f>
        <v>Tempsons Tropies</v>
      </c>
      <c r="M757" s="42" t="str">
        <f>""</f>
        <v/>
      </c>
      <c r="N757" s="42" t="str">
        <f>IF($J757="Item",_xll.NL("first",$J757,"Description","No.","@@"&amp;$K757),"")</f>
        <v/>
      </c>
      <c r="O757" s="43">
        <v>0</v>
      </c>
      <c r="P757" s="43">
        <v>-6</v>
      </c>
      <c r="Q757" s="43">
        <v>0</v>
      </c>
      <c r="R757" s="43">
        <v>0</v>
      </c>
      <c r="S757" s="43">
        <v>0</v>
      </c>
      <c r="T757" s="43">
        <v>0</v>
      </c>
      <c r="U757" s="56"/>
    </row>
    <row r="758" spans="1:21" ht="17.25" customHeight="1" x14ac:dyDescent="0.3">
      <c r="A758" s="15" t="s">
        <v>30</v>
      </c>
      <c r="C758" s="19"/>
      <c r="D758" s="33" t="str">
        <f t="shared" si="188"/>
        <v>C100053</v>
      </c>
      <c r="E758" s="33"/>
      <c r="F758" s="34"/>
      <c r="G758" s="34" t="str">
        <f>"""NAV Direct"",""CRONUS JetCorp USA"",""32"",""1"",""116379"""</f>
        <v>"NAV Direct","CRONUS JetCorp USA","32","1","116379"</v>
      </c>
      <c r="H758" s="40">
        <v>43473</v>
      </c>
      <c r="I758" s="41">
        <v>116379</v>
      </c>
      <c r="J758" s="42" t="str">
        <f>"Customer"</f>
        <v>Customer</v>
      </c>
      <c r="K758" s="42" t="str">
        <f>"C100066"</f>
        <v>C100066</v>
      </c>
      <c r="L758" s="42" t="str">
        <f>IF($J758="Customer",_xll.NL("first",$J758,"Name","No.","@@"&amp;$K758),"")</f>
        <v>Office Solutions</v>
      </c>
      <c r="M758" s="42" t="str">
        <f>""</f>
        <v/>
      </c>
      <c r="N758" s="42" t="str">
        <f>IF($J758="Item",_xll.NL("first",$J758,"Description","No.","@@"&amp;$K758),"")</f>
        <v/>
      </c>
      <c r="O758" s="43">
        <v>0</v>
      </c>
      <c r="P758" s="43">
        <v>-12</v>
      </c>
      <c r="Q758" s="43">
        <v>0</v>
      </c>
      <c r="R758" s="43">
        <v>0</v>
      </c>
      <c r="S758" s="43">
        <v>0</v>
      </c>
      <c r="T758" s="43">
        <v>0</v>
      </c>
      <c r="U758" s="56"/>
    </row>
    <row r="759" spans="1:21" ht="17.25" customHeight="1" x14ac:dyDescent="0.3">
      <c r="A759" s="15" t="s">
        <v>30</v>
      </c>
      <c r="C759" s="19"/>
      <c r="D759" s="33" t="str">
        <f t="shared" si="188"/>
        <v>C100053</v>
      </c>
      <c r="E759" s="33"/>
      <c r="F759" s="34"/>
      <c r="G759" s="34" t="str">
        <f>"""NAV Direct"",""CRONUS JetCorp USA"",""32"",""1"",""3923"""</f>
        <v>"NAV Direct","CRONUS JetCorp USA","32","1","3923"</v>
      </c>
      <c r="H759" s="40">
        <v>43475</v>
      </c>
      <c r="I759" s="41">
        <v>3923</v>
      </c>
      <c r="J759" s="42" t="str">
        <f>"Customer"</f>
        <v>Customer</v>
      </c>
      <c r="K759" s="42" t="str">
        <f>"C100099"</f>
        <v>C100099</v>
      </c>
      <c r="L759" s="42" t="str">
        <f>IF($J759="Customer",_xll.NL("first",$J759,"Name","No.","@@"&amp;$K759),"")</f>
        <v>Voltive Systems</v>
      </c>
      <c r="M759" s="42" t="str">
        <f>""</f>
        <v/>
      </c>
      <c r="N759" s="42" t="str">
        <f>IF($J759="Item",_xll.NL("first",$J759,"Description","No.","@@"&amp;$K759),"")</f>
        <v/>
      </c>
      <c r="O759" s="43">
        <v>0</v>
      </c>
      <c r="P759" s="43">
        <v>-24</v>
      </c>
      <c r="Q759" s="43">
        <v>0</v>
      </c>
      <c r="R759" s="43">
        <v>0</v>
      </c>
      <c r="S759" s="43">
        <v>0</v>
      </c>
      <c r="T759" s="43">
        <v>0</v>
      </c>
      <c r="U759" s="56"/>
    </row>
    <row r="760" spans="1:21" ht="17.25" customHeight="1" x14ac:dyDescent="0.3">
      <c r="A760" s="15" t="s">
        <v>30</v>
      </c>
      <c r="C760" s="19"/>
      <c r="D760" s="33" t="str">
        <f t="shared" si="188"/>
        <v>C100053</v>
      </c>
      <c r="E760" s="33"/>
      <c r="F760" s="34"/>
      <c r="G760" s="34" t="str">
        <f>"""NAV Direct"",""CRONUS JetCorp USA"",""32"",""1"",""7584"""</f>
        <v>"NAV Direct","CRONUS JetCorp USA","32","1","7584"</v>
      </c>
      <c r="H760" s="40">
        <v>43476</v>
      </c>
      <c r="I760" s="41">
        <v>7584</v>
      </c>
      <c r="J760" s="42" t="str">
        <f>"Customer"</f>
        <v>Customer</v>
      </c>
      <c r="K760" s="42" t="str">
        <f>"C100030"</f>
        <v>C100030</v>
      </c>
      <c r="L760" s="42" t="str">
        <f>IF($J760="Customer",_xll.NL("first",$J760,"Name","No.","@@"&amp;$K760),"")</f>
        <v>Stutringers</v>
      </c>
      <c r="M760" s="42" t="str">
        <f>""</f>
        <v/>
      </c>
      <c r="N760" s="42" t="str">
        <f>IF($J760="Item",_xll.NL("first",$J760,"Description","No.","@@"&amp;$K760),"")</f>
        <v/>
      </c>
      <c r="O760" s="43">
        <v>0</v>
      </c>
      <c r="P760" s="43">
        <v>-144</v>
      </c>
      <c r="Q760" s="43">
        <v>0</v>
      </c>
      <c r="R760" s="43">
        <v>0</v>
      </c>
      <c r="S760" s="43">
        <v>0</v>
      </c>
      <c r="T760" s="43">
        <v>0</v>
      </c>
      <c r="U760" s="56"/>
    </row>
    <row r="761" spans="1:21" ht="17.25" customHeight="1" x14ac:dyDescent="0.3">
      <c r="A761" s="15" t="s">
        <v>30</v>
      </c>
      <c r="C761" s="19"/>
      <c r="D761" s="33" t="str">
        <f t="shared" si="188"/>
        <v>C100053</v>
      </c>
      <c r="E761" s="33"/>
      <c r="F761" s="34"/>
      <c r="G761" s="34" t="str">
        <f>"""NAV Direct"",""CRONUS JetCorp USA"",""32"",""1"",""10229"""</f>
        <v>"NAV Direct","CRONUS JetCorp USA","32","1","10229"</v>
      </c>
      <c r="H761" s="40">
        <v>43477</v>
      </c>
      <c r="I761" s="41">
        <v>10229</v>
      </c>
      <c r="J761" s="42" t="str">
        <f>"Customer"</f>
        <v>Customer</v>
      </c>
      <c r="K761" s="42" t="str">
        <f>"C100054"</f>
        <v>C100054</v>
      </c>
      <c r="L761" s="42" t="str">
        <f>IF($J761="Customer",_xll.NL("first",$J761,"Name","No.","@@"&amp;$K761),"")</f>
        <v>London Candoxy Storage Campus</v>
      </c>
      <c r="M761" s="42" t="str">
        <f>""</f>
        <v/>
      </c>
      <c r="N761" s="42" t="str">
        <f>IF($J761="Item",_xll.NL("first",$J761,"Description","No.","@@"&amp;$K761),"")</f>
        <v/>
      </c>
      <c r="O761" s="43">
        <v>0</v>
      </c>
      <c r="P761" s="43">
        <v>-144</v>
      </c>
      <c r="Q761" s="43">
        <v>0</v>
      </c>
      <c r="R761" s="43">
        <v>0</v>
      </c>
      <c r="S761" s="43">
        <v>0</v>
      </c>
      <c r="T761" s="43">
        <v>0</v>
      </c>
      <c r="U761" s="56"/>
    </row>
    <row r="762" spans="1:21" ht="17.25" customHeight="1" x14ac:dyDescent="0.3">
      <c r="A762" s="15" t="s">
        <v>30</v>
      </c>
      <c r="C762" s="19"/>
      <c r="D762" s="33"/>
      <c r="E762" s="33"/>
      <c r="F762" s="34"/>
      <c r="G762" s="34"/>
      <c r="H762" s="34"/>
      <c r="I762" s="34"/>
      <c r="J762" s="34"/>
      <c r="K762" s="34"/>
      <c r="L762" s="34"/>
      <c r="M762" s="34"/>
      <c r="N762" s="34"/>
      <c r="O762" s="44"/>
      <c r="P762" s="44"/>
      <c r="Q762" s="44"/>
      <c r="R762" s="44"/>
      <c r="S762" s="44"/>
      <c r="T762" s="44"/>
      <c r="U762" s="57"/>
    </row>
    <row r="763" spans="1:21" ht="17.25" customHeight="1" x14ac:dyDescent="0.3">
      <c r="A763" s="15" t="s">
        <v>30</v>
      </c>
      <c r="C763" s="19"/>
      <c r="D763" s="33"/>
      <c r="E763" s="33" t="s">
        <v>31</v>
      </c>
      <c r="F763" s="34" t="s">
        <v>31</v>
      </c>
      <c r="G763" s="34" t="s">
        <v>31</v>
      </c>
      <c r="H763" s="34"/>
      <c r="I763" s="34"/>
      <c r="J763" s="34" t="s">
        <v>31</v>
      </c>
      <c r="K763" s="34" t="s">
        <v>31</v>
      </c>
      <c r="L763" s="34" t="s">
        <v>31</v>
      </c>
      <c r="M763" s="34" t="s">
        <v>31</v>
      </c>
      <c r="N763" s="34"/>
      <c r="U763" s="58"/>
    </row>
    <row r="764" spans="1:21" ht="20.25" customHeight="1" x14ac:dyDescent="0.35">
      <c r="A764" s="15" t="s">
        <v>30</v>
      </c>
      <c r="C764" s="19"/>
      <c r="D764" s="35" t="str">
        <f t="shared" ref="D764" si="189">E764</f>
        <v>C100054</v>
      </c>
      <c r="E764" s="36" t="str">
        <f>"C100054"</f>
        <v>C100054</v>
      </c>
      <c r="F764" s="37" t="str">
        <f>"Cherry Finish Photo Frame &amp; Clock"</f>
        <v>Cherry Finish Photo Frame &amp; Clock</v>
      </c>
      <c r="G764" s="37"/>
      <c r="H764" s="38" t="str">
        <f>"EA"</f>
        <v>EA</v>
      </c>
      <c r="I764" s="37"/>
      <c r="J764" s="37"/>
      <c r="K764" s="37"/>
      <c r="L764" s="37"/>
      <c r="M764" s="37"/>
      <c r="N764" s="37"/>
      <c r="O764" s="39">
        <f>(SUBTOTAL(9,O765:O778))</f>
        <v>1700</v>
      </c>
      <c r="P764" s="39">
        <f>(SUBTOTAL(9,P765:P778))</f>
        <v>-824</v>
      </c>
      <c r="Q764" s="39">
        <f>(SUBTOTAL(9,Q765:Q778))</f>
        <v>0</v>
      </c>
      <c r="R764" s="39">
        <f>(SUBTOTAL(9,R765:R778))</f>
        <v>0</v>
      </c>
      <c r="S764" s="39">
        <f>(SUBTOTAL(9,S765:S778))</f>
        <v>0</v>
      </c>
      <c r="T764" s="39">
        <f>(SUBTOTAL(9,T765:T778))</f>
        <v>0</v>
      </c>
      <c r="U764" s="55">
        <f t="shared" ref="U764" si="190">SUBTOTAL(9,O765:T778)</f>
        <v>876</v>
      </c>
    </row>
    <row r="765" spans="1:21" ht="17.25" customHeight="1" x14ac:dyDescent="0.3">
      <c r="A765" s="15" t="s">
        <v>30</v>
      </c>
      <c r="C765" s="19"/>
      <c r="D765" s="33" t="str">
        <f t="shared" ref="D765" si="191">D764</f>
        <v>C100054</v>
      </c>
      <c r="E765" s="33"/>
      <c r="F765" s="34"/>
      <c r="G765" s="34" t="str">
        <f>"""NAV Direct"",""CRONUS JetCorp USA"",""32"",""1"",""167997"""</f>
        <v>"NAV Direct","CRONUS JetCorp USA","32","1","167997"</v>
      </c>
      <c r="H765" s="40">
        <v>43466</v>
      </c>
      <c r="I765" s="41">
        <v>167997</v>
      </c>
      <c r="J765" s="42" t="str">
        <f>"Vendor"</f>
        <v>Vendor</v>
      </c>
      <c r="K765" s="42" t="str">
        <f>"V100023"</f>
        <v>V100023</v>
      </c>
      <c r="L765" s="42" t="str">
        <f>IF($J765="Customer",_xll.NL("first",$J765,"Name","No.","@@"&amp;$K765),"")</f>
        <v/>
      </c>
      <c r="M765" s="42" t="str">
        <f>"PURE-LOOK"</f>
        <v>PURE-LOOK</v>
      </c>
      <c r="N765" s="42" t="str">
        <f>IF($J765="Item",_xll.NL("first",$J765,"Description","No.","@@"&amp;$K765),"")</f>
        <v/>
      </c>
      <c r="O765" s="43">
        <v>100</v>
      </c>
      <c r="P765" s="43">
        <v>0</v>
      </c>
      <c r="Q765" s="43">
        <v>0</v>
      </c>
      <c r="R765" s="43">
        <v>0</v>
      </c>
      <c r="S765" s="43">
        <v>0</v>
      </c>
      <c r="T765" s="43">
        <v>0</v>
      </c>
      <c r="U765" s="56"/>
    </row>
    <row r="766" spans="1:21" ht="17.25" customHeight="1" x14ac:dyDescent="0.3">
      <c r="A766" s="15" t="s">
        <v>30</v>
      </c>
      <c r="C766" s="19"/>
      <c r="D766" s="33" t="str">
        <f t="shared" ref="D766:D777" si="192">D765</f>
        <v>C100054</v>
      </c>
      <c r="E766" s="33"/>
      <c r="F766" s="34"/>
      <c r="G766" s="34" t="str">
        <f>"""NAV Direct"",""CRONUS JetCorp USA"",""32"",""1"",""168007"""</f>
        <v>"NAV Direct","CRONUS JetCorp USA","32","1","168007"</v>
      </c>
      <c r="H766" s="40">
        <v>43466</v>
      </c>
      <c r="I766" s="41">
        <v>168007</v>
      </c>
      <c r="J766" s="42" t="str">
        <f>"Vendor"</f>
        <v>Vendor</v>
      </c>
      <c r="K766" s="42" t="str">
        <f>"V100040"</f>
        <v>V100040</v>
      </c>
      <c r="L766" s="42" t="str">
        <f>IF($J766="Customer",_xll.NL("first",$J766,"Name","No.","@@"&amp;$K766),"")</f>
        <v/>
      </c>
      <c r="M766" s="42" t="str">
        <f>"Technische Betriebe Rotkreuz"</f>
        <v>Technische Betriebe Rotkreuz</v>
      </c>
      <c r="N766" s="42" t="str">
        <f>IF($J766="Item",_xll.NL("first",$J766,"Description","No.","@@"&amp;$K766),"")</f>
        <v/>
      </c>
      <c r="O766" s="43">
        <v>499.99999999999994</v>
      </c>
      <c r="P766" s="43">
        <v>0</v>
      </c>
      <c r="Q766" s="43">
        <v>0</v>
      </c>
      <c r="R766" s="43">
        <v>0</v>
      </c>
      <c r="S766" s="43">
        <v>0</v>
      </c>
      <c r="T766" s="43">
        <v>0</v>
      </c>
      <c r="U766" s="56"/>
    </row>
    <row r="767" spans="1:21" ht="17.25" customHeight="1" x14ac:dyDescent="0.3">
      <c r="A767" s="15" t="s">
        <v>30</v>
      </c>
      <c r="C767" s="19"/>
      <c r="D767" s="33" t="str">
        <f t="shared" si="192"/>
        <v>C100054</v>
      </c>
      <c r="E767" s="33"/>
      <c r="F767" s="34"/>
      <c r="G767" s="34" t="str">
        <f>"""NAV Direct"",""CRONUS JetCorp USA"",""32"",""1"",""168022"""</f>
        <v>"NAV Direct","CRONUS JetCorp USA","32","1","168022"</v>
      </c>
      <c r="H767" s="40">
        <v>43466</v>
      </c>
      <c r="I767" s="41">
        <v>168022</v>
      </c>
      <c r="J767" s="42" t="str">
        <f>"Vendor"</f>
        <v>Vendor</v>
      </c>
      <c r="K767" s="42" t="str">
        <f>"V100007"</f>
        <v>V100007</v>
      </c>
      <c r="L767" s="42" t="str">
        <f>IF($J767="Customer",_xll.NL("first",$J767,"Name","No.","@@"&amp;$K767),"")</f>
        <v/>
      </c>
      <c r="M767" s="42" t="str">
        <f>"TrendTech"</f>
        <v>TrendTech</v>
      </c>
      <c r="N767" s="42" t="str">
        <f>IF($J767="Item",_xll.NL("first",$J767,"Description","No.","@@"&amp;$K767),"")</f>
        <v/>
      </c>
      <c r="O767" s="43">
        <v>700</v>
      </c>
      <c r="P767" s="43">
        <v>0</v>
      </c>
      <c r="Q767" s="43">
        <v>0</v>
      </c>
      <c r="R767" s="43">
        <v>0</v>
      </c>
      <c r="S767" s="43">
        <v>0</v>
      </c>
      <c r="T767" s="43">
        <v>0</v>
      </c>
      <c r="U767" s="56"/>
    </row>
    <row r="768" spans="1:21" ht="17.25" customHeight="1" x14ac:dyDescent="0.3">
      <c r="A768" s="15" t="s">
        <v>30</v>
      </c>
      <c r="C768" s="19"/>
      <c r="D768" s="33" t="str">
        <f t="shared" si="192"/>
        <v>C100054</v>
      </c>
      <c r="E768" s="33"/>
      <c r="F768" s="34"/>
      <c r="G768" s="34" t="str">
        <f>"""NAV Direct"",""CRONUS JetCorp USA"",""32"",""1"",""168045"""</f>
        <v>"NAV Direct","CRONUS JetCorp USA","32","1","168045"</v>
      </c>
      <c r="H768" s="40">
        <v>43466</v>
      </c>
      <c r="I768" s="41">
        <v>168045</v>
      </c>
      <c r="J768" s="42" t="str">
        <f>"Vendor"</f>
        <v>Vendor</v>
      </c>
      <c r="K768" s="42" t="str">
        <f>"V100003"</f>
        <v>V100003</v>
      </c>
      <c r="L768" s="42" t="str">
        <f>IF($J768="Customer",_xll.NL("first",$J768,"Name","No.","@@"&amp;$K768),"")</f>
        <v/>
      </c>
      <c r="M768" s="42" t="str">
        <f>"LogoMasters"</f>
        <v>LogoMasters</v>
      </c>
      <c r="N768" s="42" t="str">
        <f>IF($J768="Item",_xll.NL("first",$J768,"Description","No.","@@"&amp;$K768),"")</f>
        <v/>
      </c>
      <c r="O768" s="43">
        <v>400</v>
      </c>
      <c r="P768" s="43">
        <v>0</v>
      </c>
      <c r="Q768" s="43">
        <v>0</v>
      </c>
      <c r="R768" s="43">
        <v>0</v>
      </c>
      <c r="S768" s="43">
        <v>0</v>
      </c>
      <c r="T768" s="43">
        <v>0</v>
      </c>
      <c r="U768" s="56"/>
    </row>
    <row r="769" spans="1:21" ht="17.25" customHeight="1" x14ac:dyDescent="0.3">
      <c r="A769" s="15" t="s">
        <v>30</v>
      </c>
      <c r="C769" s="19"/>
      <c r="D769" s="33" t="str">
        <f t="shared" si="192"/>
        <v>C100054</v>
      </c>
      <c r="E769" s="33"/>
      <c r="F769" s="34"/>
      <c r="G769" s="34" t="str">
        <f>"""NAV Direct"",""CRONUS JetCorp USA"",""32"",""1"",""114267"""</f>
        <v>"NAV Direct","CRONUS JetCorp USA","32","1","114267"</v>
      </c>
      <c r="H769" s="40">
        <v>43470</v>
      </c>
      <c r="I769" s="41">
        <v>114267</v>
      </c>
      <c r="J769" s="42" t="str">
        <f>"Customer"</f>
        <v>Customer</v>
      </c>
      <c r="K769" s="42" t="str">
        <f>"C100076"</f>
        <v>C100076</v>
      </c>
      <c r="L769" s="42" t="str">
        <f>IF($J769="Customer",_xll.NL("first",$J769,"Name","No.","@@"&amp;$K769),"")</f>
        <v>Showmasters</v>
      </c>
      <c r="M769" s="42" t="str">
        <f>""</f>
        <v/>
      </c>
      <c r="N769" s="42" t="str">
        <f>IF($J769="Item",_xll.NL("first",$J769,"Description","No.","@@"&amp;$K769),"")</f>
        <v/>
      </c>
      <c r="O769" s="43">
        <v>0</v>
      </c>
      <c r="P769" s="43">
        <v>-54</v>
      </c>
      <c r="Q769" s="43">
        <v>0</v>
      </c>
      <c r="R769" s="43">
        <v>0</v>
      </c>
      <c r="S769" s="43">
        <v>0</v>
      </c>
      <c r="T769" s="43">
        <v>0</v>
      </c>
      <c r="U769" s="56"/>
    </row>
    <row r="770" spans="1:21" ht="17.25" customHeight="1" x14ac:dyDescent="0.3">
      <c r="A770" s="15" t="s">
        <v>30</v>
      </c>
      <c r="C770" s="19"/>
      <c r="D770" s="33" t="str">
        <f t="shared" si="192"/>
        <v>C100054</v>
      </c>
      <c r="E770" s="33"/>
      <c r="F770" s="34"/>
      <c r="G770" s="34" t="str">
        <f>"""NAV Direct"",""CRONUS JetCorp USA"",""32"",""1"",""10224"""</f>
        <v>"NAV Direct","CRONUS JetCorp USA","32","1","10224"</v>
      </c>
      <c r="H770" s="40">
        <v>43471</v>
      </c>
      <c r="I770" s="41">
        <v>10224</v>
      </c>
      <c r="J770" s="42" t="str">
        <f>"Customer"</f>
        <v>Customer</v>
      </c>
      <c r="K770" s="42" t="str">
        <f>"C100066"</f>
        <v>C100066</v>
      </c>
      <c r="L770" s="42" t="str">
        <f>IF($J770="Customer",_xll.NL("first",$J770,"Name","No.","@@"&amp;$K770),"")</f>
        <v>Office Solutions</v>
      </c>
      <c r="M770" s="42" t="str">
        <f>""</f>
        <v/>
      </c>
      <c r="N770" s="42" t="str">
        <f>IF($J770="Item",_xll.NL("first",$J770,"Description","No.","@@"&amp;$K770),"")</f>
        <v/>
      </c>
      <c r="O770" s="43">
        <v>0</v>
      </c>
      <c r="P770" s="43">
        <v>-1</v>
      </c>
      <c r="Q770" s="43">
        <v>0</v>
      </c>
      <c r="R770" s="43">
        <v>0</v>
      </c>
      <c r="S770" s="43">
        <v>0</v>
      </c>
      <c r="T770" s="43">
        <v>0</v>
      </c>
      <c r="U770" s="56"/>
    </row>
    <row r="771" spans="1:21" ht="17.25" customHeight="1" x14ac:dyDescent="0.3">
      <c r="A771" s="15" t="s">
        <v>30</v>
      </c>
      <c r="C771" s="19"/>
      <c r="D771" s="33" t="str">
        <f t="shared" si="192"/>
        <v>C100054</v>
      </c>
      <c r="E771" s="33"/>
      <c r="F771" s="34"/>
      <c r="G771" s="34" t="str">
        <f>"""NAV Direct"",""CRONUS JetCorp USA"",""32"",""1"",""12458"""</f>
        <v>"NAV Direct","CRONUS JetCorp USA","32","1","12458"</v>
      </c>
      <c r="H771" s="40">
        <v>43471</v>
      </c>
      <c r="I771" s="41">
        <v>12458</v>
      </c>
      <c r="J771" s="42" t="str">
        <f>"Customer"</f>
        <v>Customer</v>
      </c>
      <c r="K771" s="42" t="str">
        <f>"C100041"</f>
        <v>C100041</v>
      </c>
      <c r="L771" s="42" t="str">
        <f>IF($J771="Customer",_xll.NL("first",$J771,"Name","No.","@@"&amp;$K771),"")</f>
        <v>Heimilisprydi</v>
      </c>
      <c r="M771" s="42" t="str">
        <f>""</f>
        <v/>
      </c>
      <c r="N771" s="42" t="str">
        <f>IF($J771="Item",_xll.NL("first",$J771,"Description","No.","@@"&amp;$K771),"")</f>
        <v/>
      </c>
      <c r="O771" s="43">
        <v>0</v>
      </c>
      <c r="P771" s="43">
        <v>-144</v>
      </c>
      <c r="Q771" s="43">
        <v>0</v>
      </c>
      <c r="R771" s="43">
        <v>0</v>
      </c>
      <c r="S771" s="43">
        <v>0</v>
      </c>
      <c r="T771" s="43">
        <v>0</v>
      </c>
      <c r="U771" s="56"/>
    </row>
    <row r="772" spans="1:21" ht="17.25" customHeight="1" x14ac:dyDescent="0.3">
      <c r="A772" s="15" t="s">
        <v>30</v>
      </c>
      <c r="C772" s="19"/>
      <c r="D772" s="33" t="str">
        <f t="shared" si="192"/>
        <v>C100054</v>
      </c>
      <c r="E772" s="33"/>
      <c r="F772" s="34"/>
      <c r="G772" s="34" t="str">
        <f>"""NAV Direct"",""CRONUS JetCorp USA"",""32"",""1"",""118076"""</f>
        <v>"NAV Direct","CRONUS JetCorp USA","32","1","118076"</v>
      </c>
      <c r="H772" s="40">
        <v>43471</v>
      </c>
      <c r="I772" s="41">
        <v>118076</v>
      </c>
      <c r="J772" s="42" t="str">
        <f>"Customer"</f>
        <v>Customer</v>
      </c>
      <c r="K772" s="42" t="str">
        <f>"C100060"</f>
        <v>C100060</v>
      </c>
      <c r="L772" s="42" t="str">
        <f>IF($J772="Customer",_xll.NL("first",$J772,"Name","No.","@@"&amp;$K772),"")</f>
        <v>MEMA Ljubljana d.o.o.</v>
      </c>
      <c r="M772" s="42" t="str">
        <f>""</f>
        <v/>
      </c>
      <c r="N772" s="42" t="str">
        <f>IF($J772="Item",_xll.NL("first",$J772,"Description","No.","@@"&amp;$K772),"")</f>
        <v/>
      </c>
      <c r="O772" s="43">
        <v>0</v>
      </c>
      <c r="P772" s="43">
        <v>-1</v>
      </c>
      <c r="Q772" s="43">
        <v>0</v>
      </c>
      <c r="R772" s="43">
        <v>0</v>
      </c>
      <c r="S772" s="43">
        <v>0</v>
      </c>
      <c r="T772" s="43">
        <v>0</v>
      </c>
      <c r="U772" s="56"/>
    </row>
    <row r="773" spans="1:21" ht="17.25" customHeight="1" x14ac:dyDescent="0.3">
      <c r="A773" s="15" t="s">
        <v>30</v>
      </c>
      <c r="C773" s="19"/>
      <c r="D773" s="33" t="str">
        <f t="shared" si="192"/>
        <v>C100054</v>
      </c>
      <c r="E773" s="33"/>
      <c r="F773" s="34"/>
      <c r="G773" s="34" t="str">
        <f>"""NAV Direct"",""CRONUS JetCorp USA"",""32"",""1"",""3908"""</f>
        <v>"NAV Direct","CRONUS JetCorp USA","32","1","3908"</v>
      </c>
      <c r="H773" s="40">
        <v>43472</v>
      </c>
      <c r="I773" s="41">
        <v>3908</v>
      </c>
      <c r="J773" s="42" t="str">
        <f>"Customer"</f>
        <v>Customer</v>
      </c>
      <c r="K773" s="42" t="str">
        <f>"C100099"</f>
        <v>C100099</v>
      </c>
      <c r="L773" s="42" t="str">
        <f>IF($J773="Customer",_xll.NL("first",$J773,"Name","No.","@@"&amp;$K773),"")</f>
        <v>Voltive Systems</v>
      </c>
      <c r="M773" s="42" t="str">
        <f>""</f>
        <v/>
      </c>
      <c r="N773" s="42" t="str">
        <f>IF($J773="Item",_xll.NL("first",$J773,"Description","No.","@@"&amp;$K773),"")</f>
        <v/>
      </c>
      <c r="O773" s="43">
        <v>0</v>
      </c>
      <c r="P773" s="43">
        <v>-144</v>
      </c>
      <c r="Q773" s="43">
        <v>0</v>
      </c>
      <c r="R773" s="43">
        <v>0</v>
      </c>
      <c r="S773" s="43">
        <v>0</v>
      </c>
      <c r="T773" s="43">
        <v>0</v>
      </c>
      <c r="U773" s="56"/>
    </row>
    <row r="774" spans="1:21" ht="17.25" customHeight="1" x14ac:dyDescent="0.3">
      <c r="A774" s="15" t="s">
        <v>30</v>
      </c>
      <c r="C774" s="19"/>
      <c r="D774" s="33" t="str">
        <f t="shared" si="192"/>
        <v>C100054</v>
      </c>
      <c r="E774" s="33"/>
      <c r="F774" s="34"/>
      <c r="G774" s="34" t="str">
        <f>"""NAV Direct"",""CRONUS JetCorp USA"",""32"",""1"",""114283"""</f>
        <v>"NAV Direct","CRONUS JetCorp USA","32","1","114283"</v>
      </c>
      <c r="H774" s="40">
        <v>43473</v>
      </c>
      <c r="I774" s="41">
        <v>114283</v>
      </c>
      <c r="J774" s="42" t="str">
        <f>"Customer"</f>
        <v>Customer</v>
      </c>
      <c r="K774" s="42" t="str">
        <f>"C100083"</f>
        <v>C100083</v>
      </c>
      <c r="L774" s="42" t="str">
        <f>IF($J774="Customer",_xll.NL("first",$J774,"Name","No.","@@"&amp;$K774),"")</f>
        <v>Stanfords</v>
      </c>
      <c r="M774" s="42" t="str">
        <f>""</f>
        <v/>
      </c>
      <c r="N774" s="42" t="str">
        <f>IF($J774="Item",_xll.NL("first",$J774,"Description","No.","@@"&amp;$K774),"")</f>
        <v/>
      </c>
      <c r="O774" s="43">
        <v>0</v>
      </c>
      <c r="P774" s="43">
        <v>-144</v>
      </c>
      <c r="Q774" s="43">
        <v>0</v>
      </c>
      <c r="R774" s="43">
        <v>0</v>
      </c>
      <c r="S774" s="43">
        <v>0</v>
      </c>
      <c r="T774" s="43">
        <v>0</v>
      </c>
      <c r="U774" s="56"/>
    </row>
    <row r="775" spans="1:21" ht="17.25" customHeight="1" x14ac:dyDescent="0.3">
      <c r="A775" s="15" t="s">
        <v>30</v>
      </c>
      <c r="C775" s="19"/>
      <c r="D775" s="33" t="str">
        <f t="shared" si="192"/>
        <v>C100054</v>
      </c>
      <c r="E775" s="33"/>
      <c r="F775" s="34"/>
      <c r="G775" s="34" t="str">
        <f>"""NAV Direct"",""CRONUS JetCorp USA"",""32"",""1"",""114276"""</f>
        <v>"NAV Direct","CRONUS JetCorp USA","32","1","114276"</v>
      </c>
      <c r="H775" s="40">
        <v>43474</v>
      </c>
      <c r="I775" s="41">
        <v>114276</v>
      </c>
      <c r="J775" s="42" t="str">
        <f>"Customer"</f>
        <v>Customer</v>
      </c>
      <c r="K775" s="42" t="str">
        <f>"C100076"</f>
        <v>C100076</v>
      </c>
      <c r="L775" s="42" t="str">
        <f>IF($J775="Customer",_xll.NL("first",$J775,"Name","No.","@@"&amp;$K775),"")</f>
        <v>Showmasters</v>
      </c>
      <c r="M775" s="42" t="str">
        <f>""</f>
        <v/>
      </c>
      <c r="N775" s="42" t="str">
        <f>IF($J775="Item",_xll.NL("first",$J775,"Description","No.","@@"&amp;$K775),"")</f>
        <v/>
      </c>
      <c r="O775" s="43">
        <v>0</v>
      </c>
      <c r="P775" s="43">
        <v>-144</v>
      </c>
      <c r="Q775" s="43">
        <v>0</v>
      </c>
      <c r="R775" s="43">
        <v>0</v>
      </c>
      <c r="S775" s="43">
        <v>0</v>
      </c>
      <c r="T775" s="43">
        <v>0</v>
      </c>
      <c r="U775" s="56"/>
    </row>
    <row r="776" spans="1:21" ht="17.25" customHeight="1" x14ac:dyDescent="0.3">
      <c r="A776" s="15" t="s">
        <v>30</v>
      </c>
      <c r="C776" s="19"/>
      <c r="D776" s="33" t="str">
        <f t="shared" si="192"/>
        <v>C100054</v>
      </c>
      <c r="E776" s="33"/>
      <c r="F776" s="34"/>
      <c r="G776" s="34" t="str">
        <f>"""NAV Direct"",""CRONUS JetCorp USA"",""32"",""1"",""3918"""</f>
        <v>"NAV Direct","CRONUS JetCorp USA","32","1","3918"</v>
      </c>
      <c r="H776" s="40">
        <v>43475</v>
      </c>
      <c r="I776" s="41">
        <v>3918</v>
      </c>
      <c r="J776" s="42" t="str">
        <f>"Customer"</f>
        <v>Customer</v>
      </c>
      <c r="K776" s="42" t="str">
        <f>"C100099"</f>
        <v>C100099</v>
      </c>
      <c r="L776" s="42" t="str">
        <f>IF($J776="Customer",_xll.NL("first",$J776,"Name","No.","@@"&amp;$K776),"")</f>
        <v>Voltive Systems</v>
      </c>
      <c r="M776" s="42" t="str">
        <f>""</f>
        <v/>
      </c>
      <c r="N776" s="42" t="str">
        <f>IF($J776="Item",_xll.NL("first",$J776,"Description","No.","@@"&amp;$K776),"")</f>
        <v/>
      </c>
      <c r="O776" s="43">
        <v>0</v>
      </c>
      <c r="P776" s="43">
        <v>-144</v>
      </c>
      <c r="Q776" s="43">
        <v>0</v>
      </c>
      <c r="R776" s="43">
        <v>0</v>
      </c>
      <c r="S776" s="43">
        <v>0</v>
      </c>
      <c r="T776" s="43">
        <v>0</v>
      </c>
      <c r="U776" s="56"/>
    </row>
    <row r="777" spans="1:21" ht="17.25" customHeight="1" x14ac:dyDescent="0.3">
      <c r="A777" s="15" t="s">
        <v>30</v>
      </c>
      <c r="C777" s="19"/>
      <c r="D777" s="33" t="str">
        <f t="shared" si="192"/>
        <v>C100054</v>
      </c>
      <c r="E777" s="33"/>
      <c r="F777" s="34"/>
      <c r="G777" s="34" t="str">
        <f>"""NAV Direct"",""CRONUS JetCorp USA"",""32"",""1"",""7586"""</f>
        <v>"NAV Direct","CRONUS JetCorp USA","32","1","7586"</v>
      </c>
      <c r="H777" s="40">
        <v>43476</v>
      </c>
      <c r="I777" s="41">
        <v>7586</v>
      </c>
      <c r="J777" s="42" t="str">
        <f>"Customer"</f>
        <v>Customer</v>
      </c>
      <c r="K777" s="42" t="str">
        <f>"C100030"</f>
        <v>C100030</v>
      </c>
      <c r="L777" s="42" t="str">
        <f>IF($J777="Customer",_xll.NL("first",$J777,"Name","No.","@@"&amp;$K777),"")</f>
        <v>Stutringers</v>
      </c>
      <c r="M777" s="42" t="str">
        <f>""</f>
        <v/>
      </c>
      <c r="N777" s="42" t="str">
        <f>IF($J777="Item",_xll.NL("first",$J777,"Description","No.","@@"&amp;$K777),"")</f>
        <v/>
      </c>
      <c r="O777" s="43">
        <v>0</v>
      </c>
      <c r="P777" s="43">
        <v>-48</v>
      </c>
      <c r="Q777" s="43">
        <v>0</v>
      </c>
      <c r="R777" s="43">
        <v>0</v>
      </c>
      <c r="S777" s="43">
        <v>0</v>
      </c>
      <c r="T777" s="43">
        <v>0</v>
      </c>
      <c r="U777" s="56"/>
    </row>
    <row r="778" spans="1:21" ht="17.25" customHeight="1" x14ac:dyDescent="0.3">
      <c r="A778" s="15" t="s">
        <v>30</v>
      </c>
      <c r="C778" s="19"/>
      <c r="D778" s="33"/>
      <c r="E778" s="33"/>
      <c r="F778" s="34"/>
      <c r="G778" s="34"/>
      <c r="H778" s="34"/>
      <c r="I778" s="34"/>
      <c r="J778" s="34"/>
      <c r="K778" s="34"/>
      <c r="L778" s="34"/>
      <c r="M778" s="34"/>
      <c r="N778" s="34"/>
      <c r="O778" s="44"/>
      <c r="P778" s="44"/>
      <c r="Q778" s="44"/>
      <c r="R778" s="44"/>
      <c r="S778" s="44"/>
      <c r="T778" s="44"/>
      <c r="U778" s="57"/>
    </row>
    <row r="779" spans="1:21" ht="17.25" customHeight="1" x14ac:dyDescent="0.3">
      <c r="A779" s="15" t="s">
        <v>30</v>
      </c>
      <c r="C779" s="19"/>
      <c r="D779" s="33"/>
      <c r="E779" s="33" t="s">
        <v>31</v>
      </c>
      <c r="F779" s="34" t="s">
        <v>31</v>
      </c>
      <c r="G779" s="34" t="s">
        <v>31</v>
      </c>
      <c r="H779" s="34"/>
      <c r="I779" s="34"/>
      <c r="J779" s="34" t="s">
        <v>31</v>
      </c>
      <c r="K779" s="34" t="s">
        <v>31</v>
      </c>
      <c r="L779" s="34" t="s">
        <v>31</v>
      </c>
      <c r="M779" s="34" t="s">
        <v>31</v>
      </c>
      <c r="N779" s="34"/>
      <c r="U779" s="58"/>
    </row>
    <row r="780" spans="1:21" ht="20.25" customHeight="1" x14ac:dyDescent="0.35">
      <c r="A780" s="15" t="s">
        <v>30</v>
      </c>
      <c r="C780" s="19"/>
      <c r="D780" s="35" t="str">
        <f t="shared" ref="D780" si="193">E780</f>
        <v>C100055</v>
      </c>
      <c r="E780" s="36" t="str">
        <f>"C100055"</f>
        <v>C100055</v>
      </c>
      <c r="F780" s="37" t="str">
        <f>"Silver Plated Photo Frame"</f>
        <v>Silver Plated Photo Frame</v>
      </c>
      <c r="G780" s="37"/>
      <c r="H780" s="38" t="str">
        <f>"EA"</f>
        <v>EA</v>
      </c>
      <c r="I780" s="37"/>
      <c r="J780" s="37"/>
      <c r="K780" s="37"/>
      <c r="L780" s="37"/>
      <c r="M780" s="37"/>
      <c r="N780" s="37"/>
      <c r="O780" s="39">
        <f>(SUBTOTAL(9,O781:O794))</f>
        <v>1400</v>
      </c>
      <c r="P780" s="39">
        <f>(SUBTOTAL(9,P781:P794))</f>
        <v>-662</v>
      </c>
      <c r="Q780" s="39">
        <f>(SUBTOTAL(9,Q781:Q794))</f>
        <v>0</v>
      </c>
      <c r="R780" s="39">
        <f>(SUBTOTAL(9,R781:R794))</f>
        <v>0</v>
      </c>
      <c r="S780" s="39">
        <f>(SUBTOTAL(9,S781:S794))</f>
        <v>0</v>
      </c>
      <c r="T780" s="39">
        <f>(SUBTOTAL(9,T781:T794))</f>
        <v>0</v>
      </c>
      <c r="U780" s="55">
        <f t="shared" ref="U780" si="194">SUBTOTAL(9,O781:T794)</f>
        <v>738</v>
      </c>
    </row>
    <row r="781" spans="1:21" ht="17.25" customHeight="1" x14ac:dyDescent="0.3">
      <c r="A781" s="15" t="s">
        <v>30</v>
      </c>
      <c r="C781" s="19"/>
      <c r="D781" s="33" t="str">
        <f t="shared" ref="D781" si="195">D780</f>
        <v>C100055</v>
      </c>
      <c r="E781" s="33"/>
      <c r="F781" s="34"/>
      <c r="G781" s="34" t="str">
        <f>"""NAV Direct"",""CRONUS JetCorp USA"",""32"",""1"",""167996"""</f>
        <v>"NAV Direct","CRONUS JetCorp USA","32","1","167996"</v>
      </c>
      <c r="H781" s="40">
        <v>43466</v>
      </c>
      <c r="I781" s="41">
        <v>167996</v>
      </c>
      <c r="J781" s="42" t="str">
        <f>"Vendor"</f>
        <v>Vendor</v>
      </c>
      <c r="K781" s="42" t="str">
        <f>"V100023"</f>
        <v>V100023</v>
      </c>
      <c r="L781" s="42" t="str">
        <f>IF($J781="Customer",_xll.NL("first",$J781,"Name","No.","@@"&amp;$K781),"")</f>
        <v/>
      </c>
      <c r="M781" s="42" t="str">
        <f>"PURE-LOOK"</f>
        <v>PURE-LOOK</v>
      </c>
      <c r="N781" s="42" t="str">
        <f>IF($J781="Item",_xll.NL("first",$J781,"Description","No.","@@"&amp;$K781),"")</f>
        <v/>
      </c>
      <c r="O781" s="43">
        <v>200</v>
      </c>
      <c r="P781" s="43">
        <v>0</v>
      </c>
      <c r="Q781" s="43">
        <v>0</v>
      </c>
      <c r="R781" s="43">
        <v>0</v>
      </c>
      <c r="S781" s="43">
        <v>0</v>
      </c>
      <c r="T781" s="43">
        <v>0</v>
      </c>
      <c r="U781" s="56"/>
    </row>
    <row r="782" spans="1:21" ht="17.25" customHeight="1" x14ac:dyDescent="0.3">
      <c r="A782" s="15" t="s">
        <v>30</v>
      </c>
      <c r="C782" s="19"/>
      <c r="D782" s="33" t="str">
        <f t="shared" ref="D782:D793" si="196">D781</f>
        <v>C100055</v>
      </c>
      <c r="E782" s="33"/>
      <c r="F782" s="34"/>
      <c r="G782" s="34" t="str">
        <f>"""NAV Direct"",""CRONUS JetCorp USA"",""32"",""1"",""168021"""</f>
        <v>"NAV Direct","CRONUS JetCorp USA","32","1","168021"</v>
      </c>
      <c r="H782" s="40">
        <v>43466</v>
      </c>
      <c r="I782" s="41">
        <v>168021</v>
      </c>
      <c r="J782" s="42" t="str">
        <f>"Vendor"</f>
        <v>Vendor</v>
      </c>
      <c r="K782" s="42" t="str">
        <f>"V100007"</f>
        <v>V100007</v>
      </c>
      <c r="L782" s="42" t="str">
        <f>IF($J782="Customer",_xll.NL("first",$J782,"Name","No.","@@"&amp;$K782),"")</f>
        <v/>
      </c>
      <c r="M782" s="42" t="str">
        <f>"TrendTech"</f>
        <v>TrendTech</v>
      </c>
      <c r="N782" s="42" t="str">
        <f>IF($J782="Item",_xll.NL("first",$J782,"Description","No.","@@"&amp;$K782),"")</f>
        <v/>
      </c>
      <c r="O782" s="43">
        <v>999.99999999999989</v>
      </c>
      <c r="P782" s="43">
        <v>0</v>
      </c>
      <c r="Q782" s="43">
        <v>0</v>
      </c>
      <c r="R782" s="43">
        <v>0</v>
      </c>
      <c r="S782" s="43">
        <v>0</v>
      </c>
      <c r="T782" s="43">
        <v>0</v>
      </c>
      <c r="U782" s="56"/>
    </row>
    <row r="783" spans="1:21" ht="17.25" customHeight="1" x14ac:dyDescent="0.3">
      <c r="A783" s="15" t="s">
        <v>30</v>
      </c>
      <c r="C783" s="19"/>
      <c r="D783" s="33" t="str">
        <f t="shared" si="196"/>
        <v>C100055</v>
      </c>
      <c r="E783" s="33"/>
      <c r="F783" s="34"/>
      <c r="G783" s="34" t="str">
        <f>"""NAV Direct"",""CRONUS JetCorp USA"",""32"",""1"",""168044"""</f>
        <v>"NAV Direct","CRONUS JetCorp USA","32","1","168044"</v>
      </c>
      <c r="H783" s="40">
        <v>43466</v>
      </c>
      <c r="I783" s="41">
        <v>168044</v>
      </c>
      <c r="J783" s="42" t="str">
        <f>"Vendor"</f>
        <v>Vendor</v>
      </c>
      <c r="K783" s="42" t="str">
        <f>"V100003"</f>
        <v>V100003</v>
      </c>
      <c r="L783" s="42" t="str">
        <f>IF($J783="Customer",_xll.NL("first",$J783,"Name","No.","@@"&amp;$K783),"")</f>
        <v/>
      </c>
      <c r="M783" s="42" t="str">
        <f>"LogoMasters"</f>
        <v>LogoMasters</v>
      </c>
      <c r="N783" s="42" t="str">
        <f>IF($J783="Item",_xll.NL("first",$J783,"Description","No.","@@"&amp;$K783),"")</f>
        <v/>
      </c>
      <c r="O783" s="43">
        <v>200</v>
      </c>
      <c r="P783" s="43">
        <v>0</v>
      </c>
      <c r="Q783" s="43">
        <v>0</v>
      </c>
      <c r="R783" s="43">
        <v>0</v>
      </c>
      <c r="S783" s="43">
        <v>0</v>
      </c>
      <c r="T783" s="43">
        <v>0</v>
      </c>
      <c r="U783" s="56"/>
    </row>
    <row r="784" spans="1:21" ht="17.25" customHeight="1" x14ac:dyDescent="0.3">
      <c r="A784" s="15" t="s">
        <v>30</v>
      </c>
      <c r="C784" s="19"/>
      <c r="D784" s="33" t="str">
        <f t="shared" si="196"/>
        <v>C100055</v>
      </c>
      <c r="E784" s="33"/>
      <c r="F784" s="34"/>
      <c r="G784" s="34" t="str">
        <f>"""NAV Direct"",""CRONUS JetCorp USA"",""32"",""1"",""12451"""</f>
        <v>"NAV Direct","CRONUS JetCorp USA","32","1","12451"</v>
      </c>
      <c r="H784" s="40">
        <v>43469</v>
      </c>
      <c r="I784" s="41">
        <v>12451</v>
      </c>
      <c r="J784" s="42" t="str">
        <f>"Customer"</f>
        <v>Customer</v>
      </c>
      <c r="K784" s="42" t="str">
        <f>"C100064"</f>
        <v>C100064</v>
      </c>
      <c r="L784" s="42" t="str">
        <f>IF($J784="Customer",_xll.NL("first",$J784,"Name","No.","@@"&amp;$K784),"")</f>
        <v>Möbel Siegfried</v>
      </c>
      <c r="M784" s="42" t="str">
        <f>""</f>
        <v/>
      </c>
      <c r="N784" s="42" t="str">
        <f>IF($J784="Item",_xll.NL("first",$J784,"Description","No.","@@"&amp;$K784),"")</f>
        <v/>
      </c>
      <c r="O784" s="43">
        <v>0</v>
      </c>
      <c r="P784" s="43">
        <v>-144</v>
      </c>
      <c r="Q784" s="43">
        <v>0</v>
      </c>
      <c r="R784" s="43">
        <v>0</v>
      </c>
      <c r="S784" s="43">
        <v>0</v>
      </c>
      <c r="T784" s="43">
        <v>0</v>
      </c>
      <c r="U784" s="56"/>
    </row>
    <row r="785" spans="1:21" ht="17.25" customHeight="1" x14ac:dyDescent="0.3">
      <c r="A785" s="15" t="s">
        <v>30</v>
      </c>
      <c r="C785" s="19"/>
      <c r="D785" s="33" t="str">
        <f t="shared" si="196"/>
        <v>C100055</v>
      </c>
      <c r="E785" s="33"/>
      <c r="F785" s="34"/>
      <c r="G785" s="34" t="str">
        <f>"""NAV Direct"",""CRONUS JetCorp USA"",""32"",""1"",""111288"""</f>
        <v>"NAV Direct","CRONUS JetCorp USA","32","1","111288"</v>
      </c>
      <c r="H785" s="40">
        <v>43470</v>
      </c>
      <c r="I785" s="41">
        <v>111288</v>
      </c>
      <c r="J785" s="42" t="str">
        <f>"Customer"</f>
        <v>Customer</v>
      </c>
      <c r="K785" s="42" t="str">
        <f>"C100037"</f>
        <v>C100037</v>
      </c>
      <c r="L785" s="42" t="str">
        <f>IF($J785="Customer",_xll.NL("first",$J785,"Name","No.","@@"&amp;$K785),"")</f>
        <v>Tempsons Tropies</v>
      </c>
      <c r="M785" s="42" t="str">
        <f>""</f>
        <v/>
      </c>
      <c r="N785" s="42" t="str">
        <f>IF($J785="Item",_xll.NL("first",$J785,"Description","No.","@@"&amp;$K785),"")</f>
        <v/>
      </c>
      <c r="O785" s="43">
        <v>0</v>
      </c>
      <c r="P785" s="43">
        <v>-144</v>
      </c>
      <c r="Q785" s="43">
        <v>0</v>
      </c>
      <c r="R785" s="43">
        <v>0</v>
      </c>
      <c r="S785" s="43">
        <v>0</v>
      </c>
      <c r="T785" s="43">
        <v>0</v>
      </c>
      <c r="U785" s="56"/>
    </row>
    <row r="786" spans="1:21" ht="17.25" customHeight="1" x14ac:dyDescent="0.3">
      <c r="A786" s="15" t="s">
        <v>30</v>
      </c>
      <c r="C786" s="19"/>
      <c r="D786" s="33" t="str">
        <f t="shared" si="196"/>
        <v>C100055</v>
      </c>
      <c r="E786" s="33"/>
      <c r="F786" s="34"/>
      <c r="G786" s="34" t="str">
        <f>"""NAV Direct"",""CRONUS JetCorp USA"",""32"",""1"",""10223"""</f>
        <v>"NAV Direct","CRONUS JetCorp USA","32","1","10223"</v>
      </c>
      <c r="H786" s="40">
        <v>43471</v>
      </c>
      <c r="I786" s="41">
        <v>10223</v>
      </c>
      <c r="J786" s="42" t="str">
        <f>"Customer"</f>
        <v>Customer</v>
      </c>
      <c r="K786" s="42" t="str">
        <f>"C100066"</f>
        <v>C100066</v>
      </c>
      <c r="L786" s="42" t="str">
        <f>IF($J786="Customer",_xll.NL("first",$J786,"Name","No.","@@"&amp;$K786),"")</f>
        <v>Office Solutions</v>
      </c>
      <c r="M786" s="42" t="str">
        <f>""</f>
        <v/>
      </c>
      <c r="N786" s="42" t="str">
        <f>IF($J786="Item",_xll.NL("first",$J786,"Description","No.","@@"&amp;$K786),"")</f>
        <v/>
      </c>
      <c r="O786" s="43">
        <v>0</v>
      </c>
      <c r="P786" s="43">
        <v>-1</v>
      </c>
      <c r="Q786" s="43">
        <v>0</v>
      </c>
      <c r="R786" s="43">
        <v>0</v>
      </c>
      <c r="S786" s="43">
        <v>0</v>
      </c>
      <c r="T786" s="43">
        <v>0</v>
      </c>
      <c r="U786" s="56"/>
    </row>
    <row r="787" spans="1:21" ht="17.25" customHeight="1" x14ac:dyDescent="0.3">
      <c r="A787" s="15" t="s">
        <v>30</v>
      </c>
      <c r="C787" s="19"/>
      <c r="D787" s="33" t="str">
        <f t="shared" si="196"/>
        <v>C100055</v>
      </c>
      <c r="E787" s="33"/>
      <c r="F787" s="34"/>
      <c r="G787" s="34" t="str">
        <f>"""NAV Direct"",""CRONUS JetCorp USA"",""32"",""1"",""15149"""</f>
        <v>"NAV Direct","CRONUS JetCorp USA","32","1","15149"</v>
      </c>
      <c r="H787" s="40">
        <v>43471</v>
      </c>
      <c r="I787" s="41">
        <v>15149</v>
      </c>
      <c r="J787" s="42" t="str">
        <f>"Customer"</f>
        <v>Customer</v>
      </c>
      <c r="K787" s="42" t="str">
        <f>"C100134"</f>
        <v>C100134</v>
      </c>
      <c r="L787" s="42" t="str">
        <f>IF($J787="Customer",_xll.NL("first",$J787,"Name","No.","@@"&amp;$K787),"")</f>
        <v>Iber Tech</v>
      </c>
      <c r="M787" s="42" t="str">
        <f>""</f>
        <v/>
      </c>
      <c r="N787" s="42" t="str">
        <f>IF($J787="Item",_xll.NL("first",$J787,"Description","No.","@@"&amp;$K787),"")</f>
        <v/>
      </c>
      <c r="O787" s="43">
        <v>0</v>
      </c>
      <c r="P787" s="43">
        <v>-12</v>
      </c>
      <c r="Q787" s="43">
        <v>0</v>
      </c>
      <c r="R787" s="43">
        <v>0</v>
      </c>
      <c r="S787" s="43">
        <v>0</v>
      </c>
      <c r="T787" s="43">
        <v>0</v>
      </c>
      <c r="U787" s="56"/>
    </row>
    <row r="788" spans="1:21" ht="17.25" customHeight="1" x14ac:dyDescent="0.3">
      <c r="A788" s="15" t="s">
        <v>30</v>
      </c>
      <c r="C788" s="19"/>
      <c r="D788" s="33" t="str">
        <f t="shared" si="196"/>
        <v>C100055</v>
      </c>
      <c r="E788" s="33"/>
      <c r="F788" s="34"/>
      <c r="G788" s="34" t="str">
        <f>"""NAV Direct"",""CRONUS JetCorp USA"",""32"",""1"",""118074"""</f>
        <v>"NAV Direct","CRONUS JetCorp USA","32","1","118074"</v>
      </c>
      <c r="H788" s="40">
        <v>43471</v>
      </c>
      <c r="I788" s="41">
        <v>118074</v>
      </c>
      <c r="J788" s="42" t="str">
        <f>"Customer"</f>
        <v>Customer</v>
      </c>
      <c r="K788" s="42" t="str">
        <f>"C100060"</f>
        <v>C100060</v>
      </c>
      <c r="L788" s="42" t="str">
        <f>IF($J788="Customer",_xll.NL("first",$J788,"Name","No.","@@"&amp;$K788),"")</f>
        <v>MEMA Ljubljana d.o.o.</v>
      </c>
      <c r="M788" s="42" t="str">
        <f>""</f>
        <v/>
      </c>
      <c r="N788" s="42" t="str">
        <f>IF($J788="Item",_xll.NL("first",$J788,"Description","No.","@@"&amp;$K788),"")</f>
        <v/>
      </c>
      <c r="O788" s="43">
        <v>0</v>
      </c>
      <c r="P788" s="43">
        <v>-12</v>
      </c>
      <c r="Q788" s="43">
        <v>0</v>
      </c>
      <c r="R788" s="43">
        <v>0</v>
      </c>
      <c r="S788" s="43">
        <v>0</v>
      </c>
      <c r="T788" s="43">
        <v>0</v>
      </c>
      <c r="U788" s="56"/>
    </row>
    <row r="789" spans="1:21" ht="17.25" customHeight="1" x14ac:dyDescent="0.3">
      <c r="A789" s="15" t="s">
        <v>30</v>
      </c>
      <c r="C789" s="19"/>
      <c r="D789" s="33" t="str">
        <f t="shared" si="196"/>
        <v>C100055</v>
      </c>
      <c r="E789" s="33"/>
      <c r="F789" s="34"/>
      <c r="G789" s="34" t="str">
        <f>"""NAV Direct"",""CRONUS JetCorp USA"",""32"",""1"",""111302"""</f>
        <v>"NAV Direct","CRONUS JetCorp USA","32","1","111302"</v>
      </c>
      <c r="H789" s="40">
        <v>43472</v>
      </c>
      <c r="I789" s="41">
        <v>111302</v>
      </c>
      <c r="J789" s="42" t="str">
        <f>"Customer"</f>
        <v>Customer</v>
      </c>
      <c r="K789" s="42" t="str">
        <f>"C100099"</f>
        <v>C100099</v>
      </c>
      <c r="L789" s="42" t="str">
        <f>IF($J789="Customer",_xll.NL("first",$J789,"Name","No.","@@"&amp;$K789),"")</f>
        <v>Voltive Systems</v>
      </c>
      <c r="M789" s="42" t="str">
        <f>""</f>
        <v/>
      </c>
      <c r="N789" s="42" t="str">
        <f>IF($J789="Item",_xll.NL("first",$J789,"Description","No.","@@"&amp;$K789),"")</f>
        <v/>
      </c>
      <c r="O789" s="43">
        <v>0</v>
      </c>
      <c r="P789" s="43">
        <v>-144</v>
      </c>
      <c r="Q789" s="43">
        <v>0</v>
      </c>
      <c r="R789" s="43">
        <v>0</v>
      </c>
      <c r="S789" s="43">
        <v>0</v>
      </c>
      <c r="T789" s="43">
        <v>0</v>
      </c>
      <c r="U789" s="56"/>
    </row>
    <row r="790" spans="1:21" ht="17.25" customHeight="1" x14ac:dyDescent="0.3">
      <c r="A790" s="15" t="s">
        <v>30</v>
      </c>
      <c r="C790" s="19"/>
      <c r="D790" s="33" t="str">
        <f t="shared" si="196"/>
        <v>C100055</v>
      </c>
      <c r="E790" s="33"/>
      <c r="F790" s="34"/>
      <c r="G790" s="34" t="str">
        <f>"""NAV Direct"",""CRONUS JetCorp USA"",""32"",""1"",""3895"""</f>
        <v>"NAV Direct","CRONUS JetCorp USA","32","1","3895"</v>
      </c>
      <c r="H790" s="40">
        <v>43473</v>
      </c>
      <c r="I790" s="41">
        <v>3895</v>
      </c>
      <c r="J790" s="42" t="str">
        <f>"Customer"</f>
        <v>Customer</v>
      </c>
      <c r="K790" s="42" t="str">
        <f>"C100037"</f>
        <v>C100037</v>
      </c>
      <c r="L790" s="42" t="str">
        <f>IF($J790="Customer",_xll.NL("first",$J790,"Name","No.","@@"&amp;$K790),"")</f>
        <v>Tempsons Tropies</v>
      </c>
      <c r="M790" s="42" t="str">
        <f>""</f>
        <v/>
      </c>
      <c r="N790" s="42" t="str">
        <f>IF($J790="Item",_xll.NL("first",$J790,"Description","No.","@@"&amp;$K790),"")</f>
        <v/>
      </c>
      <c r="O790" s="43">
        <v>0</v>
      </c>
      <c r="P790" s="43">
        <v>-144</v>
      </c>
      <c r="Q790" s="43">
        <v>0</v>
      </c>
      <c r="R790" s="43">
        <v>0</v>
      </c>
      <c r="S790" s="43">
        <v>0</v>
      </c>
      <c r="T790" s="43">
        <v>0</v>
      </c>
      <c r="U790" s="56"/>
    </row>
    <row r="791" spans="1:21" ht="17.25" customHeight="1" x14ac:dyDescent="0.3">
      <c r="A791" s="15" t="s">
        <v>30</v>
      </c>
      <c r="C791" s="19"/>
      <c r="D791" s="33" t="str">
        <f t="shared" si="196"/>
        <v>C100055</v>
      </c>
      <c r="E791" s="33"/>
      <c r="F791" s="34"/>
      <c r="G791" s="34" t="str">
        <f>"""NAV Direct"",""CRONUS JetCorp USA"",""32"",""1"",""120188"""</f>
        <v>"NAV Direct","CRONUS JetCorp USA","32","1","120188"</v>
      </c>
      <c r="H791" s="40">
        <v>43474</v>
      </c>
      <c r="I791" s="41">
        <v>120188</v>
      </c>
      <c r="J791" s="42" t="str">
        <f>"Customer"</f>
        <v>Customer</v>
      </c>
      <c r="K791" s="42" t="str">
        <f>"C100049"</f>
        <v>C100049</v>
      </c>
      <c r="L791" s="42" t="str">
        <f>IF($J791="Customer",_xll.NL("first",$J791,"Name","No.","@@"&amp;$K791),"")</f>
        <v>Konberg Tapet AB</v>
      </c>
      <c r="M791" s="42" t="str">
        <f>""</f>
        <v/>
      </c>
      <c r="N791" s="42" t="str">
        <f>IF($J791="Item",_xll.NL("first",$J791,"Description","No.","@@"&amp;$K791),"")</f>
        <v/>
      </c>
      <c r="O791" s="43">
        <v>0</v>
      </c>
      <c r="P791" s="43">
        <v>-48</v>
      </c>
      <c r="Q791" s="43">
        <v>0</v>
      </c>
      <c r="R791" s="43">
        <v>0</v>
      </c>
      <c r="S791" s="43">
        <v>0</v>
      </c>
      <c r="T791" s="43">
        <v>0</v>
      </c>
      <c r="U791" s="56"/>
    </row>
    <row r="792" spans="1:21" ht="17.25" customHeight="1" x14ac:dyDescent="0.3">
      <c r="A792" s="15" t="s">
        <v>30</v>
      </c>
      <c r="C792" s="19"/>
      <c r="D792" s="33" t="str">
        <f t="shared" si="196"/>
        <v>C100055</v>
      </c>
      <c r="E792" s="33"/>
      <c r="F792" s="34"/>
      <c r="G792" s="34" t="str">
        <f>"""NAV Direct"",""CRONUS JetCorp USA"",""32"",""1"",""7587"""</f>
        <v>"NAV Direct","CRONUS JetCorp USA","32","1","7587"</v>
      </c>
      <c r="H792" s="40">
        <v>43476</v>
      </c>
      <c r="I792" s="41">
        <v>7587</v>
      </c>
      <c r="J792" s="42" t="str">
        <f>"Customer"</f>
        <v>Customer</v>
      </c>
      <c r="K792" s="42" t="str">
        <f>"C100030"</f>
        <v>C100030</v>
      </c>
      <c r="L792" s="42" t="str">
        <f>IF($J792="Customer",_xll.NL("first",$J792,"Name","No.","@@"&amp;$K792),"")</f>
        <v>Stutringers</v>
      </c>
      <c r="M792" s="42" t="str">
        <f>""</f>
        <v/>
      </c>
      <c r="N792" s="42" t="str">
        <f>IF($J792="Item",_xll.NL("first",$J792,"Description","No.","@@"&amp;$K792),"")</f>
        <v/>
      </c>
      <c r="O792" s="43">
        <v>0</v>
      </c>
      <c r="P792" s="43">
        <v>-12</v>
      </c>
      <c r="Q792" s="43">
        <v>0</v>
      </c>
      <c r="R792" s="43">
        <v>0</v>
      </c>
      <c r="S792" s="43">
        <v>0</v>
      </c>
      <c r="T792" s="43">
        <v>0</v>
      </c>
      <c r="U792" s="56"/>
    </row>
    <row r="793" spans="1:21" ht="17.25" customHeight="1" x14ac:dyDescent="0.3">
      <c r="A793" s="15" t="s">
        <v>30</v>
      </c>
      <c r="C793" s="19"/>
      <c r="D793" s="33" t="str">
        <f t="shared" si="196"/>
        <v>C100055</v>
      </c>
      <c r="E793" s="33"/>
      <c r="F793" s="34"/>
      <c r="G793" s="34" t="str">
        <f>"""NAV Direct"",""CRONUS JetCorp USA"",""32"",""1"",""10233"""</f>
        <v>"NAV Direct","CRONUS JetCorp USA","32","1","10233"</v>
      </c>
      <c r="H793" s="40">
        <v>43477</v>
      </c>
      <c r="I793" s="41">
        <v>10233</v>
      </c>
      <c r="J793" s="42" t="str">
        <f>"Customer"</f>
        <v>Customer</v>
      </c>
      <c r="K793" s="42" t="str">
        <f>"C100054"</f>
        <v>C100054</v>
      </c>
      <c r="L793" s="42" t="str">
        <f>IF($J793="Customer",_xll.NL("first",$J793,"Name","No.","@@"&amp;$K793),"")</f>
        <v>London Candoxy Storage Campus</v>
      </c>
      <c r="M793" s="42" t="str">
        <f>""</f>
        <v/>
      </c>
      <c r="N793" s="42" t="str">
        <f>IF($J793="Item",_xll.NL("first",$J793,"Description","No.","@@"&amp;$K793),"")</f>
        <v/>
      </c>
      <c r="O793" s="43">
        <v>0</v>
      </c>
      <c r="P793" s="43">
        <v>-1</v>
      </c>
      <c r="Q793" s="43">
        <v>0</v>
      </c>
      <c r="R793" s="43">
        <v>0</v>
      </c>
      <c r="S793" s="43">
        <v>0</v>
      </c>
      <c r="T793" s="43">
        <v>0</v>
      </c>
      <c r="U793" s="56"/>
    </row>
    <row r="794" spans="1:21" ht="17.25" customHeight="1" x14ac:dyDescent="0.3">
      <c r="A794" s="15" t="s">
        <v>30</v>
      </c>
      <c r="C794" s="19"/>
      <c r="D794" s="33"/>
      <c r="E794" s="33"/>
      <c r="F794" s="34"/>
      <c r="G794" s="34"/>
      <c r="H794" s="34"/>
      <c r="I794" s="34"/>
      <c r="J794" s="34"/>
      <c r="K794" s="34"/>
      <c r="L794" s="34"/>
      <c r="M794" s="34"/>
      <c r="N794" s="34"/>
      <c r="O794" s="44"/>
      <c r="P794" s="44"/>
      <c r="Q794" s="44"/>
      <c r="R794" s="44"/>
      <c r="S794" s="44"/>
      <c r="T794" s="44"/>
      <c r="U794" s="57"/>
    </row>
    <row r="795" spans="1:21" ht="17.25" customHeight="1" x14ac:dyDescent="0.3">
      <c r="A795" s="15" t="s">
        <v>30</v>
      </c>
      <c r="C795" s="19"/>
      <c r="D795" s="33"/>
      <c r="E795" s="33" t="s">
        <v>31</v>
      </c>
      <c r="F795" s="34" t="s">
        <v>31</v>
      </c>
      <c r="G795" s="34" t="s">
        <v>31</v>
      </c>
      <c r="H795" s="34"/>
      <c r="I795" s="34"/>
      <c r="J795" s="34" t="s">
        <v>31</v>
      </c>
      <c r="K795" s="34" t="s">
        <v>31</v>
      </c>
      <c r="L795" s="34" t="s">
        <v>31</v>
      </c>
      <c r="M795" s="34" t="s">
        <v>31</v>
      </c>
      <c r="N795" s="34"/>
      <c r="U795" s="58"/>
    </row>
    <row r="796" spans="1:21" ht="20.25" customHeight="1" x14ac:dyDescent="0.35">
      <c r="A796" s="15" t="s">
        <v>30</v>
      </c>
      <c r="C796" s="19"/>
      <c r="D796" s="35" t="str">
        <f t="shared" ref="D796" si="197">E796</f>
        <v>C100056</v>
      </c>
      <c r="E796" s="36" t="str">
        <f>"C100056"</f>
        <v>C100056</v>
      </c>
      <c r="F796" s="37" t="str">
        <f>"Contemporary Desk Calculator"</f>
        <v>Contemporary Desk Calculator</v>
      </c>
      <c r="G796" s="37"/>
      <c r="H796" s="38" t="str">
        <f>"EA"</f>
        <v>EA</v>
      </c>
      <c r="I796" s="37"/>
      <c r="J796" s="37"/>
      <c r="K796" s="37"/>
      <c r="L796" s="37"/>
      <c r="M796" s="37"/>
      <c r="N796" s="37"/>
      <c r="O796" s="39">
        <f>(SUBTOTAL(9,O797:O804))</f>
        <v>3000</v>
      </c>
      <c r="P796" s="39">
        <f>(SUBTOTAL(9,P797:P804))</f>
        <v>-624</v>
      </c>
      <c r="Q796" s="39">
        <f>(SUBTOTAL(9,Q797:Q804))</f>
        <v>0</v>
      </c>
      <c r="R796" s="39">
        <f>(SUBTOTAL(9,R797:R804))</f>
        <v>0</v>
      </c>
      <c r="S796" s="39">
        <f>(SUBTOTAL(9,S797:S804))</f>
        <v>0</v>
      </c>
      <c r="T796" s="39">
        <f>(SUBTOTAL(9,T797:T804))</f>
        <v>0</v>
      </c>
      <c r="U796" s="55">
        <f t="shared" ref="U796" si="198">SUBTOTAL(9,O797:T804)</f>
        <v>2376</v>
      </c>
    </row>
    <row r="797" spans="1:21" ht="17.25" customHeight="1" x14ac:dyDescent="0.3">
      <c r="A797" s="15" t="s">
        <v>30</v>
      </c>
      <c r="C797" s="19"/>
      <c r="D797" s="33" t="str">
        <f t="shared" ref="D797" si="199">D796</f>
        <v>C100056</v>
      </c>
      <c r="E797" s="33"/>
      <c r="F797" s="34"/>
      <c r="G797" s="34" t="str">
        <f>"""NAV Direct"",""CRONUS JetCorp USA"",""32"",""1"",""168320"""</f>
        <v>"NAV Direct","CRONUS JetCorp USA","32","1","168320"</v>
      </c>
      <c r="H797" s="40">
        <v>43466</v>
      </c>
      <c r="I797" s="41">
        <v>168320</v>
      </c>
      <c r="J797" s="42" t="str">
        <f>"Vendor"</f>
        <v>Vendor</v>
      </c>
      <c r="K797" s="42" t="str">
        <f>"V100040"</f>
        <v>V100040</v>
      </c>
      <c r="L797" s="42" t="str">
        <f>IF($J797="Customer",_xll.NL("first",$J797,"Name","No.","@@"&amp;$K797),"")</f>
        <v/>
      </c>
      <c r="M797" s="42" t="str">
        <f>"Technische Betriebe Rotkreuz"</f>
        <v>Technische Betriebe Rotkreuz</v>
      </c>
      <c r="N797" s="42" t="str">
        <f>IF($J797="Item",_xll.NL("first",$J797,"Description","No.","@@"&amp;$K797),"")</f>
        <v/>
      </c>
      <c r="O797" s="43">
        <v>499.99999999999994</v>
      </c>
      <c r="P797" s="43">
        <v>0</v>
      </c>
      <c r="Q797" s="43">
        <v>0</v>
      </c>
      <c r="R797" s="43">
        <v>0</v>
      </c>
      <c r="S797" s="43">
        <v>0</v>
      </c>
      <c r="T797" s="43">
        <v>0</v>
      </c>
      <c r="U797" s="56"/>
    </row>
    <row r="798" spans="1:21" ht="17.25" customHeight="1" x14ac:dyDescent="0.3">
      <c r="A798" s="15" t="s">
        <v>30</v>
      </c>
      <c r="C798" s="19"/>
      <c r="D798" s="33" t="str">
        <f t="shared" ref="D798:D803" si="200">D797</f>
        <v>C100056</v>
      </c>
      <c r="E798" s="33"/>
      <c r="F798" s="34"/>
      <c r="G798" s="34" t="str">
        <f>"""NAV Direct"",""CRONUS JetCorp USA"",""32"",""1"",""168331"""</f>
        <v>"NAV Direct","CRONUS JetCorp USA","32","1","168331"</v>
      </c>
      <c r="H798" s="40">
        <v>43466</v>
      </c>
      <c r="I798" s="41">
        <v>168331</v>
      </c>
      <c r="J798" s="42" t="str">
        <f>"Vendor"</f>
        <v>Vendor</v>
      </c>
      <c r="K798" s="42" t="str">
        <f>"V100007"</f>
        <v>V100007</v>
      </c>
      <c r="L798" s="42" t="str">
        <f>IF($J798="Customer",_xll.NL("first",$J798,"Name","No.","@@"&amp;$K798),"")</f>
        <v/>
      </c>
      <c r="M798" s="42" t="str">
        <f>"TrendTech"</f>
        <v>TrendTech</v>
      </c>
      <c r="N798" s="42" t="str">
        <f>IF($J798="Item",_xll.NL("first",$J798,"Description","No.","@@"&amp;$K798),"")</f>
        <v/>
      </c>
      <c r="O798" s="43">
        <v>249.99999999999997</v>
      </c>
      <c r="P798" s="43">
        <v>0</v>
      </c>
      <c r="Q798" s="43">
        <v>0</v>
      </c>
      <c r="R798" s="43">
        <v>0</v>
      </c>
      <c r="S798" s="43">
        <v>0</v>
      </c>
      <c r="T798" s="43">
        <v>0</v>
      </c>
      <c r="U798" s="56"/>
    </row>
    <row r="799" spans="1:21" ht="17.25" customHeight="1" x14ac:dyDescent="0.3">
      <c r="A799" s="15" t="s">
        <v>30</v>
      </c>
      <c r="C799" s="19"/>
      <c r="D799" s="33" t="str">
        <f t="shared" si="200"/>
        <v>C100056</v>
      </c>
      <c r="E799" s="33"/>
      <c r="F799" s="34"/>
      <c r="G799" s="34" t="str">
        <f>"""NAV Direct"",""CRONUS JetCorp USA"",""32"",""1"",""168345"""</f>
        <v>"NAV Direct","CRONUS JetCorp USA","32","1","168345"</v>
      </c>
      <c r="H799" s="40">
        <v>43466</v>
      </c>
      <c r="I799" s="41">
        <v>168345</v>
      </c>
      <c r="J799" s="42" t="str">
        <f>"Vendor"</f>
        <v>Vendor</v>
      </c>
      <c r="K799" s="42" t="str">
        <f>"V100001"</f>
        <v>V100001</v>
      </c>
      <c r="L799" s="42" t="str">
        <f>IF($J799="Customer",_xll.NL("first",$J799,"Name","No.","@@"&amp;$K799),"")</f>
        <v/>
      </c>
      <c r="M799" s="42" t="str">
        <f>"Greigner, Inc."</f>
        <v>Greigner, Inc.</v>
      </c>
      <c r="N799" s="42" t="str">
        <f>IF($J799="Item",_xll.NL("first",$J799,"Description","No.","@@"&amp;$K799),"")</f>
        <v/>
      </c>
      <c r="O799" s="43">
        <v>999.99999999999989</v>
      </c>
      <c r="P799" s="43">
        <v>0</v>
      </c>
      <c r="Q799" s="43">
        <v>0</v>
      </c>
      <c r="R799" s="43">
        <v>0</v>
      </c>
      <c r="S799" s="43">
        <v>0</v>
      </c>
      <c r="T799" s="43">
        <v>0</v>
      </c>
      <c r="U799" s="56"/>
    </row>
    <row r="800" spans="1:21" ht="17.25" customHeight="1" x14ac:dyDescent="0.3">
      <c r="A800" s="15" t="s">
        <v>30</v>
      </c>
      <c r="C800" s="19"/>
      <c r="D800" s="33" t="str">
        <f t="shared" si="200"/>
        <v>C100056</v>
      </c>
      <c r="E800" s="33"/>
      <c r="F800" s="34"/>
      <c r="G800" s="34" t="str">
        <f>"""NAV Direct"",""CRONUS JetCorp USA"",""32"",""1"",""168360"""</f>
        <v>"NAV Direct","CRONUS JetCorp USA","32","1","168360"</v>
      </c>
      <c r="H800" s="40">
        <v>43466</v>
      </c>
      <c r="I800" s="41">
        <v>168360</v>
      </c>
      <c r="J800" s="42" t="str">
        <f>"Vendor"</f>
        <v>Vendor</v>
      </c>
      <c r="K800" s="42" t="str">
        <f>"V100003"</f>
        <v>V100003</v>
      </c>
      <c r="L800" s="42" t="str">
        <f>IF($J800="Customer",_xll.NL("first",$J800,"Name","No.","@@"&amp;$K800),"")</f>
        <v/>
      </c>
      <c r="M800" s="42" t="str">
        <f>"LogoMasters"</f>
        <v>LogoMasters</v>
      </c>
      <c r="N800" s="42" t="str">
        <f>IF($J800="Item",_xll.NL("first",$J800,"Description","No.","@@"&amp;$K800),"")</f>
        <v/>
      </c>
      <c r="O800" s="43">
        <v>1250</v>
      </c>
      <c r="P800" s="43">
        <v>0</v>
      </c>
      <c r="Q800" s="43">
        <v>0</v>
      </c>
      <c r="R800" s="43">
        <v>0</v>
      </c>
      <c r="S800" s="43">
        <v>0</v>
      </c>
      <c r="T800" s="43">
        <v>0</v>
      </c>
      <c r="U800" s="56"/>
    </row>
    <row r="801" spans="1:21" ht="17.25" customHeight="1" x14ac:dyDescent="0.3">
      <c r="A801" s="15" t="s">
        <v>30</v>
      </c>
      <c r="C801" s="19"/>
      <c r="D801" s="33" t="str">
        <f t="shared" si="200"/>
        <v>C100056</v>
      </c>
      <c r="E801" s="33"/>
      <c r="F801" s="34"/>
      <c r="G801" s="34" t="str">
        <f>"""NAV Direct"",""CRONUS JetCorp USA"",""32"",""1"",""153190"""</f>
        <v>"NAV Direct","CRONUS JetCorp USA","32","1","153190"</v>
      </c>
      <c r="H801" s="40">
        <v>43469</v>
      </c>
      <c r="I801" s="41">
        <v>153190</v>
      </c>
      <c r="J801" s="42" t="str">
        <f>"Customer"</f>
        <v>Customer</v>
      </c>
      <c r="K801" s="42" t="str">
        <f>"C100136"</f>
        <v>C100136</v>
      </c>
      <c r="L801" s="42" t="str">
        <f>IF($J801="Customer",_xll.NL("first",$J801,"Name","No.","@@"&amp;$K801),"")</f>
        <v>First Bank</v>
      </c>
      <c r="M801" s="42" t="str">
        <f>""</f>
        <v/>
      </c>
      <c r="N801" s="42" t="str">
        <f>IF($J801="Item",_xll.NL("first",$J801,"Description","No.","@@"&amp;$K801),"")</f>
        <v/>
      </c>
      <c r="O801" s="43">
        <v>0</v>
      </c>
      <c r="P801" s="43">
        <v>-192</v>
      </c>
      <c r="Q801" s="43">
        <v>0</v>
      </c>
      <c r="R801" s="43">
        <v>0</v>
      </c>
      <c r="S801" s="43">
        <v>0</v>
      </c>
      <c r="T801" s="43">
        <v>0</v>
      </c>
      <c r="U801" s="56"/>
    </row>
    <row r="802" spans="1:21" ht="17.25" customHeight="1" x14ac:dyDescent="0.3">
      <c r="A802" s="15" t="s">
        <v>30</v>
      </c>
      <c r="C802" s="19"/>
      <c r="D802" s="33" t="str">
        <f t="shared" si="200"/>
        <v>C100056</v>
      </c>
      <c r="E802" s="33"/>
      <c r="F802" s="34"/>
      <c r="G802" s="34" t="str">
        <f>"""NAV Direct"",""CRONUS JetCorp USA"",""32"",""1"",""78844"""</f>
        <v>"NAV Direct","CRONUS JetCorp USA","32","1","78844"</v>
      </c>
      <c r="H802" s="40">
        <v>43470</v>
      </c>
      <c r="I802" s="41">
        <v>78844</v>
      </c>
      <c r="J802" s="42" t="str">
        <f>"Customer"</f>
        <v>Customer</v>
      </c>
      <c r="K802" s="42" t="str">
        <f>"C100117"</f>
        <v>C100117</v>
      </c>
      <c r="L802" s="42" t="str">
        <f>IF($J802="Customer",_xll.NL("first",$J802,"Name","No.","@@"&amp;$K802),"")</f>
        <v xml:space="preserve">Tintax </v>
      </c>
      <c r="M802" s="42" t="str">
        <f>""</f>
        <v/>
      </c>
      <c r="N802" s="42" t="str">
        <f>IF($J802="Item",_xll.NL("first",$J802,"Description","No.","@@"&amp;$K802),"")</f>
        <v/>
      </c>
      <c r="O802" s="43">
        <v>0</v>
      </c>
      <c r="P802" s="43">
        <v>-144</v>
      </c>
      <c r="Q802" s="43">
        <v>0</v>
      </c>
      <c r="R802" s="43">
        <v>0</v>
      </c>
      <c r="S802" s="43">
        <v>0</v>
      </c>
      <c r="T802" s="43">
        <v>0</v>
      </c>
      <c r="U802" s="56"/>
    </row>
    <row r="803" spans="1:21" ht="17.25" customHeight="1" x14ac:dyDescent="0.3">
      <c r="A803" s="15" t="s">
        <v>30</v>
      </c>
      <c r="C803" s="19"/>
      <c r="D803" s="33" t="str">
        <f t="shared" si="200"/>
        <v>C100056</v>
      </c>
      <c r="E803" s="33"/>
      <c r="F803" s="34"/>
      <c r="G803" s="34" t="str">
        <f>"""NAV Direct"",""CRONUS JetCorp USA"",""32"",""1"",""64593"""</f>
        <v>"NAV Direct","CRONUS JetCorp USA","32","1","64593"</v>
      </c>
      <c r="H803" s="40">
        <v>43472</v>
      </c>
      <c r="I803" s="41">
        <v>64593</v>
      </c>
      <c r="J803" s="42" t="str">
        <f>"Customer"</f>
        <v>Customer</v>
      </c>
      <c r="K803" s="42" t="str">
        <f>"C100140"</f>
        <v>C100140</v>
      </c>
      <c r="L803" s="42" t="str">
        <f>IF($J803="Customer",_xll.NL("first",$J803,"Name","No.","@@"&amp;$K803),"")</f>
        <v>Super Daves</v>
      </c>
      <c r="M803" s="42" t="str">
        <f>""</f>
        <v/>
      </c>
      <c r="N803" s="42" t="str">
        <f>IF($J803="Item",_xll.NL("first",$J803,"Description","No.","@@"&amp;$K803),"")</f>
        <v/>
      </c>
      <c r="O803" s="43">
        <v>0</v>
      </c>
      <c r="P803" s="43">
        <v>-288</v>
      </c>
      <c r="Q803" s="43">
        <v>0</v>
      </c>
      <c r="R803" s="43">
        <v>0</v>
      </c>
      <c r="S803" s="43">
        <v>0</v>
      </c>
      <c r="T803" s="43">
        <v>0</v>
      </c>
      <c r="U803" s="56"/>
    </row>
    <row r="804" spans="1:21" ht="17.25" customHeight="1" x14ac:dyDescent="0.3">
      <c r="A804" s="15" t="s">
        <v>30</v>
      </c>
      <c r="C804" s="19"/>
      <c r="D804" s="33"/>
      <c r="E804" s="33"/>
      <c r="F804" s="34"/>
      <c r="G804" s="34"/>
      <c r="H804" s="34"/>
      <c r="I804" s="34"/>
      <c r="J804" s="34"/>
      <c r="K804" s="34"/>
      <c r="L804" s="34"/>
      <c r="M804" s="34"/>
      <c r="N804" s="34"/>
      <c r="O804" s="44"/>
      <c r="P804" s="44"/>
      <c r="Q804" s="44"/>
      <c r="R804" s="44"/>
      <c r="S804" s="44"/>
      <c r="T804" s="44"/>
      <c r="U804" s="57"/>
    </row>
    <row r="805" spans="1:21" ht="17.25" customHeight="1" x14ac:dyDescent="0.3">
      <c r="A805" s="15" t="s">
        <v>30</v>
      </c>
      <c r="C805" s="19"/>
      <c r="D805" s="33"/>
      <c r="E805" s="33" t="s">
        <v>31</v>
      </c>
      <c r="F805" s="34" t="s">
        <v>31</v>
      </c>
      <c r="G805" s="34" t="s">
        <v>31</v>
      </c>
      <c r="H805" s="34"/>
      <c r="I805" s="34"/>
      <c r="J805" s="34" t="s">
        <v>31</v>
      </c>
      <c r="K805" s="34" t="s">
        <v>31</v>
      </c>
      <c r="L805" s="34" t="s">
        <v>31</v>
      </c>
      <c r="M805" s="34" t="s">
        <v>31</v>
      </c>
      <c r="N805" s="34"/>
      <c r="U805" s="58"/>
    </row>
    <row r="806" spans="1:21" ht="20.25" customHeight="1" x14ac:dyDescent="0.35">
      <c r="A806" s="15" t="s">
        <v>30</v>
      </c>
      <c r="C806" s="19"/>
      <c r="D806" s="35" t="str">
        <f t="shared" ref="D806" si="201">E806</f>
        <v>C100061</v>
      </c>
      <c r="E806" s="36" t="str">
        <f>"C100061"</f>
        <v>C100061</v>
      </c>
      <c r="F806" s="37" t="str">
        <f>"Bistro Mug"</f>
        <v>Bistro Mug</v>
      </c>
      <c r="G806" s="37"/>
      <c r="H806" s="38" t="str">
        <f>"EA"</f>
        <v>EA</v>
      </c>
      <c r="I806" s="37"/>
      <c r="J806" s="37"/>
      <c r="K806" s="37"/>
      <c r="L806" s="37"/>
      <c r="M806" s="37"/>
      <c r="N806" s="37"/>
      <c r="O806" s="39">
        <f>(SUBTOTAL(9,O807:O816))</f>
        <v>4000</v>
      </c>
      <c r="P806" s="39">
        <f>(SUBTOTAL(9,P807:P816))</f>
        <v>-530</v>
      </c>
      <c r="Q806" s="39">
        <f>(SUBTOTAL(9,Q807:Q816))</f>
        <v>0</v>
      </c>
      <c r="R806" s="39">
        <f>(SUBTOTAL(9,R807:R816))</f>
        <v>0</v>
      </c>
      <c r="S806" s="39">
        <f>(SUBTOTAL(9,S807:S816))</f>
        <v>0</v>
      </c>
      <c r="T806" s="39">
        <f>(SUBTOTAL(9,T807:T816))</f>
        <v>0</v>
      </c>
      <c r="U806" s="55">
        <f t="shared" ref="U806" si="202">SUBTOTAL(9,O807:T816)</f>
        <v>3470</v>
      </c>
    </row>
    <row r="807" spans="1:21" ht="17.25" customHeight="1" x14ac:dyDescent="0.3">
      <c r="A807" s="15" t="s">
        <v>30</v>
      </c>
      <c r="C807" s="19"/>
      <c r="D807" s="33" t="str">
        <f t="shared" ref="D807" si="203">D806</f>
        <v>C100061</v>
      </c>
      <c r="E807" s="33"/>
      <c r="F807" s="34"/>
      <c r="G807" s="34" t="str">
        <f>"""NAV Direct"",""CRONUS JetCorp USA"",""32"",""1"",""168619"""</f>
        <v>"NAV Direct","CRONUS JetCorp USA","32","1","168619"</v>
      </c>
      <c r="H807" s="40">
        <v>43466</v>
      </c>
      <c r="I807" s="41">
        <v>168619</v>
      </c>
      <c r="J807" s="42" t="str">
        <f>"Vendor"</f>
        <v>Vendor</v>
      </c>
      <c r="K807" s="42" t="str">
        <f>"V100040"</f>
        <v>V100040</v>
      </c>
      <c r="L807" s="42" t="str">
        <f>IF($J807="Customer",_xll.NL("first",$J807,"Name","No.","@@"&amp;$K807),"")</f>
        <v/>
      </c>
      <c r="M807" s="42" t="str">
        <f>"Technische Betriebe Rotkreuz"</f>
        <v>Technische Betriebe Rotkreuz</v>
      </c>
      <c r="N807" s="42" t="str">
        <f>IF($J807="Item",_xll.NL("first",$J807,"Description","No.","@@"&amp;$K807),"")</f>
        <v/>
      </c>
      <c r="O807" s="43">
        <v>249.99999999999997</v>
      </c>
      <c r="P807" s="43">
        <v>0</v>
      </c>
      <c r="Q807" s="43">
        <v>0</v>
      </c>
      <c r="R807" s="43">
        <v>0</v>
      </c>
      <c r="S807" s="43">
        <v>0</v>
      </c>
      <c r="T807" s="43">
        <v>0</v>
      </c>
      <c r="U807" s="56"/>
    </row>
    <row r="808" spans="1:21" ht="17.25" customHeight="1" x14ac:dyDescent="0.3">
      <c r="A808" s="15" t="s">
        <v>30</v>
      </c>
      <c r="C808" s="19"/>
      <c r="D808" s="33" t="str">
        <f t="shared" ref="D808:D815" si="204">D807</f>
        <v>C100061</v>
      </c>
      <c r="E808" s="33"/>
      <c r="F808" s="34"/>
      <c r="G808" s="34" t="str">
        <f>"""NAV Direct"",""CRONUS JetCorp USA"",""32"",""1"",""168646"""</f>
        <v>"NAV Direct","CRONUS JetCorp USA","32","1","168646"</v>
      </c>
      <c r="H808" s="40">
        <v>43466</v>
      </c>
      <c r="I808" s="41">
        <v>168646</v>
      </c>
      <c r="J808" s="42" t="str">
        <f>"Vendor"</f>
        <v>Vendor</v>
      </c>
      <c r="K808" s="42" t="str">
        <f>"V100001"</f>
        <v>V100001</v>
      </c>
      <c r="L808" s="42" t="str">
        <f>IF($J808="Customer",_xll.NL("first",$J808,"Name","No.","@@"&amp;$K808),"")</f>
        <v/>
      </c>
      <c r="M808" s="42" t="str">
        <f>"Greigner, Inc."</f>
        <v>Greigner, Inc.</v>
      </c>
      <c r="N808" s="42" t="str">
        <f>IF($J808="Item",_xll.NL("first",$J808,"Description","No.","@@"&amp;$K808),"")</f>
        <v/>
      </c>
      <c r="O808" s="43">
        <v>2750</v>
      </c>
      <c r="P808" s="43">
        <v>0</v>
      </c>
      <c r="Q808" s="43">
        <v>0</v>
      </c>
      <c r="R808" s="43">
        <v>0</v>
      </c>
      <c r="S808" s="43">
        <v>0</v>
      </c>
      <c r="T808" s="43">
        <v>0</v>
      </c>
      <c r="U808" s="56"/>
    </row>
    <row r="809" spans="1:21" ht="17.25" customHeight="1" x14ac:dyDescent="0.3">
      <c r="A809" s="15" t="s">
        <v>30</v>
      </c>
      <c r="C809" s="19"/>
      <c r="D809" s="33" t="str">
        <f t="shared" si="204"/>
        <v>C100061</v>
      </c>
      <c r="E809" s="33"/>
      <c r="F809" s="34"/>
      <c r="G809" s="34" t="str">
        <f>"""NAV Direct"",""CRONUS JetCorp USA"",""32"",""1"",""168670"""</f>
        <v>"NAV Direct","CRONUS JetCorp USA","32","1","168670"</v>
      </c>
      <c r="H809" s="40">
        <v>43466</v>
      </c>
      <c r="I809" s="41">
        <v>168670</v>
      </c>
      <c r="J809" s="42" t="str">
        <f>"Vendor"</f>
        <v>Vendor</v>
      </c>
      <c r="K809" s="42" t="str">
        <f>"V100003"</f>
        <v>V100003</v>
      </c>
      <c r="L809" s="42" t="str">
        <f>IF($J809="Customer",_xll.NL("first",$J809,"Name","No.","@@"&amp;$K809),"")</f>
        <v/>
      </c>
      <c r="M809" s="42" t="str">
        <f>"LogoMasters"</f>
        <v>LogoMasters</v>
      </c>
      <c r="N809" s="42" t="str">
        <f>IF($J809="Item",_xll.NL("first",$J809,"Description","No.","@@"&amp;$K809),"")</f>
        <v/>
      </c>
      <c r="O809" s="43">
        <v>750</v>
      </c>
      <c r="P809" s="43">
        <v>0</v>
      </c>
      <c r="Q809" s="43">
        <v>0</v>
      </c>
      <c r="R809" s="43">
        <v>0</v>
      </c>
      <c r="S809" s="43">
        <v>0</v>
      </c>
      <c r="T809" s="43">
        <v>0</v>
      </c>
      <c r="U809" s="56"/>
    </row>
    <row r="810" spans="1:21" ht="17.25" customHeight="1" x14ac:dyDescent="0.3">
      <c r="A810" s="15" t="s">
        <v>30</v>
      </c>
      <c r="C810" s="19"/>
      <c r="D810" s="33" t="str">
        <f t="shared" si="204"/>
        <v>C100061</v>
      </c>
      <c r="E810" s="33"/>
      <c r="F810" s="34"/>
      <c r="G810" s="34" t="str">
        <f>"""NAV Direct"",""CRONUS JetCorp USA"",""32"",""1"",""168682"""</f>
        <v>"NAV Direct","CRONUS JetCorp USA","32","1","168682"</v>
      </c>
      <c r="H810" s="40">
        <v>43466</v>
      </c>
      <c r="I810" s="41">
        <v>168682</v>
      </c>
      <c r="J810" s="42" t="str">
        <f>"Vendor"</f>
        <v>Vendor</v>
      </c>
      <c r="K810" s="42" t="str">
        <f>"V100001"</f>
        <v>V100001</v>
      </c>
      <c r="L810" s="42" t="str">
        <f>IF($J810="Customer",_xll.NL("first",$J810,"Name","No.","@@"&amp;$K810),"")</f>
        <v/>
      </c>
      <c r="M810" s="42" t="str">
        <f>"Greigner, Inc."</f>
        <v>Greigner, Inc.</v>
      </c>
      <c r="N810" s="42" t="str">
        <f>IF($J810="Item",_xll.NL("first",$J810,"Description","No.","@@"&amp;$K810),"")</f>
        <v/>
      </c>
      <c r="O810" s="43">
        <v>249.99999999999997</v>
      </c>
      <c r="P810" s="43">
        <v>0</v>
      </c>
      <c r="Q810" s="43">
        <v>0</v>
      </c>
      <c r="R810" s="43">
        <v>0</v>
      </c>
      <c r="S810" s="43">
        <v>0</v>
      </c>
      <c r="T810" s="43">
        <v>0</v>
      </c>
      <c r="U810" s="56"/>
    </row>
    <row r="811" spans="1:21" ht="17.25" customHeight="1" x14ac:dyDescent="0.3">
      <c r="A811" s="15" t="s">
        <v>30</v>
      </c>
      <c r="C811" s="19"/>
      <c r="D811" s="33" t="str">
        <f t="shared" si="204"/>
        <v>C100061</v>
      </c>
      <c r="E811" s="33"/>
      <c r="F811" s="34"/>
      <c r="G811" s="34" t="str">
        <f>"""NAV Direct"",""CRONUS JetCorp USA"",""32"",""1"",""64586"""</f>
        <v>"NAV Direct","CRONUS JetCorp USA","32","1","64586"</v>
      </c>
      <c r="H811" s="40">
        <v>43469</v>
      </c>
      <c r="I811" s="41">
        <v>64586</v>
      </c>
      <c r="J811" s="42" t="str">
        <f>"Customer"</f>
        <v>Customer</v>
      </c>
      <c r="K811" s="42" t="str">
        <f>"C100140"</f>
        <v>C100140</v>
      </c>
      <c r="L811" s="42" t="str">
        <f>IF($J811="Customer",_xll.NL("first",$J811,"Name","No.","@@"&amp;$K811),"")</f>
        <v>Super Daves</v>
      </c>
      <c r="M811" s="42" t="str">
        <f>""</f>
        <v/>
      </c>
      <c r="N811" s="42" t="str">
        <f>IF($J811="Item",_xll.NL("first",$J811,"Description","No.","@@"&amp;$K811),"")</f>
        <v/>
      </c>
      <c r="O811" s="43">
        <v>0</v>
      </c>
      <c r="P811" s="43">
        <v>-145</v>
      </c>
      <c r="Q811" s="43">
        <v>0</v>
      </c>
      <c r="R811" s="43">
        <v>0</v>
      </c>
      <c r="S811" s="43">
        <v>0</v>
      </c>
      <c r="T811" s="43">
        <v>0</v>
      </c>
      <c r="U811" s="56"/>
    </row>
    <row r="812" spans="1:21" ht="17.25" customHeight="1" x14ac:dyDescent="0.3">
      <c r="A812" s="15" t="s">
        <v>30</v>
      </c>
      <c r="C812" s="19"/>
      <c r="D812" s="33" t="str">
        <f t="shared" si="204"/>
        <v>C100061</v>
      </c>
      <c r="E812" s="33"/>
      <c r="F812" s="34"/>
      <c r="G812" s="34" t="str">
        <f>"""NAV Direct"",""CRONUS JetCorp USA"",""32"",""1"",""44482"""</f>
        <v>"NAV Direct","CRONUS JetCorp USA","32","1","44482"</v>
      </c>
      <c r="H812" s="40">
        <v>43472</v>
      </c>
      <c r="I812" s="41">
        <v>44482</v>
      </c>
      <c r="J812" s="42" t="str">
        <f>"Customer"</f>
        <v>Customer</v>
      </c>
      <c r="K812" s="42" t="str">
        <f>"C100141"</f>
        <v>C100141</v>
      </c>
      <c r="L812" s="42" t="str">
        <f>IF($J812="Customer",_xll.NL("first",$J812,"Name","No.","@@"&amp;$K812),"")</f>
        <v>Bargottis</v>
      </c>
      <c r="M812" s="42" t="str">
        <f>""</f>
        <v/>
      </c>
      <c r="N812" s="42" t="str">
        <f>IF($J812="Item",_xll.NL("first",$J812,"Description","No.","@@"&amp;$K812),"")</f>
        <v/>
      </c>
      <c r="O812" s="43">
        <v>0</v>
      </c>
      <c r="P812" s="43">
        <v>-48</v>
      </c>
      <c r="Q812" s="43">
        <v>0</v>
      </c>
      <c r="R812" s="43">
        <v>0</v>
      </c>
      <c r="S812" s="43">
        <v>0</v>
      </c>
      <c r="T812" s="43">
        <v>0</v>
      </c>
      <c r="U812" s="56"/>
    </row>
    <row r="813" spans="1:21" ht="17.25" customHeight="1" x14ac:dyDescent="0.3">
      <c r="A813" s="15" t="s">
        <v>30</v>
      </c>
      <c r="C813" s="19"/>
      <c r="D813" s="33" t="str">
        <f t="shared" si="204"/>
        <v>C100061</v>
      </c>
      <c r="E813" s="33"/>
      <c r="F813" s="34"/>
      <c r="G813" s="34" t="str">
        <f>"""NAV Direct"",""CRONUS JetCorp USA"",""32"",""1"",""64602"""</f>
        <v>"NAV Direct","CRONUS JetCorp USA","32","1","64602"</v>
      </c>
      <c r="H813" s="40">
        <v>43472</v>
      </c>
      <c r="I813" s="41">
        <v>64602</v>
      </c>
      <c r="J813" s="42" t="str">
        <f>"Customer"</f>
        <v>Customer</v>
      </c>
      <c r="K813" s="42" t="str">
        <f>"C100140"</f>
        <v>C100140</v>
      </c>
      <c r="L813" s="42" t="str">
        <f>IF($J813="Customer",_xll.NL("first",$J813,"Name","No.","@@"&amp;$K813),"")</f>
        <v>Super Daves</v>
      </c>
      <c r="M813" s="42" t="str">
        <f>""</f>
        <v/>
      </c>
      <c r="N813" s="42" t="str">
        <f>IF($J813="Item",_xll.NL("first",$J813,"Description","No.","@@"&amp;$K813),"")</f>
        <v/>
      </c>
      <c r="O813" s="43">
        <v>0</v>
      </c>
      <c r="P813" s="43">
        <v>-145</v>
      </c>
      <c r="Q813" s="43">
        <v>0</v>
      </c>
      <c r="R813" s="43">
        <v>0</v>
      </c>
      <c r="S813" s="43">
        <v>0</v>
      </c>
      <c r="T813" s="43">
        <v>0</v>
      </c>
      <c r="U813" s="56"/>
    </row>
    <row r="814" spans="1:21" ht="17.25" customHeight="1" x14ac:dyDescent="0.3">
      <c r="A814" s="15" t="s">
        <v>30</v>
      </c>
      <c r="C814" s="19"/>
      <c r="D814" s="33" t="str">
        <f t="shared" si="204"/>
        <v>C100061</v>
      </c>
      <c r="E814" s="33"/>
      <c r="F814" s="34"/>
      <c r="G814" s="34" t="str">
        <f>"""NAV Direct"",""CRONUS JetCorp USA"",""32"",""1"",""64629"""</f>
        <v>"NAV Direct","CRONUS JetCorp USA","32","1","64629"</v>
      </c>
      <c r="H814" s="40">
        <v>43475</v>
      </c>
      <c r="I814" s="41">
        <v>64629</v>
      </c>
      <c r="J814" s="42" t="str">
        <f>"Customer"</f>
        <v>Customer</v>
      </c>
      <c r="K814" s="42" t="str">
        <f>"C100136"</f>
        <v>C100136</v>
      </c>
      <c r="L814" s="42" t="str">
        <f>IF($J814="Customer",_xll.NL("first",$J814,"Name","No.","@@"&amp;$K814),"")</f>
        <v>First Bank</v>
      </c>
      <c r="M814" s="42" t="str">
        <f>""</f>
        <v/>
      </c>
      <c r="N814" s="42" t="str">
        <f>IF($J814="Item",_xll.NL("first",$J814,"Description","No.","@@"&amp;$K814),"")</f>
        <v/>
      </c>
      <c r="O814" s="43">
        <v>0</v>
      </c>
      <c r="P814" s="43">
        <v>-48</v>
      </c>
      <c r="Q814" s="43">
        <v>0</v>
      </c>
      <c r="R814" s="43">
        <v>0</v>
      </c>
      <c r="S814" s="43">
        <v>0</v>
      </c>
      <c r="T814" s="43">
        <v>0</v>
      </c>
      <c r="U814" s="56"/>
    </row>
    <row r="815" spans="1:21" ht="17.25" customHeight="1" x14ac:dyDescent="0.3">
      <c r="A815" s="15" t="s">
        <v>30</v>
      </c>
      <c r="C815" s="19"/>
      <c r="D815" s="33" t="str">
        <f t="shared" si="204"/>
        <v>C100061</v>
      </c>
      <c r="E815" s="33"/>
      <c r="F815" s="34"/>
      <c r="G815" s="34" t="str">
        <f>"""NAV Direct"",""CRONUS JetCorp USA"",""32"",""1"",""78902"""</f>
        <v>"NAV Direct","CRONUS JetCorp USA","32","1","78902"</v>
      </c>
      <c r="H815" s="40">
        <v>43475</v>
      </c>
      <c r="I815" s="41">
        <v>78902</v>
      </c>
      <c r="J815" s="42" t="str">
        <f>"Customer"</f>
        <v>Customer</v>
      </c>
      <c r="K815" s="42" t="str">
        <f>"C100128"</f>
        <v>C100128</v>
      </c>
      <c r="L815" s="42" t="str">
        <f>IF($J815="Customer",_xll.NL("first",$J815,"Name","No.","@@"&amp;$K815),"")</f>
        <v>Solar Tech</v>
      </c>
      <c r="M815" s="42" t="str">
        <f>""</f>
        <v/>
      </c>
      <c r="N815" s="42" t="str">
        <f>IF($J815="Item",_xll.NL("first",$J815,"Description","No.","@@"&amp;$K815),"")</f>
        <v/>
      </c>
      <c r="O815" s="43">
        <v>0</v>
      </c>
      <c r="P815" s="43">
        <v>-144</v>
      </c>
      <c r="Q815" s="43">
        <v>0</v>
      </c>
      <c r="R815" s="43">
        <v>0</v>
      </c>
      <c r="S815" s="43">
        <v>0</v>
      </c>
      <c r="T815" s="43">
        <v>0</v>
      </c>
      <c r="U815" s="56"/>
    </row>
    <row r="816" spans="1:21" ht="17.25" customHeight="1" x14ac:dyDescent="0.3">
      <c r="A816" s="15" t="s">
        <v>30</v>
      </c>
      <c r="C816" s="19"/>
      <c r="D816" s="33"/>
      <c r="E816" s="33"/>
      <c r="F816" s="34"/>
      <c r="G816" s="34"/>
      <c r="H816" s="34"/>
      <c r="I816" s="34"/>
      <c r="J816" s="34"/>
      <c r="K816" s="34"/>
      <c r="L816" s="34"/>
      <c r="M816" s="34"/>
      <c r="N816" s="34"/>
      <c r="O816" s="44"/>
      <c r="P816" s="44"/>
      <c r="Q816" s="44"/>
      <c r="R816" s="44"/>
      <c r="S816" s="44"/>
      <c r="T816" s="44"/>
      <c r="U816" s="57"/>
    </row>
    <row r="817" spans="1:21" ht="17.25" customHeight="1" x14ac:dyDescent="0.3">
      <c r="A817" s="15" t="s">
        <v>30</v>
      </c>
      <c r="C817" s="19"/>
      <c r="D817" s="33"/>
      <c r="E817" s="33" t="s">
        <v>31</v>
      </c>
      <c r="F817" s="34" t="s">
        <v>31</v>
      </c>
      <c r="G817" s="34" t="s">
        <v>31</v>
      </c>
      <c r="H817" s="34"/>
      <c r="I817" s="34"/>
      <c r="J817" s="34" t="s">
        <v>31</v>
      </c>
      <c r="K817" s="34" t="s">
        <v>31</v>
      </c>
      <c r="L817" s="34" t="s">
        <v>31</v>
      </c>
      <c r="M817" s="34" t="s">
        <v>31</v>
      </c>
      <c r="N817" s="34"/>
      <c r="U817" s="58"/>
    </row>
    <row r="818" spans="1:21" ht="20.25" customHeight="1" x14ac:dyDescent="0.35">
      <c r="A818" s="15" t="s">
        <v>30</v>
      </c>
      <c r="C818" s="19"/>
      <c r="D818" s="35" t="str">
        <f t="shared" ref="D818" si="205">E818</f>
        <v>C100062</v>
      </c>
      <c r="E818" s="36" t="str">
        <f>"C100062"</f>
        <v>C100062</v>
      </c>
      <c r="F818" s="37" t="str">
        <f>"Tall Matte Finish Mug"</f>
        <v>Tall Matte Finish Mug</v>
      </c>
      <c r="G818" s="37"/>
      <c r="H818" s="38" t="str">
        <f>"EA"</f>
        <v>EA</v>
      </c>
      <c r="I818" s="37"/>
      <c r="J818" s="37"/>
      <c r="K818" s="37"/>
      <c r="L818" s="37"/>
      <c r="M818" s="37"/>
      <c r="N818" s="37"/>
      <c r="O818" s="39">
        <f>(SUBTOTAL(9,O819:O827))</f>
        <v>3250</v>
      </c>
      <c r="P818" s="39">
        <f>(SUBTOTAL(9,P819:P827))</f>
        <v>-287</v>
      </c>
      <c r="Q818" s="39">
        <f>(SUBTOTAL(9,Q819:Q827))</f>
        <v>0</v>
      </c>
      <c r="R818" s="39">
        <f>(SUBTOTAL(9,R819:R827))</f>
        <v>0</v>
      </c>
      <c r="S818" s="39">
        <f>(SUBTOTAL(9,S819:S827))</f>
        <v>0</v>
      </c>
      <c r="T818" s="39">
        <f>(SUBTOTAL(9,T819:T827))</f>
        <v>0</v>
      </c>
      <c r="U818" s="55">
        <f t="shared" ref="U818" si="206">SUBTOTAL(9,O819:T827)</f>
        <v>2963</v>
      </c>
    </row>
    <row r="819" spans="1:21" ht="17.25" customHeight="1" x14ac:dyDescent="0.3">
      <c r="A819" s="15" t="s">
        <v>30</v>
      </c>
      <c r="C819" s="19"/>
      <c r="D819" s="33" t="str">
        <f t="shared" ref="D819" si="207">D818</f>
        <v>C100062</v>
      </c>
      <c r="E819" s="33"/>
      <c r="F819" s="34"/>
      <c r="G819" s="34" t="str">
        <f>"""NAV Direct"",""CRONUS JetCorp USA"",""32"",""1"",""168618"""</f>
        <v>"NAV Direct","CRONUS JetCorp USA","32","1","168618"</v>
      </c>
      <c r="H819" s="40">
        <v>43466</v>
      </c>
      <c r="I819" s="41">
        <v>168618</v>
      </c>
      <c r="J819" s="42" t="str">
        <f>"Vendor"</f>
        <v>Vendor</v>
      </c>
      <c r="K819" s="42" t="str">
        <f>"V100040"</f>
        <v>V100040</v>
      </c>
      <c r="L819" s="42" t="str">
        <f>IF($J819="Customer",_xll.NL("first",$J819,"Name","No.","@@"&amp;$K819),"")</f>
        <v/>
      </c>
      <c r="M819" s="42" t="str">
        <f>"Technische Betriebe Rotkreuz"</f>
        <v>Technische Betriebe Rotkreuz</v>
      </c>
      <c r="N819" s="42" t="str">
        <f>IF($J819="Item",_xll.NL("first",$J819,"Description","No.","@@"&amp;$K819),"")</f>
        <v/>
      </c>
      <c r="O819" s="43">
        <v>249.99999999999997</v>
      </c>
      <c r="P819" s="43">
        <v>0</v>
      </c>
      <c r="Q819" s="43">
        <v>0</v>
      </c>
      <c r="R819" s="43">
        <v>0</v>
      </c>
      <c r="S819" s="43">
        <v>0</v>
      </c>
      <c r="T819" s="43">
        <v>0</v>
      </c>
      <c r="U819" s="56"/>
    </row>
    <row r="820" spans="1:21" ht="17.25" customHeight="1" x14ac:dyDescent="0.3">
      <c r="A820" s="15" t="s">
        <v>30</v>
      </c>
      <c r="C820" s="19"/>
      <c r="D820" s="33" t="str">
        <f t="shared" ref="D820:D826" si="208">D819</f>
        <v>C100062</v>
      </c>
      <c r="E820" s="33"/>
      <c r="F820" s="34"/>
      <c r="G820" s="34" t="str">
        <f>"""NAV Direct"",""CRONUS JetCorp USA"",""32"",""1"",""168645"""</f>
        <v>"NAV Direct","CRONUS JetCorp USA","32","1","168645"</v>
      </c>
      <c r="H820" s="40">
        <v>43466</v>
      </c>
      <c r="I820" s="41">
        <v>168645</v>
      </c>
      <c r="J820" s="42" t="str">
        <f>"Vendor"</f>
        <v>Vendor</v>
      </c>
      <c r="K820" s="42" t="str">
        <f>"V100001"</f>
        <v>V100001</v>
      </c>
      <c r="L820" s="42" t="str">
        <f>IF($J820="Customer",_xll.NL("first",$J820,"Name","No.","@@"&amp;$K820),"")</f>
        <v/>
      </c>
      <c r="M820" s="42" t="str">
        <f>"Greigner, Inc."</f>
        <v>Greigner, Inc.</v>
      </c>
      <c r="N820" s="42" t="str">
        <f>IF($J820="Item",_xll.NL("first",$J820,"Description","No.","@@"&amp;$K820),"")</f>
        <v/>
      </c>
      <c r="O820" s="43">
        <v>1500</v>
      </c>
      <c r="P820" s="43">
        <v>0</v>
      </c>
      <c r="Q820" s="43">
        <v>0</v>
      </c>
      <c r="R820" s="43">
        <v>0</v>
      </c>
      <c r="S820" s="43">
        <v>0</v>
      </c>
      <c r="T820" s="43">
        <v>0</v>
      </c>
      <c r="U820" s="56"/>
    </row>
    <row r="821" spans="1:21" ht="17.25" customHeight="1" x14ac:dyDescent="0.3">
      <c r="A821" s="15" t="s">
        <v>30</v>
      </c>
      <c r="C821" s="19"/>
      <c r="D821" s="33" t="str">
        <f t="shared" si="208"/>
        <v>C100062</v>
      </c>
      <c r="E821" s="33"/>
      <c r="F821" s="34"/>
      <c r="G821" s="34" t="str">
        <f>"""NAV Direct"",""CRONUS JetCorp USA"",""32"",""1"",""168652"""</f>
        <v>"NAV Direct","CRONUS JetCorp USA","32","1","168652"</v>
      </c>
      <c r="H821" s="40">
        <v>43466</v>
      </c>
      <c r="I821" s="41">
        <v>168652</v>
      </c>
      <c r="J821" s="42" t="str">
        <f>"Vendor"</f>
        <v>Vendor</v>
      </c>
      <c r="K821" s="42" t="str">
        <f>"V100047"</f>
        <v>V100047</v>
      </c>
      <c r="L821" s="42" t="str">
        <f>IF($J821="Customer",_xll.NL("first",$J821,"Name","No.","@@"&amp;$K821),"")</f>
        <v/>
      </c>
      <c r="M821" s="42" t="str">
        <f>"WoodMart Supply Co."</f>
        <v>WoodMart Supply Co.</v>
      </c>
      <c r="N821" s="42" t="str">
        <f>IF($J821="Item",_xll.NL("first",$J821,"Description","No.","@@"&amp;$K821),"")</f>
        <v/>
      </c>
      <c r="O821" s="43">
        <v>499.99999999999994</v>
      </c>
      <c r="P821" s="43">
        <v>0</v>
      </c>
      <c r="Q821" s="43">
        <v>0</v>
      </c>
      <c r="R821" s="43">
        <v>0</v>
      </c>
      <c r="S821" s="43">
        <v>0</v>
      </c>
      <c r="T821" s="43">
        <v>0</v>
      </c>
      <c r="U821" s="56"/>
    </row>
    <row r="822" spans="1:21" ht="17.25" customHeight="1" x14ac:dyDescent="0.3">
      <c r="A822" s="15" t="s">
        <v>30</v>
      </c>
      <c r="C822" s="19"/>
      <c r="D822" s="33" t="str">
        <f t="shared" si="208"/>
        <v>C100062</v>
      </c>
      <c r="E822" s="33"/>
      <c r="F822" s="34"/>
      <c r="G822" s="34" t="str">
        <f>"""NAV Direct"",""CRONUS JetCorp USA"",""32"",""1"",""168669"""</f>
        <v>"NAV Direct","CRONUS JetCorp USA","32","1","168669"</v>
      </c>
      <c r="H822" s="40">
        <v>43466</v>
      </c>
      <c r="I822" s="41">
        <v>168669</v>
      </c>
      <c r="J822" s="42" t="str">
        <f>"Vendor"</f>
        <v>Vendor</v>
      </c>
      <c r="K822" s="42" t="str">
        <f>"V100003"</f>
        <v>V100003</v>
      </c>
      <c r="L822" s="42" t="str">
        <f>IF($J822="Customer",_xll.NL("first",$J822,"Name","No.","@@"&amp;$K822),"")</f>
        <v/>
      </c>
      <c r="M822" s="42" t="str">
        <f>"LogoMasters"</f>
        <v>LogoMasters</v>
      </c>
      <c r="N822" s="42" t="str">
        <f>IF($J822="Item",_xll.NL("first",$J822,"Description","No.","@@"&amp;$K822),"")</f>
        <v/>
      </c>
      <c r="O822" s="43">
        <v>750</v>
      </c>
      <c r="P822" s="43">
        <v>0</v>
      </c>
      <c r="Q822" s="43">
        <v>0</v>
      </c>
      <c r="R822" s="43">
        <v>0</v>
      </c>
      <c r="S822" s="43">
        <v>0</v>
      </c>
      <c r="T822" s="43">
        <v>0</v>
      </c>
      <c r="U822" s="56"/>
    </row>
    <row r="823" spans="1:21" ht="17.25" customHeight="1" x14ac:dyDescent="0.3">
      <c r="A823" s="15" t="s">
        <v>30</v>
      </c>
      <c r="C823" s="19"/>
      <c r="D823" s="33" t="str">
        <f t="shared" si="208"/>
        <v>C100062</v>
      </c>
      <c r="E823" s="33"/>
      <c r="F823" s="34"/>
      <c r="G823" s="34" t="str">
        <f>"""NAV Direct"",""CRONUS JetCorp USA"",""32"",""1"",""168681"""</f>
        <v>"NAV Direct","CRONUS JetCorp USA","32","1","168681"</v>
      </c>
      <c r="H823" s="40">
        <v>43466</v>
      </c>
      <c r="I823" s="41">
        <v>168681</v>
      </c>
      <c r="J823" s="42" t="str">
        <f>"Vendor"</f>
        <v>Vendor</v>
      </c>
      <c r="K823" s="42" t="str">
        <f>"V100001"</f>
        <v>V100001</v>
      </c>
      <c r="L823" s="42" t="str">
        <f>IF($J823="Customer",_xll.NL("first",$J823,"Name","No.","@@"&amp;$K823),"")</f>
        <v/>
      </c>
      <c r="M823" s="42" t="str">
        <f>"Greigner, Inc."</f>
        <v>Greigner, Inc.</v>
      </c>
      <c r="N823" s="42" t="str">
        <f>IF($J823="Item",_xll.NL("first",$J823,"Description","No.","@@"&amp;$K823),"")</f>
        <v/>
      </c>
      <c r="O823" s="43">
        <v>249.99999999999997</v>
      </c>
      <c r="P823" s="43">
        <v>0</v>
      </c>
      <c r="Q823" s="43">
        <v>0</v>
      </c>
      <c r="R823" s="43">
        <v>0</v>
      </c>
      <c r="S823" s="43">
        <v>0</v>
      </c>
      <c r="T823" s="43">
        <v>0</v>
      </c>
      <c r="U823" s="56"/>
    </row>
    <row r="824" spans="1:21" ht="17.25" customHeight="1" x14ac:dyDescent="0.3">
      <c r="A824" s="15" t="s">
        <v>30</v>
      </c>
      <c r="C824" s="19"/>
      <c r="D824" s="33" t="str">
        <f t="shared" si="208"/>
        <v>C100062</v>
      </c>
      <c r="E824" s="33"/>
      <c r="F824" s="34"/>
      <c r="G824" s="34" t="str">
        <f>"""NAV Direct"",""CRONUS JetCorp USA"",""32"",""1"",""72521"""</f>
        <v>"NAV Direct","CRONUS JetCorp USA","32","1","72521"</v>
      </c>
      <c r="H824" s="40">
        <v>43471</v>
      </c>
      <c r="I824" s="41">
        <v>72521</v>
      </c>
      <c r="J824" s="42" t="str">
        <f>"Customer"</f>
        <v>Customer</v>
      </c>
      <c r="K824" s="42" t="str">
        <f>"C100107"</f>
        <v>C100107</v>
      </c>
      <c r="L824" s="42" t="str">
        <f>IF($J824="Customer",_xll.NL("first",$J824,"Name","No.","@@"&amp;$K824),"")</f>
        <v>Lexitechnology</v>
      </c>
      <c r="M824" s="42" t="str">
        <f>""</f>
        <v/>
      </c>
      <c r="N824" s="42" t="str">
        <f>IF($J824="Item",_xll.NL("first",$J824,"Description","No.","@@"&amp;$K824),"")</f>
        <v/>
      </c>
      <c r="O824" s="43">
        <v>0</v>
      </c>
      <c r="P824" s="43">
        <v>-144</v>
      </c>
      <c r="Q824" s="43">
        <v>0</v>
      </c>
      <c r="R824" s="43">
        <v>0</v>
      </c>
      <c r="S824" s="43">
        <v>0</v>
      </c>
      <c r="T824" s="43">
        <v>0</v>
      </c>
      <c r="U824" s="56"/>
    </row>
    <row r="825" spans="1:21" ht="17.25" customHeight="1" x14ac:dyDescent="0.3">
      <c r="A825" s="15" t="s">
        <v>30</v>
      </c>
      <c r="C825" s="19"/>
      <c r="D825" s="33" t="str">
        <f t="shared" si="208"/>
        <v>C100062</v>
      </c>
      <c r="E825" s="33"/>
      <c r="F825" s="34"/>
      <c r="G825" s="34" t="str">
        <f>"""NAV Direct"",""CRONUS JetCorp USA"",""32"",""1"",""54736"""</f>
        <v>"NAV Direct","CRONUS JetCorp USA","32","1","54736"</v>
      </c>
      <c r="H825" s="40">
        <v>43472</v>
      </c>
      <c r="I825" s="41">
        <v>54736</v>
      </c>
      <c r="J825" s="42" t="str">
        <f>"Customer"</f>
        <v>Customer</v>
      </c>
      <c r="K825" s="42" t="str">
        <f>"C100084"</f>
        <v>C100084</v>
      </c>
      <c r="L825" s="42" t="str">
        <f>IF($J825="Customer",_xll.NL("first",$J825,"Name","No.","@@"&amp;$K825),"")</f>
        <v>The Cannon Group PLC</v>
      </c>
      <c r="M825" s="42" t="str">
        <f>""</f>
        <v/>
      </c>
      <c r="N825" s="42" t="str">
        <f>IF($J825="Item",_xll.NL("first",$J825,"Description","No.","@@"&amp;$K825),"")</f>
        <v/>
      </c>
      <c r="O825" s="43">
        <v>0</v>
      </c>
      <c r="P825" s="43">
        <v>-144</v>
      </c>
      <c r="Q825" s="43">
        <v>0</v>
      </c>
      <c r="R825" s="43">
        <v>0</v>
      </c>
      <c r="S825" s="43">
        <v>0</v>
      </c>
      <c r="T825" s="43">
        <v>0</v>
      </c>
      <c r="U825" s="56"/>
    </row>
    <row r="826" spans="1:21" ht="17.25" customHeight="1" x14ac:dyDescent="0.3">
      <c r="A826" s="15" t="s">
        <v>30</v>
      </c>
      <c r="C826" s="19"/>
      <c r="D826" s="33" t="str">
        <f t="shared" si="208"/>
        <v>C100062</v>
      </c>
      <c r="E826" s="33"/>
      <c r="F826" s="34"/>
      <c r="G826" s="34" t="str">
        <f>"""NAV Direct"",""CRONUS JetCorp USA"",""32"",""1"",""159981"""</f>
        <v>"NAV Direct","CRONUS JetCorp USA","32","1","159981"</v>
      </c>
      <c r="H826" s="40">
        <v>43474</v>
      </c>
      <c r="I826" s="41">
        <v>159981</v>
      </c>
      <c r="J826" s="42" t="str">
        <f>"Customer"</f>
        <v>Customer</v>
      </c>
      <c r="K826" s="42" t="str">
        <f>"C100107"</f>
        <v>C100107</v>
      </c>
      <c r="L826" s="42" t="str">
        <f>IF($J826="Customer",_xll.NL("first",$J826,"Name","No.","@@"&amp;$K826),"")</f>
        <v>Lexitechnology</v>
      </c>
      <c r="M826" s="42" t="str">
        <f>""</f>
        <v/>
      </c>
      <c r="N826" s="42" t="str">
        <f>IF($J826="Item",_xll.NL("first",$J826,"Description","No.","@@"&amp;$K826),"")</f>
        <v/>
      </c>
      <c r="O826" s="43">
        <v>0</v>
      </c>
      <c r="P826" s="43">
        <v>1</v>
      </c>
      <c r="Q826" s="43">
        <v>0</v>
      </c>
      <c r="R826" s="43">
        <v>0</v>
      </c>
      <c r="S826" s="43">
        <v>0</v>
      </c>
      <c r="T826" s="43">
        <v>0</v>
      </c>
      <c r="U826" s="56"/>
    </row>
    <row r="827" spans="1:21" ht="17.25" customHeight="1" x14ac:dyDescent="0.3">
      <c r="A827" s="15" t="s">
        <v>30</v>
      </c>
      <c r="C827" s="19"/>
      <c r="D827" s="33"/>
      <c r="E827" s="33"/>
      <c r="F827" s="34"/>
      <c r="G827" s="34"/>
      <c r="H827" s="34"/>
      <c r="I827" s="34"/>
      <c r="J827" s="34"/>
      <c r="K827" s="34"/>
      <c r="L827" s="34"/>
      <c r="M827" s="34"/>
      <c r="N827" s="34"/>
      <c r="O827" s="44"/>
      <c r="P827" s="44"/>
      <c r="Q827" s="44"/>
      <c r="R827" s="44"/>
      <c r="S827" s="44"/>
      <c r="T827" s="44"/>
      <c r="U827" s="57"/>
    </row>
    <row r="828" spans="1:21" ht="17.25" customHeight="1" x14ac:dyDescent="0.3">
      <c r="A828" s="15" t="s">
        <v>30</v>
      </c>
      <c r="C828" s="19"/>
      <c r="D828" s="33"/>
      <c r="E828" s="33" t="s">
        <v>31</v>
      </c>
      <c r="F828" s="34" t="s">
        <v>31</v>
      </c>
      <c r="G828" s="34" t="s">
        <v>31</v>
      </c>
      <c r="H828" s="34"/>
      <c r="I828" s="34"/>
      <c r="J828" s="34" t="s">
        <v>31</v>
      </c>
      <c r="K828" s="34" t="s">
        <v>31</v>
      </c>
      <c r="L828" s="34" t="s">
        <v>31</v>
      </c>
      <c r="M828" s="34" t="s">
        <v>31</v>
      </c>
      <c r="N828" s="34"/>
      <c r="U828" s="58"/>
    </row>
    <row r="829" spans="1:21" ht="20.25" customHeight="1" x14ac:dyDescent="0.35">
      <c r="A829" s="15" t="s">
        <v>30</v>
      </c>
      <c r="C829" s="19"/>
      <c r="D829" s="35" t="str">
        <f t="shared" ref="D829" si="209">E829</f>
        <v>C100063</v>
      </c>
      <c r="E829" s="36" t="str">
        <f>"C100063"</f>
        <v>C100063</v>
      </c>
      <c r="F829" s="37" t="str">
        <f>"Soup Mug"</f>
        <v>Soup Mug</v>
      </c>
      <c r="G829" s="37"/>
      <c r="H829" s="38" t="str">
        <f>"EA"</f>
        <v>EA</v>
      </c>
      <c r="I829" s="37"/>
      <c r="J829" s="37"/>
      <c r="K829" s="37"/>
      <c r="L829" s="37"/>
      <c r="M829" s="37"/>
      <c r="N829" s="37"/>
      <c r="O829" s="39">
        <f>(SUBTOTAL(9,O830:O836))</f>
        <v>3499.9999999999995</v>
      </c>
      <c r="P829" s="39">
        <f>(SUBTOTAL(9,P830:P836))</f>
        <v>-120</v>
      </c>
      <c r="Q829" s="39">
        <f>(SUBTOTAL(9,Q830:Q836))</f>
        <v>0</v>
      </c>
      <c r="R829" s="39">
        <f>(SUBTOTAL(9,R830:R836))</f>
        <v>0</v>
      </c>
      <c r="S829" s="39">
        <f>(SUBTOTAL(9,S830:S836))</f>
        <v>0</v>
      </c>
      <c r="T829" s="39">
        <f>(SUBTOTAL(9,T830:T836))</f>
        <v>0</v>
      </c>
      <c r="U829" s="55">
        <f t="shared" ref="U829" si="210">SUBTOTAL(9,O830:T836)</f>
        <v>3379.9999999999995</v>
      </c>
    </row>
    <row r="830" spans="1:21" ht="17.25" customHeight="1" x14ac:dyDescent="0.3">
      <c r="A830" s="15" t="s">
        <v>30</v>
      </c>
      <c r="C830" s="19"/>
      <c r="D830" s="33" t="str">
        <f t="shared" ref="D830" si="211">D829</f>
        <v>C100063</v>
      </c>
      <c r="E830" s="33"/>
      <c r="F830" s="34"/>
      <c r="G830" s="34" t="str">
        <f>"""NAV Direct"",""CRONUS JetCorp USA"",""32"",""1"",""168628"""</f>
        <v>"NAV Direct","CRONUS JetCorp USA","32","1","168628"</v>
      </c>
      <c r="H830" s="40">
        <v>43466</v>
      </c>
      <c r="I830" s="41">
        <v>168628</v>
      </c>
      <c r="J830" s="42" t="str">
        <f>"Vendor"</f>
        <v>Vendor</v>
      </c>
      <c r="K830" s="42" t="str">
        <f>"V100007"</f>
        <v>V100007</v>
      </c>
      <c r="L830" s="42" t="str">
        <f>IF($J830="Customer",_xll.NL("first",$J830,"Name","No.","@@"&amp;$K830),"")</f>
        <v/>
      </c>
      <c r="M830" s="42" t="str">
        <f>"TrendTech"</f>
        <v>TrendTech</v>
      </c>
      <c r="N830" s="42" t="str">
        <f>IF($J830="Item",_xll.NL("first",$J830,"Description","No.","@@"&amp;$K830),"")</f>
        <v/>
      </c>
      <c r="O830" s="43">
        <v>249.99999999999997</v>
      </c>
      <c r="P830" s="43">
        <v>0</v>
      </c>
      <c r="Q830" s="43">
        <v>0</v>
      </c>
      <c r="R830" s="43">
        <v>0</v>
      </c>
      <c r="S830" s="43">
        <v>0</v>
      </c>
      <c r="T830" s="43">
        <v>0</v>
      </c>
      <c r="U830" s="56"/>
    </row>
    <row r="831" spans="1:21" ht="17.25" customHeight="1" x14ac:dyDescent="0.3">
      <c r="A831" s="15" t="s">
        <v>30</v>
      </c>
      <c r="C831" s="19"/>
      <c r="D831" s="33" t="str">
        <f t="shared" ref="D831:D835" si="212">D830</f>
        <v>C100063</v>
      </c>
      <c r="E831" s="33"/>
      <c r="F831" s="34"/>
      <c r="G831" s="34" t="str">
        <f>"""NAV Direct"",""CRONUS JetCorp USA"",""32"",""1"",""168644"""</f>
        <v>"NAV Direct","CRONUS JetCorp USA","32","1","168644"</v>
      </c>
      <c r="H831" s="40">
        <v>43466</v>
      </c>
      <c r="I831" s="41">
        <v>168644</v>
      </c>
      <c r="J831" s="42" t="str">
        <f>"Vendor"</f>
        <v>Vendor</v>
      </c>
      <c r="K831" s="42" t="str">
        <f>"V100001"</f>
        <v>V100001</v>
      </c>
      <c r="L831" s="42" t="str">
        <f>IF($J831="Customer",_xll.NL("first",$J831,"Name","No.","@@"&amp;$K831),"")</f>
        <v/>
      </c>
      <c r="M831" s="42" t="str">
        <f>"Greigner, Inc."</f>
        <v>Greigner, Inc.</v>
      </c>
      <c r="N831" s="42" t="str">
        <f>IF($J831="Item",_xll.NL("first",$J831,"Description","No.","@@"&amp;$K831),"")</f>
        <v/>
      </c>
      <c r="O831" s="43">
        <v>1999.9999999999998</v>
      </c>
      <c r="P831" s="43">
        <v>0</v>
      </c>
      <c r="Q831" s="43">
        <v>0</v>
      </c>
      <c r="R831" s="43">
        <v>0</v>
      </c>
      <c r="S831" s="43">
        <v>0</v>
      </c>
      <c r="T831" s="43">
        <v>0</v>
      </c>
      <c r="U831" s="56"/>
    </row>
    <row r="832" spans="1:21" ht="17.25" customHeight="1" x14ac:dyDescent="0.3">
      <c r="A832" s="15" t="s">
        <v>30</v>
      </c>
      <c r="C832" s="19"/>
      <c r="D832" s="33" t="str">
        <f t="shared" si="212"/>
        <v>C100063</v>
      </c>
      <c r="E832" s="33"/>
      <c r="F832" s="34"/>
      <c r="G832" s="34" t="str">
        <f>"""NAV Direct"",""CRONUS JetCorp USA"",""32"",""1"",""168651"""</f>
        <v>"NAV Direct","CRONUS JetCorp USA","32","1","168651"</v>
      </c>
      <c r="H832" s="40">
        <v>43466</v>
      </c>
      <c r="I832" s="41">
        <v>168651</v>
      </c>
      <c r="J832" s="42" t="str">
        <f>"Vendor"</f>
        <v>Vendor</v>
      </c>
      <c r="K832" s="42" t="str">
        <f>"V100047"</f>
        <v>V100047</v>
      </c>
      <c r="L832" s="42" t="str">
        <f>IF($J832="Customer",_xll.NL("first",$J832,"Name","No.","@@"&amp;$K832),"")</f>
        <v/>
      </c>
      <c r="M832" s="42" t="str">
        <f>"WoodMart Supply Co."</f>
        <v>WoodMart Supply Co.</v>
      </c>
      <c r="N832" s="42" t="str">
        <f>IF($J832="Item",_xll.NL("first",$J832,"Description","No.","@@"&amp;$K832),"")</f>
        <v/>
      </c>
      <c r="O832" s="43">
        <v>249.99999999999997</v>
      </c>
      <c r="P832" s="43">
        <v>0</v>
      </c>
      <c r="Q832" s="43">
        <v>0</v>
      </c>
      <c r="R832" s="43">
        <v>0</v>
      </c>
      <c r="S832" s="43">
        <v>0</v>
      </c>
      <c r="T832" s="43">
        <v>0</v>
      </c>
      <c r="U832" s="56"/>
    </row>
    <row r="833" spans="1:21" ht="17.25" customHeight="1" x14ac:dyDescent="0.3">
      <c r="A833" s="15" t="s">
        <v>30</v>
      </c>
      <c r="C833" s="19"/>
      <c r="D833" s="33" t="str">
        <f t="shared" si="212"/>
        <v>C100063</v>
      </c>
      <c r="E833" s="33"/>
      <c r="F833" s="34"/>
      <c r="G833" s="34" t="str">
        <f>"""NAV Direct"",""CRONUS JetCorp USA"",""32"",""1"",""168668"""</f>
        <v>"NAV Direct","CRONUS JetCorp USA","32","1","168668"</v>
      </c>
      <c r="H833" s="40">
        <v>43466</v>
      </c>
      <c r="I833" s="41">
        <v>168668</v>
      </c>
      <c r="J833" s="42" t="str">
        <f>"Vendor"</f>
        <v>Vendor</v>
      </c>
      <c r="K833" s="42" t="str">
        <f>"V100003"</f>
        <v>V100003</v>
      </c>
      <c r="L833" s="42" t="str">
        <f>IF($J833="Customer",_xll.NL("first",$J833,"Name","No.","@@"&amp;$K833),"")</f>
        <v/>
      </c>
      <c r="M833" s="42" t="str">
        <f>"LogoMasters"</f>
        <v>LogoMasters</v>
      </c>
      <c r="N833" s="42" t="str">
        <f>IF($J833="Item",_xll.NL("first",$J833,"Description","No.","@@"&amp;$K833),"")</f>
        <v/>
      </c>
      <c r="O833" s="43">
        <v>999.99999999999989</v>
      </c>
      <c r="P833" s="43">
        <v>0</v>
      </c>
      <c r="Q833" s="43">
        <v>0</v>
      </c>
      <c r="R833" s="43">
        <v>0</v>
      </c>
      <c r="S833" s="43">
        <v>0</v>
      </c>
      <c r="T833" s="43">
        <v>0</v>
      </c>
      <c r="U833" s="56"/>
    </row>
    <row r="834" spans="1:21" ht="17.25" customHeight="1" x14ac:dyDescent="0.3">
      <c r="A834" s="15" t="s">
        <v>30</v>
      </c>
      <c r="C834" s="19"/>
      <c r="D834" s="33" t="str">
        <f t="shared" si="212"/>
        <v>C100063</v>
      </c>
      <c r="E834" s="33"/>
      <c r="F834" s="34"/>
      <c r="G834" s="34" t="str">
        <f>"""NAV Direct"",""CRONUS JetCorp USA"",""32"",""1"",""64584"""</f>
        <v>"NAV Direct","CRONUS JetCorp USA","32","1","64584"</v>
      </c>
      <c r="H834" s="40">
        <v>43469</v>
      </c>
      <c r="I834" s="41">
        <v>64584</v>
      </c>
      <c r="J834" s="42" t="str">
        <f>"Customer"</f>
        <v>Customer</v>
      </c>
      <c r="K834" s="42" t="str">
        <f>"C100140"</f>
        <v>C100140</v>
      </c>
      <c r="L834" s="42" t="str">
        <f>IF($J834="Customer",_xll.NL("first",$J834,"Name","No.","@@"&amp;$K834),"")</f>
        <v>Super Daves</v>
      </c>
      <c r="M834" s="42" t="str">
        <f>""</f>
        <v/>
      </c>
      <c r="N834" s="42" t="str">
        <f>IF($J834="Item",_xll.NL("first",$J834,"Description","No.","@@"&amp;$K834),"")</f>
        <v/>
      </c>
      <c r="O834" s="43">
        <v>0</v>
      </c>
      <c r="P834" s="43">
        <v>-144</v>
      </c>
      <c r="Q834" s="43">
        <v>0</v>
      </c>
      <c r="R834" s="43">
        <v>0</v>
      </c>
      <c r="S834" s="43">
        <v>0</v>
      </c>
      <c r="T834" s="43">
        <v>0</v>
      </c>
      <c r="U834" s="56"/>
    </row>
    <row r="835" spans="1:21" ht="17.25" customHeight="1" x14ac:dyDescent="0.3">
      <c r="A835" s="15" t="s">
        <v>30</v>
      </c>
      <c r="C835" s="19"/>
      <c r="D835" s="33" t="str">
        <f t="shared" si="212"/>
        <v>C100063</v>
      </c>
      <c r="E835" s="33"/>
      <c r="F835" s="34"/>
      <c r="G835" s="34" t="str">
        <f>"""NAV Direct"",""CRONUS JetCorp USA"",""32"",""1"",""159984"""</f>
        <v>"NAV Direct","CRONUS JetCorp USA","32","1","159984"</v>
      </c>
      <c r="H835" s="40">
        <v>43475</v>
      </c>
      <c r="I835" s="41">
        <v>159984</v>
      </c>
      <c r="J835" s="42" t="str">
        <f>"Customer"</f>
        <v>Customer</v>
      </c>
      <c r="K835" s="42" t="str">
        <f>"C100058"</f>
        <v>C100058</v>
      </c>
      <c r="L835" s="42" t="str">
        <f>IF($J835="Customer",_xll.NL("first",$J835,"Name","No.","@@"&amp;$K835),"")</f>
        <v>Marsholm Karmstol</v>
      </c>
      <c r="M835" s="42" t="str">
        <f>""</f>
        <v/>
      </c>
      <c r="N835" s="42" t="str">
        <f>IF($J835="Item",_xll.NL("first",$J835,"Description","No.","@@"&amp;$K835),"")</f>
        <v/>
      </c>
      <c r="O835" s="43">
        <v>0</v>
      </c>
      <c r="P835" s="43">
        <v>24</v>
      </c>
      <c r="Q835" s="43">
        <v>0</v>
      </c>
      <c r="R835" s="43">
        <v>0</v>
      </c>
      <c r="S835" s="43">
        <v>0</v>
      </c>
      <c r="T835" s="43">
        <v>0</v>
      </c>
      <c r="U835" s="56"/>
    </row>
    <row r="836" spans="1:21" ht="17.25" customHeight="1" x14ac:dyDescent="0.3">
      <c r="A836" s="15" t="s">
        <v>30</v>
      </c>
      <c r="C836" s="19"/>
      <c r="D836" s="33"/>
      <c r="E836" s="33"/>
      <c r="F836" s="34"/>
      <c r="G836" s="34"/>
      <c r="H836" s="34"/>
      <c r="I836" s="34"/>
      <c r="J836" s="34"/>
      <c r="K836" s="34"/>
      <c r="L836" s="34"/>
      <c r="M836" s="34"/>
      <c r="N836" s="34"/>
      <c r="O836" s="44"/>
      <c r="P836" s="44"/>
      <c r="Q836" s="44"/>
      <c r="R836" s="44"/>
      <c r="S836" s="44"/>
      <c r="T836" s="44"/>
      <c r="U836" s="57"/>
    </row>
    <row r="837" spans="1:21" ht="17.25" customHeight="1" x14ac:dyDescent="0.3">
      <c r="A837" s="15" t="s">
        <v>30</v>
      </c>
      <c r="C837" s="19"/>
      <c r="D837" s="33"/>
      <c r="E837" s="33" t="s">
        <v>31</v>
      </c>
      <c r="F837" s="34" t="s">
        <v>31</v>
      </c>
      <c r="G837" s="34" t="s">
        <v>31</v>
      </c>
      <c r="H837" s="34"/>
      <c r="I837" s="34"/>
      <c r="J837" s="34" t="s">
        <v>31</v>
      </c>
      <c r="K837" s="34" t="s">
        <v>31</v>
      </c>
      <c r="L837" s="34" t="s">
        <v>31</v>
      </c>
      <c r="M837" s="34" t="s">
        <v>31</v>
      </c>
      <c r="N837" s="34"/>
      <c r="U837" s="58"/>
    </row>
    <row r="838" spans="1:21" ht="20.25" customHeight="1" x14ac:dyDescent="0.35">
      <c r="A838" s="15" t="s">
        <v>30</v>
      </c>
      <c r="C838" s="19"/>
      <c r="D838" s="35" t="str">
        <f t="shared" ref="D838" si="213">E838</f>
        <v>C100066</v>
      </c>
      <c r="E838" s="36" t="str">
        <f>"C100066"</f>
        <v>C100066</v>
      </c>
      <c r="F838" s="37" t="str">
        <f>"Fashion Travel Mug"</f>
        <v>Fashion Travel Mug</v>
      </c>
      <c r="G838" s="37"/>
      <c r="H838" s="38" t="str">
        <f>"EA"</f>
        <v>EA</v>
      </c>
      <c r="I838" s="37"/>
      <c r="J838" s="37"/>
      <c r="K838" s="37"/>
      <c r="L838" s="37"/>
      <c r="M838" s="37"/>
      <c r="N838" s="37"/>
      <c r="O838" s="39">
        <f>(SUBTOTAL(9,O839:O849))</f>
        <v>3749.9999999999995</v>
      </c>
      <c r="P838" s="39">
        <f>(SUBTOTAL(9,P839:P849))</f>
        <v>-583</v>
      </c>
      <c r="Q838" s="39">
        <f>(SUBTOTAL(9,Q839:Q849))</f>
        <v>0</v>
      </c>
      <c r="R838" s="39">
        <f>(SUBTOTAL(9,R839:R849))</f>
        <v>0</v>
      </c>
      <c r="S838" s="39">
        <f>(SUBTOTAL(9,S839:S849))</f>
        <v>0</v>
      </c>
      <c r="T838" s="39">
        <f>(SUBTOTAL(9,T839:T849))</f>
        <v>0</v>
      </c>
      <c r="U838" s="55">
        <f t="shared" ref="U838" si="214">SUBTOTAL(9,O839:T849)</f>
        <v>3166.9999999999995</v>
      </c>
    </row>
    <row r="839" spans="1:21" ht="17.25" customHeight="1" x14ac:dyDescent="0.3">
      <c r="A839" s="15" t="s">
        <v>30</v>
      </c>
      <c r="C839" s="19"/>
      <c r="D839" s="33" t="str">
        <f t="shared" ref="D839" si="215">D838</f>
        <v>C100066</v>
      </c>
      <c r="E839" s="33"/>
      <c r="F839" s="34"/>
      <c r="G839" s="34" t="str">
        <f>"""NAV Direct"",""CRONUS JetCorp USA"",""32"",""1"",""168609"""</f>
        <v>"NAV Direct","CRONUS JetCorp USA","32","1","168609"</v>
      </c>
      <c r="H839" s="40">
        <v>43466</v>
      </c>
      <c r="I839" s="41">
        <v>168609</v>
      </c>
      <c r="J839" s="42" t="str">
        <f>"Vendor"</f>
        <v>Vendor</v>
      </c>
      <c r="K839" s="42" t="str">
        <f>"V100025"</f>
        <v>V100025</v>
      </c>
      <c r="L839" s="42" t="str">
        <f>IF($J839="Customer",_xll.NL("first",$J839,"Name","No.","@@"&amp;$K839),"")</f>
        <v/>
      </c>
      <c r="M839" s="42" t="str">
        <f>"Club Euroamis"</f>
        <v>Club Euroamis</v>
      </c>
      <c r="N839" s="42" t="str">
        <f>IF($J839="Item",_xll.NL("first",$J839,"Description","No.","@@"&amp;$K839),"")</f>
        <v/>
      </c>
      <c r="O839" s="43">
        <v>249.99999999999997</v>
      </c>
      <c r="P839" s="43">
        <v>0</v>
      </c>
      <c r="Q839" s="43">
        <v>0</v>
      </c>
      <c r="R839" s="43">
        <v>0</v>
      </c>
      <c r="S839" s="43">
        <v>0</v>
      </c>
      <c r="T839" s="43">
        <v>0</v>
      </c>
      <c r="U839" s="56"/>
    </row>
    <row r="840" spans="1:21" ht="17.25" customHeight="1" x14ac:dyDescent="0.3">
      <c r="A840" s="15" t="s">
        <v>30</v>
      </c>
      <c r="C840" s="19"/>
      <c r="D840" s="33" t="str">
        <f t="shared" ref="D840:D848" si="216">D839</f>
        <v>C100066</v>
      </c>
      <c r="E840" s="33"/>
      <c r="F840" s="34"/>
      <c r="G840" s="34" t="str">
        <f>"""NAV Direct"",""CRONUS JetCorp USA"",""32"",""1"",""168643"""</f>
        <v>"NAV Direct","CRONUS JetCorp USA","32","1","168643"</v>
      </c>
      <c r="H840" s="40">
        <v>43466</v>
      </c>
      <c r="I840" s="41">
        <v>168643</v>
      </c>
      <c r="J840" s="42" t="str">
        <f>"Vendor"</f>
        <v>Vendor</v>
      </c>
      <c r="K840" s="42" t="str">
        <f>"V100001"</f>
        <v>V100001</v>
      </c>
      <c r="L840" s="42" t="str">
        <f>IF($J840="Customer",_xll.NL("first",$J840,"Name","No.","@@"&amp;$K840),"")</f>
        <v/>
      </c>
      <c r="M840" s="42" t="str">
        <f>"Greigner, Inc."</f>
        <v>Greigner, Inc.</v>
      </c>
      <c r="N840" s="42" t="str">
        <f>IF($J840="Item",_xll.NL("first",$J840,"Description","No.","@@"&amp;$K840),"")</f>
        <v/>
      </c>
      <c r="O840" s="43">
        <v>1999.9999999999998</v>
      </c>
      <c r="P840" s="43">
        <v>0</v>
      </c>
      <c r="Q840" s="43">
        <v>0</v>
      </c>
      <c r="R840" s="43">
        <v>0</v>
      </c>
      <c r="S840" s="43">
        <v>0</v>
      </c>
      <c r="T840" s="43">
        <v>0</v>
      </c>
      <c r="U840" s="56"/>
    </row>
    <row r="841" spans="1:21" ht="17.25" customHeight="1" x14ac:dyDescent="0.3">
      <c r="A841" s="15" t="s">
        <v>30</v>
      </c>
      <c r="C841" s="19"/>
      <c r="D841" s="33" t="str">
        <f t="shared" si="216"/>
        <v>C100066</v>
      </c>
      <c r="E841" s="33"/>
      <c r="F841" s="34"/>
      <c r="G841" s="34" t="str">
        <f>"""NAV Direct"",""CRONUS JetCorp USA"",""32"",""1"",""168667"""</f>
        <v>"NAV Direct","CRONUS JetCorp USA","32","1","168667"</v>
      </c>
      <c r="H841" s="40">
        <v>43466</v>
      </c>
      <c r="I841" s="41">
        <v>168667</v>
      </c>
      <c r="J841" s="42" t="str">
        <f>"Vendor"</f>
        <v>Vendor</v>
      </c>
      <c r="K841" s="42" t="str">
        <f>"V100003"</f>
        <v>V100003</v>
      </c>
      <c r="L841" s="42" t="str">
        <f>IF($J841="Customer",_xll.NL("first",$J841,"Name","No.","@@"&amp;$K841),"")</f>
        <v/>
      </c>
      <c r="M841" s="42" t="str">
        <f>"LogoMasters"</f>
        <v>LogoMasters</v>
      </c>
      <c r="N841" s="42" t="str">
        <f>IF($J841="Item",_xll.NL("first",$J841,"Description","No.","@@"&amp;$K841),"")</f>
        <v/>
      </c>
      <c r="O841" s="43">
        <v>1250</v>
      </c>
      <c r="P841" s="43">
        <v>0</v>
      </c>
      <c r="Q841" s="43">
        <v>0</v>
      </c>
      <c r="R841" s="43">
        <v>0</v>
      </c>
      <c r="S841" s="43">
        <v>0</v>
      </c>
      <c r="T841" s="43">
        <v>0</v>
      </c>
      <c r="U841" s="56"/>
    </row>
    <row r="842" spans="1:21" ht="17.25" customHeight="1" x14ac:dyDescent="0.3">
      <c r="A842" s="15" t="s">
        <v>30</v>
      </c>
      <c r="C842" s="19"/>
      <c r="D842" s="33" t="str">
        <f t="shared" si="216"/>
        <v>C100066</v>
      </c>
      <c r="E842" s="33"/>
      <c r="F842" s="34"/>
      <c r="G842" s="34" t="str">
        <f>"""NAV Direct"",""CRONUS JetCorp USA"",""32"",""1"",""168680"""</f>
        <v>"NAV Direct","CRONUS JetCorp USA","32","1","168680"</v>
      </c>
      <c r="H842" s="40">
        <v>43466</v>
      </c>
      <c r="I842" s="41">
        <v>168680</v>
      </c>
      <c r="J842" s="42" t="str">
        <f>"Vendor"</f>
        <v>Vendor</v>
      </c>
      <c r="K842" s="42" t="str">
        <f>"V100001"</f>
        <v>V100001</v>
      </c>
      <c r="L842" s="42" t="str">
        <f>IF($J842="Customer",_xll.NL("first",$J842,"Name","No.","@@"&amp;$K842),"")</f>
        <v/>
      </c>
      <c r="M842" s="42" t="str">
        <f>"Greigner, Inc."</f>
        <v>Greigner, Inc.</v>
      </c>
      <c r="N842" s="42" t="str">
        <f>IF($J842="Item",_xll.NL("first",$J842,"Description","No.","@@"&amp;$K842),"")</f>
        <v/>
      </c>
      <c r="O842" s="43">
        <v>249.99999999999997</v>
      </c>
      <c r="P842" s="43">
        <v>0</v>
      </c>
      <c r="Q842" s="43">
        <v>0</v>
      </c>
      <c r="R842" s="43">
        <v>0</v>
      </c>
      <c r="S842" s="43">
        <v>0</v>
      </c>
      <c r="T842" s="43">
        <v>0</v>
      </c>
      <c r="U842" s="56"/>
    </row>
    <row r="843" spans="1:21" ht="17.25" customHeight="1" x14ac:dyDescent="0.3">
      <c r="A843" s="15" t="s">
        <v>30</v>
      </c>
      <c r="C843" s="19"/>
      <c r="D843" s="33" t="str">
        <f t="shared" si="216"/>
        <v>C100066</v>
      </c>
      <c r="E843" s="33"/>
      <c r="F843" s="34"/>
      <c r="G843" s="34" t="str">
        <f>"""NAV Direct"",""CRONUS JetCorp USA"",""32"",""1"",""147993"""</f>
        <v>"NAV Direct","CRONUS JetCorp USA","32","1","147993"</v>
      </c>
      <c r="H843" s="40">
        <v>43469</v>
      </c>
      <c r="I843" s="41">
        <v>147993</v>
      </c>
      <c r="J843" s="42" t="str">
        <f>"Customer"</f>
        <v>Customer</v>
      </c>
      <c r="K843" s="42" t="str">
        <f>"C100096"</f>
        <v>C100096</v>
      </c>
      <c r="L843" s="42" t="str">
        <f>IF($J843="Customer",_xll.NL("first",$J843,"Name","No.","@@"&amp;$K843),"")</f>
        <v>D-Com Industries</v>
      </c>
      <c r="M843" s="42" t="str">
        <f>""</f>
        <v/>
      </c>
      <c r="N843" s="42" t="str">
        <f>IF($J843="Item",_xll.NL("first",$J843,"Description","No.","@@"&amp;$K843),"")</f>
        <v/>
      </c>
      <c r="O843" s="43">
        <v>0</v>
      </c>
      <c r="P843" s="43">
        <v>-1</v>
      </c>
      <c r="Q843" s="43">
        <v>0</v>
      </c>
      <c r="R843" s="43">
        <v>0</v>
      </c>
      <c r="S843" s="43">
        <v>0</v>
      </c>
      <c r="T843" s="43">
        <v>0</v>
      </c>
      <c r="U843" s="56"/>
    </row>
    <row r="844" spans="1:21" ht="17.25" customHeight="1" x14ac:dyDescent="0.3">
      <c r="A844" s="15" t="s">
        <v>30</v>
      </c>
      <c r="C844" s="19"/>
      <c r="D844" s="33" t="str">
        <f t="shared" si="216"/>
        <v>C100066</v>
      </c>
      <c r="E844" s="33"/>
      <c r="F844" s="34"/>
      <c r="G844" s="34" t="str">
        <f>"""NAV Direct"",""CRONUS JetCorp USA"",""32"",""1"",""72512"""</f>
        <v>"NAV Direct","CRONUS JetCorp USA","32","1","72512"</v>
      </c>
      <c r="H844" s="40">
        <v>43471</v>
      </c>
      <c r="I844" s="41">
        <v>72512</v>
      </c>
      <c r="J844" s="42" t="str">
        <f>"Customer"</f>
        <v>Customer</v>
      </c>
      <c r="K844" s="42" t="str">
        <f>"C100107"</f>
        <v>C100107</v>
      </c>
      <c r="L844" s="42" t="str">
        <f>IF($J844="Customer",_xll.NL("first",$J844,"Name","No.","@@"&amp;$K844),"")</f>
        <v>Lexitechnology</v>
      </c>
      <c r="M844" s="42" t="str">
        <f>""</f>
        <v/>
      </c>
      <c r="N844" s="42" t="str">
        <f>IF($J844="Item",_xll.NL("first",$J844,"Description","No.","@@"&amp;$K844),"")</f>
        <v/>
      </c>
      <c r="O844" s="43">
        <v>0</v>
      </c>
      <c r="P844" s="43">
        <v>-144</v>
      </c>
      <c r="Q844" s="43">
        <v>0</v>
      </c>
      <c r="R844" s="43">
        <v>0</v>
      </c>
      <c r="S844" s="43">
        <v>0</v>
      </c>
      <c r="T844" s="43">
        <v>0</v>
      </c>
      <c r="U844" s="56"/>
    </row>
    <row r="845" spans="1:21" ht="17.25" customHeight="1" x14ac:dyDescent="0.3">
      <c r="A845" s="15" t="s">
        <v>30</v>
      </c>
      <c r="C845" s="19"/>
      <c r="D845" s="33" t="str">
        <f t="shared" si="216"/>
        <v>C100066</v>
      </c>
      <c r="E845" s="33"/>
      <c r="F845" s="34"/>
      <c r="G845" s="34" t="str">
        <f>"""NAV Direct"",""CRONUS JetCorp USA"",""32"",""1"",""44466"""</f>
        <v>"NAV Direct","CRONUS JetCorp USA","32","1","44466"</v>
      </c>
      <c r="H845" s="40">
        <v>43472</v>
      </c>
      <c r="I845" s="41">
        <v>44466</v>
      </c>
      <c r="J845" s="42" t="str">
        <f>"Customer"</f>
        <v>Customer</v>
      </c>
      <c r="K845" s="42" t="str">
        <f>"C100141"</f>
        <v>C100141</v>
      </c>
      <c r="L845" s="42" t="str">
        <f>IF($J845="Customer",_xll.NL("first",$J845,"Name","No.","@@"&amp;$K845),"")</f>
        <v>Bargottis</v>
      </c>
      <c r="M845" s="42" t="str">
        <f>""</f>
        <v/>
      </c>
      <c r="N845" s="42" t="str">
        <f>IF($J845="Item",_xll.NL("first",$J845,"Description","No.","@@"&amp;$K845),"")</f>
        <v/>
      </c>
      <c r="O845" s="43">
        <v>0</v>
      </c>
      <c r="P845" s="43">
        <v>-144</v>
      </c>
      <c r="Q845" s="43">
        <v>0</v>
      </c>
      <c r="R845" s="43">
        <v>0</v>
      </c>
      <c r="S845" s="43">
        <v>0</v>
      </c>
      <c r="T845" s="43">
        <v>0</v>
      </c>
      <c r="U845" s="56"/>
    </row>
    <row r="846" spans="1:21" ht="17.25" customHeight="1" x14ac:dyDescent="0.3">
      <c r="A846" s="15" t="s">
        <v>30</v>
      </c>
      <c r="C846" s="19"/>
      <c r="D846" s="33" t="str">
        <f t="shared" si="216"/>
        <v>C100066</v>
      </c>
      <c r="E846" s="33"/>
      <c r="F846" s="34"/>
      <c r="G846" s="34" t="str">
        <f>"""NAV Direct"",""CRONUS JetCorp USA"",""32"",""1"",""54697"""</f>
        <v>"NAV Direct","CRONUS JetCorp USA","32","1","54697"</v>
      </c>
      <c r="H846" s="40">
        <v>43474</v>
      </c>
      <c r="I846" s="41">
        <v>54697</v>
      </c>
      <c r="J846" s="42" t="str">
        <f>"Customer"</f>
        <v>Customer</v>
      </c>
      <c r="K846" s="42" t="str">
        <f>"C100096"</f>
        <v>C100096</v>
      </c>
      <c r="L846" s="42" t="str">
        <f>IF($J846="Customer",_xll.NL("first",$J846,"Name","No.","@@"&amp;$K846),"")</f>
        <v>D-Com Industries</v>
      </c>
      <c r="M846" s="42" t="str">
        <f>""</f>
        <v/>
      </c>
      <c r="N846" s="42" t="str">
        <f>IF($J846="Item",_xll.NL("first",$J846,"Description","No.","@@"&amp;$K846),"")</f>
        <v/>
      </c>
      <c r="O846" s="43">
        <v>0</v>
      </c>
      <c r="P846" s="43">
        <v>-144</v>
      </c>
      <c r="Q846" s="43">
        <v>0</v>
      </c>
      <c r="R846" s="43">
        <v>0</v>
      </c>
      <c r="S846" s="43">
        <v>0</v>
      </c>
      <c r="T846" s="43">
        <v>0</v>
      </c>
      <c r="U846" s="56"/>
    </row>
    <row r="847" spans="1:21" ht="17.25" customHeight="1" x14ac:dyDescent="0.3">
      <c r="A847" s="15" t="s">
        <v>30</v>
      </c>
      <c r="C847" s="19"/>
      <c r="D847" s="33" t="str">
        <f t="shared" si="216"/>
        <v>C100066</v>
      </c>
      <c r="E847" s="33"/>
      <c r="F847" s="34"/>
      <c r="G847" s="34" t="str">
        <f>"""NAV Direct"",""CRONUS JetCorp USA"",""32"",""1"",""64616"""</f>
        <v>"NAV Direct","CRONUS JetCorp USA","32","1","64616"</v>
      </c>
      <c r="H847" s="40">
        <v>43475</v>
      </c>
      <c r="I847" s="41">
        <v>64616</v>
      </c>
      <c r="J847" s="42" t="str">
        <f>"Customer"</f>
        <v>Customer</v>
      </c>
      <c r="K847" s="42" t="str">
        <f>"C100136"</f>
        <v>C100136</v>
      </c>
      <c r="L847" s="42" t="str">
        <f>IF($J847="Customer",_xll.NL("first",$J847,"Name","No.","@@"&amp;$K847),"")</f>
        <v>First Bank</v>
      </c>
      <c r="M847" s="42" t="str">
        <f>""</f>
        <v/>
      </c>
      <c r="N847" s="42" t="str">
        <f>IF($J847="Item",_xll.NL("first",$J847,"Description","No.","@@"&amp;$K847),"")</f>
        <v/>
      </c>
      <c r="O847" s="43">
        <v>0</v>
      </c>
      <c r="P847" s="43">
        <v>-144</v>
      </c>
      <c r="Q847" s="43">
        <v>0</v>
      </c>
      <c r="R847" s="43">
        <v>0</v>
      </c>
      <c r="S847" s="43">
        <v>0</v>
      </c>
      <c r="T847" s="43">
        <v>0</v>
      </c>
      <c r="U847" s="56"/>
    </row>
    <row r="848" spans="1:21" ht="17.25" customHeight="1" x14ac:dyDescent="0.3">
      <c r="A848" s="15" t="s">
        <v>30</v>
      </c>
      <c r="C848" s="19"/>
      <c r="D848" s="33" t="str">
        <f t="shared" si="216"/>
        <v>C100066</v>
      </c>
      <c r="E848" s="33"/>
      <c r="F848" s="34"/>
      <c r="G848" s="34" t="str">
        <f>"""NAV Direct"",""CRONUS JetCorp USA"",""32"",""1"",""78865"""</f>
        <v>"NAV Direct","CRONUS JetCorp USA","32","1","78865"</v>
      </c>
      <c r="H848" s="40">
        <v>43476</v>
      </c>
      <c r="I848" s="41">
        <v>78865</v>
      </c>
      <c r="J848" s="42" t="str">
        <f>"Customer"</f>
        <v>Customer</v>
      </c>
      <c r="K848" s="42" t="str">
        <f>"C100117"</f>
        <v>C100117</v>
      </c>
      <c r="L848" s="42" t="str">
        <f>IF($J848="Customer",_xll.NL("first",$J848,"Name","No.","@@"&amp;$K848),"")</f>
        <v xml:space="preserve">Tintax </v>
      </c>
      <c r="M848" s="42" t="str">
        <f>""</f>
        <v/>
      </c>
      <c r="N848" s="42" t="str">
        <f>IF($J848="Item",_xll.NL("first",$J848,"Description","No.","@@"&amp;$K848),"")</f>
        <v/>
      </c>
      <c r="O848" s="43">
        <v>0</v>
      </c>
      <c r="P848" s="43">
        <v>-6</v>
      </c>
      <c r="Q848" s="43">
        <v>0</v>
      </c>
      <c r="R848" s="43">
        <v>0</v>
      </c>
      <c r="S848" s="43">
        <v>0</v>
      </c>
      <c r="T848" s="43">
        <v>0</v>
      </c>
      <c r="U848" s="56"/>
    </row>
    <row r="849" spans="1:21" ht="17.25" customHeight="1" x14ac:dyDescent="0.3">
      <c r="A849" s="15" t="s">
        <v>30</v>
      </c>
      <c r="C849" s="19"/>
      <c r="D849" s="33"/>
      <c r="E849" s="33"/>
      <c r="F849" s="34"/>
      <c r="G849" s="34"/>
      <c r="H849" s="34"/>
      <c r="I849" s="34"/>
      <c r="J849" s="34"/>
      <c r="K849" s="34"/>
      <c r="L849" s="34"/>
      <c r="M849" s="34"/>
      <c r="N849" s="34"/>
      <c r="O849" s="44"/>
      <c r="P849" s="44"/>
      <c r="Q849" s="44"/>
      <c r="R849" s="44"/>
      <c r="S849" s="44"/>
      <c r="T849" s="44"/>
      <c r="U849" s="57"/>
    </row>
    <row r="850" spans="1:21" ht="17.25" customHeight="1" x14ac:dyDescent="0.3">
      <c r="A850" s="15" t="s">
        <v>30</v>
      </c>
      <c r="C850" s="19"/>
      <c r="D850" s="33"/>
      <c r="E850" s="33" t="s">
        <v>31</v>
      </c>
      <c r="F850" s="34" t="s">
        <v>31</v>
      </c>
      <c r="G850" s="34" t="s">
        <v>31</v>
      </c>
      <c r="H850" s="34"/>
      <c r="I850" s="34"/>
      <c r="J850" s="34" t="s">
        <v>31</v>
      </c>
      <c r="K850" s="34" t="s">
        <v>31</v>
      </c>
      <c r="L850" s="34" t="s">
        <v>31</v>
      </c>
      <c r="M850" s="34" t="s">
        <v>31</v>
      </c>
      <c r="N850" s="34"/>
      <c r="U850" s="58"/>
    </row>
    <row r="851" spans="1:21" ht="20.25" customHeight="1" x14ac:dyDescent="0.35">
      <c r="A851" s="15" t="s">
        <v>30</v>
      </c>
      <c r="C851" s="19"/>
      <c r="D851" s="35" t="str">
        <f t="shared" ref="D851" si="217">E851</f>
        <v>C100067</v>
      </c>
      <c r="E851" s="36" t="str">
        <f>"C100067"</f>
        <v>C100067</v>
      </c>
      <c r="F851" s="37" t="str">
        <f>"Stainless Thermos"</f>
        <v>Stainless Thermos</v>
      </c>
      <c r="G851" s="37"/>
      <c r="H851" s="38" t="str">
        <f>"EA"</f>
        <v>EA</v>
      </c>
      <c r="I851" s="37"/>
      <c r="J851" s="37"/>
      <c r="K851" s="37"/>
      <c r="L851" s="37"/>
      <c r="M851" s="37"/>
      <c r="N851" s="37"/>
      <c r="O851" s="39">
        <f>(SUBTOTAL(9,O852:O856))</f>
        <v>3250</v>
      </c>
      <c r="P851" s="39">
        <f>(SUBTOTAL(9,P852:P856))</f>
        <v>-48</v>
      </c>
      <c r="Q851" s="39">
        <f>(SUBTOTAL(9,Q852:Q856))</f>
        <v>0</v>
      </c>
      <c r="R851" s="39">
        <f>(SUBTOTAL(9,R852:R856))</f>
        <v>0</v>
      </c>
      <c r="S851" s="39">
        <f>(SUBTOTAL(9,S852:S856))</f>
        <v>0</v>
      </c>
      <c r="T851" s="39">
        <f>(SUBTOTAL(9,T852:T856))</f>
        <v>0</v>
      </c>
      <c r="U851" s="55">
        <f t="shared" ref="U851" si="218">SUBTOTAL(9,O852:T856)</f>
        <v>3202</v>
      </c>
    </row>
    <row r="852" spans="1:21" ht="17.25" customHeight="1" x14ac:dyDescent="0.3">
      <c r="A852" s="15" t="s">
        <v>30</v>
      </c>
      <c r="C852" s="19"/>
      <c r="D852" s="33" t="str">
        <f t="shared" ref="D852" si="219">D851</f>
        <v>C100067</v>
      </c>
      <c r="E852" s="33"/>
      <c r="F852" s="34"/>
      <c r="G852" s="34" t="str">
        <f>"""NAV Direct"",""CRONUS JetCorp USA"",""32"",""1"",""168608"""</f>
        <v>"NAV Direct","CRONUS JetCorp USA","32","1","168608"</v>
      </c>
      <c r="H852" s="40">
        <v>43466</v>
      </c>
      <c r="I852" s="41">
        <v>168608</v>
      </c>
      <c r="J852" s="42" t="str">
        <f>"Vendor"</f>
        <v>Vendor</v>
      </c>
      <c r="K852" s="42" t="str">
        <f>"V100025"</f>
        <v>V100025</v>
      </c>
      <c r="L852" s="42" t="str">
        <f>IF($J852="Customer",_xll.NL("first",$J852,"Name","No.","@@"&amp;$K852),"")</f>
        <v/>
      </c>
      <c r="M852" s="42" t="str">
        <f>"Club Euroamis"</f>
        <v>Club Euroamis</v>
      </c>
      <c r="N852" s="42" t="str">
        <f>IF($J852="Item",_xll.NL("first",$J852,"Description","No.","@@"&amp;$K852),"")</f>
        <v/>
      </c>
      <c r="O852" s="43">
        <v>249.99999999999997</v>
      </c>
      <c r="P852" s="43">
        <v>0</v>
      </c>
      <c r="Q852" s="43">
        <v>0</v>
      </c>
      <c r="R852" s="43">
        <v>0</v>
      </c>
      <c r="S852" s="43">
        <v>0</v>
      </c>
      <c r="T852" s="43">
        <v>0</v>
      </c>
      <c r="U852" s="56"/>
    </row>
    <row r="853" spans="1:21" ht="17.25" customHeight="1" x14ac:dyDescent="0.3">
      <c r="A853" s="15" t="s">
        <v>30</v>
      </c>
      <c r="C853" s="19"/>
      <c r="D853" s="33" t="str">
        <f t="shared" ref="D853:D855" si="220">D852</f>
        <v>C100067</v>
      </c>
      <c r="E853" s="33"/>
      <c r="F853" s="34"/>
      <c r="G853" s="34" t="str">
        <f>"""NAV Direct"",""CRONUS JetCorp USA"",""32"",""1"",""168642"""</f>
        <v>"NAV Direct","CRONUS JetCorp USA","32","1","168642"</v>
      </c>
      <c r="H853" s="40">
        <v>43466</v>
      </c>
      <c r="I853" s="41">
        <v>168642</v>
      </c>
      <c r="J853" s="42" t="str">
        <f>"Vendor"</f>
        <v>Vendor</v>
      </c>
      <c r="K853" s="42" t="str">
        <f>"V100001"</f>
        <v>V100001</v>
      </c>
      <c r="L853" s="42" t="str">
        <f>IF($J853="Customer",_xll.NL("first",$J853,"Name","No.","@@"&amp;$K853),"")</f>
        <v/>
      </c>
      <c r="M853" s="42" t="str">
        <f>"Greigner, Inc."</f>
        <v>Greigner, Inc.</v>
      </c>
      <c r="N853" s="42" t="str">
        <f>IF($J853="Item",_xll.NL("first",$J853,"Description","No.","@@"&amp;$K853),"")</f>
        <v/>
      </c>
      <c r="O853" s="43">
        <v>1750</v>
      </c>
      <c r="P853" s="43">
        <v>0</v>
      </c>
      <c r="Q853" s="43">
        <v>0</v>
      </c>
      <c r="R853" s="43">
        <v>0</v>
      </c>
      <c r="S853" s="43">
        <v>0</v>
      </c>
      <c r="T853" s="43">
        <v>0</v>
      </c>
      <c r="U853" s="56"/>
    </row>
    <row r="854" spans="1:21" ht="17.25" customHeight="1" x14ac:dyDescent="0.3">
      <c r="A854" s="15" t="s">
        <v>30</v>
      </c>
      <c r="C854" s="19"/>
      <c r="D854" s="33" t="str">
        <f t="shared" si="220"/>
        <v>C100067</v>
      </c>
      <c r="E854" s="33"/>
      <c r="F854" s="34"/>
      <c r="G854" s="34" t="str">
        <f>"""NAV Direct"",""CRONUS JetCorp USA"",""32"",""1"",""168666"""</f>
        <v>"NAV Direct","CRONUS JetCorp USA","32","1","168666"</v>
      </c>
      <c r="H854" s="40">
        <v>43466</v>
      </c>
      <c r="I854" s="41">
        <v>168666</v>
      </c>
      <c r="J854" s="42" t="str">
        <f>"Vendor"</f>
        <v>Vendor</v>
      </c>
      <c r="K854" s="42" t="str">
        <f>"V100003"</f>
        <v>V100003</v>
      </c>
      <c r="L854" s="42" t="str">
        <f>IF($J854="Customer",_xll.NL("first",$J854,"Name","No.","@@"&amp;$K854),"")</f>
        <v/>
      </c>
      <c r="M854" s="42" t="str">
        <f>"LogoMasters"</f>
        <v>LogoMasters</v>
      </c>
      <c r="N854" s="42" t="str">
        <f>IF($J854="Item",_xll.NL("first",$J854,"Description","No.","@@"&amp;$K854),"")</f>
        <v/>
      </c>
      <c r="O854" s="43">
        <v>1250</v>
      </c>
      <c r="P854" s="43">
        <v>0</v>
      </c>
      <c r="Q854" s="43">
        <v>0</v>
      </c>
      <c r="R854" s="43">
        <v>0</v>
      </c>
      <c r="S854" s="43">
        <v>0</v>
      </c>
      <c r="T854" s="43">
        <v>0</v>
      </c>
      <c r="U854" s="56"/>
    </row>
    <row r="855" spans="1:21" ht="17.25" customHeight="1" x14ac:dyDescent="0.3">
      <c r="A855" s="15" t="s">
        <v>30</v>
      </c>
      <c r="C855" s="19"/>
      <c r="D855" s="33" t="str">
        <f t="shared" si="220"/>
        <v>C100067</v>
      </c>
      <c r="E855" s="33"/>
      <c r="F855" s="34"/>
      <c r="G855" s="34" t="str">
        <f>"""NAV Direct"",""CRONUS JetCorp USA"",""32"",""1"",""78837"""</f>
        <v>"NAV Direct","CRONUS JetCorp USA","32","1","78837"</v>
      </c>
      <c r="H855" s="40">
        <v>43468</v>
      </c>
      <c r="I855" s="41">
        <v>78837</v>
      </c>
      <c r="J855" s="42" t="str">
        <f>"Customer"</f>
        <v>Customer</v>
      </c>
      <c r="K855" s="42" t="str">
        <f>"C100117"</f>
        <v>C100117</v>
      </c>
      <c r="L855" s="42" t="str">
        <f>IF($J855="Customer",_xll.NL("first",$J855,"Name","No.","@@"&amp;$K855),"")</f>
        <v xml:space="preserve">Tintax </v>
      </c>
      <c r="M855" s="42" t="str">
        <f>""</f>
        <v/>
      </c>
      <c r="N855" s="42" t="str">
        <f>IF($J855="Item",_xll.NL("first",$J855,"Description","No.","@@"&amp;$K855),"")</f>
        <v/>
      </c>
      <c r="O855" s="43">
        <v>0</v>
      </c>
      <c r="P855" s="43">
        <v>-48</v>
      </c>
      <c r="Q855" s="43">
        <v>0</v>
      </c>
      <c r="R855" s="43">
        <v>0</v>
      </c>
      <c r="S855" s="43">
        <v>0</v>
      </c>
      <c r="T855" s="43">
        <v>0</v>
      </c>
      <c r="U855" s="56"/>
    </row>
    <row r="856" spans="1:21" ht="17.25" customHeight="1" x14ac:dyDescent="0.3">
      <c r="A856" s="15" t="s">
        <v>30</v>
      </c>
      <c r="C856" s="19"/>
      <c r="D856" s="33"/>
      <c r="E856" s="33"/>
      <c r="F856" s="34"/>
      <c r="G856" s="34"/>
      <c r="H856" s="34"/>
      <c r="I856" s="34"/>
      <c r="J856" s="34"/>
      <c r="K856" s="34"/>
      <c r="L856" s="34"/>
      <c r="M856" s="34"/>
      <c r="N856" s="34"/>
      <c r="O856" s="44"/>
      <c r="P856" s="44"/>
      <c r="Q856" s="44"/>
      <c r="R856" s="44"/>
      <c r="S856" s="44"/>
      <c r="T856" s="44"/>
      <c r="U856" s="57"/>
    </row>
    <row r="857" spans="1:21" ht="17.25" customHeight="1" x14ac:dyDescent="0.3">
      <c r="A857" s="15" t="s">
        <v>30</v>
      </c>
      <c r="C857" s="19"/>
      <c r="D857" s="33"/>
      <c r="E857" s="33" t="s">
        <v>31</v>
      </c>
      <c r="F857" s="34" t="s">
        <v>31</v>
      </c>
      <c r="G857" s="34" t="s">
        <v>31</v>
      </c>
      <c r="H857" s="34"/>
      <c r="I857" s="34"/>
      <c r="J857" s="34" t="s">
        <v>31</v>
      </c>
      <c r="K857" s="34" t="s">
        <v>31</v>
      </c>
      <c r="L857" s="34" t="s">
        <v>31</v>
      </c>
      <c r="M857" s="34" t="s">
        <v>31</v>
      </c>
      <c r="N857" s="34"/>
      <c r="U857" s="58"/>
    </row>
    <row r="858" spans="1:21" ht="20.25" customHeight="1" x14ac:dyDescent="0.35">
      <c r="A858" s="15" t="s">
        <v>30</v>
      </c>
      <c r="C858" s="19"/>
      <c r="D858" s="35" t="str">
        <f t="shared" ref="D858" si="221">E858</f>
        <v>E100001</v>
      </c>
      <c r="E858" s="36" t="str">
        <f>"E100001"</f>
        <v>E100001</v>
      </c>
      <c r="F858" s="37" t="str">
        <f>"Sport Bag"</f>
        <v>Sport Bag</v>
      </c>
      <c r="G858" s="37"/>
      <c r="H858" s="38" t="str">
        <f>"EA"</f>
        <v>EA</v>
      </c>
      <c r="I858" s="37"/>
      <c r="J858" s="37"/>
      <c r="K858" s="37"/>
      <c r="L858" s="37"/>
      <c r="M858" s="37"/>
      <c r="N858" s="37"/>
      <c r="O858" s="39">
        <f>(SUBTOTAL(9,O859:O881))</f>
        <v>6000</v>
      </c>
      <c r="P858" s="39">
        <f>(SUBTOTAL(9,P859:P881))</f>
        <v>-1792</v>
      </c>
      <c r="Q858" s="39">
        <f>(SUBTOTAL(9,Q859:Q881))</f>
        <v>0</v>
      </c>
      <c r="R858" s="39">
        <f>(SUBTOTAL(9,R859:R881))</f>
        <v>0</v>
      </c>
      <c r="S858" s="39">
        <f>(SUBTOTAL(9,S859:S881))</f>
        <v>0</v>
      </c>
      <c r="T858" s="39">
        <f>(SUBTOTAL(9,T859:T881))</f>
        <v>0</v>
      </c>
      <c r="U858" s="55">
        <f t="shared" ref="U858" si="222">SUBTOTAL(9,O859:T881)</f>
        <v>4208</v>
      </c>
    </row>
    <row r="859" spans="1:21" ht="17.25" customHeight="1" x14ac:dyDescent="0.3">
      <c r="A859" s="15" t="s">
        <v>30</v>
      </c>
      <c r="C859" s="19"/>
      <c r="D859" s="33" t="str">
        <f t="shared" ref="D859" si="223">D858</f>
        <v>E100001</v>
      </c>
      <c r="E859" s="33"/>
      <c r="F859" s="34"/>
      <c r="G859" s="34" t="str">
        <f>"""NAV Direct"",""CRONUS JetCorp USA"",""32"",""1"",""166733"""</f>
        <v>"NAV Direct","CRONUS JetCorp USA","32","1","166733"</v>
      </c>
      <c r="H859" s="40">
        <v>43466</v>
      </c>
      <c r="I859" s="41">
        <v>166733</v>
      </c>
      <c r="J859" s="42" t="str">
        <f>"Vendor"</f>
        <v>Vendor</v>
      </c>
      <c r="K859" s="42" t="str">
        <f>"V100009"</f>
        <v>V100009</v>
      </c>
      <c r="L859" s="42" t="str">
        <f>IF($J859="Customer",_xll.NL("first",$J859,"Name","No.","@@"&amp;$K859),"")</f>
        <v/>
      </c>
      <c r="M859" s="42" t="str">
        <f>"Malay-Dan Export Unit Sdn Bhd"</f>
        <v>Malay-Dan Export Unit Sdn Bhd</v>
      </c>
      <c r="N859" s="42" t="str">
        <f>IF($J859="Item",_xll.NL("first",$J859,"Description","No.","@@"&amp;$K859),"")</f>
        <v/>
      </c>
      <c r="O859" s="43">
        <v>400</v>
      </c>
      <c r="P859" s="43">
        <v>0</v>
      </c>
      <c r="Q859" s="43">
        <v>0</v>
      </c>
      <c r="R859" s="43">
        <v>0</v>
      </c>
      <c r="S859" s="43">
        <v>0</v>
      </c>
      <c r="T859" s="43">
        <v>0</v>
      </c>
      <c r="U859" s="56"/>
    </row>
    <row r="860" spans="1:21" ht="17.25" customHeight="1" x14ac:dyDescent="0.3">
      <c r="A860" s="15" t="s">
        <v>30</v>
      </c>
      <c r="C860" s="19"/>
      <c r="D860" s="33" t="str">
        <f t="shared" ref="D860:D880" si="224">D859</f>
        <v>E100001</v>
      </c>
      <c r="E860" s="33"/>
      <c r="F860" s="34"/>
      <c r="G860" s="34" t="str">
        <f>"""NAV Direct"",""CRONUS JetCorp USA"",""32"",""1"",""166743"""</f>
        <v>"NAV Direct","CRONUS JetCorp USA","32","1","166743"</v>
      </c>
      <c r="H860" s="40">
        <v>43466</v>
      </c>
      <c r="I860" s="41">
        <v>166743</v>
      </c>
      <c r="J860" s="42" t="str">
        <f>"Vendor"</f>
        <v>Vendor</v>
      </c>
      <c r="K860" s="42" t="str">
        <f>"V100040"</f>
        <v>V100040</v>
      </c>
      <c r="L860" s="42" t="str">
        <f>IF($J860="Customer",_xll.NL("first",$J860,"Name","No.","@@"&amp;$K860),"")</f>
        <v/>
      </c>
      <c r="M860" s="42" t="str">
        <f>"Technische Betriebe Rotkreuz"</f>
        <v>Technische Betriebe Rotkreuz</v>
      </c>
      <c r="N860" s="42" t="str">
        <f>IF($J860="Item",_xll.NL("first",$J860,"Description","No.","@@"&amp;$K860),"")</f>
        <v/>
      </c>
      <c r="O860" s="43">
        <v>400</v>
      </c>
      <c r="P860" s="43">
        <v>0</v>
      </c>
      <c r="Q860" s="43">
        <v>0</v>
      </c>
      <c r="R860" s="43">
        <v>0</v>
      </c>
      <c r="S860" s="43">
        <v>0</v>
      </c>
      <c r="T860" s="43">
        <v>0</v>
      </c>
      <c r="U860" s="56"/>
    </row>
    <row r="861" spans="1:21" ht="17.25" customHeight="1" x14ac:dyDescent="0.3">
      <c r="A861" s="15" t="s">
        <v>30</v>
      </c>
      <c r="C861" s="19"/>
      <c r="D861" s="33" t="str">
        <f t="shared" si="224"/>
        <v>E100001</v>
      </c>
      <c r="E861" s="33"/>
      <c r="F861" s="34"/>
      <c r="G861" s="34" t="str">
        <f>"""NAV Direct"",""CRONUS JetCorp USA"",""32"",""1"",""166755"""</f>
        <v>"NAV Direct","CRONUS JetCorp USA","32","1","166755"</v>
      </c>
      <c r="H861" s="40">
        <v>43466</v>
      </c>
      <c r="I861" s="41">
        <v>166755</v>
      </c>
      <c r="J861" s="42" t="str">
        <f>"Vendor"</f>
        <v>Vendor</v>
      </c>
      <c r="K861" s="42" t="str">
        <f>"V100001"</f>
        <v>V100001</v>
      </c>
      <c r="L861" s="42" t="str">
        <f>IF($J861="Customer",_xll.NL("first",$J861,"Name","No.","@@"&amp;$K861),"")</f>
        <v/>
      </c>
      <c r="M861" s="42" t="str">
        <f>"Greigner, Inc."</f>
        <v>Greigner, Inc.</v>
      </c>
      <c r="N861" s="42" t="str">
        <f>IF($J861="Item",_xll.NL("first",$J861,"Description","No.","@@"&amp;$K861),"")</f>
        <v/>
      </c>
      <c r="O861" s="43">
        <v>200</v>
      </c>
      <c r="P861" s="43">
        <v>0</v>
      </c>
      <c r="Q861" s="43">
        <v>0</v>
      </c>
      <c r="R861" s="43">
        <v>0</v>
      </c>
      <c r="S861" s="43">
        <v>0</v>
      </c>
      <c r="T861" s="43">
        <v>0</v>
      </c>
      <c r="U861" s="56"/>
    </row>
    <row r="862" spans="1:21" ht="17.25" customHeight="1" x14ac:dyDescent="0.3">
      <c r="A862" s="15" t="s">
        <v>30</v>
      </c>
      <c r="C862" s="19"/>
      <c r="D862" s="33" t="str">
        <f t="shared" si="224"/>
        <v>E100001</v>
      </c>
      <c r="E862" s="33"/>
      <c r="F862" s="34"/>
      <c r="G862" s="34" t="str">
        <f>"""NAV Direct"",""CRONUS JetCorp USA"",""32"",""1"",""166757"""</f>
        <v>"NAV Direct","CRONUS JetCorp USA","32","1","166757"</v>
      </c>
      <c r="H862" s="40">
        <v>43466</v>
      </c>
      <c r="I862" s="41">
        <v>166757</v>
      </c>
      <c r="J862" s="42" t="str">
        <f>"Vendor"</f>
        <v>Vendor</v>
      </c>
      <c r="K862" s="42" t="str">
        <f>"V100007"</f>
        <v>V100007</v>
      </c>
      <c r="L862" s="42" t="str">
        <f>IF($J862="Customer",_xll.NL("first",$J862,"Name","No.","@@"&amp;$K862),"")</f>
        <v/>
      </c>
      <c r="M862" s="42" t="str">
        <f>"TrendTech"</f>
        <v>TrendTech</v>
      </c>
      <c r="N862" s="42" t="str">
        <f>IF($J862="Item",_xll.NL("first",$J862,"Description","No.","@@"&amp;$K862),"")</f>
        <v/>
      </c>
      <c r="O862" s="43">
        <v>800</v>
      </c>
      <c r="P862" s="43">
        <v>0</v>
      </c>
      <c r="Q862" s="43">
        <v>0</v>
      </c>
      <c r="R862" s="43">
        <v>0</v>
      </c>
      <c r="S862" s="43">
        <v>0</v>
      </c>
      <c r="T862" s="43">
        <v>0</v>
      </c>
      <c r="U862" s="56"/>
    </row>
    <row r="863" spans="1:21" ht="17.25" customHeight="1" x14ac:dyDescent="0.3">
      <c r="A863" s="15" t="s">
        <v>30</v>
      </c>
      <c r="C863" s="19"/>
      <c r="D863" s="33" t="str">
        <f t="shared" si="224"/>
        <v>E100001</v>
      </c>
      <c r="E863" s="33"/>
      <c r="F863" s="34"/>
      <c r="G863" s="34" t="str">
        <f>"""NAV Direct"",""CRONUS JetCorp USA"",""32"",""1"",""166772"""</f>
        <v>"NAV Direct","CRONUS JetCorp USA","32","1","166772"</v>
      </c>
      <c r="H863" s="40">
        <v>43466</v>
      </c>
      <c r="I863" s="41">
        <v>166772</v>
      </c>
      <c r="J863" s="42" t="str">
        <f>"Vendor"</f>
        <v>Vendor</v>
      </c>
      <c r="K863" s="42" t="str">
        <f>"V100001"</f>
        <v>V100001</v>
      </c>
      <c r="L863" s="42" t="str">
        <f>IF($J863="Customer",_xll.NL("first",$J863,"Name","No.","@@"&amp;$K863),"")</f>
        <v/>
      </c>
      <c r="M863" s="42" t="str">
        <f>"Greigner, Inc."</f>
        <v>Greigner, Inc.</v>
      </c>
      <c r="N863" s="42" t="str">
        <f>IF($J863="Item",_xll.NL("first",$J863,"Description","No.","@@"&amp;$K863),"")</f>
        <v/>
      </c>
      <c r="O863" s="43">
        <v>2600</v>
      </c>
      <c r="P863" s="43">
        <v>0</v>
      </c>
      <c r="Q863" s="43">
        <v>0</v>
      </c>
      <c r="R863" s="43">
        <v>0</v>
      </c>
      <c r="S863" s="43">
        <v>0</v>
      </c>
      <c r="T863" s="43">
        <v>0</v>
      </c>
      <c r="U863" s="56"/>
    </row>
    <row r="864" spans="1:21" ht="17.25" customHeight="1" x14ac:dyDescent="0.3">
      <c r="A864" s="15" t="s">
        <v>30</v>
      </c>
      <c r="C864" s="19"/>
      <c r="D864" s="33" t="str">
        <f t="shared" si="224"/>
        <v>E100001</v>
      </c>
      <c r="E864" s="33"/>
      <c r="F864" s="34"/>
      <c r="G864" s="34" t="str">
        <f>"""NAV Direct"",""CRONUS JetCorp USA"",""32"",""1"",""166794"""</f>
        <v>"NAV Direct","CRONUS JetCorp USA","32","1","166794"</v>
      </c>
      <c r="H864" s="40">
        <v>43466</v>
      </c>
      <c r="I864" s="41">
        <v>166794</v>
      </c>
      <c r="J864" s="42" t="str">
        <f>"Vendor"</f>
        <v>Vendor</v>
      </c>
      <c r="K864" s="42" t="str">
        <f>"V100003"</f>
        <v>V100003</v>
      </c>
      <c r="L864" s="42" t="str">
        <f>IF($J864="Customer",_xll.NL("first",$J864,"Name","No.","@@"&amp;$K864),"")</f>
        <v/>
      </c>
      <c r="M864" s="42" t="str">
        <f>"LogoMasters"</f>
        <v>LogoMasters</v>
      </c>
      <c r="N864" s="42" t="str">
        <f>IF($J864="Item",_xll.NL("first",$J864,"Description","No.","@@"&amp;$K864),"")</f>
        <v/>
      </c>
      <c r="O864" s="43">
        <v>1400</v>
      </c>
      <c r="P864" s="43">
        <v>0</v>
      </c>
      <c r="Q864" s="43">
        <v>0</v>
      </c>
      <c r="R864" s="43">
        <v>0</v>
      </c>
      <c r="S864" s="43">
        <v>0</v>
      </c>
      <c r="T864" s="43">
        <v>0</v>
      </c>
      <c r="U864" s="56"/>
    </row>
    <row r="865" spans="1:21" ht="17.25" customHeight="1" x14ac:dyDescent="0.3">
      <c r="A865" s="15" t="s">
        <v>30</v>
      </c>
      <c r="C865" s="19"/>
      <c r="D865" s="33" t="str">
        <f t="shared" si="224"/>
        <v>E100001</v>
      </c>
      <c r="E865" s="33"/>
      <c r="F865" s="34"/>
      <c r="G865" s="34" t="str">
        <f>"""NAV Direct"",""CRONUS JetCorp USA"",""32"",""1"",""166803"""</f>
        <v>"NAV Direct","CRONUS JetCorp USA","32","1","166803"</v>
      </c>
      <c r="H865" s="40">
        <v>43466</v>
      </c>
      <c r="I865" s="41">
        <v>166803</v>
      </c>
      <c r="J865" s="42" t="str">
        <f>"Vendor"</f>
        <v>Vendor</v>
      </c>
      <c r="K865" s="42" t="str">
        <f>"V100001"</f>
        <v>V100001</v>
      </c>
      <c r="L865" s="42" t="str">
        <f>IF($J865="Customer",_xll.NL("first",$J865,"Name","No.","@@"&amp;$K865),"")</f>
        <v/>
      </c>
      <c r="M865" s="42" t="str">
        <f>"Greigner, Inc."</f>
        <v>Greigner, Inc.</v>
      </c>
      <c r="N865" s="42" t="str">
        <f>IF($J865="Item",_xll.NL("first",$J865,"Description","No.","@@"&amp;$K865),"")</f>
        <v/>
      </c>
      <c r="O865" s="43">
        <v>200</v>
      </c>
      <c r="P865" s="43">
        <v>0</v>
      </c>
      <c r="Q865" s="43">
        <v>0</v>
      </c>
      <c r="R865" s="43">
        <v>0</v>
      </c>
      <c r="S865" s="43">
        <v>0</v>
      </c>
      <c r="T865" s="43">
        <v>0</v>
      </c>
      <c r="U865" s="56"/>
    </row>
    <row r="866" spans="1:21" ht="17.25" customHeight="1" x14ac:dyDescent="0.3">
      <c r="A866" s="15" t="s">
        <v>30</v>
      </c>
      <c r="C866" s="19"/>
      <c r="D866" s="33" t="str">
        <f t="shared" si="224"/>
        <v>E100001</v>
      </c>
      <c r="E866" s="33"/>
      <c r="F866" s="34"/>
      <c r="G866" s="34" t="str">
        <f>"""NAV Direct"",""CRONUS JetCorp USA"",""32"",""1"",""64580"""</f>
        <v>"NAV Direct","CRONUS JetCorp USA","32","1","64580"</v>
      </c>
      <c r="H866" s="40">
        <v>43469</v>
      </c>
      <c r="I866" s="41">
        <v>64580</v>
      </c>
      <c r="J866" s="42" t="str">
        <f>"Customer"</f>
        <v>Customer</v>
      </c>
      <c r="K866" s="42" t="str">
        <f>"C100140"</f>
        <v>C100140</v>
      </c>
      <c r="L866" s="42" t="str">
        <f>IF($J866="Customer",_xll.NL("first",$J866,"Name","No.","@@"&amp;$K866),"")</f>
        <v>Super Daves</v>
      </c>
      <c r="M866" s="42" t="str">
        <f>""</f>
        <v/>
      </c>
      <c r="N866" s="42" t="str">
        <f>IF($J866="Item",_xll.NL("first",$J866,"Description","No.","@@"&amp;$K866),"")</f>
        <v/>
      </c>
      <c r="O866" s="43">
        <v>0</v>
      </c>
      <c r="P866" s="43">
        <v>-192</v>
      </c>
      <c r="Q866" s="43">
        <v>0</v>
      </c>
      <c r="R866" s="43">
        <v>0</v>
      </c>
      <c r="S866" s="43">
        <v>0</v>
      </c>
      <c r="T866" s="43">
        <v>0</v>
      </c>
      <c r="U866" s="56"/>
    </row>
    <row r="867" spans="1:21" ht="17.25" customHeight="1" x14ac:dyDescent="0.3">
      <c r="A867" s="15" t="s">
        <v>30</v>
      </c>
      <c r="C867" s="19"/>
      <c r="D867" s="33" t="str">
        <f t="shared" si="224"/>
        <v>E100001</v>
      </c>
      <c r="E867" s="33"/>
      <c r="F867" s="34"/>
      <c r="G867" s="34" t="str">
        <f>"""NAV Direct"",""CRONUS JetCorp USA"",""32"",""1"",""153193"""</f>
        <v>"NAV Direct","CRONUS JetCorp USA","32","1","153193"</v>
      </c>
      <c r="H867" s="40">
        <v>43469</v>
      </c>
      <c r="I867" s="41">
        <v>153193</v>
      </c>
      <c r="J867" s="42" t="str">
        <f>"Customer"</f>
        <v>Customer</v>
      </c>
      <c r="K867" s="42" t="str">
        <f>"C100136"</f>
        <v>C100136</v>
      </c>
      <c r="L867" s="42" t="str">
        <f>IF($J867="Customer",_xll.NL("first",$J867,"Name","No.","@@"&amp;$K867),"")</f>
        <v>First Bank</v>
      </c>
      <c r="M867" s="42" t="str">
        <f>""</f>
        <v/>
      </c>
      <c r="N867" s="42" t="str">
        <f>IF($J867="Item",_xll.NL("first",$J867,"Description","No.","@@"&amp;$K867),"")</f>
        <v/>
      </c>
      <c r="O867" s="43">
        <v>0</v>
      </c>
      <c r="P867" s="43">
        <v>-144</v>
      </c>
      <c r="Q867" s="43">
        <v>0</v>
      </c>
      <c r="R867" s="43">
        <v>0</v>
      </c>
      <c r="S867" s="43">
        <v>0</v>
      </c>
      <c r="T867" s="43">
        <v>0</v>
      </c>
      <c r="U867" s="56"/>
    </row>
    <row r="868" spans="1:21" ht="17.25" customHeight="1" x14ac:dyDescent="0.3">
      <c r="A868" s="15" t="s">
        <v>30</v>
      </c>
      <c r="C868" s="19"/>
      <c r="D868" s="33" t="str">
        <f t="shared" si="224"/>
        <v>E100001</v>
      </c>
      <c r="E868" s="33"/>
      <c r="F868" s="34"/>
      <c r="G868" s="34" t="str">
        <f>"""NAV Direct"",""CRONUS JetCorp USA"",""32"",""1"",""25248"""</f>
        <v>"NAV Direct","CRONUS JetCorp USA","32","1","25248"</v>
      </c>
      <c r="H868" s="40">
        <v>43471</v>
      </c>
      <c r="I868" s="41">
        <v>25248</v>
      </c>
      <c r="J868" s="42" t="str">
        <f>"Customer"</f>
        <v>Customer</v>
      </c>
      <c r="K868" s="42" t="str">
        <f>"C100102"</f>
        <v>C100102</v>
      </c>
      <c r="L868" s="42" t="str">
        <f>IF($J868="Customer",_xll.NL("first",$J868,"Name","No.","@@"&amp;$K868),"")</f>
        <v xml:space="preserve">BEI Outfitters </v>
      </c>
      <c r="M868" s="42" t="str">
        <f>""</f>
        <v/>
      </c>
      <c r="N868" s="42" t="str">
        <f>IF($J868="Item",_xll.NL("first",$J868,"Description","No.","@@"&amp;$K868),"")</f>
        <v/>
      </c>
      <c r="O868" s="43">
        <v>0</v>
      </c>
      <c r="P868" s="43">
        <v>-2</v>
      </c>
      <c r="Q868" s="43">
        <v>0</v>
      </c>
      <c r="R868" s="43">
        <v>0</v>
      </c>
      <c r="S868" s="43">
        <v>0</v>
      </c>
      <c r="T868" s="43">
        <v>0</v>
      </c>
      <c r="U868" s="56"/>
    </row>
    <row r="869" spans="1:21" ht="17.25" customHeight="1" x14ac:dyDescent="0.3">
      <c r="A869" s="15" t="s">
        <v>30</v>
      </c>
      <c r="C869" s="19"/>
      <c r="D869" s="33" t="str">
        <f t="shared" si="224"/>
        <v>E100001</v>
      </c>
      <c r="E869" s="33"/>
      <c r="F869" s="34"/>
      <c r="G869" s="34" t="str">
        <f>"""NAV Direct"",""CRONUS JetCorp USA"",""32"",""1"",""30043"""</f>
        <v>"NAV Direct","CRONUS JetCorp USA","32","1","30043"</v>
      </c>
      <c r="H869" s="40">
        <v>43471</v>
      </c>
      <c r="I869" s="41">
        <v>30043</v>
      </c>
      <c r="J869" s="42" t="str">
        <f>"Customer"</f>
        <v>Customer</v>
      </c>
      <c r="K869" s="42" t="str">
        <f>"C100012"</f>
        <v>C100012</v>
      </c>
      <c r="L869" s="42" t="str">
        <f>IF($J869="Customer",_xll.NL("first",$J869,"Name","No.","@@"&amp;$K869),"")</f>
        <v>Bainbridges</v>
      </c>
      <c r="M869" s="42" t="str">
        <f>""</f>
        <v/>
      </c>
      <c r="N869" s="42" t="str">
        <f>IF($J869="Item",_xll.NL("first",$J869,"Description","No.","@@"&amp;$K869),"")</f>
        <v/>
      </c>
      <c r="O869" s="43">
        <v>0</v>
      </c>
      <c r="P869" s="43">
        <v>-1</v>
      </c>
      <c r="Q869" s="43">
        <v>0</v>
      </c>
      <c r="R869" s="43">
        <v>0</v>
      </c>
      <c r="S869" s="43">
        <v>0</v>
      </c>
      <c r="T869" s="43">
        <v>0</v>
      </c>
      <c r="U869" s="56"/>
    </row>
    <row r="870" spans="1:21" ht="17.25" customHeight="1" x14ac:dyDescent="0.3">
      <c r="A870" s="15" t="s">
        <v>30</v>
      </c>
      <c r="C870" s="19"/>
      <c r="D870" s="33" t="str">
        <f t="shared" si="224"/>
        <v>E100001</v>
      </c>
      <c r="E870" s="33"/>
      <c r="F870" s="34"/>
      <c r="G870" s="34" t="str">
        <f>"""NAV Direct"",""CRONUS JetCorp USA"",""32"",""1"",""38078"""</f>
        <v>"NAV Direct","CRONUS JetCorp USA","32","1","38078"</v>
      </c>
      <c r="H870" s="40">
        <v>43471</v>
      </c>
      <c r="I870" s="41">
        <v>38078</v>
      </c>
      <c r="J870" s="42" t="str">
        <f>"Customer"</f>
        <v>Customer</v>
      </c>
      <c r="K870" s="42" t="str">
        <f>"C100013"</f>
        <v>C100013</v>
      </c>
      <c r="L870" s="42" t="str">
        <f>IF($J870="Customer",_xll.NL("first",$J870,"Name","No.","@@"&amp;$K870),"")</f>
        <v>Candoxy Kontor A/S</v>
      </c>
      <c r="M870" s="42" t="str">
        <f>""</f>
        <v/>
      </c>
      <c r="N870" s="42" t="str">
        <f>IF($J870="Item",_xll.NL("first",$J870,"Description","No.","@@"&amp;$K870),"")</f>
        <v/>
      </c>
      <c r="O870" s="43">
        <v>0</v>
      </c>
      <c r="P870" s="43">
        <v>-144</v>
      </c>
      <c r="Q870" s="43">
        <v>0</v>
      </c>
      <c r="R870" s="43">
        <v>0</v>
      </c>
      <c r="S870" s="43">
        <v>0</v>
      </c>
      <c r="T870" s="43">
        <v>0</v>
      </c>
      <c r="U870" s="56"/>
    </row>
    <row r="871" spans="1:21" ht="17.25" customHeight="1" x14ac:dyDescent="0.3">
      <c r="A871" s="15" t="s">
        <v>30</v>
      </c>
      <c r="C871" s="19"/>
      <c r="D871" s="33" t="str">
        <f t="shared" si="224"/>
        <v>E100001</v>
      </c>
      <c r="E871" s="33"/>
      <c r="F871" s="34"/>
      <c r="G871" s="34" t="str">
        <f>"""NAV Direct"",""CRONUS JetCorp USA"",""32"",""1"",""44472"""</f>
        <v>"NAV Direct","CRONUS JetCorp USA","32","1","44472"</v>
      </c>
      <c r="H871" s="40">
        <v>43472</v>
      </c>
      <c r="I871" s="41">
        <v>44472</v>
      </c>
      <c r="J871" s="42" t="str">
        <f>"Customer"</f>
        <v>Customer</v>
      </c>
      <c r="K871" s="42" t="str">
        <f>"C100141"</f>
        <v>C100141</v>
      </c>
      <c r="L871" s="42" t="str">
        <f>IF($J871="Customer",_xll.NL("first",$J871,"Name","No.","@@"&amp;$K871),"")</f>
        <v>Bargottis</v>
      </c>
      <c r="M871" s="42" t="str">
        <f>""</f>
        <v/>
      </c>
      <c r="N871" s="42" t="str">
        <f>IF($J871="Item",_xll.NL("first",$J871,"Description","No.","@@"&amp;$K871),"")</f>
        <v/>
      </c>
      <c r="O871" s="43">
        <v>0</v>
      </c>
      <c r="P871" s="43">
        <v>-144</v>
      </c>
      <c r="Q871" s="43">
        <v>0</v>
      </c>
      <c r="R871" s="43">
        <v>0</v>
      </c>
      <c r="S871" s="43">
        <v>0</v>
      </c>
      <c r="T871" s="43">
        <v>0</v>
      </c>
      <c r="U871" s="56"/>
    </row>
    <row r="872" spans="1:21" ht="17.25" customHeight="1" x14ac:dyDescent="0.3">
      <c r="A872" s="15" t="s">
        <v>30</v>
      </c>
      <c r="C872" s="19"/>
      <c r="D872" s="33" t="str">
        <f t="shared" si="224"/>
        <v>E100001</v>
      </c>
      <c r="E872" s="33"/>
      <c r="F872" s="34"/>
      <c r="G872" s="34" t="str">
        <f>"""NAV Direct"",""CRONUS JetCorp USA"",""32"",""1"",""142553"""</f>
        <v>"NAV Direct","CRONUS JetCorp USA","32","1","142553"</v>
      </c>
      <c r="H872" s="40">
        <v>43472</v>
      </c>
      <c r="I872" s="41">
        <v>142553</v>
      </c>
      <c r="J872" s="42" t="str">
        <f>"Customer"</f>
        <v>Customer</v>
      </c>
      <c r="K872" s="42" t="str">
        <f>"C100100"</f>
        <v>C100100</v>
      </c>
      <c r="L872" s="42" t="str">
        <f>IF($J872="Customer",_xll.NL("first",$J872,"Name","No.","@@"&amp;$K872),"")</f>
        <v>Keybase, Inc.</v>
      </c>
      <c r="M872" s="42" t="str">
        <f>""</f>
        <v/>
      </c>
      <c r="N872" s="42" t="str">
        <f>IF($J872="Item",_xll.NL("first",$J872,"Description","No.","@@"&amp;$K872),"")</f>
        <v/>
      </c>
      <c r="O872" s="43">
        <v>0</v>
      </c>
      <c r="P872" s="43">
        <v>-144</v>
      </c>
      <c r="Q872" s="43">
        <v>0</v>
      </c>
      <c r="R872" s="43">
        <v>0</v>
      </c>
      <c r="S872" s="43">
        <v>0</v>
      </c>
      <c r="T872" s="43">
        <v>0</v>
      </c>
      <c r="U872" s="56"/>
    </row>
    <row r="873" spans="1:21" ht="17.25" customHeight="1" x14ac:dyDescent="0.3">
      <c r="A873" s="15" t="s">
        <v>30</v>
      </c>
      <c r="C873" s="19"/>
      <c r="D873" s="33" t="str">
        <f t="shared" si="224"/>
        <v>E100001</v>
      </c>
      <c r="E873" s="33"/>
      <c r="F873" s="34"/>
      <c r="G873" s="34" t="str">
        <f>"""NAV Direct"",""CRONUS JetCorp USA"",""32"",""1"",""20391"""</f>
        <v>"NAV Direct","CRONUS JetCorp USA","32","1","20391"</v>
      </c>
      <c r="H873" s="40">
        <v>43473</v>
      </c>
      <c r="I873" s="41">
        <v>20391</v>
      </c>
      <c r="J873" s="42" t="str">
        <f>"Customer"</f>
        <v>Customer</v>
      </c>
      <c r="K873" s="42" t="str">
        <f>"C100130"</f>
        <v>C100130</v>
      </c>
      <c r="L873" s="42" t="str">
        <f>IF($J873="Customer",_xll.NL("first",$J873,"Name","No.","@@"&amp;$K873),"")</f>
        <v>Hotspot Systems</v>
      </c>
      <c r="M873" s="42" t="str">
        <f>""</f>
        <v/>
      </c>
      <c r="N873" s="42" t="str">
        <f>IF($J873="Item",_xll.NL("first",$J873,"Description","No.","@@"&amp;$K873),"")</f>
        <v/>
      </c>
      <c r="O873" s="43">
        <v>0</v>
      </c>
      <c r="P873" s="43">
        <v>-144</v>
      </c>
      <c r="Q873" s="43">
        <v>0</v>
      </c>
      <c r="R873" s="43">
        <v>0</v>
      </c>
      <c r="S873" s="43">
        <v>0</v>
      </c>
      <c r="T873" s="43">
        <v>0</v>
      </c>
      <c r="U873" s="56"/>
    </row>
    <row r="874" spans="1:21" ht="17.25" customHeight="1" x14ac:dyDescent="0.3">
      <c r="A874" s="15" t="s">
        <v>30</v>
      </c>
      <c r="C874" s="19"/>
      <c r="D874" s="33" t="str">
        <f t="shared" si="224"/>
        <v>E100001</v>
      </c>
      <c r="E874" s="33"/>
      <c r="F874" s="34"/>
      <c r="G874" s="34" t="str">
        <f>"""NAV Direct"",""CRONUS JetCorp USA"",""32"",""1"",""30051"""</f>
        <v>"NAV Direct","CRONUS JetCorp USA","32","1","30051"</v>
      </c>
      <c r="H874" s="40">
        <v>43474</v>
      </c>
      <c r="I874" s="41">
        <v>30051</v>
      </c>
      <c r="J874" s="42" t="str">
        <f>"Customer"</f>
        <v>Customer</v>
      </c>
      <c r="K874" s="42" t="str">
        <f>"C100086"</f>
        <v>C100086</v>
      </c>
      <c r="L874" s="42" t="str">
        <f>IF($J874="Customer",_xll.NL("first",$J874,"Name","No.","@@"&amp;$K874),"")</f>
        <v>Top Action Sports</v>
      </c>
      <c r="M874" s="42" t="str">
        <f>""</f>
        <v/>
      </c>
      <c r="N874" s="42" t="str">
        <f>IF($J874="Item",_xll.NL("first",$J874,"Description","No.","@@"&amp;$K874),"")</f>
        <v/>
      </c>
      <c r="O874" s="43">
        <v>0</v>
      </c>
      <c r="P874" s="43">
        <v>-144</v>
      </c>
      <c r="Q874" s="43">
        <v>0</v>
      </c>
      <c r="R874" s="43">
        <v>0</v>
      </c>
      <c r="S874" s="43">
        <v>0</v>
      </c>
      <c r="T874" s="43">
        <v>0</v>
      </c>
      <c r="U874" s="56"/>
    </row>
    <row r="875" spans="1:21" ht="17.25" customHeight="1" x14ac:dyDescent="0.3">
      <c r="A875" s="15" t="s">
        <v>30</v>
      </c>
      <c r="C875" s="19"/>
      <c r="D875" s="33" t="str">
        <f t="shared" si="224"/>
        <v>E100001</v>
      </c>
      <c r="E875" s="33"/>
      <c r="F875" s="34"/>
      <c r="G875" s="34" t="str">
        <f>"""NAV Direct"",""CRONUS JetCorp USA"",""32"",""1"",""30063"""</f>
        <v>"NAV Direct","CRONUS JetCorp USA","32","1","30063"</v>
      </c>
      <c r="H875" s="40">
        <v>43474</v>
      </c>
      <c r="I875" s="41">
        <v>30063</v>
      </c>
      <c r="J875" s="42" t="str">
        <f>"Customer"</f>
        <v>Customer</v>
      </c>
      <c r="K875" s="42" t="str">
        <f>"C100086"</f>
        <v>C100086</v>
      </c>
      <c r="L875" s="42" t="str">
        <f>IF($J875="Customer",_xll.NL("first",$J875,"Name","No.","@@"&amp;$K875),"")</f>
        <v>Top Action Sports</v>
      </c>
      <c r="M875" s="42" t="str">
        <f>""</f>
        <v/>
      </c>
      <c r="N875" s="42" t="str">
        <f>IF($J875="Item",_xll.NL("first",$J875,"Description","No.","@@"&amp;$K875),"")</f>
        <v/>
      </c>
      <c r="O875" s="43">
        <v>0</v>
      </c>
      <c r="P875" s="43">
        <v>-144</v>
      </c>
      <c r="Q875" s="43">
        <v>0</v>
      </c>
      <c r="R875" s="43">
        <v>0</v>
      </c>
      <c r="S875" s="43">
        <v>0</v>
      </c>
      <c r="T875" s="43">
        <v>0</v>
      </c>
      <c r="U875" s="56"/>
    </row>
    <row r="876" spans="1:21" ht="17.25" customHeight="1" x14ac:dyDescent="0.3">
      <c r="A876" s="15" t="s">
        <v>30</v>
      </c>
      <c r="C876" s="19"/>
      <c r="D876" s="33" t="str">
        <f t="shared" si="224"/>
        <v>E100001</v>
      </c>
      <c r="E876" s="33"/>
      <c r="F876" s="34"/>
      <c r="G876" s="34" t="str">
        <f>"""NAV Direct"",""CRONUS JetCorp USA"",""32"",""1"",""124533"""</f>
        <v>"NAV Direct","CRONUS JetCorp USA","32","1","124533"</v>
      </c>
      <c r="H876" s="40">
        <v>43474</v>
      </c>
      <c r="I876" s="41">
        <v>124533</v>
      </c>
      <c r="J876" s="42" t="str">
        <f>"Customer"</f>
        <v>Customer</v>
      </c>
      <c r="K876" s="42" t="str">
        <f>"C100145"</f>
        <v>C100145</v>
      </c>
      <c r="L876" s="42" t="str">
        <f>IF($J876="Customer",_xll.NL("first",$J876,"Name","No.","@@"&amp;$K876),"")</f>
        <v>Dicon Industries</v>
      </c>
      <c r="M876" s="42" t="str">
        <f>""</f>
        <v/>
      </c>
      <c r="N876" s="42" t="str">
        <f>IF($J876="Item",_xll.NL("first",$J876,"Description","No.","@@"&amp;$K876),"")</f>
        <v/>
      </c>
      <c r="O876" s="43">
        <v>0</v>
      </c>
      <c r="P876" s="43">
        <v>-144</v>
      </c>
      <c r="Q876" s="43">
        <v>0</v>
      </c>
      <c r="R876" s="43">
        <v>0</v>
      </c>
      <c r="S876" s="43">
        <v>0</v>
      </c>
      <c r="T876" s="43">
        <v>0</v>
      </c>
      <c r="U876" s="56"/>
    </row>
    <row r="877" spans="1:21" ht="17.25" customHeight="1" x14ac:dyDescent="0.3">
      <c r="A877" s="15" t="s">
        <v>30</v>
      </c>
      <c r="C877" s="19"/>
      <c r="D877" s="33" t="str">
        <f t="shared" si="224"/>
        <v>E100001</v>
      </c>
      <c r="E877" s="33"/>
      <c r="F877" s="34"/>
      <c r="G877" s="34" t="str">
        <f>"""NAV Direct"",""CRONUS JetCorp USA"",""32"",""1"",""25272"""</f>
        <v>"NAV Direct","CRONUS JetCorp USA","32","1","25272"</v>
      </c>
      <c r="H877" s="40">
        <v>43476</v>
      </c>
      <c r="I877" s="41">
        <v>25272</v>
      </c>
      <c r="J877" s="42" t="str">
        <f>"Customer"</f>
        <v>Customer</v>
      </c>
      <c r="K877" s="42" t="str">
        <f>"C100102"</f>
        <v>C100102</v>
      </c>
      <c r="L877" s="42" t="str">
        <f>IF($J877="Customer",_xll.NL("first",$J877,"Name","No.","@@"&amp;$K877),"")</f>
        <v xml:space="preserve">BEI Outfitters </v>
      </c>
      <c r="M877" s="42" t="str">
        <f>""</f>
        <v/>
      </c>
      <c r="N877" s="42" t="str">
        <f>IF($J877="Item",_xll.NL("first",$J877,"Description","No.","@@"&amp;$K877),"")</f>
        <v/>
      </c>
      <c r="O877" s="43">
        <v>0</v>
      </c>
      <c r="P877" s="43">
        <v>-144</v>
      </c>
      <c r="Q877" s="43">
        <v>0</v>
      </c>
      <c r="R877" s="43">
        <v>0</v>
      </c>
      <c r="S877" s="43">
        <v>0</v>
      </c>
      <c r="T877" s="43">
        <v>0</v>
      </c>
      <c r="U877" s="56"/>
    </row>
    <row r="878" spans="1:21" ht="17.25" customHeight="1" x14ac:dyDescent="0.3">
      <c r="A878" s="15" t="s">
        <v>30</v>
      </c>
      <c r="C878" s="19"/>
      <c r="D878" s="33" t="str">
        <f t="shared" si="224"/>
        <v>E100001</v>
      </c>
      <c r="E878" s="33"/>
      <c r="F878" s="34"/>
      <c r="G878" s="34" t="str">
        <f>"""NAV Direct"",""CRONUS JetCorp USA"",""32"",""1"",""20407"""</f>
        <v>"NAV Direct","CRONUS JetCorp USA","32","1","20407"</v>
      </c>
      <c r="H878" s="40">
        <v>43477</v>
      </c>
      <c r="I878" s="41">
        <v>20407</v>
      </c>
      <c r="J878" s="42" t="str">
        <f>"Customer"</f>
        <v>Customer</v>
      </c>
      <c r="K878" s="42" t="str">
        <f>"C100039"</f>
        <v>C100039</v>
      </c>
      <c r="L878" s="42" t="str">
        <f>IF($J878="Customer",_xll.NL("first",$J878,"Name","No.","@@"&amp;$K878),"")</f>
        <v>Gary's Sports</v>
      </c>
      <c r="M878" s="42" t="str">
        <f>""</f>
        <v/>
      </c>
      <c r="N878" s="42" t="str">
        <f>IF($J878="Item",_xll.NL("first",$J878,"Description","No.","@@"&amp;$K878),"")</f>
        <v/>
      </c>
      <c r="O878" s="43">
        <v>0</v>
      </c>
      <c r="P878" s="43">
        <v>-12</v>
      </c>
      <c r="Q878" s="43">
        <v>0</v>
      </c>
      <c r="R878" s="43">
        <v>0</v>
      </c>
      <c r="S878" s="43">
        <v>0</v>
      </c>
      <c r="T878" s="43">
        <v>0</v>
      </c>
      <c r="U878" s="56"/>
    </row>
    <row r="879" spans="1:21" ht="17.25" customHeight="1" x14ac:dyDescent="0.3">
      <c r="A879" s="15" t="s">
        <v>30</v>
      </c>
      <c r="C879" s="19"/>
      <c r="D879" s="33" t="str">
        <f t="shared" si="224"/>
        <v>E100001</v>
      </c>
      <c r="E879" s="33"/>
      <c r="F879" s="34"/>
      <c r="G879" s="34" t="str">
        <f>"""NAV Direct"",""CRONUS JetCorp USA"",""32"",""1"",""25296"""</f>
        <v>"NAV Direct","CRONUS JetCorp USA","32","1","25296"</v>
      </c>
      <c r="H879" s="40">
        <v>43477</v>
      </c>
      <c r="I879" s="41">
        <v>25296</v>
      </c>
      <c r="J879" s="42" t="str">
        <f>"Customer"</f>
        <v>Customer</v>
      </c>
      <c r="K879" s="42" t="str">
        <f>"C100138"</f>
        <v>C100138</v>
      </c>
      <c r="L879" s="42" t="str">
        <f>IF($J879="Customer",_xll.NL("first",$J879,"Name","No.","@@"&amp;$K879),"")</f>
        <v>Dantons</v>
      </c>
      <c r="M879" s="42" t="str">
        <f>""</f>
        <v/>
      </c>
      <c r="N879" s="42" t="str">
        <f>IF($J879="Item",_xll.NL("first",$J879,"Description","No.","@@"&amp;$K879),"")</f>
        <v/>
      </c>
      <c r="O879" s="43">
        <v>0</v>
      </c>
      <c r="P879" s="43">
        <v>-144</v>
      </c>
      <c r="Q879" s="43">
        <v>0</v>
      </c>
      <c r="R879" s="43">
        <v>0</v>
      </c>
      <c r="S879" s="43">
        <v>0</v>
      </c>
      <c r="T879" s="43">
        <v>0</v>
      </c>
      <c r="U879" s="56"/>
    </row>
    <row r="880" spans="1:21" ht="17.25" customHeight="1" x14ac:dyDescent="0.3">
      <c r="A880" s="15" t="s">
        <v>30</v>
      </c>
      <c r="C880" s="19"/>
      <c r="D880" s="33" t="str">
        <f t="shared" si="224"/>
        <v>E100001</v>
      </c>
      <c r="E880" s="33"/>
      <c r="F880" s="34"/>
      <c r="G880" s="34" t="str">
        <f>"""NAV Direct"",""CRONUS JetCorp USA"",""32"",""1"",""38089"""</f>
        <v>"NAV Direct","CRONUS JetCorp USA","32","1","38089"</v>
      </c>
      <c r="H880" s="40">
        <v>43477</v>
      </c>
      <c r="I880" s="41">
        <v>38089</v>
      </c>
      <c r="J880" s="42" t="str">
        <f>"Customer"</f>
        <v>Customer</v>
      </c>
      <c r="K880" s="42" t="str">
        <f>"C100038"</f>
        <v>C100038</v>
      </c>
      <c r="L880" s="42" t="str">
        <f>IF($J880="Customer",_xll.NL("first",$J880,"Name","No.","@@"&amp;$K880),"")</f>
        <v>Gagn &amp; Gaman</v>
      </c>
      <c r="M880" s="42" t="str">
        <f>""</f>
        <v/>
      </c>
      <c r="N880" s="42" t="str">
        <f>IF($J880="Item",_xll.NL("first",$J880,"Description","No.","@@"&amp;$K880),"")</f>
        <v/>
      </c>
      <c r="O880" s="43">
        <v>0</v>
      </c>
      <c r="P880" s="43">
        <v>-145</v>
      </c>
      <c r="Q880" s="43">
        <v>0</v>
      </c>
      <c r="R880" s="43">
        <v>0</v>
      </c>
      <c r="S880" s="43">
        <v>0</v>
      </c>
      <c r="T880" s="43">
        <v>0</v>
      </c>
      <c r="U880" s="56"/>
    </row>
    <row r="881" spans="1:21" ht="17.25" customHeight="1" x14ac:dyDescent="0.3">
      <c r="A881" s="15" t="s">
        <v>30</v>
      </c>
      <c r="C881" s="19"/>
      <c r="D881" s="33"/>
      <c r="E881" s="33"/>
      <c r="F881" s="34"/>
      <c r="G881" s="34"/>
      <c r="H881" s="34"/>
      <c r="I881" s="34"/>
      <c r="J881" s="34"/>
      <c r="K881" s="34"/>
      <c r="L881" s="34"/>
      <c r="M881" s="34"/>
      <c r="N881" s="34"/>
      <c r="O881" s="44"/>
      <c r="P881" s="44"/>
      <c r="Q881" s="44"/>
      <c r="R881" s="44"/>
      <c r="S881" s="44"/>
      <c r="T881" s="44"/>
      <c r="U881" s="57"/>
    </row>
    <row r="882" spans="1:21" ht="17.25" customHeight="1" x14ac:dyDescent="0.3">
      <c r="A882" s="15" t="s">
        <v>30</v>
      </c>
      <c r="C882" s="19"/>
      <c r="D882" s="33"/>
      <c r="E882" s="33" t="s">
        <v>31</v>
      </c>
      <c r="F882" s="34" t="s">
        <v>31</v>
      </c>
      <c r="G882" s="34" t="s">
        <v>31</v>
      </c>
      <c r="H882" s="34"/>
      <c r="I882" s="34"/>
      <c r="J882" s="34" t="s">
        <v>31</v>
      </c>
      <c r="K882" s="34" t="s">
        <v>31</v>
      </c>
      <c r="L882" s="34" t="s">
        <v>31</v>
      </c>
      <c r="M882" s="34" t="s">
        <v>31</v>
      </c>
      <c r="N882" s="34"/>
      <c r="U882" s="58"/>
    </row>
    <row r="883" spans="1:21" ht="20.25" customHeight="1" x14ac:dyDescent="0.35">
      <c r="A883" s="15" t="s">
        <v>30</v>
      </c>
      <c r="C883" s="19"/>
      <c r="D883" s="35" t="str">
        <f t="shared" ref="D883" si="225">E883</f>
        <v>E100002</v>
      </c>
      <c r="E883" s="36" t="str">
        <f>"E100002"</f>
        <v>E100002</v>
      </c>
      <c r="F883" s="37" t="str">
        <f>"Cotton Classic Tote"</f>
        <v>Cotton Classic Tote</v>
      </c>
      <c r="G883" s="37"/>
      <c r="H883" s="38" t="str">
        <f>"EA"</f>
        <v>EA</v>
      </c>
      <c r="I883" s="37"/>
      <c r="J883" s="37"/>
      <c r="K883" s="37"/>
      <c r="L883" s="37"/>
      <c r="M883" s="37"/>
      <c r="N883" s="37"/>
      <c r="O883" s="39">
        <f>(SUBTOTAL(9,O884:O893))</f>
        <v>2800</v>
      </c>
      <c r="P883" s="39">
        <f>(SUBTOTAL(9,P884:P893))</f>
        <v>-1032</v>
      </c>
      <c r="Q883" s="39">
        <f>(SUBTOTAL(9,Q884:Q893))</f>
        <v>0</v>
      </c>
      <c r="R883" s="39">
        <f>(SUBTOTAL(9,R884:R893))</f>
        <v>0</v>
      </c>
      <c r="S883" s="39">
        <f>(SUBTOTAL(9,S884:S893))</f>
        <v>0</v>
      </c>
      <c r="T883" s="39">
        <f>(SUBTOTAL(9,T884:T893))</f>
        <v>0</v>
      </c>
      <c r="U883" s="55">
        <f t="shared" ref="U883" si="226">SUBTOTAL(9,O884:T893)</f>
        <v>1768</v>
      </c>
    </row>
    <row r="884" spans="1:21" ht="17.25" customHeight="1" x14ac:dyDescent="0.3">
      <c r="A884" s="15" t="s">
        <v>30</v>
      </c>
      <c r="C884" s="19"/>
      <c r="D884" s="33" t="str">
        <f t="shared" ref="D884" si="227">D883</f>
        <v>E100002</v>
      </c>
      <c r="E884" s="33"/>
      <c r="F884" s="34"/>
      <c r="G884" s="34" t="str">
        <f>"""NAV Direct"",""CRONUS JetCorp USA"",""32"",""1"",""166742"""</f>
        <v>"NAV Direct","CRONUS JetCorp USA","32","1","166742"</v>
      </c>
      <c r="H884" s="40">
        <v>43466</v>
      </c>
      <c r="I884" s="41">
        <v>166742</v>
      </c>
      <c r="J884" s="42" t="str">
        <f>"Vendor"</f>
        <v>Vendor</v>
      </c>
      <c r="K884" s="42" t="str">
        <f>"V100040"</f>
        <v>V100040</v>
      </c>
      <c r="L884" s="42" t="str">
        <f>IF($J884="Customer",_xll.NL("first",$J884,"Name","No.","@@"&amp;$K884),"")</f>
        <v/>
      </c>
      <c r="M884" s="42" t="str">
        <f>"Technische Betriebe Rotkreuz"</f>
        <v>Technische Betriebe Rotkreuz</v>
      </c>
      <c r="N884" s="42" t="str">
        <f>IF($J884="Item",_xll.NL("first",$J884,"Description","No.","@@"&amp;$K884),"")</f>
        <v/>
      </c>
      <c r="O884" s="43">
        <v>200</v>
      </c>
      <c r="P884" s="43">
        <v>0</v>
      </c>
      <c r="Q884" s="43">
        <v>0</v>
      </c>
      <c r="R884" s="43">
        <v>0</v>
      </c>
      <c r="S884" s="43">
        <v>0</v>
      </c>
      <c r="T884" s="43">
        <v>0</v>
      </c>
      <c r="U884" s="56"/>
    </row>
    <row r="885" spans="1:21" ht="17.25" customHeight="1" x14ac:dyDescent="0.3">
      <c r="A885" s="15" t="s">
        <v>30</v>
      </c>
      <c r="C885" s="19"/>
      <c r="D885" s="33" t="str">
        <f t="shared" ref="D885:D892" si="228">D884</f>
        <v>E100002</v>
      </c>
      <c r="E885" s="33"/>
      <c r="F885" s="34"/>
      <c r="G885" s="34" t="str">
        <f>"""NAV Direct"",""CRONUS JetCorp USA"",""32"",""1"",""166754"""</f>
        <v>"NAV Direct","CRONUS JetCorp USA","32","1","166754"</v>
      </c>
      <c r="H885" s="40">
        <v>43466</v>
      </c>
      <c r="I885" s="41">
        <v>166754</v>
      </c>
      <c r="J885" s="42" t="str">
        <f>"Vendor"</f>
        <v>Vendor</v>
      </c>
      <c r="K885" s="42" t="str">
        <f>"V100001"</f>
        <v>V100001</v>
      </c>
      <c r="L885" s="42" t="str">
        <f>IF($J885="Customer",_xll.NL("first",$J885,"Name","No.","@@"&amp;$K885),"")</f>
        <v/>
      </c>
      <c r="M885" s="42" t="str">
        <f>"Greigner, Inc."</f>
        <v>Greigner, Inc.</v>
      </c>
      <c r="N885" s="42" t="str">
        <f>IF($J885="Item",_xll.NL("first",$J885,"Description","No.","@@"&amp;$K885),"")</f>
        <v/>
      </c>
      <c r="O885" s="43">
        <v>400</v>
      </c>
      <c r="P885" s="43">
        <v>0</v>
      </c>
      <c r="Q885" s="43">
        <v>0</v>
      </c>
      <c r="R885" s="43">
        <v>0</v>
      </c>
      <c r="S885" s="43">
        <v>0</v>
      </c>
      <c r="T885" s="43">
        <v>0</v>
      </c>
      <c r="U885" s="56"/>
    </row>
    <row r="886" spans="1:21" ht="17.25" customHeight="1" x14ac:dyDescent="0.3">
      <c r="A886" s="15" t="s">
        <v>30</v>
      </c>
      <c r="C886" s="19"/>
      <c r="D886" s="33" t="str">
        <f t="shared" si="228"/>
        <v>E100002</v>
      </c>
      <c r="E886" s="33"/>
      <c r="F886" s="34"/>
      <c r="G886" s="34" t="str">
        <f>"""NAV Direct"",""CRONUS JetCorp USA"",""32"",""1"",""166771"""</f>
        <v>"NAV Direct","CRONUS JetCorp USA","32","1","166771"</v>
      </c>
      <c r="H886" s="40">
        <v>43466</v>
      </c>
      <c r="I886" s="41">
        <v>166771</v>
      </c>
      <c r="J886" s="42" t="str">
        <f>"Vendor"</f>
        <v>Vendor</v>
      </c>
      <c r="K886" s="42" t="str">
        <f>"V100001"</f>
        <v>V100001</v>
      </c>
      <c r="L886" s="42" t="str">
        <f>IF($J886="Customer",_xll.NL("first",$J886,"Name","No.","@@"&amp;$K886),"")</f>
        <v/>
      </c>
      <c r="M886" s="42" t="str">
        <f>"Greigner, Inc."</f>
        <v>Greigner, Inc.</v>
      </c>
      <c r="N886" s="42" t="str">
        <f>IF($J886="Item",_xll.NL("first",$J886,"Description","No.","@@"&amp;$K886),"")</f>
        <v/>
      </c>
      <c r="O886" s="43">
        <v>1200</v>
      </c>
      <c r="P886" s="43">
        <v>0</v>
      </c>
      <c r="Q886" s="43">
        <v>0</v>
      </c>
      <c r="R886" s="43">
        <v>0</v>
      </c>
      <c r="S886" s="43">
        <v>0</v>
      </c>
      <c r="T886" s="43">
        <v>0</v>
      </c>
      <c r="U886" s="56"/>
    </row>
    <row r="887" spans="1:21" ht="17.25" customHeight="1" x14ac:dyDescent="0.3">
      <c r="A887" s="15" t="s">
        <v>30</v>
      </c>
      <c r="C887" s="19"/>
      <c r="D887" s="33" t="str">
        <f t="shared" si="228"/>
        <v>E100002</v>
      </c>
      <c r="E887" s="33"/>
      <c r="F887" s="34"/>
      <c r="G887" s="34" t="str">
        <f>"""NAV Direct"",""CRONUS JetCorp USA"",""32"",""1"",""166793"""</f>
        <v>"NAV Direct","CRONUS JetCorp USA","32","1","166793"</v>
      </c>
      <c r="H887" s="40">
        <v>43466</v>
      </c>
      <c r="I887" s="41">
        <v>166793</v>
      </c>
      <c r="J887" s="42" t="str">
        <f>"Vendor"</f>
        <v>Vendor</v>
      </c>
      <c r="K887" s="42" t="str">
        <f>"V100003"</f>
        <v>V100003</v>
      </c>
      <c r="L887" s="42" t="str">
        <f>IF($J887="Customer",_xll.NL("first",$J887,"Name","No.","@@"&amp;$K887),"")</f>
        <v/>
      </c>
      <c r="M887" s="42" t="str">
        <f>"LogoMasters"</f>
        <v>LogoMasters</v>
      </c>
      <c r="N887" s="42" t="str">
        <f>IF($J887="Item",_xll.NL("first",$J887,"Description","No.","@@"&amp;$K887),"")</f>
        <v/>
      </c>
      <c r="O887" s="43">
        <v>999.99999999999989</v>
      </c>
      <c r="P887" s="43">
        <v>0</v>
      </c>
      <c r="Q887" s="43">
        <v>0</v>
      </c>
      <c r="R887" s="43">
        <v>0</v>
      </c>
      <c r="S887" s="43">
        <v>0</v>
      </c>
      <c r="T887" s="43">
        <v>0</v>
      </c>
      <c r="U887" s="56"/>
    </row>
    <row r="888" spans="1:21" ht="17.25" customHeight="1" x14ac:dyDescent="0.3">
      <c r="A888" s="15" t="s">
        <v>30</v>
      </c>
      <c r="C888" s="19"/>
      <c r="D888" s="33" t="str">
        <f t="shared" si="228"/>
        <v>E100002</v>
      </c>
      <c r="E888" s="33"/>
      <c r="F888" s="34"/>
      <c r="G888" s="34" t="str">
        <f>"""NAV Direct"",""CRONUS JetCorp USA"",""32"",""1"",""72515"""</f>
        <v>"NAV Direct","CRONUS JetCorp USA","32","1","72515"</v>
      </c>
      <c r="H888" s="40">
        <v>43471</v>
      </c>
      <c r="I888" s="41">
        <v>72515</v>
      </c>
      <c r="J888" s="42" t="str">
        <f>"Customer"</f>
        <v>Customer</v>
      </c>
      <c r="K888" s="42" t="str">
        <f>"C100107"</f>
        <v>C100107</v>
      </c>
      <c r="L888" s="42" t="str">
        <f>IF($J888="Customer",_xll.NL("first",$J888,"Name","No.","@@"&amp;$K888),"")</f>
        <v>Lexitechnology</v>
      </c>
      <c r="M888" s="42" t="str">
        <f>""</f>
        <v/>
      </c>
      <c r="N888" s="42" t="str">
        <f>IF($J888="Item",_xll.NL("first",$J888,"Description","No.","@@"&amp;$K888),"")</f>
        <v/>
      </c>
      <c r="O888" s="43">
        <v>0</v>
      </c>
      <c r="P888" s="43">
        <v>-288</v>
      </c>
      <c r="Q888" s="43">
        <v>0</v>
      </c>
      <c r="R888" s="43">
        <v>0</v>
      </c>
      <c r="S888" s="43">
        <v>0</v>
      </c>
      <c r="T888" s="43">
        <v>0</v>
      </c>
      <c r="U888" s="56"/>
    </row>
    <row r="889" spans="1:21" ht="17.25" customHeight="1" x14ac:dyDescent="0.3">
      <c r="A889" s="15" t="s">
        <v>30</v>
      </c>
      <c r="C889" s="19"/>
      <c r="D889" s="33" t="str">
        <f t="shared" si="228"/>
        <v>E100002</v>
      </c>
      <c r="E889" s="33"/>
      <c r="F889" s="34"/>
      <c r="G889" s="34" t="str">
        <f>"""NAV Direct"",""CRONUS JetCorp USA"",""32"",""1"",""54729"""</f>
        <v>"NAV Direct","CRONUS JetCorp USA","32","1","54729"</v>
      </c>
      <c r="H889" s="40">
        <v>43472</v>
      </c>
      <c r="I889" s="41">
        <v>54729</v>
      </c>
      <c r="J889" s="42" t="str">
        <f>"Customer"</f>
        <v>Customer</v>
      </c>
      <c r="K889" s="42" t="str">
        <f>"C100084"</f>
        <v>C100084</v>
      </c>
      <c r="L889" s="42" t="str">
        <f>IF($J889="Customer",_xll.NL("first",$J889,"Name","No.","@@"&amp;$K889),"")</f>
        <v>The Cannon Group PLC</v>
      </c>
      <c r="M889" s="42" t="str">
        <f>""</f>
        <v/>
      </c>
      <c r="N889" s="42" t="str">
        <f>IF($J889="Item",_xll.NL("first",$J889,"Description","No.","@@"&amp;$K889),"")</f>
        <v/>
      </c>
      <c r="O889" s="43">
        <v>0</v>
      </c>
      <c r="P889" s="43">
        <v>-288</v>
      </c>
      <c r="Q889" s="43">
        <v>0</v>
      </c>
      <c r="R889" s="43">
        <v>0</v>
      </c>
      <c r="S889" s="43">
        <v>0</v>
      </c>
      <c r="T889" s="43">
        <v>0</v>
      </c>
      <c r="U889" s="56"/>
    </row>
    <row r="890" spans="1:21" ht="17.25" customHeight="1" x14ac:dyDescent="0.3">
      <c r="A890" s="15" t="s">
        <v>30</v>
      </c>
      <c r="C890" s="19"/>
      <c r="D890" s="33" t="str">
        <f t="shared" si="228"/>
        <v>E100002</v>
      </c>
      <c r="E890" s="33"/>
      <c r="F890" s="34"/>
      <c r="G890" s="34" t="str">
        <f>"""NAV Direct"",""CRONUS JetCorp USA"",""32"",""1"",""64599"""</f>
        <v>"NAV Direct","CRONUS JetCorp USA","32","1","64599"</v>
      </c>
      <c r="H890" s="40">
        <v>43472</v>
      </c>
      <c r="I890" s="41">
        <v>64599</v>
      </c>
      <c r="J890" s="42" t="str">
        <f>"Customer"</f>
        <v>Customer</v>
      </c>
      <c r="K890" s="42" t="str">
        <f>"C100140"</f>
        <v>C100140</v>
      </c>
      <c r="L890" s="42" t="str">
        <f>IF($J890="Customer",_xll.NL("first",$J890,"Name","No.","@@"&amp;$K890),"")</f>
        <v>Super Daves</v>
      </c>
      <c r="M890" s="42" t="str">
        <f>""</f>
        <v/>
      </c>
      <c r="N890" s="42" t="str">
        <f>IF($J890="Item",_xll.NL("first",$J890,"Description","No.","@@"&amp;$K890),"")</f>
        <v/>
      </c>
      <c r="O890" s="43">
        <v>0</v>
      </c>
      <c r="P890" s="43">
        <v>-288</v>
      </c>
      <c r="Q890" s="43">
        <v>0</v>
      </c>
      <c r="R890" s="43">
        <v>0</v>
      </c>
      <c r="S890" s="43">
        <v>0</v>
      </c>
      <c r="T890" s="43">
        <v>0</v>
      </c>
      <c r="U890" s="56"/>
    </row>
    <row r="891" spans="1:21" ht="17.25" customHeight="1" x14ac:dyDescent="0.3">
      <c r="A891" s="15" t="s">
        <v>30</v>
      </c>
      <c r="C891" s="19"/>
      <c r="D891" s="33" t="str">
        <f t="shared" si="228"/>
        <v>E100002</v>
      </c>
      <c r="E891" s="33"/>
      <c r="F891" s="34"/>
      <c r="G891" s="34" t="str">
        <f>"""NAV Direct"",""CRONUS JetCorp USA"",""32"",""1"",""54709"""</f>
        <v>"NAV Direct","CRONUS JetCorp USA","32","1","54709"</v>
      </c>
      <c r="H891" s="40">
        <v>43474</v>
      </c>
      <c r="I891" s="41">
        <v>54709</v>
      </c>
      <c r="J891" s="42" t="str">
        <f>"Customer"</f>
        <v>Customer</v>
      </c>
      <c r="K891" s="42" t="str">
        <f>"C100096"</f>
        <v>C100096</v>
      </c>
      <c r="L891" s="42" t="str">
        <f>IF($J891="Customer",_xll.NL("first",$J891,"Name","No.","@@"&amp;$K891),"")</f>
        <v>D-Com Industries</v>
      </c>
      <c r="M891" s="42" t="str">
        <f>""</f>
        <v/>
      </c>
      <c r="N891" s="42" t="str">
        <f>IF($J891="Item",_xll.NL("first",$J891,"Description","No.","@@"&amp;$K891),"")</f>
        <v/>
      </c>
      <c r="O891" s="43">
        <v>0</v>
      </c>
      <c r="P891" s="43">
        <v>-144</v>
      </c>
      <c r="Q891" s="43">
        <v>0</v>
      </c>
      <c r="R891" s="43">
        <v>0</v>
      </c>
      <c r="S891" s="43">
        <v>0</v>
      </c>
      <c r="T891" s="43">
        <v>0</v>
      </c>
      <c r="U891" s="56"/>
    </row>
    <row r="892" spans="1:21" ht="17.25" customHeight="1" x14ac:dyDescent="0.3">
      <c r="A892" s="15" t="s">
        <v>30</v>
      </c>
      <c r="C892" s="19"/>
      <c r="D892" s="33" t="str">
        <f t="shared" si="228"/>
        <v>E100002</v>
      </c>
      <c r="E892" s="33"/>
      <c r="F892" s="34"/>
      <c r="G892" s="34" t="str">
        <f>"""NAV Direct"",""CRONUS JetCorp USA"",""32"",""1"",""78909"""</f>
        <v>"NAV Direct","CRONUS JetCorp USA","32","1","78909"</v>
      </c>
      <c r="H892" s="40">
        <v>43475</v>
      </c>
      <c r="I892" s="41">
        <v>78909</v>
      </c>
      <c r="J892" s="42" t="str">
        <f>"Customer"</f>
        <v>Customer</v>
      </c>
      <c r="K892" s="42" t="str">
        <f>"C100128"</f>
        <v>C100128</v>
      </c>
      <c r="L892" s="42" t="str">
        <f>IF($J892="Customer",_xll.NL("first",$J892,"Name","No.","@@"&amp;$K892),"")</f>
        <v>Solar Tech</v>
      </c>
      <c r="M892" s="42" t="str">
        <f>""</f>
        <v/>
      </c>
      <c r="N892" s="42" t="str">
        <f>IF($J892="Item",_xll.NL("first",$J892,"Description","No.","@@"&amp;$K892),"")</f>
        <v/>
      </c>
      <c r="O892" s="43">
        <v>0</v>
      </c>
      <c r="P892" s="43">
        <v>-24</v>
      </c>
      <c r="Q892" s="43">
        <v>0</v>
      </c>
      <c r="R892" s="43">
        <v>0</v>
      </c>
      <c r="S892" s="43">
        <v>0</v>
      </c>
      <c r="T892" s="43">
        <v>0</v>
      </c>
      <c r="U892" s="56"/>
    </row>
    <row r="893" spans="1:21" ht="17.25" customHeight="1" x14ac:dyDescent="0.3">
      <c r="A893" s="15" t="s">
        <v>30</v>
      </c>
      <c r="C893" s="19"/>
      <c r="D893" s="33"/>
      <c r="E893" s="33"/>
      <c r="F893" s="34"/>
      <c r="G893" s="34"/>
      <c r="H893" s="34"/>
      <c r="I893" s="34"/>
      <c r="J893" s="34"/>
      <c r="K893" s="34"/>
      <c r="L893" s="34"/>
      <c r="M893" s="34"/>
      <c r="N893" s="34"/>
      <c r="O893" s="44"/>
      <c r="P893" s="44"/>
      <c r="Q893" s="44"/>
      <c r="R893" s="44"/>
      <c r="S893" s="44"/>
      <c r="T893" s="44"/>
      <c r="U893" s="57"/>
    </row>
    <row r="894" spans="1:21" ht="17.25" customHeight="1" x14ac:dyDescent="0.3">
      <c r="A894" s="15" t="s">
        <v>30</v>
      </c>
      <c r="C894" s="19"/>
      <c r="D894" s="33"/>
      <c r="E894" s="33" t="s">
        <v>31</v>
      </c>
      <c r="F894" s="34" t="s">
        <v>31</v>
      </c>
      <c r="G894" s="34" t="s">
        <v>31</v>
      </c>
      <c r="H894" s="34"/>
      <c r="I894" s="34"/>
      <c r="J894" s="34" t="s">
        <v>31</v>
      </c>
      <c r="K894" s="34" t="s">
        <v>31</v>
      </c>
      <c r="L894" s="34" t="s">
        <v>31</v>
      </c>
      <c r="M894" s="34" t="s">
        <v>31</v>
      </c>
      <c r="N894" s="34"/>
      <c r="U894" s="58"/>
    </row>
    <row r="895" spans="1:21" ht="20.25" customHeight="1" x14ac:dyDescent="0.35">
      <c r="A895" s="15" t="s">
        <v>30</v>
      </c>
      <c r="C895" s="19"/>
      <c r="D895" s="35" t="str">
        <f t="shared" ref="D895" si="229">E895</f>
        <v>E100003</v>
      </c>
      <c r="E895" s="36" t="str">
        <f>"E100003"</f>
        <v>E100003</v>
      </c>
      <c r="F895" s="37" t="str">
        <f>"Recycled Tote"</f>
        <v>Recycled Tote</v>
      </c>
      <c r="G895" s="37"/>
      <c r="H895" s="38" t="str">
        <f>"EA"</f>
        <v>EA</v>
      </c>
      <c r="I895" s="37"/>
      <c r="J895" s="37"/>
      <c r="K895" s="37"/>
      <c r="L895" s="37"/>
      <c r="M895" s="37"/>
      <c r="N895" s="37"/>
      <c r="O895" s="39">
        <f>(SUBTOTAL(9,O896:O904))</f>
        <v>1800</v>
      </c>
      <c r="P895" s="39">
        <f>(SUBTOTAL(9,P896:P904))</f>
        <v>-624</v>
      </c>
      <c r="Q895" s="39">
        <f>(SUBTOTAL(9,Q896:Q904))</f>
        <v>0</v>
      </c>
      <c r="R895" s="39">
        <f>(SUBTOTAL(9,R896:R904))</f>
        <v>0</v>
      </c>
      <c r="S895" s="39">
        <f>(SUBTOTAL(9,S896:S904))</f>
        <v>0</v>
      </c>
      <c r="T895" s="39">
        <f>(SUBTOTAL(9,T896:T904))</f>
        <v>0</v>
      </c>
      <c r="U895" s="55">
        <f t="shared" ref="U895" si="230">SUBTOTAL(9,O896:T904)</f>
        <v>1176</v>
      </c>
    </row>
    <row r="896" spans="1:21" ht="17.25" customHeight="1" x14ac:dyDescent="0.3">
      <c r="A896" s="15" t="s">
        <v>30</v>
      </c>
      <c r="C896" s="19"/>
      <c r="D896" s="33" t="str">
        <f t="shared" ref="D896" si="231">D895</f>
        <v>E100003</v>
      </c>
      <c r="E896" s="33"/>
      <c r="F896" s="34"/>
      <c r="G896" s="34" t="str">
        <f>"""NAV Direct"",""CRONUS JetCorp USA"",""32"",""1"",""166732"""</f>
        <v>"NAV Direct","CRONUS JetCorp USA","32","1","166732"</v>
      </c>
      <c r="H896" s="40">
        <v>43466</v>
      </c>
      <c r="I896" s="41">
        <v>166732</v>
      </c>
      <c r="J896" s="42" t="str">
        <f>"Vendor"</f>
        <v>Vendor</v>
      </c>
      <c r="K896" s="42" t="str">
        <f>"V100009"</f>
        <v>V100009</v>
      </c>
      <c r="L896" s="42" t="str">
        <f>IF($J896="Customer",_xll.NL("first",$J896,"Name","No.","@@"&amp;$K896),"")</f>
        <v/>
      </c>
      <c r="M896" s="42" t="str">
        <f>"Malay-Dan Export Unit Sdn Bhd"</f>
        <v>Malay-Dan Export Unit Sdn Bhd</v>
      </c>
      <c r="N896" s="42" t="str">
        <f>IF($J896="Item",_xll.NL("first",$J896,"Description","No.","@@"&amp;$K896),"")</f>
        <v/>
      </c>
      <c r="O896" s="43">
        <v>200</v>
      </c>
      <c r="P896" s="43">
        <v>0</v>
      </c>
      <c r="Q896" s="43">
        <v>0</v>
      </c>
      <c r="R896" s="43">
        <v>0</v>
      </c>
      <c r="S896" s="43">
        <v>0</v>
      </c>
      <c r="T896" s="43">
        <v>0</v>
      </c>
      <c r="U896" s="56"/>
    </row>
    <row r="897" spans="1:21" ht="17.25" customHeight="1" x14ac:dyDescent="0.3">
      <c r="A897" s="15" t="s">
        <v>30</v>
      </c>
      <c r="C897" s="19"/>
      <c r="D897" s="33" t="str">
        <f t="shared" ref="D897:D903" si="232">D896</f>
        <v>E100003</v>
      </c>
      <c r="E897" s="33"/>
      <c r="F897" s="34"/>
      <c r="G897" s="34" t="str">
        <f>"""NAV Direct"",""CRONUS JetCorp USA"",""32"",""1"",""166753"""</f>
        <v>"NAV Direct","CRONUS JetCorp USA","32","1","166753"</v>
      </c>
      <c r="H897" s="40">
        <v>43466</v>
      </c>
      <c r="I897" s="41">
        <v>166753</v>
      </c>
      <c r="J897" s="42" t="str">
        <f>"Vendor"</f>
        <v>Vendor</v>
      </c>
      <c r="K897" s="42" t="str">
        <f>"V100001"</f>
        <v>V100001</v>
      </c>
      <c r="L897" s="42" t="str">
        <f>IF($J897="Customer",_xll.NL("first",$J897,"Name","No.","@@"&amp;$K897),"")</f>
        <v/>
      </c>
      <c r="M897" s="42" t="str">
        <f>"Greigner, Inc."</f>
        <v>Greigner, Inc.</v>
      </c>
      <c r="N897" s="42" t="str">
        <f>IF($J897="Item",_xll.NL("first",$J897,"Description","No.","@@"&amp;$K897),"")</f>
        <v/>
      </c>
      <c r="O897" s="43">
        <v>200</v>
      </c>
      <c r="P897" s="43">
        <v>0</v>
      </c>
      <c r="Q897" s="43">
        <v>0</v>
      </c>
      <c r="R897" s="43">
        <v>0</v>
      </c>
      <c r="S897" s="43">
        <v>0</v>
      </c>
      <c r="T897" s="43">
        <v>0</v>
      </c>
      <c r="U897" s="56"/>
    </row>
    <row r="898" spans="1:21" ht="17.25" customHeight="1" x14ac:dyDescent="0.3">
      <c r="A898" s="15" t="s">
        <v>30</v>
      </c>
      <c r="C898" s="19"/>
      <c r="D898" s="33" t="str">
        <f t="shared" si="232"/>
        <v>E100003</v>
      </c>
      <c r="E898" s="33"/>
      <c r="F898" s="34"/>
      <c r="G898" s="34" t="str">
        <f>"""NAV Direct"",""CRONUS JetCorp USA"",""32"",""1"",""166770"""</f>
        <v>"NAV Direct","CRONUS JetCorp USA","32","1","166770"</v>
      </c>
      <c r="H898" s="40">
        <v>43466</v>
      </c>
      <c r="I898" s="41">
        <v>166770</v>
      </c>
      <c r="J898" s="42" t="str">
        <f>"Vendor"</f>
        <v>Vendor</v>
      </c>
      <c r="K898" s="42" t="str">
        <f>"V100001"</f>
        <v>V100001</v>
      </c>
      <c r="L898" s="42" t="str">
        <f>IF($J898="Customer",_xll.NL("first",$J898,"Name","No.","@@"&amp;$K898),"")</f>
        <v/>
      </c>
      <c r="M898" s="42" t="str">
        <f>"Greigner, Inc."</f>
        <v>Greigner, Inc.</v>
      </c>
      <c r="N898" s="42" t="str">
        <f>IF($J898="Item",_xll.NL("first",$J898,"Description","No.","@@"&amp;$K898),"")</f>
        <v/>
      </c>
      <c r="O898" s="43">
        <v>999.99999999999989</v>
      </c>
      <c r="P898" s="43">
        <v>0</v>
      </c>
      <c r="Q898" s="43">
        <v>0</v>
      </c>
      <c r="R898" s="43">
        <v>0</v>
      </c>
      <c r="S898" s="43">
        <v>0</v>
      </c>
      <c r="T898" s="43">
        <v>0</v>
      </c>
      <c r="U898" s="56"/>
    </row>
    <row r="899" spans="1:21" ht="17.25" customHeight="1" x14ac:dyDescent="0.3">
      <c r="A899" s="15" t="s">
        <v>30</v>
      </c>
      <c r="C899" s="19"/>
      <c r="D899" s="33" t="str">
        <f t="shared" si="232"/>
        <v>E100003</v>
      </c>
      <c r="E899" s="33"/>
      <c r="F899" s="34"/>
      <c r="G899" s="34" t="str">
        <f>"""NAV Direct"",""CRONUS JetCorp USA"",""32"",""1"",""166792"""</f>
        <v>"NAV Direct","CRONUS JetCorp USA","32","1","166792"</v>
      </c>
      <c r="H899" s="40">
        <v>43466</v>
      </c>
      <c r="I899" s="41">
        <v>166792</v>
      </c>
      <c r="J899" s="42" t="str">
        <f>"Vendor"</f>
        <v>Vendor</v>
      </c>
      <c r="K899" s="42" t="str">
        <f>"V100003"</f>
        <v>V100003</v>
      </c>
      <c r="L899" s="42" t="str">
        <f>IF($J899="Customer",_xll.NL("first",$J899,"Name","No.","@@"&amp;$K899),"")</f>
        <v/>
      </c>
      <c r="M899" s="42" t="str">
        <f>"LogoMasters"</f>
        <v>LogoMasters</v>
      </c>
      <c r="N899" s="42" t="str">
        <f>IF($J899="Item",_xll.NL("first",$J899,"Description","No.","@@"&amp;$K899),"")</f>
        <v/>
      </c>
      <c r="O899" s="43">
        <v>400</v>
      </c>
      <c r="P899" s="43">
        <v>0</v>
      </c>
      <c r="Q899" s="43">
        <v>0</v>
      </c>
      <c r="R899" s="43">
        <v>0</v>
      </c>
      <c r="S899" s="43">
        <v>0</v>
      </c>
      <c r="T899" s="43">
        <v>0</v>
      </c>
      <c r="U899" s="56"/>
    </row>
    <row r="900" spans="1:21" ht="17.25" customHeight="1" x14ac:dyDescent="0.3">
      <c r="A900" s="15" t="s">
        <v>30</v>
      </c>
      <c r="C900" s="19"/>
      <c r="D900" s="33" t="str">
        <f t="shared" si="232"/>
        <v>E100003</v>
      </c>
      <c r="E900" s="33"/>
      <c r="F900" s="34"/>
      <c r="G900" s="34" t="str">
        <f>"""NAV Direct"",""CRONUS JetCorp USA"",""32"",""1"",""44460"""</f>
        <v>"NAV Direct","CRONUS JetCorp USA","32","1","44460"</v>
      </c>
      <c r="H900" s="40">
        <v>43472</v>
      </c>
      <c r="I900" s="41">
        <v>44460</v>
      </c>
      <c r="J900" s="42" t="str">
        <f>"Customer"</f>
        <v>Customer</v>
      </c>
      <c r="K900" s="42" t="str">
        <f>"C100141"</f>
        <v>C100141</v>
      </c>
      <c r="L900" s="42" t="str">
        <f>IF($J900="Customer",_xll.NL("first",$J900,"Name","No.","@@"&amp;$K900),"")</f>
        <v>Bargottis</v>
      </c>
      <c r="M900" s="42" t="str">
        <f>""</f>
        <v/>
      </c>
      <c r="N900" s="42" t="str">
        <f>IF($J900="Item",_xll.NL("first",$J900,"Description","No.","@@"&amp;$K900),"")</f>
        <v/>
      </c>
      <c r="O900" s="43">
        <v>0</v>
      </c>
      <c r="P900" s="43">
        <v>-288</v>
      </c>
      <c r="Q900" s="43">
        <v>0</v>
      </c>
      <c r="R900" s="43">
        <v>0</v>
      </c>
      <c r="S900" s="43">
        <v>0</v>
      </c>
      <c r="T900" s="43">
        <v>0</v>
      </c>
      <c r="U900" s="56"/>
    </row>
    <row r="901" spans="1:21" ht="17.25" customHeight="1" x14ac:dyDescent="0.3">
      <c r="A901" s="15" t="s">
        <v>30</v>
      </c>
      <c r="C901" s="19"/>
      <c r="D901" s="33" t="str">
        <f t="shared" si="232"/>
        <v>E100003</v>
      </c>
      <c r="E901" s="33"/>
      <c r="F901" s="34"/>
      <c r="G901" s="34" t="str">
        <f>"""NAV Direct"",""CRONUS JetCorp USA"",""32"",""1"",""54726"""</f>
        <v>"NAV Direct","CRONUS JetCorp USA","32","1","54726"</v>
      </c>
      <c r="H901" s="40">
        <v>43472</v>
      </c>
      <c r="I901" s="41">
        <v>54726</v>
      </c>
      <c r="J901" s="42" t="str">
        <f>"Customer"</f>
        <v>Customer</v>
      </c>
      <c r="K901" s="42" t="str">
        <f>"C100084"</f>
        <v>C100084</v>
      </c>
      <c r="L901" s="42" t="str">
        <f>IF($J901="Customer",_xll.NL("first",$J901,"Name","No.","@@"&amp;$K901),"")</f>
        <v>The Cannon Group PLC</v>
      </c>
      <c r="M901" s="42" t="str">
        <f>""</f>
        <v/>
      </c>
      <c r="N901" s="42" t="str">
        <f>IF($J901="Item",_xll.NL("first",$J901,"Description","No.","@@"&amp;$K901),"")</f>
        <v/>
      </c>
      <c r="O901" s="43">
        <v>0</v>
      </c>
      <c r="P901" s="43">
        <v>-144</v>
      </c>
      <c r="Q901" s="43">
        <v>0</v>
      </c>
      <c r="R901" s="43">
        <v>0</v>
      </c>
      <c r="S901" s="43">
        <v>0</v>
      </c>
      <c r="T901" s="43">
        <v>0</v>
      </c>
      <c r="U901" s="56"/>
    </row>
    <row r="902" spans="1:21" ht="17.25" customHeight="1" x14ac:dyDescent="0.3">
      <c r="A902" s="15" t="s">
        <v>30</v>
      </c>
      <c r="C902" s="19"/>
      <c r="D902" s="33" t="str">
        <f t="shared" si="232"/>
        <v>E100003</v>
      </c>
      <c r="E902" s="33"/>
      <c r="F902" s="34"/>
      <c r="G902" s="34" t="str">
        <f>"""NAV Direct"",""CRONUS JetCorp USA"",""32"",""1"",""44533"""</f>
        <v>"NAV Direct","CRONUS JetCorp USA","32","1","44533"</v>
      </c>
      <c r="H902" s="40">
        <v>43473</v>
      </c>
      <c r="I902" s="41">
        <v>44533</v>
      </c>
      <c r="J902" s="42" t="str">
        <f>"Customer"</f>
        <v>Customer</v>
      </c>
      <c r="K902" s="42" t="str">
        <f>"C100139"</f>
        <v>C100139</v>
      </c>
      <c r="L902" s="42" t="str">
        <f>IF($J902="Customer",_xll.NL("first",$J902,"Name","No.","@@"&amp;$K902),"")</f>
        <v>Gamma Ray's</v>
      </c>
      <c r="M902" s="42" t="str">
        <f>""</f>
        <v/>
      </c>
      <c r="N902" s="42" t="str">
        <f>IF($J902="Item",_xll.NL("first",$J902,"Description","No.","@@"&amp;$K902),"")</f>
        <v/>
      </c>
      <c r="O902" s="43">
        <v>0</v>
      </c>
      <c r="P902" s="43">
        <v>-48</v>
      </c>
      <c r="Q902" s="43">
        <v>0</v>
      </c>
      <c r="R902" s="43">
        <v>0</v>
      </c>
      <c r="S902" s="43">
        <v>0</v>
      </c>
      <c r="T902" s="43">
        <v>0</v>
      </c>
      <c r="U902" s="56"/>
    </row>
    <row r="903" spans="1:21" ht="17.25" customHeight="1" x14ac:dyDescent="0.3">
      <c r="A903" s="15" t="s">
        <v>30</v>
      </c>
      <c r="C903" s="19"/>
      <c r="D903" s="33" t="str">
        <f t="shared" si="232"/>
        <v>E100003</v>
      </c>
      <c r="E903" s="33"/>
      <c r="F903" s="34"/>
      <c r="G903" s="34" t="str">
        <f>"""NAV Direct"",""CRONUS JetCorp USA"",""32"",""1"",""78898"""</f>
        <v>"NAV Direct","CRONUS JetCorp USA","32","1","78898"</v>
      </c>
      <c r="H903" s="40">
        <v>43475</v>
      </c>
      <c r="I903" s="41">
        <v>78898</v>
      </c>
      <c r="J903" s="42" t="str">
        <f>"Customer"</f>
        <v>Customer</v>
      </c>
      <c r="K903" s="42" t="str">
        <f>"C100128"</f>
        <v>C100128</v>
      </c>
      <c r="L903" s="42" t="str">
        <f>IF($J903="Customer",_xll.NL("first",$J903,"Name","No.","@@"&amp;$K903),"")</f>
        <v>Solar Tech</v>
      </c>
      <c r="M903" s="42" t="str">
        <f>""</f>
        <v/>
      </c>
      <c r="N903" s="42" t="str">
        <f>IF($J903="Item",_xll.NL("first",$J903,"Description","No.","@@"&amp;$K903),"")</f>
        <v/>
      </c>
      <c r="O903" s="43">
        <v>0</v>
      </c>
      <c r="P903" s="43">
        <v>-144</v>
      </c>
      <c r="Q903" s="43">
        <v>0</v>
      </c>
      <c r="R903" s="43">
        <v>0</v>
      </c>
      <c r="S903" s="43">
        <v>0</v>
      </c>
      <c r="T903" s="43">
        <v>0</v>
      </c>
      <c r="U903" s="56"/>
    </row>
    <row r="904" spans="1:21" ht="17.25" customHeight="1" x14ac:dyDescent="0.3">
      <c r="A904" s="15" t="s">
        <v>30</v>
      </c>
      <c r="C904" s="19"/>
      <c r="D904" s="33"/>
      <c r="E904" s="33"/>
      <c r="F904" s="34"/>
      <c r="G904" s="34"/>
      <c r="H904" s="34"/>
      <c r="I904" s="34"/>
      <c r="J904" s="34"/>
      <c r="K904" s="34"/>
      <c r="L904" s="34"/>
      <c r="M904" s="34"/>
      <c r="N904" s="34"/>
      <c r="O904" s="44"/>
      <c r="P904" s="44"/>
      <c r="Q904" s="44"/>
      <c r="R904" s="44"/>
      <c r="S904" s="44"/>
      <c r="T904" s="44"/>
      <c r="U904" s="57"/>
    </row>
    <row r="905" spans="1:21" ht="17.25" customHeight="1" x14ac:dyDescent="0.3">
      <c r="A905" s="15" t="s">
        <v>30</v>
      </c>
      <c r="C905" s="19"/>
      <c r="D905" s="33"/>
      <c r="E905" s="33" t="s">
        <v>31</v>
      </c>
      <c r="F905" s="34" t="s">
        <v>31</v>
      </c>
      <c r="G905" s="34" t="s">
        <v>31</v>
      </c>
      <c r="H905" s="34"/>
      <c r="I905" s="34"/>
      <c r="J905" s="34" t="s">
        <v>31</v>
      </c>
      <c r="K905" s="34" t="s">
        <v>31</v>
      </c>
      <c r="L905" s="34" t="s">
        <v>31</v>
      </c>
      <c r="M905" s="34" t="s">
        <v>31</v>
      </c>
      <c r="N905" s="34"/>
      <c r="U905" s="58"/>
    </row>
    <row r="906" spans="1:21" ht="20.25" customHeight="1" x14ac:dyDescent="0.35">
      <c r="A906" s="15" t="s">
        <v>30</v>
      </c>
      <c r="C906" s="19"/>
      <c r="D906" s="35" t="str">
        <f t="shared" ref="D906" si="233">E906</f>
        <v>E100004</v>
      </c>
      <c r="E906" s="36" t="str">
        <f>"E100004"</f>
        <v>E100004</v>
      </c>
      <c r="F906" s="37" t="str">
        <f>"Laminated Tote"</f>
        <v>Laminated Tote</v>
      </c>
      <c r="G906" s="37"/>
      <c r="H906" s="38" t="str">
        <f>"EA"</f>
        <v>EA</v>
      </c>
      <c r="I906" s="37"/>
      <c r="J906" s="37"/>
      <c r="K906" s="37"/>
      <c r="L906" s="37"/>
      <c r="M906" s="37"/>
      <c r="N906" s="37"/>
      <c r="O906" s="39">
        <f>(SUBTOTAL(9,O907:O921))</f>
        <v>2800</v>
      </c>
      <c r="P906" s="39">
        <f>(SUBTOTAL(9,P907:P921))</f>
        <v>-1327</v>
      </c>
      <c r="Q906" s="39">
        <f>(SUBTOTAL(9,Q907:Q921))</f>
        <v>0</v>
      </c>
      <c r="R906" s="39">
        <f>(SUBTOTAL(9,R907:R921))</f>
        <v>0</v>
      </c>
      <c r="S906" s="39">
        <f>(SUBTOTAL(9,S907:S921))</f>
        <v>0</v>
      </c>
      <c r="T906" s="39">
        <f>(SUBTOTAL(9,T907:T921))</f>
        <v>0</v>
      </c>
      <c r="U906" s="55">
        <f t="shared" ref="U906" si="234">SUBTOTAL(9,O907:T921)</f>
        <v>1473</v>
      </c>
    </row>
    <row r="907" spans="1:21" ht="17.25" customHeight="1" x14ac:dyDescent="0.3">
      <c r="A907" s="15" t="s">
        <v>30</v>
      </c>
      <c r="C907" s="19"/>
      <c r="D907" s="33" t="str">
        <f t="shared" ref="D907" si="235">D906</f>
        <v>E100004</v>
      </c>
      <c r="E907" s="33"/>
      <c r="F907" s="34"/>
      <c r="G907" s="34" t="str">
        <f>"""NAV Direct"",""CRONUS JetCorp USA"",""32"",""1"",""166731"""</f>
        <v>"NAV Direct","CRONUS JetCorp USA","32","1","166731"</v>
      </c>
      <c r="H907" s="40">
        <v>43466</v>
      </c>
      <c r="I907" s="41">
        <v>166731</v>
      </c>
      <c r="J907" s="42" t="str">
        <f>"Vendor"</f>
        <v>Vendor</v>
      </c>
      <c r="K907" s="42" t="str">
        <f>"V100009"</f>
        <v>V100009</v>
      </c>
      <c r="L907" s="42" t="str">
        <f>IF($J907="Customer",_xll.NL("first",$J907,"Name","No.","@@"&amp;$K907),"")</f>
        <v/>
      </c>
      <c r="M907" s="42" t="str">
        <f>"Malay-Dan Export Unit Sdn Bhd"</f>
        <v>Malay-Dan Export Unit Sdn Bhd</v>
      </c>
      <c r="N907" s="42" t="str">
        <f>IF($J907="Item",_xll.NL("first",$J907,"Description","No.","@@"&amp;$K907),"")</f>
        <v/>
      </c>
      <c r="O907" s="43">
        <v>400</v>
      </c>
      <c r="P907" s="43">
        <v>0</v>
      </c>
      <c r="Q907" s="43">
        <v>0</v>
      </c>
      <c r="R907" s="43">
        <v>0</v>
      </c>
      <c r="S907" s="43">
        <v>0</v>
      </c>
      <c r="T907" s="43">
        <v>0</v>
      </c>
      <c r="U907" s="56"/>
    </row>
    <row r="908" spans="1:21" ht="17.25" customHeight="1" x14ac:dyDescent="0.3">
      <c r="A908" s="15" t="s">
        <v>30</v>
      </c>
      <c r="C908" s="19"/>
      <c r="D908" s="33" t="str">
        <f t="shared" ref="D908:D920" si="236">D907</f>
        <v>E100004</v>
      </c>
      <c r="E908" s="33"/>
      <c r="F908" s="34"/>
      <c r="G908" s="34" t="str">
        <f>"""NAV Direct"",""CRONUS JetCorp USA"",""32"",""1"",""166741"""</f>
        <v>"NAV Direct","CRONUS JetCorp USA","32","1","166741"</v>
      </c>
      <c r="H908" s="40">
        <v>43466</v>
      </c>
      <c r="I908" s="41">
        <v>166741</v>
      </c>
      <c r="J908" s="42" t="str">
        <f>"Vendor"</f>
        <v>Vendor</v>
      </c>
      <c r="K908" s="42" t="str">
        <f>"V100040"</f>
        <v>V100040</v>
      </c>
      <c r="L908" s="42" t="str">
        <f>IF($J908="Customer",_xll.NL("first",$J908,"Name","No.","@@"&amp;$K908),"")</f>
        <v/>
      </c>
      <c r="M908" s="42" t="str">
        <f>"Technische Betriebe Rotkreuz"</f>
        <v>Technische Betriebe Rotkreuz</v>
      </c>
      <c r="N908" s="42" t="str">
        <f>IF($J908="Item",_xll.NL("first",$J908,"Description","No.","@@"&amp;$K908),"")</f>
        <v/>
      </c>
      <c r="O908" s="43">
        <v>200</v>
      </c>
      <c r="P908" s="43">
        <v>0</v>
      </c>
      <c r="Q908" s="43">
        <v>0</v>
      </c>
      <c r="R908" s="43">
        <v>0</v>
      </c>
      <c r="S908" s="43">
        <v>0</v>
      </c>
      <c r="T908" s="43">
        <v>0</v>
      </c>
      <c r="U908" s="56"/>
    </row>
    <row r="909" spans="1:21" ht="17.25" customHeight="1" x14ac:dyDescent="0.3">
      <c r="A909" s="15" t="s">
        <v>30</v>
      </c>
      <c r="C909" s="19"/>
      <c r="D909" s="33" t="str">
        <f t="shared" si="236"/>
        <v>E100004</v>
      </c>
      <c r="E909" s="33"/>
      <c r="F909" s="34"/>
      <c r="G909" s="34" t="str">
        <f>"""NAV Direct"",""CRONUS JetCorp USA"",""32"",""1"",""166769"""</f>
        <v>"NAV Direct","CRONUS JetCorp USA","32","1","166769"</v>
      </c>
      <c r="H909" s="40">
        <v>43466</v>
      </c>
      <c r="I909" s="41">
        <v>166769</v>
      </c>
      <c r="J909" s="42" t="str">
        <f>"Vendor"</f>
        <v>Vendor</v>
      </c>
      <c r="K909" s="42" t="str">
        <f>"V100001"</f>
        <v>V100001</v>
      </c>
      <c r="L909" s="42" t="str">
        <f>IF($J909="Customer",_xll.NL("first",$J909,"Name","No.","@@"&amp;$K909),"")</f>
        <v/>
      </c>
      <c r="M909" s="42" t="str">
        <f>"Greigner, Inc."</f>
        <v>Greigner, Inc.</v>
      </c>
      <c r="N909" s="42" t="str">
        <f>IF($J909="Item",_xll.NL("first",$J909,"Description","No.","@@"&amp;$K909),"")</f>
        <v/>
      </c>
      <c r="O909" s="43">
        <v>1400</v>
      </c>
      <c r="P909" s="43">
        <v>0</v>
      </c>
      <c r="Q909" s="43">
        <v>0</v>
      </c>
      <c r="R909" s="43">
        <v>0</v>
      </c>
      <c r="S909" s="43">
        <v>0</v>
      </c>
      <c r="T909" s="43">
        <v>0</v>
      </c>
      <c r="U909" s="56"/>
    </row>
    <row r="910" spans="1:21" ht="17.25" customHeight="1" x14ac:dyDescent="0.3">
      <c r="A910" s="15" t="s">
        <v>30</v>
      </c>
      <c r="C910" s="19"/>
      <c r="D910" s="33" t="str">
        <f t="shared" si="236"/>
        <v>E100004</v>
      </c>
      <c r="E910" s="33"/>
      <c r="F910" s="34"/>
      <c r="G910" s="34" t="str">
        <f>"""NAV Direct"",""CRONUS JetCorp USA"",""32"",""1"",""166782"""</f>
        <v>"NAV Direct","CRONUS JetCorp USA","32","1","166782"</v>
      </c>
      <c r="H910" s="40">
        <v>43466</v>
      </c>
      <c r="I910" s="41">
        <v>166782</v>
      </c>
      <c r="J910" s="42" t="str">
        <f>"Vendor"</f>
        <v>Vendor</v>
      </c>
      <c r="K910" s="42" t="str">
        <f>"V100047"</f>
        <v>V100047</v>
      </c>
      <c r="L910" s="42" t="str">
        <f>IF($J910="Customer",_xll.NL("first",$J910,"Name","No.","@@"&amp;$K910),"")</f>
        <v/>
      </c>
      <c r="M910" s="42" t="str">
        <f>"WoodMart Supply Co."</f>
        <v>WoodMart Supply Co.</v>
      </c>
      <c r="N910" s="42" t="str">
        <f>IF($J910="Item",_xll.NL("first",$J910,"Description","No.","@@"&amp;$K910),"")</f>
        <v/>
      </c>
      <c r="O910" s="43">
        <v>400</v>
      </c>
      <c r="P910" s="43">
        <v>0</v>
      </c>
      <c r="Q910" s="43">
        <v>0</v>
      </c>
      <c r="R910" s="43">
        <v>0</v>
      </c>
      <c r="S910" s="43">
        <v>0</v>
      </c>
      <c r="T910" s="43">
        <v>0</v>
      </c>
      <c r="U910" s="56"/>
    </row>
    <row r="911" spans="1:21" ht="17.25" customHeight="1" x14ac:dyDescent="0.3">
      <c r="A911" s="15" t="s">
        <v>30</v>
      </c>
      <c r="C911" s="19"/>
      <c r="D911" s="33" t="str">
        <f t="shared" si="236"/>
        <v>E100004</v>
      </c>
      <c r="E911" s="33"/>
      <c r="F911" s="34"/>
      <c r="G911" s="34" t="str">
        <f>"""NAV Direct"",""CRONUS JetCorp USA"",""32"",""1"",""166791"""</f>
        <v>"NAV Direct","CRONUS JetCorp USA","32","1","166791"</v>
      </c>
      <c r="H911" s="40">
        <v>43466</v>
      </c>
      <c r="I911" s="41">
        <v>166791</v>
      </c>
      <c r="J911" s="42" t="str">
        <f>"Vendor"</f>
        <v>Vendor</v>
      </c>
      <c r="K911" s="42" t="str">
        <f>"V100003"</f>
        <v>V100003</v>
      </c>
      <c r="L911" s="42" t="str">
        <f>IF($J911="Customer",_xll.NL("first",$J911,"Name","No.","@@"&amp;$K911),"")</f>
        <v/>
      </c>
      <c r="M911" s="42" t="str">
        <f>"LogoMasters"</f>
        <v>LogoMasters</v>
      </c>
      <c r="N911" s="42" t="str">
        <f>IF($J911="Item",_xll.NL("first",$J911,"Description","No.","@@"&amp;$K911),"")</f>
        <v/>
      </c>
      <c r="O911" s="43">
        <v>400</v>
      </c>
      <c r="P911" s="43">
        <v>0</v>
      </c>
      <c r="Q911" s="43">
        <v>0</v>
      </c>
      <c r="R911" s="43">
        <v>0</v>
      </c>
      <c r="S911" s="43">
        <v>0</v>
      </c>
      <c r="T911" s="43">
        <v>0</v>
      </c>
      <c r="U911" s="56"/>
    </row>
    <row r="912" spans="1:21" ht="17.25" customHeight="1" x14ac:dyDescent="0.3">
      <c r="A912" s="15" t="s">
        <v>30</v>
      </c>
      <c r="C912" s="19"/>
      <c r="D912" s="33" t="str">
        <f t="shared" si="236"/>
        <v>E100004</v>
      </c>
      <c r="E912" s="33"/>
      <c r="F912" s="34"/>
      <c r="G912" s="34" t="str">
        <f>"""NAV Direct"",""CRONUS JetCorp USA"",""32"",""1"",""64582"""</f>
        <v>"NAV Direct","CRONUS JetCorp USA","32","1","64582"</v>
      </c>
      <c r="H912" s="40">
        <v>43469</v>
      </c>
      <c r="I912" s="41">
        <v>64582</v>
      </c>
      <c r="J912" s="42" t="str">
        <f>"Customer"</f>
        <v>Customer</v>
      </c>
      <c r="K912" s="42" t="str">
        <f>"C100140"</f>
        <v>C100140</v>
      </c>
      <c r="L912" s="42" t="str">
        <f>IF($J912="Customer",_xll.NL("first",$J912,"Name","No.","@@"&amp;$K912),"")</f>
        <v>Super Daves</v>
      </c>
      <c r="M912" s="42" t="str">
        <f>""</f>
        <v/>
      </c>
      <c r="N912" s="42" t="str">
        <f>IF($J912="Item",_xll.NL("first",$J912,"Description","No.","@@"&amp;$K912),"")</f>
        <v/>
      </c>
      <c r="O912" s="43">
        <v>0</v>
      </c>
      <c r="P912" s="43">
        <v>-144</v>
      </c>
      <c r="Q912" s="43">
        <v>0</v>
      </c>
      <c r="R912" s="43">
        <v>0</v>
      </c>
      <c r="S912" s="43">
        <v>0</v>
      </c>
      <c r="T912" s="43">
        <v>0</v>
      </c>
      <c r="U912" s="56"/>
    </row>
    <row r="913" spans="1:21" ht="17.25" customHeight="1" x14ac:dyDescent="0.3">
      <c r="A913" s="15" t="s">
        <v>30</v>
      </c>
      <c r="C913" s="19"/>
      <c r="D913" s="33" t="str">
        <f t="shared" si="236"/>
        <v>E100004</v>
      </c>
      <c r="E913" s="33"/>
      <c r="F913" s="34"/>
      <c r="G913" s="34" t="str">
        <f>"""NAV Direct"",""CRONUS JetCorp USA"",""32"",""1"",""78845"""</f>
        <v>"NAV Direct","CRONUS JetCorp USA","32","1","78845"</v>
      </c>
      <c r="H913" s="40">
        <v>43470</v>
      </c>
      <c r="I913" s="41">
        <v>78845</v>
      </c>
      <c r="J913" s="42" t="str">
        <f>"Customer"</f>
        <v>Customer</v>
      </c>
      <c r="K913" s="42" t="str">
        <f>"C100117"</f>
        <v>C100117</v>
      </c>
      <c r="L913" s="42" t="str">
        <f>IF($J913="Customer",_xll.NL("first",$J913,"Name","No.","@@"&amp;$K913),"")</f>
        <v xml:space="preserve">Tintax </v>
      </c>
      <c r="M913" s="42" t="str">
        <f>""</f>
        <v/>
      </c>
      <c r="N913" s="42" t="str">
        <f>IF($J913="Item",_xll.NL("first",$J913,"Description","No.","@@"&amp;$K913),"")</f>
        <v/>
      </c>
      <c r="O913" s="43">
        <v>0</v>
      </c>
      <c r="P913" s="43">
        <v>-288</v>
      </c>
      <c r="Q913" s="43">
        <v>0</v>
      </c>
      <c r="R913" s="43">
        <v>0</v>
      </c>
      <c r="S913" s="43">
        <v>0</v>
      </c>
      <c r="T913" s="43">
        <v>0</v>
      </c>
      <c r="U913" s="56"/>
    </row>
    <row r="914" spans="1:21" ht="17.25" customHeight="1" x14ac:dyDescent="0.3">
      <c r="A914" s="15" t="s">
        <v>30</v>
      </c>
      <c r="C914" s="19"/>
      <c r="D914" s="33" t="str">
        <f t="shared" si="236"/>
        <v>E100004</v>
      </c>
      <c r="E914" s="33"/>
      <c r="F914" s="34"/>
      <c r="G914" s="34" t="str">
        <f>"""NAV Direct"",""CRONUS JetCorp USA"",""32"",""1"",""78882"""</f>
        <v>"NAV Direct","CRONUS JetCorp USA","32","1","78882"</v>
      </c>
      <c r="H914" s="40">
        <v>43471</v>
      </c>
      <c r="I914" s="41">
        <v>78882</v>
      </c>
      <c r="J914" s="42" t="str">
        <f>"Customer"</f>
        <v>Customer</v>
      </c>
      <c r="K914" s="42" t="str">
        <f>"C100124"</f>
        <v>C100124</v>
      </c>
      <c r="L914" s="42" t="str">
        <f>IF($J914="Customer",_xll.NL("first",$J914,"Name","No.","@@"&amp;$K914),"")</f>
        <v>Ontocane Outdoors</v>
      </c>
      <c r="M914" s="42" t="str">
        <f>""</f>
        <v/>
      </c>
      <c r="N914" s="42" t="str">
        <f>IF($J914="Item",_xll.NL("first",$J914,"Description","No.","@@"&amp;$K914),"")</f>
        <v/>
      </c>
      <c r="O914" s="43">
        <v>0</v>
      </c>
      <c r="P914" s="43">
        <v>-1</v>
      </c>
      <c r="Q914" s="43">
        <v>0</v>
      </c>
      <c r="R914" s="43">
        <v>0</v>
      </c>
      <c r="S914" s="43">
        <v>0</v>
      </c>
      <c r="T914" s="43">
        <v>0</v>
      </c>
      <c r="U914" s="56"/>
    </row>
    <row r="915" spans="1:21" ht="17.25" customHeight="1" x14ac:dyDescent="0.3">
      <c r="A915" s="15" t="s">
        <v>30</v>
      </c>
      <c r="C915" s="19"/>
      <c r="D915" s="33" t="str">
        <f t="shared" si="236"/>
        <v>E100004</v>
      </c>
      <c r="E915" s="33"/>
      <c r="F915" s="34"/>
      <c r="G915" s="34" t="str">
        <f>"""NAV Direct"",""CRONUS JetCorp USA"",""32"",""1"",""44471"""</f>
        <v>"NAV Direct","CRONUS JetCorp USA","32","1","44471"</v>
      </c>
      <c r="H915" s="40">
        <v>43472</v>
      </c>
      <c r="I915" s="41">
        <v>44471</v>
      </c>
      <c r="J915" s="42" t="str">
        <f>"Customer"</f>
        <v>Customer</v>
      </c>
      <c r="K915" s="42" t="str">
        <f>"C100141"</f>
        <v>C100141</v>
      </c>
      <c r="L915" s="42" t="str">
        <f>IF($J915="Customer",_xll.NL("first",$J915,"Name","No.","@@"&amp;$K915),"")</f>
        <v>Bargottis</v>
      </c>
      <c r="M915" s="42" t="str">
        <f>""</f>
        <v/>
      </c>
      <c r="N915" s="42" t="str">
        <f>IF($J915="Item",_xll.NL("first",$J915,"Description","No.","@@"&amp;$K915),"")</f>
        <v/>
      </c>
      <c r="O915" s="43">
        <v>0</v>
      </c>
      <c r="P915" s="43">
        <v>-144</v>
      </c>
      <c r="Q915" s="43">
        <v>0</v>
      </c>
      <c r="R915" s="43">
        <v>0</v>
      </c>
      <c r="S915" s="43">
        <v>0</v>
      </c>
      <c r="T915" s="43">
        <v>0</v>
      </c>
      <c r="U915" s="56"/>
    </row>
    <row r="916" spans="1:21" ht="17.25" customHeight="1" x14ac:dyDescent="0.3">
      <c r="A916" s="15" t="s">
        <v>30</v>
      </c>
      <c r="C916" s="19"/>
      <c r="D916" s="33" t="str">
        <f t="shared" si="236"/>
        <v>E100004</v>
      </c>
      <c r="E916" s="33"/>
      <c r="F916" s="34"/>
      <c r="G916" s="34" t="str">
        <f>"""NAV Direct"",""CRONUS JetCorp USA"",""32"",""1"",""54723"""</f>
        <v>"NAV Direct","CRONUS JetCorp USA","32","1","54723"</v>
      </c>
      <c r="H916" s="40">
        <v>43472</v>
      </c>
      <c r="I916" s="41">
        <v>54723</v>
      </c>
      <c r="J916" s="42" t="str">
        <f>"Customer"</f>
        <v>Customer</v>
      </c>
      <c r="K916" s="42" t="str">
        <f>"C100084"</f>
        <v>C100084</v>
      </c>
      <c r="L916" s="42" t="str">
        <f>IF($J916="Customer",_xll.NL("first",$J916,"Name","No.","@@"&amp;$K916),"")</f>
        <v>The Cannon Group PLC</v>
      </c>
      <c r="M916" s="42" t="str">
        <f>""</f>
        <v/>
      </c>
      <c r="N916" s="42" t="str">
        <f>IF($J916="Item",_xll.NL("first",$J916,"Description","No.","@@"&amp;$K916),"")</f>
        <v/>
      </c>
      <c r="O916" s="43">
        <v>0</v>
      </c>
      <c r="P916" s="43">
        <v>-288</v>
      </c>
      <c r="Q916" s="43">
        <v>0</v>
      </c>
      <c r="R916" s="43">
        <v>0</v>
      </c>
      <c r="S916" s="43">
        <v>0</v>
      </c>
      <c r="T916" s="43">
        <v>0</v>
      </c>
      <c r="U916" s="56"/>
    </row>
    <row r="917" spans="1:21" ht="17.25" customHeight="1" x14ac:dyDescent="0.3">
      <c r="A917" s="15" t="s">
        <v>30</v>
      </c>
      <c r="C917" s="19"/>
      <c r="D917" s="33" t="str">
        <f t="shared" si="236"/>
        <v>E100004</v>
      </c>
      <c r="E917" s="33"/>
      <c r="F917" s="34"/>
      <c r="G917" s="34" t="str">
        <f>"""NAV Direct"",""CRONUS JetCorp USA"",""32"",""1"",""44514"""</f>
        <v>"NAV Direct","CRONUS JetCorp USA","32","1","44514"</v>
      </c>
      <c r="H917" s="40">
        <v>43473</v>
      </c>
      <c r="I917" s="41">
        <v>44514</v>
      </c>
      <c r="J917" s="42" t="str">
        <f>"Customer"</f>
        <v>Customer</v>
      </c>
      <c r="K917" s="42" t="str">
        <f>"C100139"</f>
        <v>C100139</v>
      </c>
      <c r="L917" s="42" t="str">
        <f>IF($J917="Customer",_xll.NL("first",$J917,"Name","No.","@@"&amp;$K917),"")</f>
        <v>Gamma Ray's</v>
      </c>
      <c r="M917" s="42" t="str">
        <f>""</f>
        <v/>
      </c>
      <c r="N917" s="42" t="str">
        <f>IF($J917="Item",_xll.NL("first",$J917,"Description","No.","@@"&amp;$K917),"")</f>
        <v/>
      </c>
      <c r="O917" s="43">
        <v>0</v>
      </c>
      <c r="P917" s="43">
        <v>-288</v>
      </c>
      <c r="Q917" s="43">
        <v>0</v>
      </c>
      <c r="R917" s="43">
        <v>0</v>
      </c>
      <c r="S917" s="43">
        <v>0</v>
      </c>
      <c r="T917" s="43">
        <v>0</v>
      </c>
      <c r="U917" s="56"/>
    </row>
    <row r="918" spans="1:21" ht="17.25" customHeight="1" x14ac:dyDescent="0.3">
      <c r="A918" s="15" t="s">
        <v>30</v>
      </c>
      <c r="C918" s="19"/>
      <c r="D918" s="33" t="str">
        <f t="shared" si="236"/>
        <v>E100004</v>
      </c>
      <c r="E918" s="33"/>
      <c r="F918" s="34"/>
      <c r="G918" s="34" t="str">
        <f>"""NAV Direct"",""CRONUS JetCorp USA"",""32"",""1"",""64620"""</f>
        <v>"NAV Direct","CRONUS JetCorp USA","32","1","64620"</v>
      </c>
      <c r="H918" s="40">
        <v>43475</v>
      </c>
      <c r="I918" s="41">
        <v>64620</v>
      </c>
      <c r="J918" s="42" t="str">
        <f>"Customer"</f>
        <v>Customer</v>
      </c>
      <c r="K918" s="42" t="str">
        <f>"C100136"</f>
        <v>C100136</v>
      </c>
      <c r="L918" s="42" t="str">
        <f>IF($J918="Customer",_xll.NL("first",$J918,"Name","No.","@@"&amp;$K918),"")</f>
        <v>First Bank</v>
      </c>
      <c r="M918" s="42" t="str">
        <f>""</f>
        <v/>
      </c>
      <c r="N918" s="42" t="str">
        <f>IF($J918="Item",_xll.NL("first",$J918,"Description","No.","@@"&amp;$K918),"")</f>
        <v/>
      </c>
      <c r="O918" s="43">
        <v>0</v>
      </c>
      <c r="P918" s="43">
        <v>-144</v>
      </c>
      <c r="Q918" s="43">
        <v>0</v>
      </c>
      <c r="R918" s="43">
        <v>0</v>
      </c>
      <c r="S918" s="43">
        <v>0</v>
      </c>
      <c r="T918" s="43">
        <v>0</v>
      </c>
      <c r="U918" s="56"/>
    </row>
    <row r="919" spans="1:21" ht="17.25" customHeight="1" x14ac:dyDescent="0.3">
      <c r="A919" s="15" t="s">
        <v>30</v>
      </c>
      <c r="C919" s="19"/>
      <c r="D919" s="33" t="str">
        <f t="shared" si="236"/>
        <v>E100004</v>
      </c>
      <c r="E919" s="33"/>
      <c r="F919" s="34"/>
      <c r="G919" s="34" t="str">
        <f>"""NAV Direct"",""CRONUS JetCorp USA"",""32"",""1"",""153183"""</f>
        <v>"NAV Direct","CRONUS JetCorp USA","32","1","153183"</v>
      </c>
      <c r="H919" s="40">
        <v>43475</v>
      </c>
      <c r="I919" s="41">
        <v>153183</v>
      </c>
      <c r="J919" s="42" t="str">
        <f>"Customer"</f>
        <v>Customer</v>
      </c>
      <c r="K919" s="42" t="str">
        <f>"C100108"</f>
        <v>C100108</v>
      </c>
      <c r="L919" s="42" t="str">
        <f>IF($J919="Customer",_xll.NL("first",$J919,"Name","No.","@@"&amp;$K919),"")</f>
        <v>Kinfix Industries</v>
      </c>
      <c r="M919" s="42" t="str">
        <f>""</f>
        <v/>
      </c>
      <c r="N919" s="42" t="str">
        <f>IF($J919="Item",_xll.NL("first",$J919,"Description","No.","@@"&amp;$K919),"")</f>
        <v/>
      </c>
      <c r="O919" s="43">
        <v>0</v>
      </c>
      <c r="P919" s="43">
        <v>-24</v>
      </c>
      <c r="Q919" s="43">
        <v>0</v>
      </c>
      <c r="R919" s="43">
        <v>0</v>
      </c>
      <c r="S919" s="43">
        <v>0</v>
      </c>
      <c r="T919" s="43">
        <v>0</v>
      </c>
      <c r="U919" s="56"/>
    </row>
    <row r="920" spans="1:21" ht="17.25" customHeight="1" x14ac:dyDescent="0.3">
      <c r="A920" s="15" t="s">
        <v>30</v>
      </c>
      <c r="C920" s="19"/>
      <c r="D920" s="33" t="str">
        <f t="shared" si="236"/>
        <v>E100004</v>
      </c>
      <c r="E920" s="33"/>
      <c r="F920" s="34"/>
      <c r="G920" s="34" t="str">
        <f>"""NAV Direct"",""CRONUS JetCorp USA"",""32"",""1"",""78866"""</f>
        <v>"NAV Direct","CRONUS JetCorp USA","32","1","78866"</v>
      </c>
      <c r="H920" s="40">
        <v>43476</v>
      </c>
      <c r="I920" s="41">
        <v>78866</v>
      </c>
      <c r="J920" s="42" t="str">
        <f>"Customer"</f>
        <v>Customer</v>
      </c>
      <c r="K920" s="42" t="str">
        <f>"C100117"</f>
        <v>C100117</v>
      </c>
      <c r="L920" s="42" t="str">
        <f>IF($J920="Customer",_xll.NL("first",$J920,"Name","No.","@@"&amp;$K920),"")</f>
        <v xml:space="preserve">Tintax </v>
      </c>
      <c r="M920" s="42" t="str">
        <f>""</f>
        <v/>
      </c>
      <c r="N920" s="42" t="str">
        <f>IF($J920="Item",_xll.NL("first",$J920,"Description","No.","@@"&amp;$K920),"")</f>
        <v/>
      </c>
      <c r="O920" s="43">
        <v>0</v>
      </c>
      <c r="P920" s="43">
        <v>-6</v>
      </c>
      <c r="Q920" s="43">
        <v>0</v>
      </c>
      <c r="R920" s="43">
        <v>0</v>
      </c>
      <c r="S920" s="43">
        <v>0</v>
      </c>
      <c r="T920" s="43">
        <v>0</v>
      </c>
      <c r="U920" s="56"/>
    </row>
    <row r="921" spans="1:21" ht="17.25" customHeight="1" x14ac:dyDescent="0.3">
      <c r="A921" s="15" t="s">
        <v>30</v>
      </c>
      <c r="C921" s="19"/>
      <c r="D921" s="33"/>
      <c r="E921" s="33"/>
      <c r="F921" s="34"/>
      <c r="G921" s="34"/>
      <c r="H921" s="34"/>
      <c r="I921" s="34"/>
      <c r="J921" s="34"/>
      <c r="K921" s="34"/>
      <c r="L921" s="34"/>
      <c r="M921" s="34"/>
      <c r="N921" s="34"/>
      <c r="O921" s="44"/>
      <c r="P921" s="44"/>
      <c r="Q921" s="44"/>
      <c r="R921" s="44"/>
      <c r="S921" s="44"/>
      <c r="T921" s="44"/>
      <c r="U921" s="57"/>
    </row>
    <row r="922" spans="1:21" ht="17.25" customHeight="1" x14ac:dyDescent="0.3">
      <c r="A922" s="15" t="s">
        <v>30</v>
      </c>
      <c r="C922" s="19"/>
      <c r="D922" s="33"/>
      <c r="E922" s="33" t="s">
        <v>31</v>
      </c>
      <c r="F922" s="34" t="s">
        <v>31</v>
      </c>
      <c r="G922" s="34" t="s">
        <v>31</v>
      </c>
      <c r="H922" s="34"/>
      <c r="I922" s="34"/>
      <c r="J922" s="34" t="s">
        <v>31</v>
      </c>
      <c r="K922" s="34" t="s">
        <v>31</v>
      </c>
      <c r="L922" s="34" t="s">
        <v>31</v>
      </c>
      <c r="M922" s="34" t="s">
        <v>31</v>
      </c>
      <c r="N922" s="34"/>
      <c r="U922" s="58"/>
    </row>
    <row r="923" spans="1:21" ht="20.25" customHeight="1" x14ac:dyDescent="0.35">
      <c r="A923" s="15" t="s">
        <v>30</v>
      </c>
      <c r="C923" s="19"/>
      <c r="D923" s="35" t="str">
        <f t="shared" ref="D923" si="237">E923</f>
        <v>E100005</v>
      </c>
      <c r="E923" s="36" t="str">
        <f>"E100005"</f>
        <v>E100005</v>
      </c>
      <c r="F923" s="37" t="str">
        <f>"All Purpose Tote"</f>
        <v>All Purpose Tote</v>
      </c>
      <c r="G923" s="37"/>
      <c r="H923" s="38" t="str">
        <f>"EA"</f>
        <v>EA</v>
      </c>
      <c r="I923" s="37"/>
      <c r="J923" s="37"/>
      <c r="K923" s="37"/>
      <c r="L923" s="37"/>
      <c r="M923" s="37"/>
      <c r="N923" s="37"/>
      <c r="O923" s="39">
        <f>(SUBTOTAL(9,O924:O932))</f>
        <v>1200</v>
      </c>
      <c r="P923" s="39">
        <f>(SUBTOTAL(9,P924:P932))</f>
        <v>-625</v>
      </c>
      <c r="Q923" s="39">
        <f>(SUBTOTAL(9,Q924:Q932))</f>
        <v>0</v>
      </c>
      <c r="R923" s="39">
        <f>(SUBTOTAL(9,R924:R932))</f>
        <v>0</v>
      </c>
      <c r="S923" s="39">
        <f>(SUBTOTAL(9,S924:S932))</f>
        <v>0</v>
      </c>
      <c r="T923" s="39">
        <f>(SUBTOTAL(9,T924:T932))</f>
        <v>0</v>
      </c>
      <c r="U923" s="55">
        <f t="shared" ref="U923" si="238">SUBTOTAL(9,O924:T932)</f>
        <v>575</v>
      </c>
    </row>
    <row r="924" spans="1:21" ht="17.25" customHeight="1" x14ac:dyDescent="0.3">
      <c r="A924" s="15" t="s">
        <v>30</v>
      </c>
      <c r="C924" s="19"/>
      <c r="D924" s="33" t="str">
        <f t="shared" ref="D924" si="239">D923</f>
        <v>E100005</v>
      </c>
      <c r="E924" s="33"/>
      <c r="F924" s="34"/>
      <c r="G924" s="34" t="str">
        <f>"""NAV Direct"",""CRONUS JetCorp USA"",""32"",""1"",""166740"""</f>
        <v>"NAV Direct","CRONUS JetCorp USA","32","1","166740"</v>
      </c>
      <c r="H924" s="40">
        <v>43466</v>
      </c>
      <c r="I924" s="41">
        <v>166740</v>
      </c>
      <c r="J924" s="42" t="str">
        <f>"Vendor"</f>
        <v>Vendor</v>
      </c>
      <c r="K924" s="42" t="str">
        <f>"V100040"</f>
        <v>V100040</v>
      </c>
      <c r="L924" s="42" t="str">
        <f>IF($J924="Customer",_xll.NL("first",$J924,"Name","No.","@@"&amp;$K924),"")</f>
        <v/>
      </c>
      <c r="M924" s="42" t="str">
        <f>"Technische Betriebe Rotkreuz"</f>
        <v>Technische Betriebe Rotkreuz</v>
      </c>
      <c r="N924" s="42" t="str">
        <f>IF($J924="Item",_xll.NL("first",$J924,"Description","No.","@@"&amp;$K924),"")</f>
        <v/>
      </c>
      <c r="O924" s="43">
        <v>400</v>
      </c>
      <c r="P924" s="43">
        <v>0</v>
      </c>
      <c r="Q924" s="43">
        <v>0</v>
      </c>
      <c r="R924" s="43">
        <v>0</v>
      </c>
      <c r="S924" s="43">
        <v>0</v>
      </c>
      <c r="T924" s="43">
        <v>0</v>
      </c>
      <c r="U924" s="56"/>
    </row>
    <row r="925" spans="1:21" ht="17.25" customHeight="1" x14ac:dyDescent="0.3">
      <c r="A925" s="15" t="s">
        <v>30</v>
      </c>
      <c r="C925" s="19"/>
      <c r="D925" s="33" t="str">
        <f t="shared" ref="D925:D931" si="240">D924</f>
        <v>E100005</v>
      </c>
      <c r="E925" s="33"/>
      <c r="F925" s="34"/>
      <c r="G925" s="34" t="str">
        <f>"""NAV Direct"",""CRONUS JetCorp USA"",""32"",""1"",""166768"""</f>
        <v>"NAV Direct","CRONUS JetCorp USA","32","1","166768"</v>
      </c>
      <c r="H925" s="40">
        <v>43466</v>
      </c>
      <c r="I925" s="41">
        <v>166768</v>
      </c>
      <c r="J925" s="42" t="str">
        <f>"Vendor"</f>
        <v>Vendor</v>
      </c>
      <c r="K925" s="42" t="str">
        <f>"V100001"</f>
        <v>V100001</v>
      </c>
      <c r="L925" s="42" t="str">
        <f>IF($J925="Customer",_xll.NL("first",$J925,"Name","No.","@@"&amp;$K925),"")</f>
        <v/>
      </c>
      <c r="M925" s="42" t="str">
        <f>"Greigner, Inc."</f>
        <v>Greigner, Inc.</v>
      </c>
      <c r="N925" s="42" t="str">
        <f>IF($J925="Item",_xll.NL("first",$J925,"Description","No.","@@"&amp;$K925),"")</f>
        <v/>
      </c>
      <c r="O925" s="43">
        <v>800</v>
      </c>
      <c r="P925" s="43">
        <v>0</v>
      </c>
      <c r="Q925" s="43">
        <v>0</v>
      </c>
      <c r="R925" s="43">
        <v>0</v>
      </c>
      <c r="S925" s="43">
        <v>0</v>
      </c>
      <c r="T925" s="43">
        <v>0</v>
      </c>
      <c r="U925" s="56"/>
    </row>
    <row r="926" spans="1:21" ht="17.25" customHeight="1" x14ac:dyDescent="0.3">
      <c r="A926" s="15" t="s">
        <v>30</v>
      </c>
      <c r="C926" s="19"/>
      <c r="D926" s="33" t="str">
        <f t="shared" si="240"/>
        <v>E100005</v>
      </c>
      <c r="E926" s="33"/>
      <c r="F926" s="34"/>
      <c r="G926" s="34" t="str">
        <f>"""NAV Direct"",""CRONUS JetCorp USA"",""32"",""1"",""153198"""</f>
        <v>"NAV Direct","CRONUS JetCorp USA","32","1","153198"</v>
      </c>
      <c r="H926" s="40">
        <v>43469</v>
      </c>
      <c r="I926" s="41">
        <v>153198</v>
      </c>
      <c r="J926" s="42" t="str">
        <f>"Customer"</f>
        <v>Customer</v>
      </c>
      <c r="K926" s="42" t="str">
        <f>"C100136"</f>
        <v>C100136</v>
      </c>
      <c r="L926" s="42" t="str">
        <f>IF($J926="Customer",_xll.NL("first",$J926,"Name","No.","@@"&amp;$K926),"")</f>
        <v>First Bank</v>
      </c>
      <c r="M926" s="42" t="str">
        <f>""</f>
        <v/>
      </c>
      <c r="N926" s="42" t="str">
        <f>IF($J926="Item",_xll.NL("first",$J926,"Description","No.","@@"&amp;$K926),"")</f>
        <v/>
      </c>
      <c r="O926" s="43">
        <v>0</v>
      </c>
      <c r="P926" s="43">
        <v>-1</v>
      </c>
      <c r="Q926" s="43">
        <v>0</v>
      </c>
      <c r="R926" s="43">
        <v>0</v>
      </c>
      <c r="S926" s="43">
        <v>0</v>
      </c>
      <c r="T926" s="43">
        <v>0</v>
      </c>
      <c r="U926" s="56"/>
    </row>
    <row r="927" spans="1:21" ht="17.25" customHeight="1" x14ac:dyDescent="0.3">
      <c r="A927" s="15" t="s">
        <v>30</v>
      </c>
      <c r="C927" s="19"/>
      <c r="D927" s="33" t="str">
        <f t="shared" si="240"/>
        <v>E100005</v>
      </c>
      <c r="E927" s="33"/>
      <c r="F927" s="34"/>
      <c r="G927" s="34" t="str">
        <f>"""NAV Direct"",""CRONUS JetCorp USA"",""32"",""1"",""153168"""</f>
        <v>"NAV Direct","CRONUS JetCorp USA","32","1","153168"</v>
      </c>
      <c r="H927" s="40">
        <v>43470</v>
      </c>
      <c r="I927" s="41">
        <v>153168</v>
      </c>
      <c r="J927" s="42" t="str">
        <f>"Customer"</f>
        <v>Customer</v>
      </c>
      <c r="K927" s="42" t="str">
        <f>"C100136"</f>
        <v>C100136</v>
      </c>
      <c r="L927" s="42" t="str">
        <f>IF($J927="Customer",_xll.NL("first",$J927,"Name","No.","@@"&amp;$K927),"")</f>
        <v>First Bank</v>
      </c>
      <c r="M927" s="42" t="str">
        <f>""</f>
        <v/>
      </c>
      <c r="N927" s="42" t="str">
        <f>IF($J927="Item",_xll.NL("first",$J927,"Description","No.","@@"&amp;$K927),"")</f>
        <v/>
      </c>
      <c r="O927" s="43">
        <v>0</v>
      </c>
      <c r="P927" s="43">
        <v>-144</v>
      </c>
      <c r="Q927" s="43">
        <v>0</v>
      </c>
      <c r="R927" s="43">
        <v>0</v>
      </c>
      <c r="S927" s="43">
        <v>0</v>
      </c>
      <c r="T927" s="43">
        <v>0</v>
      </c>
      <c r="U927" s="56"/>
    </row>
    <row r="928" spans="1:21" ht="17.25" customHeight="1" x14ac:dyDescent="0.3">
      <c r="A928" s="15" t="s">
        <v>30</v>
      </c>
      <c r="C928" s="19"/>
      <c r="D928" s="33" t="str">
        <f t="shared" si="240"/>
        <v>E100005</v>
      </c>
      <c r="E928" s="33"/>
      <c r="F928" s="34"/>
      <c r="G928" s="34" t="str">
        <f>"""NAV Direct"",""CRONUS JetCorp USA"",""32"",""1"",""142551"""</f>
        <v>"NAV Direct","CRONUS JetCorp USA","32","1","142551"</v>
      </c>
      <c r="H928" s="40">
        <v>43472</v>
      </c>
      <c r="I928" s="41">
        <v>142551</v>
      </c>
      <c r="J928" s="42" t="str">
        <f>"Customer"</f>
        <v>Customer</v>
      </c>
      <c r="K928" s="42" t="str">
        <f>"C100100"</f>
        <v>C100100</v>
      </c>
      <c r="L928" s="42" t="str">
        <f>IF($J928="Customer",_xll.NL("first",$J928,"Name","No.","@@"&amp;$K928),"")</f>
        <v>Keybase, Inc.</v>
      </c>
      <c r="M928" s="42" t="str">
        <f>""</f>
        <v/>
      </c>
      <c r="N928" s="42" t="str">
        <f>IF($J928="Item",_xll.NL("first",$J928,"Description","No.","@@"&amp;$K928),"")</f>
        <v/>
      </c>
      <c r="O928" s="43">
        <v>0</v>
      </c>
      <c r="P928" s="43">
        <v>-144</v>
      </c>
      <c r="Q928" s="43">
        <v>0</v>
      </c>
      <c r="R928" s="43">
        <v>0</v>
      </c>
      <c r="S928" s="43">
        <v>0</v>
      </c>
      <c r="T928" s="43">
        <v>0</v>
      </c>
      <c r="U928" s="56"/>
    </row>
    <row r="929" spans="1:21" ht="17.25" customHeight="1" x14ac:dyDescent="0.3">
      <c r="A929" s="15" t="s">
        <v>30</v>
      </c>
      <c r="C929" s="19"/>
      <c r="D929" s="33" t="str">
        <f t="shared" si="240"/>
        <v>E100005</v>
      </c>
      <c r="E929" s="33"/>
      <c r="F929" s="34"/>
      <c r="G929" s="34" t="str">
        <f>"""NAV Direct"",""CRONUS JetCorp USA"",""32"",""1"",""44525"""</f>
        <v>"NAV Direct","CRONUS JetCorp USA","32","1","44525"</v>
      </c>
      <c r="H929" s="40">
        <v>43473</v>
      </c>
      <c r="I929" s="41">
        <v>44525</v>
      </c>
      <c r="J929" s="42" t="str">
        <f>"Customer"</f>
        <v>Customer</v>
      </c>
      <c r="K929" s="42" t="str">
        <f>"C100139"</f>
        <v>C100139</v>
      </c>
      <c r="L929" s="42" t="str">
        <f>IF($J929="Customer",_xll.NL("first",$J929,"Name","No.","@@"&amp;$K929),"")</f>
        <v>Gamma Ray's</v>
      </c>
      <c r="M929" s="42" t="str">
        <f>""</f>
        <v/>
      </c>
      <c r="N929" s="42" t="str">
        <f>IF($J929="Item",_xll.NL("first",$J929,"Description","No.","@@"&amp;$K929),"")</f>
        <v/>
      </c>
      <c r="O929" s="43">
        <v>0</v>
      </c>
      <c r="P929" s="43">
        <v>-144</v>
      </c>
      <c r="Q929" s="43">
        <v>0</v>
      </c>
      <c r="R929" s="43">
        <v>0</v>
      </c>
      <c r="S929" s="43">
        <v>0</v>
      </c>
      <c r="T929" s="43">
        <v>0</v>
      </c>
      <c r="U929" s="56"/>
    </row>
    <row r="930" spans="1:21" ht="17.25" customHeight="1" x14ac:dyDescent="0.3">
      <c r="A930" s="15" t="s">
        <v>30</v>
      </c>
      <c r="C930" s="19"/>
      <c r="D930" s="33" t="str">
        <f t="shared" si="240"/>
        <v>E100005</v>
      </c>
      <c r="E930" s="33"/>
      <c r="F930" s="34"/>
      <c r="G930" s="34" t="str">
        <f>"""NAV Direct"",""CRONUS JetCorp USA"",""32"",""1"",""54701"""</f>
        <v>"NAV Direct","CRONUS JetCorp USA","32","1","54701"</v>
      </c>
      <c r="H930" s="40">
        <v>43474</v>
      </c>
      <c r="I930" s="41">
        <v>54701</v>
      </c>
      <c r="J930" s="42" t="str">
        <f>"Customer"</f>
        <v>Customer</v>
      </c>
      <c r="K930" s="42" t="str">
        <f>"C100096"</f>
        <v>C100096</v>
      </c>
      <c r="L930" s="42" t="str">
        <f>IF($J930="Customer",_xll.NL("first",$J930,"Name","No.","@@"&amp;$K930),"")</f>
        <v>D-Com Industries</v>
      </c>
      <c r="M930" s="42" t="str">
        <f>""</f>
        <v/>
      </c>
      <c r="N930" s="42" t="str">
        <f>IF($J930="Item",_xll.NL("first",$J930,"Description","No.","@@"&amp;$K930),"")</f>
        <v/>
      </c>
      <c r="O930" s="43">
        <v>0</v>
      </c>
      <c r="P930" s="43">
        <v>-144</v>
      </c>
      <c r="Q930" s="43">
        <v>0</v>
      </c>
      <c r="R930" s="43">
        <v>0</v>
      </c>
      <c r="S930" s="43">
        <v>0</v>
      </c>
      <c r="T930" s="43">
        <v>0</v>
      </c>
      <c r="U930" s="56"/>
    </row>
    <row r="931" spans="1:21" ht="17.25" customHeight="1" x14ac:dyDescent="0.3">
      <c r="A931" s="15" t="s">
        <v>30</v>
      </c>
      <c r="C931" s="19"/>
      <c r="D931" s="33" t="str">
        <f t="shared" si="240"/>
        <v>E100005</v>
      </c>
      <c r="E931" s="33"/>
      <c r="F931" s="34"/>
      <c r="G931" s="34" t="str">
        <f>"""NAV Direct"",""CRONUS JetCorp USA"",""32"",""1"",""78890"""</f>
        <v>"NAV Direct","CRONUS JetCorp USA","32","1","78890"</v>
      </c>
      <c r="H931" s="40">
        <v>43474</v>
      </c>
      <c r="I931" s="41">
        <v>78890</v>
      </c>
      <c r="J931" s="42" t="str">
        <f>"Customer"</f>
        <v>Customer</v>
      </c>
      <c r="K931" s="42" t="str">
        <f>"C100124"</f>
        <v>C100124</v>
      </c>
      <c r="L931" s="42" t="str">
        <f>IF($J931="Customer",_xll.NL("first",$J931,"Name","No.","@@"&amp;$K931),"")</f>
        <v>Ontocane Outdoors</v>
      </c>
      <c r="M931" s="42" t="str">
        <f>""</f>
        <v/>
      </c>
      <c r="N931" s="42" t="str">
        <f>IF($J931="Item",_xll.NL("first",$J931,"Description","No.","@@"&amp;$K931),"")</f>
        <v/>
      </c>
      <c r="O931" s="43">
        <v>0</v>
      </c>
      <c r="P931" s="43">
        <v>-48</v>
      </c>
      <c r="Q931" s="43">
        <v>0</v>
      </c>
      <c r="R931" s="43">
        <v>0</v>
      </c>
      <c r="S931" s="43">
        <v>0</v>
      </c>
      <c r="T931" s="43">
        <v>0</v>
      </c>
      <c r="U931" s="56"/>
    </row>
    <row r="932" spans="1:21" ht="17.25" customHeight="1" x14ac:dyDescent="0.3">
      <c r="A932" s="15" t="s">
        <v>30</v>
      </c>
      <c r="C932" s="19"/>
      <c r="D932" s="33"/>
      <c r="E932" s="33"/>
      <c r="F932" s="34"/>
      <c r="G932" s="34"/>
      <c r="H932" s="34"/>
      <c r="I932" s="34"/>
      <c r="J932" s="34"/>
      <c r="K932" s="34"/>
      <c r="L932" s="34"/>
      <c r="M932" s="34"/>
      <c r="N932" s="34"/>
      <c r="O932" s="44"/>
      <c r="P932" s="44"/>
      <c r="Q932" s="44"/>
      <c r="R932" s="44"/>
      <c r="S932" s="44"/>
      <c r="T932" s="44"/>
      <c r="U932" s="57"/>
    </row>
    <row r="933" spans="1:21" ht="17.25" customHeight="1" x14ac:dyDescent="0.3">
      <c r="A933" s="15" t="s">
        <v>30</v>
      </c>
      <c r="C933" s="19"/>
      <c r="D933" s="33"/>
      <c r="E933" s="33" t="s">
        <v>31</v>
      </c>
      <c r="F933" s="34" t="s">
        <v>31</v>
      </c>
      <c r="G933" s="34" t="s">
        <v>31</v>
      </c>
      <c r="H933" s="34"/>
      <c r="I933" s="34"/>
      <c r="J933" s="34" t="s">
        <v>31</v>
      </c>
      <c r="K933" s="34" t="s">
        <v>31</v>
      </c>
      <c r="L933" s="34" t="s">
        <v>31</v>
      </c>
      <c r="M933" s="34" t="s">
        <v>31</v>
      </c>
      <c r="N933" s="34"/>
      <c r="U933" s="58"/>
    </row>
    <row r="934" spans="1:21" ht="20.25" customHeight="1" x14ac:dyDescent="0.35">
      <c r="A934" s="15" t="s">
        <v>30</v>
      </c>
      <c r="C934" s="19"/>
      <c r="D934" s="35" t="str">
        <f t="shared" ref="D934" si="241">E934</f>
        <v>E100006</v>
      </c>
      <c r="E934" s="36" t="str">
        <f>"E100006"</f>
        <v>E100006</v>
      </c>
      <c r="F934" s="37" t="str">
        <f>"Budget Tote Bag"</f>
        <v>Budget Tote Bag</v>
      </c>
      <c r="G934" s="37"/>
      <c r="H934" s="38" t="str">
        <f>"EA"</f>
        <v>EA</v>
      </c>
      <c r="I934" s="37"/>
      <c r="J934" s="37"/>
      <c r="K934" s="37"/>
      <c r="L934" s="37"/>
      <c r="M934" s="37"/>
      <c r="N934" s="37"/>
      <c r="O934" s="39">
        <f>(SUBTOTAL(9,O935:O950))</f>
        <v>2000</v>
      </c>
      <c r="P934" s="39">
        <f>(SUBTOTAL(9,P935:P950))</f>
        <v>-785</v>
      </c>
      <c r="Q934" s="39">
        <f>(SUBTOTAL(9,Q935:Q950))</f>
        <v>0</v>
      </c>
      <c r="R934" s="39">
        <f>(SUBTOTAL(9,R935:R950))</f>
        <v>0</v>
      </c>
      <c r="S934" s="39">
        <f>(SUBTOTAL(9,S935:S950))</f>
        <v>0</v>
      </c>
      <c r="T934" s="39">
        <f>(SUBTOTAL(9,T935:T950))</f>
        <v>0</v>
      </c>
      <c r="U934" s="55">
        <f t="shared" ref="U934" si="242">SUBTOTAL(9,O935:T950)</f>
        <v>1215</v>
      </c>
    </row>
    <row r="935" spans="1:21" ht="17.25" customHeight="1" x14ac:dyDescent="0.3">
      <c r="A935" s="15" t="s">
        <v>30</v>
      </c>
      <c r="C935" s="19"/>
      <c r="D935" s="33" t="str">
        <f t="shared" ref="D935" si="243">D934</f>
        <v>E100006</v>
      </c>
      <c r="E935" s="33"/>
      <c r="F935" s="34"/>
      <c r="G935" s="34" t="str">
        <f>"""NAV Direct"",""CRONUS JetCorp USA"",""32"",""1"",""166739"""</f>
        <v>"NAV Direct","CRONUS JetCorp USA","32","1","166739"</v>
      </c>
      <c r="H935" s="40">
        <v>43466</v>
      </c>
      <c r="I935" s="41">
        <v>166739</v>
      </c>
      <c r="J935" s="42" t="str">
        <f>"Vendor"</f>
        <v>Vendor</v>
      </c>
      <c r="K935" s="42" t="str">
        <f>"V100040"</f>
        <v>V100040</v>
      </c>
      <c r="L935" s="42" t="str">
        <f>IF($J935="Customer",_xll.NL("first",$J935,"Name","No.","@@"&amp;$K935),"")</f>
        <v/>
      </c>
      <c r="M935" s="42" t="str">
        <f>"Technische Betriebe Rotkreuz"</f>
        <v>Technische Betriebe Rotkreuz</v>
      </c>
      <c r="N935" s="42" t="str">
        <f>IF($J935="Item",_xll.NL("first",$J935,"Description","No.","@@"&amp;$K935),"")</f>
        <v/>
      </c>
      <c r="O935" s="43">
        <v>200</v>
      </c>
      <c r="P935" s="43">
        <v>0</v>
      </c>
      <c r="Q935" s="43">
        <v>0</v>
      </c>
      <c r="R935" s="43">
        <v>0</v>
      </c>
      <c r="S935" s="43">
        <v>0</v>
      </c>
      <c r="T935" s="43">
        <v>0</v>
      </c>
      <c r="U935" s="56"/>
    </row>
    <row r="936" spans="1:21" ht="17.25" customHeight="1" x14ac:dyDescent="0.3">
      <c r="A936" s="15" t="s">
        <v>30</v>
      </c>
      <c r="C936" s="19"/>
      <c r="D936" s="33" t="str">
        <f t="shared" ref="D936:D949" si="244">D935</f>
        <v>E100006</v>
      </c>
      <c r="E936" s="33"/>
      <c r="F936" s="34"/>
      <c r="G936" s="34" t="str">
        <f>"""NAV Direct"",""CRONUS JetCorp USA"",""32"",""1"",""166752"""</f>
        <v>"NAV Direct","CRONUS JetCorp USA","32","1","166752"</v>
      </c>
      <c r="H936" s="40">
        <v>43466</v>
      </c>
      <c r="I936" s="41">
        <v>166752</v>
      </c>
      <c r="J936" s="42" t="str">
        <f>"Vendor"</f>
        <v>Vendor</v>
      </c>
      <c r="K936" s="42" t="str">
        <f>"V100001"</f>
        <v>V100001</v>
      </c>
      <c r="L936" s="42" t="str">
        <f>IF($J936="Customer",_xll.NL("first",$J936,"Name","No.","@@"&amp;$K936),"")</f>
        <v/>
      </c>
      <c r="M936" s="42" t="str">
        <f>"Greigner, Inc."</f>
        <v>Greigner, Inc.</v>
      </c>
      <c r="N936" s="42" t="str">
        <f>IF($J936="Item",_xll.NL("first",$J936,"Description","No.","@@"&amp;$K936),"")</f>
        <v/>
      </c>
      <c r="O936" s="43">
        <v>200</v>
      </c>
      <c r="P936" s="43">
        <v>0</v>
      </c>
      <c r="Q936" s="43">
        <v>0</v>
      </c>
      <c r="R936" s="43">
        <v>0</v>
      </c>
      <c r="S936" s="43">
        <v>0</v>
      </c>
      <c r="T936" s="43">
        <v>0</v>
      </c>
      <c r="U936" s="56"/>
    </row>
    <row r="937" spans="1:21" ht="17.25" customHeight="1" x14ac:dyDescent="0.3">
      <c r="A937" s="15" t="s">
        <v>30</v>
      </c>
      <c r="C937" s="19"/>
      <c r="D937" s="33" t="str">
        <f t="shared" si="244"/>
        <v>E100006</v>
      </c>
      <c r="E937" s="33"/>
      <c r="F937" s="34"/>
      <c r="G937" s="34" t="str">
        <f>"""NAV Direct"",""CRONUS JetCorp USA"",""32"",""1"",""166767"""</f>
        <v>"NAV Direct","CRONUS JetCorp USA","32","1","166767"</v>
      </c>
      <c r="H937" s="40">
        <v>43466</v>
      </c>
      <c r="I937" s="41">
        <v>166767</v>
      </c>
      <c r="J937" s="42" t="str">
        <f>"Vendor"</f>
        <v>Vendor</v>
      </c>
      <c r="K937" s="42" t="str">
        <f>"V100001"</f>
        <v>V100001</v>
      </c>
      <c r="L937" s="42" t="str">
        <f>IF($J937="Customer",_xll.NL("first",$J937,"Name","No.","@@"&amp;$K937),"")</f>
        <v/>
      </c>
      <c r="M937" s="42" t="str">
        <f>"Greigner, Inc."</f>
        <v>Greigner, Inc.</v>
      </c>
      <c r="N937" s="42" t="str">
        <f>IF($J937="Item",_xll.NL("first",$J937,"Description","No.","@@"&amp;$K937),"")</f>
        <v/>
      </c>
      <c r="O937" s="43">
        <v>999.99999999999989</v>
      </c>
      <c r="P937" s="43">
        <v>0</v>
      </c>
      <c r="Q937" s="43">
        <v>0</v>
      </c>
      <c r="R937" s="43">
        <v>0</v>
      </c>
      <c r="S937" s="43">
        <v>0</v>
      </c>
      <c r="T937" s="43">
        <v>0</v>
      </c>
      <c r="U937" s="56"/>
    </row>
    <row r="938" spans="1:21" ht="17.25" customHeight="1" x14ac:dyDescent="0.3">
      <c r="A938" s="15" t="s">
        <v>30</v>
      </c>
      <c r="C938" s="19"/>
      <c r="D938" s="33" t="str">
        <f t="shared" si="244"/>
        <v>E100006</v>
      </c>
      <c r="E938" s="33"/>
      <c r="F938" s="34"/>
      <c r="G938" s="34" t="str">
        <f>"""NAV Direct"",""CRONUS JetCorp USA"",""32"",""1"",""166790"""</f>
        <v>"NAV Direct","CRONUS JetCorp USA","32","1","166790"</v>
      </c>
      <c r="H938" s="40">
        <v>43466</v>
      </c>
      <c r="I938" s="41">
        <v>166790</v>
      </c>
      <c r="J938" s="42" t="str">
        <f>"Vendor"</f>
        <v>Vendor</v>
      </c>
      <c r="K938" s="42" t="str">
        <f>"V100003"</f>
        <v>V100003</v>
      </c>
      <c r="L938" s="42" t="str">
        <f>IF($J938="Customer",_xll.NL("first",$J938,"Name","No.","@@"&amp;$K938),"")</f>
        <v/>
      </c>
      <c r="M938" s="42" t="str">
        <f>"LogoMasters"</f>
        <v>LogoMasters</v>
      </c>
      <c r="N938" s="42" t="str">
        <f>IF($J938="Item",_xll.NL("first",$J938,"Description","No.","@@"&amp;$K938),"")</f>
        <v/>
      </c>
      <c r="O938" s="43">
        <v>400</v>
      </c>
      <c r="P938" s="43">
        <v>0</v>
      </c>
      <c r="Q938" s="43">
        <v>0</v>
      </c>
      <c r="R938" s="43">
        <v>0</v>
      </c>
      <c r="S938" s="43">
        <v>0</v>
      </c>
      <c r="T938" s="43">
        <v>0</v>
      </c>
      <c r="U938" s="56"/>
    </row>
    <row r="939" spans="1:21" ht="17.25" customHeight="1" x14ac:dyDescent="0.3">
      <c r="A939" s="15" t="s">
        <v>30</v>
      </c>
      <c r="C939" s="19"/>
      <c r="D939" s="33" t="str">
        <f t="shared" si="244"/>
        <v>E100006</v>
      </c>
      <c r="E939" s="33"/>
      <c r="F939" s="34"/>
      <c r="G939" s="34" t="str">
        <f>"""NAV Direct"",""CRONUS JetCorp USA"",""32"",""1"",""166802"""</f>
        <v>"NAV Direct","CRONUS JetCorp USA","32","1","166802"</v>
      </c>
      <c r="H939" s="40">
        <v>43466</v>
      </c>
      <c r="I939" s="41">
        <v>166802</v>
      </c>
      <c r="J939" s="42" t="str">
        <f>"Vendor"</f>
        <v>Vendor</v>
      </c>
      <c r="K939" s="42" t="str">
        <f>"V100001"</f>
        <v>V100001</v>
      </c>
      <c r="L939" s="42" t="str">
        <f>IF($J939="Customer",_xll.NL("first",$J939,"Name","No.","@@"&amp;$K939),"")</f>
        <v/>
      </c>
      <c r="M939" s="42" t="str">
        <f>"Greigner, Inc."</f>
        <v>Greigner, Inc.</v>
      </c>
      <c r="N939" s="42" t="str">
        <f>IF($J939="Item",_xll.NL("first",$J939,"Description","No.","@@"&amp;$K939),"")</f>
        <v/>
      </c>
      <c r="O939" s="43">
        <v>200</v>
      </c>
      <c r="P939" s="43">
        <v>0</v>
      </c>
      <c r="Q939" s="43">
        <v>0</v>
      </c>
      <c r="R939" s="43">
        <v>0</v>
      </c>
      <c r="S939" s="43">
        <v>0</v>
      </c>
      <c r="T939" s="43">
        <v>0</v>
      </c>
      <c r="U939" s="56"/>
    </row>
    <row r="940" spans="1:21" ht="17.25" customHeight="1" x14ac:dyDescent="0.3">
      <c r="A940" s="15" t="s">
        <v>30</v>
      </c>
      <c r="C940" s="19"/>
      <c r="D940" s="33" t="str">
        <f t="shared" si="244"/>
        <v>E100006</v>
      </c>
      <c r="E940" s="33"/>
      <c r="F940" s="34"/>
      <c r="G940" s="34" t="str">
        <f>"""NAV Direct"",""CRONUS JetCorp USA"",""32"",""1"",""147996"""</f>
        <v>"NAV Direct","CRONUS JetCorp USA","32","1","147996"</v>
      </c>
      <c r="H940" s="40">
        <v>43469</v>
      </c>
      <c r="I940" s="41">
        <v>147996</v>
      </c>
      <c r="J940" s="42" t="str">
        <f>"Customer"</f>
        <v>Customer</v>
      </c>
      <c r="K940" s="42" t="str">
        <f>"C100096"</f>
        <v>C100096</v>
      </c>
      <c r="L940" s="42" t="str">
        <f>IF($J940="Customer",_xll.NL("first",$J940,"Name","No.","@@"&amp;$K940),"")</f>
        <v>D-Com Industries</v>
      </c>
      <c r="M940" s="42" t="str">
        <f>""</f>
        <v/>
      </c>
      <c r="N940" s="42" t="str">
        <f>IF($J940="Item",_xll.NL("first",$J940,"Description","No.","@@"&amp;$K940),"")</f>
        <v/>
      </c>
      <c r="O940" s="43">
        <v>0</v>
      </c>
      <c r="P940" s="43">
        <v>-2</v>
      </c>
      <c r="Q940" s="43">
        <v>0</v>
      </c>
      <c r="R940" s="43">
        <v>0</v>
      </c>
      <c r="S940" s="43">
        <v>0</v>
      </c>
      <c r="T940" s="43">
        <v>0</v>
      </c>
      <c r="U940" s="56"/>
    </row>
    <row r="941" spans="1:21" ht="17.25" customHeight="1" x14ac:dyDescent="0.3">
      <c r="A941" s="15" t="s">
        <v>30</v>
      </c>
      <c r="C941" s="19"/>
      <c r="D941" s="33" t="str">
        <f t="shared" si="244"/>
        <v>E100006</v>
      </c>
      <c r="E941" s="33"/>
      <c r="F941" s="34"/>
      <c r="G941" s="34" t="str">
        <f>"""NAV Direct"",""CRONUS JetCorp USA"",""32"",""1"",""153200"""</f>
        <v>"NAV Direct","CRONUS JetCorp USA","32","1","153200"</v>
      </c>
      <c r="H941" s="40">
        <v>43469</v>
      </c>
      <c r="I941" s="41">
        <v>153200</v>
      </c>
      <c r="J941" s="42" t="str">
        <f>"Customer"</f>
        <v>Customer</v>
      </c>
      <c r="K941" s="42" t="str">
        <f>"C100136"</f>
        <v>C100136</v>
      </c>
      <c r="L941" s="42" t="str">
        <f>IF($J941="Customer",_xll.NL("first",$J941,"Name","No.","@@"&amp;$K941),"")</f>
        <v>First Bank</v>
      </c>
      <c r="M941" s="42" t="str">
        <f>""</f>
        <v/>
      </c>
      <c r="N941" s="42" t="str">
        <f>IF($J941="Item",_xll.NL("first",$J941,"Description","No.","@@"&amp;$K941),"")</f>
        <v/>
      </c>
      <c r="O941" s="43">
        <v>0</v>
      </c>
      <c r="P941" s="43">
        <v>-1</v>
      </c>
      <c r="Q941" s="43">
        <v>0</v>
      </c>
      <c r="R941" s="43">
        <v>0</v>
      </c>
      <c r="S941" s="43">
        <v>0</v>
      </c>
      <c r="T941" s="43">
        <v>0</v>
      </c>
      <c r="U941" s="56"/>
    </row>
    <row r="942" spans="1:21" ht="17.25" customHeight="1" x14ac:dyDescent="0.3">
      <c r="A942" s="15" t="s">
        <v>30</v>
      </c>
      <c r="C942" s="19"/>
      <c r="D942" s="33" t="str">
        <f t="shared" si="244"/>
        <v>E100006</v>
      </c>
      <c r="E942" s="33"/>
      <c r="F942" s="34"/>
      <c r="G942" s="34" t="str">
        <f>"""NAV Direct"",""CRONUS JetCorp USA"",""32"",""1"",""78858"""</f>
        <v>"NAV Direct","CRONUS JetCorp USA","32","1","78858"</v>
      </c>
      <c r="H942" s="40">
        <v>43470</v>
      </c>
      <c r="I942" s="41">
        <v>78858</v>
      </c>
      <c r="J942" s="42" t="str">
        <f>"Customer"</f>
        <v>Customer</v>
      </c>
      <c r="K942" s="42" t="str">
        <f>"C100117"</f>
        <v>C100117</v>
      </c>
      <c r="L942" s="42" t="str">
        <f>IF($J942="Customer",_xll.NL("first",$J942,"Name","No.","@@"&amp;$K942),"")</f>
        <v xml:space="preserve">Tintax </v>
      </c>
      <c r="M942" s="42" t="str">
        <f>""</f>
        <v/>
      </c>
      <c r="N942" s="42" t="str">
        <f>IF($J942="Item",_xll.NL("first",$J942,"Description","No.","@@"&amp;$K942),"")</f>
        <v/>
      </c>
      <c r="O942" s="43">
        <v>0</v>
      </c>
      <c r="P942" s="43">
        <v>-1</v>
      </c>
      <c r="Q942" s="43">
        <v>0</v>
      </c>
      <c r="R942" s="43">
        <v>0</v>
      </c>
      <c r="S942" s="43">
        <v>0</v>
      </c>
      <c r="T942" s="43">
        <v>0</v>
      </c>
      <c r="U942" s="56"/>
    </row>
    <row r="943" spans="1:21" ht="17.25" customHeight="1" x14ac:dyDescent="0.3">
      <c r="A943" s="15" t="s">
        <v>30</v>
      </c>
      <c r="C943" s="19"/>
      <c r="D943" s="33" t="str">
        <f t="shared" si="244"/>
        <v>E100006</v>
      </c>
      <c r="E943" s="33"/>
      <c r="F943" s="34"/>
      <c r="G943" s="34" t="str">
        <f>"""NAV Direct"",""CRONUS JetCorp USA"",""32"",""1"",""153176"""</f>
        <v>"NAV Direct","CRONUS JetCorp USA","32","1","153176"</v>
      </c>
      <c r="H943" s="40">
        <v>43470</v>
      </c>
      <c r="I943" s="41">
        <v>153176</v>
      </c>
      <c r="J943" s="42" t="str">
        <f>"Customer"</f>
        <v>Customer</v>
      </c>
      <c r="K943" s="42" t="str">
        <f>"C100136"</f>
        <v>C100136</v>
      </c>
      <c r="L943" s="42" t="str">
        <f>IF($J943="Customer",_xll.NL("first",$J943,"Name","No.","@@"&amp;$K943),"")</f>
        <v>First Bank</v>
      </c>
      <c r="M943" s="42" t="str">
        <f>""</f>
        <v/>
      </c>
      <c r="N943" s="42" t="str">
        <f>IF($J943="Item",_xll.NL("first",$J943,"Description","No.","@@"&amp;$K943),"")</f>
        <v/>
      </c>
      <c r="O943" s="43">
        <v>0</v>
      </c>
      <c r="P943" s="43">
        <v>-1</v>
      </c>
      <c r="Q943" s="43">
        <v>0</v>
      </c>
      <c r="R943" s="43">
        <v>0</v>
      </c>
      <c r="S943" s="43">
        <v>0</v>
      </c>
      <c r="T943" s="43">
        <v>0</v>
      </c>
      <c r="U943" s="56"/>
    </row>
    <row r="944" spans="1:21" ht="17.25" customHeight="1" x14ac:dyDescent="0.3">
      <c r="A944" s="15" t="s">
        <v>30</v>
      </c>
      <c r="C944" s="19"/>
      <c r="D944" s="33" t="str">
        <f t="shared" si="244"/>
        <v>E100006</v>
      </c>
      <c r="E944" s="33"/>
      <c r="F944" s="34"/>
      <c r="G944" s="34" t="str">
        <f>"""NAV Direct"",""CRONUS JetCorp USA"",""32"",""1"",""44484"""</f>
        <v>"NAV Direct","CRONUS JetCorp USA","32","1","44484"</v>
      </c>
      <c r="H944" s="40">
        <v>43472</v>
      </c>
      <c r="I944" s="41">
        <v>44484</v>
      </c>
      <c r="J944" s="42" t="str">
        <f>"Customer"</f>
        <v>Customer</v>
      </c>
      <c r="K944" s="42" t="str">
        <f>"C100141"</f>
        <v>C100141</v>
      </c>
      <c r="L944" s="42" t="str">
        <f>IF($J944="Customer",_xll.NL("first",$J944,"Name","No.","@@"&amp;$K944),"")</f>
        <v>Bargottis</v>
      </c>
      <c r="M944" s="42" t="str">
        <f>""</f>
        <v/>
      </c>
      <c r="N944" s="42" t="str">
        <f>IF($J944="Item",_xll.NL("first",$J944,"Description","No.","@@"&amp;$K944),"")</f>
        <v/>
      </c>
      <c r="O944" s="43">
        <v>0</v>
      </c>
      <c r="P944" s="43">
        <v>-294</v>
      </c>
      <c r="Q944" s="43">
        <v>0</v>
      </c>
      <c r="R944" s="43">
        <v>0</v>
      </c>
      <c r="S944" s="43">
        <v>0</v>
      </c>
      <c r="T944" s="43">
        <v>0</v>
      </c>
      <c r="U944" s="56"/>
    </row>
    <row r="945" spans="1:21" ht="17.25" customHeight="1" x14ac:dyDescent="0.3">
      <c r="A945" s="15" t="s">
        <v>30</v>
      </c>
      <c r="C945" s="19"/>
      <c r="D945" s="33" t="str">
        <f t="shared" si="244"/>
        <v>E100006</v>
      </c>
      <c r="E945" s="33"/>
      <c r="F945" s="34"/>
      <c r="G945" s="34" t="str">
        <f>"""NAV Direct"",""CRONUS JetCorp USA"",""32"",""1"",""54745"""</f>
        <v>"NAV Direct","CRONUS JetCorp USA","32","1","54745"</v>
      </c>
      <c r="H945" s="40">
        <v>43472</v>
      </c>
      <c r="I945" s="41">
        <v>54745</v>
      </c>
      <c r="J945" s="42" t="str">
        <f>"Customer"</f>
        <v>Customer</v>
      </c>
      <c r="K945" s="42" t="str">
        <f>"C100084"</f>
        <v>C100084</v>
      </c>
      <c r="L945" s="42" t="str">
        <f>IF($J945="Customer",_xll.NL("first",$J945,"Name","No.","@@"&amp;$K945),"")</f>
        <v>The Cannon Group PLC</v>
      </c>
      <c r="M945" s="42" t="str">
        <f>""</f>
        <v/>
      </c>
      <c r="N945" s="42" t="str">
        <f>IF($J945="Item",_xll.NL("first",$J945,"Description","No.","@@"&amp;$K945),"")</f>
        <v/>
      </c>
      <c r="O945" s="43">
        <v>0</v>
      </c>
      <c r="P945" s="43">
        <v>-342</v>
      </c>
      <c r="Q945" s="43">
        <v>0</v>
      </c>
      <c r="R945" s="43">
        <v>0</v>
      </c>
      <c r="S945" s="43">
        <v>0</v>
      </c>
      <c r="T945" s="43">
        <v>0</v>
      </c>
      <c r="U945" s="56"/>
    </row>
    <row r="946" spans="1:21" ht="17.25" customHeight="1" x14ac:dyDescent="0.3">
      <c r="A946" s="15" t="s">
        <v>30</v>
      </c>
      <c r="C946" s="19"/>
      <c r="D946" s="33" t="str">
        <f t="shared" si="244"/>
        <v>E100006</v>
      </c>
      <c r="E946" s="33"/>
      <c r="F946" s="34"/>
      <c r="G946" s="34" t="str">
        <f>"""NAV Direct"",""CRONUS JetCorp USA"",""32"",""1"",""64611"""</f>
        <v>"NAV Direct","CRONUS JetCorp USA","32","1","64611"</v>
      </c>
      <c r="H946" s="40">
        <v>43472</v>
      </c>
      <c r="I946" s="41">
        <v>64611</v>
      </c>
      <c r="J946" s="42" t="str">
        <f>"Customer"</f>
        <v>Customer</v>
      </c>
      <c r="K946" s="42" t="str">
        <f>"C100140"</f>
        <v>C100140</v>
      </c>
      <c r="L946" s="42" t="str">
        <f>IF($J946="Customer",_xll.NL("first",$J946,"Name","No.","@@"&amp;$K946),"")</f>
        <v>Super Daves</v>
      </c>
      <c r="M946" s="42" t="str">
        <f>""</f>
        <v/>
      </c>
      <c r="N946" s="42" t="str">
        <f>IF($J946="Item",_xll.NL("first",$J946,"Description","No.","@@"&amp;$K946),"")</f>
        <v/>
      </c>
      <c r="O946" s="43">
        <v>0</v>
      </c>
      <c r="P946" s="43">
        <v>-1</v>
      </c>
      <c r="Q946" s="43">
        <v>0</v>
      </c>
      <c r="R946" s="43">
        <v>0</v>
      </c>
      <c r="S946" s="43">
        <v>0</v>
      </c>
      <c r="T946" s="43">
        <v>0</v>
      </c>
      <c r="U946" s="56"/>
    </row>
    <row r="947" spans="1:21" ht="17.25" customHeight="1" x14ac:dyDescent="0.3">
      <c r="A947" s="15" t="s">
        <v>30</v>
      </c>
      <c r="C947" s="19"/>
      <c r="D947" s="33" t="str">
        <f t="shared" si="244"/>
        <v>E100006</v>
      </c>
      <c r="E947" s="33"/>
      <c r="F947" s="34"/>
      <c r="G947" s="34" t="str">
        <f>"""NAV Direct"",""CRONUS JetCorp USA"",""32"",""1"",""44538"""</f>
        <v>"NAV Direct","CRONUS JetCorp USA","32","1","44538"</v>
      </c>
      <c r="H947" s="40">
        <v>43473</v>
      </c>
      <c r="I947" s="41">
        <v>44538</v>
      </c>
      <c r="J947" s="42" t="str">
        <f>"Customer"</f>
        <v>Customer</v>
      </c>
      <c r="K947" s="42" t="str">
        <f>"C100139"</f>
        <v>C100139</v>
      </c>
      <c r="L947" s="42" t="str">
        <f>IF($J947="Customer",_xll.NL("first",$J947,"Name","No.","@@"&amp;$K947),"")</f>
        <v>Gamma Ray's</v>
      </c>
      <c r="M947" s="42" t="str">
        <f>""</f>
        <v/>
      </c>
      <c r="N947" s="42" t="str">
        <f>IF($J947="Item",_xll.NL("first",$J947,"Description","No.","@@"&amp;$K947),"")</f>
        <v/>
      </c>
      <c r="O947" s="43">
        <v>0</v>
      </c>
      <c r="P947" s="43">
        <v>-145</v>
      </c>
      <c r="Q947" s="43">
        <v>0</v>
      </c>
      <c r="R947" s="43">
        <v>0</v>
      </c>
      <c r="S947" s="43">
        <v>0</v>
      </c>
      <c r="T947" s="43">
        <v>0</v>
      </c>
      <c r="U947" s="56"/>
    </row>
    <row r="948" spans="1:21" ht="17.25" customHeight="1" x14ac:dyDescent="0.3">
      <c r="A948" s="15" t="s">
        <v>30</v>
      </c>
      <c r="C948" s="19"/>
      <c r="D948" s="33" t="str">
        <f t="shared" si="244"/>
        <v>E100006</v>
      </c>
      <c r="E948" s="33"/>
      <c r="F948" s="34"/>
      <c r="G948" s="34" t="str">
        <f>"""NAV Direct"",""CRONUS JetCorp USA"",""32"",""1"",""159983"""</f>
        <v>"NAV Direct","CRONUS JetCorp USA","32","1","159983"</v>
      </c>
      <c r="H948" s="40">
        <v>43474</v>
      </c>
      <c r="I948" s="41">
        <v>159983</v>
      </c>
      <c r="J948" s="42" t="str">
        <f>"Customer"</f>
        <v>Customer</v>
      </c>
      <c r="K948" s="42" t="str">
        <f>"C100107"</f>
        <v>C100107</v>
      </c>
      <c r="L948" s="42" t="str">
        <f>IF($J948="Customer",_xll.NL("first",$J948,"Name","No.","@@"&amp;$K948),"")</f>
        <v>Lexitechnology</v>
      </c>
      <c r="M948" s="42" t="str">
        <f>""</f>
        <v/>
      </c>
      <c r="N948" s="42" t="str">
        <f>IF($J948="Item",_xll.NL("first",$J948,"Description","No.","@@"&amp;$K948),"")</f>
        <v/>
      </c>
      <c r="O948" s="43">
        <v>0</v>
      </c>
      <c r="P948" s="43">
        <v>1</v>
      </c>
      <c r="Q948" s="43">
        <v>0</v>
      </c>
      <c r="R948" s="43">
        <v>0</v>
      </c>
      <c r="S948" s="43">
        <v>0</v>
      </c>
      <c r="T948" s="43">
        <v>0</v>
      </c>
      <c r="U948" s="56"/>
    </row>
    <row r="949" spans="1:21" ht="17.25" customHeight="1" x14ac:dyDescent="0.3">
      <c r="A949" s="15" t="s">
        <v>30</v>
      </c>
      <c r="C949" s="19"/>
      <c r="D949" s="33" t="str">
        <f t="shared" si="244"/>
        <v>E100006</v>
      </c>
      <c r="E949" s="33"/>
      <c r="F949" s="34"/>
      <c r="G949" s="34" t="str">
        <f>"""NAV Direct"",""CRONUS JetCorp USA"",""32"",""1"",""159988"""</f>
        <v>"NAV Direct","CRONUS JetCorp USA","32","1","159988"</v>
      </c>
      <c r="H949" s="40">
        <v>43475</v>
      </c>
      <c r="I949" s="41">
        <v>159988</v>
      </c>
      <c r="J949" s="42" t="str">
        <f>"Customer"</f>
        <v>Customer</v>
      </c>
      <c r="K949" s="42" t="str">
        <f>"C100058"</f>
        <v>C100058</v>
      </c>
      <c r="L949" s="42" t="str">
        <f>IF($J949="Customer",_xll.NL("first",$J949,"Name","No.","@@"&amp;$K949),"")</f>
        <v>Marsholm Karmstol</v>
      </c>
      <c r="M949" s="42" t="str">
        <f>""</f>
        <v/>
      </c>
      <c r="N949" s="42" t="str">
        <f>IF($J949="Item",_xll.NL("first",$J949,"Description","No.","@@"&amp;$K949),"")</f>
        <v/>
      </c>
      <c r="O949" s="43">
        <v>0</v>
      </c>
      <c r="P949" s="43">
        <v>1</v>
      </c>
      <c r="Q949" s="43">
        <v>0</v>
      </c>
      <c r="R949" s="43">
        <v>0</v>
      </c>
      <c r="S949" s="43">
        <v>0</v>
      </c>
      <c r="T949" s="43">
        <v>0</v>
      </c>
      <c r="U949" s="56"/>
    </row>
    <row r="950" spans="1:21" ht="17.25" customHeight="1" x14ac:dyDescent="0.3">
      <c r="A950" s="15" t="s">
        <v>30</v>
      </c>
      <c r="C950" s="19"/>
      <c r="D950" s="33"/>
      <c r="E950" s="33"/>
      <c r="F950" s="34"/>
      <c r="G950" s="34"/>
      <c r="H950" s="34"/>
      <c r="I950" s="34"/>
      <c r="J950" s="34"/>
      <c r="K950" s="34"/>
      <c r="L950" s="34"/>
      <c r="M950" s="34"/>
      <c r="N950" s="34"/>
      <c r="O950" s="44"/>
      <c r="P950" s="44"/>
      <c r="Q950" s="44"/>
      <c r="R950" s="44"/>
      <c r="S950" s="44"/>
      <c r="T950" s="44"/>
      <c r="U950" s="57"/>
    </row>
    <row r="951" spans="1:21" ht="17.25" customHeight="1" x14ac:dyDescent="0.3">
      <c r="A951" s="15" t="s">
        <v>30</v>
      </c>
      <c r="C951" s="19"/>
      <c r="D951" s="33"/>
      <c r="E951" s="33" t="s">
        <v>31</v>
      </c>
      <c r="F951" s="34" t="s">
        <v>31</v>
      </c>
      <c r="G951" s="34" t="s">
        <v>31</v>
      </c>
      <c r="H951" s="34"/>
      <c r="I951" s="34"/>
      <c r="J951" s="34" t="s">
        <v>31</v>
      </c>
      <c r="K951" s="34" t="s">
        <v>31</v>
      </c>
      <c r="L951" s="34" t="s">
        <v>31</v>
      </c>
      <c r="M951" s="34" t="s">
        <v>31</v>
      </c>
      <c r="N951" s="34"/>
      <c r="U951" s="58"/>
    </row>
    <row r="952" spans="1:21" ht="20.25" customHeight="1" x14ac:dyDescent="0.35">
      <c r="A952" s="15" t="s">
        <v>30</v>
      </c>
      <c r="C952" s="19"/>
      <c r="D952" s="35" t="str">
        <f t="shared" ref="D952" si="245">E952</f>
        <v>E100007</v>
      </c>
      <c r="E952" s="36" t="str">
        <f>"E100007"</f>
        <v>E100007</v>
      </c>
      <c r="F952" s="37" t="str">
        <f>"Plastic Handle Bag"</f>
        <v>Plastic Handle Bag</v>
      </c>
      <c r="G952" s="37"/>
      <c r="H952" s="38" t="str">
        <f>"EA"</f>
        <v>EA</v>
      </c>
      <c r="I952" s="37"/>
      <c r="J952" s="37"/>
      <c r="K952" s="37"/>
      <c r="L952" s="37"/>
      <c r="M952" s="37"/>
      <c r="N952" s="37"/>
      <c r="O952" s="39">
        <f>(SUBTOTAL(9,O953:O966))</f>
        <v>2400</v>
      </c>
      <c r="P952" s="39">
        <f>(SUBTOTAL(9,P953:P966))</f>
        <v>-1214</v>
      </c>
      <c r="Q952" s="39">
        <f>(SUBTOTAL(9,Q953:Q966))</f>
        <v>0</v>
      </c>
      <c r="R952" s="39">
        <f>(SUBTOTAL(9,R953:R966))</f>
        <v>0</v>
      </c>
      <c r="S952" s="39">
        <f>(SUBTOTAL(9,S953:S966))</f>
        <v>0</v>
      </c>
      <c r="T952" s="39">
        <f>(SUBTOTAL(9,T953:T966))</f>
        <v>0</v>
      </c>
      <c r="U952" s="55">
        <f t="shared" ref="U952" si="246">SUBTOTAL(9,O953:T966)</f>
        <v>1186</v>
      </c>
    </row>
    <row r="953" spans="1:21" ht="17.25" customHeight="1" x14ac:dyDescent="0.3">
      <c r="A953" s="15" t="s">
        <v>30</v>
      </c>
      <c r="C953" s="19"/>
      <c r="D953" s="33" t="str">
        <f t="shared" ref="D953" si="247">D952</f>
        <v>E100007</v>
      </c>
      <c r="E953" s="33"/>
      <c r="F953" s="34"/>
      <c r="G953" s="34" t="str">
        <f>"""NAV Direct"",""CRONUS JetCorp USA"",""32"",""1"",""166738"""</f>
        <v>"NAV Direct","CRONUS JetCorp USA","32","1","166738"</v>
      </c>
      <c r="H953" s="40">
        <v>43466</v>
      </c>
      <c r="I953" s="41">
        <v>166738</v>
      </c>
      <c r="J953" s="42" t="str">
        <f>"Vendor"</f>
        <v>Vendor</v>
      </c>
      <c r="K953" s="42" t="str">
        <f>"V100040"</f>
        <v>V100040</v>
      </c>
      <c r="L953" s="42" t="str">
        <f>IF($J953="Customer",_xll.NL("first",$J953,"Name","No.","@@"&amp;$K953),"")</f>
        <v/>
      </c>
      <c r="M953" s="42" t="str">
        <f>"Technische Betriebe Rotkreuz"</f>
        <v>Technische Betriebe Rotkreuz</v>
      </c>
      <c r="N953" s="42" t="str">
        <f>IF($J953="Item",_xll.NL("first",$J953,"Description","No.","@@"&amp;$K953),"")</f>
        <v/>
      </c>
      <c r="O953" s="43">
        <v>600</v>
      </c>
      <c r="P953" s="43">
        <v>0</v>
      </c>
      <c r="Q953" s="43">
        <v>0</v>
      </c>
      <c r="R953" s="43">
        <v>0</v>
      </c>
      <c r="S953" s="43">
        <v>0</v>
      </c>
      <c r="T953" s="43">
        <v>0</v>
      </c>
      <c r="U953" s="56"/>
    </row>
    <row r="954" spans="1:21" ht="17.25" customHeight="1" x14ac:dyDescent="0.3">
      <c r="A954" s="15" t="s">
        <v>30</v>
      </c>
      <c r="C954" s="19"/>
      <c r="D954" s="33" t="str">
        <f t="shared" ref="D954:D965" si="248">D953</f>
        <v>E100007</v>
      </c>
      <c r="E954" s="33"/>
      <c r="F954" s="34"/>
      <c r="G954" s="34" t="str">
        <f>"""NAV Direct"",""CRONUS JetCorp USA"",""32"",""1"",""166751"""</f>
        <v>"NAV Direct","CRONUS JetCorp USA","32","1","166751"</v>
      </c>
      <c r="H954" s="40">
        <v>43466</v>
      </c>
      <c r="I954" s="41">
        <v>166751</v>
      </c>
      <c r="J954" s="42" t="str">
        <f>"Vendor"</f>
        <v>Vendor</v>
      </c>
      <c r="K954" s="42" t="str">
        <f>"V100001"</f>
        <v>V100001</v>
      </c>
      <c r="L954" s="42" t="str">
        <f>IF($J954="Customer",_xll.NL("first",$J954,"Name","No.","@@"&amp;$K954),"")</f>
        <v/>
      </c>
      <c r="M954" s="42" t="str">
        <f>"Greigner, Inc."</f>
        <v>Greigner, Inc.</v>
      </c>
      <c r="N954" s="42" t="str">
        <f>IF($J954="Item",_xll.NL("first",$J954,"Description","No.","@@"&amp;$K954),"")</f>
        <v/>
      </c>
      <c r="O954" s="43">
        <v>400</v>
      </c>
      <c r="P954" s="43">
        <v>0</v>
      </c>
      <c r="Q954" s="43">
        <v>0</v>
      </c>
      <c r="R954" s="43">
        <v>0</v>
      </c>
      <c r="S954" s="43">
        <v>0</v>
      </c>
      <c r="T954" s="43">
        <v>0</v>
      </c>
      <c r="U954" s="56"/>
    </row>
    <row r="955" spans="1:21" ht="17.25" customHeight="1" x14ac:dyDescent="0.3">
      <c r="A955" s="15" t="s">
        <v>30</v>
      </c>
      <c r="C955" s="19"/>
      <c r="D955" s="33" t="str">
        <f t="shared" si="248"/>
        <v>E100007</v>
      </c>
      <c r="E955" s="33"/>
      <c r="F955" s="34"/>
      <c r="G955" s="34" t="str">
        <f>"""NAV Direct"",""CRONUS JetCorp USA"",""32"",""1"",""166766"""</f>
        <v>"NAV Direct","CRONUS JetCorp USA","32","1","166766"</v>
      </c>
      <c r="H955" s="40">
        <v>43466</v>
      </c>
      <c r="I955" s="41">
        <v>166766</v>
      </c>
      <c r="J955" s="42" t="str">
        <f>"Vendor"</f>
        <v>Vendor</v>
      </c>
      <c r="K955" s="42" t="str">
        <f>"V100001"</f>
        <v>V100001</v>
      </c>
      <c r="L955" s="42" t="str">
        <f>IF($J955="Customer",_xll.NL("first",$J955,"Name","No.","@@"&amp;$K955),"")</f>
        <v/>
      </c>
      <c r="M955" s="42" t="str">
        <f>"Greigner, Inc."</f>
        <v>Greigner, Inc.</v>
      </c>
      <c r="N955" s="42" t="str">
        <f>IF($J955="Item",_xll.NL("first",$J955,"Description","No.","@@"&amp;$K955),"")</f>
        <v/>
      </c>
      <c r="O955" s="43">
        <v>999.99999999999989</v>
      </c>
      <c r="P955" s="43">
        <v>0</v>
      </c>
      <c r="Q955" s="43">
        <v>0</v>
      </c>
      <c r="R955" s="43">
        <v>0</v>
      </c>
      <c r="S955" s="43">
        <v>0</v>
      </c>
      <c r="T955" s="43">
        <v>0</v>
      </c>
      <c r="U955" s="56"/>
    </row>
    <row r="956" spans="1:21" ht="17.25" customHeight="1" x14ac:dyDescent="0.3">
      <c r="A956" s="15" t="s">
        <v>30</v>
      </c>
      <c r="C956" s="19"/>
      <c r="D956" s="33" t="str">
        <f t="shared" si="248"/>
        <v>E100007</v>
      </c>
      <c r="E956" s="33"/>
      <c r="F956" s="34"/>
      <c r="G956" s="34" t="str">
        <f>"""NAV Direct"",""CRONUS JetCorp USA"",""32"",""1"",""166789"""</f>
        <v>"NAV Direct","CRONUS JetCorp USA","32","1","166789"</v>
      </c>
      <c r="H956" s="40">
        <v>43466</v>
      </c>
      <c r="I956" s="41">
        <v>166789</v>
      </c>
      <c r="J956" s="42" t="str">
        <f>"Vendor"</f>
        <v>Vendor</v>
      </c>
      <c r="K956" s="42" t="str">
        <f>"V100003"</f>
        <v>V100003</v>
      </c>
      <c r="L956" s="42" t="str">
        <f>IF($J956="Customer",_xll.NL("first",$J956,"Name","No.","@@"&amp;$K956),"")</f>
        <v/>
      </c>
      <c r="M956" s="42" t="str">
        <f>"LogoMasters"</f>
        <v>LogoMasters</v>
      </c>
      <c r="N956" s="42" t="str">
        <f>IF($J956="Item",_xll.NL("first",$J956,"Description","No.","@@"&amp;$K956),"")</f>
        <v/>
      </c>
      <c r="O956" s="43">
        <v>400</v>
      </c>
      <c r="P956" s="43">
        <v>0</v>
      </c>
      <c r="Q956" s="43">
        <v>0</v>
      </c>
      <c r="R956" s="43">
        <v>0</v>
      </c>
      <c r="S956" s="43">
        <v>0</v>
      </c>
      <c r="T956" s="43">
        <v>0</v>
      </c>
      <c r="U956" s="56"/>
    </row>
    <row r="957" spans="1:21" ht="17.25" customHeight="1" x14ac:dyDescent="0.3">
      <c r="A957" s="15" t="s">
        <v>30</v>
      </c>
      <c r="C957" s="19"/>
      <c r="D957" s="33" t="str">
        <f t="shared" si="248"/>
        <v>E100007</v>
      </c>
      <c r="E957" s="33"/>
      <c r="F957" s="34"/>
      <c r="G957" s="34" t="str">
        <f>"""NAV Direct"",""CRONUS JetCorp USA"",""32"",""1"",""64589"""</f>
        <v>"NAV Direct","CRONUS JetCorp USA","32","1","64589"</v>
      </c>
      <c r="H957" s="40">
        <v>43469</v>
      </c>
      <c r="I957" s="41">
        <v>64589</v>
      </c>
      <c r="J957" s="42" t="str">
        <f>"Customer"</f>
        <v>Customer</v>
      </c>
      <c r="K957" s="42" t="str">
        <f>"C100140"</f>
        <v>C100140</v>
      </c>
      <c r="L957" s="42" t="str">
        <f>IF($J957="Customer",_xll.NL("first",$J957,"Name","No.","@@"&amp;$K957),"")</f>
        <v>Super Daves</v>
      </c>
      <c r="M957" s="42" t="str">
        <f>""</f>
        <v/>
      </c>
      <c r="N957" s="42" t="str">
        <f>IF($J957="Item",_xll.NL("first",$J957,"Description","No.","@@"&amp;$K957),"")</f>
        <v/>
      </c>
      <c r="O957" s="43">
        <v>0</v>
      </c>
      <c r="P957" s="43">
        <v>-145</v>
      </c>
      <c r="Q957" s="43">
        <v>0</v>
      </c>
      <c r="R957" s="43">
        <v>0</v>
      </c>
      <c r="S957" s="43">
        <v>0</v>
      </c>
      <c r="T957" s="43">
        <v>0</v>
      </c>
      <c r="U957" s="56"/>
    </row>
    <row r="958" spans="1:21" ht="17.25" customHeight="1" x14ac:dyDescent="0.3">
      <c r="A958" s="15" t="s">
        <v>30</v>
      </c>
      <c r="C958" s="19"/>
      <c r="D958" s="33" t="str">
        <f t="shared" si="248"/>
        <v>E100007</v>
      </c>
      <c r="E958" s="33"/>
      <c r="F958" s="34"/>
      <c r="G958" s="34" t="str">
        <f>"""NAV Direct"",""CRONUS JetCorp USA"",""32"",""1"",""78853"""</f>
        <v>"NAV Direct","CRONUS JetCorp USA","32","1","78853"</v>
      </c>
      <c r="H958" s="40">
        <v>43470</v>
      </c>
      <c r="I958" s="41">
        <v>78853</v>
      </c>
      <c r="J958" s="42" t="str">
        <f>"Customer"</f>
        <v>Customer</v>
      </c>
      <c r="K958" s="42" t="str">
        <f>"C100117"</f>
        <v>C100117</v>
      </c>
      <c r="L958" s="42" t="str">
        <f>IF($J958="Customer",_xll.NL("first",$J958,"Name","No.","@@"&amp;$K958),"")</f>
        <v xml:space="preserve">Tintax </v>
      </c>
      <c r="M958" s="42" t="str">
        <f>""</f>
        <v/>
      </c>
      <c r="N958" s="42" t="str">
        <f>IF($J958="Item",_xll.NL("first",$J958,"Description","No.","@@"&amp;$K958),"")</f>
        <v/>
      </c>
      <c r="O958" s="43">
        <v>0</v>
      </c>
      <c r="P958" s="43">
        <v>-144</v>
      </c>
      <c r="Q958" s="43">
        <v>0</v>
      </c>
      <c r="R958" s="43">
        <v>0</v>
      </c>
      <c r="S958" s="43">
        <v>0</v>
      </c>
      <c r="T958" s="43">
        <v>0</v>
      </c>
      <c r="U958" s="56"/>
    </row>
    <row r="959" spans="1:21" ht="17.25" customHeight="1" x14ac:dyDescent="0.3">
      <c r="A959" s="15" t="s">
        <v>30</v>
      </c>
      <c r="C959" s="19"/>
      <c r="D959" s="33" t="str">
        <f t="shared" si="248"/>
        <v>E100007</v>
      </c>
      <c r="E959" s="33"/>
      <c r="F959" s="34"/>
      <c r="G959" s="34" t="str">
        <f>"""NAV Direct"",""CRONUS JetCorp USA"",""32"",""1"",""72526"""</f>
        <v>"NAV Direct","CRONUS JetCorp USA","32","1","72526"</v>
      </c>
      <c r="H959" s="40">
        <v>43471</v>
      </c>
      <c r="I959" s="41">
        <v>72526</v>
      </c>
      <c r="J959" s="42" t="str">
        <f>"Customer"</f>
        <v>Customer</v>
      </c>
      <c r="K959" s="42" t="str">
        <f>"C100107"</f>
        <v>C100107</v>
      </c>
      <c r="L959" s="42" t="str">
        <f>IF($J959="Customer",_xll.NL("first",$J959,"Name","No.","@@"&amp;$K959),"")</f>
        <v>Lexitechnology</v>
      </c>
      <c r="M959" s="42" t="str">
        <f>""</f>
        <v/>
      </c>
      <c r="N959" s="42" t="str">
        <f>IF($J959="Item",_xll.NL("first",$J959,"Description","No.","@@"&amp;$K959),"")</f>
        <v/>
      </c>
      <c r="O959" s="43">
        <v>0</v>
      </c>
      <c r="P959" s="43">
        <v>-48</v>
      </c>
      <c r="Q959" s="43">
        <v>0</v>
      </c>
      <c r="R959" s="43">
        <v>0</v>
      </c>
      <c r="S959" s="43">
        <v>0</v>
      </c>
      <c r="T959" s="43">
        <v>0</v>
      </c>
      <c r="U959" s="56"/>
    </row>
    <row r="960" spans="1:21" ht="17.25" customHeight="1" x14ac:dyDescent="0.3">
      <c r="A960" s="15" t="s">
        <v>30</v>
      </c>
      <c r="C960" s="19"/>
      <c r="D960" s="33" t="str">
        <f t="shared" si="248"/>
        <v>E100007</v>
      </c>
      <c r="E960" s="33"/>
      <c r="F960" s="34"/>
      <c r="G960" s="34" t="str">
        <f>"""NAV Direct"",""CRONUS JetCorp USA"",""32"",""1"",""78884"""</f>
        <v>"NAV Direct","CRONUS JetCorp USA","32","1","78884"</v>
      </c>
      <c r="H960" s="40">
        <v>43471</v>
      </c>
      <c r="I960" s="41">
        <v>78884</v>
      </c>
      <c r="J960" s="42" t="str">
        <f>"Customer"</f>
        <v>Customer</v>
      </c>
      <c r="K960" s="42" t="str">
        <f>"C100124"</f>
        <v>C100124</v>
      </c>
      <c r="L960" s="42" t="str">
        <f>IF($J960="Customer",_xll.NL("first",$J960,"Name","No.","@@"&amp;$K960),"")</f>
        <v>Ontocane Outdoors</v>
      </c>
      <c r="M960" s="42" t="str">
        <f>""</f>
        <v/>
      </c>
      <c r="N960" s="42" t="str">
        <f>IF($J960="Item",_xll.NL("first",$J960,"Description","No.","@@"&amp;$K960),"")</f>
        <v/>
      </c>
      <c r="O960" s="43">
        <v>0</v>
      </c>
      <c r="P960" s="43">
        <v>-1</v>
      </c>
      <c r="Q960" s="43">
        <v>0</v>
      </c>
      <c r="R960" s="43">
        <v>0</v>
      </c>
      <c r="S960" s="43">
        <v>0</v>
      </c>
      <c r="T960" s="43">
        <v>0</v>
      </c>
      <c r="U960" s="56"/>
    </row>
    <row r="961" spans="1:21" ht="17.25" customHeight="1" x14ac:dyDescent="0.3">
      <c r="A961" s="15" t="s">
        <v>30</v>
      </c>
      <c r="C961" s="19"/>
      <c r="D961" s="33" t="str">
        <f t="shared" si="248"/>
        <v>E100007</v>
      </c>
      <c r="E961" s="33"/>
      <c r="F961" s="34"/>
      <c r="G961" s="34" t="str">
        <f>"""NAV Direct"",""CRONUS JetCorp USA"",""32"",""1"",""54741"""</f>
        <v>"NAV Direct","CRONUS JetCorp USA","32","1","54741"</v>
      </c>
      <c r="H961" s="40">
        <v>43472</v>
      </c>
      <c r="I961" s="41">
        <v>54741</v>
      </c>
      <c r="J961" s="42" t="str">
        <f>"Customer"</f>
        <v>Customer</v>
      </c>
      <c r="K961" s="42" t="str">
        <f>"C100084"</f>
        <v>C100084</v>
      </c>
      <c r="L961" s="42" t="str">
        <f>IF($J961="Customer",_xll.NL("first",$J961,"Name","No.","@@"&amp;$K961),"")</f>
        <v>The Cannon Group PLC</v>
      </c>
      <c r="M961" s="42" t="str">
        <f>""</f>
        <v/>
      </c>
      <c r="N961" s="42" t="str">
        <f>IF($J961="Item",_xll.NL("first",$J961,"Description","No.","@@"&amp;$K961),"")</f>
        <v/>
      </c>
      <c r="O961" s="43">
        <v>0</v>
      </c>
      <c r="P961" s="43">
        <v>-288</v>
      </c>
      <c r="Q961" s="43">
        <v>0</v>
      </c>
      <c r="R961" s="43">
        <v>0</v>
      </c>
      <c r="S961" s="43">
        <v>0</v>
      </c>
      <c r="T961" s="43">
        <v>0</v>
      </c>
      <c r="U961" s="56"/>
    </row>
    <row r="962" spans="1:21" ht="17.25" customHeight="1" x14ac:dyDescent="0.3">
      <c r="A962" s="15" t="s">
        <v>30</v>
      </c>
      <c r="C962" s="19"/>
      <c r="D962" s="33" t="str">
        <f t="shared" si="248"/>
        <v>E100007</v>
      </c>
      <c r="E962" s="33"/>
      <c r="F962" s="34"/>
      <c r="G962" s="34" t="str">
        <f>"""NAV Direct"",""CRONUS JetCorp USA"",""32"",""1"",""44542"""</f>
        <v>"NAV Direct","CRONUS JetCorp USA","32","1","44542"</v>
      </c>
      <c r="H962" s="40">
        <v>43473</v>
      </c>
      <c r="I962" s="41">
        <v>44542</v>
      </c>
      <c r="J962" s="42" t="str">
        <f>"Customer"</f>
        <v>Customer</v>
      </c>
      <c r="K962" s="42" t="str">
        <f>"C100139"</f>
        <v>C100139</v>
      </c>
      <c r="L962" s="42" t="str">
        <f>IF($J962="Customer",_xll.NL("first",$J962,"Name","No.","@@"&amp;$K962),"")</f>
        <v>Gamma Ray's</v>
      </c>
      <c r="M962" s="42" t="str">
        <f>""</f>
        <v/>
      </c>
      <c r="N962" s="42" t="str">
        <f>IF($J962="Item",_xll.NL("first",$J962,"Description","No.","@@"&amp;$K962),"")</f>
        <v/>
      </c>
      <c r="O962" s="43">
        <v>0</v>
      </c>
      <c r="P962" s="43">
        <v>-12</v>
      </c>
      <c r="Q962" s="43">
        <v>0</v>
      </c>
      <c r="R962" s="43">
        <v>0</v>
      </c>
      <c r="S962" s="43">
        <v>0</v>
      </c>
      <c r="T962" s="43">
        <v>0</v>
      </c>
      <c r="U962" s="56"/>
    </row>
    <row r="963" spans="1:21" ht="17.25" customHeight="1" x14ac:dyDescent="0.3">
      <c r="A963" s="15" t="s">
        <v>30</v>
      </c>
      <c r="C963" s="19"/>
      <c r="D963" s="33" t="str">
        <f t="shared" si="248"/>
        <v>E100007</v>
      </c>
      <c r="E963" s="33"/>
      <c r="F963" s="34"/>
      <c r="G963" s="34" t="str">
        <f>"""NAV Direct"",""CRONUS JetCorp USA"",""32"",""1"",""54711"""</f>
        <v>"NAV Direct","CRONUS JetCorp USA","32","1","54711"</v>
      </c>
      <c r="H963" s="40">
        <v>43474</v>
      </c>
      <c r="I963" s="41">
        <v>54711</v>
      </c>
      <c r="J963" s="42" t="str">
        <f>"Customer"</f>
        <v>Customer</v>
      </c>
      <c r="K963" s="42" t="str">
        <f>"C100096"</f>
        <v>C100096</v>
      </c>
      <c r="L963" s="42" t="str">
        <f>IF($J963="Customer",_xll.NL("first",$J963,"Name","No.","@@"&amp;$K963),"")</f>
        <v>D-Com Industries</v>
      </c>
      <c r="M963" s="42" t="str">
        <f>""</f>
        <v/>
      </c>
      <c r="N963" s="42" t="str">
        <f>IF($J963="Item",_xll.NL("first",$J963,"Description","No.","@@"&amp;$K963),"")</f>
        <v/>
      </c>
      <c r="O963" s="43">
        <v>0</v>
      </c>
      <c r="P963" s="43">
        <v>-288</v>
      </c>
      <c r="Q963" s="43">
        <v>0</v>
      </c>
      <c r="R963" s="43">
        <v>0</v>
      </c>
      <c r="S963" s="43">
        <v>0</v>
      </c>
      <c r="T963" s="43">
        <v>0</v>
      </c>
      <c r="U963" s="56"/>
    </row>
    <row r="964" spans="1:21" ht="17.25" customHeight="1" x14ac:dyDescent="0.3">
      <c r="A964" s="15" t="s">
        <v>30</v>
      </c>
      <c r="C964" s="19"/>
      <c r="D964" s="33" t="str">
        <f t="shared" si="248"/>
        <v>E100007</v>
      </c>
      <c r="E964" s="33"/>
      <c r="F964" s="34"/>
      <c r="G964" s="34" t="str">
        <f>"""NAV Direct"",""CRONUS JetCorp USA"",""32"",""1"",""159120"""</f>
        <v>"NAV Direct","CRONUS JetCorp USA","32","1","159120"</v>
      </c>
      <c r="H964" s="40">
        <v>43474</v>
      </c>
      <c r="I964" s="41">
        <v>159120</v>
      </c>
      <c r="J964" s="42" t="str">
        <f>"Customer"</f>
        <v>Customer</v>
      </c>
      <c r="K964" s="42" t="str">
        <f>"C100143"</f>
        <v>C100143</v>
      </c>
      <c r="L964" s="42" t="str">
        <f>IF($J964="Customer",_xll.NL("first",$J964,"Name","No.","@@"&amp;$K964),"")</f>
        <v>Parvotis</v>
      </c>
      <c r="M964" s="42" t="str">
        <f>""</f>
        <v/>
      </c>
      <c r="N964" s="42" t="str">
        <f>IF($J964="Item",_xll.NL("first",$J964,"Description","No.","@@"&amp;$K964),"")</f>
        <v/>
      </c>
      <c r="O964" s="43">
        <v>0</v>
      </c>
      <c r="P964" s="43">
        <v>1</v>
      </c>
      <c r="Q964" s="43">
        <v>0</v>
      </c>
      <c r="R964" s="43">
        <v>0</v>
      </c>
      <c r="S964" s="43">
        <v>0</v>
      </c>
      <c r="T964" s="43">
        <v>0</v>
      </c>
      <c r="U964" s="56"/>
    </row>
    <row r="965" spans="1:21" ht="17.25" customHeight="1" x14ac:dyDescent="0.3">
      <c r="A965" s="15" t="s">
        <v>30</v>
      </c>
      <c r="C965" s="19"/>
      <c r="D965" s="33" t="str">
        <f t="shared" si="248"/>
        <v>E100007</v>
      </c>
      <c r="E965" s="33"/>
      <c r="F965" s="34"/>
      <c r="G965" s="34" t="str">
        <f>"""NAV Direct"",""CRONUS JetCorp USA"",""32"",""1"",""78905"""</f>
        <v>"NAV Direct","CRONUS JetCorp USA","32","1","78905"</v>
      </c>
      <c r="H965" s="40">
        <v>43475</v>
      </c>
      <c r="I965" s="41">
        <v>78905</v>
      </c>
      <c r="J965" s="42" t="str">
        <f>"Customer"</f>
        <v>Customer</v>
      </c>
      <c r="K965" s="42" t="str">
        <f>"C100128"</f>
        <v>C100128</v>
      </c>
      <c r="L965" s="42" t="str">
        <f>IF($J965="Customer",_xll.NL("first",$J965,"Name","No.","@@"&amp;$K965),"")</f>
        <v>Solar Tech</v>
      </c>
      <c r="M965" s="42" t="str">
        <f>""</f>
        <v/>
      </c>
      <c r="N965" s="42" t="str">
        <f>IF($J965="Item",_xll.NL("first",$J965,"Description","No.","@@"&amp;$K965),"")</f>
        <v/>
      </c>
      <c r="O965" s="43">
        <v>0</v>
      </c>
      <c r="P965" s="43">
        <v>-289</v>
      </c>
      <c r="Q965" s="43">
        <v>0</v>
      </c>
      <c r="R965" s="43">
        <v>0</v>
      </c>
      <c r="S965" s="43">
        <v>0</v>
      </c>
      <c r="T965" s="43">
        <v>0</v>
      </c>
      <c r="U965" s="56"/>
    </row>
    <row r="966" spans="1:21" ht="17.25" customHeight="1" x14ac:dyDescent="0.3">
      <c r="A966" s="15" t="s">
        <v>30</v>
      </c>
      <c r="C966" s="19"/>
      <c r="D966" s="33"/>
      <c r="E966" s="33"/>
      <c r="F966" s="34"/>
      <c r="G966" s="34"/>
      <c r="H966" s="34"/>
      <c r="I966" s="34"/>
      <c r="J966" s="34"/>
      <c r="K966" s="34"/>
      <c r="L966" s="34"/>
      <c r="M966" s="34"/>
      <c r="N966" s="34"/>
      <c r="O966" s="44"/>
      <c r="P966" s="44"/>
      <c r="Q966" s="44"/>
      <c r="R966" s="44"/>
      <c r="S966" s="44"/>
      <c r="T966" s="44"/>
      <c r="U966" s="57"/>
    </row>
    <row r="967" spans="1:21" ht="17.25" customHeight="1" x14ac:dyDescent="0.3">
      <c r="A967" s="15" t="s">
        <v>30</v>
      </c>
      <c r="C967" s="19"/>
      <c r="D967" s="33"/>
      <c r="E967" s="33" t="s">
        <v>31</v>
      </c>
      <c r="F967" s="34" t="s">
        <v>31</v>
      </c>
      <c r="G967" s="34" t="s">
        <v>31</v>
      </c>
      <c r="H967" s="34"/>
      <c r="I967" s="34"/>
      <c r="J967" s="34" t="s">
        <v>31</v>
      </c>
      <c r="K967" s="34" t="s">
        <v>31</v>
      </c>
      <c r="L967" s="34" t="s">
        <v>31</v>
      </c>
      <c r="M967" s="34" t="s">
        <v>31</v>
      </c>
      <c r="N967" s="34"/>
      <c r="U967" s="58"/>
    </row>
    <row r="968" spans="1:21" ht="20.25" customHeight="1" x14ac:dyDescent="0.35">
      <c r="A968" s="15" t="s">
        <v>30</v>
      </c>
      <c r="C968" s="19"/>
      <c r="D968" s="35" t="str">
        <f t="shared" ref="D968" si="249">E968</f>
        <v>E100008</v>
      </c>
      <c r="E968" s="36" t="str">
        <f>"E100008"</f>
        <v>E100008</v>
      </c>
      <c r="F968" s="37" t="str">
        <f>"Super Shopper"</f>
        <v>Super Shopper</v>
      </c>
      <c r="G968" s="37"/>
      <c r="H968" s="38" t="str">
        <f>"EA"</f>
        <v>EA</v>
      </c>
      <c r="I968" s="37"/>
      <c r="J968" s="37"/>
      <c r="K968" s="37"/>
      <c r="L968" s="37"/>
      <c r="M968" s="37"/>
      <c r="N968" s="37"/>
      <c r="O968" s="39">
        <f>(SUBTOTAL(9,O969:O981))</f>
        <v>2200</v>
      </c>
      <c r="P968" s="39">
        <f>(SUBTOTAL(9,P969:P981))</f>
        <v>-484</v>
      </c>
      <c r="Q968" s="39">
        <f>(SUBTOTAL(9,Q969:Q981))</f>
        <v>0</v>
      </c>
      <c r="R968" s="39">
        <f>(SUBTOTAL(9,R969:R981))</f>
        <v>0</v>
      </c>
      <c r="S968" s="39">
        <f>(SUBTOTAL(9,S969:S981))</f>
        <v>0</v>
      </c>
      <c r="T968" s="39">
        <f>(SUBTOTAL(9,T969:T981))</f>
        <v>0</v>
      </c>
      <c r="U968" s="55">
        <f t="shared" ref="U968" si="250">SUBTOTAL(9,O969:T981)</f>
        <v>1716</v>
      </c>
    </row>
    <row r="969" spans="1:21" ht="17.25" customHeight="1" x14ac:dyDescent="0.3">
      <c r="A969" s="15" t="s">
        <v>30</v>
      </c>
      <c r="C969" s="19"/>
      <c r="D969" s="33" t="str">
        <f t="shared" ref="D969" si="251">D968</f>
        <v>E100008</v>
      </c>
      <c r="E969" s="33"/>
      <c r="F969" s="34"/>
      <c r="G969" s="34" t="str">
        <f>"""NAV Direct"",""CRONUS JetCorp USA"",""32"",""1"",""166737"""</f>
        <v>"NAV Direct","CRONUS JetCorp USA","32","1","166737"</v>
      </c>
      <c r="H969" s="40">
        <v>43466</v>
      </c>
      <c r="I969" s="41">
        <v>166737</v>
      </c>
      <c r="J969" s="42" t="str">
        <f>"Vendor"</f>
        <v>Vendor</v>
      </c>
      <c r="K969" s="42" t="str">
        <f>"V100040"</f>
        <v>V100040</v>
      </c>
      <c r="L969" s="42" t="str">
        <f>IF($J969="Customer",_xll.NL("first",$J969,"Name","No.","@@"&amp;$K969),"")</f>
        <v/>
      </c>
      <c r="M969" s="42" t="str">
        <f>"Technische Betriebe Rotkreuz"</f>
        <v>Technische Betriebe Rotkreuz</v>
      </c>
      <c r="N969" s="42" t="str">
        <f>IF($J969="Item",_xll.NL("first",$J969,"Description","No.","@@"&amp;$K969),"")</f>
        <v/>
      </c>
      <c r="O969" s="43">
        <v>200</v>
      </c>
      <c r="P969" s="43">
        <v>0</v>
      </c>
      <c r="Q969" s="43">
        <v>0</v>
      </c>
      <c r="R969" s="43">
        <v>0</v>
      </c>
      <c r="S969" s="43">
        <v>0</v>
      </c>
      <c r="T969" s="43">
        <v>0</v>
      </c>
      <c r="U969" s="56"/>
    </row>
    <row r="970" spans="1:21" ht="17.25" customHeight="1" x14ac:dyDescent="0.3">
      <c r="A970" s="15" t="s">
        <v>30</v>
      </c>
      <c r="C970" s="19"/>
      <c r="D970" s="33" t="str">
        <f t="shared" ref="D970:D980" si="252">D969</f>
        <v>E100008</v>
      </c>
      <c r="E970" s="33"/>
      <c r="F970" s="34"/>
      <c r="G970" s="34" t="str">
        <f>"""NAV Direct"",""CRONUS JetCorp USA"",""32"",""1"",""166765"""</f>
        <v>"NAV Direct","CRONUS JetCorp USA","32","1","166765"</v>
      </c>
      <c r="H970" s="40">
        <v>43466</v>
      </c>
      <c r="I970" s="41">
        <v>166765</v>
      </c>
      <c r="J970" s="42" t="str">
        <f>"Vendor"</f>
        <v>Vendor</v>
      </c>
      <c r="K970" s="42" t="str">
        <f>"V100001"</f>
        <v>V100001</v>
      </c>
      <c r="L970" s="42" t="str">
        <f>IF($J970="Customer",_xll.NL("first",$J970,"Name","No.","@@"&amp;$K970),"")</f>
        <v/>
      </c>
      <c r="M970" s="42" t="str">
        <f>"Greigner, Inc."</f>
        <v>Greigner, Inc.</v>
      </c>
      <c r="N970" s="42" t="str">
        <f>IF($J970="Item",_xll.NL("first",$J970,"Description","No.","@@"&amp;$K970),"")</f>
        <v/>
      </c>
      <c r="O970" s="43">
        <v>800</v>
      </c>
      <c r="P970" s="43">
        <v>0</v>
      </c>
      <c r="Q970" s="43">
        <v>0</v>
      </c>
      <c r="R970" s="43">
        <v>0</v>
      </c>
      <c r="S970" s="43">
        <v>0</v>
      </c>
      <c r="T970" s="43">
        <v>0</v>
      </c>
      <c r="U970" s="56"/>
    </row>
    <row r="971" spans="1:21" ht="17.25" customHeight="1" x14ac:dyDescent="0.3">
      <c r="A971" s="15" t="s">
        <v>30</v>
      </c>
      <c r="C971" s="19"/>
      <c r="D971" s="33" t="str">
        <f t="shared" si="252"/>
        <v>E100008</v>
      </c>
      <c r="E971" s="33"/>
      <c r="F971" s="34"/>
      <c r="G971" s="34" t="str">
        <f>"""NAV Direct"",""CRONUS JetCorp USA"",""32"",""1"",""166781"""</f>
        <v>"NAV Direct","CRONUS JetCorp USA","32","1","166781"</v>
      </c>
      <c r="H971" s="40">
        <v>43466</v>
      </c>
      <c r="I971" s="41">
        <v>166781</v>
      </c>
      <c r="J971" s="42" t="str">
        <f>"Vendor"</f>
        <v>Vendor</v>
      </c>
      <c r="K971" s="42" t="str">
        <f>"V100047"</f>
        <v>V100047</v>
      </c>
      <c r="L971" s="42" t="str">
        <f>IF($J971="Customer",_xll.NL("first",$J971,"Name","No.","@@"&amp;$K971),"")</f>
        <v/>
      </c>
      <c r="M971" s="42" t="str">
        <f>"WoodMart Supply Co."</f>
        <v>WoodMart Supply Co.</v>
      </c>
      <c r="N971" s="42" t="str">
        <f>IF($J971="Item",_xll.NL("first",$J971,"Description","No.","@@"&amp;$K971),"")</f>
        <v/>
      </c>
      <c r="O971" s="43">
        <v>400</v>
      </c>
      <c r="P971" s="43">
        <v>0</v>
      </c>
      <c r="Q971" s="43">
        <v>0</v>
      </c>
      <c r="R971" s="43">
        <v>0</v>
      </c>
      <c r="S971" s="43">
        <v>0</v>
      </c>
      <c r="T971" s="43">
        <v>0</v>
      </c>
      <c r="U971" s="56"/>
    </row>
    <row r="972" spans="1:21" ht="17.25" customHeight="1" x14ac:dyDescent="0.3">
      <c r="A972" s="15" t="s">
        <v>30</v>
      </c>
      <c r="C972" s="19"/>
      <c r="D972" s="33" t="str">
        <f t="shared" si="252"/>
        <v>E100008</v>
      </c>
      <c r="E972" s="33"/>
      <c r="F972" s="34"/>
      <c r="G972" s="34" t="str">
        <f>"""NAV Direct"",""CRONUS JetCorp USA"",""32"",""1"",""166788"""</f>
        <v>"NAV Direct","CRONUS JetCorp USA","32","1","166788"</v>
      </c>
      <c r="H972" s="40">
        <v>43466</v>
      </c>
      <c r="I972" s="41">
        <v>166788</v>
      </c>
      <c r="J972" s="42" t="str">
        <f>"Vendor"</f>
        <v>Vendor</v>
      </c>
      <c r="K972" s="42" t="str">
        <f>"V100003"</f>
        <v>V100003</v>
      </c>
      <c r="L972" s="42" t="str">
        <f>IF($J972="Customer",_xll.NL("first",$J972,"Name","No.","@@"&amp;$K972),"")</f>
        <v/>
      </c>
      <c r="M972" s="42" t="str">
        <f>"LogoMasters"</f>
        <v>LogoMasters</v>
      </c>
      <c r="N972" s="42" t="str">
        <f>IF($J972="Item",_xll.NL("first",$J972,"Description","No.","@@"&amp;$K972),"")</f>
        <v/>
      </c>
      <c r="O972" s="43">
        <v>400</v>
      </c>
      <c r="P972" s="43">
        <v>0</v>
      </c>
      <c r="Q972" s="43">
        <v>0</v>
      </c>
      <c r="R972" s="43">
        <v>0</v>
      </c>
      <c r="S972" s="43">
        <v>0</v>
      </c>
      <c r="T972" s="43">
        <v>0</v>
      </c>
      <c r="U972" s="56"/>
    </row>
    <row r="973" spans="1:21" ht="17.25" customHeight="1" x14ac:dyDescent="0.3">
      <c r="A973" s="15" t="s">
        <v>30</v>
      </c>
      <c r="C973" s="19"/>
      <c r="D973" s="33" t="str">
        <f t="shared" si="252"/>
        <v>E100008</v>
      </c>
      <c r="E973" s="33"/>
      <c r="F973" s="34"/>
      <c r="G973" s="34" t="str">
        <f>"""NAV Direct"",""CRONUS JetCorp USA"",""32"",""1"",""166801"""</f>
        <v>"NAV Direct","CRONUS JetCorp USA","32","1","166801"</v>
      </c>
      <c r="H973" s="40">
        <v>43466</v>
      </c>
      <c r="I973" s="41">
        <v>166801</v>
      </c>
      <c r="J973" s="42" t="str">
        <f>"Vendor"</f>
        <v>Vendor</v>
      </c>
      <c r="K973" s="42" t="str">
        <f>"V100001"</f>
        <v>V100001</v>
      </c>
      <c r="L973" s="42" t="str">
        <f>IF($J973="Customer",_xll.NL("first",$J973,"Name","No.","@@"&amp;$K973),"")</f>
        <v/>
      </c>
      <c r="M973" s="42" t="str">
        <f>"Greigner, Inc."</f>
        <v>Greigner, Inc.</v>
      </c>
      <c r="N973" s="42" t="str">
        <f>IF($J973="Item",_xll.NL("first",$J973,"Description","No.","@@"&amp;$K973),"")</f>
        <v/>
      </c>
      <c r="O973" s="43">
        <v>400</v>
      </c>
      <c r="P973" s="43">
        <v>0</v>
      </c>
      <c r="Q973" s="43">
        <v>0</v>
      </c>
      <c r="R973" s="43">
        <v>0</v>
      </c>
      <c r="S973" s="43">
        <v>0</v>
      </c>
      <c r="T973" s="43">
        <v>0</v>
      </c>
      <c r="U973" s="56"/>
    </row>
    <row r="974" spans="1:21" ht="17.25" customHeight="1" x14ac:dyDescent="0.3">
      <c r="A974" s="15" t="s">
        <v>30</v>
      </c>
      <c r="C974" s="19"/>
      <c r="D974" s="33" t="str">
        <f t="shared" si="252"/>
        <v>E100008</v>
      </c>
      <c r="E974" s="33"/>
      <c r="F974" s="34"/>
      <c r="G974" s="34" t="str">
        <f>"""NAV Direct"",""CRONUS JetCorp USA"",""32"",""1"",""147995"""</f>
        <v>"NAV Direct","CRONUS JetCorp USA","32","1","147995"</v>
      </c>
      <c r="H974" s="40">
        <v>43469</v>
      </c>
      <c r="I974" s="41">
        <v>147995</v>
      </c>
      <c r="J974" s="42" t="str">
        <f>"Customer"</f>
        <v>Customer</v>
      </c>
      <c r="K974" s="42" t="str">
        <f>"C100096"</f>
        <v>C100096</v>
      </c>
      <c r="L974" s="42" t="str">
        <f>IF($J974="Customer",_xll.NL("first",$J974,"Name","No.","@@"&amp;$K974),"")</f>
        <v>D-Com Industries</v>
      </c>
      <c r="M974" s="42" t="str">
        <f>""</f>
        <v/>
      </c>
      <c r="N974" s="42" t="str">
        <f>IF($J974="Item",_xll.NL("first",$J974,"Description","No.","@@"&amp;$K974),"")</f>
        <v/>
      </c>
      <c r="O974" s="43">
        <v>0</v>
      </c>
      <c r="P974" s="43">
        <v>-1</v>
      </c>
      <c r="Q974" s="43">
        <v>0</v>
      </c>
      <c r="R974" s="43">
        <v>0</v>
      </c>
      <c r="S974" s="43">
        <v>0</v>
      </c>
      <c r="T974" s="43">
        <v>0</v>
      </c>
      <c r="U974" s="56"/>
    </row>
    <row r="975" spans="1:21" ht="17.25" customHeight="1" x14ac:dyDescent="0.3">
      <c r="A975" s="15" t="s">
        <v>30</v>
      </c>
      <c r="C975" s="19"/>
      <c r="D975" s="33" t="str">
        <f t="shared" si="252"/>
        <v>E100008</v>
      </c>
      <c r="E975" s="33"/>
      <c r="F975" s="34"/>
      <c r="G975" s="34" t="str">
        <f>"""NAV Direct"",""CRONUS JetCorp USA"",""32"",""1"",""153173"""</f>
        <v>"NAV Direct","CRONUS JetCorp USA","32","1","153173"</v>
      </c>
      <c r="H975" s="40">
        <v>43470</v>
      </c>
      <c r="I975" s="41">
        <v>153173</v>
      </c>
      <c r="J975" s="42" t="str">
        <f>"Customer"</f>
        <v>Customer</v>
      </c>
      <c r="K975" s="42" t="str">
        <f>"C100136"</f>
        <v>C100136</v>
      </c>
      <c r="L975" s="42" t="str">
        <f>IF($J975="Customer",_xll.NL("first",$J975,"Name","No.","@@"&amp;$K975),"")</f>
        <v>First Bank</v>
      </c>
      <c r="M975" s="42" t="str">
        <f>""</f>
        <v/>
      </c>
      <c r="N975" s="42" t="str">
        <f>IF($J975="Item",_xll.NL("first",$J975,"Description","No.","@@"&amp;$K975),"")</f>
        <v/>
      </c>
      <c r="O975" s="43">
        <v>0</v>
      </c>
      <c r="P975" s="43">
        <v>-144</v>
      </c>
      <c r="Q975" s="43">
        <v>0</v>
      </c>
      <c r="R975" s="43">
        <v>0</v>
      </c>
      <c r="S975" s="43">
        <v>0</v>
      </c>
      <c r="T975" s="43">
        <v>0</v>
      </c>
      <c r="U975" s="56"/>
    </row>
    <row r="976" spans="1:21" ht="17.25" customHeight="1" x14ac:dyDescent="0.3">
      <c r="A976" s="15" t="s">
        <v>30</v>
      </c>
      <c r="C976" s="19"/>
      <c r="D976" s="33" t="str">
        <f t="shared" si="252"/>
        <v>E100008</v>
      </c>
      <c r="E976" s="33"/>
      <c r="F976" s="34"/>
      <c r="G976" s="34" t="str">
        <f>"""NAV Direct"",""CRONUS JetCorp USA"",""32"",""1"",""72528"""</f>
        <v>"NAV Direct","CRONUS JetCorp USA","32","1","72528"</v>
      </c>
      <c r="H976" s="40">
        <v>43471</v>
      </c>
      <c r="I976" s="41">
        <v>72528</v>
      </c>
      <c r="J976" s="42" t="str">
        <f>"Customer"</f>
        <v>Customer</v>
      </c>
      <c r="K976" s="42" t="str">
        <f>"C100107"</f>
        <v>C100107</v>
      </c>
      <c r="L976" s="42" t="str">
        <f>IF($J976="Customer",_xll.NL("first",$J976,"Name","No.","@@"&amp;$K976),"")</f>
        <v>Lexitechnology</v>
      </c>
      <c r="M976" s="42" t="str">
        <f>""</f>
        <v/>
      </c>
      <c r="N976" s="42" t="str">
        <f>IF($J976="Item",_xll.NL("first",$J976,"Description","No.","@@"&amp;$K976),"")</f>
        <v/>
      </c>
      <c r="O976" s="43">
        <v>0</v>
      </c>
      <c r="P976" s="43">
        <v>-1</v>
      </c>
      <c r="Q976" s="43">
        <v>0</v>
      </c>
      <c r="R976" s="43">
        <v>0</v>
      </c>
      <c r="S976" s="43">
        <v>0</v>
      </c>
      <c r="T976" s="43">
        <v>0</v>
      </c>
      <c r="U976" s="56"/>
    </row>
    <row r="977" spans="1:21" ht="17.25" customHeight="1" x14ac:dyDescent="0.3">
      <c r="A977" s="15" t="s">
        <v>30</v>
      </c>
      <c r="C977" s="19"/>
      <c r="D977" s="33" t="str">
        <f t="shared" si="252"/>
        <v>E100008</v>
      </c>
      <c r="E977" s="33"/>
      <c r="F977" s="34"/>
      <c r="G977" s="34" t="str">
        <f>"""NAV Direct"",""CRONUS JetCorp USA"",""32"",""1"",""44539"""</f>
        <v>"NAV Direct","CRONUS JetCorp USA","32","1","44539"</v>
      </c>
      <c r="H977" s="40">
        <v>43473</v>
      </c>
      <c r="I977" s="41">
        <v>44539</v>
      </c>
      <c r="J977" s="42" t="str">
        <f>"Customer"</f>
        <v>Customer</v>
      </c>
      <c r="K977" s="42" t="str">
        <f>"C100139"</f>
        <v>C100139</v>
      </c>
      <c r="L977" s="42" t="str">
        <f>IF($J977="Customer",_xll.NL("first",$J977,"Name","No.","@@"&amp;$K977),"")</f>
        <v>Gamma Ray's</v>
      </c>
      <c r="M977" s="42" t="str">
        <f>""</f>
        <v/>
      </c>
      <c r="N977" s="42" t="str">
        <f>IF($J977="Item",_xll.NL("first",$J977,"Description","No.","@@"&amp;$K977),"")</f>
        <v/>
      </c>
      <c r="O977" s="43">
        <v>0</v>
      </c>
      <c r="P977" s="43">
        <v>-48</v>
      </c>
      <c r="Q977" s="43">
        <v>0</v>
      </c>
      <c r="R977" s="43">
        <v>0</v>
      </c>
      <c r="S977" s="43">
        <v>0</v>
      </c>
      <c r="T977" s="43">
        <v>0</v>
      </c>
      <c r="U977" s="56"/>
    </row>
    <row r="978" spans="1:21" ht="17.25" customHeight="1" x14ac:dyDescent="0.3">
      <c r="A978" s="15" t="s">
        <v>30</v>
      </c>
      <c r="C978" s="19"/>
      <c r="D978" s="33" t="str">
        <f t="shared" si="252"/>
        <v>E100008</v>
      </c>
      <c r="E978" s="33"/>
      <c r="F978" s="34"/>
      <c r="G978" s="34" t="str">
        <f>"""NAV Direct"",""CRONUS JetCorp USA"",""32"",""1"",""54714"""</f>
        <v>"NAV Direct","CRONUS JetCorp USA","32","1","54714"</v>
      </c>
      <c r="H978" s="40">
        <v>43474</v>
      </c>
      <c r="I978" s="41">
        <v>54714</v>
      </c>
      <c r="J978" s="42" t="str">
        <f>"Customer"</f>
        <v>Customer</v>
      </c>
      <c r="K978" s="42" t="str">
        <f>"C100096"</f>
        <v>C100096</v>
      </c>
      <c r="L978" s="42" t="str">
        <f>IF($J978="Customer",_xll.NL("first",$J978,"Name","No.","@@"&amp;$K978),"")</f>
        <v>D-Com Industries</v>
      </c>
      <c r="M978" s="42" t="str">
        <f>""</f>
        <v/>
      </c>
      <c r="N978" s="42" t="str">
        <f>IF($J978="Item",_xll.NL("first",$J978,"Description","No.","@@"&amp;$K978),"")</f>
        <v/>
      </c>
      <c r="O978" s="43">
        <v>0</v>
      </c>
      <c r="P978" s="43">
        <v>-144</v>
      </c>
      <c r="Q978" s="43">
        <v>0</v>
      </c>
      <c r="R978" s="43">
        <v>0</v>
      </c>
      <c r="S978" s="43">
        <v>0</v>
      </c>
      <c r="T978" s="43">
        <v>0</v>
      </c>
      <c r="U978" s="56"/>
    </row>
    <row r="979" spans="1:21" ht="17.25" customHeight="1" x14ac:dyDescent="0.3">
      <c r="A979" s="15" t="s">
        <v>30</v>
      </c>
      <c r="C979" s="19"/>
      <c r="D979" s="33" t="str">
        <f t="shared" si="252"/>
        <v>E100008</v>
      </c>
      <c r="E979" s="33"/>
      <c r="F979" s="34"/>
      <c r="G979" s="34" t="str">
        <f>"""NAV Direct"",""CRONUS JetCorp USA"",""32"",""1"",""64631"""</f>
        <v>"NAV Direct","CRONUS JetCorp USA","32","1","64631"</v>
      </c>
      <c r="H979" s="40">
        <v>43475</v>
      </c>
      <c r="I979" s="41">
        <v>64631</v>
      </c>
      <c r="J979" s="42" t="str">
        <f>"Customer"</f>
        <v>Customer</v>
      </c>
      <c r="K979" s="42" t="str">
        <f>"C100136"</f>
        <v>C100136</v>
      </c>
      <c r="L979" s="42" t="str">
        <f>IF($J979="Customer",_xll.NL("first",$J979,"Name","No.","@@"&amp;$K979),"")</f>
        <v>First Bank</v>
      </c>
      <c r="M979" s="42" t="str">
        <f>""</f>
        <v/>
      </c>
      <c r="N979" s="42" t="str">
        <f>IF($J979="Item",_xll.NL("first",$J979,"Description","No.","@@"&amp;$K979),"")</f>
        <v/>
      </c>
      <c r="O979" s="43">
        <v>0</v>
      </c>
      <c r="P979" s="43">
        <v>-2</v>
      </c>
      <c r="Q979" s="43">
        <v>0</v>
      </c>
      <c r="R979" s="43">
        <v>0</v>
      </c>
      <c r="S979" s="43">
        <v>0</v>
      </c>
      <c r="T979" s="43">
        <v>0</v>
      </c>
      <c r="U979" s="56"/>
    </row>
    <row r="980" spans="1:21" ht="17.25" customHeight="1" x14ac:dyDescent="0.3">
      <c r="A980" s="15" t="s">
        <v>30</v>
      </c>
      <c r="C980" s="19"/>
      <c r="D980" s="33" t="str">
        <f t="shared" si="252"/>
        <v>E100008</v>
      </c>
      <c r="E980" s="33"/>
      <c r="F980" s="34"/>
      <c r="G980" s="34" t="str">
        <f>"""NAV Direct"",""CRONUS JetCorp USA"",""32"",""1"",""78908"""</f>
        <v>"NAV Direct","CRONUS JetCorp USA","32","1","78908"</v>
      </c>
      <c r="H980" s="40">
        <v>43475</v>
      </c>
      <c r="I980" s="41">
        <v>78908</v>
      </c>
      <c r="J980" s="42" t="str">
        <f>"Customer"</f>
        <v>Customer</v>
      </c>
      <c r="K980" s="42" t="str">
        <f>"C100128"</f>
        <v>C100128</v>
      </c>
      <c r="L980" s="42" t="str">
        <f>IF($J980="Customer",_xll.NL("first",$J980,"Name","No.","@@"&amp;$K980),"")</f>
        <v>Solar Tech</v>
      </c>
      <c r="M980" s="42" t="str">
        <f>""</f>
        <v/>
      </c>
      <c r="N980" s="42" t="str">
        <f>IF($J980="Item",_xll.NL("first",$J980,"Description","No.","@@"&amp;$K980),"")</f>
        <v/>
      </c>
      <c r="O980" s="43">
        <v>0</v>
      </c>
      <c r="P980" s="43">
        <v>-144</v>
      </c>
      <c r="Q980" s="43">
        <v>0</v>
      </c>
      <c r="R980" s="43">
        <v>0</v>
      </c>
      <c r="S980" s="43">
        <v>0</v>
      </c>
      <c r="T980" s="43">
        <v>0</v>
      </c>
      <c r="U980" s="56"/>
    </row>
    <row r="981" spans="1:21" ht="17.25" customHeight="1" x14ac:dyDescent="0.3">
      <c r="A981" s="15" t="s">
        <v>30</v>
      </c>
      <c r="C981" s="19"/>
      <c r="D981" s="33"/>
      <c r="E981" s="33"/>
      <c r="F981" s="34"/>
      <c r="G981" s="34"/>
      <c r="H981" s="34"/>
      <c r="I981" s="34"/>
      <c r="J981" s="34"/>
      <c r="K981" s="34"/>
      <c r="L981" s="34"/>
      <c r="M981" s="34"/>
      <c r="N981" s="34"/>
      <c r="O981" s="44"/>
      <c r="P981" s="44"/>
      <c r="Q981" s="44"/>
      <c r="R981" s="44"/>
      <c r="S981" s="44"/>
      <c r="T981" s="44"/>
      <c r="U981" s="57"/>
    </row>
    <row r="982" spans="1:21" ht="17.25" customHeight="1" x14ac:dyDescent="0.3">
      <c r="A982" s="15" t="s">
        <v>30</v>
      </c>
      <c r="C982" s="19"/>
      <c r="D982" s="33"/>
      <c r="E982" s="33" t="s">
        <v>31</v>
      </c>
      <c r="F982" s="34" t="s">
        <v>31</v>
      </c>
      <c r="G982" s="34" t="s">
        <v>31</v>
      </c>
      <c r="H982" s="34"/>
      <c r="I982" s="34"/>
      <c r="J982" s="34" t="s">
        <v>31</v>
      </c>
      <c r="K982" s="34" t="s">
        <v>31</v>
      </c>
      <c r="L982" s="34" t="s">
        <v>31</v>
      </c>
      <c r="M982" s="34" t="s">
        <v>31</v>
      </c>
      <c r="N982" s="34"/>
      <c r="U982" s="58"/>
    </row>
    <row r="983" spans="1:21" ht="20.25" customHeight="1" x14ac:dyDescent="0.35">
      <c r="A983" s="15" t="s">
        <v>30</v>
      </c>
      <c r="C983" s="19"/>
      <c r="D983" s="35" t="str">
        <f t="shared" ref="D983" si="253">E983</f>
        <v>E100009</v>
      </c>
      <c r="E983" s="36" t="str">
        <f>"E100009"</f>
        <v>E100009</v>
      </c>
      <c r="F983" s="37" t="str">
        <f>"Die-Cut Tote"</f>
        <v>Die-Cut Tote</v>
      </c>
      <c r="G983" s="37"/>
      <c r="H983" s="38" t="str">
        <f>"EA"</f>
        <v>EA</v>
      </c>
      <c r="I983" s="37"/>
      <c r="J983" s="37"/>
      <c r="K983" s="37"/>
      <c r="L983" s="37"/>
      <c r="M983" s="37"/>
      <c r="N983" s="37"/>
      <c r="O983" s="39">
        <f>(SUBTOTAL(9,O984:O1000))</f>
        <v>3400</v>
      </c>
      <c r="P983" s="39">
        <f>(SUBTOTAL(9,P984:P1000))</f>
        <v>-914</v>
      </c>
      <c r="Q983" s="39">
        <f>(SUBTOTAL(9,Q984:Q1000))</f>
        <v>0</v>
      </c>
      <c r="R983" s="39">
        <f>(SUBTOTAL(9,R984:R1000))</f>
        <v>0</v>
      </c>
      <c r="S983" s="39">
        <f>(SUBTOTAL(9,S984:S1000))</f>
        <v>0</v>
      </c>
      <c r="T983" s="39">
        <f>(SUBTOTAL(9,T984:T1000))</f>
        <v>0</v>
      </c>
      <c r="U983" s="55">
        <f t="shared" ref="U983" si="254">SUBTOTAL(9,O984:T1000)</f>
        <v>2486</v>
      </c>
    </row>
    <row r="984" spans="1:21" ht="17.25" customHeight="1" x14ac:dyDescent="0.3">
      <c r="A984" s="15" t="s">
        <v>30</v>
      </c>
      <c r="C984" s="19"/>
      <c r="D984" s="33" t="str">
        <f t="shared" ref="D984" si="255">D983</f>
        <v>E100009</v>
      </c>
      <c r="E984" s="33"/>
      <c r="F984" s="34"/>
      <c r="G984" s="34" t="str">
        <f>"""NAV Direct"",""CRONUS JetCorp USA"",""32"",""1"",""166730"""</f>
        <v>"NAV Direct","CRONUS JetCorp USA","32","1","166730"</v>
      </c>
      <c r="H984" s="40">
        <v>43466</v>
      </c>
      <c r="I984" s="41">
        <v>166730</v>
      </c>
      <c r="J984" s="42" t="str">
        <f>"Vendor"</f>
        <v>Vendor</v>
      </c>
      <c r="K984" s="42" t="str">
        <f>"V100009"</f>
        <v>V100009</v>
      </c>
      <c r="L984" s="42" t="str">
        <f>IF($J984="Customer",_xll.NL("first",$J984,"Name","No.","@@"&amp;$K984),"")</f>
        <v/>
      </c>
      <c r="M984" s="42" t="str">
        <f>"Malay-Dan Export Unit Sdn Bhd"</f>
        <v>Malay-Dan Export Unit Sdn Bhd</v>
      </c>
      <c r="N984" s="42" t="str">
        <f>IF($J984="Item",_xll.NL("first",$J984,"Description","No.","@@"&amp;$K984),"")</f>
        <v/>
      </c>
      <c r="O984" s="43">
        <v>200</v>
      </c>
      <c r="P984" s="43">
        <v>0</v>
      </c>
      <c r="Q984" s="43">
        <v>0</v>
      </c>
      <c r="R984" s="43">
        <v>0</v>
      </c>
      <c r="S984" s="43">
        <v>0</v>
      </c>
      <c r="T984" s="43">
        <v>0</v>
      </c>
      <c r="U984" s="56"/>
    </row>
    <row r="985" spans="1:21" ht="17.25" customHeight="1" x14ac:dyDescent="0.3">
      <c r="A985" s="15" t="s">
        <v>30</v>
      </c>
      <c r="C985" s="19"/>
      <c r="D985" s="33" t="str">
        <f t="shared" ref="D985:D999" si="256">D984</f>
        <v>E100009</v>
      </c>
      <c r="E985" s="33"/>
      <c r="F985" s="34"/>
      <c r="G985" s="34" t="str">
        <f>"""NAV Direct"",""CRONUS JetCorp USA"",""32"",""1"",""166736"""</f>
        <v>"NAV Direct","CRONUS JetCorp USA","32","1","166736"</v>
      </c>
      <c r="H985" s="40">
        <v>43466</v>
      </c>
      <c r="I985" s="41">
        <v>166736</v>
      </c>
      <c r="J985" s="42" t="str">
        <f>"Vendor"</f>
        <v>Vendor</v>
      </c>
      <c r="K985" s="42" t="str">
        <f>"V100040"</f>
        <v>V100040</v>
      </c>
      <c r="L985" s="42" t="str">
        <f>IF($J985="Customer",_xll.NL("first",$J985,"Name","No.","@@"&amp;$K985),"")</f>
        <v/>
      </c>
      <c r="M985" s="42" t="str">
        <f>"Technische Betriebe Rotkreuz"</f>
        <v>Technische Betriebe Rotkreuz</v>
      </c>
      <c r="N985" s="42" t="str">
        <f>IF($J985="Item",_xll.NL("first",$J985,"Description","No.","@@"&amp;$K985),"")</f>
        <v/>
      </c>
      <c r="O985" s="43">
        <v>400</v>
      </c>
      <c r="P985" s="43">
        <v>0</v>
      </c>
      <c r="Q985" s="43">
        <v>0</v>
      </c>
      <c r="R985" s="43">
        <v>0</v>
      </c>
      <c r="S985" s="43">
        <v>0</v>
      </c>
      <c r="T985" s="43">
        <v>0</v>
      </c>
      <c r="U985" s="56"/>
    </row>
    <row r="986" spans="1:21" ht="17.25" customHeight="1" x14ac:dyDescent="0.3">
      <c r="A986" s="15" t="s">
        <v>30</v>
      </c>
      <c r="C986" s="19"/>
      <c r="D986" s="33" t="str">
        <f t="shared" si="256"/>
        <v>E100009</v>
      </c>
      <c r="E986" s="33"/>
      <c r="F986" s="34"/>
      <c r="G986" s="34" t="str">
        <f>"""NAV Direct"",""CRONUS JetCorp USA"",""32"",""1"",""166750"""</f>
        <v>"NAV Direct","CRONUS JetCorp USA","32","1","166750"</v>
      </c>
      <c r="H986" s="40">
        <v>43466</v>
      </c>
      <c r="I986" s="41">
        <v>166750</v>
      </c>
      <c r="J986" s="42" t="str">
        <f>"Vendor"</f>
        <v>Vendor</v>
      </c>
      <c r="K986" s="42" t="str">
        <f>"V100001"</f>
        <v>V100001</v>
      </c>
      <c r="L986" s="42" t="str">
        <f>IF($J986="Customer",_xll.NL("first",$J986,"Name","No.","@@"&amp;$K986),"")</f>
        <v/>
      </c>
      <c r="M986" s="42" t="str">
        <f>"Greigner, Inc."</f>
        <v>Greigner, Inc.</v>
      </c>
      <c r="N986" s="42" t="str">
        <f>IF($J986="Item",_xll.NL("first",$J986,"Description","No.","@@"&amp;$K986),"")</f>
        <v/>
      </c>
      <c r="O986" s="43">
        <v>200</v>
      </c>
      <c r="P986" s="43">
        <v>0</v>
      </c>
      <c r="Q986" s="43">
        <v>0</v>
      </c>
      <c r="R986" s="43">
        <v>0</v>
      </c>
      <c r="S986" s="43">
        <v>0</v>
      </c>
      <c r="T986" s="43">
        <v>0</v>
      </c>
      <c r="U986" s="56"/>
    </row>
    <row r="987" spans="1:21" ht="17.25" customHeight="1" x14ac:dyDescent="0.3">
      <c r="A987" s="15" t="s">
        <v>30</v>
      </c>
      <c r="C987" s="19"/>
      <c r="D987" s="33" t="str">
        <f t="shared" si="256"/>
        <v>E100009</v>
      </c>
      <c r="E987" s="33"/>
      <c r="F987" s="34"/>
      <c r="G987" s="34" t="str">
        <f>"""NAV Direct"",""CRONUS JetCorp USA"",""32"",""1"",""166756"""</f>
        <v>"NAV Direct","CRONUS JetCorp USA","32","1","166756"</v>
      </c>
      <c r="H987" s="40">
        <v>43466</v>
      </c>
      <c r="I987" s="41">
        <v>166756</v>
      </c>
      <c r="J987" s="42" t="str">
        <f>"Vendor"</f>
        <v>Vendor</v>
      </c>
      <c r="K987" s="42" t="str">
        <f>"V100007"</f>
        <v>V100007</v>
      </c>
      <c r="L987" s="42" t="str">
        <f>IF($J987="Customer",_xll.NL("first",$J987,"Name","No.","@@"&amp;$K987),"")</f>
        <v/>
      </c>
      <c r="M987" s="42" t="str">
        <f>"TrendTech"</f>
        <v>TrendTech</v>
      </c>
      <c r="N987" s="42" t="str">
        <f>IF($J987="Item",_xll.NL("first",$J987,"Description","No.","@@"&amp;$K987),"")</f>
        <v/>
      </c>
      <c r="O987" s="43">
        <v>200</v>
      </c>
      <c r="P987" s="43">
        <v>0</v>
      </c>
      <c r="Q987" s="43">
        <v>0</v>
      </c>
      <c r="R987" s="43">
        <v>0</v>
      </c>
      <c r="S987" s="43">
        <v>0</v>
      </c>
      <c r="T987" s="43">
        <v>0</v>
      </c>
      <c r="U987" s="56"/>
    </row>
    <row r="988" spans="1:21" ht="17.25" customHeight="1" x14ac:dyDescent="0.3">
      <c r="A988" s="15" t="s">
        <v>30</v>
      </c>
      <c r="C988" s="19"/>
      <c r="D988" s="33" t="str">
        <f t="shared" si="256"/>
        <v>E100009</v>
      </c>
      <c r="E988" s="33"/>
      <c r="F988" s="34"/>
      <c r="G988" s="34" t="str">
        <f>"""NAV Direct"",""CRONUS JetCorp USA"",""32"",""1"",""166764"""</f>
        <v>"NAV Direct","CRONUS JetCorp USA","32","1","166764"</v>
      </c>
      <c r="H988" s="40">
        <v>43466</v>
      </c>
      <c r="I988" s="41">
        <v>166764</v>
      </c>
      <c r="J988" s="42" t="str">
        <f>"Vendor"</f>
        <v>Vendor</v>
      </c>
      <c r="K988" s="42" t="str">
        <f>"V100001"</f>
        <v>V100001</v>
      </c>
      <c r="L988" s="42" t="str">
        <f>IF($J988="Customer",_xll.NL("first",$J988,"Name","No.","@@"&amp;$K988),"")</f>
        <v/>
      </c>
      <c r="M988" s="42" t="str">
        <f>"Greigner, Inc."</f>
        <v>Greigner, Inc.</v>
      </c>
      <c r="N988" s="42" t="str">
        <f>IF($J988="Item",_xll.NL("first",$J988,"Description","No.","@@"&amp;$K988),"")</f>
        <v/>
      </c>
      <c r="O988" s="43">
        <v>1600</v>
      </c>
      <c r="P988" s="43">
        <v>0</v>
      </c>
      <c r="Q988" s="43">
        <v>0</v>
      </c>
      <c r="R988" s="43">
        <v>0</v>
      </c>
      <c r="S988" s="43">
        <v>0</v>
      </c>
      <c r="T988" s="43">
        <v>0</v>
      </c>
      <c r="U988" s="56"/>
    </row>
    <row r="989" spans="1:21" ht="17.25" customHeight="1" x14ac:dyDescent="0.3">
      <c r="A989" s="15" t="s">
        <v>30</v>
      </c>
      <c r="C989" s="19"/>
      <c r="D989" s="33" t="str">
        <f t="shared" si="256"/>
        <v>E100009</v>
      </c>
      <c r="E989" s="33"/>
      <c r="F989" s="34"/>
      <c r="G989" s="34" t="str">
        <f>"""NAV Direct"",""CRONUS JetCorp USA"",""32"",""1"",""166780"""</f>
        <v>"NAV Direct","CRONUS JetCorp USA","32","1","166780"</v>
      </c>
      <c r="H989" s="40">
        <v>43466</v>
      </c>
      <c r="I989" s="41">
        <v>166780</v>
      </c>
      <c r="J989" s="42" t="str">
        <f>"Vendor"</f>
        <v>Vendor</v>
      </c>
      <c r="K989" s="42" t="str">
        <f>"V100047"</f>
        <v>V100047</v>
      </c>
      <c r="L989" s="42" t="str">
        <f>IF($J989="Customer",_xll.NL("first",$J989,"Name","No.","@@"&amp;$K989),"")</f>
        <v/>
      </c>
      <c r="M989" s="42" t="str">
        <f>"WoodMart Supply Co."</f>
        <v>WoodMart Supply Co.</v>
      </c>
      <c r="N989" s="42" t="str">
        <f>IF($J989="Item",_xll.NL("first",$J989,"Description","No.","@@"&amp;$K989),"")</f>
        <v/>
      </c>
      <c r="O989" s="43">
        <v>400</v>
      </c>
      <c r="P989" s="43">
        <v>0</v>
      </c>
      <c r="Q989" s="43">
        <v>0</v>
      </c>
      <c r="R989" s="43">
        <v>0</v>
      </c>
      <c r="S989" s="43">
        <v>0</v>
      </c>
      <c r="T989" s="43">
        <v>0</v>
      </c>
      <c r="U989" s="56"/>
    </row>
    <row r="990" spans="1:21" ht="17.25" customHeight="1" x14ac:dyDescent="0.3">
      <c r="A990" s="15" t="s">
        <v>30</v>
      </c>
      <c r="C990" s="19"/>
      <c r="D990" s="33" t="str">
        <f t="shared" si="256"/>
        <v>E100009</v>
      </c>
      <c r="E990" s="33"/>
      <c r="F990" s="34"/>
      <c r="G990" s="34" t="str">
        <f>"""NAV Direct"",""CRONUS JetCorp USA"",""32"",""1"",""166787"""</f>
        <v>"NAV Direct","CRONUS JetCorp USA","32","1","166787"</v>
      </c>
      <c r="H990" s="40">
        <v>43466</v>
      </c>
      <c r="I990" s="41">
        <v>166787</v>
      </c>
      <c r="J990" s="42" t="str">
        <f>"Vendor"</f>
        <v>Vendor</v>
      </c>
      <c r="K990" s="42" t="str">
        <f>"V100003"</f>
        <v>V100003</v>
      </c>
      <c r="L990" s="42" t="str">
        <f>IF($J990="Customer",_xll.NL("first",$J990,"Name","No.","@@"&amp;$K990),"")</f>
        <v/>
      </c>
      <c r="M990" s="42" t="str">
        <f>"LogoMasters"</f>
        <v>LogoMasters</v>
      </c>
      <c r="N990" s="42" t="str">
        <f>IF($J990="Item",_xll.NL("first",$J990,"Description","No.","@@"&amp;$K990),"")</f>
        <v/>
      </c>
      <c r="O990" s="43">
        <v>400</v>
      </c>
      <c r="P990" s="43">
        <v>0</v>
      </c>
      <c r="Q990" s="43">
        <v>0</v>
      </c>
      <c r="R990" s="43">
        <v>0</v>
      </c>
      <c r="S990" s="43">
        <v>0</v>
      </c>
      <c r="T990" s="43">
        <v>0</v>
      </c>
      <c r="U990" s="56"/>
    </row>
    <row r="991" spans="1:21" ht="17.25" customHeight="1" x14ac:dyDescent="0.3">
      <c r="A991" s="15" t="s">
        <v>30</v>
      </c>
      <c r="C991" s="19"/>
      <c r="D991" s="33" t="str">
        <f t="shared" si="256"/>
        <v>E100009</v>
      </c>
      <c r="E991" s="33"/>
      <c r="F991" s="34"/>
      <c r="G991" s="34" t="str">
        <f>"""NAV Direct"",""CRONUS JetCorp USA"",""32"",""1"",""54744"""</f>
        <v>"NAV Direct","CRONUS JetCorp USA","32","1","54744"</v>
      </c>
      <c r="H991" s="40">
        <v>43472</v>
      </c>
      <c r="I991" s="41">
        <v>54744</v>
      </c>
      <c r="J991" s="42" t="str">
        <f>"Customer"</f>
        <v>Customer</v>
      </c>
      <c r="K991" s="42" t="str">
        <f>"C100084"</f>
        <v>C100084</v>
      </c>
      <c r="L991" s="42" t="str">
        <f>IF($J991="Customer",_xll.NL("first",$J991,"Name","No.","@@"&amp;$K991),"")</f>
        <v>The Cannon Group PLC</v>
      </c>
      <c r="M991" s="42" t="str">
        <f>""</f>
        <v/>
      </c>
      <c r="N991" s="42" t="str">
        <f>IF($J991="Item",_xll.NL("first",$J991,"Description","No.","@@"&amp;$K991),"")</f>
        <v/>
      </c>
      <c r="O991" s="43">
        <v>0</v>
      </c>
      <c r="P991" s="43">
        <v>-144</v>
      </c>
      <c r="Q991" s="43">
        <v>0</v>
      </c>
      <c r="R991" s="43">
        <v>0</v>
      </c>
      <c r="S991" s="43">
        <v>0</v>
      </c>
      <c r="T991" s="43">
        <v>0</v>
      </c>
      <c r="U991" s="56"/>
    </row>
    <row r="992" spans="1:21" ht="17.25" customHeight="1" x14ac:dyDescent="0.3">
      <c r="A992" s="15" t="s">
        <v>30</v>
      </c>
      <c r="C992" s="19"/>
      <c r="D992" s="33" t="str">
        <f t="shared" si="256"/>
        <v>E100009</v>
      </c>
      <c r="E992" s="33"/>
      <c r="F992" s="34"/>
      <c r="G992" s="34" t="str">
        <f>"""NAV Direct"",""CRONUS JetCorp USA"",""32"",""1"",""64608"""</f>
        <v>"NAV Direct","CRONUS JetCorp USA","32","1","64608"</v>
      </c>
      <c r="H992" s="40">
        <v>43472</v>
      </c>
      <c r="I992" s="41">
        <v>64608</v>
      </c>
      <c r="J992" s="42" t="str">
        <f>"Customer"</f>
        <v>Customer</v>
      </c>
      <c r="K992" s="42" t="str">
        <f>"C100140"</f>
        <v>C100140</v>
      </c>
      <c r="L992" s="42" t="str">
        <f>IF($J992="Customer",_xll.NL("first",$J992,"Name","No.","@@"&amp;$K992),"")</f>
        <v>Super Daves</v>
      </c>
      <c r="M992" s="42" t="str">
        <f>""</f>
        <v/>
      </c>
      <c r="N992" s="42" t="str">
        <f>IF($J992="Item",_xll.NL("first",$J992,"Description","No.","@@"&amp;$K992),"")</f>
        <v/>
      </c>
      <c r="O992" s="43">
        <v>0</v>
      </c>
      <c r="P992" s="43">
        <v>-48</v>
      </c>
      <c r="Q992" s="43">
        <v>0</v>
      </c>
      <c r="R992" s="43">
        <v>0</v>
      </c>
      <c r="S992" s="43">
        <v>0</v>
      </c>
      <c r="T992" s="43">
        <v>0</v>
      </c>
      <c r="U992" s="56"/>
    </row>
    <row r="993" spans="1:21" ht="17.25" customHeight="1" x14ac:dyDescent="0.3">
      <c r="A993" s="15" t="s">
        <v>30</v>
      </c>
      <c r="C993" s="19"/>
      <c r="D993" s="33" t="str">
        <f t="shared" si="256"/>
        <v>E100009</v>
      </c>
      <c r="E993" s="33"/>
      <c r="F993" s="34"/>
      <c r="G993" s="34" t="str">
        <f>"""NAV Direct"",""CRONUS JetCorp USA"",""32"",""1"",""142555"""</f>
        <v>"NAV Direct","CRONUS JetCorp USA","32","1","142555"</v>
      </c>
      <c r="H993" s="40">
        <v>43472</v>
      </c>
      <c r="I993" s="41">
        <v>142555</v>
      </c>
      <c r="J993" s="42" t="str">
        <f>"Customer"</f>
        <v>Customer</v>
      </c>
      <c r="K993" s="42" t="str">
        <f>"C100100"</f>
        <v>C100100</v>
      </c>
      <c r="L993" s="42" t="str">
        <f>IF($J993="Customer",_xll.NL("first",$J993,"Name","No.","@@"&amp;$K993),"")</f>
        <v>Keybase, Inc.</v>
      </c>
      <c r="M993" s="42" t="str">
        <f>""</f>
        <v/>
      </c>
      <c r="N993" s="42" t="str">
        <f>IF($J993="Item",_xll.NL("first",$J993,"Description","No.","@@"&amp;$K993),"")</f>
        <v/>
      </c>
      <c r="O993" s="43">
        <v>0</v>
      </c>
      <c r="P993" s="43">
        <v>-288</v>
      </c>
      <c r="Q993" s="43">
        <v>0</v>
      </c>
      <c r="R993" s="43">
        <v>0</v>
      </c>
      <c r="S993" s="43">
        <v>0</v>
      </c>
      <c r="T993" s="43">
        <v>0</v>
      </c>
      <c r="U993" s="56"/>
    </row>
    <row r="994" spans="1:21" ht="17.25" customHeight="1" x14ac:dyDescent="0.3">
      <c r="A994" s="15" t="s">
        <v>30</v>
      </c>
      <c r="C994" s="19"/>
      <c r="D994" s="33" t="str">
        <f t="shared" si="256"/>
        <v>E100009</v>
      </c>
      <c r="E994" s="33"/>
      <c r="F994" s="34"/>
      <c r="G994" s="34" t="str">
        <f>"""NAV Direct"",""CRONUS JetCorp USA"",""32"",""1"",""54713"""</f>
        <v>"NAV Direct","CRONUS JetCorp USA","32","1","54713"</v>
      </c>
      <c r="H994" s="40">
        <v>43474</v>
      </c>
      <c r="I994" s="41">
        <v>54713</v>
      </c>
      <c r="J994" s="42" t="str">
        <f>"Customer"</f>
        <v>Customer</v>
      </c>
      <c r="K994" s="42" t="str">
        <f>"C100096"</f>
        <v>C100096</v>
      </c>
      <c r="L994" s="42" t="str">
        <f>IF($J994="Customer",_xll.NL("first",$J994,"Name","No.","@@"&amp;$K994),"")</f>
        <v>D-Com Industries</v>
      </c>
      <c r="M994" s="42" t="str">
        <f>""</f>
        <v/>
      </c>
      <c r="N994" s="42" t="str">
        <f>IF($J994="Item",_xll.NL("first",$J994,"Description","No.","@@"&amp;$K994),"")</f>
        <v/>
      </c>
      <c r="O994" s="43">
        <v>0</v>
      </c>
      <c r="P994" s="43">
        <v>-144</v>
      </c>
      <c r="Q994" s="43">
        <v>0</v>
      </c>
      <c r="R994" s="43">
        <v>0</v>
      </c>
      <c r="S994" s="43">
        <v>0</v>
      </c>
      <c r="T994" s="43">
        <v>0</v>
      </c>
      <c r="U994" s="56"/>
    </row>
    <row r="995" spans="1:21" ht="17.25" customHeight="1" x14ac:dyDescent="0.3">
      <c r="A995" s="15" t="s">
        <v>30</v>
      </c>
      <c r="C995" s="19"/>
      <c r="D995" s="33" t="str">
        <f t="shared" si="256"/>
        <v>E100009</v>
      </c>
      <c r="E995" s="33"/>
      <c r="F995" s="34"/>
      <c r="G995" s="34" t="str">
        <f>"""NAV Direct"",""CRONUS JetCorp USA"",""32"",""1"",""78895"""</f>
        <v>"NAV Direct","CRONUS JetCorp USA","32","1","78895"</v>
      </c>
      <c r="H995" s="40">
        <v>43474</v>
      </c>
      <c r="I995" s="41">
        <v>78895</v>
      </c>
      <c r="J995" s="42" t="str">
        <f>"Customer"</f>
        <v>Customer</v>
      </c>
      <c r="K995" s="42" t="str">
        <f>"C100124"</f>
        <v>C100124</v>
      </c>
      <c r="L995" s="42" t="str">
        <f>IF($J995="Customer",_xll.NL("first",$J995,"Name","No.","@@"&amp;$K995),"")</f>
        <v>Ontocane Outdoors</v>
      </c>
      <c r="M995" s="42" t="str">
        <f>""</f>
        <v/>
      </c>
      <c r="N995" s="42" t="str">
        <f>IF($J995="Item",_xll.NL("first",$J995,"Description","No.","@@"&amp;$K995),"")</f>
        <v/>
      </c>
      <c r="O995" s="43">
        <v>0</v>
      </c>
      <c r="P995" s="43">
        <v>-1</v>
      </c>
      <c r="Q995" s="43">
        <v>0</v>
      </c>
      <c r="R995" s="43">
        <v>0</v>
      </c>
      <c r="S995" s="43">
        <v>0</v>
      </c>
      <c r="T995" s="43">
        <v>0</v>
      </c>
      <c r="U995" s="56"/>
    </row>
    <row r="996" spans="1:21" ht="17.25" customHeight="1" x14ac:dyDescent="0.3">
      <c r="A996" s="15" t="s">
        <v>30</v>
      </c>
      <c r="C996" s="19"/>
      <c r="D996" s="33" t="str">
        <f t="shared" si="256"/>
        <v>E100009</v>
      </c>
      <c r="E996" s="33"/>
      <c r="F996" s="34"/>
      <c r="G996" s="34" t="str">
        <f>"""NAV Direct"",""CRONUS JetCorp USA"",""32"",""1"",""159982"""</f>
        <v>"NAV Direct","CRONUS JetCorp USA","32","1","159982"</v>
      </c>
      <c r="H996" s="40">
        <v>43474</v>
      </c>
      <c r="I996" s="41">
        <v>159982</v>
      </c>
      <c r="J996" s="42" t="str">
        <f>"Customer"</f>
        <v>Customer</v>
      </c>
      <c r="K996" s="42" t="str">
        <f>"C100107"</f>
        <v>C100107</v>
      </c>
      <c r="L996" s="42" t="str">
        <f>IF($J996="Customer",_xll.NL("first",$J996,"Name","No.","@@"&amp;$K996),"")</f>
        <v>Lexitechnology</v>
      </c>
      <c r="M996" s="42" t="str">
        <f>""</f>
        <v/>
      </c>
      <c r="N996" s="42" t="str">
        <f>IF($J996="Item",_xll.NL("first",$J996,"Description","No.","@@"&amp;$K996),"")</f>
        <v/>
      </c>
      <c r="O996" s="43">
        <v>0</v>
      </c>
      <c r="P996" s="43">
        <v>1</v>
      </c>
      <c r="Q996" s="43">
        <v>0</v>
      </c>
      <c r="R996" s="43">
        <v>0</v>
      </c>
      <c r="S996" s="43">
        <v>0</v>
      </c>
      <c r="T996" s="43">
        <v>0</v>
      </c>
      <c r="U996" s="56"/>
    </row>
    <row r="997" spans="1:21" ht="17.25" customHeight="1" x14ac:dyDescent="0.3">
      <c r="A997" s="15" t="s">
        <v>30</v>
      </c>
      <c r="C997" s="19"/>
      <c r="D997" s="33" t="str">
        <f t="shared" si="256"/>
        <v>E100009</v>
      </c>
      <c r="E997" s="33"/>
      <c r="F997" s="34"/>
      <c r="G997" s="34" t="str">
        <f>"""NAV Direct"",""CRONUS JetCorp USA"",""32"",""1"",""64630"""</f>
        <v>"NAV Direct","CRONUS JetCorp USA","32","1","64630"</v>
      </c>
      <c r="H997" s="40">
        <v>43475</v>
      </c>
      <c r="I997" s="41">
        <v>64630</v>
      </c>
      <c r="J997" s="42" t="str">
        <f>"Customer"</f>
        <v>Customer</v>
      </c>
      <c r="K997" s="42" t="str">
        <f>"C100136"</f>
        <v>C100136</v>
      </c>
      <c r="L997" s="42" t="str">
        <f>IF($J997="Customer",_xll.NL("first",$J997,"Name","No.","@@"&amp;$K997),"")</f>
        <v>First Bank</v>
      </c>
      <c r="M997" s="42" t="str">
        <f>""</f>
        <v/>
      </c>
      <c r="N997" s="42" t="str">
        <f>IF($J997="Item",_xll.NL("first",$J997,"Description","No.","@@"&amp;$K997),"")</f>
        <v/>
      </c>
      <c r="O997" s="43">
        <v>0</v>
      </c>
      <c r="P997" s="43">
        <v>-145</v>
      </c>
      <c r="Q997" s="43">
        <v>0</v>
      </c>
      <c r="R997" s="43">
        <v>0</v>
      </c>
      <c r="S997" s="43">
        <v>0</v>
      </c>
      <c r="T997" s="43">
        <v>0</v>
      </c>
      <c r="U997" s="56"/>
    </row>
    <row r="998" spans="1:21" ht="17.25" customHeight="1" x14ac:dyDescent="0.3">
      <c r="A998" s="15" t="s">
        <v>30</v>
      </c>
      <c r="C998" s="19"/>
      <c r="D998" s="33" t="str">
        <f t="shared" si="256"/>
        <v>E100009</v>
      </c>
      <c r="E998" s="33"/>
      <c r="F998" s="34"/>
      <c r="G998" s="34" t="str">
        <f>"""NAV Direct"",""CRONUS JetCorp USA"",""32"",""1"",""78907"""</f>
        <v>"NAV Direct","CRONUS JetCorp USA","32","1","78907"</v>
      </c>
      <c r="H998" s="40">
        <v>43475</v>
      </c>
      <c r="I998" s="41">
        <v>78907</v>
      </c>
      <c r="J998" s="42" t="str">
        <f>"Customer"</f>
        <v>Customer</v>
      </c>
      <c r="K998" s="42" t="str">
        <f>"C100128"</f>
        <v>C100128</v>
      </c>
      <c r="L998" s="42" t="str">
        <f>IF($J998="Customer",_xll.NL("first",$J998,"Name","No.","@@"&amp;$K998),"")</f>
        <v>Solar Tech</v>
      </c>
      <c r="M998" s="42" t="str">
        <f>""</f>
        <v/>
      </c>
      <c r="N998" s="42" t="str">
        <f>IF($J998="Item",_xll.NL("first",$J998,"Description","No.","@@"&amp;$K998),"")</f>
        <v/>
      </c>
      <c r="O998" s="43">
        <v>0</v>
      </c>
      <c r="P998" s="43">
        <v>-144</v>
      </c>
      <c r="Q998" s="43">
        <v>0</v>
      </c>
      <c r="R998" s="43">
        <v>0</v>
      </c>
      <c r="S998" s="43">
        <v>0</v>
      </c>
      <c r="T998" s="43">
        <v>0</v>
      </c>
      <c r="U998" s="56"/>
    </row>
    <row r="999" spans="1:21" ht="17.25" customHeight="1" x14ac:dyDescent="0.3">
      <c r="A999" s="15" t="s">
        <v>30</v>
      </c>
      <c r="C999" s="19"/>
      <c r="D999" s="33" t="str">
        <f t="shared" si="256"/>
        <v>E100009</v>
      </c>
      <c r="E999" s="33"/>
      <c r="F999" s="34"/>
      <c r="G999" s="34" t="str">
        <f>"""NAV Direct"",""CRONUS JetCorp USA"",""32"",""1"",""153187"""</f>
        <v>"NAV Direct","CRONUS JetCorp USA","32","1","153187"</v>
      </c>
      <c r="H999" s="40">
        <v>43475</v>
      </c>
      <c r="I999" s="41">
        <v>153187</v>
      </c>
      <c r="J999" s="42" t="str">
        <f>"Customer"</f>
        <v>Customer</v>
      </c>
      <c r="K999" s="42" t="str">
        <f>"C100108"</f>
        <v>C100108</v>
      </c>
      <c r="L999" s="42" t="str">
        <f>IF($J999="Customer",_xll.NL("first",$J999,"Name","No.","@@"&amp;$K999),"")</f>
        <v>Kinfix Industries</v>
      </c>
      <c r="M999" s="42" t="str">
        <f>""</f>
        <v/>
      </c>
      <c r="N999" s="42" t="str">
        <f>IF($J999="Item",_xll.NL("first",$J999,"Description","No.","@@"&amp;$K999),"")</f>
        <v/>
      </c>
      <c r="O999" s="43">
        <v>0</v>
      </c>
      <c r="P999" s="43">
        <v>-1</v>
      </c>
      <c r="Q999" s="43">
        <v>0</v>
      </c>
      <c r="R999" s="43">
        <v>0</v>
      </c>
      <c r="S999" s="43">
        <v>0</v>
      </c>
      <c r="T999" s="43">
        <v>0</v>
      </c>
      <c r="U999" s="56"/>
    </row>
    <row r="1000" spans="1:21" ht="17.25" customHeight="1" x14ac:dyDescent="0.3">
      <c r="A1000" s="15" t="s">
        <v>30</v>
      </c>
      <c r="C1000" s="19"/>
      <c r="D1000" s="33"/>
      <c r="E1000" s="33"/>
      <c r="F1000" s="34"/>
      <c r="G1000" s="34"/>
      <c r="H1000" s="34"/>
      <c r="I1000" s="34"/>
      <c r="J1000" s="34"/>
      <c r="K1000" s="34"/>
      <c r="L1000" s="34"/>
      <c r="M1000" s="34"/>
      <c r="N1000" s="34"/>
      <c r="O1000" s="44"/>
      <c r="P1000" s="44"/>
      <c r="Q1000" s="44"/>
      <c r="R1000" s="44"/>
      <c r="S1000" s="44"/>
      <c r="T1000" s="44"/>
      <c r="U1000" s="57"/>
    </row>
    <row r="1001" spans="1:21" ht="17.25" customHeight="1" x14ac:dyDescent="0.3">
      <c r="A1001" s="15" t="s">
        <v>30</v>
      </c>
      <c r="C1001" s="19"/>
      <c r="D1001" s="33"/>
      <c r="E1001" s="33" t="s">
        <v>31</v>
      </c>
      <c r="F1001" s="34" t="s">
        <v>31</v>
      </c>
      <c r="G1001" s="34" t="s">
        <v>31</v>
      </c>
      <c r="H1001" s="34"/>
      <c r="I1001" s="34"/>
      <c r="J1001" s="34" t="s">
        <v>31</v>
      </c>
      <c r="K1001" s="34" t="s">
        <v>31</v>
      </c>
      <c r="L1001" s="34" t="s">
        <v>31</v>
      </c>
      <c r="M1001" s="34" t="s">
        <v>31</v>
      </c>
      <c r="N1001" s="34"/>
      <c r="U1001" s="58"/>
    </row>
    <row r="1002" spans="1:21" ht="20.25" customHeight="1" x14ac:dyDescent="0.35">
      <c r="A1002" s="15" t="s">
        <v>30</v>
      </c>
      <c r="C1002" s="19"/>
      <c r="D1002" s="35" t="str">
        <f t="shared" ref="D1002" si="257">E1002</f>
        <v>E100010</v>
      </c>
      <c r="E1002" s="36" t="str">
        <f>"E100010"</f>
        <v>E100010</v>
      </c>
      <c r="F1002" s="37" t="str">
        <f>"Vinyl Tote"</f>
        <v>Vinyl Tote</v>
      </c>
      <c r="G1002" s="37"/>
      <c r="H1002" s="38" t="str">
        <f>"EA"</f>
        <v>EA</v>
      </c>
      <c r="I1002" s="37"/>
      <c r="J1002" s="37"/>
      <c r="K1002" s="37"/>
      <c r="L1002" s="37"/>
      <c r="M1002" s="37"/>
      <c r="N1002" s="37"/>
      <c r="O1002" s="39">
        <f>(SUBTOTAL(9,O1003:O1018))</f>
        <v>3200</v>
      </c>
      <c r="P1002" s="39">
        <f>(SUBTOTAL(9,P1003:P1018))</f>
        <v>-1164</v>
      </c>
      <c r="Q1002" s="39">
        <f>(SUBTOTAL(9,Q1003:Q1018))</f>
        <v>0</v>
      </c>
      <c r="R1002" s="39">
        <f>(SUBTOTAL(9,R1003:R1018))</f>
        <v>0</v>
      </c>
      <c r="S1002" s="39">
        <f>(SUBTOTAL(9,S1003:S1018))</f>
        <v>0</v>
      </c>
      <c r="T1002" s="39">
        <f>(SUBTOTAL(9,T1003:T1018))</f>
        <v>0</v>
      </c>
      <c r="U1002" s="55">
        <f t="shared" ref="U1002" si="258">SUBTOTAL(9,O1003:T1018)</f>
        <v>2036</v>
      </c>
    </row>
    <row r="1003" spans="1:21" ht="17.25" customHeight="1" x14ac:dyDescent="0.3">
      <c r="A1003" s="15" t="s">
        <v>30</v>
      </c>
      <c r="C1003" s="19"/>
      <c r="D1003" s="33" t="str">
        <f t="shared" ref="D1003" si="259">D1002</f>
        <v>E100010</v>
      </c>
      <c r="E1003" s="33"/>
      <c r="F1003" s="34"/>
      <c r="G1003" s="34" t="str">
        <f>"""NAV Direct"",""CRONUS JetCorp USA"",""32"",""1"",""166735"""</f>
        <v>"NAV Direct","CRONUS JetCorp USA","32","1","166735"</v>
      </c>
      <c r="H1003" s="40">
        <v>43466</v>
      </c>
      <c r="I1003" s="41">
        <v>166735</v>
      </c>
      <c r="J1003" s="42" t="str">
        <f>"Vendor"</f>
        <v>Vendor</v>
      </c>
      <c r="K1003" s="42" t="str">
        <f>"V100040"</f>
        <v>V100040</v>
      </c>
      <c r="L1003" s="42" t="str">
        <f>IF($J1003="Customer",_xll.NL("first",$J1003,"Name","No.","@@"&amp;$K1003),"")</f>
        <v/>
      </c>
      <c r="M1003" s="42" t="str">
        <f>"Technische Betriebe Rotkreuz"</f>
        <v>Technische Betriebe Rotkreuz</v>
      </c>
      <c r="N1003" s="42" t="str">
        <f>IF($J1003="Item",_xll.NL("first",$J1003,"Description","No.","@@"&amp;$K1003),"")</f>
        <v/>
      </c>
      <c r="O1003" s="43">
        <v>200</v>
      </c>
      <c r="P1003" s="43">
        <v>0</v>
      </c>
      <c r="Q1003" s="43">
        <v>0</v>
      </c>
      <c r="R1003" s="43">
        <v>0</v>
      </c>
      <c r="S1003" s="43">
        <v>0</v>
      </c>
      <c r="T1003" s="43">
        <v>0</v>
      </c>
      <c r="U1003" s="56"/>
    </row>
    <row r="1004" spans="1:21" ht="17.25" customHeight="1" x14ac:dyDescent="0.3">
      <c r="A1004" s="15" t="s">
        <v>30</v>
      </c>
      <c r="C1004" s="19"/>
      <c r="D1004" s="33" t="str">
        <f t="shared" ref="D1004:D1017" si="260">D1003</f>
        <v>E100010</v>
      </c>
      <c r="E1004" s="33"/>
      <c r="F1004" s="34"/>
      <c r="G1004" s="34" t="str">
        <f>"""NAV Direct"",""CRONUS JetCorp USA"",""32"",""1"",""166749"""</f>
        <v>"NAV Direct","CRONUS JetCorp USA","32","1","166749"</v>
      </c>
      <c r="H1004" s="40">
        <v>43466</v>
      </c>
      <c r="I1004" s="41">
        <v>166749</v>
      </c>
      <c r="J1004" s="42" t="str">
        <f>"Vendor"</f>
        <v>Vendor</v>
      </c>
      <c r="K1004" s="42" t="str">
        <f>"V100001"</f>
        <v>V100001</v>
      </c>
      <c r="L1004" s="42" t="str">
        <f>IF($J1004="Customer",_xll.NL("first",$J1004,"Name","No.","@@"&amp;$K1004),"")</f>
        <v/>
      </c>
      <c r="M1004" s="42" t="str">
        <f>"Greigner, Inc."</f>
        <v>Greigner, Inc.</v>
      </c>
      <c r="N1004" s="42" t="str">
        <f>IF($J1004="Item",_xll.NL("first",$J1004,"Description","No.","@@"&amp;$K1004),"")</f>
        <v/>
      </c>
      <c r="O1004" s="43">
        <v>400</v>
      </c>
      <c r="P1004" s="43">
        <v>0</v>
      </c>
      <c r="Q1004" s="43">
        <v>0</v>
      </c>
      <c r="R1004" s="43">
        <v>0</v>
      </c>
      <c r="S1004" s="43">
        <v>0</v>
      </c>
      <c r="T1004" s="43">
        <v>0</v>
      </c>
      <c r="U1004" s="56"/>
    </row>
    <row r="1005" spans="1:21" ht="17.25" customHeight="1" x14ac:dyDescent="0.3">
      <c r="A1005" s="15" t="s">
        <v>30</v>
      </c>
      <c r="C1005" s="19"/>
      <c r="D1005" s="33" t="str">
        <f t="shared" si="260"/>
        <v>E100010</v>
      </c>
      <c r="E1005" s="33"/>
      <c r="F1005" s="34"/>
      <c r="G1005" s="34" t="str">
        <f>"""NAV Direct"",""CRONUS JetCorp USA"",""32"",""1"",""166763"""</f>
        <v>"NAV Direct","CRONUS JetCorp USA","32","1","166763"</v>
      </c>
      <c r="H1005" s="40">
        <v>43466</v>
      </c>
      <c r="I1005" s="41">
        <v>166763</v>
      </c>
      <c r="J1005" s="42" t="str">
        <f>"Vendor"</f>
        <v>Vendor</v>
      </c>
      <c r="K1005" s="42" t="str">
        <f>"V100001"</f>
        <v>V100001</v>
      </c>
      <c r="L1005" s="42" t="str">
        <f>IF($J1005="Customer",_xll.NL("first",$J1005,"Name","No.","@@"&amp;$K1005),"")</f>
        <v/>
      </c>
      <c r="M1005" s="42" t="str">
        <f>"Greigner, Inc."</f>
        <v>Greigner, Inc.</v>
      </c>
      <c r="N1005" s="42" t="str">
        <f>IF($J1005="Item",_xll.NL("first",$J1005,"Description","No.","@@"&amp;$K1005),"")</f>
        <v/>
      </c>
      <c r="O1005" s="43">
        <v>1400</v>
      </c>
      <c r="P1005" s="43">
        <v>0</v>
      </c>
      <c r="Q1005" s="43">
        <v>0</v>
      </c>
      <c r="R1005" s="43">
        <v>0</v>
      </c>
      <c r="S1005" s="43">
        <v>0</v>
      </c>
      <c r="T1005" s="43">
        <v>0</v>
      </c>
      <c r="U1005" s="56"/>
    </row>
    <row r="1006" spans="1:21" ht="17.25" customHeight="1" x14ac:dyDescent="0.3">
      <c r="A1006" s="15" t="s">
        <v>30</v>
      </c>
      <c r="C1006" s="19"/>
      <c r="D1006" s="33" t="str">
        <f t="shared" si="260"/>
        <v>E100010</v>
      </c>
      <c r="E1006" s="33"/>
      <c r="F1006" s="34"/>
      <c r="G1006" s="34" t="str">
        <f>"""NAV Direct"",""CRONUS JetCorp USA"",""32"",""1"",""166779"""</f>
        <v>"NAV Direct","CRONUS JetCorp USA","32","1","166779"</v>
      </c>
      <c r="H1006" s="40">
        <v>43466</v>
      </c>
      <c r="I1006" s="41">
        <v>166779</v>
      </c>
      <c r="J1006" s="42" t="str">
        <f>"Vendor"</f>
        <v>Vendor</v>
      </c>
      <c r="K1006" s="42" t="str">
        <f>"V100047"</f>
        <v>V100047</v>
      </c>
      <c r="L1006" s="42" t="str">
        <f>IF($J1006="Customer",_xll.NL("first",$J1006,"Name","No.","@@"&amp;$K1006),"")</f>
        <v/>
      </c>
      <c r="M1006" s="42" t="str">
        <f>"WoodMart Supply Co."</f>
        <v>WoodMart Supply Co.</v>
      </c>
      <c r="N1006" s="42" t="str">
        <f>IF($J1006="Item",_xll.NL("first",$J1006,"Description","No.","@@"&amp;$K1006),"")</f>
        <v/>
      </c>
      <c r="O1006" s="43">
        <v>200</v>
      </c>
      <c r="P1006" s="43">
        <v>0</v>
      </c>
      <c r="Q1006" s="43">
        <v>0</v>
      </c>
      <c r="R1006" s="43">
        <v>0</v>
      </c>
      <c r="S1006" s="43">
        <v>0</v>
      </c>
      <c r="T1006" s="43">
        <v>0</v>
      </c>
      <c r="U1006" s="56"/>
    </row>
    <row r="1007" spans="1:21" ht="17.25" customHeight="1" x14ac:dyDescent="0.3">
      <c r="A1007" s="15" t="s">
        <v>30</v>
      </c>
      <c r="C1007" s="19"/>
      <c r="D1007" s="33" t="str">
        <f t="shared" si="260"/>
        <v>E100010</v>
      </c>
      <c r="E1007" s="33"/>
      <c r="F1007" s="34"/>
      <c r="G1007" s="34" t="str">
        <f>"""NAV Direct"",""CRONUS JetCorp USA"",""32"",""1"",""166786"""</f>
        <v>"NAV Direct","CRONUS JetCorp USA","32","1","166786"</v>
      </c>
      <c r="H1007" s="40">
        <v>43466</v>
      </c>
      <c r="I1007" s="41">
        <v>166786</v>
      </c>
      <c r="J1007" s="42" t="str">
        <f>"Vendor"</f>
        <v>Vendor</v>
      </c>
      <c r="K1007" s="42" t="str">
        <f>"V100003"</f>
        <v>V100003</v>
      </c>
      <c r="L1007" s="42" t="str">
        <f>IF($J1007="Customer",_xll.NL("first",$J1007,"Name","No.","@@"&amp;$K1007),"")</f>
        <v/>
      </c>
      <c r="M1007" s="42" t="str">
        <f>"LogoMasters"</f>
        <v>LogoMasters</v>
      </c>
      <c r="N1007" s="42" t="str">
        <f>IF($J1007="Item",_xll.NL("first",$J1007,"Description","No.","@@"&amp;$K1007),"")</f>
        <v/>
      </c>
      <c r="O1007" s="43">
        <v>800</v>
      </c>
      <c r="P1007" s="43">
        <v>0</v>
      </c>
      <c r="Q1007" s="43">
        <v>0</v>
      </c>
      <c r="R1007" s="43">
        <v>0</v>
      </c>
      <c r="S1007" s="43">
        <v>0</v>
      </c>
      <c r="T1007" s="43">
        <v>0</v>
      </c>
      <c r="U1007" s="56"/>
    </row>
    <row r="1008" spans="1:21" ht="17.25" customHeight="1" x14ac:dyDescent="0.3">
      <c r="A1008" s="15" t="s">
        <v>30</v>
      </c>
      <c r="C1008" s="19"/>
      <c r="D1008" s="33" t="str">
        <f t="shared" si="260"/>
        <v>E100010</v>
      </c>
      <c r="E1008" s="33"/>
      <c r="F1008" s="34"/>
      <c r="G1008" s="34" t="str">
        <f>"""NAV Direct"",""CRONUS JetCorp USA"",""32"",""1"",""166800"""</f>
        <v>"NAV Direct","CRONUS JetCorp USA","32","1","166800"</v>
      </c>
      <c r="H1008" s="40">
        <v>43466</v>
      </c>
      <c r="I1008" s="41">
        <v>166800</v>
      </c>
      <c r="J1008" s="42" t="str">
        <f>"Vendor"</f>
        <v>Vendor</v>
      </c>
      <c r="K1008" s="42" t="str">
        <f>"V100001"</f>
        <v>V100001</v>
      </c>
      <c r="L1008" s="42" t="str">
        <f>IF($J1008="Customer",_xll.NL("first",$J1008,"Name","No.","@@"&amp;$K1008),"")</f>
        <v/>
      </c>
      <c r="M1008" s="42" t="str">
        <f>"Greigner, Inc."</f>
        <v>Greigner, Inc.</v>
      </c>
      <c r="N1008" s="42" t="str">
        <f>IF($J1008="Item",_xll.NL("first",$J1008,"Description","No.","@@"&amp;$K1008),"")</f>
        <v/>
      </c>
      <c r="O1008" s="43">
        <v>200</v>
      </c>
      <c r="P1008" s="43">
        <v>0</v>
      </c>
      <c r="Q1008" s="43">
        <v>0</v>
      </c>
      <c r="R1008" s="43">
        <v>0</v>
      </c>
      <c r="S1008" s="43">
        <v>0</v>
      </c>
      <c r="T1008" s="43">
        <v>0</v>
      </c>
      <c r="U1008" s="56"/>
    </row>
    <row r="1009" spans="1:21" ht="17.25" customHeight="1" x14ac:dyDescent="0.3">
      <c r="A1009" s="15" t="s">
        <v>30</v>
      </c>
      <c r="C1009" s="19"/>
      <c r="D1009" s="33" t="str">
        <f t="shared" si="260"/>
        <v>E100010</v>
      </c>
      <c r="E1009" s="33"/>
      <c r="F1009" s="34"/>
      <c r="G1009" s="34" t="str">
        <f>"""NAV Direct"",""CRONUS JetCorp USA"",""32"",""1"",""64590"""</f>
        <v>"NAV Direct","CRONUS JetCorp USA","32","1","64590"</v>
      </c>
      <c r="H1009" s="40">
        <v>43469</v>
      </c>
      <c r="I1009" s="41">
        <v>64590</v>
      </c>
      <c r="J1009" s="42" t="str">
        <f>"Customer"</f>
        <v>Customer</v>
      </c>
      <c r="K1009" s="42" t="str">
        <f>"C100140"</f>
        <v>C100140</v>
      </c>
      <c r="L1009" s="42" t="str">
        <f>IF($J1009="Customer",_xll.NL("first",$J1009,"Name","No.","@@"&amp;$K1009),"")</f>
        <v>Super Daves</v>
      </c>
      <c r="M1009" s="42" t="str">
        <f>""</f>
        <v/>
      </c>
      <c r="N1009" s="42" t="str">
        <f>IF($J1009="Item",_xll.NL("first",$J1009,"Description","No.","@@"&amp;$K1009),"")</f>
        <v/>
      </c>
      <c r="O1009" s="43">
        <v>0</v>
      </c>
      <c r="P1009" s="43">
        <v>-144</v>
      </c>
      <c r="Q1009" s="43">
        <v>0</v>
      </c>
      <c r="R1009" s="43">
        <v>0</v>
      </c>
      <c r="S1009" s="43">
        <v>0</v>
      </c>
      <c r="T1009" s="43">
        <v>0</v>
      </c>
      <c r="U1009" s="56"/>
    </row>
    <row r="1010" spans="1:21" ht="17.25" customHeight="1" x14ac:dyDescent="0.3">
      <c r="A1010" s="15" t="s">
        <v>30</v>
      </c>
      <c r="C1010" s="19"/>
      <c r="D1010" s="33" t="str">
        <f t="shared" si="260"/>
        <v>E100010</v>
      </c>
      <c r="E1010" s="33"/>
      <c r="F1010" s="34"/>
      <c r="G1010" s="34" t="str">
        <f>"""NAV Direct"",""CRONUS JetCorp USA"",""32"",""1"",""78854"""</f>
        <v>"NAV Direct","CRONUS JetCorp USA","32","1","78854"</v>
      </c>
      <c r="H1010" s="40">
        <v>43470</v>
      </c>
      <c r="I1010" s="41">
        <v>78854</v>
      </c>
      <c r="J1010" s="42" t="str">
        <f>"Customer"</f>
        <v>Customer</v>
      </c>
      <c r="K1010" s="42" t="str">
        <f>"C100117"</f>
        <v>C100117</v>
      </c>
      <c r="L1010" s="42" t="str">
        <f>IF($J1010="Customer",_xll.NL("first",$J1010,"Name","No.","@@"&amp;$K1010),"")</f>
        <v xml:space="preserve">Tintax </v>
      </c>
      <c r="M1010" s="42" t="str">
        <f>""</f>
        <v/>
      </c>
      <c r="N1010" s="42" t="str">
        <f>IF($J1010="Item",_xll.NL("first",$J1010,"Description","No.","@@"&amp;$K1010),"")</f>
        <v/>
      </c>
      <c r="O1010" s="43">
        <v>0</v>
      </c>
      <c r="P1010" s="43">
        <v>-144</v>
      </c>
      <c r="Q1010" s="43">
        <v>0</v>
      </c>
      <c r="R1010" s="43">
        <v>0</v>
      </c>
      <c r="S1010" s="43">
        <v>0</v>
      </c>
      <c r="T1010" s="43">
        <v>0</v>
      </c>
      <c r="U1010" s="56"/>
    </row>
    <row r="1011" spans="1:21" ht="17.25" customHeight="1" x14ac:dyDescent="0.3">
      <c r="A1011" s="15" t="s">
        <v>30</v>
      </c>
      <c r="C1011" s="19"/>
      <c r="D1011" s="33" t="str">
        <f t="shared" si="260"/>
        <v>E100010</v>
      </c>
      <c r="E1011" s="33"/>
      <c r="F1011" s="34"/>
      <c r="G1011" s="34" t="str">
        <f>"""NAV Direct"",""CRONUS JetCorp USA"",""32"",""1"",""72527"""</f>
        <v>"NAV Direct","CRONUS JetCorp USA","32","1","72527"</v>
      </c>
      <c r="H1011" s="40">
        <v>43471</v>
      </c>
      <c r="I1011" s="41">
        <v>72527</v>
      </c>
      <c r="J1011" s="42" t="str">
        <f>"Customer"</f>
        <v>Customer</v>
      </c>
      <c r="K1011" s="42" t="str">
        <f>"C100107"</f>
        <v>C100107</v>
      </c>
      <c r="L1011" s="42" t="str">
        <f>IF($J1011="Customer",_xll.NL("first",$J1011,"Name","No.","@@"&amp;$K1011),"")</f>
        <v>Lexitechnology</v>
      </c>
      <c r="M1011" s="42" t="str">
        <f>""</f>
        <v/>
      </c>
      <c r="N1011" s="42" t="str">
        <f>IF($J1011="Item",_xll.NL("first",$J1011,"Description","No.","@@"&amp;$K1011),"")</f>
        <v/>
      </c>
      <c r="O1011" s="43">
        <v>0</v>
      </c>
      <c r="P1011" s="43">
        <v>-6</v>
      </c>
      <c r="Q1011" s="43">
        <v>0</v>
      </c>
      <c r="R1011" s="43">
        <v>0</v>
      </c>
      <c r="S1011" s="43">
        <v>0</v>
      </c>
      <c r="T1011" s="43">
        <v>0</v>
      </c>
      <c r="U1011" s="56"/>
    </row>
    <row r="1012" spans="1:21" ht="17.25" customHeight="1" x14ac:dyDescent="0.3">
      <c r="A1012" s="15" t="s">
        <v>30</v>
      </c>
      <c r="C1012" s="19"/>
      <c r="D1012" s="33" t="str">
        <f t="shared" si="260"/>
        <v>E100010</v>
      </c>
      <c r="E1012" s="33"/>
      <c r="F1012" s="34"/>
      <c r="G1012" s="34" t="str">
        <f>"""NAV Direct"",""CRONUS JetCorp USA"",""32"",""1"",""64606"""</f>
        <v>"NAV Direct","CRONUS JetCorp USA","32","1","64606"</v>
      </c>
      <c r="H1012" s="40">
        <v>43472</v>
      </c>
      <c r="I1012" s="41">
        <v>64606</v>
      </c>
      <c r="J1012" s="42" t="str">
        <f>"Customer"</f>
        <v>Customer</v>
      </c>
      <c r="K1012" s="42" t="str">
        <f>"C100140"</f>
        <v>C100140</v>
      </c>
      <c r="L1012" s="42" t="str">
        <f>IF($J1012="Customer",_xll.NL("first",$J1012,"Name","No.","@@"&amp;$K1012),"")</f>
        <v>Super Daves</v>
      </c>
      <c r="M1012" s="42" t="str">
        <f>""</f>
        <v/>
      </c>
      <c r="N1012" s="42" t="str">
        <f>IF($J1012="Item",_xll.NL("first",$J1012,"Description","No.","@@"&amp;$K1012),"")</f>
        <v/>
      </c>
      <c r="O1012" s="43">
        <v>0</v>
      </c>
      <c r="P1012" s="43">
        <v>-144</v>
      </c>
      <c r="Q1012" s="43">
        <v>0</v>
      </c>
      <c r="R1012" s="43">
        <v>0</v>
      </c>
      <c r="S1012" s="43">
        <v>0</v>
      </c>
      <c r="T1012" s="43">
        <v>0</v>
      </c>
      <c r="U1012" s="56"/>
    </row>
    <row r="1013" spans="1:21" ht="17.25" customHeight="1" x14ac:dyDescent="0.3">
      <c r="A1013" s="15" t="s">
        <v>30</v>
      </c>
      <c r="C1013" s="19"/>
      <c r="D1013" s="33" t="str">
        <f t="shared" si="260"/>
        <v>E100010</v>
      </c>
      <c r="E1013" s="33"/>
      <c r="F1013" s="34"/>
      <c r="G1013" s="34" t="str">
        <f>"""NAV Direct"",""CRONUS JetCorp USA"",""32"",""1"",""44537"""</f>
        <v>"NAV Direct","CRONUS JetCorp USA","32","1","44537"</v>
      </c>
      <c r="H1013" s="40">
        <v>43473</v>
      </c>
      <c r="I1013" s="41">
        <v>44537</v>
      </c>
      <c r="J1013" s="42" t="str">
        <f>"Customer"</f>
        <v>Customer</v>
      </c>
      <c r="K1013" s="42" t="str">
        <f>"C100139"</f>
        <v>C100139</v>
      </c>
      <c r="L1013" s="42" t="str">
        <f>IF($J1013="Customer",_xll.NL("first",$J1013,"Name","No.","@@"&amp;$K1013),"")</f>
        <v>Gamma Ray's</v>
      </c>
      <c r="M1013" s="42" t="str">
        <f>""</f>
        <v/>
      </c>
      <c r="N1013" s="42" t="str">
        <f>IF($J1013="Item",_xll.NL("first",$J1013,"Description","No.","@@"&amp;$K1013),"")</f>
        <v/>
      </c>
      <c r="O1013" s="43">
        <v>0</v>
      </c>
      <c r="P1013" s="43">
        <v>-144</v>
      </c>
      <c r="Q1013" s="43">
        <v>0</v>
      </c>
      <c r="R1013" s="43">
        <v>0</v>
      </c>
      <c r="S1013" s="43">
        <v>0</v>
      </c>
      <c r="T1013" s="43">
        <v>0</v>
      </c>
      <c r="U1013" s="56"/>
    </row>
    <row r="1014" spans="1:21" ht="17.25" customHeight="1" x14ac:dyDescent="0.3">
      <c r="A1014" s="15" t="s">
        <v>30</v>
      </c>
      <c r="C1014" s="19"/>
      <c r="D1014" s="33" t="str">
        <f t="shared" si="260"/>
        <v>E100010</v>
      </c>
      <c r="E1014" s="33"/>
      <c r="F1014" s="34"/>
      <c r="G1014" s="34" t="str">
        <f>"""NAV Direct"",""CRONUS JetCorp USA"",""32"",""1"",""54712"""</f>
        <v>"NAV Direct","CRONUS JetCorp USA","32","1","54712"</v>
      </c>
      <c r="H1014" s="40">
        <v>43474</v>
      </c>
      <c r="I1014" s="41">
        <v>54712</v>
      </c>
      <c r="J1014" s="42" t="str">
        <f>"Customer"</f>
        <v>Customer</v>
      </c>
      <c r="K1014" s="42" t="str">
        <f>"C100096"</f>
        <v>C100096</v>
      </c>
      <c r="L1014" s="42" t="str">
        <f>IF($J1014="Customer",_xll.NL("first",$J1014,"Name","No.","@@"&amp;$K1014),"")</f>
        <v>D-Com Industries</v>
      </c>
      <c r="M1014" s="42" t="str">
        <f>""</f>
        <v/>
      </c>
      <c r="N1014" s="42" t="str">
        <f>IF($J1014="Item",_xll.NL("first",$J1014,"Description","No.","@@"&amp;$K1014),"")</f>
        <v/>
      </c>
      <c r="O1014" s="43">
        <v>0</v>
      </c>
      <c r="P1014" s="43">
        <v>-144</v>
      </c>
      <c r="Q1014" s="43">
        <v>0</v>
      </c>
      <c r="R1014" s="43">
        <v>0</v>
      </c>
      <c r="S1014" s="43">
        <v>0</v>
      </c>
      <c r="T1014" s="43">
        <v>0</v>
      </c>
      <c r="U1014" s="56"/>
    </row>
    <row r="1015" spans="1:21" ht="17.25" customHeight="1" x14ac:dyDescent="0.3">
      <c r="A1015" s="15" t="s">
        <v>30</v>
      </c>
      <c r="C1015" s="19"/>
      <c r="D1015" s="33" t="str">
        <f t="shared" si="260"/>
        <v>E100010</v>
      </c>
      <c r="E1015" s="33"/>
      <c r="F1015" s="34"/>
      <c r="G1015" s="34" t="str">
        <f>"""NAV Direct"",""CRONUS JetCorp USA"",""32"",""1"",""78892"""</f>
        <v>"NAV Direct","CRONUS JetCorp USA","32","1","78892"</v>
      </c>
      <c r="H1015" s="40">
        <v>43474</v>
      </c>
      <c r="I1015" s="41">
        <v>78892</v>
      </c>
      <c r="J1015" s="42" t="str">
        <f>"Customer"</f>
        <v>Customer</v>
      </c>
      <c r="K1015" s="42" t="str">
        <f>"C100124"</f>
        <v>C100124</v>
      </c>
      <c r="L1015" s="42" t="str">
        <f>IF($J1015="Customer",_xll.NL("first",$J1015,"Name","No.","@@"&amp;$K1015),"")</f>
        <v>Ontocane Outdoors</v>
      </c>
      <c r="M1015" s="42" t="str">
        <f>""</f>
        <v/>
      </c>
      <c r="N1015" s="42" t="str">
        <f>IF($J1015="Item",_xll.NL("first",$J1015,"Description","No.","@@"&amp;$K1015),"")</f>
        <v/>
      </c>
      <c r="O1015" s="43">
        <v>0</v>
      </c>
      <c r="P1015" s="43">
        <v>-144</v>
      </c>
      <c r="Q1015" s="43">
        <v>0</v>
      </c>
      <c r="R1015" s="43">
        <v>0</v>
      </c>
      <c r="S1015" s="43">
        <v>0</v>
      </c>
      <c r="T1015" s="43">
        <v>0</v>
      </c>
      <c r="U1015" s="56"/>
    </row>
    <row r="1016" spans="1:21" ht="17.25" customHeight="1" x14ac:dyDescent="0.3">
      <c r="A1016" s="15" t="s">
        <v>30</v>
      </c>
      <c r="C1016" s="19"/>
      <c r="D1016" s="33" t="str">
        <f t="shared" si="260"/>
        <v>E100010</v>
      </c>
      <c r="E1016" s="33"/>
      <c r="F1016" s="34"/>
      <c r="G1016" s="34" t="str">
        <f>"""NAV Direct"",""CRONUS JetCorp USA"",""32"",""1"",""64627"""</f>
        <v>"NAV Direct","CRONUS JetCorp USA","32","1","64627"</v>
      </c>
      <c r="H1016" s="40">
        <v>43475</v>
      </c>
      <c r="I1016" s="41">
        <v>64627</v>
      </c>
      <c r="J1016" s="42" t="str">
        <f>"Customer"</f>
        <v>Customer</v>
      </c>
      <c r="K1016" s="42" t="str">
        <f>"C100136"</f>
        <v>C100136</v>
      </c>
      <c r="L1016" s="42" t="str">
        <f>IF($J1016="Customer",_xll.NL("first",$J1016,"Name","No.","@@"&amp;$K1016),"")</f>
        <v>First Bank</v>
      </c>
      <c r="M1016" s="42" t="str">
        <f>""</f>
        <v/>
      </c>
      <c r="N1016" s="42" t="str">
        <f>IF($J1016="Item",_xll.NL("first",$J1016,"Description","No.","@@"&amp;$K1016),"")</f>
        <v/>
      </c>
      <c r="O1016" s="43">
        <v>0</v>
      </c>
      <c r="P1016" s="43">
        <v>-288</v>
      </c>
      <c r="Q1016" s="43">
        <v>0</v>
      </c>
      <c r="R1016" s="43">
        <v>0</v>
      </c>
      <c r="S1016" s="43">
        <v>0</v>
      </c>
      <c r="T1016" s="43">
        <v>0</v>
      </c>
      <c r="U1016" s="56"/>
    </row>
    <row r="1017" spans="1:21" ht="17.25" customHeight="1" x14ac:dyDescent="0.3">
      <c r="A1017" s="15" t="s">
        <v>30</v>
      </c>
      <c r="C1017" s="19"/>
      <c r="D1017" s="33" t="str">
        <f t="shared" si="260"/>
        <v>E100010</v>
      </c>
      <c r="E1017" s="33"/>
      <c r="F1017" s="34"/>
      <c r="G1017" s="34" t="str">
        <f>"""NAV Direct"",""CRONUS JetCorp USA"",""32"",""1"",""78869"""</f>
        <v>"NAV Direct","CRONUS JetCorp USA","32","1","78869"</v>
      </c>
      <c r="H1017" s="40">
        <v>43476</v>
      </c>
      <c r="I1017" s="41">
        <v>78869</v>
      </c>
      <c r="J1017" s="42" t="str">
        <f>"Customer"</f>
        <v>Customer</v>
      </c>
      <c r="K1017" s="42" t="str">
        <f>"C100117"</f>
        <v>C100117</v>
      </c>
      <c r="L1017" s="42" t="str">
        <f>IF($J1017="Customer",_xll.NL("first",$J1017,"Name","No.","@@"&amp;$K1017),"")</f>
        <v xml:space="preserve">Tintax </v>
      </c>
      <c r="M1017" s="42" t="str">
        <f>""</f>
        <v/>
      </c>
      <c r="N1017" s="42" t="str">
        <f>IF($J1017="Item",_xll.NL("first",$J1017,"Description","No.","@@"&amp;$K1017),"")</f>
        <v/>
      </c>
      <c r="O1017" s="43">
        <v>0</v>
      </c>
      <c r="P1017" s="43">
        <v>-6</v>
      </c>
      <c r="Q1017" s="43">
        <v>0</v>
      </c>
      <c r="R1017" s="43">
        <v>0</v>
      </c>
      <c r="S1017" s="43">
        <v>0</v>
      </c>
      <c r="T1017" s="43">
        <v>0</v>
      </c>
      <c r="U1017" s="56"/>
    </row>
    <row r="1018" spans="1:21" ht="17.25" customHeight="1" x14ac:dyDescent="0.3">
      <c r="A1018" s="15" t="s">
        <v>30</v>
      </c>
      <c r="C1018" s="19"/>
      <c r="D1018" s="33"/>
      <c r="E1018" s="33"/>
      <c r="F1018" s="34"/>
      <c r="G1018" s="34"/>
      <c r="H1018" s="34"/>
      <c r="I1018" s="34"/>
      <c r="J1018" s="34"/>
      <c r="K1018" s="34"/>
      <c r="L1018" s="34"/>
      <c r="M1018" s="34"/>
      <c r="N1018" s="34"/>
      <c r="O1018" s="44"/>
      <c r="P1018" s="44"/>
      <c r="Q1018" s="44"/>
      <c r="R1018" s="44"/>
      <c r="S1018" s="44"/>
      <c r="T1018" s="44"/>
      <c r="U1018" s="57"/>
    </row>
    <row r="1019" spans="1:21" ht="17.25" customHeight="1" x14ac:dyDescent="0.3">
      <c r="A1019" s="15" t="s">
        <v>30</v>
      </c>
      <c r="C1019" s="19"/>
      <c r="D1019" s="33"/>
      <c r="E1019" s="33" t="s">
        <v>31</v>
      </c>
      <c r="F1019" s="34" t="s">
        <v>31</v>
      </c>
      <c r="G1019" s="34" t="s">
        <v>31</v>
      </c>
      <c r="H1019" s="34"/>
      <c r="I1019" s="34"/>
      <c r="J1019" s="34" t="s">
        <v>31</v>
      </c>
      <c r="K1019" s="34" t="s">
        <v>31</v>
      </c>
      <c r="L1019" s="34" t="s">
        <v>31</v>
      </c>
      <c r="M1019" s="34" t="s">
        <v>31</v>
      </c>
      <c r="N1019" s="34"/>
      <c r="U1019" s="58"/>
    </row>
    <row r="1020" spans="1:21" ht="20.25" customHeight="1" x14ac:dyDescent="0.35">
      <c r="A1020" s="15" t="s">
        <v>30</v>
      </c>
      <c r="C1020" s="19"/>
      <c r="D1020" s="35" t="str">
        <f t="shared" ref="D1020" si="261">E1020</f>
        <v>E100011</v>
      </c>
      <c r="E1020" s="36" t="str">
        <f>"E100011"</f>
        <v>E100011</v>
      </c>
      <c r="F1020" s="37" t="str">
        <f>"Plastic Sun Visor"</f>
        <v>Plastic Sun Visor</v>
      </c>
      <c r="G1020" s="37"/>
      <c r="H1020" s="38" t="str">
        <f>"EA"</f>
        <v>EA</v>
      </c>
      <c r="I1020" s="37"/>
      <c r="J1020" s="37"/>
      <c r="K1020" s="37"/>
      <c r="L1020" s="37"/>
      <c r="M1020" s="37"/>
      <c r="N1020" s="37"/>
      <c r="O1020" s="39">
        <f>(SUBTOTAL(9,O1021:O1047))</f>
        <v>7200</v>
      </c>
      <c r="P1020" s="39">
        <f>(SUBTOTAL(9,P1021:P1047))</f>
        <v>-2653</v>
      </c>
      <c r="Q1020" s="39">
        <f>(SUBTOTAL(9,Q1021:Q1047))</f>
        <v>0</v>
      </c>
      <c r="R1020" s="39">
        <f>(SUBTOTAL(9,R1021:R1047))</f>
        <v>0</v>
      </c>
      <c r="S1020" s="39">
        <f>(SUBTOTAL(9,S1021:S1047))</f>
        <v>0</v>
      </c>
      <c r="T1020" s="39">
        <f>(SUBTOTAL(9,T1021:T1047))</f>
        <v>0</v>
      </c>
      <c r="U1020" s="55">
        <f t="shared" ref="U1020" si="262">SUBTOTAL(9,O1021:T1047)</f>
        <v>4547</v>
      </c>
    </row>
    <row r="1021" spans="1:21" ht="17.25" customHeight="1" x14ac:dyDescent="0.3">
      <c r="A1021" s="15" t="s">
        <v>30</v>
      </c>
      <c r="C1021" s="19"/>
      <c r="D1021" s="33" t="str">
        <f t="shared" ref="D1021" si="263">D1020</f>
        <v>E100011</v>
      </c>
      <c r="E1021" s="33"/>
      <c r="F1021" s="34"/>
      <c r="G1021" s="34" t="str">
        <f>"""NAV Direct"",""CRONUS JetCorp USA"",""32"",""1"",""167080"""</f>
        <v>"NAV Direct","CRONUS JetCorp USA","32","1","167080"</v>
      </c>
      <c r="H1021" s="40">
        <v>43466</v>
      </c>
      <c r="I1021" s="41">
        <v>167080</v>
      </c>
      <c r="J1021" s="42" t="str">
        <f>"Vendor"</f>
        <v>Vendor</v>
      </c>
      <c r="K1021" s="42" t="str">
        <f>"V100009"</f>
        <v>V100009</v>
      </c>
      <c r="L1021" s="42" t="str">
        <f>IF($J1021="Customer",_xll.NL("first",$J1021,"Name","No.","@@"&amp;$K1021),"")</f>
        <v/>
      </c>
      <c r="M1021" s="42" t="str">
        <f>"Malay-Dan Export Unit Sdn Bhd"</f>
        <v>Malay-Dan Export Unit Sdn Bhd</v>
      </c>
      <c r="N1021" s="42" t="str">
        <f>IF($J1021="Item",_xll.NL("first",$J1021,"Description","No.","@@"&amp;$K1021),"")</f>
        <v/>
      </c>
      <c r="O1021" s="43">
        <v>400</v>
      </c>
      <c r="P1021" s="43">
        <v>0</v>
      </c>
      <c r="Q1021" s="43">
        <v>0</v>
      </c>
      <c r="R1021" s="43">
        <v>0</v>
      </c>
      <c r="S1021" s="43">
        <v>0</v>
      </c>
      <c r="T1021" s="43">
        <v>0</v>
      </c>
      <c r="U1021" s="56"/>
    </row>
    <row r="1022" spans="1:21" ht="17.25" customHeight="1" x14ac:dyDescent="0.3">
      <c r="A1022" s="15" t="s">
        <v>30</v>
      </c>
      <c r="C1022" s="19"/>
      <c r="D1022" s="33" t="str">
        <f t="shared" ref="D1022:D1046" si="264">D1021</f>
        <v>E100011</v>
      </c>
      <c r="E1022" s="33"/>
      <c r="F1022" s="34"/>
      <c r="G1022" s="34" t="str">
        <f>"""NAV Direct"",""CRONUS JetCorp USA"",""32"",""1"",""167097"""</f>
        <v>"NAV Direct","CRONUS JetCorp USA","32","1","167097"</v>
      </c>
      <c r="H1022" s="40">
        <v>43466</v>
      </c>
      <c r="I1022" s="41">
        <v>167097</v>
      </c>
      <c r="J1022" s="42" t="str">
        <f>"Vendor"</f>
        <v>Vendor</v>
      </c>
      <c r="K1022" s="42" t="str">
        <f>"V100040"</f>
        <v>V100040</v>
      </c>
      <c r="L1022" s="42" t="str">
        <f>IF($J1022="Customer",_xll.NL("first",$J1022,"Name","No.","@@"&amp;$K1022),"")</f>
        <v/>
      </c>
      <c r="M1022" s="42" t="str">
        <f>"Technische Betriebe Rotkreuz"</f>
        <v>Technische Betriebe Rotkreuz</v>
      </c>
      <c r="N1022" s="42" t="str">
        <f>IF($J1022="Item",_xll.NL("first",$J1022,"Description","No.","@@"&amp;$K1022),"")</f>
        <v/>
      </c>
      <c r="O1022" s="43">
        <v>400</v>
      </c>
      <c r="P1022" s="43">
        <v>0</v>
      </c>
      <c r="Q1022" s="43">
        <v>0</v>
      </c>
      <c r="R1022" s="43">
        <v>0</v>
      </c>
      <c r="S1022" s="43">
        <v>0</v>
      </c>
      <c r="T1022" s="43">
        <v>0</v>
      </c>
      <c r="U1022" s="56"/>
    </row>
    <row r="1023" spans="1:21" ht="17.25" customHeight="1" x14ac:dyDescent="0.3">
      <c r="A1023" s="15" t="s">
        <v>30</v>
      </c>
      <c r="C1023" s="19"/>
      <c r="D1023" s="33" t="str">
        <f t="shared" si="264"/>
        <v>E100011</v>
      </c>
      <c r="E1023" s="33"/>
      <c r="F1023" s="34"/>
      <c r="G1023" s="34" t="str">
        <f>"""NAV Direct"",""CRONUS JetCorp USA"",""32"",""1"",""167136"""</f>
        <v>"NAV Direct","CRONUS JetCorp USA","32","1","167136"</v>
      </c>
      <c r="H1023" s="40">
        <v>43466</v>
      </c>
      <c r="I1023" s="41">
        <v>167136</v>
      </c>
      <c r="J1023" s="42" t="str">
        <f>"Vendor"</f>
        <v>Vendor</v>
      </c>
      <c r="K1023" s="42" t="str">
        <f>"V100001"</f>
        <v>V100001</v>
      </c>
      <c r="L1023" s="42" t="str">
        <f>IF($J1023="Customer",_xll.NL("first",$J1023,"Name","No.","@@"&amp;$K1023),"")</f>
        <v/>
      </c>
      <c r="M1023" s="42" t="str">
        <f>"Greigner, Inc."</f>
        <v>Greigner, Inc.</v>
      </c>
      <c r="N1023" s="42" t="str">
        <f>IF($J1023="Item",_xll.NL("first",$J1023,"Description","No.","@@"&amp;$K1023),"")</f>
        <v/>
      </c>
      <c r="O1023" s="43">
        <v>3999.9999999999995</v>
      </c>
      <c r="P1023" s="43">
        <v>0</v>
      </c>
      <c r="Q1023" s="43">
        <v>0</v>
      </c>
      <c r="R1023" s="43">
        <v>0</v>
      </c>
      <c r="S1023" s="43">
        <v>0</v>
      </c>
      <c r="T1023" s="43">
        <v>0</v>
      </c>
      <c r="U1023" s="56"/>
    </row>
    <row r="1024" spans="1:21" ht="17.25" customHeight="1" x14ac:dyDescent="0.3">
      <c r="A1024" s="15" t="s">
        <v>30</v>
      </c>
      <c r="C1024" s="19"/>
      <c r="D1024" s="33" t="str">
        <f t="shared" si="264"/>
        <v>E100011</v>
      </c>
      <c r="E1024" s="33"/>
      <c r="F1024" s="34"/>
      <c r="G1024" s="34" t="str">
        <f>"""NAV Direct"",""CRONUS JetCorp USA"",""32"",""1"",""167149"""</f>
        <v>"NAV Direct","CRONUS JetCorp USA","32","1","167149"</v>
      </c>
      <c r="H1024" s="40">
        <v>43466</v>
      </c>
      <c r="I1024" s="41">
        <v>167149</v>
      </c>
      <c r="J1024" s="42" t="str">
        <f>"Vendor"</f>
        <v>Vendor</v>
      </c>
      <c r="K1024" s="42" t="str">
        <f>"V100047"</f>
        <v>V100047</v>
      </c>
      <c r="L1024" s="42" t="str">
        <f>IF($J1024="Customer",_xll.NL("first",$J1024,"Name","No.","@@"&amp;$K1024),"")</f>
        <v/>
      </c>
      <c r="M1024" s="42" t="str">
        <f>"WoodMart Supply Co."</f>
        <v>WoodMart Supply Co.</v>
      </c>
      <c r="N1024" s="42" t="str">
        <f>IF($J1024="Item",_xll.NL("first",$J1024,"Description","No.","@@"&amp;$K1024),"")</f>
        <v/>
      </c>
      <c r="O1024" s="43">
        <v>400</v>
      </c>
      <c r="P1024" s="43">
        <v>0</v>
      </c>
      <c r="Q1024" s="43">
        <v>0</v>
      </c>
      <c r="R1024" s="43">
        <v>0</v>
      </c>
      <c r="S1024" s="43">
        <v>0</v>
      </c>
      <c r="T1024" s="43">
        <v>0</v>
      </c>
      <c r="U1024" s="56"/>
    </row>
    <row r="1025" spans="1:21" ht="17.25" customHeight="1" x14ac:dyDescent="0.3">
      <c r="A1025" s="15" t="s">
        <v>30</v>
      </c>
      <c r="C1025" s="19"/>
      <c r="D1025" s="33" t="str">
        <f t="shared" si="264"/>
        <v>E100011</v>
      </c>
      <c r="E1025" s="33"/>
      <c r="F1025" s="34"/>
      <c r="G1025" s="34" t="str">
        <f>"""NAV Direct"",""CRONUS JetCorp USA"",""32"",""1"",""167160"""</f>
        <v>"NAV Direct","CRONUS JetCorp USA","32","1","167160"</v>
      </c>
      <c r="H1025" s="40">
        <v>43466</v>
      </c>
      <c r="I1025" s="41">
        <v>167160</v>
      </c>
      <c r="J1025" s="42" t="str">
        <f>"Vendor"</f>
        <v>Vendor</v>
      </c>
      <c r="K1025" s="42" t="str">
        <f>"V100003"</f>
        <v>V100003</v>
      </c>
      <c r="L1025" s="42" t="str">
        <f>IF($J1025="Customer",_xll.NL("first",$J1025,"Name","No.","@@"&amp;$K1025),"")</f>
        <v/>
      </c>
      <c r="M1025" s="42" t="str">
        <f>"LogoMasters"</f>
        <v>LogoMasters</v>
      </c>
      <c r="N1025" s="42" t="str">
        <f>IF($J1025="Item",_xll.NL("first",$J1025,"Description","No.","@@"&amp;$K1025),"")</f>
        <v/>
      </c>
      <c r="O1025" s="43">
        <v>1600</v>
      </c>
      <c r="P1025" s="43">
        <v>0</v>
      </c>
      <c r="Q1025" s="43">
        <v>0</v>
      </c>
      <c r="R1025" s="43">
        <v>0</v>
      </c>
      <c r="S1025" s="43">
        <v>0</v>
      </c>
      <c r="T1025" s="43">
        <v>0</v>
      </c>
      <c r="U1025" s="56"/>
    </row>
    <row r="1026" spans="1:21" ht="17.25" customHeight="1" x14ac:dyDescent="0.3">
      <c r="A1026" s="15" t="s">
        <v>30</v>
      </c>
      <c r="C1026" s="19"/>
      <c r="D1026" s="33" t="str">
        <f t="shared" si="264"/>
        <v>E100011</v>
      </c>
      <c r="E1026" s="33"/>
      <c r="F1026" s="34"/>
      <c r="G1026" s="34" t="str">
        <f>"""NAV Direct"",""CRONUS JetCorp USA"",""32"",""1"",""167170"""</f>
        <v>"NAV Direct","CRONUS JetCorp USA","32","1","167170"</v>
      </c>
      <c r="H1026" s="40">
        <v>43466</v>
      </c>
      <c r="I1026" s="41">
        <v>167170</v>
      </c>
      <c r="J1026" s="42" t="str">
        <f>"Vendor"</f>
        <v>Vendor</v>
      </c>
      <c r="K1026" s="42" t="str">
        <f>"V100001"</f>
        <v>V100001</v>
      </c>
      <c r="L1026" s="42" t="str">
        <f>IF($J1026="Customer",_xll.NL("first",$J1026,"Name","No.","@@"&amp;$K1026),"")</f>
        <v/>
      </c>
      <c r="M1026" s="42" t="str">
        <f>"Greigner, Inc."</f>
        <v>Greigner, Inc.</v>
      </c>
      <c r="N1026" s="42" t="str">
        <f>IF($J1026="Item",_xll.NL("first",$J1026,"Description","No.","@@"&amp;$K1026),"")</f>
        <v/>
      </c>
      <c r="O1026" s="43">
        <v>400</v>
      </c>
      <c r="P1026" s="43">
        <v>0</v>
      </c>
      <c r="Q1026" s="43">
        <v>0</v>
      </c>
      <c r="R1026" s="43">
        <v>0</v>
      </c>
      <c r="S1026" s="43">
        <v>0</v>
      </c>
      <c r="T1026" s="43">
        <v>0</v>
      </c>
      <c r="U1026" s="56"/>
    </row>
    <row r="1027" spans="1:21" ht="17.25" customHeight="1" x14ac:dyDescent="0.3">
      <c r="A1027" s="15" t="s">
        <v>30</v>
      </c>
      <c r="C1027" s="19"/>
      <c r="D1027" s="33" t="str">
        <f t="shared" si="264"/>
        <v>E100011</v>
      </c>
      <c r="E1027" s="33"/>
      <c r="F1027" s="34"/>
      <c r="G1027" s="34" t="str">
        <f>"""NAV Direct"",""CRONUS JetCorp USA"",""32"",""1"",""64588"""</f>
        <v>"NAV Direct","CRONUS JetCorp USA","32","1","64588"</v>
      </c>
      <c r="H1027" s="40">
        <v>43469</v>
      </c>
      <c r="I1027" s="41">
        <v>64588</v>
      </c>
      <c r="J1027" s="42" t="str">
        <f>"Customer"</f>
        <v>Customer</v>
      </c>
      <c r="K1027" s="42" t="str">
        <f>"C100140"</f>
        <v>C100140</v>
      </c>
      <c r="L1027" s="42" t="str">
        <f>IF($J1027="Customer",_xll.NL("first",$J1027,"Name","No.","@@"&amp;$K1027),"")</f>
        <v>Super Daves</v>
      </c>
      <c r="M1027" s="42" t="str">
        <f>""</f>
        <v/>
      </c>
      <c r="N1027" s="42" t="str">
        <f>IF($J1027="Item",_xll.NL("first",$J1027,"Description","No.","@@"&amp;$K1027),"")</f>
        <v/>
      </c>
      <c r="O1027" s="43">
        <v>0</v>
      </c>
      <c r="P1027" s="43">
        <v>-144</v>
      </c>
      <c r="Q1027" s="43">
        <v>0</v>
      </c>
      <c r="R1027" s="43">
        <v>0</v>
      </c>
      <c r="S1027" s="43">
        <v>0</v>
      </c>
      <c r="T1027" s="43">
        <v>0</v>
      </c>
      <c r="U1027" s="56"/>
    </row>
    <row r="1028" spans="1:21" ht="17.25" customHeight="1" x14ac:dyDescent="0.3">
      <c r="A1028" s="15" t="s">
        <v>30</v>
      </c>
      <c r="C1028" s="19"/>
      <c r="D1028" s="33" t="str">
        <f t="shared" si="264"/>
        <v>E100011</v>
      </c>
      <c r="E1028" s="33"/>
      <c r="F1028" s="34"/>
      <c r="G1028" s="34" t="str">
        <f>"""NAV Direct"",""CRONUS JetCorp USA"",""32"",""1"",""124518"""</f>
        <v>"NAV Direct","CRONUS JetCorp USA","32","1","124518"</v>
      </c>
      <c r="H1028" s="40">
        <v>43470</v>
      </c>
      <c r="I1028" s="41">
        <v>124518</v>
      </c>
      <c r="J1028" s="42" t="str">
        <f>"Customer"</f>
        <v>Customer</v>
      </c>
      <c r="K1028" s="42" t="str">
        <f>"C100025"</f>
        <v>C100025</v>
      </c>
      <c r="L1028" s="42" t="str">
        <f>IF($J1028="Customer",_xll.NL("first",$J1028,"Name","No.","@@"&amp;$K1028),"")</f>
        <v>Derringers Resturants</v>
      </c>
      <c r="M1028" s="42" t="str">
        <f>""</f>
        <v/>
      </c>
      <c r="N1028" s="42" t="str">
        <f>IF($J1028="Item",_xll.NL("first",$J1028,"Description","No.","@@"&amp;$K1028),"")</f>
        <v/>
      </c>
      <c r="O1028" s="43">
        <v>0</v>
      </c>
      <c r="P1028" s="43">
        <v>-144</v>
      </c>
      <c r="Q1028" s="43">
        <v>0</v>
      </c>
      <c r="R1028" s="43">
        <v>0</v>
      </c>
      <c r="S1028" s="43">
        <v>0</v>
      </c>
      <c r="T1028" s="43">
        <v>0</v>
      </c>
      <c r="U1028" s="56"/>
    </row>
    <row r="1029" spans="1:21" ht="17.25" customHeight="1" x14ac:dyDescent="0.3">
      <c r="A1029" s="15" t="s">
        <v>30</v>
      </c>
      <c r="C1029" s="19"/>
      <c r="D1029" s="33" t="str">
        <f t="shared" si="264"/>
        <v>E100011</v>
      </c>
      <c r="E1029" s="33"/>
      <c r="F1029" s="34"/>
      <c r="G1029" s="34" t="str">
        <f>"""NAV Direct"",""CRONUS JetCorp USA"",""32"",""1"",""30039"""</f>
        <v>"NAV Direct","CRONUS JetCorp USA","32","1","30039"</v>
      </c>
      <c r="H1029" s="40">
        <v>43471</v>
      </c>
      <c r="I1029" s="41">
        <v>30039</v>
      </c>
      <c r="J1029" s="42" t="str">
        <f>"Customer"</f>
        <v>Customer</v>
      </c>
      <c r="K1029" s="42" t="str">
        <f>"C100012"</f>
        <v>C100012</v>
      </c>
      <c r="L1029" s="42" t="str">
        <f>IF($J1029="Customer",_xll.NL("first",$J1029,"Name","No.","@@"&amp;$K1029),"")</f>
        <v>Bainbridges</v>
      </c>
      <c r="M1029" s="42" t="str">
        <f>""</f>
        <v/>
      </c>
      <c r="N1029" s="42" t="str">
        <f>IF($J1029="Item",_xll.NL("first",$J1029,"Description","No.","@@"&amp;$K1029),"")</f>
        <v/>
      </c>
      <c r="O1029" s="43">
        <v>0</v>
      </c>
      <c r="P1029" s="43">
        <v>-289</v>
      </c>
      <c r="Q1029" s="43">
        <v>0</v>
      </c>
      <c r="R1029" s="43">
        <v>0</v>
      </c>
      <c r="S1029" s="43">
        <v>0</v>
      </c>
      <c r="T1029" s="43">
        <v>0</v>
      </c>
      <c r="U1029" s="56"/>
    </row>
    <row r="1030" spans="1:21" ht="17.25" customHeight="1" x14ac:dyDescent="0.3">
      <c r="A1030" s="15" t="s">
        <v>30</v>
      </c>
      <c r="C1030" s="19"/>
      <c r="D1030" s="33" t="str">
        <f t="shared" si="264"/>
        <v>E100011</v>
      </c>
      <c r="E1030" s="33"/>
      <c r="F1030" s="34"/>
      <c r="G1030" s="34" t="str">
        <f>"""NAV Direct"",""CRONUS JetCorp USA"",""32"",""1"",""20344"""</f>
        <v>"NAV Direct","CRONUS JetCorp USA","32","1","20344"</v>
      </c>
      <c r="H1030" s="40">
        <v>43472</v>
      </c>
      <c r="I1030" s="41">
        <v>20344</v>
      </c>
      <c r="J1030" s="42" t="str">
        <f>"Customer"</f>
        <v>Customer</v>
      </c>
      <c r="K1030" s="42" t="str">
        <f>"C100145"</f>
        <v>C100145</v>
      </c>
      <c r="L1030" s="42" t="str">
        <f>IF($J1030="Customer",_xll.NL("first",$J1030,"Name","No.","@@"&amp;$K1030),"")</f>
        <v>Dicon Industries</v>
      </c>
      <c r="M1030" s="42" t="str">
        <f>""</f>
        <v/>
      </c>
      <c r="N1030" s="42" t="str">
        <f>IF($J1030="Item",_xll.NL("first",$J1030,"Description","No.","@@"&amp;$K1030),"")</f>
        <v/>
      </c>
      <c r="O1030" s="43">
        <v>0</v>
      </c>
      <c r="P1030" s="43">
        <v>-12</v>
      </c>
      <c r="Q1030" s="43">
        <v>0</v>
      </c>
      <c r="R1030" s="43">
        <v>0</v>
      </c>
      <c r="S1030" s="43">
        <v>0</v>
      </c>
      <c r="T1030" s="43">
        <v>0</v>
      </c>
      <c r="U1030" s="56"/>
    </row>
    <row r="1031" spans="1:21" ht="17.25" customHeight="1" x14ac:dyDescent="0.3">
      <c r="A1031" s="15" t="s">
        <v>30</v>
      </c>
      <c r="C1031" s="19"/>
      <c r="D1031" s="33" t="str">
        <f t="shared" si="264"/>
        <v>E100011</v>
      </c>
      <c r="E1031" s="33"/>
      <c r="F1031" s="34"/>
      <c r="G1031" s="34" t="str">
        <f>"""NAV Direct"",""CRONUS JetCorp USA"",""32"",""1"",""25258"""</f>
        <v>"NAV Direct","CRONUS JetCorp USA","32","1","25258"</v>
      </c>
      <c r="H1031" s="40">
        <v>43472</v>
      </c>
      <c r="I1031" s="41">
        <v>25258</v>
      </c>
      <c r="J1031" s="42" t="str">
        <f>"Customer"</f>
        <v>Customer</v>
      </c>
      <c r="K1031" s="42" t="str">
        <f>"C100098"</f>
        <v>C100098</v>
      </c>
      <c r="L1031" s="42" t="str">
        <f>IF($J1031="Customer",_xll.NL("first",$J1031,"Name","No.","@@"&amp;$K1031),"")</f>
        <v>BlackCane Motor Works</v>
      </c>
      <c r="M1031" s="42" t="str">
        <f>""</f>
        <v/>
      </c>
      <c r="N1031" s="42" t="str">
        <f>IF($J1031="Item",_xll.NL("first",$J1031,"Description","No.","@@"&amp;$K1031),"")</f>
        <v/>
      </c>
      <c r="O1031" s="43">
        <v>0</v>
      </c>
      <c r="P1031" s="43">
        <v>-144</v>
      </c>
      <c r="Q1031" s="43">
        <v>0</v>
      </c>
      <c r="R1031" s="43">
        <v>0</v>
      </c>
      <c r="S1031" s="43">
        <v>0</v>
      </c>
      <c r="T1031" s="43">
        <v>0</v>
      </c>
      <c r="U1031" s="56"/>
    </row>
    <row r="1032" spans="1:21" ht="17.25" customHeight="1" x14ac:dyDescent="0.3">
      <c r="A1032" s="15" t="s">
        <v>30</v>
      </c>
      <c r="C1032" s="19"/>
      <c r="D1032" s="33" t="str">
        <f t="shared" si="264"/>
        <v>E100011</v>
      </c>
      <c r="E1032" s="33"/>
      <c r="F1032" s="34"/>
      <c r="G1032" s="34" t="str">
        <f>"""NAV Direct"",""CRONUS JetCorp USA"",""32"",""1"",""44475"""</f>
        <v>"NAV Direct","CRONUS JetCorp USA","32","1","44475"</v>
      </c>
      <c r="H1032" s="40">
        <v>43472</v>
      </c>
      <c r="I1032" s="41">
        <v>44475</v>
      </c>
      <c r="J1032" s="42" t="str">
        <f>"Customer"</f>
        <v>Customer</v>
      </c>
      <c r="K1032" s="42" t="str">
        <f>"C100141"</f>
        <v>C100141</v>
      </c>
      <c r="L1032" s="42" t="str">
        <f>IF($J1032="Customer",_xll.NL("first",$J1032,"Name","No.","@@"&amp;$K1032),"")</f>
        <v>Bargottis</v>
      </c>
      <c r="M1032" s="42" t="str">
        <f>""</f>
        <v/>
      </c>
      <c r="N1032" s="42" t="str">
        <f>IF($J1032="Item",_xll.NL("first",$J1032,"Description","No.","@@"&amp;$K1032),"")</f>
        <v/>
      </c>
      <c r="O1032" s="43">
        <v>0</v>
      </c>
      <c r="P1032" s="43">
        <v>-288</v>
      </c>
      <c r="Q1032" s="43">
        <v>0</v>
      </c>
      <c r="R1032" s="43">
        <v>0</v>
      </c>
      <c r="S1032" s="43">
        <v>0</v>
      </c>
      <c r="T1032" s="43">
        <v>0</v>
      </c>
      <c r="U1032" s="56"/>
    </row>
    <row r="1033" spans="1:21" ht="17.25" customHeight="1" x14ac:dyDescent="0.3">
      <c r="A1033" s="15" t="s">
        <v>30</v>
      </c>
      <c r="C1033" s="19"/>
      <c r="D1033" s="33" t="str">
        <f t="shared" si="264"/>
        <v>E100011</v>
      </c>
      <c r="E1033" s="33"/>
      <c r="F1033" s="34"/>
      <c r="G1033" s="34" t="str">
        <f>"""NAV Direct"",""CRONUS JetCorp USA"",""32"",""1"",""54739"""</f>
        <v>"NAV Direct","CRONUS JetCorp USA","32","1","54739"</v>
      </c>
      <c r="H1033" s="40">
        <v>43472</v>
      </c>
      <c r="I1033" s="41">
        <v>54739</v>
      </c>
      <c r="J1033" s="42" t="str">
        <f>"Customer"</f>
        <v>Customer</v>
      </c>
      <c r="K1033" s="42" t="str">
        <f>"C100084"</f>
        <v>C100084</v>
      </c>
      <c r="L1033" s="42" t="str">
        <f>IF($J1033="Customer",_xll.NL("first",$J1033,"Name","No.","@@"&amp;$K1033),"")</f>
        <v>The Cannon Group PLC</v>
      </c>
      <c r="M1033" s="42" t="str">
        <f>""</f>
        <v/>
      </c>
      <c r="N1033" s="42" t="str">
        <f>IF($J1033="Item",_xll.NL("first",$J1033,"Description","No.","@@"&amp;$K1033),"")</f>
        <v/>
      </c>
      <c r="O1033" s="43">
        <v>0</v>
      </c>
      <c r="P1033" s="43">
        <v>-144</v>
      </c>
      <c r="Q1033" s="43">
        <v>0</v>
      </c>
      <c r="R1033" s="43">
        <v>0</v>
      </c>
      <c r="S1033" s="43">
        <v>0</v>
      </c>
      <c r="T1033" s="43">
        <v>0</v>
      </c>
      <c r="U1033" s="56"/>
    </row>
    <row r="1034" spans="1:21" ht="17.25" customHeight="1" x14ac:dyDescent="0.3">
      <c r="A1034" s="15" t="s">
        <v>30</v>
      </c>
      <c r="C1034" s="19"/>
      <c r="D1034" s="33" t="str">
        <f t="shared" si="264"/>
        <v>E100011</v>
      </c>
      <c r="E1034" s="33"/>
      <c r="F1034" s="34"/>
      <c r="G1034" s="34" t="str">
        <f>"""NAV Direct"",""CRONUS JetCorp USA"",""32"",""1"",""64603"""</f>
        <v>"NAV Direct","CRONUS JetCorp USA","32","1","64603"</v>
      </c>
      <c r="H1034" s="40">
        <v>43472</v>
      </c>
      <c r="I1034" s="41">
        <v>64603</v>
      </c>
      <c r="J1034" s="42" t="str">
        <f>"Customer"</f>
        <v>Customer</v>
      </c>
      <c r="K1034" s="42" t="str">
        <f>"C100140"</f>
        <v>C100140</v>
      </c>
      <c r="L1034" s="42" t="str">
        <f>IF($J1034="Customer",_xll.NL("first",$J1034,"Name","No.","@@"&amp;$K1034),"")</f>
        <v>Super Daves</v>
      </c>
      <c r="M1034" s="42" t="str">
        <f>""</f>
        <v/>
      </c>
      <c r="N1034" s="42" t="str">
        <f>IF($J1034="Item",_xll.NL("first",$J1034,"Description","No.","@@"&amp;$K1034),"")</f>
        <v/>
      </c>
      <c r="O1034" s="43">
        <v>0</v>
      </c>
      <c r="P1034" s="43">
        <v>-144</v>
      </c>
      <c r="Q1034" s="43">
        <v>0</v>
      </c>
      <c r="R1034" s="43">
        <v>0</v>
      </c>
      <c r="S1034" s="43">
        <v>0</v>
      </c>
      <c r="T1034" s="43">
        <v>0</v>
      </c>
      <c r="U1034" s="56"/>
    </row>
    <row r="1035" spans="1:21" ht="17.25" customHeight="1" x14ac:dyDescent="0.3">
      <c r="A1035" s="15" t="s">
        <v>30</v>
      </c>
      <c r="C1035" s="19"/>
      <c r="D1035" s="33" t="str">
        <f t="shared" si="264"/>
        <v>E100011</v>
      </c>
      <c r="E1035" s="33"/>
      <c r="F1035" s="34"/>
      <c r="G1035" s="34" t="str">
        <f>"""NAV Direct"",""CRONUS JetCorp USA"",""32"",""1"",""128877"""</f>
        <v>"NAV Direct","CRONUS JetCorp USA","32","1","128877"</v>
      </c>
      <c r="H1035" s="40">
        <v>43472</v>
      </c>
      <c r="I1035" s="41">
        <v>128877</v>
      </c>
      <c r="J1035" s="42" t="str">
        <f>"Customer"</f>
        <v>Customer</v>
      </c>
      <c r="K1035" s="42" t="str">
        <f>"C100105"</f>
        <v>C100105</v>
      </c>
      <c r="L1035" s="42" t="str">
        <f>IF($J1035="Customer",_xll.NL("first",$J1035,"Name","No.","@@"&amp;$K1035),"")</f>
        <v>Esystems</v>
      </c>
      <c r="M1035" s="42" t="str">
        <f>""</f>
        <v/>
      </c>
      <c r="N1035" s="42" t="str">
        <f>IF($J1035="Item",_xll.NL("first",$J1035,"Description","No.","@@"&amp;$K1035),"")</f>
        <v/>
      </c>
      <c r="O1035" s="43">
        <v>0</v>
      </c>
      <c r="P1035" s="43">
        <v>-169</v>
      </c>
      <c r="Q1035" s="43">
        <v>0</v>
      </c>
      <c r="R1035" s="43">
        <v>0</v>
      </c>
      <c r="S1035" s="43">
        <v>0</v>
      </c>
      <c r="T1035" s="43">
        <v>0</v>
      </c>
      <c r="U1035" s="56"/>
    </row>
    <row r="1036" spans="1:21" ht="17.25" customHeight="1" x14ac:dyDescent="0.3">
      <c r="A1036" s="15" t="s">
        <v>30</v>
      </c>
      <c r="C1036" s="19"/>
      <c r="D1036" s="33" t="str">
        <f t="shared" si="264"/>
        <v>E100011</v>
      </c>
      <c r="E1036" s="33"/>
      <c r="F1036" s="34"/>
      <c r="G1036" s="34" t="str">
        <f>"""NAV Direct"",""CRONUS JetCorp USA"",""32"",""1"",""142557"""</f>
        <v>"NAV Direct","CRONUS JetCorp USA","32","1","142557"</v>
      </c>
      <c r="H1036" s="40">
        <v>43472</v>
      </c>
      <c r="I1036" s="41">
        <v>142557</v>
      </c>
      <c r="J1036" s="42" t="str">
        <f>"Customer"</f>
        <v>Customer</v>
      </c>
      <c r="K1036" s="42" t="str">
        <f>"C100100"</f>
        <v>C100100</v>
      </c>
      <c r="L1036" s="42" t="str">
        <f>IF($J1036="Customer",_xll.NL("first",$J1036,"Name","No.","@@"&amp;$K1036),"")</f>
        <v>Keybase, Inc.</v>
      </c>
      <c r="M1036" s="42" t="str">
        <f>""</f>
        <v/>
      </c>
      <c r="N1036" s="42" t="str">
        <f>IF($J1036="Item",_xll.NL("first",$J1036,"Description","No.","@@"&amp;$K1036),"")</f>
        <v/>
      </c>
      <c r="O1036" s="43">
        <v>0</v>
      </c>
      <c r="P1036" s="43">
        <v>-1</v>
      </c>
      <c r="Q1036" s="43">
        <v>0</v>
      </c>
      <c r="R1036" s="43">
        <v>0</v>
      </c>
      <c r="S1036" s="43">
        <v>0</v>
      </c>
      <c r="T1036" s="43">
        <v>0</v>
      </c>
      <c r="U1036" s="56"/>
    </row>
    <row r="1037" spans="1:21" ht="17.25" customHeight="1" x14ac:dyDescent="0.3">
      <c r="A1037" s="15" t="s">
        <v>30</v>
      </c>
      <c r="C1037" s="19"/>
      <c r="D1037" s="33" t="str">
        <f t="shared" si="264"/>
        <v>E100011</v>
      </c>
      <c r="E1037" s="33"/>
      <c r="F1037" s="34"/>
      <c r="G1037" s="34" t="str">
        <f>"""NAV Direct"",""CRONUS JetCorp USA"",""32"",""1"",""20392"""</f>
        <v>"NAV Direct","CRONUS JetCorp USA","32","1","20392"</v>
      </c>
      <c r="H1037" s="40">
        <v>43473</v>
      </c>
      <c r="I1037" s="41">
        <v>20392</v>
      </c>
      <c r="J1037" s="42" t="str">
        <f>"Customer"</f>
        <v>Customer</v>
      </c>
      <c r="K1037" s="42" t="str">
        <f>"C100130"</f>
        <v>C100130</v>
      </c>
      <c r="L1037" s="42" t="str">
        <f>IF($J1037="Customer",_xll.NL("first",$J1037,"Name","No.","@@"&amp;$K1037),"")</f>
        <v>Hotspot Systems</v>
      </c>
      <c r="M1037" s="42" t="str">
        <f>""</f>
        <v/>
      </c>
      <c r="N1037" s="42" t="str">
        <f>IF($J1037="Item",_xll.NL("first",$J1037,"Description","No.","@@"&amp;$K1037),"")</f>
        <v/>
      </c>
      <c r="O1037" s="43">
        <v>0</v>
      </c>
      <c r="P1037" s="43">
        <v>-289</v>
      </c>
      <c r="Q1037" s="43">
        <v>0</v>
      </c>
      <c r="R1037" s="43">
        <v>0</v>
      </c>
      <c r="S1037" s="43">
        <v>0</v>
      </c>
      <c r="T1037" s="43">
        <v>0</v>
      </c>
      <c r="U1037" s="56"/>
    </row>
    <row r="1038" spans="1:21" ht="17.25" customHeight="1" x14ac:dyDescent="0.3">
      <c r="A1038" s="15" t="s">
        <v>30</v>
      </c>
      <c r="C1038" s="19"/>
      <c r="D1038" s="33" t="str">
        <f t="shared" si="264"/>
        <v>E100011</v>
      </c>
      <c r="E1038" s="33"/>
      <c r="F1038" s="34"/>
      <c r="G1038" s="34" t="str">
        <f>"""NAV Direct"",""CRONUS JetCorp USA"",""32"",""1"",""124555"""</f>
        <v>"NAV Direct","CRONUS JetCorp USA","32","1","124555"</v>
      </c>
      <c r="H1038" s="40">
        <v>43473</v>
      </c>
      <c r="I1038" s="41">
        <v>124555</v>
      </c>
      <c r="J1038" s="42" t="str">
        <f>"Customer"</f>
        <v>Customer</v>
      </c>
      <c r="K1038" s="42" t="str">
        <f>"C100035"</f>
        <v>C100035</v>
      </c>
      <c r="L1038" s="42" t="str">
        <f>IF($J1038="Customer",_xll.NL("first",$J1038,"Name","No.","@@"&amp;$K1038),"")</f>
        <v>First Touch Marketing</v>
      </c>
      <c r="M1038" s="42" t="str">
        <f>""</f>
        <v/>
      </c>
      <c r="N1038" s="42" t="str">
        <f>IF($J1038="Item",_xll.NL("first",$J1038,"Description","No.","@@"&amp;$K1038),"")</f>
        <v/>
      </c>
      <c r="O1038" s="43">
        <v>0</v>
      </c>
      <c r="P1038" s="43">
        <v>-144</v>
      </c>
      <c r="Q1038" s="43">
        <v>0</v>
      </c>
      <c r="R1038" s="43">
        <v>0</v>
      </c>
      <c r="S1038" s="43">
        <v>0</v>
      </c>
      <c r="T1038" s="43">
        <v>0</v>
      </c>
      <c r="U1038" s="56"/>
    </row>
    <row r="1039" spans="1:21" ht="17.25" customHeight="1" x14ac:dyDescent="0.3">
      <c r="A1039" s="15" t="s">
        <v>30</v>
      </c>
      <c r="C1039" s="19"/>
      <c r="D1039" s="33" t="str">
        <f t="shared" si="264"/>
        <v>E100011</v>
      </c>
      <c r="E1039" s="33"/>
      <c r="F1039" s="34"/>
      <c r="G1039" s="34" t="str">
        <f>"""NAV Direct"",""CRONUS JetCorp USA"",""32"",""1"",""54707"""</f>
        <v>"NAV Direct","CRONUS JetCorp USA","32","1","54707"</v>
      </c>
      <c r="H1039" s="40">
        <v>43474</v>
      </c>
      <c r="I1039" s="41">
        <v>54707</v>
      </c>
      <c r="J1039" s="42" t="str">
        <f>"Customer"</f>
        <v>Customer</v>
      </c>
      <c r="K1039" s="42" t="str">
        <f>"C100096"</f>
        <v>C100096</v>
      </c>
      <c r="L1039" s="42" t="str">
        <f>IF($J1039="Customer",_xll.NL("first",$J1039,"Name","No.","@@"&amp;$K1039),"")</f>
        <v>D-Com Industries</v>
      </c>
      <c r="M1039" s="42" t="str">
        <f>""</f>
        <v/>
      </c>
      <c r="N1039" s="42" t="str">
        <f>IF($J1039="Item",_xll.NL("first",$J1039,"Description","No.","@@"&amp;$K1039),"")</f>
        <v/>
      </c>
      <c r="O1039" s="43">
        <v>0</v>
      </c>
      <c r="P1039" s="43">
        <v>-288</v>
      </c>
      <c r="Q1039" s="43">
        <v>0</v>
      </c>
      <c r="R1039" s="43">
        <v>0</v>
      </c>
      <c r="S1039" s="43">
        <v>0</v>
      </c>
      <c r="T1039" s="43">
        <v>0</v>
      </c>
      <c r="U1039" s="56"/>
    </row>
    <row r="1040" spans="1:21" ht="17.25" customHeight="1" x14ac:dyDescent="0.3">
      <c r="A1040" s="15" t="s">
        <v>30</v>
      </c>
      <c r="C1040" s="19"/>
      <c r="D1040" s="33" t="str">
        <f t="shared" si="264"/>
        <v>E100011</v>
      </c>
      <c r="E1040" s="33"/>
      <c r="F1040" s="34"/>
      <c r="G1040" s="34" t="str">
        <f>"""NAV Direct"",""CRONUS JetCorp USA"",""32"",""1"",""20360"""</f>
        <v>"NAV Direct","CRONUS JetCorp USA","32","1","20360"</v>
      </c>
      <c r="H1040" s="40">
        <v>43475</v>
      </c>
      <c r="I1040" s="41">
        <v>20360</v>
      </c>
      <c r="J1040" s="42" t="str">
        <f>"Customer"</f>
        <v>Customer</v>
      </c>
      <c r="K1040" s="42" t="str">
        <f>"C100097"</f>
        <v>C100097</v>
      </c>
      <c r="L1040" s="42" t="str">
        <f>IF($J1040="Customer",_xll.NL("first",$J1040,"Name","No.","@@"&amp;$K1040),"")</f>
        <v>Solotech</v>
      </c>
      <c r="M1040" s="42" t="str">
        <f>""</f>
        <v/>
      </c>
      <c r="N1040" s="42" t="str">
        <f>IF($J1040="Item",_xll.NL("first",$J1040,"Description","No.","@@"&amp;$K1040),"")</f>
        <v/>
      </c>
      <c r="O1040" s="43">
        <v>0</v>
      </c>
      <c r="P1040" s="43">
        <v>-12</v>
      </c>
      <c r="Q1040" s="43">
        <v>0</v>
      </c>
      <c r="R1040" s="43">
        <v>0</v>
      </c>
      <c r="S1040" s="43">
        <v>0</v>
      </c>
      <c r="T1040" s="43">
        <v>0</v>
      </c>
      <c r="U1040" s="56"/>
    </row>
    <row r="1041" spans="1:21" ht="17.25" customHeight="1" x14ac:dyDescent="0.3">
      <c r="A1041" s="15" t="s">
        <v>30</v>
      </c>
      <c r="C1041" s="19"/>
      <c r="D1041" s="33" t="str">
        <f t="shared" si="264"/>
        <v>E100011</v>
      </c>
      <c r="E1041" s="33"/>
      <c r="F1041" s="34"/>
      <c r="G1041" s="34" t="str">
        <f>"""NAV Direct"",""CRONUS JetCorp USA"",""32"",""1"",""20412"""</f>
        <v>"NAV Direct","CRONUS JetCorp USA","32","1","20412"</v>
      </c>
      <c r="H1041" s="40">
        <v>43475</v>
      </c>
      <c r="I1041" s="41">
        <v>20412</v>
      </c>
      <c r="J1041" s="42" t="str">
        <f>"Customer"</f>
        <v>Customer</v>
      </c>
      <c r="K1041" s="42" t="str">
        <f>"C100130"</f>
        <v>C100130</v>
      </c>
      <c r="L1041" s="42" t="str">
        <f>IF($J1041="Customer",_xll.NL("first",$J1041,"Name","No.","@@"&amp;$K1041),"")</f>
        <v>Hotspot Systems</v>
      </c>
      <c r="M1041" s="42" t="str">
        <f>""</f>
        <v/>
      </c>
      <c r="N1041" s="42" t="str">
        <f>IF($J1041="Item",_xll.NL("first",$J1041,"Description","No.","@@"&amp;$K1041),"")</f>
        <v/>
      </c>
      <c r="O1041" s="43">
        <v>0</v>
      </c>
      <c r="P1041" s="43">
        <v>-144</v>
      </c>
      <c r="Q1041" s="43">
        <v>0</v>
      </c>
      <c r="R1041" s="43">
        <v>0</v>
      </c>
      <c r="S1041" s="43">
        <v>0</v>
      </c>
      <c r="T1041" s="43">
        <v>0</v>
      </c>
      <c r="U1041" s="56"/>
    </row>
    <row r="1042" spans="1:21" ht="17.25" customHeight="1" x14ac:dyDescent="0.3">
      <c r="A1042" s="15" t="s">
        <v>30</v>
      </c>
      <c r="C1042" s="19"/>
      <c r="D1042" s="33" t="str">
        <f t="shared" si="264"/>
        <v>E100011</v>
      </c>
      <c r="E1042" s="33"/>
      <c r="F1042" s="34"/>
      <c r="G1042" s="34" t="str">
        <f>"""NAV Direct"",""CRONUS JetCorp USA"",""32"",""1"",""34344"""</f>
        <v>"NAV Direct","CRONUS JetCorp USA","32","1","34344"</v>
      </c>
      <c r="H1042" s="40">
        <v>43475</v>
      </c>
      <c r="I1042" s="41">
        <v>34344</v>
      </c>
      <c r="J1042" s="42" t="str">
        <f>"Customer"</f>
        <v>Customer</v>
      </c>
      <c r="K1042" s="42" t="str">
        <f>"C100008"</f>
        <v>C100008</v>
      </c>
      <c r="L1042" s="42" t="str">
        <f>IF($J1042="Customer",_xll.NL("first",$J1042,"Name","No.","@@"&amp;$K1042),"")</f>
        <v>Blanemark Hifi Shop</v>
      </c>
      <c r="M1042" s="42" t="str">
        <f>""</f>
        <v/>
      </c>
      <c r="N1042" s="42" t="str">
        <f>IF($J1042="Item",_xll.NL("first",$J1042,"Description","No.","@@"&amp;$K1042),"")</f>
        <v/>
      </c>
      <c r="O1042" s="43">
        <v>0</v>
      </c>
      <c r="P1042" s="43">
        <v>-1</v>
      </c>
      <c r="Q1042" s="43">
        <v>0</v>
      </c>
      <c r="R1042" s="43">
        <v>0</v>
      </c>
      <c r="S1042" s="43">
        <v>0</v>
      </c>
      <c r="T1042" s="43">
        <v>0</v>
      </c>
      <c r="U1042" s="56"/>
    </row>
    <row r="1043" spans="1:21" ht="17.25" customHeight="1" x14ac:dyDescent="0.3">
      <c r="A1043" s="15" t="s">
        <v>30</v>
      </c>
      <c r="C1043" s="19"/>
      <c r="D1043" s="33" t="str">
        <f t="shared" si="264"/>
        <v>E100011</v>
      </c>
      <c r="E1043" s="33"/>
      <c r="F1043" s="34"/>
      <c r="G1043" s="34" t="str">
        <f>"""NAV Direct"",""CRONUS JetCorp USA"",""32"",""1"",""64623"""</f>
        <v>"NAV Direct","CRONUS JetCorp USA","32","1","64623"</v>
      </c>
      <c r="H1043" s="40">
        <v>43475</v>
      </c>
      <c r="I1043" s="41">
        <v>64623</v>
      </c>
      <c r="J1043" s="42" t="str">
        <f>"Customer"</f>
        <v>Customer</v>
      </c>
      <c r="K1043" s="42" t="str">
        <f>"C100136"</f>
        <v>C100136</v>
      </c>
      <c r="L1043" s="42" t="str">
        <f>IF($J1043="Customer",_xll.NL("first",$J1043,"Name","No.","@@"&amp;$K1043),"")</f>
        <v>First Bank</v>
      </c>
      <c r="M1043" s="42" t="str">
        <f>""</f>
        <v/>
      </c>
      <c r="N1043" s="42" t="str">
        <f>IF($J1043="Item",_xll.NL("first",$J1043,"Description","No.","@@"&amp;$K1043),"")</f>
        <v/>
      </c>
      <c r="O1043" s="43">
        <v>0</v>
      </c>
      <c r="P1043" s="43">
        <v>-288</v>
      </c>
      <c r="Q1043" s="43">
        <v>0</v>
      </c>
      <c r="R1043" s="43">
        <v>0</v>
      </c>
      <c r="S1043" s="43">
        <v>0</v>
      </c>
      <c r="T1043" s="43">
        <v>0</v>
      </c>
      <c r="U1043" s="56"/>
    </row>
    <row r="1044" spans="1:21" ht="17.25" customHeight="1" x14ac:dyDescent="0.3">
      <c r="A1044" s="15" t="s">
        <v>30</v>
      </c>
      <c r="C1044" s="19"/>
      <c r="D1044" s="33" t="str">
        <f t="shared" si="264"/>
        <v>E100011</v>
      </c>
      <c r="E1044" s="33"/>
      <c r="F1044" s="34"/>
      <c r="G1044" s="34" t="str">
        <f>"""NAV Direct"",""CRONUS JetCorp USA"",""32"",""1"",""25278"""</f>
        <v>"NAV Direct","CRONUS JetCorp USA","32","1","25278"</v>
      </c>
      <c r="H1044" s="40">
        <v>43476</v>
      </c>
      <c r="I1044" s="41">
        <v>25278</v>
      </c>
      <c r="J1044" s="42" t="str">
        <f>"Customer"</f>
        <v>Customer</v>
      </c>
      <c r="K1044" s="42" t="str">
        <f>"C100102"</f>
        <v>C100102</v>
      </c>
      <c r="L1044" s="42" t="str">
        <f>IF($J1044="Customer",_xll.NL("first",$J1044,"Name","No.","@@"&amp;$K1044),"")</f>
        <v xml:space="preserve">BEI Outfitters </v>
      </c>
      <c r="M1044" s="42" t="str">
        <f>""</f>
        <v/>
      </c>
      <c r="N1044" s="42" t="str">
        <f>IF($J1044="Item",_xll.NL("first",$J1044,"Description","No.","@@"&amp;$K1044),"")</f>
        <v/>
      </c>
      <c r="O1044" s="43">
        <v>0</v>
      </c>
      <c r="P1044" s="43">
        <v>-6</v>
      </c>
      <c r="Q1044" s="43">
        <v>0</v>
      </c>
      <c r="R1044" s="43">
        <v>0</v>
      </c>
      <c r="S1044" s="43">
        <v>0</v>
      </c>
      <c r="T1044" s="43">
        <v>0</v>
      </c>
      <c r="U1044" s="56"/>
    </row>
    <row r="1045" spans="1:21" ht="17.25" customHeight="1" x14ac:dyDescent="0.3">
      <c r="A1045" s="15" t="s">
        <v>30</v>
      </c>
      <c r="C1045" s="19"/>
      <c r="D1045" s="33" t="str">
        <f t="shared" si="264"/>
        <v>E100011</v>
      </c>
      <c r="E1045" s="33"/>
      <c r="F1045" s="34"/>
      <c r="G1045" s="34" t="str">
        <f>"""NAV Direct"",""CRONUS JetCorp USA"",""32"",""1"",""38097"""</f>
        <v>"NAV Direct","CRONUS JetCorp USA","32","1","38097"</v>
      </c>
      <c r="H1045" s="40">
        <v>43477</v>
      </c>
      <c r="I1045" s="41">
        <v>38097</v>
      </c>
      <c r="J1045" s="42" t="str">
        <f>"Customer"</f>
        <v>Customer</v>
      </c>
      <c r="K1045" s="42" t="str">
        <f>"C100038"</f>
        <v>C100038</v>
      </c>
      <c r="L1045" s="42" t="str">
        <f>IF($J1045="Customer",_xll.NL("first",$J1045,"Name","No.","@@"&amp;$K1045),"")</f>
        <v>Gagn &amp; Gaman</v>
      </c>
      <c r="M1045" s="42" t="str">
        <f>""</f>
        <v/>
      </c>
      <c r="N1045" s="42" t="str">
        <f>IF($J1045="Item",_xll.NL("first",$J1045,"Description","No.","@@"&amp;$K1045),"")</f>
        <v/>
      </c>
      <c r="O1045" s="43">
        <v>0</v>
      </c>
      <c r="P1045" s="43">
        <v>-1</v>
      </c>
      <c r="Q1045" s="43">
        <v>0</v>
      </c>
      <c r="R1045" s="43">
        <v>0</v>
      </c>
      <c r="S1045" s="43">
        <v>0</v>
      </c>
      <c r="T1045" s="43">
        <v>0</v>
      </c>
      <c r="U1045" s="56"/>
    </row>
    <row r="1046" spans="1:21" ht="17.25" customHeight="1" x14ac:dyDescent="0.3">
      <c r="A1046" s="15" t="s">
        <v>30</v>
      </c>
      <c r="C1046" s="19"/>
      <c r="D1046" s="33" t="str">
        <f t="shared" si="264"/>
        <v>E100011</v>
      </c>
      <c r="E1046" s="33"/>
      <c r="F1046" s="34"/>
      <c r="G1046" s="34" t="str">
        <f>"""NAV Direct"",""CRONUS JetCorp USA"",""32"",""1"",""138737"""</f>
        <v>"NAV Direct","CRONUS JetCorp USA","32","1","138737"</v>
      </c>
      <c r="H1046" s="40">
        <v>43477</v>
      </c>
      <c r="I1046" s="41">
        <v>138737</v>
      </c>
      <c r="J1046" s="42" t="str">
        <f>"Customer"</f>
        <v>Customer</v>
      </c>
      <c r="K1046" s="42" t="str">
        <f>"C100021"</f>
        <v>C100021</v>
      </c>
      <c r="L1046" s="42" t="str">
        <f>IF($J1046="Customer",_xll.NL("first",$J1046,"Name","No.","@@"&amp;$K1046),"")</f>
        <v>Cronus Cardoxy Sales</v>
      </c>
      <c r="M1046" s="42" t="str">
        <f>""</f>
        <v/>
      </c>
      <c r="N1046" s="42" t="str">
        <f>IF($J1046="Item",_xll.NL("first",$J1046,"Description","No.","@@"&amp;$K1046),"")</f>
        <v/>
      </c>
      <c r="O1046" s="43">
        <v>0</v>
      </c>
      <c r="P1046" s="43">
        <v>-1</v>
      </c>
      <c r="Q1046" s="43">
        <v>0</v>
      </c>
      <c r="R1046" s="43">
        <v>0</v>
      </c>
      <c r="S1046" s="43">
        <v>0</v>
      </c>
      <c r="T1046" s="43">
        <v>0</v>
      </c>
      <c r="U1046" s="56"/>
    </row>
    <row r="1047" spans="1:21" ht="17.25" customHeight="1" x14ac:dyDescent="0.3">
      <c r="A1047" s="15" t="s">
        <v>30</v>
      </c>
      <c r="C1047" s="19"/>
      <c r="D1047" s="33"/>
      <c r="E1047" s="33"/>
      <c r="F1047" s="34"/>
      <c r="G1047" s="34"/>
      <c r="H1047" s="34"/>
      <c r="I1047" s="34"/>
      <c r="J1047" s="34"/>
      <c r="K1047" s="34"/>
      <c r="L1047" s="34"/>
      <c r="M1047" s="34"/>
      <c r="N1047" s="34"/>
      <c r="O1047" s="44"/>
      <c r="P1047" s="44"/>
      <c r="Q1047" s="44"/>
      <c r="R1047" s="44"/>
      <c r="S1047" s="44"/>
      <c r="T1047" s="44"/>
      <c r="U1047" s="57"/>
    </row>
    <row r="1048" spans="1:21" ht="17.25" customHeight="1" x14ac:dyDescent="0.3">
      <c r="A1048" s="15" t="s">
        <v>30</v>
      </c>
      <c r="C1048" s="19"/>
      <c r="D1048" s="33"/>
      <c r="E1048" s="33" t="s">
        <v>31</v>
      </c>
      <c r="F1048" s="34" t="s">
        <v>31</v>
      </c>
      <c r="G1048" s="34" t="s">
        <v>31</v>
      </c>
      <c r="H1048" s="34"/>
      <c r="I1048" s="34"/>
      <c r="J1048" s="34" t="s">
        <v>31</v>
      </c>
      <c r="K1048" s="34" t="s">
        <v>31</v>
      </c>
      <c r="L1048" s="34" t="s">
        <v>31</v>
      </c>
      <c r="M1048" s="34" t="s">
        <v>31</v>
      </c>
      <c r="N1048" s="34"/>
      <c r="U1048" s="58"/>
    </row>
    <row r="1049" spans="1:21" ht="20.25" customHeight="1" x14ac:dyDescent="0.35">
      <c r="A1049" s="15" t="s">
        <v>30</v>
      </c>
      <c r="C1049" s="19"/>
      <c r="D1049" s="35" t="str">
        <f t="shared" ref="D1049" si="265">E1049</f>
        <v>E100012</v>
      </c>
      <c r="E1049" s="36" t="str">
        <f>"E100012"</f>
        <v>E100012</v>
      </c>
      <c r="F1049" s="37" t="str">
        <f>"Canvas Stopwatch"</f>
        <v>Canvas Stopwatch</v>
      </c>
      <c r="G1049" s="37"/>
      <c r="H1049" s="38" t="str">
        <f>"EA"</f>
        <v>EA</v>
      </c>
      <c r="I1049" s="37"/>
      <c r="J1049" s="37"/>
      <c r="K1049" s="37"/>
      <c r="L1049" s="37"/>
      <c r="M1049" s="37"/>
      <c r="N1049" s="37"/>
      <c r="O1049" s="39">
        <f>(SUBTOTAL(9,O1050:O1071))</f>
        <v>8600</v>
      </c>
      <c r="P1049" s="39">
        <f>(SUBTOTAL(9,P1050:P1071))</f>
        <v>-2026</v>
      </c>
      <c r="Q1049" s="39">
        <f>(SUBTOTAL(9,Q1050:Q1071))</f>
        <v>0</v>
      </c>
      <c r="R1049" s="39">
        <f>(SUBTOTAL(9,R1050:R1071))</f>
        <v>0</v>
      </c>
      <c r="S1049" s="39">
        <f>(SUBTOTAL(9,S1050:S1071))</f>
        <v>0</v>
      </c>
      <c r="T1049" s="39">
        <f>(SUBTOTAL(9,T1050:T1071))</f>
        <v>0</v>
      </c>
      <c r="U1049" s="55">
        <f t="shared" ref="U1049" si="266">SUBTOTAL(9,O1050:T1071)</f>
        <v>6574</v>
      </c>
    </row>
    <row r="1050" spans="1:21" ht="17.25" customHeight="1" x14ac:dyDescent="0.3">
      <c r="A1050" s="15" t="s">
        <v>30</v>
      </c>
      <c r="C1050" s="19"/>
      <c r="D1050" s="33" t="str">
        <f t="shared" ref="D1050" si="267">D1049</f>
        <v>E100012</v>
      </c>
      <c r="E1050" s="33"/>
      <c r="F1050" s="34"/>
      <c r="G1050" s="34" t="str">
        <f>"""NAV Direct"",""CRONUS JetCorp USA"",""32"",""1"",""167518"""</f>
        <v>"NAV Direct","CRONUS JetCorp USA","32","1","167518"</v>
      </c>
      <c r="H1050" s="40">
        <v>43466</v>
      </c>
      <c r="I1050" s="41">
        <v>167518</v>
      </c>
      <c r="J1050" s="42" t="str">
        <f>"Vendor"</f>
        <v>Vendor</v>
      </c>
      <c r="K1050" s="42" t="str">
        <f>"V100009"</f>
        <v>V100009</v>
      </c>
      <c r="L1050" s="42" t="str">
        <f>IF($J1050="Customer",_xll.NL("first",$J1050,"Name","No.","@@"&amp;$K1050),"")</f>
        <v/>
      </c>
      <c r="M1050" s="42" t="str">
        <f>"Malay-Dan Export Unit Sdn Bhd"</f>
        <v>Malay-Dan Export Unit Sdn Bhd</v>
      </c>
      <c r="N1050" s="42" t="str">
        <f>IF($J1050="Item",_xll.NL("first",$J1050,"Description","No.","@@"&amp;$K1050),"")</f>
        <v/>
      </c>
      <c r="O1050" s="43">
        <v>400</v>
      </c>
      <c r="P1050" s="43">
        <v>0</v>
      </c>
      <c r="Q1050" s="43">
        <v>0</v>
      </c>
      <c r="R1050" s="43">
        <v>0</v>
      </c>
      <c r="S1050" s="43">
        <v>0</v>
      </c>
      <c r="T1050" s="43">
        <v>0</v>
      </c>
      <c r="U1050" s="56"/>
    </row>
    <row r="1051" spans="1:21" ht="17.25" customHeight="1" x14ac:dyDescent="0.3">
      <c r="A1051" s="15" t="s">
        <v>30</v>
      </c>
      <c r="C1051" s="19"/>
      <c r="D1051" s="33" t="str">
        <f t="shared" ref="D1051:D1070" si="268">D1050</f>
        <v>E100012</v>
      </c>
      <c r="E1051" s="33"/>
      <c r="F1051" s="34"/>
      <c r="G1051" s="34" t="str">
        <f>"""NAV Direct"",""CRONUS JetCorp USA"",""32"",""1"",""167535"""</f>
        <v>"NAV Direct","CRONUS JetCorp USA","32","1","167535"</v>
      </c>
      <c r="H1051" s="40">
        <v>43466</v>
      </c>
      <c r="I1051" s="41">
        <v>167535</v>
      </c>
      <c r="J1051" s="42" t="str">
        <f>"Vendor"</f>
        <v>Vendor</v>
      </c>
      <c r="K1051" s="42" t="str">
        <f>"V100040"</f>
        <v>V100040</v>
      </c>
      <c r="L1051" s="42" t="str">
        <f>IF($J1051="Customer",_xll.NL("first",$J1051,"Name","No.","@@"&amp;$K1051),"")</f>
        <v/>
      </c>
      <c r="M1051" s="42" t="str">
        <f>"Technische Betriebe Rotkreuz"</f>
        <v>Technische Betriebe Rotkreuz</v>
      </c>
      <c r="N1051" s="42" t="str">
        <f>IF($J1051="Item",_xll.NL("first",$J1051,"Description","No.","@@"&amp;$K1051),"")</f>
        <v/>
      </c>
      <c r="O1051" s="43">
        <v>1200</v>
      </c>
      <c r="P1051" s="43">
        <v>0</v>
      </c>
      <c r="Q1051" s="43">
        <v>0</v>
      </c>
      <c r="R1051" s="43">
        <v>0</v>
      </c>
      <c r="S1051" s="43">
        <v>0</v>
      </c>
      <c r="T1051" s="43">
        <v>0</v>
      </c>
      <c r="U1051" s="56"/>
    </row>
    <row r="1052" spans="1:21" ht="17.25" customHeight="1" x14ac:dyDescent="0.3">
      <c r="A1052" s="15" t="s">
        <v>30</v>
      </c>
      <c r="C1052" s="19"/>
      <c r="D1052" s="33" t="str">
        <f t="shared" si="268"/>
        <v>E100012</v>
      </c>
      <c r="E1052" s="33"/>
      <c r="F1052" s="34"/>
      <c r="G1052" s="34" t="str">
        <f>"""NAV Direct"",""CRONUS JetCorp USA"",""32"",""1"",""167547"""</f>
        <v>"NAV Direct","CRONUS JetCorp USA","32","1","167547"</v>
      </c>
      <c r="H1052" s="40">
        <v>43466</v>
      </c>
      <c r="I1052" s="41">
        <v>167547</v>
      </c>
      <c r="J1052" s="42" t="str">
        <f>"Vendor"</f>
        <v>Vendor</v>
      </c>
      <c r="K1052" s="42" t="str">
        <f>"V100001"</f>
        <v>V100001</v>
      </c>
      <c r="L1052" s="42" t="str">
        <f>IF($J1052="Customer",_xll.NL("first",$J1052,"Name","No.","@@"&amp;$K1052),"")</f>
        <v/>
      </c>
      <c r="M1052" s="42" t="str">
        <f>"Greigner, Inc."</f>
        <v>Greigner, Inc.</v>
      </c>
      <c r="N1052" s="42" t="str">
        <f>IF($J1052="Item",_xll.NL("first",$J1052,"Description","No.","@@"&amp;$K1052),"")</f>
        <v/>
      </c>
      <c r="O1052" s="43">
        <v>200</v>
      </c>
      <c r="P1052" s="43">
        <v>0</v>
      </c>
      <c r="Q1052" s="43">
        <v>0</v>
      </c>
      <c r="R1052" s="43">
        <v>0</v>
      </c>
      <c r="S1052" s="43">
        <v>0</v>
      </c>
      <c r="T1052" s="43">
        <v>0</v>
      </c>
      <c r="U1052" s="56"/>
    </row>
    <row r="1053" spans="1:21" ht="17.25" customHeight="1" x14ac:dyDescent="0.3">
      <c r="A1053" s="15" t="s">
        <v>30</v>
      </c>
      <c r="C1053" s="19"/>
      <c r="D1053" s="33" t="str">
        <f t="shared" si="268"/>
        <v>E100012</v>
      </c>
      <c r="E1053" s="33"/>
      <c r="F1053" s="34"/>
      <c r="G1053" s="34" t="str">
        <f>"""NAV Direct"",""CRONUS JetCorp USA"",""32"",""1"",""167561"""</f>
        <v>"NAV Direct","CRONUS JetCorp USA","32","1","167561"</v>
      </c>
      <c r="H1053" s="40">
        <v>43466</v>
      </c>
      <c r="I1053" s="41">
        <v>167561</v>
      </c>
      <c r="J1053" s="42" t="str">
        <f>"Vendor"</f>
        <v>Vendor</v>
      </c>
      <c r="K1053" s="42" t="str">
        <f>"V100007"</f>
        <v>V100007</v>
      </c>
      <c r="L1053" s="42" t="str">
        <f>IF($J1053="Customer",_xll.NL("first",$J1053,"Name","No.","@@"&amp;$K1053),"")</f>
        <v/>
      </c>
      <c r="M1053" s="42" t="str">
        <f>"TrendTech"</f>
        <v>TrendTech</v>
      </c>
      <c r="N1053" s="42" t="str">
        <f>IF($J1053="Item",_xll.NL("first",$J1053,"Description","No.","@@"&amp;$K1053),"")</f>
        <v/>
      </c>
      <c r="O1053" s="43">
        <v>800</v>
      </c>
      <c r="P1053" s="43">
        <v>0</v>
      </c>
      <c r="Q1053" s="43">
        <v>0</v>
      </c>
      <c r="R1053" s="43">
        <v>0</v>
      </c>
      <c r="S1053" s="43">
        <v>0</v>
      </c>
      <c r="T1053" s="43">
        <v>0</v>
      </c>
      <c r="U1053" s="56"/>
    </row>
    <row r="1054" spans="1:21" ht="17.25" customHeight="1" x14ac:dyDescent="0.3">
      <c r="A1054" s="15" t="s">
        <v>30</v>
      </c>
      <c r="C1054" s="19"/>
      <c r="D1054" s="33" t="str">
        <f t="shared" si="268"/>
        <v>E100012</v>
      </c>
      <c r="E1054" s="33"/>
      <c r="F1054" s="34"/>
      <c r="G1054" s="34" t="str">
        <f>"""NAV Direct"",""CRONUS JetCorp USA"",""32"",""1"",""167580"""</f>
        <v>"NAV Direct","CRONUS JetCorp USA","32","1","167580"</v>
      </c>
      <c r="H1054" s="40">
        <v>43466</v>
      </c>
      <c r="I1054" s="41">
        <v>167580</v>
      </c>
      <c r="J1054" s="42" t="str">
        <f>"Vendor"</f>
        <v>Vendor</v>
      </c>
      <c r="K1054" s="42" t="str">
        <f>"V100001"</f>
        <v>V100001</v>
      </c>
      <c r="L1054" s="42" t="str">
        <f>IF($J1054="Customer",_xll.NL("first",$J1054,"Name","No.","@@"&amp;$K1054),"")</f>
        <v/>
      </c>
      <c r="M1054" s="42" t="str">
        <f>"Greigner, Inc."</f>
        <v>Greigner, Inc.</v>
      </c>
      <c r="N1054" s="42" t="str">
        <f>IF($J1054="Item",_xll.NL("first",$J1054,"Description","No.","@@"&amp;$K1054),"")</f>
        <v/>
      </c>
      <c r="O1054" s="43">
        <v>4200</v>
      </c>
      <c r="P1054" s="43">
        <v>0</v>
      </c>
      <c r="Q1054" s="43">
        <v>0</v>
      </c>
      <c r="R1054" s="43">
        <v>0</v>
      </c>
      <c r="S1054" s="43">
        <v>0</v>
      </c>
      <c r="T1054" s="43">
        <v>0</v>
      </c>
      <c r="U1054" s="56"/>
    </row>
    <row r="1055" spans="1:21" ht="17.25" customHeight="1" x14ac:dyDescent="0.3">
      <c r="A1055" s="15" t="s">
        <v>30</v>
      </c>
      <c r="C1055" s="19"/>
      <c r="D1055" s="33" t="str">
        <f t="shared" si="268"/>
        <v>E100012</v>
      </c>
      <c r="E1055" s="33"/>
      <c r="F1055" s="34"/>
      <c r="G1055" s="34" t="str">
        <f>"""NAV Direct"",""CRONUS JetCorp USA"",""32"",""1"",""167595"""</f>
        <v>"NAV Direct","CRONUS JetCorp USA","32","1","167595"</v>
      </c>
      <c r="H1055" s="40">
        <v>43466</v>
      </c>
      <c r="I1055" s="41">
        <v>167595</v>
      </c>
      <c r="J1055" s="42" t="str">
        <f>"Vendor"</f>
        <v>Vendor</v>
      </c>
      <c r="K1055" s="42" t="str">
        <f>"V100047"</f>
        <v>V100047</v>
      </c>
      <c r="L1055" s="42" t="str">
        <f>IF($J1055="Customer",_xll.NL("first",$J1055,"Name","No.","@@"&amp;$K1055),"")</f>
        <v/>
      </c>
      <c r="M1055" s="42" t="str">
        <f>"WoodMart Supply Co."</f>
        <v>WoodMart Supply Co.</v>
      </c>
      <c r="N1055" s="42" t="str">
        <f>IF($J1055="Item",_xll.NL("first",$J1055,"Description","No.","@@"&amp;$K1055),"")</f>
        <v/>
      </c>
      <c r="O1055" s="43">
        <v>400</v>
      </c>
      <c r="P1055" s="43">
        <v>0</v>
      </c>
      <c r="Q1055" s="43">
        <v>0</v>
      </c>
      <c r="R1055" s="43">
        <v>0</v>
      </c>
      <c r="S1055" s="43">
        <v>0</v>
      </c>
      <c r="T1055" s="43">
        <v>0</v>
      </c>
      <c r="U1055" s="56"/>
    </row>
    <row r="1056" spans="1:21" ht="17.25" customHeight="1" x14ac:dyDescent="0.3">
      <c r="A1056" s="15" t="s">
        <v>30</v>
      </c>
      <c r="C1056" s="19"/>
      <c r="D1056" s="33" t="str">
        <f t="shared" si="268"/>
        <v>E100012</v>
      </c>
      <c r="E1056" s="33"/>
      <c r="F1056" s="34"/>
      <c r="G1056" s="34" t="str">
        <f>"""NAV Direct"",""CRONUS JetCorp USA"",""32"",""1"",""167609"""</f>
        <v>"NAV Direct","CRONUS JetCorp USA","32","1","167609"</v>
      </c>
      <c r="H1056" s="40">
        <v>43466</v>
      </c>
      <c r="I1056" s="41">
        <v>167609</v>
      </c>
      <c r="J1056" s="42" t="str">
        <f>"Vendor"</f>
        <v>Vendor</v>
      </c>
      <c r="K1056" s="42" t="str">
        <f>"V100003"</f>
        <v>V100003</v>
      </c>
      <c r="L1056" s="42" t="str">
        <f>IF($J1056="Customer",_xll.NL("first",$J1056,"Name","No.","@@"&amp;$K1056),"")</f>
        <v/>
      </c>
      <c r="M1056" s="42" t="str">
        <f>"LogoMasters"</f>
        <v>LogoMasters</v>
      </c>
      <c r="N1056" s="42" t="str">
        <f>IF($J1056="Item",_xll.NL("first",$J1056,"Description","No.","@@"&amp;$K1056),"")</f>
        <v/>
      </c>
      <c r="O1056" s="43">
        <v>1400</v>
      </c>
      <c r="P1056" s="43">
        <v>0</v>
      </c>
      <c r="Q1056" s="43">
        <v>0</v>
      </c>
      <c r="R1056" s="43">
        <v>0</v>
      </c>
      <c r="S1056" s="43">
        <v>0</v>
      </c>
      <c r="T1056" s="43">
        <v>0</v>
      </c>
      <c r="U1056" s="56"/>
    </row>
    <row r="1057" spans="1:21" ht="17.25" customHeight="1" x14ac:dyDescent="0.3">
      <c r="A1057" s="15" t="s">
        <v>30</v>
      </c>
      <c r="C1057" s="19"/>
      <c r="D1057" s="33" t="str">
        <f t="shared" si="268"/>
        <v>E100012</v>
      </c>
      <c r="E1057" s="33"/>
      <c r="F1057" s="34"/>
      <c r="G1057" s="34" t="str">
        <f>"""NAV Direct"",""CRONUS JetCorp USA"",""32"",""1"",""64577"""</f>
        <v>"NAV Direct","CRONUS JetCorp USA","32","1","64577"</v>
      </c>
      <c r="H1057" s="40">
        <v>43469</v>
      </c>
      <c r="I1057" s="41">
        <v>64577</v>
      </c>
      <c r="J1057" s="42" t="str">
        <f>"Customer"</f>
        <v>Customer</v>
      </c>
      <c r="K1057" s="42" t="str">
        <f>"C100140"</f>
        <v>C100140</v>
      </c>
      <c r="L1057" s="42" t="str">
        <f>IF($J1057="Customer",_xll.NL("first",$J1057,"Name","No.","@@"&amp;$K1057),"")</f>
        <v>Super Daves</v>
      </c>
      <c r="M1057" s="42" t="str">
        <f>""</f>
        <v/>
      </c>
      <c r="N1057" s="42" t="str">
        <f>IF($J1057="Item",_xll.NL("first",$J1057,"Description","No.","@@"&amp;$K1057),"")</f>
        <v/>
      </c>
      <c r="O1057" s="43">
        <v>0</v>
      </c>
      <c r="P1057" s="43">
        <v>-144</v>
      </c>
      <c r="Q1057" s="43">
        <v>0</v>
      </c>
      <c r="R1057" s="43">
        <v>0</v>
      </c>
      <c r="S1057" s="43">
        <v>0</v>
      </c>
      <c r="T1057" s="43">
        <v>0</v>
      </c>
      <c r="U1057" s="56"/>
    </row>
    <row r="1058" spans="1:21" ht="17.25" customHeight="1" x14ac:dyDescent="0.3">
      <c r="A1058" s="15" t="s">
        <v>30</v>
      </c>
      <c r="C1058" s="19"/>
      <c r="D1058" s="33" t="str">
        <f t="shared" si="268"/>
        <v>E100012</v>
      </c>
      <c r="E1058" s="33"/>
      <c r="F1058" s="34"/>
      <c r="G1058" s="34" t="str">
        <f>"""NAV Direct"",""CRONUS JetCorp USA"",""32"",""1"",""34321"""</f>
        <v>"NAV Direct","CRONUS JetCorp USA","32","1","34321"</v>
      </c>
      <c r="H1058" s="40">
        <v>43470</v>
      </c>
      <c r="I1058" s="41">
        <v>34321</v>
      </c>
      <c r="J1058" s="42" t="str">
        <f>"Customer"</f>
        <v>Customer</v>
      </c>
      <c r="K1058" s="42" t="str">
        <f>"C100050"</f>
        <v>C100050</v>
      </c>
      <c r="L1058" s="42" t="str">
        <f>IF($J1058="Customer",_xll.NL("first",$J1058,"Name","No.","@@"&amp;$K1058),"")</f>
        <v>Lauritzen Kontorm¢bler A/S</v>
      </c>
      <c r="M1058" s="42" t="str">
        <f>""</f>
        <v/>
      </c>
      <c r="N1058" s="42" t="str">
        <f>IF($J1058="Item",_xll.NL("first",$J1058,"Description","No.","@@"&amp;$K1058),"")</f>
        <v/>
      </c>
      <c r="O1058" s="43">
        <v>0</v>
      </c>
      <c r="P1058" s="43">
        <v>-288</v>
      </c>
      <c r="Q1058" s="43">
        <v>0</v>
      </c>
      <c r="R1058" s="43">
        <v>0</v>
      </c>
      <c r="S1058" s="43">
        <v>0</v>
      </c>
      <c r="T1058" s="43">
        <v>0</v>
      </c>
      <c r="U1058" s="56"/>
    </row>
    <row r="1059" spans="1:21" ht="17.25" customHeight="1" x14ac:dyDescent="0.3">
      <c r="A1059" s="15" t="s">
        <v>30</v>
      </c>
      <c r="C1059" s="19"/>
      <c r="D1059" s="33" t="str">
        <f t="shared" si="268"/>
        <v>E100012</v>
      </c>
      <c r="E1059" s="33"/>
      <c r="F1059" s="34"/>
      <c r="G1059" s="34" t="str">
        <f>"""NAV Direct"",""CRONUS JetCorp USA"",""32"",""1"",""128879"""</f>
        <v>"NAV Direct","CRONUS JetCorp USA","32","1","128879"</v>
      </c>
      <c r="H1059" s="40">
        <v>43472</v>
      </c>
      <c r="I1059" s="41">
        <v>128879</v>
      </c>
      <c r="J1059" s="42" t="str">
        <f>"Customer"</f>
        <v>Customer</v>
      </c>
      <c r="K1059" s="42" t="str">
        <f>"C100105"</f>
        <v>C100105</v>
      </c>
      <c r="L1059" s="42" t="str">
        <f>IF($J1059="Customer",_xll.NL("first",$J1059,"Name","No.","@@"&amp;$K1059),"")</f>
        <v>Esystems</v>
      </c>
      <c r="M1059" s="42" t="str">
        <f>""</f>
        <v/>
      </c>
      <c r="N1059" s="42" t="str">
        <f>IF($J1059="Item",_xll.NL("first",$J1059,"Description","No.","@@"&amp;$K1059),"")</f>
        <v/>
      </c>
      <c r="O1059" s="43">
        <v>0</v>
      </c>
      <c r="P1059" s="43">
        <v>-1</v>
      </c>
      <c r="Q1059" s="43">
        <v>0</v>
      </c>
      <c r="R1059" s="43">
        <v>0</v>
      </c>
      <c r="S1059" s="43">
        <v>0</v>
      </c>
      <c r="T1059" s="43">
        <v>0</v>
      </c>
      <c r="U1059" s="56"/>
    </row>
    <row r="1060" spans="1:21" ht="17.25" customHeight="1" x14ac:dyDescent="0.3">
      <c r="A1060" s="15" t="s">
        <v>30</v>
      </c>
      <c r="C1060" s="19"/>
      <c r="D1060" s="33" t="str">
        <f t="shared" si="268"/>
        <v>E100012</v>
      </c>
      <c r="E1060" s="33"/>
      <c r="F1060" s="34"/>
      <c r="G1060" s="34" t="str">
        <f>"""NAV Direct"",""CRONUS JetCorp USA"",""32"",""1"",""44515"""</f>
        <v>"NAV Direct","CRONUS JetCorp USA","32","1","44515"</v>
      </c>
      <c r="H1060" s="40">
        <v>43473</v>
      </c>
      <c r="I1060" s="41">
        <v>44515</v>
      </c>
      <c r="J1060" s="42" t="str">
        <f>"Customer"</f>
        <v>Customer</v>
      </c>
      <c r="K1060" s="42" t="str">
        <f>"C100139"</f>
        <v>C100139</v>
      </c>
      <c r="L1060" s="42" t="str">
        <f>IF($J1060="Customer",_xll.NL("first",$J1060,"Name","No.","@@"&amp;$K1060),"")</f>
        <v>Gamma Ray's</v>
      </c>
      <c r="M1060" s="42" t="str">
        <f>""</f>
        <v/>
      </c>
      <c r="N1060" s="42" t="str">
        <f>IF($J1060="Item",_xll.NL("first",$J1060,"Description","No.","@@"&amp;$K1060),"")</f>
        <v/>
      </c>
      <c r="O1060" s="43">
        <v>0</v>
      </c>
      <c r="P1060" s="43">
        <v>-144</v>
      </c>
      <c r="Q1060" s="43">
        <v>0</v>
      </c>
      <c r="R1060" s="43">
        <v>0</v>
      </c>
      <c r="S1060" s="43">
        <v>0</v>
      </c>
      <c r="T1060" s="43">
        <v>0</v>
      </c>
      <c r="U1060" s="56"/>
    </row>
    <row r="1061" spans="1:21" ht="17.25" customHeight="1" x14ac:dyDescent="0.3">
      <c r="A1061" s="15" t="s">
        <v>30</v>
      </c>
      <c r="C1061" s="19"/>
      <c r="D1061" s="33" t="str">
        <f t="shared" si="268"/>
        <v>E100012</v>
      </c>
      <c r="E1061" s="33"/>
      <c r="F1061" s="34"/>
      <c r="G1061" s="34" t="str">
        <f>"""NAV Direct"",""CRONUS JetCorp USA"",""32"",""1"",""124546"""</f>
        <v>"NAV Direct","CRONUS JetCorp USA","32","1","124546"</v>
      </c>
      <c r="H1061" s="40">
        <v>43473</v>
      </c>
      <c r="I1061" s="41">
        <v>124546</v>
      </c>
      <c r="J1061" s="42" t="str">
        <f>"Customer"</f>
        <v>Customer</v>
      </c>
      <c r="K1061" s="42" t="str">
        <f>"C100035"</f>
        <v>C100035</v>
      </c>
      <c r="L1061" s="42" t="str">
        <f>IF($J1061="Customer",_xll.NL("first",$J1061,"Name","No.","@@"&amp;$K1061),"")</f>
        <v>First Touch Marketing</v>
      </c>
      <c r="M1061" s="42" t="str">
        <f>""</f>
        <v/>
      </c>
      <c r="N1061" s="42" t="str">
        <f>IF($J1061="Item",_xll.NL("first",$J1061,"Description","No.","@@"&amp;$K1061),"")</f>
        <v/>
      </c>
      <c r="O1061" s="43">
        <v>0</v>
      </c>
      <c r="P1061" s="43">
        <v>-288</v>
      </c>
      <c r="Q1061" s="43">
        <v>0</v>
      </c>
      <c r="R1061" s="43">
        <v>0</v>
      </c>
      <c r="S1061" s="43">
        <v>0</v>
      </c>
      <c r="T1061" s="43">
        <v>0</v>
      </c>
      <c r="U1061" s="56"/>
    </row>
    <row r="1062" spans="1:21" ht="17.25" customHeight="1" x14ac:dyDescent="0.3">
      <c r="A1062" s="15" t="s">
        <v>30</v>
      </c>
      <c r="C1062" s="19"/>
      <c r="D1062" s="33" t="str">
        <f t="shared" si="268"/>
        <v>E100012</v>
      </c>
      <c r="E1062" s="33"/>
      <c r="F1062" s="34"/>
      <c r="G1062" s="34" t="str">
        <f>"""NAV Direct"",""CRONUS JetCorp USA"",""32"",""1"",""20361"""</f>
        <v>"NAV Direct","CRONUS JetCorp USA","32","1","20361"</v>
      </c>
      <c r="H1062" s="40">
        <v>43475</v>
      </c>
      <c r="I1062" s="41">
        <v>20361</v>
      </c>
      <c r="J1062" s="42" t="str">
        <f>"Customer"</f>
        <v>Customer</v>
      </c>
      <c r="K1062" s="42" t="str">
        <f>"C100097"</f>
        <v>C100097</v>
      </c>
      <c r="L1062" s="42" t="str">
        <f>IF($J1062="Customer",_xll.NL("first",$J1062,"Name","No.","@@"&amp;$K1062),"")</f>
        <v>Solotech</v>
      </c>
      <c r="M1062" s="42" t="str">
        <f>""</f>
        <v/>
      </c>
      <c r="N1062" s="42" t="str">
        <f>IF($J1062="Item",_xll.NL("first",$J1062,"Description","No.","@@"&amp;$K1062),"")</f>
        <v/>
      </c>
      <c r="O1062" s="43">
        <v>0</v>
      </c>
      <c r="P1062" s="43">
        <v>-1</v>
      </c>
      <c r="Q1062" s="43">
        <v>0</v>
      </c>
      <c r="R1062" s="43">
        <v>0</v>
      </c>
      <c r="S1062" s="43">
        <v>0</v>
      </c>
      <c r="T1062" s="43">
        <v>0</v>
      </c>
      <c r="U1062" s="56"/>
    </row>
    <row r="1063" spans="1:21" ht="17.25" customHeight="1" x14ac:dyDescent="0.3">
      <c r="A1063" s="15" t="s">
        <v>30</v>
      </c>
      <c r="C1063" s="19"/>
      <c r="D1063" s="33" t="str">
        <f t="shared" si="268"/>
        <v>E100012</v>
      </c>
      <c r="E1063" s="33"/>
      <c r="F1063" s="34"/>
      <c r="G1063" s="34" t="str">
        <f>"""NAV Direct"",""CRONUS JetCorp USA"",""32"",""1"",""30115"""</f>
        <v>"NAV Direct","CRONUS JetCorp USA","32","1","30115"</v>
      </c>
      <c r="H1063" s="40">
        <v>43475</v>
      </c>
      <c r="I1063" s="41">
        <v>30115</v>
      </c>
      <c r="J1063" s="42" t="str">
        <f>"Customer"</f>
        <v>Customer</v>
      </c>
      <c r="K1063" s="42" t="str">
        <f>"C100012"</f>
        <v>C100012</v>
      </c>
      <c r="L1063" s="42" t="str">
        <f>IF($J1063="Customer",_xll.NL("first",$J1063,"Name","No.","@@"&amp;$K1063),"")</f>
        <v>Bainbridges</v>
      </c>
      <c r="M1063" s="42" t="str">
        <f>""</f>
        <v/>
      </c>
      <c r="N1063" s="42" t="str">
        <f>IF($J1063="Item",_xll.NL("first",$J1063,"Description","No.","@@"&amp;$K1063),"")</f>
        <v/>
      </c>
      <c r="O1063" s="43">
        <v>0</v>
      </c>
      <c r="P1063" s="43">
        <v>-144</v>
      </c>
      <c r="Q1063" s="43">
        <v>0</v>
      </c>
      <c r="R1063" s="43">
        <v>0</v>
      </c>
      <c r="S1063" s="43">
        <v>0</v>
      </c>
      <c r="T1063" s="43">
        <v>0</v>
      </c>
      <c r="U1063" s="56"/>
    </row>
    <row r="1064" spans="1:21" ht="17.25" customHeight="1" x14ac:dyDescent="0.3">
      <c r="A1064" s="15" t="s">
        <v>30</v>
      </c>
      <c r="C1064" s="19"/>
      <c r="D1064" s="33" t="str">
        <f t="shared" si="268"/>
        <v>E100012</v>
      </c>
      <c r="E1064" s="33"/>
      <c r="F1064" s="34"/>
      <c r="G1064" s="34" t="str">
        <f>"""NAV Direct"",""CRONUS JetCorp USA"",""32"",""1"",""34332"""</f>
        <v>"NAV Direct","CRONUS JetCorp USA","32","1","34332"</v>
      </c>
      <c r="H1064" s="40">
        <v>43475</v>
      </c>
      <c r="I1064" s="41">
        <v>34332</v>
      </c>
      <c r="J1064" s="42" t="str">
        <f>"Customer"</f>
        <v>Customer</v>
      </c>
      <c r="K1064" s="42" t="str">
        <f>"C100008"</f>
        <v>C100008</v>
      </c>
      <c r="L1064" s="42" t="str">
        <f>IF($J1064="Customer",_xll.NL("first",$J1064,"Name","No.","@@"&amp;$K1064),"")</f>
        <v>Blanemark Hifi Shop</v>
      </c>
      <c r="M1064" s="42" t="str">
        <f>""</f>
        <v/>
      </c>
      <c r="N1064" s="42" t="str">
        <f>IF($J1064="Item",_xll.NL("first",$J1064,"Description","No.","@@"&amp;$K1064),"")</f>
        <v/>
      </c>
      <c r="O1064" s="43">
        <v>0</v>
      </c>
      <c r="P1064" s="43">
        <v>-288</v>
      </c>
      <c r="Q1064" s="43">
        <v>0</v>
      </c>
      <c r="R1064" s="43">
        <v>0</v>
      </c>
      <c r="S1064" s="43">
        <v>0</v>
      </c>
      <c r="T1064" s="43">
        <v>0</v>
      </c>
      <c r="U1064" s="56"/>
    </row>
    <row r="1065" spans="1:21" ht="17.25" customHeight="1" x14ac:dyDescent="0.3">
      <c r="A1065" s="15" t="s">
        <v>30</v>
      </c>
      <c r="C1065" s="19"/>
      <c r="D1065" s="33" t="str">
        <f t="shared" si="268"/>
        <v>E100012</v>
      </c>
      <c r="E1065" s="33"/>
      <c r="F1065" s="34"/>
      <c r="G1065" s="34" t="str">
        <f>"""NAV Direct"",""CRONUS JetCorp USA"",""32"",""1"",""36479"""</f>
        <v>"NAV Direct","CRONUS JetCorp USA","32","1","36479"</v>
      </c>
      <c r="H1065" s="40">
        <v>43475</v>
      </c>
      <c r="I1065" s="41">
        <v>36479</v>
      </c>
      <c r="J1065" s="42" t="str">
        <f>"Customer"</f>
        <v>Customer</v>
      </c>
      <c r="K1065" s="42" t="str">
        <f>"C100063"</f>
        <v>C100063</v>
      </c>
      <c r="L1065" s="42" t="str">
        <f>IF($J1065="Customer",_xll.NL("first",$J1065,"Name","No.","@@"&amp;$K1065),"")</f>
        <v>Möbel Scherrer AG</v>
      </c>
      <c r="M1065" s="42" t="str">
        <f>""</f>
        <v/>
      </c>
      <c r="N1065" s="42" t="str">
        <f>IF($J1065="Item",_xll.NL("first",$J1065,"Description","No.","@@"&amp;$K1065),"")</f>
        <v/>
      </c>
      <c r="O1065" s="43">
        <v>0</v>
      </c>
      <c r="P1065" s="43">
        <v>-288</v>
      </c>
      <c r="Q1065" s="43">
        <v>0</v>
      </c>
      <c r="R1065" s="43">
        <v>0</v>
      </c>
      <c r="S1065" s="43">
        <v>0</v>
      </c>
      <c r="T1065" s="43">
        <v>0</v>
      </c>
      <c r="U1065" s="56"/>
    </row>
    <row r="1066" spans="1:21" ht="17.25" customHeight="1" x14ac:dyDescent="0.3">
      <c r="A1066" s="15" t="s">
        <v>30</v>
      </c>
      <c r="C1066" s="19"/>
      <c r="D1066" s="33" t="str">
        <f t="shared" si="268"/>
        <v>E100012</v>
      </c>
      <c r="E1066" s="33"/>
      <c r="F1066" s="34"/>
      <c r="G1066" s="34" t="str">
        <f>"""NAV Direct"",""CRONUS JetCorp USA"",""32"",""1"",""124596"""</f>
        <v>"NAV Direct","CRONUS JetCorp USA","32","1","124596"</v>
      </c>
      <c r="H1066" s="40">
        <v>43475</v>
      </c>
      <c r="I1066" s="41">
        <v>124596</v>
      </c>
      <c r="J1066" s="42" t="str">
        <f>"Customer"</f>
        <v>Customer</v>
      </c>
      <c r="K1066" s="42" t="str">
        <f>"C100035"</f>
        <v>C100035</v>
      </c>
      <c r="L1066" s="42" t="str">
        <f>IF($J1066="Customer",_xll.NL("first",$J1066,"Name","No.","@@"&amp;$K1066),"")</f>
        <v>First Touch Marketing</v>
      </c>
      <c r="M1066" s="42" t="str">
        <f>""</f>
        <v/>
      </c>
      <c r="N1066" s="42" t="str">
        <f>IF($J1066="Item",_xll.NL("first",$J1066,"Description","No.","@@"&amp;$K1066),"")</f>
        <v/>
      </c>
      <c r="O1066" s="43">
        <v>0</v>
      </c>
      <c r="P1066" s="43">
        <v>-6</v>
      </c>
      <c r="Q1066" s="43">
        <v>0</v>
      </c>
      <c r="R1066" s="43">
        <v>0</v>
      </c>
      <c r="S1066" s="43">
        <v>0</v>
      </c>
      <c r="T1066" s="43">
        <v>0</v>
      </c>
      <c r="U1066" s="56"/>
    </row>
    <row r="1067" spans="1:21" ht="17.25" customHeight="1" x14ac:dyDescent="0.3">
      <c r="A1067" s="15" t="s">
        <v>30</v>
      </c>
      <c r="C1067" s="19"/>
      <c r="D1067" s="33" t="str">
        <f t="shared" si="268"/>
        <v>E100012</v>
      </c>
      <c r="E1067" s="33"/>
      <c r="F1067" s="34"/>
      <c r="G1067" s="34" t="str">
        <f>"""NAV Direct"",""CRONUS JetCorp USA"",""32"",""1"",""153181"""</f>
        <v>"NAV Direct","CRONUS JetCorp USA","32","1","153181"</v>
      </c>
      <c r="H1067" s="40">
        <v>43475</v>
      </c>
      <c r="I1067" s="41">
        <v>153181</v>
      </c>
      <c r="J1067" s="42" t="str">
        <f>"Customer"</f>
        <v>Customer</v>
      </c>
      <c r="K1067" s="42" t="str">
        <f>"C100108"</f>
        <v>C100108</v>
      </c>
      <c r="L1067" s="42" t="str">
        <f>IF($J1067="Customer",_xll.NL("first",$J1067,"Name","No.","@@"&amp;$K1067),"")</f>
        <v>Kinfix Industries</v>
      </c>
      <c r="M1067" s="42" t="str">
        <f>""</f>
        <v/>
      </c>
      <c r="N1067" s="42" t="str">
        <f>IF($J1067="Item",_xll.NL("first",$J1067,"Description","No.","@@"&amp;$K1067),"")</f>
        <v/>
      </c>
      <c r="O1067" s="43">
        <v>0</v>
      </c>
      <c r="P1067" s="43">
        <v>-144</v>
      </c>
      <c r="Q1067" s="43">
        <v>0</v>
      </c>
      <c r="R1067" s="43">
        <v>0</v>
      </c>
      <c r="S1067" s="43">
        <v>0</v>
      </c>
      <c r="T1067" s="43">
        <v>0</v>
      </c>
      <c r="U1067" s="56"/>
    </row>
    <row r="1068" spans="1:21" ht="17.25" customHeight="1" x14ac:dyDescent="0.3">
      <c r="A1068" s="15" t="s">
        <v>30</v>
      </c>
      <c r="C1068" s="19"/>
      <c r="D1068" s="33" t="str">
        <f t="shared" si="268"/>
        <v>E100012</v>
      </c>
      <c r="E1068" s="33"/>
      <c r="F1068" s="34"/>
      <c r="G1068" s="34" t="str">
        <f>"""NAV Direct"",""CRONUS JetCorp USA"",""32"",""1"",""25292"""</f>
        <v>"NAV Direct","CRONUS JetCorp USA","32","1","25292"</v>
      </c>
      <c r="H1068" s="40">
        <v>43477</v>
      </c>
      <c r="I1068" s="41">
        <v>25292</v>
      </c>
      <c r="J1068" s="42" t="str">
        <f>"Customer"</f>
        <v>Customer</v>
      </c>
      <c r="K1068" s="42" t="str">
        <f>"C100138"</f>
        <v>C100138</v>
      </c>
      <c r="L1068" s="42" t="str">
        <f>IF($J1068="Customer",_xll.NL("first",$J1068,"Name","No.","@@"&amp;$K1068),"")</f>
        <v>Dantons</v>
      </c>
      <c r="M1068" s="42" t="str">
        <f>""</f>
        <v/>
      </c>
      <c r="N1068" s="42" t="str">
        <f>IF($J1068="Item",_xll.NL("first",$J1068,"Description","No.","@@"&amp;$K1068),"")</f>
        <v/>
      </c>
      <c r="O1068" s="43">
        <v>0</v>
      </c>
      <c r="P1068" s="43">
        <v>-144</v>
      </c>
      <c r="Q1068" s="43">
        <v>0</v>
      </c>
      <c r="R1068" s="43">
        <v>0</v>
      </c>
      <c r="S1068" s="43">
        <v>0</v>
      </c>
      <c r="T1068" s="43">
        <v>0</v>
      </c>
      <c r="U1068" s="56"/>
    </row>
    <row r="1069" spans="1:21" ht="17.25" customHeight="1" x14ac:dyDescent="0.3">
      <c r="A1069" s="15" t="s">
        <v>30</v>
      </c>
      <c r="C1069" s="19"/>
      <c r="D1069" s="33" t="str">
        <f t="shared" si="268"/>
        <v>E100012</v>
      </c>
      <c r="E1069" s="33"/>
      <c r="F1069" s="34"/>
      <c r="G1069" s="34" t="str">
        <f>"""NAV Direct"",""CRONUS JetCorp USA"",""32"",""1"",""132525"""</f>
        <v>"NAV Direct","CRONUS JetCorp USA","32","1","132525"</v>
      </c>
      <c r="H1069" s="40">
        <v>43477</v>
      </c>
      <c r="I1069" s="41">
        <v>132525</v>
      </c>
      <c r="J1069" s="42" t="str">
        <f>"Customer"</f>
        <v>Customer</v>
      </c>
      <c r="K1069" s="42" t="str">
        <f>"C100082"</f>
        <v>C100082</v>
      </c>
      <c r="L1069" s="42" t="str">
        <f>IF($J1069="Customer",_xll.NL("first",$J1069,"Name","No.","@@"&amp;$K1069),"")</f>
        <v>Sporting Goods Emporium</v>
      </c>
      <c r="M1069" s="42" t="str">
        <f>""</f>
        <v/>
      </c>
      <c r="N1069" s="42" t="str">
        <f>IF($J1069="Item",_xll.NL("first",$J1069,"Description","No.","@@"&amp;$K1069),"")</f>
        <v/>
      </c>
      <c r="O1069" s="43">
        <v>0</v>
      </c>
      <c r="P1069" s="43">
        <v>-145</v>
      </c>
      <c r="Q1069" s="43">
        <v>0</v>
      </c>
      <c r="R1069" s="43">
        <v>0</v>
      </c>
      <c r="S1069" s="43">
        <v>0</v>
      </c>
      <c r="T1069" s="43">
        <v>0</v>
      </c>
      <c r="U1069" s="56"/>
    </row>
    <row r="1070" spans="1:21" ht="17.25" customHeight="1" x14ac:dyDescent="0.3">
      <c r="A1070" s="15" t="s">
        <v>30</v>
      </c>
      <c r="C1070" s="19"/>
      <c r="D1070" s="33" t="str">
        <f t="shared" si="268"/>
        <v>E100012</v>
      </c>
      <c r="E1070" s="33"/>
      <c r="F1070" s="34"/>
      <c r="G1070" s="34" t="str">
        <f>"""NAV Direct"",""CRONUS JetCorp USA"",""32"",""1"",""138736"""</f>
        <v>"NAV Direct","CRONUS JetCorp USA","32","1","138736"</v>
      </c>
      <c r="H1070" s="40">
        <v>43477</v>
      </c>
      <c r="I1070" s="41">
        <v>138736</v>
      </c>
      <c r="J1070" s="42" t="str">
        <f>"Customer"</f>
        <v>Customer</v>
      </c>
      <c r="K1070" s="42" t="str">
        <f>"C100021"</f>
        <v>C100021</v>
      </c>
      <c r="L1070" s="42" t="str">
        <f>IF($J1070="Customer",_xll.NL("first",$J1070,"Name","No.","@@"&amp;$K1070),"")</f>
        <v>Cronus Cardoxy Sales</v>
      </c>
      <c r="M1070" s="42" t="str">
        <f>""</f>
        <v/>
      </c>
      <c r="N1070" s="42" t="str">
        <f>IF($J1070="Item",_xll.NL("first",$J1070,"Description","No.","@@"&amp;$K1070),"")</f>
        <v/>
      </c>
      <c r="O1070" s="43">
        <v>0</v>
      </c>
      <c r="P1070" s="43">
        <v>-1</v>
      </c>
      <c r="Q1070" s="43">
        <v>0</v>
      </c>
      <c r="R1070" s="43">
        <v>0</v>
      </c>
      <c r="S1070" s="43">
        <v>0</v>
      </c>
      <c r="T1070" s="43">
        <v>0</v>
      </c>
      <c r="U1070" s="56"/>
    </row>
    <row r="1071" spans="1:21" ht="17.25" customHeight="1" x14ac:dyDescent="0.3">
      <c r="A1071" s="15" t="s">
        <v>30</v>
      </c>
      <c r="C1071" s="19"/>
      <c r="D1071" s="33"/>
      <c r="E1071" s="33"/>
      <c r="F1071" s="34"/>
      <c r="G1071" s="34"/>
      <c r="H1071" s="34"/>
      <c r="I1071" s="34"/>
      <c r="J1071" s="34"/>
      <c r="K1071" s="34"/>
      <c r="L1071" s="34"/>
      <c r="M1071" s="34"/>
      <c r="N1071" s="34"/>
      <c r="O1071" s="44"/>
      <c r="P1071" s="44"/>
      <c r="Q1071" s="44"/>
      <c r="R1071" s="44"/>
      <c r="S1071" s="44"/>
      <c r="T1071" s="44"/>
      <c r="U1071" s="57"/>
    </row>
    <row r="1072" spans="1:21" ht="17.25" customHeight="1" x14ac:dyDescent="0.3">
      <c r="A1072" s="15" t="s">
        <v>30</v>
      </c>
      <c r="C1072" s="19"/>
      <c r="D1072" s="33"/>
      <c r="E1072" s="33" t="s">
        <v>31</v>
      </c>
      <c r="F1072" s="34" t="s">
        <v>31</v>
      </c>
      <c r="G1072" s="34" t="s">
        <v>31</v>
      </c>
      <c r="H1072" s="34"/>
      <c r="I1072" s="34"/>
      <c r="J1072" s="34" t="s">
        <v>31</v>
      </c>
      <c r="K1072" s="34" t="s">
        <v>31</v>
      </c>
      <c r="L1072" s="34" t="s">
        <v>31</v>
      </c>
      <c r="M1072" s="34" t="s">
        <v>31</v>
      </c>
      <c r="N1072" s="34"/>
      <c r="U1072" s="58"/>
    </row>
    <row r="1073" spans="1:21" ht="20.25" customHeight="1" x14ac:dyDescent="0.35">
      <c r="A1073" s="15" t="s">
        <v>30</v>
      </c>
      <c r="C1073" s="19"/>
      <c r="D1073" s="35" t="str">
        <f t="shared" ref="D1073" si="269">E1073</f>
        <v>E100013</v>
      </c>
      <c r="E1073" s="36" t="str">
        <f>"E100013"</f>
        <v>E100013</v>
      </c>
      <c r="F1073" s="37" t="str">
        <f>"Clip-on Stopwatch"</f>
        <v>Clip-on Stopwatch</v>
      </c>
      <c r="G1073" s="37"/>
      <c r="H1073" s="38" t="str">
        <f>"EA"</f>
        <v>EA</v>
      </c>
      <c r="I1073" s="37"/>
      <c r="J1073" s="37"/>
      <c r="K1073" s="37"/>
      <c r="L1073" s="37"/>
      <c r="M1073" s="37"/>
      <c r="N1073" s="37"/>
      <c r="O1073" s="39">
        <f>(SUBTOTAL(9,O1074:O1088))</f>
        <v>6200</v>
      </c>
      <c r="P1073" s="39">
        <f>(SUBTOTAL(9,P1074:P1088))</f>
        <v>-1153</v>
      </c>
      <c r="Q1073" s="39">
        <f>(SUBTOTAL(9,Q1074:Q1088))</f>
        <v>0</v>
      </c>
      <c r="R1073" s="39">
        <f>(SUBTOTAL(9,R1074:R1088))</f>
        <v>0</v>
      </c>
      <c r="S1073" s="39">
        <f>(SUBTOTAL(9,S1074:S1088))</f>
        <v>0</v>
      </c>
      <c r="T1073" s="39">
        <f>(SUBTOTAL(9,T1074:T1088))</f>
        <v>0</v>
      </c>
      <c r="U1073" s="55">
        <f t="shared" ref="U1073" si="270">SUBTOTAL(9,O1074:T1088)</f>
        <v>5047</v>
      </c>
    </row>
    <row r="1074" spans="1:21" ht="17.25" customHeight="1" x14ac:dyDescent="0.3">
      <c r="A1074" s="15" t="s">
        <v>30</v>
      </c>
      <c r="C1074" s="19"/>
      <c r="D1074" s="33" t="str">
        <f t="shared" ref="D1074" si="271">D1073</f>
        <v>E100013</v>
      </c>
      <c r="E1074" s="33"/>
      <c r="F1074" s="34"/>
      <c r="G1074" s="34" t="str">
        <f>"""NAV Direct"",""CRONUS JetCorp USA"",""32"",""1"",""167517"""</f>
        <v>"NAV Direct","CRONUS JetCorp USA","32","1","167517"</v>
      </c>
      <c r="H1074" s="40">
        <v>43466</v>
      </c>
      <c r="I1074" s="41">
        <v>167517</v>
      </c>
      <c r="J1074" s="42" t="str">
        <f>"Vendor"</f>
        <v>Vendor</v>
      </c>
      <c r="K1074" s="42" t="str">
        <f>"V100009"</f>
        <v>V100009</v>
      </c>
      <c r="L1074" s="42" t="str">
        <f>IF($J1074="Customer",_xll.NL("first",$J1074,"Name","No.","@@"&amp;$K1074),"")</f>
        <v/>
      </c>
      <c r="M1074" s="42" t="str">
        <f>"Malay-Dan Export Unit Sdn Bhd"</f>
        <v>Malay-Dan Export Unit Sdn Bhd</v>
      </c>
      <c r="N1074" s="42" t="str">
        <f>IF($J1074="Item",_xll.NL("first",$J1074,"Description","No.","@@"&amp;$K1074),"")</f>
        <v/>
      </c>
      <c r="O1074" s="43">
        <v>200</v>
      </c>
      <c r="P1074" s="43">
        <v>0</v>
      </c>
      <c r="Q1074" s="43">
        <v>0</v>
      </c>
      <c r="R1074" s="43">
        <v>0</v>
      </c>
      <c r="S1074" s="43">
        <v>0</v>
      </c>
      <c r="T1074" s="43">
        <v>0</v>
      </c>
      <c r="U1074" s="56"/>
    </row>
    <row r="1075" spans="1:21" ht="17.25" customHeight="1" x14ac:dyDescent="0.3">
      <c r="A1075" s="15" t="s">
        <v>30</v>
      </c>
      <c r="C1075" s="19"/>
      <c r="D1075" s="33" t="str">
        <f t="shared" ref="D1075:D1087" si="272">D1074</f>
        <v>E100013</v>
      </c>
      <c r="E1075" s="33"/>
      <c r="F1075" s="34"/>
      <c r="G1075" s="34" t="str">
        <f>"""NAV Direct"",""CRONUS JetCorp USA"",""32"",""1"",""167534"""</f>
        <v>"NAV Direct","CRONUS JetCorp USA","32","1","167534"</v>
      </c>
      <c r="H1075" s="40">
        <v>43466</v>
      </c>
      <c r="I1075" s="41">
        <v>167534</v>
      </c>
      <c r="J1075" s="42" t="str">
        <f>"Vendor"</f>
        <v>Vendor</v>
      </c>
      <c r="K1075" s="42" t="str">
        <f>"V100040"</f>
        <v>V100040</v>
      </c>
      <c r="L1075" s="42" t="str">
        <f>IF($J1075="Customer",_xll.NL("first",$J1075,"Name","No.","@@"&amp;$K1075),"")</f>
        <v/>
      </c>
      <c r="M1075" s="42" t="str">
        <f>"Technische Betriebe Rotkreuz"</f>
        <v>Technische Betriebe Rotkreuz</v>
      </c>
      <c r="N1075" s="42" t="str">
        <f>IF($J1075="Item",_xll.NL("first",$J1075,"Description","No.","@@"&amp;$K1075),"")</f>
        <v/>
      </c>
      <c r="O1075" s="43">
        <v>999.99999999999989</v>
      </c>
      <c r="P1075" s="43">
        <v>0</v>
      </c>
      <c r="Q1075" s="43">
        <v>0</v>
      </c>
      <c r="R1075" s="43">
        <v>0</v>
      </c>
      <c r="S1075" s="43">
        <v>0</v>
      </c>
      <c r="T1075" s="43">
        <v>0</v>
      </c>
      <c r="U1075" s="56"/>
    </row>
    <row r="1076" spans="1:21" ht="17.25" customHeight="1" x14ac:dyDescent="0.3">
      <c r="A1076" s="15" t="s">
        <v>30</v>
      </c>
      <c r="C1076" s="19"/>
      <c r="D1076" s="33" t="str">
        <f t="shared" si="272"/>
        <v>E100013</v>
      </c>
      <c r="E1076" s="33"/>
      <c r="F1076" s="34"/>
      <c r="G1076" s="34" t="str">
        <f>"""NAV Direct"",""CRONUS JetCorp USA"",""32"",""1"",""167546"""</f>
        <v>"NAV Direct","CRONUS JetCorp USA","32","1","167546"</v>
      </c>
      <c r="H1076" s="40">
        <v>43466</v>
      </c>
      <c r="I1076" s="41">
        <v>167546</v>
      </c>
      <c r="J1076" s="42" t="str">
        <f>"Vendor"</f>
        <v>Vendor</v>
      </c>
      <c r="K1076" s="42" t="str">
        <f>"V100001"</f>
        <v>V100001</v>
      </c>
      <c r="L1076" s="42" t="str">
        <f>IF($J1076="Customer",_xll.NL("first",$J1076,"Name","No.","@@"&amp;$K1076),"")</f>
        <v/>
      </c>
      <c r="M1076" s="42" t="str">
        <f>"Greigner, Inc."</f>
        <v>Greigner, Inc.</v>
      </c>
      <c r="N1076" s="42" t="str">
        <f>IF($J1076="Item",_xll.NL("first",$J1076,"Description","No.","@@"&amp;$K1076),"")</f>
        <v/>
      </c>
      <c r="O1076" s="43">
        <v>200</v>
      </c>
      <c r="P1076" s="43">
        <v>0</v>
      </c>
      <c r="Q1076" s="43">
        <v>0</v>
      </c>
      <c r="R1076" s="43">
        <v>0</v>
      </c>
      <c r="S1076" s="43">
        <v>0</v>
      </c>
      <c r="T1076" s="43">
        <v>0</v>
      </c>
      <c r="U1076" s="56"/>
    </row>
    <row r="1077" spans="1:21" ht="17.25" customHeight="1" x14ac:dyDescent="0.3">
      <c r="A1077" s="15" t="s">
        <v>30</v>
      </c>
      <c r="C1077" s="19"/>
      <c r="D1077" s="33" t="str">
        <f t="shared" si="272"/>
        <v>E100013</v>
      </c>
      <c r="E1077" s="33"/>
      <c r="F1077" s="34"/>
      <c r="G1077" s="34" t="str">
        <f>"""NAV Direct"",""CRONUS JetCorp USA"",""32"",""1"",""167560"""</f>
        <v>"NAV Direct","CRONUS JetCorp USA","32","1","167560"</v>
      </c>
      <c r="H1077" s="40">
        <v>43466</v>
      </c>
      <c r="I1077" s="41">
        <v>167560</v>
      </c>
      <c r="J1077" s="42" t="str">
        <f>"Vendor"</f>
        <v>Vendor</v>
      </c>
      <c r="K1077" s="42" t="str">
        <f>"V100007"</f>
        <v>V100007</v>
      </c>
      <c r="L1077" s="42" t="str">
        <f>IF($J1077="Customer",_xll.NL("first",$J1077,"Name","No.","@@"&amp;$K1077),"")</f>
        <v/>
      </c>
      <c r="M1077" s="42" t="str">
        <f>"TrendTech"</f>
        <v>TrendTech</v>
      </c>
      <c r="N1077" s="42" t="str">
        <f>IF($J1077="Item",_xll.NL("first",$J1077,"Description","No.","@@"&amp;$K1077),"")</f>
        <v/>
      </c>
      <c r="O1077" s="43">
        <v>999.99999999999989</v>
      </c>
      <c r="P1077" s="43">
        <v>0</v>
      </c>
      <c r="Q1077" s="43">
        <v>0</v>
      </c>
      <c r="R1077" s="43">
        <v>0</v>
      </c>
      <c r="S1077" s="43">
        <v>0</v>
      </c>
      <c r="T1077" s="43">
        <v>0</v>
      </c>
      <c r="U1077" s="56"/>
    </row>
    <row r="1078" spans="1:21" ht="17.25" customHeight="1" x14ac:dyDescent="0.3">
      <c r="A1078" s="15" t="s">
        <v>30</v>
      </c>
      <c r="C1078" s="19"/>
      <c r="D1078" s="33" t="str">
        <f t="shared" si="272"/>
        <v>E100013</v>
      </c>
      <c r="E1078" s="33"/>
      <c r="F1078" s="34"/>
      <c r="G1078" s="34" t="str">
        <f>"""NAV Direct"",""CRONUS JetCorp USA"",""32"",""1"",""167579"""</f>
        <v>"NAV Direct","CRONUS JetCorp USA","32","1","167579"</v>
      </c>
      <c r="H1078" s="40">
        <v>43466</v>
      </c>
      <c r="I1078" s="41">
        <v>167579</v>
      </c>
      <c r="J1078" s="42" t="str">
        <f>"Vendor"</f>
        <v>Vendor</v>
      </c>
      <c r="K1078" s="42" t="str">
        <f>"V100001"</f>
        <v>V100001</v>
      </c>
      <c r="L1078" s="42" t="str">
        <f>IF($J1078="Customer",_xll.NL("first",$J1078,"Name","No.","@@"&amp;$K1078),"")</f>
        <v/>
      </c>
      <c r="M1078" s="42" t="str">
        <f>"Greigner, Inc."</f>
        <v>Greigner, Inc.</v>
      </c>
      <c r="N1078" s="42" t="str">
        <f>IF($J1078="Item",_xll.NL("first",$J1078,"Description","No.","@@"&amp;$K1078),"")</f>
        <v/>
      </c>
      <c r="O1078" s="43">
        <v>2800</v>
      </c>
      <c r="P1078" s="43">
        <v>0</v>
      </c>
      <c r="Q1078" s="43">
        <v>0</v>
      </c>
      <c r="R1078" s="43">
        <v>0</v>
      </c>
      <c r="S1078" s="43">
        <v>0</v>
      </c>
      <c r="T1078" s="43">
        <v>0</v>
      </c>
      <c r="U1078" s="56"/>
    </row>
    <row r="1079" spans="1:21" ht="17.25" customHeight="1" x14ac:dyDescent="0.3">
      <c r="A1079" s="15" t="s">
        <v>30</v>
      </c>
      <c r="C1079" s="19"/>
      <c r="D1079" s="33" t="str">
        <f t="shared" si="272"/>
        <v>E100013</v>
      </c>
      <c r="E1079" s="33"/>
      <c r="F1079" s="34"/>
      <c r="G1079" s="34" t="str">
        <f>"""NAV Direct"",""CRONUS JetCorp USA"",""32"",""1"",""167608"""</f>
        <v>"NAV Direct","CRONUS JetCorp USA","32","1","167608"</v>
      </c>
      <c r="H1079" s="40">
        <v>43466</v>
      </c>
      <c r="I1079" s="41">
        <v>167608</v>
      </c>
      <c r="J1079" s="42" t="str">
        <f>"Vendor"</f>
        <v>Vendor</v>
      </c>
      <c r="K1079" s="42" t="str">
        <f>"V100003"</f>
        <v>V100003</v>
      </c>
      <c r="L1079" s="42" t="str">
        <f>IF($J1079="Customer",_xll.NL("first",$J1079,"Name","No.","@@"&amp;$K1079),"")</f>
        <v/>
      </c>
      <c r="M1079" s="42" t="str">
        <f>"LogoMasters"</f>
        <v>LogoMasters</v>
      </c>
      <c r="N1079" s="42" t="str">
        <f>IF($J1079="Item",_xll.NL("first",$J1079,"Description","No.","@@"&amp;$K1079),"")</f>
        <v/>
      </c>
      <c r="O1079" s="43">
        <v>999.99999999999989</v>
      </c>
      <c r="P1079" s="43">
        <v>0</v>
      </c>
      <c r="Q1079" s="43">
        <v>0</v>
      </c>
      <c r="R1079" s="43">
        <v>0</v>
      </c>
      <c r="S1079" s="43">
        <v>0</v>
      </c>
      <c r="T1079" s="43">
        <v>0</v>
      </c>
      <c r="U1079" s="56"/>
    </row>
    <row r="1080" spans="1:21" ht="17.25" customHeight="1" x14ac:dyDescent="0.3">
      <c r="A1080" s="15" t="s">
        <v>30</v>
      </c>
      <c r="C1080" s="19"/>
      <c r="D1080" s="33" t="str">
        <f t="shared" si="272"/>
        <v>E100013</v>
      </c>
      <c r="E1080" s="33"/>
      <c r="F1080" s="34"/>
      <c r="G1080" s="34" t="str">
        <f>"""NAV Direct"",""CRONUS JetCorp USA"",""32"",""1"",""72514"""</f>
        <v>"NAV Direct","CRONUS JetCorp USA","32","1","72514"</v>
      </c>
      <c r="H1080" s="40">
        <v>43471</v>
      </c>
      <c r="I1080" s="41">
        <v>72514</v>
      </c>
      <c r="J1080" s="42" t="str">
        <f>"Customer"</f>
        <v>Customer</v>
      </c>
      <c r="K1080" s="42" t="str">
        <f>"C100107"</f>
        <v>C100107</v>
      </c>
      <c r="L1080" s="42" t="str">
        <f>IF($J1080="Customer",_xll.NL("first",$J1080,"Name","No.","@@"&amp;$K1080),"")</f>
        <v>Lexitechnology</v>
      </c>
      <c r="M1080" s="42" t="str">
        <f>""</f>
        <v/>
      </c>
      <c r="N1080" s="42" t="str">
        <f>IF($J1080="Item",_xll.NL("first",$J1080,"Description","No.","@@"&amp;$K1080),"")</f>
        <v/>
      </c>
      <c r="O1080" s="43">
        <v>0</v>
      </c>
      <c r="P1080" s="43">
        <v>-144</v>
      </c>
      <c r="Q1080" s="43">
        <v>0</v>
      </c>
      <c r="R1080" s="43">
        <v>0</v>
      </c>
      <c r="S1080" s="43">
        <v>0</v>
      </c>
      <c r="T1080" s="43">
        <v>0</v>
      </c>
      <c r="U1080" s="56"/>
    </row>
    <row r="1081" spans="1:21" ht="17.25" customHeight="1" x14ac:dyDescent="0.3">
      <c r="A1081" s="15" t="s">
        <v>30</v>
      </c>
      <c r="C1081" s="19"/>
      <c r="D1081" s="33" t="str">
        <f t="shared" si="272"/>
        <v>E100013</v>
      </c>
      <c r="E1081" s="33"/>
      <c r="F1081" s="34"/>
      <c r="G1081" s="34" t="str">
        <f>"""NAV Direct"",""CRONUS JetCorp USA"",""32"",""1"",""142550"""</f>
        <v>"NAV Direct","CRONUS JetCorp USA","32","1","142550"</v>
      </c>
      <c r="H1081" s="40">
        <v>43472</v>
      </c>
      <c r="I1081" s="41">
        <v>142550</v>
      </c>
      <c r="J1081" s="42" t="str">
        <f>"Customer"</f>
        <v>Customer</v>
      </c>
      <c r="K1081" s="42" t="str">
        <f>"C100100"</f>
        <v>C100100</v>
      </c>
      <c r="L1081" s="42" t="str">
        <f>IF($J1081="Customer",_xll.NL("first",$J1081,"Name","No.","@@"&amp;$K1081),"")</f>
        <v>Keybase, Inc.</v>
      </c>
      <c r="M1081" s="42" t="str">
        <f>""</f>
        <v/>
      </c>
      <c r="N1081" s="42" t="str">
        <f>IF($J1081="Item",_xll.NL("first",$J1081,"Description","No.","@@"&amp;$K1081),"")</f>
        <v/>
      </c>
      <c r="O1081" s="43">
        <v>0</v>
      </c>
      <c r="P1081" s="43">
        <v>-144</v>
      </c>
      <c r="Q1081" s="43">
        <v>0</v>
      </c>
      <c r="R1081" s="43">
        <v>0</v>
      </c>
      <c r="S1081" s="43">
        <v>0</v>
      </c>
      <c r="T1081" s="43">
        <v>0</v>
      </c>
      <c r="U1081" s="56"/>
    </row>
    <row r="1082" spans="1:21" ht="17.25" customHeight="1" x14ac:dyDescent="0.3">
      <c r="A1082" s="15" t="s">
        <v>30</v>
      </c>
      <c r="C1082" s="19"/>
      <c r="D1082" s="33" t="str">
        <f t="shared" si="272"/>
        <v>E100013</v>
      </c>
      <c r="E1082" s="33"/>
      <c r="F1082" s="34"/>
      <c r="G1082" s="34" t="str">
        <f>"""NAV Direct"",""CRONUS JetCorp USA"",""32"",""1"",""124549"""</f>
        <v>"NAV Direct","CRONUS JetCorp USA","32","1","124549"</v>
      </c>
      <c r="H1082" s="40">
        <v>43473</v>
      </c>
      <c r="I1082" s="41">
        <v>124549</v>
      </c>
      <c r="J1082" s="42" t="str">
        <f>"Customer"</f>
        <v>Customer</v>
      </c>
      <c r="K1082" s="42" t="str">
        <f>"C100035"</f>
        <v>C100035</v>
      </c>
      <c r="L1082" s="42" t="str">
        <f>IF($J1082="Customer",_xll.NL("first",$J1082,"Name","No.","@@"&amp;$K1082),"")</f>
        <v>First Touch Marketing</v>
      </c>
      <c r="M1082" s="42" t="str">
        <f>""</f>
        <v/>
      </c>
      <c r="N1082" s="42" t="str">
        <f>IF($J1082="Item",_xll.NL("first",$J1082,"Description","No.","@@"&amp;$K1082),"")</f>
        <v/>
      </c>
      <c r="O1082" s="43">
        <v>0</v>
      </c>
      <c r="P1082" s="43">
        <v>-288</v>
      </c>
      <c r="Q1082" s="43">
        <v>0</v>
      </c>
      <c r="R1082" s="43">
        <v>0</v>
      </c>
      <c r="S1082" s="43">
        <v>0</v>
      </c>
      <c r="T1082" s="43">
        <v>0</v>
      </c>
      <c r="U1082" s="56"/>
    </row>
    <row r="1083" spans="1:21" ht="17.25" customHeight="1" x14ac:dyDescent="0.3">
      <c r="A1083" s="15" t="s">
        <v>30</v>
      </c>
      <c r="C1083" s="19"/>
      <c r="D1083" s="33" t="str">
        <f t="shared" si="272"/>
        <v>E100013</v>
      </c>
      <c r="E1083" s="33"/>
      <c r="F1083" s="34"/>
      <c r="G1083" s="34" t="str">
        <f>"""NAV Direct"",""CRONUS JetCorp USA"",""32"",""1"",""124531"""</f>
        <v>"NAV Direct","CRONUS JetCorp USA","32","1","124531"</v>
      </c>
      <c r="H1083" s="40">
        <v>43474</v>
      </c>
      <c r="I1083" s="41">
        <v>124531</v>
      </c>
      <c r="J1083" s="42" t="str">
        <f>"Customer"</f>
        <v>Customer</v>
      </c>
      <c r="K1083" s="42" t="str">
        <f>"C100145"</f>
        <v>C100145</v>
      </c>
      <c r="L1083" s="42" t="str">
        <f>IF($J1083="Customer",_xll.NL("first",$J1083,"Name","No.","@@"&amp;$K1083),"")</f>
        <v>Dicon Industries</v>
      </c>
      <c r="M1083" s="42" t="str">
        <f>""</f>
        <v/>
      </c>
      <c r="N1083" s="42" t="str">
        <f>IF($J1083="Item",_xll.NL("first",$J1083,"Description","No.","@@"&amp;$K1083),"")</f>
        <v/>
      </c>
      <c r="O1083" s="43">
        <v>0</v>
      </c>
      <c r="P1083" s="43">
        <v>-144</v>
      </c>
      <c r="Q1083" s="43">
        <v>0</v>
      </c>
      <c r="R1083" s="43">
        <v>0</v>
      </c>
      <c r="S1083" s="43">
        <v>0</v>
      </c>
      <c r="T1083" s="43">
        <v>0</v>
      </c>
      <c r="U1083" s="56"/>
    </row>
    <row r="1084" spans="1:21" ht="17.25" customHeight="1" x14ac:dyDescent="0.3">
      <c r="A1084" s="15" t="s">
        <v>30</v>
      </c>
      <c r="C1084" s="19"/>
      <c r="D1084" s="33" t="str">
        <f t="shared" si="272"/>
        <v>E100013</v>
      </c>
      <c r="E1084" s="33"/>
      <c r="F1084" s="34"/>
      <c r="G1084" s="34" t="str">
        <f>"""NAV Direct"",""CRONUS JetCorp USA"",""32"",""1"",""64619"""</f>
        <v>"NAV Direct","CRONUS JetCorp USA","32","1","64619"</v>
      </c>
      <c r="H1084" s="40">
        <v>43475</v>
      </c>
      <c r="I1084" s="41">
        <v>64619</v>
      </c>
      <c r="J1084" s="42" t="str">
        <f>"Customer"</f>
        <v>Customer</v>
      </c>
      <c r="K1084" s="42" t="str">
        <f>"C100136"</f>
        <v>C100136</v>
      </c>
      <c r="L1084" s="42" t="str">
        <f>IF($J1084="Customer",_xll.NL("first",$J1084,"Name","No.","@@"&amp;$K1084),"")</f>
        <v>First Bank</v>
      </c>
      <c r="M1084" s="42" t="str">
        <f>""</f>
        <v/>
      </c>
      <c r="N1084" s="42" t="str">
        <f>IF($J1084="Item",_xll.NL("first",$J1084,"Description","No.","@@"&amp;$K1084),"")</f>
        <v/>
      </c>
      <c r="O1084" s="43">
        <v>0</v>
      </c>
      <c r="P1084" s="43">
        <v>-144</v>
      </c>
      <c r="Q1084" s="43">
        <v>0</v>
      </c>
      <c r="R1084" s="43">
        <v>0</v>
      </c>
      <c r="S1084" s="43">
        <v>0</v>
      </c>
      <c r="T1084" s="43">
        <v>0</v>
      </c>
      <c r="U1084" s="56"/>
    </row>
    <row r="1085" spans="1:21" ht="17.25" customHeight="1" x14ac:dyDescent="0.3">
      <c r="A1085" s="15" t="s">
        <v>30</v>
      </c>
      <c r="C1085" s="19"/>
      <c r="D1085" s="33" t="str">
        <f t="shared" si="272"/>
        <v>E100013</v>
      </c>
      <c r="E1085" s="33"/>
      <c r="F1085" s="34"/>
      <c r="G1085" s="34" t="str">
        <f>"""NAV Direct"",""CRONUS JetCorp USA"",""32"",""1"",""38095"""</f>
        <v>"NAV Direct","CRONUS JetCorp USA","32","1","38095"</v>
      </c>
      <c r="H1085" s="40">
        <v>43477</v>
      </c>
      <c r="I1085" s="41">
        <v>38095</v>
      </c>
      <c r="J1085" s="42" t="str">
        <f>"Customer"</f>
        <v>Customer</v>
      </c>
      <c r="K1085" s="42" t="str">
        <f>"C100038"</f>
        <v>C100038</v>
      </c>
      <c r="L1085" s="42" t="str">
        <f>IF($J1085="Customer",_xll.NL("first",$J1085,"Name","No.","@@"&amp;$K1085),"")</f>
        <v>Gagn &amp; Gaman</v>
      </c>
      <c r="M1085" s="42" t="str">
        <f>""</f>
        <v/>
      </c>
      <c r="N1085" s="42" t="str">
        <f>IF($J1085="Item",_xll.NL("first",$J1085,"Description","No.","@@"&amp;$K1085),"")</f>
        <v/>
      </c>
      <c r="O1085" s="43">
        <v>0</v>
      </c>
      <c r="P1085" s="43">
        <v>-1</v>
      </c>
      <c r="Q1085" s="43">
        <v>0</v>
      </c>
      <c r="R1085" s="43">
        <v>0</v>
      </c>
      <c r="S1085" s="43">
        <v>0</v>
      </c>
      <c r="T1085" s="43">
        <v>0</v>
      </c>
      <c r="U1085" s="56"/>
    </row>
    <row r="1086" spans="1:21" ht="17.25" customHeight="1" x14ac:dyDescent="0.3">
      <c r="A1086" s="15" t="s">
        <v>30</v>
      </c>
      <c r="C1086" s="19"/>
      <c r="D1086" s="33" t="str">
        <f t="shared" si="272"/>
        <v>E100013</v>
      </c>
      <c r="E1086" s="33"/>
      <c r="F1086" s="34"/>
      <c r="G1086" s="34" t="str">
        <f>"""NAV Direct"",""CRONUS JetCorp USA"",""32"",""1"",""132528"""</f>
        <v>"NAV Direct","CRONUS JetCorp USA","32","1","132528"</v>
      </c>
      <c r="H1086" s="40">
        <v>43477</v>
      </c>
      <c r="I1086" s="41">
        <v>132528</v>
      </c>
      <c r="J1086" s="42" t="str">
        <f>"Customer"</f>
        <v>Customer</v>
      </c>
      <c r="K1086" s="42" t="str">
        <f>"C100082"</f>
        <v>C100082</v>
      </c>
      <c r="L1086" s="42" t="str">
        <f>IF($J1086="Customer",_xll.NL("first",$J1086,"Name","No.","@@"&amp;$K1086),"")</f>
        <v>Sporting Goods Emporium</v>
      </c>
      <c r="M1086" s="42" t="str">
        <f>""</f>
        <v/>
      </c>
      <c r="N1086" s="42" t="str">
        <f>IF($J1086="Item",_xll.NL("first",$J1086,"Description","No.","@@"&amp;$K1086),"")</f>
        <v/>
      </c>
      <c r="O1086" s="43">
        <v>0</v>
      </c>
      <c r="P1086" s="43">
        <v>-144</v>
      </c>
      <c r="Q1086" s="43">
        <v>0</v>
      </c>
      <c r="R1086" s="43">
        <v>0</v>
      </c>
      <c r="S1086" s="43">
        <v>0</v>
      </c>
      <c r="T1086" s="43">
        <v>0</v>
      </c>
      <c r="U1086" s="56"/>
    </row>
    <row r="1087" spans="1:21" ht="17.25" customHeight="1" x14ac:dyDescent="0.3">
      <c r="A1087" s="15" t="s">
        <v>30</v>
      </c>
      <c r="C1087" s="19"/>
      <c r="D1087" s="33" t="str">
        <f t="shared" si="272"/>
        <v>E100013</v>
      </c>
      <c r="E1087" s="33"/>
      <c r="F1087" s="34"/>
      <c r="G1087" s="34" t="str">
        <f>"""NAV Direct"",""CRONUS JetCorp USA"",""32"",""1"",""138727"""</f>
        <v>"NAV Direct","CRONUS JetCorp USA","32","1","138727"</v>
      </c>
      <c r="H1087" s="40">
        <v>43477</v>
      </c>
      <c r="I1087" s="41">
        <v>138727</v>
      </c>
      <c r="J1087" s="42" t="str">
        <f>"Customer"</f>
        <v>Customer</v>
      </c>
      <c r="K1087" s="42" t="str">
        <f>"C100021"</f>
        <v>C100021</v>
      </c>
      <c r="L1087" s="42" t="str">
        <f>IF($J1087="Customer",_xll.NL("first",$J1087,"Name","No.","@@"&amp;$K1087),"")</f>
        <v>Cronus Cardoxy Sales</v>
      </c>
      <c r="M1087" s="42" t="str">
        <f>""</f>
        <v/>
      </c>
      <c r="N1087" s="42" t="str">
        <f>IF($J1087="Item",_xll.NL("first",$J1087,"Description","No.","@@"&amp;$K1087),"")</f>
        <v/>
      </c>
      <c r="O1087" s="43">
        <v>0</v>
      </c>
      <c r="P1087" s="43">
        <v>-144</v>
      </c>
      <c r="Q1087" s="43">
        <v>0</v>
      </c>
      <c r="R1087" s="43">
        <v>0</v>
      </c>
      <c r="S1087" s="43">
        <v>0</v>
      </c>
      <c r="T1087" s="43">
        <v>0</v>
      </c>
      <c r="U1087" s="56"/>
    </row>
    <row r="1088" spans="1:21" ht="17.25" customHeight="1" x14ac:dyDescent="0.3">
      <c r="A1088" s="15" t="s">
        <v>30</v>
      </c>
      <c r="C1088" s="19"/>
      <c r="D1088" s="33"/>
      <c r="E1088" s="33"/>
      <c r="F1088" s="34"/>
      <c r="G1088" s="34"/>
      <c r="H1088" s="34"/>
      <c r="I1088" s="34"/>
      <c r="J1088" s="34"/>
      <c r="K1088" s="34"/>
      <c r="L1088" s="34"/>
      <c r="M1088" s="34"/>
      <c r="N1088" s="34"/>
      <c r="O1088" s="44"/>
      <c r="P1088" s="44"/>
      <c r="Q1088" s="44"/>
      <c r="R1088" s="44"/>
      <c r="S1088" s="44"/>
      <c r="T1088" s="44"/>
      <c r="U1088" s="57"/>
    </row>
    <row r="1089" spans="1:21" ht="17.25" customHeight="1" x14ac:dyDescent="0.3">
      <c r="A1089" s="15" t="s">
        <v>30</v>
      </c>
      <c r="C1089" s="19"/>
      <c r="D1089" s="33"/>
      <c r="E1089" s="33" t="s">
        <v>31</v>
      </c>
      <c r="F1089" s="34" t="s">
        <v>31</v>
      </c>
      <c r="G1089" s="34" t="s">
        <v>31</v>
      </c>
      <c r="H1089" s="34"/>
      <c r="I1089" s="34"/>
      <c r="J1089" s="34" t="s">
        <v>31</v>
      </c>
      <c r="K1089" s="34" t="s">
        <v>31</v>
      </c>
      <c r="L1089" s="34" t="s">
        <v>31</v>
      </c>
      <c r="M1089" s="34" t="s">
        <v>31</v>
      </c>
      <c r="N1089" s="34"/>
      <c r="U1089" s="58"/>
    </row>
    <row r="1090" spans="1:21" ht="20.25" customHeight="1" x14ac:dyDescent="0.35">
      <c r="A1090" s="15" t="s">
        <v>30</v>
      </c>
      <c r="C1090" s="19"/>
      <c r="D1090" s="35" t="str">
        <f t="shared" ref="D1090" si="273">E1090</f>
        <v>E100014</v>
      </c>
      <c r="E1090" s="36" t="str">
        <f>"E100014"</f>
        <v>E100014</v>
      </c>
      <c r="F1090" s="37" t="str">
        <f>"Stopwatch with Neck Rope"</f>
        <v>Stopwatch with Neck Rope</v>
      </c>
      <c r="G1090" s="37"/>
      <c r="H1090" s="38" t="str">
        <f>"EA"</f>
        <v>EA</v>
      </c>
      <c r="I1090" s="37"/>
      <c r="J1090" s="37"/>
      <c r="K1090" s="37"/>
      <c r="L1090" s="37"/>
      <c r="M1090" s="37"/>
      <c r="N1090" s="37"/>
      <c r="O1090" s="39">
        <f>(SUBTOTAL(9,O1091:O1113))</f>
        <v>6600</v>
      </c>
      <c r="P1090" s="39">
        <f>(SUBTOTAL(9,P1091:P1113))</f>
        <v>-1718</v>
      </c>
      <c r="Q1090" s="39">
        <f>(SUBTOTAL(9,Q1091:Q1113))</f>
        <v>0</v>
      </c>
      <c r="R1090" s="39">
        <f>(SUBTOTAL(9,R1091:R1113))</f>
        <v>0</v>
      </c>
      <c r="S1090" s="39">
        <f>(SUBTOTAL(9,S1091:S1113))</f>
        <v>0</v>
      </c>
      <c r="T1090" s="39">
        <f>(SUBTOTAL(9,T1091:T1113))</f>
        <v>0</v>
      </c>
      <c r="U1090" s="55">
        <f t="shared" ref="U1090" si="274">SUBTOTAL(9,O1091:T1113)</f>
        <v>4882</v>
      </c>
    </row>
    <row r="1091" spans="1:21" ht="17.25" customHeight="1" x14ac:dyDescent="0.3">
      <c r="A1091" s="15" t="s">
        <v>30</v>
      </c>
      <c r="C1091" s="19"/>
      <c r="D1091" s="33" t="str">
        <f t="shared" ref="D1091" si="275">D1090</f>
        <v>E100014</v>
      </c>
      <c r="E1091" s="33"/>
      <c r="F1091" s="34"/>
      <c r="G1091" s="34" t="str">
        <f>"""NAV Direct"",""CRONUS JetCorp USA"",""32"",""1"",""167516"""</f>
        <v>"NAV Direct","CRONUS JetCorp USA","32","1","167516"</v>
      </c>
      <c r="H1091" s="40">
        <v>43466</v>
      </c>
      <c r="I1091" s="41">
        <v>167516</v>
      </c>
      <c r="J1091" s="42" t="str">
        <f>"Vendor"</f>
        <v>Vendor</v>
      </c>
      <c r="K1091" s="42" t="str">
        <f>"V100009"</f>
        <v>V100009</v>
      </c>
      <c r="L1091" s="42" t="str">
        <f>IF($J1091="Customer",_xll.NL("first",$J1091,"Name","No.","@@"&amp;$K1091),"")</f>
        <v/>
      </c>
      <c r="M1091" s="42" t="str">
        <f>"Malay-Dan Export Unit Sdn Bhd"</f>
        <v>Malay-Dan Export Unit Sdn Bhd</v>
      </c>
      <c r="N1091" s="42" t="str">
        <f>IF($J1091="Item",_xll.NL("first",$J1091,"Description","No.","@@"&amp;$K1091),"")</f>
        <v/>
      </c>
      <c r="O1091" s="43">
        <v>600</v>
      </c>
      <c r="P1091" s="43">
        <v>0</v>
      </c>
      <c r="Q1091" s="43">
        <v>0</v>
      </c>
      <c r="R1091" s="43">
        <v>0</v>
      </c>
      <c r="S1091" s="43">
        <v>0</v>
      </c>
      <c r="T1091" s="43">
        <v>0</v>
      </c>
      <c r="U1091" s="56"/>
    </row>
    <row r="1092" spans="1:21" ht="17.25" customHeight="1" x14ac:dyDescent="0.3">
      <c r="A1092" s="15" t="s">
        <v>30</v>
      </c>
      <c r="C1092" s="19"/>
      <c r="D1092" s="33" t="str">
        <f t="shared" ref="D1092:D1112" si="276">D1091</f>
        <v>E100014</v>
      </c>
      <c r="E1092" s="33"/>
      <c r="F1092" s="34"/>
      <c r="G1092" s="34" t="str">
        <f>"""NAV Direct"",""CRONUS JetCorp USA"",""32"",""1"",""167533"""</f>
        <v>"NAV Direct","CRONUS JetCorp USA","32","1","167533"</v>
      </c>
      <c r="H1092" s="40">
        <v>43466</v>
      </c>
      <c r="I1092" s="41">
        <v>167533</v>
      </c>
      <c r="J1092" s="42" t="str">
        <f>"Vendor"</f>
        <v>Vendor</v>
      </c>
      <c r="K1092" s="42" t="str">
        <f>"V100040"</f>
        <v>V100040</v>
      </c>
      <c r="L1092" s="42" t="str">
        <f>IF($J1092="Customer",_xll.NL("first",$J1092,"Name","No.","@@"&amp;$K1092),"")</f>
        <v/>
      </c>
      <c r="M1092" s="42" t="str">
        <f>"Technische Betriebe Rotkreuz"</f>
        <v>Technische Betriebe Rotkreuz</v>
      </c>
      <c r="N1092" s="42" t="str">
        <f>IF($J1092="Item",_xll.NL("first",$J1092,"Description","No.","@@"&amp;$K1092),"")</f>
        <v/>
      </c>
      <c r="O1092" s="43">
        <v>1200</v>
      </c>
      <c r="P1092" s="43">
        <v>0</v>
      </c>
      <c r="Q1092" s="43">
        <v>0</v>
      </c>
      <c r="R1092" s="43">
        <v>0</v>
      </c>
      <c r="S1092" s="43">
        <v>0</v>
      </c>
      <c r="T1092" s="43">
        <v>0</v>
      </c>
      <c r="U1092" s="56"/>
    </row>
    <row r="1093" spans="1:21" ht="17.25" customHeight="1" x14ac:dyDescent="0.3">
      <c r="A1093" s="15" t="s">
        <v>30</v>
      </c>
      <c r="C1093" s="19"/>
      <c r="D1093" s="33" t="str">
        <f t="shared" si="276"/>
        <v>E100014</v>
      </c>
      <c r="E1093" s="33"/>
      <c r="F1093" s="34"/>
      <c r="G1093" s="34" t="str">
        <f>"""NAV Direct"",""CRONUS JetCorp USA"",""32"",""1"",""167545"""</f>
        <v>"NAV Direct","CRONUS JetCorp USA","32","1","167545"</v>
      </c>
      <c r="H1093" s="40">
        <v>43466</v>
      </c>
      <c r="I1093" s="41">
        <v>167545</v>
      </c>
      <c r="J1093" s="42" t="str">
        <f>"Vendor"</f>
        <v>Vendor</v>
      </c>
      <c r="K1093" s="42" t="str">
        <f>"V100001"</f>
        <v>V100001</v>
      </c>
      <c r="L1093" s="42" t="str">
        <f>IF($J1093="Customer",_xll.NL("first",$J1093,"Name","No.","@@"&amp;$K1093),"")</f>
        <v/>
      </c>
      <c r="M1093" s="42" t="str">
        <f>"Greigner, Inc."</f>
        <v>Greigner, Inc.</v>
      </c>
      <c r="N1093" s="42" t="str">
        <f>IF($J1093="Item",_xll.NL("first",$J1093,"Description","No.","@@"&amp;$K1093),"")</f>
        <v/>
      </c>
      <c r="O1093" s="43">
        <v>200</v>
      </c>
      <c r="P1093" s="43">
        <v>0</v>
      </c>
      <c r="Q1093" s="43">
        <v>0</v>
      </c>
      <c r="R1093" s="43">
        <v>0</v>
      </c>
      <c r="S1093" s="43">
        <v>0</v>
      </c>
      <c r="T1093" s="43">
        <v>0</v>
      </c>
      <c r="U1093" s="56"/>
    </row>
    <row r="1094" spans="1:21" ht="17.25" customHeight="1" x14ac:dyDescent="0.3">
      <c r="A1094" s="15" t="s">
        <v>30</v>
      </c>
      <c r="C1094" s="19"/>
      <c r="D1094" s="33" t="str">
        <f t="shared" si="276"/>
        <v>E100014</v>
      </c>
      <c r="E1094" s="33"/>
      <c r="F1094" s="34"/>
      <c r="G1094" s="34" t="str">
        <f>"""NAV Direct"",""CRONUS JetCorp USA"",""32"",""1"",""167559"""</f>
        <v>"NAV Direct","CRONUS JetCorp USA","32","1","167559"</v>
      </c>
      <c r="H1094" s="40">
        <v>43466</v>
      </c>
      <c r="I1094" s="41">
        <v>167559</v>
      </c>
      <c r="J1094" s="42" t="str">
        <f>"Vendor"</f>
        <v>Vendor</v>
      </c>
      <c r="K1094" s="42" t="str">
        <f>"V100007"</f>
        <v>V100007</v>
      </c>
      <c r="L1094" s="42" t="str">
        <f>IF($J1094="Customer",_xll.NL("first",$J1094,"Name","No.","@@"&amp;$K1094),"")</f>
        <v/>
      </c>
      <c r="M1094" s="42" t="str">
        <f>"TrendTech"</f>
        <v>TrendTech</v>
      </c>
      <c r="N1094" s="42" t="str">
        <f>IF($J1094="Item",_xll.NL("first",$J1094,"Description","No.","@@"&amp;$K1094),"")</f>
        <v/>
      </c>
      <c r="O1094" s="43">
        <v>200</v>
      </c>
      <c r="P1094" s="43">
        <v>0</v>
      </c>
      <c r="Q1094" s="43">
        <v>0</v>
      </c>
      <c r="R1094" s="43">
        <v>0</v>
      </c>
      <c r="S1094" s="43">
        <v>0</v>
      </c>
      <c r="T1094" s="43">
        <v>0</v>
      </c>
      <c r="U1094" s="56"/>
    </row>
    <row r="1095" spans="1:21" ht="17.25" customHeight="1" x14ac:dyDescent="0.3">
      <c r="A1095" s="15" t="s">
        <v>30</v>
      </c>
      <c r="C1095" s="19"/>
      <c r="D1095" s="33" t="str">
        <f t="shared" si="276"/>
        <v>E100014</v>
      </c>
      <c r="E1095" s="33"/>
      <c r="F1095" s="34"/>
      <c r="G1095" s="34" t="str">
        <f>"""NAV Direct"",""CRONUS JetCorp USA"",""32"",""1"",""167578"""</f>
        <v>"NAV Direct","CRONUS JetCorp USA","32","1","167578"</v>
      </c>
      <c r="H1095" s="40">
        <v>43466</v>
      </c>
      <c r="I1095" s="41">
        <v>167578</v>
      </c>
      <c r="J1095" s="42" t="str">
        <f>"Vendor"</f>
        <v>Vendor</v>
      </c>
      <c r="K1095" s="42" t="str">
        <f>"V100001"</f>
        <v>V100001</v>
      </c>
      <c r="L1095" s="42" t="str">
        <f>IF($J1095="Customer",_xll.NL("first",$J1095,"Name","No.","@@"&amp;$K1095),"")</f>
        <v/>
      </c>
      <c r="M1095" s="42" t="str">
        <f>"Greigner, Inc."</f>
        <v>Greigner, Inc.</v>
      </c>
      <c r="N1095" s="42" t="str">
        <f>IF($J1095="Item",_xll.NL("first",$J1095,"Description","No.","@@"&amp;$K1095),"")</f>
        <v/>
      </c>
      <c r="O1095" s="43">
        <v>3000</v>
      </c>
      <c r="P1095" s="43">
        <v>0</v>
      </c>
      <c r="Q1095" s="43">
        <v>0</v>
      </c>
      <c r="R1095" s="43">
        <v>0</v>
      </c>
      <c r="S1095" s="43">
        <v>0</v>
      </c>
      <c r="T1095" s="43">
        <v>0</v>
      </c>
      <c r="U1095" s="56"/>
    </row>
    <row r="1096" spans="1:21" ht="17.25" customHeight="1" x14ac:dyDescent="0.3">
      <c r="A1096" s="15" t="s">
        <v>30</v>
      </c>
      <c r="C1096" s="19"/>
      <c r="D1096" s="33" t="str">
        <f t="shared" si="276"/>
        <v>E100014</v>
      </c>
      <c r="E1096" s="33"/>
      <c r="F1096" s="34"/>
      <c r="G1096" s="34" t="str">
        <f>"""NAV Direct"",""CRONUS JetCorp USA"",""32"",""1"",""167594"""</f>
        <v>"NAV Direct","CRONUS JetCorp USA","32","1","167594"</v>
      </c>
      <c r="H1096" s="40">
        <v>43466</v>
      </c>
      <c r="I1096" s="41">
        <v>167594</v>
      </c>
      <c r="J1096" s="42" t="str">
        <f>"Vendor"</f>
        <v>Vendor</v>
      </c>
      <c r="K1096" s="42" t="str">
        <f>"V100047"</f>
        <v>V100047</v>
      </c>
      <c r="L1096" s="42" t="str">
        <f>IF($J1096="Customer",_xll.NL("first",$J1096,"Name","No.","@@"&amp;$K1096),"")</f>
        <v/>
      </c>
      <c r="M1096" s="42" t="str">
        <f>"WoodMart Supply Co."</f>
        <v>WoodMart Supply Co.</v>
      </c>
      <c r="N1096" s="42" t="str">
        <f>IF($J1096="Item",_xll.NL("first",$J1096,"Description","No.","@@"&amp;$K1096),"")</f>
        <v/>
      </c>
      <c r="O1096" s="43">
        <v>200</v>
      </c>
      <c r="P1096" s="43">
        <v>0</v>
      </c>
      <c r="Q1096" s="43">
        <v>0</v>
      </c>
      <c r="R1096" s="43">
        <v>0</v>
      </c>
      <c r="S1096" s="43">
        <v>0</v>
      </c>
      <c r="T1096" s="43">
        <v>0</v>
      </c>
      <c r="U1096" s="56"/>
    </row>
    <row r="1097" spans="1:21" ht="17.25" customHeight="1" x14ac:dyDescent="0.3">
      <c r="A1097" s="15" t="s">
        <v>30</v>
      </c>
      <c r="C1097" s="19"/>
      <c r="D1097" s="33" t="str">
        <f t="shared" si="276"/>
        <v>E100014</v>
      </c>
      <c r="E1097" s="33"/>
      <c r="F1097" s="34"/>
      <c r="G1097" s="34" t="str">
        <f>"""NAV Direct"",""CRONUS JetCorp USA"",""32"",""1"",""167607"""</f>
        <v>"NAV Direct","CRONUS JetCorp USA","32","1","167607"</v>
      </c>
      <c r="H1097" s="40">
        <v>43466</v>
      </c>
      <c r="I1097" s="41">
        <v>167607</v>
      </c>
      <c r="J1097" s="42" t="str">
        <f>"Vendor"</f>
        <v>Vendor</v>
      </c>
      <c r="K1097" s="42" t="str">
        <f>"V100003"</f>
        <v>V100003</v>
      </c>
      <c r="L1097" s="42" t="str">
        <f>IF($J1097="Customer",_xll.NL("first",$J1097,"Name","No.","@@"&amp;$K1097),"")</f>
        <v/>
      </c>
      <c r="M1097" s="42" t="str">
        <f>"LogoMasters"</f>
        <v>LogoMasters</v>
      </c>
      <c r="N1097" s="42" t="str">
        <f>IF($J1097="Item",_xll.NL("first",$J1097,"Description","No.","@@"&amp;$K1097),"")</f>
        <v/>
      </c>
      <c r="O1097" s="43">
        <v>999.99999999999989</v>
      </c>
      <c r="P1097" s="43">
        <v>0</v>
      </c>
      <c r="Q1097" s="43">
        <v>0</v>
      </c>
      <c r="R1097" s="43">
        <v>0</v>
      </c>
      <c r="S1097" s="43">
        <v>0</v>
      </c>
      <c r="T1097" s="43">
        <v>0</v>
      </c>
      <c r="U1097" s="56"/>
    </row>
    <row r="1098" spans="1:21" ht="17.25" customHeight="1" x14ac:dyDescent="0.3">
      <c r="A1098" s="15" t="s">
        <v>30</v>
      </c>
      <c r="C1098" s="19"/>
      <c r="D1098" s="33" t="str">
        <f t="shared" si="276"/>
        <v>E100014</v>
      </c>
      <c r="E1098" s="33"/>
      <c r="F1098" s="34"/>
      <c r="G1098" s="34" t="str">
        <f>"""NAV Direct"",""CRONUS JetCorp USA"",""32"",""1"",""167622"""</f>
        <v>"NAV Direct","CRONUS JetCorp USA","32","1","167622"</v>
      </c>
      <c r="H1098" s="40">
        <v>43466</v>
      </c>
      <c r="I1098" s="41">
        <v>167622</v>
      </c>
      <c r="J1098" s="42" t="str">
        <f>"Vendor"</f>
        <v>Vendor</v>
      </c>
      <c r="K1098" s="42" t="str">
        <f>"V100001"</f>
        <v>V100001</v>
      </c>
      <c r="L1098" s="42" t="str">
        <f>IF($J1098="Customer",_xll.NL("first",$J1098,"Name","No.","@@"&amp;$K1098),"")</f>
        <v/>
      </c>
      <c r="M1098" s="42" t="str">
        <f>"Greigner, Inc."</f>
        <v>Greigner, Inc.</v>
      </c>
      <c r="N1098" s="42" t="str">
        <f>IF($J1098="Item",_xll.NL("first",$J1098,"Description","No.","@@"&amp;$K1098),"")</f>
        <v/>
      </c>
      <c r="O1098" s="43">
        <v>200</v>
      </c>
      <c r="P1098" s="43">
        <v>0</v>
      </c>
      <c r="Q1098" s="43">
        <v>0</v>
      </c>
      <c r="R1098" s="43">
        <v>0</v>
      </c>
      <c r="S1098" s="43">
        <v>0</v>
      </c>
      <c r="T1098" s="43">
        <v>0</v>
      </c>
      <c r="U1098" s="56"/>
    </row>
    <row r="1099" spans="1:21" ht="17.25" customHeight="1" x14ac:dyDescent="0.3">
      <c r="A1099" s="15" t="s">
        <v>30</v>
      </c>
      <c r="C1099" s="19"/>
      <c r="D1099" s="33" t="str">
        <f t="shared" si="276"/>
        <v>E100014</v>
      </c>
      <c r="E1099" s="33"/>
      <c r="F1099" s="34"/>
      <c r="G1099" s="34" t="str">
        <f>"""NAV Direct"",""CRONUS JetCorp USA"",""32"",""1"",""78834"""</f>
        <v>"NAV Direct","CRONUS JetCorp USA","32","1","78834"</v>
      </c>
      <c r="H1099" s="40">
        <v>43468</v>
      </c>
      <c r="I1099" s="41">
        <v>78834</v>
      </c>
      <c r="J1099" s="42" t="str">
        <f>"Customer"</f>
        <v>Customer</v>
      </c>
      <c r="K1099" s="42" t="str">
        <f>"C100117"</f>
        <v>C100117</v>
      </c>
      <c r="L1099" s="42" t="str">
        <f>IF($J1099="Customer",_xll.NL("first",$J1099,"Name","No.","@@"&amp;$K1099),"")</f>
        <v xml:space="preserve">Tintax </v>
      </c>
      <c r="M1099" s="42" t="str">
        <f>""</f>
        <v/>
      </c>
      <c r="N1099" s="42" t="str">
        <f>IF($J1099="Item",_xll.NL("first",$J1099,"Description","No.","@@"&amp;$K1099),"")</f>
        <v/>
      </c>
      <c r="O1099" s="43">
        <v>0</v>
      </c>
      <c r="P1099" s="43">
        <v>-144</v>
      </c>
      <c r="Q1099" s="43">
        <v>0</v>
      </c>
      <c r="R1099" s="43">
        <v>0</v>
      </c>
      <c r="S1099" s="43">
        <v>0</v>
      </c>
      <c r="T1099" s="43">
        <v>0</v>
      </c>
      <c r="U1099" s="56"/>
    </row>
    <row r="1100" spans="1:21" ht="17.25" customHeight="1" x14ac:dyDescent="0.3">
      <c r="A1100" s="15" t="s">
        <v>30</v>
      </c>
      <c r="C1100" s="19"/>
      <c r="D1100" s="33" t="str">
        <f t="shared" si="276"/>
        <v>E100014</v>
      </c>
      <c r="E1100" s="33"/>
      <c r="F1100" s="34"/>
      <c r="G1100" s="34" t="str">
        <f>"""NAV Direct"",""CRONUS JetCorp USA"",""32"",""1"",""147990"""</f>
        <v>"NAV Direct","CRONUS JetCorp USA","32","1","147990"</v>
      </c>
      <c r="H1100" s="40">
        <v>43469</v>
      </c>
      <c r="I1100" s="41">
        <v>147990</v>
      </c>
      <c r="J1100" s="42" t="str">
        <f>"Customer"</f>
        <v>Customer</v>
      </c>
      <c r="K1100" s="42" t="str">
        <f>"C100096"</f>
        <v>C100096</v>
      </c>
      <c r="L1100" s="42" t="str">
        <f>IF($J1100="Customer",_xll.NL("first",$J1100,"Name","No.","@@"&amp;$K1100),"")</f>
        <v>D-Com Industries</v>
      </c>
      <c r="M1100" s="42" t="str">
        <f>""</f>
        <v/>
      </c>
      <c r="N1100" s="42" t="str">
        <f>IF($J1100="Item",_xll.NL("first",$J1100,"Description","No.","@@"&amp;$K1100),"")</f>
        <v/>
      </c>
      <c r="O1100" s="43">
        <v>0</v>
      </c>
      <c r="P1100" s="43">
        <v>-144</v>
      </c>
      <c r="Q1100" s="43">
        <v>0</v>
      </c>
      <c r="R1100" s="43">
        <v>0</v>
      </c>
      <c r="S1100" s="43">
        <v>0</v>
      </c>
      <c r="T1100" s="43">
        <v>0</v>
      </c>
      <c r="U1100" s="56"/>
    </row>
    <row r="1101" spans="1:21" ht="17.25" customHeight="1" x14ac:dyDescent="0.3">
      <c r="A1101" s="15" t="s">
        <v>30</v>
      </c>
      <c r="C1101" s="19"/>
      <c r="D1101" s="33" t="str">
        <f t="shared" si="276"/>
        <v>E100014</v>
      </c>
      <c r="E1101" s="33"/>
      <c r="F1101" s="34"/>
      <c r="G1101" s="34" t="str">
        <f>"""NAV Direct"",""CRONUS JetCorp USA"",""32"",""1"",""78847"""</f>
        <v>"NAV Direct","CRONUS JetCorp USA","32","1","78847"</v>
      </c>
      <c r="H1101" s="40">
        <v>43470</v>
      </c>
      <c r="I1101" s="41">
        <v>78847</v>
      </c>
      <c r="J1101" s="42" t="str">
        <f>"Customer"</f>
        <v>Customer</v>
      </c>
      <c r="K1101" s="42" t="str">
        <f>"C100117"</f>
        <v>C100117</v>
      </c>
      <c r="L1101" s="42" t="str">
        <f>IF($J1101="Customer",_xll.NL("first",$J1101,"Name","No.","@@"&amp;$K1101),"")</f>
        <v xml:space="preserve">Tintax </v>
      </c>
      <c r="M1101" s="42" t="str">
        <f>""</f>
        <v/>
      </c>
      <c r="N1101" s="42" t="str">
        <f>IF($J1101="Item",_xll.NL("first",$J1101,"Description","No.","@@"&amp;$K1101),"")</f>
        <v/>
      </c>
      <c r="O1101" s="43">
        <v>0</v>
      </c>
      <c r="P1101" s="43">
        <v>-144</v>
      </c>
      <c r="Q1101" s="43">
        <v>0</v>
      </c>
      <c r="R1101" s="43">
        <v>0</v>
      </c>
      <c r="S1101" s="43">
        <v>0</v>
      </c>
      <c r="T1101" s="43">
        <v>0</v>
      </c>
      <c r="U1101" s="56"/>
    </row>
    <row r="1102" spans="1:21" ht="17.25" customHeight="1" x14ac:dyDescent="0.3">
      <c r="A1102" s="15" t="s">
        <v>30</v>
      </c>
      <c r="C1102" s="19"/>
      <c r="D1102" s="33" t="str">
        <f t="shared" si="276"/>
        <v>E100014</v>
      </c>
      <c r="E1102" s="33"/>
      <c r="F1102" s="34"/>
      <c r="G1102" s="34" t="str">
        <f>"""NAV Direct"",""CRONUS JetCorp USA"",""32"",""1"",""132513"""</f>
        <v>"NAV Direct","CRONUS JetCorp USA","32","1","132513"</v>
      </c>
      <c r="H1102" s="40">
        <v>43470</v>
      </c>
      <c r="I1102" s="41">
        <v>132513</v>
      </c>
      <c r="J1102" s="42" t="str">
        <f>"Customer"</f>
        <v>Customer</v>
      </c>
      <c r="K1102" s="42" t="str">
        <f>"C100029"</f>
        <v>C100029</v>
      </c>
      <c r="L1102" s="42" t="str">
        <f>IF($J1102="Customer",_xll.NL("first",$J1102,"Name","No.","@@"&amp;$K1102),"")</f>
        <v>Elkhorn Airport</v>
      </c>
      <c r="M1102" s="42" t="str">
        <f>""</f>
        <v/>
      </c>
      <c r="N1102" s="42" t="str">
        <f>IF($J1102="Item",_xll.NL("first",$J1102,"Description","No.","@@"&amp;$K1102),"")</f>
        <v/>
      </c>
      <c r="O1102" s="43">
        <v>0</v>
      </c>
      <c r="P1102" s="43">
        <v>-144</v>
      </c>
      <c r="Q1102" s="43">
        <v>0</v>
      </c>
      <c r="R1102" s="43">
        <v>0</v>
      </c>
      <c r="S1102" s="43">
        <v>0</v>
      </c>
      <c r="T1102" s="43">
        <v>0</v>
      </c>
      <c r="U1102" s="56"/>
    </row>
    <row r="1103" spans="1:21" ht="17.25" customHeight="1" x14ac:dyDescent="0.3">
      <c r="A1103" s="15" t="s">
        <v>30</v>
      </c>
      <c r="C1103" s="19"/>
      <c r="D1103" s="33" t="str">
        <f t="shared" si="276"/>
        <v>E100014</v>
      </c>
      <c r="E1103" s="33"/>
      <c r="F1103" s="34"/>
      <c r="G1103" s="34" t="str">
        <f>"""NAV Direct"",""CRONUS JetCorp USA"",""32"",""1"",""30037"""</f>
        <v>"NAV Direct","CRONUS JetCorp USA","32","1","30037"</v>
      </c>
      <c r="H1103" s="40">
        <v>43471</v>
      </c>
      <c r="I1103" s="41">
        <v>30037</v>
      </c>
      <c r="J1103" s="42" t="str">
        <f>"Customer"</f>
        <v>Customer</v>
      </c>
      <c r="K1103" s="42" t="str">
        <f>"C100012"</f>
        <v>C100012</v>
      </c>
      <c r="L1103" s="42" t="str">
        <f>IF($J1103="Customer",_xll.NL("first",$J1103,"Name","No.","@@"&amp;$K1103),"")</f>
        <v>Bainbridges</v>
      </c>
      <c r="M1103" s="42" t="str">
        <f>""</f>
        <v/>
      </c>
      <c r="N1103" s="42" t="str">
        <f>IF($J1103="Item",_xll.NL("first",$J1103,"Description","No.","@@"&amp;$K1103),"")</f>
        <v/>
      </c>
      <c r="O1103" s="43">
        <v>0</v>
      </c>
      <c r="P1103" s="43">
        <v>-144</v>
      </c>
      <c r="Q1103" s="43">
        <v>0</v>
      </c>
      <c r="R1103" s="43">
        <v>0</v>
      </c>
      <c r="S1103" s="43">
        <v>0</v>
      </c>
      <c r="T1103" s="43">
        <v>0</v>
      </c>
      <c r="U1103" s="56"/>
    </row>
    <row r="1104" spans="1:21" ht="17.25" customHeight="1" x14ac:dyDescent="0.3">
      <c r="A1104" s="15" t="s">
        <v>30</v>
      </c>
      <c r="C1104" s="19"/>
      <c r="D1104" s="33" t="str">
        <f t="shared" si="276"/>
        <v>E100014</v>
      </c>
      <c r="E1104" s="33"/>
      <c r="F1104" s="34"/>
      <c r="G1104" s="34" t="str">
        <f>"""NAV Direct"",""CRONUS JetCorp USA"",""32"",""1"",""38082"""</f>
        <v>"NAV Direct","CRONUS JetCorp USA","32","1","38082"</v>
      </c>
      <c r="H1104" s="40">
        <v>43471</v>
      </c>
      <c r="I1104" s="41">
        <v>38082</v>
      </c>
      <c r="J1104" s="42" t="str">
        <f>"Customer"</f>
        <v>Customer</v>
      </c>
      <c r="K1104" s="42" t="str">
        <f>"C100013"</f>
        <v>C100013</v>
      </c>
      <c r="L1104" s="42" t="str">
        <f>IF($J1104="Customer",_xll.NL("first",$J1104,"Name","No.","@@"&amp;$K1104),"")</f>
        <v>Candoxy Kontor A/S</v>
      </c>
      <c r="M1104" s="42" t="str">
        <f>""</f>
        <v/>
      </c>
      <c r="N1104" s="42" t="str">
        <f>IF($J1104="Item",_xll.NL("first",$J1104,"Description","No.","@@"&amp;$K1104),"")</f>
        <v/>
      </c>
      <c r="O1104" s="43">
        <v>0</v>
      </c>
      <c r="P1104" s="43">
        <v>-1</v>
      </c>
      <c r="Q1104" s="43">
        <v>0</v>
      </c>
      <c r="R1104" s="43">
        <v>0</v>
      </c>
      <c r="S1104" s="43">
        <v>0</v>
      </c>
      <c r="T1104" s="43">
        <v>0</v>
      </c>
      <c r="U1104" s="56"/>
    </row>
    <row r="1105" spans="1:21" ht="17.25" customHeight="1" x14ac:dyDescent="0.3">
      <c r="A1105" s="15" t="s">
        <v>30</v>
      </c>
      <c r="C1105" s="19"/>
      <c r="D1105" s="33" t="str">
        <f t="shared" si="276"/>
        <v>E100014</v>
      </c>
      <c r="E1105" s="33"/>
      <c r="F1105" s="34"/>
      <c r="G1105" s="34" t="str">
        <f>"""NAV Direct"",""CRONUS JetCorp USA"",""32"",""1"",""64595"""</f>
        <v>"NAV Direct","CRONUS JetCorp USA","32","1","64595"</v>
      </c>
      <c r="H1105" s="40">
        <v>43472</v>
      </c>
      <c r="I1105" s="41">
        <v>64595</v>
      </c>
      <c r="J1105" s="42" t="str">
        <f>"Customer"</f>
        <v>Customer</v>
      </c>
      <c r="K1105" s="42" t="str">
        <f>"C100140"</f>
        <v>C100140</v>
      </c>
      <c r="L1105" s="42" t="str">
        <f>IF($J1105="Customer",_xll.NL("first",$J1105,"Name","No.","@@"&amp;$K1105),"")</f>
        <v>Super Daves</v>
      </c>
      <c r="M1105" s="42" t="str">
        <f>""</f>
        <v/>
      </c>
      <c r="N1105" s="42" t="str">
        <f>IF($J1105="Item",_xll.NL("first",$J1105,"Description","No.","@@"&amp;$K1105),"")</f>
        <v/>
      </c>
      <c r="O1105" s="43">
        <v>0</v>
      </c>
      <c r="P1105" s="43">
        <v>-288</v>
      </c>
      <c r="Q1105" s="43">
        <v>0</v>
      </c>
      <c r="R1105" s="43">
        <v>0</v>
      </c>
      <c r="S1105" s="43">
        <v>0</v>
      </c>
      <c r="T1105" s="43">
        <v>0</v>
      </c>
      <c r="U1105" s="56"/>
    </row>
    <row r="1106" spans="1:21" ht="17.25" customHeight="1" x14ac:dyDescent="0.3">
      <c r="A1106" s="15" t="s">
        <v>30</v>
      </c>
      <c r="C1106" s="19"/>
      <c r="D1106" s="33" t="str">
        <f t="shared" si="276"/>
        <v>E100014</v>
      </c>
      <c r="E1106" s="33"/>
      <c r="F1106" s="34"/>
      <c r="G1106" s="34" t="str">
        <f>"""NAV Direct"",""CRONUS JetCorp USA"",""32"",""1"",""20389"""</f>
        <v>"NAV Direct","CRONUS JetCorp USA","32","1","20389"</v>
      </c>
      <c r="H1106" s="40">
        <v>43473</v>
      </c>
      <c r="I1106" s="41">
        <v>20389</v>
      </c>
      <c r="J1106" s="42" t="str">
        <f>"Customer"</f>
        <v>Customer</v>
      </c>
      <c r="K1106" s="42" t="str">
        <f>"C100130"</f>
        <v>C100130</v>
      </c>
      <c r="L1106" s="42" t="str">
        <f>IF($J1106="Customer",_xll.NL("first",$J1106,"Name","No.","@@"&amp;$K1106),"")</f>
        <v>Hotspot Systems</v>
      </c>
      <c r="M1106" s="42" t="str">
        <f>""</f>
        <v/>
      </c>
      <c r="N1106" s="42" t="str">
        <f>IF($J1106="Item",_xll.NL("first",$J1106,"Description","No.","@@"&amp;$K1106),"")</f>
        <v/>
      </c>
      <c r="O1106" s="43">
        <v>0</v>
      </c>
      <c r="P1106" s="43">
        <v>-144</v>
      </c>
      <c r="Q1106" s="43">
        <v>0</v>
      </c>
      <c r="R1106" s="43">
        <v>0</v>
      </c>
      <c r="S1106" s="43">
        <v>0</v>
      </c>
      <c r="T1106" s="43">
        <v>0</v>
      </c>
      <c r="U1106" s="56"/>
    </row>
    <row r="1107" spans="1:21" ht="17.25" customHeight="1" x14ac:dyDescent="0.3">
      <c r="A1107" s="15" t="s">
        <v>30</v>
      </c>
      <c r="C1107" s="19"/>
      <c r="D1107" s="33" t="str">
        <f t="shared" si="276"/>
        <v>E100014</v>
      </c>
      <c r="E1107" s="33"/>
      <c r="F1107" s="34"/>
      <c r="G1107" s="34" t="str">
        <f>"""NAV Direct"",""CRONUS JetCorp USA"",""32"",""1"",""44524"""</f>
        <v>"NAV Direct","CRONUS JetCorp USA","32","1","44524"</v>
      </c>
      <c r="H1107" s="40">
        <v>43473</v>
      </c>
      <c r="I1107" s="41">
        <v>44524</v>
      </c>
      <c r="J1107" s="42" t="str">
        <f>"Customer"</f>
        <v>Customer</v>
      </c>
      <c r="K1107" s="42" t="str">
        <f>"C100139"</f>
        <v>C100139</v>
      </c>
      <c r="L1107" s="42" t="str">
        <f>IF($J1107="Customer",_xll.NL("first",$J1107,"Name","No.","@@"&amp;$K1107),"")</f>
        <v>Gamma Ray's</v>
      </c>
      <c r="M1107" s="42" t="str">
        <f>""</f>
        <v/>
      </c>
      <c r="N1107" s="42" t="str">
        <f>IF($J1107="Item",_xll.NL("first",$J1107,"Description","No.","@@"&amp;$K1107),"")</f>
        <v/>
      </c>
      <c r="O1107" s="43">
        <v>0</v>
      </c>
      <c r="P1107" s="43">
        <v>-144</v>
      </c>
      <c r="Q1107" s="43">
        <v>0</v>
      </c>
      <c r="R1107" s="43">
        <v>0</v>
      </c>
      <c r="S1107" s="43">
        <v>0</v>
      </c>
      <c r="T1107" s="43">
        <v>0</v>
      </c>
      <c r="U1107" s="56"/>
    </row>
    <row r="1108" spans="1:21" ht="17.25" customHeight="1" x14ac:dyDescent="0.3">
      <c r="A1108" s="15" t="s">
        <v>30</v>
      </c>
      <c r="C1108" s="19"/>
      <c r="D1108" s="33" t="str">
        <f t="shared" si="276"/>
        <v>E100014</v>
      </c>
      <c r="E1108" s="33"/>
      <c r="F1108" s="34"/>
      <c r="G1108" s="34" t="str">
        <f>"""NAV Direct"",""CRONUS JetCorp USA"",""32"",""1"",""124532"""</f>
        <v>"NAV Direct","CRONUS JetCorp USA","32","1","124532"</v>
      </c>
      <c r="H1108" s="40">
        <v>43474</v>
      </c>
      <c r="I1108" s="41">
        <v>124532</v>
      </c>
      <c r="J1108" s="42" t="str">
        <f>"Customer"</f>
        <v>Customer</v>
      </c>
      <c r="K1108" s="42" t="str">
        <f>"C100145"</f>
        <v>C100145</v>
      </c>
      <c r="L1108" s="42" t="str">
        <f>IF($J1108="Customer",_xll.NL("first",$J1108,"Name","No.","@@"&amp;$K1108),"")</f>
        <v>Dicon Industries</v>
      </c>
      <c r="M1108" s="42" t="str">
        <f>""</f>
        <v/>
      </c>
      <c r="N1108" s="42" t="str">
        <f>IF($J1108="Item",_xll.NL("first",$J1108,"Description","No.","@@"&amp;$K1108),"")</f>
        <v/>
      </c>
      <c r="O1108" s="43">
        <v>0</v>
      </c>
      <c r="P1108" s="43">
        <v>-144</v>
      </c>
      <c r="Q1108" s="43">
        <v>0</v>
      </c>
      <c r="R1108" s="43">
        <v>0</v>
      </c>
      <c r="S1108" s="43">
        <v>0</v>
      </c>
      <c r="T1108" s="43">
        <v>0</v>
      </c>
      <c r="U1108" s="56"/>
    </row>
    <row r="1109" spans="1:21" ht="17.25" customHeight="1" x14ac:dyDescent="0.3">
      <c r="A1109" s="15" t="s">
        <v>30</v>
      </c>
      <c r="C1109" s="19"/>
      <c r="D1109" s="33" t="str">
        <f t="shared" si="276"/>
        <v>E100014</v>
      </c>
      <c r="E1109" s="33"/>
      <c r="F1109" s="34"/>
      <c r="G1109" s="34" t="str">
        <f>"""NAV Direct"",""CRONUS JetCorp USA"",""32"",""1"",""135823"""</f>
        <v>"NAV Direct","CRONUS JetCorp USA","32","1","135823"</v>
      </c>
      <c r="H1109" s="40">
        <v>43474</v>
      </c>
      <c r="I1109" s="41">
        <v>135823</v>
      </c>
      <c r="J1109" s="42" t="str">
        <f>"Customer"</f>
        <v>Customer</v>
      </c>
      <c r="K1109" s="42" t="str">
        <f>"C100050"</f>
        <v>C100050</v>
      </c>
      <c r="L1109" s="42" t="str">
        <f>IF($J1109="Customer",_xll.NL("first",$J1109,"Name","No.","@@"&amp;$K1109),"")</f>
        <v>Lauritzen Kontorm¢bler A/S</v>
      </c>
      <c r="M1109" s="42" t="str">
        <f>""</f>
        <v/>
      </c>
      <c r="N1109" s="42" t="str">
        <f>IF($J1109="Item",_xll.NL("first",$J1109,"Description","No.","@@"&amp;$K1109),"")</f>
        <v/>
      </c>
      <c r="O1109" s="43">
        <v>0</v>
      </c>
      <c r="P1109" s="43">
        <v>-1</v>
      </c>
      <c r="Q1109" s="43">
        <v>0</v>
      </c>
      <c r="R1109" s="43">
        <v>0</v>
      </c>
      <c r="S1109" s="43">
        <v>0</v>
      </c>
      <c r="T1109" s="43">
        <v>0</v>
      </c>
      <c r="U1109" s="56"/>
    </row>
    <row r="1110" spans="1:21" ht="17.25" customHeight="1" x14ac:dyDescent="0.3">
      <c r="A1110" s="15" t="s">
        <v>30</v>
      </c>
      <c r="C1110" s="19"/>
      <c r="D1110" s="33" t="str">
        <f t="shared" si="276"/>
        <v>E100014</v>
      </c>
      <c r="E1110" s="33"/>
      <c r="F1110" s="34"/>
      <c r="G1110" s="34" t="str">
        <f>"""NAV Direct"",""CRONUS JetCorp USA"",""32"",""1"",""159985"""</f>
        <v>"NAV Direct","CRONUS JetCorp USA","32","1","159985"</v>
      </c>
      <c r="H1110" s="40">
        <v>43475</v>
      </c>
      <c r="I1110" s="41">
        <v>159985</v>
      </c>
      <c r="J1110" s="42" t="str">
        <f>"Customer"</f>
        <v>Customer</v>
      </c>
      <c r="K1110" s="42" t="str">
        <f>"C100058"</f>
        <v>C100058</v>
      </c>
      <c r="L1110" s="42" t="str">
        <f>IF($J1110="Customer",_xll.NL("first",$J1110,"Name","No.","@@"&amp;$K1110),"")</f>
        <v>Marsholm Karmstol</v>
      </c>
      <c r="M1110" s="42" t="str">
        <f>""</f>
        <v/>
      </c>
      <c r="N1110" s="42" t="str">
        <f>IF($J1110="Item",_xll.NL("first",$J1110,"Description","No.","@@"&amp;$K1110),"")</f>
        <v/>
      </c>
      <c r="O1110" s="43">
        <v>0</v>
      </c>
      <c r="P1110" s="43">
        <v>12</v>
      </c>
      <c r="Q1110" s="43">
        <v>0</v>
      </c>
      <c r="R1110" s="43">
        <v>0</v>
      </c>
      <c r="S1110" s="43">
        <v>0</v>
      </c>
      <c r="T1110" s="43">
        <v>0</v>
      </c>
      <c r="U1110" s="56"/>
    </row>
    <row r="1111" spans="1:21" ht="17.25" customHeight="1" x14ac:dyDescent="0.3">
      <c r="A1111" s="15" t="s">
        <v>30</v>
      </c>
      <c r="C1111" s="19"/>
      <c r="D1111" s="33" t="str">
        <f t="shared" si="276"/>
        <v>E100014</v>
      </c>
      <c r="E1111" s="33"/>
      <c r="F1111" s="34"/>
      <c r="G1111" s="34" t="str">
        <f>"""NAV Direct"",""CRONUS JetCorp USA"",""32"",""1"",""25294"""</f>
        <v>"NAV Direct","CRONUS JetCorp USA","32","1","25294"</v>
      </c>
      <c r="H1111" s="40">
        <v>43477</v>
      </c>
      <c r="I1111" s="41">
        <v>25294</v>
      </c>
      <c r="J1111" s="42" t="str">
        <f>"Customer"</f>
        <v>Customer</v>
      </c>
      <c r="K1111" s="42" t="str">
        <f>"C100138"</f>
        <v>C100138</v>
      </c>
      <c r="L1111" s="42" t="str">
        <f>IF($J1111="Customer",_xll.NL("first",$J1111,"Name","No.","@@"&amp;$K1111),"")</f>
        <v>Dantons</v>
      </c>
      <c r="M1111" s="42" t="str">
        <f>""</f>
        <v/>
      </c>
      <c r="N1111" s="42" t="str">
        <f>IF($J1111="Item",_xll.NL("first",$J1111,"Description","No.","@@"&amp;$K1111),"")</f>
        <v/>
      </c>
      <c r="O1111" s="43">
        <v>0</v>
      </c>
      <c r="P1111" s="43">
        <v>-144</v>
      </c>
      <c r="Q1111" s="43">
        <v>0</v>
      </c>
      <c r="R1111" s="43">
        <v>0</v>
      </c>
      <c r="S1111" s="43">
        <v>0</v>
      </c>
      <c r="T1111" s="43">
        <v>0</v>
      </c>
      <c r="U1111" s="56"/>
    </row>
    <row r="1112" spans="1:21" ht="17.25" customHeight="1" x14ac:dyDescent="0.3">
      <c r="A1112" s="15" t="s">
        <v>30</v>
      </c>
      <c r="C1112" s="19"/>
      <c r="D1112" s="33" t="str">
        <f t="shared" si="276"/>
        <v>E100014</v>
      </c>
      <c r="E1112" s="33"/>
      <c r="F1112" s="34"/>
      <c r="G1112" s="34" t="str">
        <f>"""NAV Direct"",""CRONUS JetCorp USA"",""32"",""1"",""138728"""</f>
        <v>"NAV Direct","CRONUS JetCorp USA","32","1","138728"</v>
      </c>
      <c r="H1112" s="40">
        <v>43477</v>
      </c>
      <c r="I1112" s="41">
        <v>138728</v>
      </c>
      <c r="J1112" s="42" t="str">
        <f>"Customer"</f>
        <v>Customer</v>
      </c>
      <c r="K1112" s="42" t="str">
        <f>"C100021"</f>
        <v>C100021</v>
      </c>
      <c r="L1112" s="42" t="str">
        <f>IF($J1112="Customer",_xll.NL("first",$J1112,"Name","No.","@@"&amp;$K1112),"")</f>
        <v>Cronus Cardoxy Sales</v>
      </c>
      <c r="M1112" s="42" t="str">
        <f>""</f>
        <v/>
      </c>
      <c r="N1112" s="42" t="str">
        <f>IF($J1112="Item",_xll.NL("first",$J1112,"Description","No.","@@"&amp;$K1112),"")</f>
        <v/>
      </c>
      <c r="O1112" s="43">
        <v>0</v>
      </c>
      <c r="P1112" s="43">
        <v>-144</v>
      </c>
      <c r="Q1112" s="43">
        <v>0</v>
      </c>
      <c r="R1112" s="43">
        <v>0</v>
      </c>
      <c r="S1112" s="43">
        <v>0</v>
      </c>
      <c r="T1112" s="43">
        <v>0</v>
      </c>
      <c r="U1112" s="56"/>
    </row>
    <row r="1113" spans="1:21" ht="17.25" customHeight="1" x14ac:dyDescent="0.3">
      <c r="A1113" s="15" t="s">
        <v>30</v>
      </c>
      <c r="C1113" s="19"/>
      <c r="D1113" s="33"/>
      <c r="E1113" s="33"/>
      <c r="F1113" s="34"/>
      <c r="G1113" s="34"/>
      <c r="H1113" s="34"/>
      <c r="I1113" s="34"/>
      <c r="J1113" s="34"/>
      <c r="K1113" s="34"/>
      <c r="L1113" s="34"/>
      <c r="M1113" s="34"/>
      <c r="N1113" s="34"/>
      <c r="O1113" s="44"/>
      <c r="P1113" s="44"/>
      <c r="Q1113" s="44"/>
      <c r="R1113" s="44"/>
      <c r="S1113" s="44"/>
      <c r="T1113" s="44"/>
      <c r="U1113" s="57"/>
    </row>
    <row r="1114" spans="1:21" ht="17.25" customHeight="1" x14ac:dyDescent="0.3">
      <c r="A1114" s="15" t="s">
        <v>30</v>
      </c>
      <c r="C1114" s="19"/>
      <c r="D1114" s="33"/>
      <c r="E1114" s="33" t="s">
        <v>31</v>
      </c>
      <c r="F1114" s="34" t="s">
        <v>31</v>
      </c>
      <c r="G1114" s="34" t="s">
        <v>31</v>
      </c>
      <c r="H1114" s="34"/>
      <c r="I1114" s="34"/>
      <c r="J1114" s="34" t="s">
        <v>31</v>
      </c>
      <c r="K1114" s="34" t="s">
        <v>31</v>
      </c>
      <c r="L1114" s="34" t="s">
        <v>31</v>
      </c>
      <c r="M1114" s="34" t="s">
        <v>31</v>
      </c>
      <c r="N1114" s="34"/>
      <c r="U1114" s="58"/>
    </row>
    <row r="1115" spans="1:21" ht="20.25" customHeight="1" x14ac:dyDescent="0.35">
      <c r="A1115" s="15" t="s">
        <v>30</v>
      </c>
      <c r="C1115" s="19"/>
      <c r="D1115" s="35" t="str">
        <f t="shared" ref="D1115" si="277">E1115</f>
        <v>E100015</v>
      </c>
      <c r="E1115" s="36" t="str">
        <f>"E100015"</f>
        <v>E100015</v>
      </c>
      <c r="F1115" s="37" t="str">
        <f>"360 Clip Watch"</f>
        <v>360 Clip Watch</v>
      </c>
      <c r="G1115" s="37"/>
      <c r="H1115" s="38" t="str">
        <f>"EA"</f>
        <v>EA</v>
      </c>
      <c r="I1115" s="37"/>
      <c r="J1115" s="37"/>
      <c r="K1115" s="37"/>
      <c r="L1115" s="37"/>
      <c r="M1115" s="37"/>
      <c r="N1115" s="37"/>
      <c r="O1115" s="39">
        <f>(SUBTOTAL(9,O1116:O1135))</f>
        <v>5600</v>
      </c>
      <c r="P1115" s="39">
        <f>(SUBTOTAL(9,P1116:P1135))</f>
        <v>-1643</v>
      </c>
      <c r="Q1115" s="39">
        <f>(SUBTOTAL(9,Q1116:Q1135))</f>
        <v>0</v>
      </c>
      <c r="R1115" s="39">
        <f>(SUBTOTAL(9,R1116:R1135))</f>
        <v>0</v>
      </c>
      <c r="S1115" s="39">
        <f>(SUBTOTAL(9,S1116:S1135))</f>
        <v>0</v>
      </c>
      <c r="T1115" s="39">
        <f>(SUBTOTAL(9,T1116:T1135))</f>
        <v>0</v>
      </c>
      <c r="U1115" s="55">
        <f t="shared" ref="U1115" si="278">SUBTOTAL(9,O1116:T1135)</f>
        <v>3957</v>
      </c>
    </row>
    <row r="1116" spans="1:21" ht="17.25" customHeight="1" x14ac:dyDescent="0.3">
      <c r="A1116" s="15" t="s">
        <v>30</v>
      </c>
      <c r="C1116" s="19"/>
      <c r="D1116" s="33" t="str">
        <f t="shared" ref="D1116" si="279">D1115</f>
        <v>E100015</v>
      </c>
      <c r="E1116" s="33"/>
      <c r="F1116" s="34"/>
      <c r="G1116" s="34" t="str">
        <f>"""NAV Direct"",""CRONUS JetCorp USA"",""32"",""1"",""167515"""</f>
        <v>"NAV Direct","CRONUS JetCorp USA","32","1","167515"</v>
      </c>
      <c r="H1116" s="40">
        <v>43466</v>
      </c>
      <c r="I1116" s="41">
        <v>167515</v>
      </c>
      <c r="J1116" s="42" t="str">
        <f>"Vendor"</f>
        <v>Vendor</v>
      </c>
      <c r="K1116" s="42" t="str">
        <f>"V100009"</f>
        <v>V100009</v>
      </c>
      <c r="L1116" s="42" t="str">
        <f>IF($J1116="Customer",_xll.NL("first",$J1116,"Name","No.","@@"&amp;$K1116),"")</f>
        <v/>
      </c>
      <c r="M1116" s="42" t="str">
        <f>"Malay-Dan Export Unit Sdn Bhd"</f>
        <v>Malay-Dan Export Unit Sdn Bhd</v>
      </c>
      <c r="N1116" s="42" t="str">
        <f>IF($J1116="Item",_xll.NL("first",$J1116,"Description","No.","@@"&amp;$K1116),"")</f>
        <v/>
      </c>
      <c r="O1116" s="43">
        <v>800</v>
      </c>
      <c r="P1116" s="43">
        <v>0</v>
      </c>
      <c r="Q1116" s="43">
        <v>0</v>
      </c>
      <c r="R1116" s="43">
        <v>0</v>
      </c>
      <c r="S1116" s="43">
        <v>0</v>
      </c>
      <c r="T1116" s="43">
        <v>0</v>
      </c>
      <c r="U1116" s="56"/>
    </row>
    <row r="1117" spans="1:21" ht="17.25" customHeight="1" x14ac:dyDescent="0.3">
      <c r="A1117" s="15" t="s">
        <v>30</v>
      </c>
      <c r="C1117" s="19"/>
      <c r="D1117" s="33" t="str">
        <f t="shared" ref="D1117:D1134" si="280">D1116</f>
        <v>E100015</v>
      </c>
      <c r="E1117" s="33"/>
      <c r="F1117" s="34"/>
      <c r="G1117" s="34" t="str">
        <f>"""NAV Direct"",""CRONUS JetCorp USA"",""32"",""1"",""167558"""</f>
        <v>"NAV Direct","CRONUS JetCorp USA","32","1","167558"</v>
      </c>
      <c r="H1117" s="40">
        <v>43466</v>
      </c>
      <c r="I1117" s="41">
        <v>167558</v>
      </c>
      <c r="J1117" s="42" t="str">
        <f>"Vendor"</f>
        <v>Vendor</v>
      </c>
      <c r="K1117" s="42" t="str">
        <f>"V100007"</f>
        <v>V100007</v>
      </c>
      <c r="L1117" s="42" t="str">
        <f>IF($J1117="Customer",_xll.NL("first",$J1117,"Name","No.","@@"&amp;$K1117),"")</f>
        <v/>
      </c>
      <c r="M1117" s="42" t="str">
        <f>"TrendTech"</f>
        <v>TrendTech</v>
      </c>
      <c r="N1117" s="42" t="str">
        <f>IF($J1117="Item",_xll.NL("first",$J1117,"Description","No.","@@"&amp;$K1117),"")</f>
        <v/>
      </c>
      <c r="O1117" s="43">
        <v>999.99999999999989</v>
      </c>
      <c r="P1117" s="43">
        <v>0</v>
      </c>
      <c r="Q1117" s="43">
        <v>0</v>
      </c>
      <c r="R1117" s="43">
        <v>0</v>
      </c>
      <c r="S1117" s="43">
        <v>0</v>
      </c>
      <c r="T1117" s="43">
        <v>0</v>
      </c>
      <c r="U1117" s="56"/>
    </row>
    <row r="1118" spans="1:21" ht="17.25" customHeight="1" x14ac:dyDescent="0.3">
      <c r="A1118" s="15" t="s">
        <v>30</v>
      </c>
      <c r="C1118" s="19"/>
      <c r="D1118" s="33" t="str">
        <f t="shared" si="280"/>
        <v>E100015</v>
      </c>
      <c r="E1118" s="33"/>
      <c r="F1118" s="34"/>
      <c r="G1118" s="34" t="str">
        <f>"""NAV Direct"",""CRONUS JetCorp USA"",""32"",""1"",""167577"""</f>
        <v>"NAV Direct","CRONUS JetCorp USA","32","1","167577"</v>
      </c>
      <c r="H1118" s="40">
        <v>43466</v>
      </c>
      <c r="I1118" s="41">
        <v>167577</v>
      </c>
      <c r="J1118" s="42" t="str">
        <f>"Vendor"</f>
        <v>Vendor</v>
      </c>
      <c r="K1118" s="42" t="str">
        <f>"V100001"</f>
        <v>V100001</v>
      </c>
      <c r="L1118" s="42" t="str">
        <f>IF($J1118="Customer",_xll.NL("first",$J1118,"Name","No.","@@"&amp;$K1118),"")</f>
        <v/>
      </c>
      <c r="M1118" s="42" t="str">
        <f>"Greigner, Inc."</f>
        <v>Greigner, Inc.</v>
      </c>
      <c r="N1118" s="42" t="str">
        <f>IF($J1118="Item",_xll.NL("first",$J1118,"Description","No.","@@"&amp;$K1118),"")</f>
        <v/>
      </c>
      <c r="O1118" s="43">
        <v>3200</v>
      </c>
      <c r="P1118" s="43">
        <v>0</v>
      </c>
      <c r="Q1118" s="43">
        <v>0</v>
      </c>
      <c r="R1118" s="43">
        <v>0</v>
      </c>
      <c r="S1118" s="43">
        <v>0</v>
      </c>
      <c r="T1118" s="43">
        <v>0</v>
      </c>
      <c r="U1118" s="56"/>
    </row>
    <row r="1119" spans="1:21" ht="17.25" customHeight="1" x14ac:dyDescent="0.3">
      <c r="A1119" s="15" t="s">
        <v>30</v>
      </c>
      <c r="C1119" s="19"/>
      <c r="D1119" s="33" t="str">
        <f t="shared" si="280"/>
        <v>E100015</v>
      </c>
      <c r="E1119" s="33"/>
      <c r="F1119" s="34"/>
      <c r="G1119" s="34" t="str">
        <f>"""NAV Direct"",""CRONUS JetCorp USA"",""32"",""1"",""167593"""</f>
        <v>"NAV Direct","CRONUS JetCorp USA","32","1","167593"</v>
      </c>
      <c r="H1119" s="40">
        <v>43466</v>
      </c>
      <c r="I1119" s="41">
        <v>167593</v>
      </c>
      <c r="J1119" s="42" t="str">
        <f>"Vendor"</f>
        <v>Vendor</v>
      </c>
      <c r="K1119" s="42" t="str">
        <f>"V100047"</f>
        <v>V100047</v>
      </c>
      <c r="L1119" s="42" t="str">
        <f>IF($J1119="Customer",_xll.NL("first",$J1119,"Name","No.","@@"&amp;$K1119),"")</f>
        <v/>
      </c>
      <c r="M1119" s="42" t="str">
        <f>"WoodMart Supply Co."</f>
        <v>WoodMart Supply Co.</v>
      </c>
      <c r="N1119" s="42" t="str">
        <f>IF($J1119="Item",_xll.NL("first",$J1119,"Description","No.","@@"&amp;$K1119),"")</f>
        <v/>
      </c>
      <c r="O1119" s="43">
        <v>200</v>
      </c>
      <c r="P1119" s="43">
        <v>0</v>
      </c>
      <c r="Q1119" s="43">
        <v>0</v>
      </c>
      <c r="R1119" s="43">
        <v>0</v>
      </c>
      <c r="S1119" s="43">
        <v>0</v>
      </c>
      <c r="T1119" s="43">
        <v>0</v>
      </c>
      <c r="U1119" s="56"/>
    </row>
    <row r="1120" spans="1:21" ht="17.25" customHeight="1" x14ac:dyDescent="0.3">
      <c r="A1120" s="15" t="s">
        <v>30</v>
      </c>
      <c r="C1120" s="19"/>
      <c r="D1120" s="33" t="str">
        <f t="shared" si="280"/>
        <v>E100015</v>
      </c>
      <c r="E1120" s="33"/>
      <c r="F1120" s="34"/>
      <c r="G1120" s="34" t="str">
        <f>"""NAV Direct"",""CRONUS JetCorp USA"",""32"",""1"",""167606"""</f>
        <v>"NAV Direct","CRONUS JetCorp USA","32","1","167606"</v>
      </c>
      <c r="H1120" s="40">
        <v>43466</v>
      </c>
      <c r="I1120" s="41">
        <v>167606</v>
      </c>
      <c r="J1120" s="42" t="str">
        <f>"Vendor"</f>
        <v>Vendor</v>
      </c>
      <c r="K1120" s="42" t="str">
        <f>"V100003"</f>
        <v>V100003</v>
      </c>
      <c r="L1120" s="42" t="str">
        <f>IF($J1120="Customer",_xll.NL("first",$J1120,"Name","No.","@@"&amp;$K1120),"")</f>
        <v/>
      </c>
      <c r="M1120" s="42" t="str">
        <f>"LogoMasters"</f>
        <v>LogoMasters</v>
      </c>
      <c r="N1120" s="42" t="str">
        <f>IF($J1120="Item",_xll.NL("first",$J1120,"Description","No.","@@"&amp;$K1120),"")</f>
        <v/>
      </c>
      <c r="O1120" s="43">
        <v>400</v>
      </c>
      <c r="P1120" s="43">
        <v>0</v>
      </c>
      <c r="Q1120" s="43">
        <v>0</v>
      </c>
      <c r="R1120" s="43">
        <v>0</v>
      </c>
      <c r="S1120" s="43">
        <v>0</v>
      </c>
      <c r="T1120" s="43">
        <v>0</v>
      </c>
      <c r="U1120" s="56"/>
    </row>
    <row r="1121" spans="1:21" ht="17.25" customHeight="1" x14ac:dyDescent="0.3">
      <c r="A1121" s="15" t="s">
        <v>30</v>
      </c>
      <c r="C1121" s="19"/>
      <c r="D1121" s="33" t="str">
        <f t="shared" si="280"/>
        <v>E100015</v>
      </c>
      <c r="E1121" s="33"/>
      <c r="F1121" s="34"/>
      <c r="G1121" s="34" t="str">
        <f>"""NAV Direct"",""CRONUS JetCorp USA"",""32"",""1"",""20374"""</f>
        <v>"NAV Direct","CRONUS JetCorp USA","32","1","20374"</v>
      </c>
      <c r="H1121" s="40">
        <v>43468</v>
      </c>
      <c r="I1121" s="41">
        <v>20374</v>
      </c>
      <c r="J1121" s="42" t="str">
        <f>"Customer"</f>
        <v>Customer</v>
      </c>
      <c r="K1121" s="42" t="str">
        <f>"C100145"</f>
        <v>C100145</v>
      </c>
      <c r="L1121" s="42" t="str">
        <f>IF($J1121="Customer",_xll.NL("first",$J1121,"Name","No.","@@"&amp;$K1121),"")</f>
        <v>Dicon Industries</v>
      </c>
      <c r="M1121" s="42" t="str">
        <f>""</f>
        <v/>
      </c>
      <c r="N1121" s="42" t="str">
        <f>IF($J1121="Item",_xll.NL("first",$J1121,"Description","No.","@@"&amp;$K1121),"")</f>
        <v/>
      </c>
      <c r="O1121" s="43">
        <v>0</v>
      </c>
      <c r="P1121" s="43">
        <v>-144</v>
      </c>
      <c r="Q1121" s="43">
        <v>0</v>
      </c>
      <c r="R1121" s="43">
        <v>0</v>
      </c>
      <c r="S1121" s="43">
        <v>0</v>
      </c>
      <c r="T1121" s="43">
        <v>0</v>
      </c>
      <c r="U1121" s="56"/>
    </row>
    <row r="1122" spans="1:21" ht="17.25" customHeight="1" x14ac:dyDescent="0.3">
      <c r="A1122" s="15" t="s">
        <v>30</v>
      </c>
      <c r="C1122" s="19"/>
      <c r="D1122" s="33" t="str">
        <f t="shared" si="280"/>
        <v>E100015</v>
      </c>
      <c r="E1122" s="33"/>
      <c r="F1122" s="34"/>
      <c r="G1122" s="34" t="str">
        <f>"""NAV Direct"",""CRONUS JetCorp USA"",""32"",""1"",""78842"""</f>
        <v>"NAV Direct","CRONUS JetCorp USA","32","1","78842"</v>
      </c>
      <c r="H1122" s="40">
        <v>43468</v>
      </c>
      <c r="I1122" s="41">
        <v>78842</v>
      </c>
      <c r="J1122" s="42" t="str">
        <f>"Customer"</f>
        <v>Customer</v>
      </c>
      <c r="K1122" s="42" t="str">
        <f>"C100117"</f>
        <v>C100117</v>
      </c>
      <c r="L1122" s="42" t="str">
        <f>IF($J1122="Customer",_xll.NL("first",$J1122,"Name","No.","@@"&amp;$K1122),"")</f>
        <v xml:space="preserve">Tintax </v>
      </c>
      <c r="M1122" s="42" t="str">
        <f>""</f>
        <v/>
      </c>
      <c r="N1122" s="42" t="str">
        <f>IF($J1122="Item",_xll.NL("first",$J1122,"Description","No.","@@"&amp;$K1122),"")</f>
        <v/>
      </c>
      <c r="O1122" s="43">
        <v>0</v>
      </c>
      <c r="P1122" s="43">
        <v>-6</v>
      </c>
      <c r="Q1122" s="43">
        <v>0</v>
      </c>
      <c r="R1122" s="43">
        <v>0</v>
      </c>
      <c r="S1122" s="43">
        <v>0</v>
      </c>
      <c r="T1122" s="43">
        <v>0</v>
      </c>
      <c r="U1122" s="56"/>
    </row>
    <row r="1123" spans="1:21" ht="17.25" customHeight="1" x14ac:dyDescent="0.3">
      <c r="A1123" s="15" t="s">
        <v>30</v>
      </c>
      <c r="C1123" s="19"/>
      <c r="D1123" s="33" t="str">
        <f t="shared" si="280"/>
        <v>E100015</v>
      </c>
      <c r="E1123" s="33"/>
      <c r="F1123" s="34"/>
      <c r="G1123" s="34" t="str">
        <f>"""NAV Direct"",""CRONUS JetCorp USA"",""32"",""1"",""64579"""</f>
        <v>"NAV Direct","CRONUS JetCorp USA","32","1","64579"</v>
      </c>
      <c r="H1123" s="40">
        <v>43469</v>
      </c>
      <c r="I1123" s="41">
        <v>64579</v>
      </c>
      <c r="J1123" s="42" t="str">
        <f>"Customer"</f>
        <v>Customer</v>
      </c>
      <c r="K1123" s="42" t="str">
        <f>"C100140"</f>
        <v>C100140</v>
      </c>
      <c r="L1123" s="42" t="str">
        <f>IF($J1123="Customer",_xll.NL("first",$J1123,"Name","No.","@@"&amp;$K1123),"")</f>
        <v>Super Daves</v>
      </c>
      <c r="M1123" s="42" t="str">
        <f>""</f>
        <v/>
      </c>
      <c r="N1123" s="42" t="str">
        <f>IF($J1123="Item",_xll.NL("first",$J1123,"Description","No.","@@"&amp;$K1123),"")</f>
        <v/>
      </c>
      <c r="O1123" s="43">
        <v>0</v>
      </c>
      <c r="P1123" s="43">
        <v>-192</v>
      </c>
      <c r="Q1123" s="43">
        <v>0</v>
      </c>
      <c r="R1123" s="43">
        <v>0</v>
      </c>
      <c r="S1123" s="43">
        <v>0</v>
      </c>
      <c r="T1123" s="43">
        <v>0</v>
      </c>
      <c r="U1123" s="56"/>
    </row>
    <row r="1124" spans="1:21" ht="17.25" customHeight="1" x14ac:dyDescent="0.3">
      <c r="A1124" s="15" t="s">
        <v>30</v>
      </c>
      <c r="C1124" s="19"/>
      <c r="D1124" s="33" t="str">
        <f t="shared" si="280"/>
        <v>E100015</v>
      </c>
      <c r="E1124" s="33"/>
      <c r="F1124" s="34"/>
      <c r="G1124" s="34" t="str">
        <f>"""NAV Direct"",""CRONUS JetCorp USA"",""32"",""1"",""34323"""</f>
        <v>"NAV Direct","CRONUS JetCorp USA","32","1","34323"</v>
      </c>
      <c r="H1124" s="40">
        <v>43470</v>
      </c>
      <c r="I1124" s="41">
        <v>34323</v>
      </c>
      <c r="J1124" s="42" t="str">
        <f>"Customer"</f>
        <v>Customer</v>
      </c>
      <c r="K1124" s="42" t="str">
        <f>"C100050"</f>
        <v>C100050</v>
      </c>
      <c r="L1124" s="42" t="str">
        <f>IF($J1124="Customer",_xll.NL("first",$J1124,"Name","No.","@@"&amp;$K1124),"")</f>
        <v>Lauritzen Kontorm¢bler A/S</v>
      </c>
      <c r="M1124" s="42" t="str">
        <f>""</f>
        <v/>
      </c>
      <c r="N1124" s="42" t="str">
        <f>IF($J1124="Item",_xll.NL("first",$J1124,"Description","No.","@@"&amp;$K1124),"")</f>
        <v/>
      </c>
      <c r="O1124" s="43">
        <v>0</v>
      </c>
      <c r="P1124" s="43">
        <v>-288</v>
      </c>
      <c r="Q1124" s="43">
        <v>0</v>
      </c>
      <c r="R1124" s="43">
        <v>0</v>
      </c>
      <c r="S1124" s="43">
        <v>0</v>
      </c>
      <c r="T1124" s="43">
        <v>0</v>
      </c>
      <c r="U1124" s="56"/>
    </row>
    <row r="1125" spans="1:21" ht="17.25" customHeight="1" x14ac:dyDescent="0.3">
      <c r="A1125" s="15" t="s">
        <v>30</v>
      </c>
      <c r="C1125" s="19"/>
      <c r="D1125" s="33" t="str">
        <f t="shared" si="280"/>
        <v>E100015</v>
      </c>
      <c r="E1125" s="33"/>
      <c r="F1125" s="34"/>
      <c r="G1125" s="34" t="str">
        <f>"""NAV Direct"",""CRONUS JetCorp USA"",""32"",""1"",""38083"""</f>
        <v>"NAV Direct","CRONUS JetCorp USA","32","1","38083"</v>
      </c>
      <c r="H1125" s="40">
        <v>43471</v>
      </c>
      <c r="I1125" s="41">
        <v>38083</v>
      </c>
      <c r="J1125" s="42" t="str">
        <f>"Customer"</f>
        <v>Customer</v>
      </c>
      <c r="K1125" s="42" t="str">
        <f>"C100013"</f>
        <v>C100013</v>
      </c>
      <c r="L1125" s="42" t="str">
        <f>IF($J1125="Customer",_xll.NL("first",$J1125,"Name","No.","@@"&amp;$K1125),"")</f>
        <v>Candoxy Kontor A/S</v>
      </c>
      <c r="M1125" s="42" t="str">
        <f>""</f>
        <v/>
      </c>
      <c r="N1125" s="42" t="str">
        <f>IF($J1125="Item",_xll.NL("first",$J1125,"Description","No.","@@"&amp;$K1125),"")</f>
        <v/>
      </c>
      <c r="O1125" s="43">
        <v>0</v>
      </c>
      <c r="P1125" s="43">
        <v>-1</v>
      </c>
      <c r="Q1125" s="43">
        <v>0</v>
      </c>
      <c r="R1125" s="43">
        <v>0</v>
      </c>
      <c r="S1125" s="43">
        <v>0</v>
      </c>
      <c r="T1125" s="43">
        <v>0</v>
      </c>
      <c r="U1125" s="56"/>
    </row>
    <row r="1126" spans="1:21" ht="17.25" customHeight="1" x14ac:dyDescent="0.3">
      <c r="A1126" s="15" t="s">
        <v>30</v>
      </c>
      <c r="C1126" s="19"/>
      <c r="D1126" s="33" t="str">
        <f t="shared" si="280"/>
        <v>E100015</v>
      </c>
      <c r="E1126" s="33"/>
      <c r="F1126" s="34"/>
      <c r="G1126" s="34" t="str">
        <f>"""NAV Direct"",""CRONUS JetCorp USA"",""32"",""1"",""78880"""</f>
        <v>"NAV Direct","CRONUS JetCorp USA","32","1","78880"</v>
      </c>
      <c r="H1126" s="40">
        <v>43471</v>
      </c>
      <c r="I1126" s="41">
        <v>78880</v>
      </c>
      <c r="J1126" s="42" t="str">
        <f>"Customer"</f>
        <v>Customer</v>
      </c>
      <c r="K1126" s="42" t="str">
        <f>"C100124"</f>
        <v>C100124</v>
      </c>
      <c r="L1126" s="42" t="str">
        <f>IF($J1126="Customer",_xll.NL("first",$J1126,"Name","No.","@@"&amp;$K1126),"")</f>
        <v>Ontocane Outdoors</v>
      </c>
      <c r="M1126" s="42" t="str">
        <f>""</f>
        <v/>
      </c>
      <c r="N1126" s="42" t="str">
        <f>IF($J1126="Item",_xll.NL("first",$J1126,"Description","No.","@@"&amp;$K1126),"")</f>
        <v/>
      </c>
      <c r="O1126" s="43">
        <v>0</v>
      </c>
      <c r="P1126" s="43">
        <v>-1</v>
      </c>
      <c r="Q1126" s="43">
        <v>0</v>
      </c>
      <c r="R1126" s="43">
        <v>0</v>
      </c>
      <c r="S1126" s="43">
        <v>0</v>
      </c>
      <c r="T1126" s="43">
        <v>0</v>
      </c>
      <c r="U1126" s="56"/>
    </row>
    <row r="1127" spans="1:21" ht="17.25" customHeight="1" x14ac:dyDescent="0.3">
      <c r="A1127" s="15" t="s">
        <v>30</v>
      </c>
      <c r="C1127" s="19"/>
      <c r="D1127" s="33" t="str">
        <f t="shared" si="280"/>
        <v>E100015</v>
      </c>
      <c r="E1127" s="33"/>
      <c r="F1127" s="34"/>
      <c r="G1127" s="34" t="str">
        <f>"""NAV Direct"",""CRONUS JetCorp USA"",""32"",""1"",""124558"""</f>
        <v>"NAV Direct","CRONUS JetCorp USA","32","1","124558"</v>
      </c>
      <c r="H1127" s="40">
        <v>43473</v>
      </c>
      <c r="I1127" s="41">
        <v>124558</v>
      </c>
      <c r="J1127" s="42" t="str">
        <f>"Customer"</f>
        <v>Customer</v>
      </c>
      <c r="K1127" s="42" t="str">
        <f>"C100035"</f>
        <v>C100035</v>
      </c>
      <c r="L1127" s="42" t="str">
        <f>IF($J1127="Customer",_xll.NL("first",$J1127,"Name","No.","@@"&amp;$K1127),"")</f>
        <v>First Touch Marketing</v>
      </c>
      <c r="M1127" s="42" t="str">
        <f>""</f>
        <v/>
      </c>
      <c r="N1127" s="42" t="str">
        <f>IF($J1127="Item",_xll.NL("first",$J1127,"Description","No.","@@"&amp;$K1127),"")</f>
        <v/>
      </c>
      <c r="O1127" s="43">
        <v>0</v>
      </c>
      <c r="P1127" s="43">
        <v>-1</v>
      </c>
      <c r="Q1127" s="43">
        <v>0</v>
      </c>
      <c r="R1127" s="43">
        <v>0</v>
      </c>
      <c r="S1127" s="43">
        <v>0</v>
      </c>
      <c r="T1127" s="43">
        <v>0</v>
      </c>
      <c r="U1127" s="56"/>
    </row>
    <row r="1128" spans="1:21" ht="17.25" customHeight="1" x14ac:dyDescent="0.3">
      <c r="A1128" s="15" t="s">
        <v>30</v>
      </c>
      <c r="C1128" s="19"/>
      <c r="D1128" s="33" t="str">
        <f t="shared" si="280"/>
        <v>E100015</v>
      </c>
      <c r="E1128" s="33"/>
      <c r="F1128" s="34"/>
      <c r="G1128" s="34" t="str">
        <f>"""NAV Direct"",""CRONUS JetCorp USA"",""32"",""1"",""54703"""</f>
        <v>"NAV Direct","CRONUS JetCorp USA","32","1","54703"</v>
      </c>
      <c r="H1128" s="40">
        <v>43474</v>
      </c>
      <c r="I1128" s="41">
        <v>54703</v>
      </c>
      <c r="J1128" s="42" t="str">
        <f>"Customer"</f>
        <v>Customer</v>
      </c>
      <c r="K1128" s="42" t="str">
        <f>"C100096"</f>
        <v>C100096</v>
      </c>
      <c r="L1128" s="42" t="str">
        <f>IF($J1128="Customer",_xll.NL("first",$J1128,"Name","No.","@@"&amp;$K1128),"")</f>
        <v>D-Com Industries</v>
      </c>
      <c r="M1128" s="42" t="str">
        <f>""</f>
        <v/>
      </c>
      <c r="N1128" s="42" t="str">
        <f>IF($J1128="Item",_xll.NL("first",$J1128,"Description","No.","@@"&amp;$K1128),"")</f>
        <v/>
      </c>
      <c r="O1128" s="43">
        <v>0</v>
      </c>
      <c r="P1128" s="43">
        <v>-144</v>
      </c>
      <c r="Q1128" s="43">
        <v>0</v>
      </c>
      <c r="R1128" s="43">
        <v>0</v>
      </c>
      <c r="S1128" s="43">
        <v>0</v>
      </c>
      <c r="T1128" s="43">
        <v>0</v>
      </c>
      <c r="U1128" s="56"/>
    </row>
    <row r="1129" spans="1:21" ht="17.25" customHeight="1" x14ac:dyDescent="0.3">
      <c r="A1129" s="15" t="s">
        <v>30</v>
      </c>
      <c r="C1129" s="19"/>
      <c r="D1129" s="33" t="str">
        <f t="shared" si="280"/>
        <v>E100015</v>
      </c>
      <c r="E1129" s="33"/>
      <c r="F1129" s="34"/>
      <c r="G1129" s="34" t="str">
        <f>"""NAV Direct"",""CRONUS JetCorp USA"",""32"",""1"",""78888"""</f>
        <v>"NAV Direct","CRONUS JetCorp USA","32","1","78888"</v>
      </c>
      <c r="H1129" s="40">
        <v>43474</v>
      </c>
      <c r="I1129" s="41">
        <v>78888</v>
      </c>
      <c r="J1129" s="42" t="str">
        <f>"Customer"</f>
        <v>Customer</v>
      </c>
      <c r="K1129" s="42" t="str">
        <f>"C100124"</f>
        <v>C100124</v>
      </c>
      <c r="L1129" s="42" t="str">
        <f>IF($J1129="Customer",_xll.NL("first",$J1129,"Name","No.","@@"&amp;$K1129),"")</f>
        <v>Ontocane Outdoors</v>
      </c>
      <c r="M1129" s="42" t="str">
        <f>""</f>
        <v/>
      </c>
      <c r="N1129" s="42" t="str">
        <f>IF($J1129="Item",_xll.NL("first",$J1129,"Description","No.","@@"&amp;$K1129),"")</f>
        <v/>
      </c>
      <c r="O1129" s="43">
        <v>0</v>
      </c>
      <c r="P1129" s="43">
        <v>-144</v>
      </c>
      <c r="Q1129" s="43">
        <v>0</v>
      </c>
      <c r="R1129" s="43">
        <v>0</v>
      </c>
      <c r="S1129" s="43">
        <v>0</v>
      </c>
      <c r="T1129" s="43">
        <v>0</v>
      </c>
      <c r="U1129" s="56"/>
    </row>
    <row r="1130" spans="1:21" ht="17.25" customHeight="1" x14ac:dyDescent="0.3">
      <c r="A1130" s="15" t="s">
        <v>30</v>
      </c>
      <c r="C1130" s="19"/>
      <c r="D1130" s="33" t="str">
        <f t="shared" si="280"/>
        <v>E100015</v>
      </c>
      <c r="E1130" s="33"/>
      <c r="F1130" s="34"/>
      <c r="G1130" s="34" t="str">
        <f>"""NAV Direct"",""CRONUS JetCorp USA"",""32"",""1"",""34336"""</f>
        <v>"NAV Direct","CRONUS JetCorp USA","32","1","34336"</v>
      </c>
      <c r="H1130" s="40">
        <v>43475</v>
      </c>
      <c r="I1130" s="41">
        <v>34336</v>
      </c>
      <c r="J1130" s="42" t="str">
        <f>"Customer"</f>
        <v>Customer</v>
      </c>
      <c r="K1130" s="42" t="str">
        <f>"C100008"</f>
        <v>C100008</v>
      </c>
      <c r="L1130" s="42" t="str">
        <f>IF($J1130="Customer",_xll.NL("first",$J1130,"Name","No.","@@"&amp;$K1130),"")</f>
        <v>Blanemark Hifi Shop</v>
      </c>
      <c r="M1130" s="42" t="str">
        <f>""</f>
        <v/>
      </c>
      <c r="N1130" s="42" t="str">
        <f>IF($J1130="Item",_xll.NL("first",$J1130,"Description","No.","@@"&amp;$K1130),"")</f>
        <v/>
      </c>
      <c r="O1130" s="43">
        <v>0</v>
      </c>
      <c r="P1130" s="43">
        <v>-144</v>
      </c>
      <c r="Q1130" s="43">
        <v>0</v>
      </c>
      <c r="R1130" s="43">
        <v>0</v>
      </c>
      <c r="S1130" s="43">
        <v>0</v>
      </c>
      <c r="T1130" s="43">
        <v>0</v>
      </c>
      <c r="U1130" s="56"/>
    </row>
    <row r="1131" spans="1:21" ht="17.25" customHeight="1" x14ac:dyDescent="0.3">
      <c r="A1131" s="15" t="s">
        <v>30</v>
      </c>
      <c r="C1131" s="19"/>
      <c r="D1131" s="33" t="str">
        <f t="shared" si="280"/>
        <v>E100015</v>
      </c>
      <c r="E1131" s="33"/>
      <c r="F1131" s="34"/>
      <c r="G1131" s="34" t="str">
        <f>"""NAV Direct"",""CRONUS JetCorp USA"",""32"",""1"",""78868"""</f>
        <v>"NAV Direct","CRONUS JetCorp USA","32","1","78868"</v>
      </c>
      <c r="H1131" s="40">
        <v>43476</v>
      </c>
      <c r="I1131" s="41">
        <v>78868</v>
      </c>
      <c r="J1131" s="42" t="str">
        <f>"Customer"</f>
        <v>Customer</v>
      </c>
      <c r="K1131" s="42" t="str">
        <f>"C100117"</f>
        <v>C100117</v>
      </c>
      <c r="L1131" s="42" t="str">
        <f>IF($J1131="Customer",_xll.NL("first",$J1131,"Name","No.","@@"&amp;$K1131),"")</f>
        <v xml:space="preserve">Tintax </v>
      </c>
      <c r="M1131" s="42" t="str">
        <f>""</f>
        <v/>
      </c>
      <c r="N1131" s="42" t="str">
        <f>IF($J1131="Item",_xll.NL("first",$J1131,"Description","No.","@@"&amp;$K1131),"")</f>
        <v/>
      </c>
      <c r="O1131" s="43">
        <v>0</v>
      </c>
      <c r="P1131" s="43">
        <v>-1</v>
      </c>
      <c r="Q1131" s="43">
        <v>0</v>
      </c>
      <c r="R1131" s="43">
        <v>0</v>
      </c>
      <c r="S1131" s="43">
        <v>0</v>
      </c>
      <c r="T1131" s="43">
        <v>0</v>
      </c>
      <c r="U1131" s="56"/>
    </row>
    <row r="1132" spans="1:21" ht="17.25" customHeight="1" x14ac:dyDescent="0.3">
      <c r="A1132" s="15" t="s">
        <v>30</v>
      </c>
      <c r="C1132" s="19"/>
      <c r="D1132" s="33" t="str">
        <f t="shared" si="280"/>
        <v>E100015</v>
      </c>
      <c r="E1132" s="33"/>
      <c r="F1132" s="34"/>
      <c r="G1132" s="34" t="str">
        <f>"""NAV Direct"",""CRONUS JetCorp USA"",""32"",""1"",""25290"""</f>
        <v>"NAV Direct","CRONUS JetCorp USA","32","1","25290"</v>
      </c>
      <c r="H1132" s="40">
        <v>43477</v>
      </c>
      <c r="I1132" s="41">
        <v>25290</v>
      </c>
      <c r="J1132" s="42" t="str">
        <f>"Customer"</f>
        <v>Customer</v>
      </c>
      <c r="K1132" s="42" t="str">
        <f>"C100138"</f>
        <v>C100138</v>
      </c>
      <c r="L1132" s="42" t="str">
        <f>IF($J1132="Customer",_xll.NL("first",$J1132,"Name","No.","@@"&amp;$K1132),"")</f>
        <v>Dantons</v>
      </c>
      <c r="M1132" s="42" t="str">
        <f>""</f>
        <v/>
      </c>
      <c r="N1132" s="42" t="str">
        <f>IF($J1132="Item",_xll.NL("first",$J1132,"Description","No.","@@"&amp;$K1132),"")</f>
        <v/>
      </c>
      <c r="O1132" s="43">
        <v>0</v>
      </c>
      <c r="P1132" s="43">
        <v>-289</v>
      </c>
      <c r="Q1132" s="43">
        <v>0</v>
      </c>
      <c r="R1132" s="43">
        <v>0</v>
      </c>
      <c r="S1132" s="43">
        <v>0</v>
      </c>
      <c r="T1132" s="43">
        <v>0</v>
      </c>
      <c r="U1132" s="56"/>
    </row>
    <row r="1133" spans="1:21" ht="17.25" customHeight="1" x14ac:dyDescent="0.3">
      <c r="A1133" s="15" t="s">
        <v>30</v>
      </c>
      <c r="C1133" s="19"/>
      <c r="D1133" s="33" t="str">
        <f t="shared" si="280"/>
        <v>E100015</v>
      </c>
      <c r="E1133" s="33"/>
      <c r="F1133" s="34"/>
      <c r="G1133" s="34" t="str">
        <f>"""NAV Direct"",""CRONUS JetCorp USA"",""32"",""1"",""38088"""</f>
        <v>"NAV Direct","CRONUS JetCorp USA","32","1","38088"</v>
      </c>
      <c r="H1133" s="40">
        <v>43477</v>
      </c>
      <c r="I1133" s="41">
        <v>38088</v>
      </c>
      <c r="J1133" s="42" t="str">
        <f>"Customer"</f>
        <v>Customer</v>
      </c>
      <c r="K1133" s="42" t="str">
        <f>"C100038"</f>
        <v>C100038</v>
      </c>
      <c r="L1133" s="42" t="str">
        <f>IF($J1133="Customer",_xll.NL("first",$J1133,"Name","No.","@@"&amp;$K1133),"")</f>
        <v>Gagn &amp; Gaman</v>
      </c>
      <c r="M1133" s="42" t="str">
        <f>""</f>
        <v/>
      </c>
      <c r="N1133" s="42" t="str">
        <f>IF($J1133="Item",_xll.NL("first",$J1133,"Description","No.","@@"&amp;$K1133),"")</f>
        <v/>
      </c>
      <c r="O1133" s="43">
        <v>0</v>
      </c>
      <c r="P1133" s="43">
        <v>-144</v>
      </c>
      <c r="Q1133" s="43">
        <v>0</v>
      </c>
      <c r="R1133" s="43">
        <v>0</v>
      </c>
      <c r="S1133" s="43">
        <v>0</v>
      </c>
      <c r="T1133" s="43">
        <v>0</v>
      </c>
      <c r="U1133" s="56"/>
    </row>
    <row r="1134" spans="1:21" ht="17.25" customHeight="1" x14ac:dyDescent="0.3">
      <c r="A1134" s="15" t="s">
        <v>30</v>
      </c>
      <c r="C1134" s="19"/>
      <c r="D1134" s="33" t="str">
        <f t="shared" si="280"/>
        <v>E100015</v>
      </c>
      <c r="E1134" s="33"/>
      <c r="F1134" s="34"/>
      <c r="G1134" s="34" t="str">
        <f>"""NAV Direct"",""CRONUS JetCorp USA"",""32"",""1"",""138730"""</f>
        <v>"NAV Direct","CRONUS JetCorp USA","32","1","138730"</v>
      </c>
      <c r="H1134" s="40">
        <v>43477</v>
      </c>
      <c r="I1134" s="41">
        <v>138730</v>
      </c>
      <c r="J1134" s="42" t="str">
        <f>"Customer"</f>
        <v>Customer</v>
      </c>
      <c r="K1134" s="42" t="str">
        <f>"C100021"</f>
        <v>C100021</v>
      </c>
      <c r="L1134" s="42" t="str">
        <f>IF($J1134="Customer",_xll.NL("first",$J1134,"Name","No.","@@"&amp;$K1134),"")</f>
        <v>Cronus Cardoxy Sales</v>
      </c>
      <c r="M1134" s="42" t="str">
        <f>""</f>
        <v/>
      </c>
      <c r="N1134" s="42" t="str">
        <f>IF($J1134="Item",_xll.NL("first",$J1134,"Description","No.","@@"&amp;$K1134),"")</f>
        <v/>
      </c>
      <c r="O1134" s="43">
        <v>0</v>
      </c>
      <c r="P1134" s="43">
        <v>-144</v>
      </c>
      <c r="Q1134" s="43">
        <v>0</v>
      </c>
      <c r="R1134" s="43">
        <v>0</v>
      </c>
      <c r="S1134" s="43">
        <v>0</v>
      </c>
      <c r="T1134" s="43">
        <v>0</v>
      </c>
      <c r="U1134" s="56"/>
    </row>
    <row r="1135" spans="1:21" ht="17.25" customHeight="1" x14ac:dyDescent="0.3">
      <c r="A1135" s="15" t="s">
        <v>30</v>
      </c>
      <c r="C1135" s="19"/>
      <c r="D1135" s="33"/>
      <c r="E1135" s="33"/>
      <c r="F1135" s="34"/>
      <c r="G1135" s="34"/>
      <c r="H1135" s="34"/>
      <c r="I1135" s="34"/>
      <c r="J1135" s="34"/>
      <c r="K1135" s="34"/>
      <c r="L1135" s="34"/>
      <c r="M1135" s="34"/>
      <c r="N1135" s="34"/>
      <c r="O1135" s="44"/>
      <c r="P1135" s="44"/>
      <c r="Q1135" s="44"/>
      <c r="R1135" s="44"/>
      <c r="S1135" s="44"/>
      <c r="T1135" s="44"/>
      <c r="U1135" s="57"/>
    </row>
    <row r="1136" spans="1:21" ht="17.25" customHeight="1" x14ac:dyDescent="0.3">
      <c r="A1136" s="15" t="s">
        <v>30</v>
      </c>
      <c r="C1136" s="19"/>
      <c r="D1136" s="33"/>
      <c r="E1136" s="33" t="s">
        <v>31</v>
      </c>
      <c r="F1136" s="34" t="s">
        <v>31</v>
      </c>
      <c r="G1136" s="34" t="s">
        <v>31</v>
      </c>
      <c r="H1136" s="34"/>
      <c r="I1136" s="34"/>
      <c r="J1136" s="34" t="s">
        <v>31</v>
      </c>
      <c r="K1136" s="34" t="s">
        <v>31</v>
      </c>
      <c r="L1136" s="34" t="s">
        <v>31</v>
      </c>
      <c r="M1136" s="34" t="s">
        <v>31</v>
      </c>
      <c r="N1136" s="34"/>
      <c r="U1136" s="58"/>
    </row>
    <row r="1137" spans="1:21" ht="20.25" customHeight="1" x14ac:dyDescent="0.35">
      <c r="A1137" s="15" t="s">
        <v>30</v>
      </c>
      <c r="C1137" s="19"/>
      <c r="D1137" s="35" t="str">
        <f t="shared" ref="D1137" si="281">E1137</f>
        <v>E100016</v>
      </c>
      <c r="E1137" s="36" t="str">
        <f>"E100016"</f>
        <v>E100016</v>
      </c>
      <c r="F1137" s="37" t="str">
        <f>"4 Function Rotating Carabiner Watch"</f>
        <v>4 Function Rotating Carabiner Watch</v>
      </c>
      <c r="G1137" s="37"/>
      <c r="H1137" s="38" t="str">
        <f>"EA"</f>
        <v>EA</v>
      </c>
      <c r="I1137" s="37"/>
      <c r="J1137" s="37"/>
      <c r="K1137" s="37"/>
      <c r="L1137" s="37"/>
      <c r="M1137" s="37"/>
      <c r="N1137" s="37"/>
      <c r="O1137" s="39">
        <f>(SUBTOTAL(9,O1138:O1161))</f>
        <v>6000</v>
      </c>
      <c r="P1137" s="39">
        <f>(SUBTOTAL(9,P1138:P1161))</f>
        <v>-1936</v>
      </c>
      <c r="Q1137" s="39">
        <f>(SUBTOTAL(9,Q1138:Q1161))</f>
        <v>0</v>
      </c>
      <c r="R1137" s="39">
        <f>(SUBTOTAL(9,R1138:R1161))</f>
        <v>0</v>
      </c>
      <c r="S1137" s="39">
        <f>(SUBTOTAL(9,S1138:S1161))</f>
        <v>0</v>
      </c>
      <c r="T1137" s="39">
        <f>(SUBTOTAL(9,T1138:T1161))</f>
        <v>0</v>
      </c>
      <c r="U1137" s="55">
        <f t="shared" ref="U1137" si="282">SUBTOTAL(9,O1138:T1161)</f>
        <v>4064</v>
      </c>
    </row>
    <row r="1138" spans="1:21" ht="17.25" customHeight="1" x14ac:dyDescent="0.3">
      <c r="A1138" s="15" t="s">
        <v>30</v>
      </c>
      <c r="C1138" s="19"/>
      <c r="D1138" s="33" t="str">
        <f t="shared" ref="D1138" si="283">D1137</f>
        <v>E100016</v>
      </c>
      <c r="E1138" s="33"/>
      <c r="F1138" s="34"/>
      <c r="G1138" s="34" t="str">
        <f>"""NAV Direct"",""CRONUS JetCorp USA"",""32"",""1"",""132499"""</f>
        <v>"NAV Direct","CRONUS JetCorp USA","32","1","132499"</v>
      </c>
      <c r="H1138" s="40">
        <v>43466</v>
      </c>
      <c r="I1138" s="41">
        <v>132499</v>
      </c>
      <c r="J1138" s="42" t="str">
        <f>"Customer"</f>
        <v>Customer</v>
      </c>
      <c r="K1138" s="42" t="str">
        <f>"C100040"</f>
        <v>C100040</v>
      </c>
      <c r="L1138" s="42" t="str">
        <f>IF($J1138="Customer",_xll.NL("first",$J1138,"Name","No.","@@"&amp;$K1138),"")</f>
        <v>Guildford Water Department</v>
      </c>
      <c r="M1138" s="42" t="str">
        <f>""</f>
        <v/>
      </c>
      <c r="N1138" s="42" t="str">
        <f>IF($J1138="Item",_xll.NL("first",$J1138,"Description","No.","@@"&amp;$K1138),"")</f>
        <v/>
      </c>
      <c r="O1138" s="43">
        <v>0</v>
      </c>
      <c r="P1138" s="43">
        <v>-144</v>
      </c>
      <c r="Q1138" s="43">
        <v>0</v>
      </c>
      <c r="R1138" s="43">
        <v>0</v>
      </c>
      <c r="S1138" s="43">
        <v>0</v>
      </c>
      <c r="T1138" s="43">
        <v>0</v>
      </c>
      <c r="U1138" s="56"/>
    </row>
    <row r="1139" spans="1:21" ht="17.25" customHeight="1" x14ac:dyDescent="0.3">
      <c r="A1139" s="15" t="s">
        <v>30</v>
      </c>
      <c r="C1139" s="19"/>
      <c r="D1139" s="33" t="str">
        <f t="shared" ref="D1139:D1160" si="284">D1138</f>
        <v>E100016</v>
      </c>
      <c r="E1139" s="33"/>
      <c r="F1139" s="34"/>
      <c r="G1139" s="34" t="str">
        <f>"""NAV Direct"",""CRONUS JetCorp USA"",""32"",""1"",""167514"""</f>
        <v>"NAV Direct","CRONUS JetCorp USA","32","1","167514"</v>
      </c>
      <c r="H1139" s="40">
        <v>43466</v>
      </c>
      <c r="I1139" s="41">
        <v>167514</v>
      </c>
      <c r="J1139" s="42" t="str">
        <f>"Vendor"</f>
        <v>Vendor</v>
      </c>
      <c r="K1139" s="42" t="str">
        <f>"V100009"</f>
        <v>V100009</v>
      </c>
      <c r="L1139" s="42" t="str">
        <f>IF($J1139="Customer",_xll.NL("first",$J1139,"Name","No.","@@"&amp;$K1139),"")</f>
        <v/>
      </c>
      <c r="M1139" s="42" t="str">
        <f>"Malay-Dan Export Unit Sdn Bhd"</f>
        <v>Malay-Dan Export Unit Sdn Bhd</v>
      </c>
      <c r="N1139" s="42" t="str">
        <f>IF($J1139="Item",_xll.NL("first",$J1139,"Description","No.","@@"&amp;$K1139),"")</f>
        <v/>
      </c>
      <c r="O1139" s="43">
        <v>200</v>
      </c>
      <c r="P1139" s="43">
        <v>0</v>
      </c>
      <c r="Q1139" s="43">
        <v>0</v>
      </c>
      <c r="R1139" s="43">
        <v>0</v>
      </c>
      <c r="S1139" s="43">
        <v>0</v>
      </c>
      <c r="T1139" s="43">
        <v>0</v>
      </c>
      <c r="U1139" s="56"/>
    </row>
    <row r="1140" spans="1:21" ht="17.25" customHeight="1" x14ac:dyDescent="0.3">
      <c r="A1140" s="15" t="s">
        <v>30</v>
      </c>
      <c r="C1140" s="19"/>
      <c r="D1140" s="33" t="str">
        <f t="shared" si="284"/>
        <v>E100016</v>
      </c>
      <c r="E1140" s="33"/>
      <c r="F1140" s="34"/>
      <c r="G1140" s="34" t="str">
        <f>"""NAV Direct"",""CRONUS JetCorp USA"",""32"",""1"",""167532"""</f>
        <v>"NAV Direct","CRONUS JetCorp USA","32","1","167532"</v>
      </c>
      <c r="H1140" s="40">
        <v>43466</v>
      </c>
      <c r="I1140" s="41">
        <v>167532</v>
      </c>
      <c r="J1140" s="42" t="str">
        <f>"Vendor"</f>
        <v>Vendor</v>
      </c>
      <c r="K1140" s="42" t="str">
        <f>"V100040"</f>
        <v>V100040</v>
      </c>
      <c r="L1140" s="42" t="str">
        <f>IF($J1140="Customer",_xll.NL("first",$J1140,"Name","No.","@@"&amp;$K1140),"")</f>
        <v/>
      </c>
      <c r="M1140" s="42" t="str">
        <f>"Technische Betriebe Rotkreuz"</f>
        <v>Technische Betriebe Rotkreuz</v>
      </c>
      <c r="N1140" s="42" t="str">
        <f>IF($J1140="Item",_xll.NL("first",$J1140,"Description","No.","@@"&amp;$K1140),"")</f>
        <v/>
      </c>
      <c r="O1140" s="43">
        <v>800</v>
      </c>
      <c r="P1140" s="43">
        <v>0</v>
      </c>
      <c r="Q1140" s="43">
        <v>0</v>
      </c>
      <c r="R1140" s="43">
        <v>0</v>
      </c>
      <c r="S1140" s="43">
        <v>0</v>
      </c>
      <c r="T1140" s="43">
        <v>0</v>
      </c>
      <c r="U1140" s="56"/>
    </row>
    <row r="1141" spans="1:21" ht="17.25" customHeight="1" x14ac:dyDescent="0.3">
      <c r="A1141" s="15" t="s">
        <v>30</v>
      </c>
      <c r="C1141" s="19"/>
      <c r="D1141" s="33" t="str">
        <f t="shared" si="284"/>
        <v>E100016</v>
      </c>
      <c r="E1141" s="33"/>
      <c r="F1141" s="34"/>
      <c r="G1141" s="34" t="str">
        <f>"""NAV Direct"",""CRONUS JetCorp USA"",""32"",""1"",""167557"""</f>
        <v>"NAV Direct","CRONUS JetCorp USA","32","1","167557"</v>
      </c>
      <c r="H1141" s="40">
        <v>43466</v>
      </c>
      <c r="I1141" s="41">
        <v>167557</v>
      </c>
      <c r="J1141" s="42" t="str">
        <f>"Vendor"</f>
        <v>Vendor</v>
      </c>
      <c r="K1141" s="42" t="str">
        <f>"V100007"</f>
        <v>V100007</v>
      </c>
      <c r="L1141" s="42" t="str">
        <f>IF($J1141="Customer",_xll.NL("first",$J1141,"Name","No.","@@"&amp;$K1141),"")</f>
        <v/>
      </c>
      <c r="M1141" s="42" t="str">
        <f>"TrendTech"</f>
        <v>TrendTech</v>
      </c>
      <c r="N1141" s="42" t="str">
        <f>IF($J1141="Item",_xll.NL("first",$J1141,"Description","No.","@@"&amp;$K1141),"")</f>
        <v/>
      </c>
      <c r="O1141" s="43">
        <v>600</v>
      </c>
      <c r="P1141" s="43">
        <v>0</v>
      </c>
      <c r="Q1141" s="43">
        <v>0</v>
      </c>
      <c r="R1141" s="43">
        <v>0</v>
      </c>
      <c r="S1141" s="43">
        <v>0</v>
      </c>
      <c r="T1141" s="43">
        <v>0</v>
      </c>
      <c r="U1141" s="56"/>
    </row>
    <row r="1142" spans="1:21" ht="17.25" customHeight="1" x14ac:dyDescent="0.3">
      <c r="A1142" s="15" t="s">
        <v>30</v>
      </c>
      <c r="C1142" s="19"/>
      <c r="D1142" s="33" t="str">
        <f t="shared" si="284"/>
        <v>E100016</v>
      </c>
      <c r="E1142" s="33"/>
      <c r="F1142" s="34"/>
      <c r="G1142" s="34" t="str">
        <f>"""NAV Direct"",""CRONUS JetCorp USA"",""32"",""1"",""167576"""</f>
        <v>"NAV Direct","CRONUS JetCorp USA","32","1","167576"</v>
      </c>
      <c r="H1142" s="40">
        <v>43466</v>
      </c>
      <c r="I1142" s="41">
        <v>167576</v>
      </c>
      <c r="J1142" s="42" t="str">
        <f>"Vendor"</f>
        <v>Vendor</v>
      </c>
      <c r="K1142" s="42" t="str">
        <f>"V100001"</f>
        <v>V100001</v>
      </c>
      <c r="L1142" s="42" t="str">
        <f>IF($J1142="Customer",_xll.NL("first",$J1142,"Name","No.","@@"&amp;$K1142),"")</f>
        <v/>
      </c>
      <c r="M1142" s="42" t="str">
        <f>"Greigner, Inc."</f>
        <v>Greigner, Inc.</v>
      </c>
      <c r="N1142" s="42" t="str">
        <f>IF($J1142="Item",_xll.NL("first",$J1142,"Description","No.","@@"&amp;$K1142),"")</f>
        <v/>
      </c>
      <c r="O1142" s="43">
        <v>2800</v>
      </c>
      <c r="P1142" s="43">
        <v>0</v>
      </c>
      <c r="Q1142" s="43">
        <v>0</v>
      </c>
      <c r="R1142" s="43">
        <v>0</v>
      </c>
      <c r="S1142" s="43">
        <v>0</v>
      </c>
      <c r="T1142" s="43">
        <v>0</v>
      </c>
      <c r="U1142" s="56"/>
    </row>
    <row r="1143" spans="1:21" ht="17.25" customHeight="1" x14ac:dyDescent="0.3">
      <c r="A1143" s="15" t="s">
        <v>30</v>
      </c>
      <c r="C1143" s="19"/>
      <c r="D1143" s="33" t="str">
        <f t="shared" si="284"/>
        <v>E100016</v>
      </c>
      <c r="E1143" s="33"/>
      <c r="F1143" s="34"/>
      <c r="G1143" s="34" t="str">
        <f>"""NAV Direct"",""CRONUS JetCorp USA"",""32"",""1"",""167592"""</f>
        <v>"NAV Direct","CRONUS JetCorp USA","32","1","167592"</v>
      </c>
      <c r="H1143" s="40">
        <v>43466</v>
      </c>
      <c r="I1143" s="41">
        <v>167592</v>
      </c>
      <c r="J1143" s="42" t="str">
        <f>"Vendor"</f>
        <v>Vendor</v>
      </c>
      <c r="K1143" s="42" t="str">
        <f>"V100047"</f>
        <v>V100047</v>
      </c>
      <c r="L1143" s="42" t="str">
        <f>IF($J1143="Customer",_xll.NL("first",$J1143,"Name","No.","@@"&amp;$K1143),"")</f>
        <v/>
      </c>
      <c r="M1143" s="42" t="str">
        <f>"WoodMart Supply Co."</f>
        <v>WoodMart Supply Co.</v>
      </c>
      <c r="N1143" s="42" t="str">
        <f>IF($J1143="Item",_xll.NL("first",$J1143,"Description","No.","@@"&amp;$K1143),"")</f>
        <v/>
      </c>
      <c r="O1143" s="43">
        <v>400</v>
      </c>
      <c r="P1143" s="43">
        <v>0</v>
      </c>
      <c r="Q1143" s="43">
        <v>0</v>
      </c>
      <c r="R1143" s="43">
        <v>0</v>
      </c>
      <c r="S1143" s="43">
        <v>0</v>
      </c>
      <c r="T1143" s="43">
        <v>0</v>
      </c>
      <c r="U1143" s="56"/>
    </row>
    <row r="1144" spans="1:21" ht="17.25" customHeight="1" x14ac:dyDescent="0.3">
      <c r="A1144" s="15" t="s">
        <v>30</v>
      </c>
      <c r="C1144" s="19"/>
      <c r="D1144" s="33" t="str">
        <f t="shared" si="284"/>
        <v>E100016</v>
      </c>
      <c r="E1144" s="33"/>
      <c r="F1144" s="34"/>
      <c r="G1144" s="34" t="str">
        <f>"""NAV Direct"",""CRONUS JetCorp USA"",""32"",""1"",""167605"""</f>
        <v>"NAV Direct","CRONUS JetCorp USA","32","1","167605"</v>
      </c>
      <c r="H1144" s="40">
        <v>43466</v>
      </c>
      <c r="I1144" s="41">
        <v>167605</v>
      </c>
      <c r="J1144" s="42" t="str">
        <f>"Vendor"</f>
        <v>Vendor</v>
      </c>
      <c r="K1144" s="42" t="str">
        <f>"V100003"</f>
        <v>V100003</v>
      </c>
      <c r="L1144" s="42" t="str">
        <f>IF($J1144="Customer",_xll.NL("first",$J1144,"Name","No.","@@"&amp;$K1144),"")</f>
        <v/>
      </c>
      <c r="M1144" s="42" t="str">
        <f>"LogoMasters"</f>
        <v>LogoMasters</v>
      </c>
      <c r="N1144" s="42" t="str">
        <f>IF($J1144="Item",_xll.NL("first",$J1144,"Description","No.","@@"&amp;$K1144),"")</f>
        <v/>
      </c>
      <c r="O1144" s="43">
        <v>800</v>
      </c>
      <c r="P1144" s="43">
        <v>0</v>
      </c>
      <c r="Q1144" s="43">
        <v>0</v>
      </c>
      <c r="R1144" s="43">
        <v>0</v>
      </c>
      <c r="S1144" s="43">
        <v>0</v>
      </c>
      <c r="T1144" s="43">
        <v>0</v>
      </c>
      <c r="U1144" s="56"/>
    </row>
    <row r="1145" spans="1:21" ht="17.25" customHeight="1" x14ac:dyDescent="0.3">
      <c r="A1145" s="15" t="s">
        <v>30</v>
      </c>
      <c r="C1145" s="19"/>
      <c r="D1145" s="33" t="str">
        <f t="shared" si="284"/>
        <v>E100016</v>
      </c>
      <c r="E1145" s="33"/>
      <c r="F1145" s="34"/>
      <c r="G1145" s="34" t="str">
        <f>"""NAV Direct"",""CRONUS JetCorp USA"",""32"",""1"",""167621"""</f>
        <v>"NAV Direct","CRONUS JetCorp USA","32","1","167621"</v>
      </c>
      <c r="H1145" s="40">
        <v>43466</v>
      </c>
      <c r="I1145" s="41">
        <v>167621</v>
      </c>
      <c r="J1145" s="42" t="str">
        <f>"Vendor"</f>
        <v>Vendor</v>
      </c>
      <c r="K1145" s="42" t="str">
        <f>"V100001"</f>
        <v>V100001</v>
      </c>
      <c r="L1145" s="42" t="str">
        <f>IF($J1145="Customer",_xll.NL("first",$J1145,"Name","No.","@@"&amp;$K1145),"")</f>
        <v/>
      </c>
      <c r="M1145" s="42" t="str">
        <f>"Greigner, Inc."</f>
        <v>Greigner, Inc.</v>
      </c>
      <c r="N1145" s="42" t="str">
        <f>IF($J1145="Item",_xll.NL("first",$J1145,"Description","No.","@@"&amp;$K1145),"")</f>
        <v/>
      </c>
      <c r="O1145" s="43">
        <v>400</v>
      </c>
      <c r="P1145" s="43">
        <v>0</v>
      </c>
      <c r="Q1145" s="43">
        <v>0</v>
      </c>
      <c r="R1145" s="43">
        <v>0</v>
      </c>
      <c r="S1145" s="43">
        <v>0</v>
      </c>
      <c r="T1145" s="43">
        <v>0</v>
      </c>
      <c r="U1145" s="56"/>
    </row>
    <row r="1146" spans="1:21" ht="17.25" customHeight="1" x14ac:dyDescent="0.3">
      <c r="A1146" s="15" t="s">
        <v>30</v>
      </c>
      <c r="C1146" s="19"/>
      <c r="D1146" s="33" t="str">
        <f t="shared" si="284"/>
        <v>E100016</v>
      </c>
      <c r="E1146" s="33"/>
      <c r="F1146" s="34"/>
      <c r="G1146" s="34" t="str">
        <f>"""NAV Direct"",""CRONUS JetCorp USA"",""32"",""1"",""78846"""</f>
        <v>"NAV Direct","CRONUS JetCorp USA","32","1","78846"</v>
      </c>
      <c r="H1146" s="40">
        <v>43470</v>
      </c>
      <c r="I1146" s="41">
        <v>78846</v>
      </c>
      <c r="J1146" s="42" t="str">
        <f>"Customer"</f>
        <v>Customer</v>
      </c>
      <c r="K1146" s="42" t="str">
        <f>"C100117"</f>
        <v>C100117</v>
      </c>
      <c r="L1146" s="42" t="str">
        <f>IF($J1146="Customer",_xll.NL("first",$J1146,"Name","No.","@@"&amp;$K1146),"")</f>
        <v xml:space="preserve">Tintax </v>
      </c>
      <c r="M1146" s="42" t="str">
        <f>""</f>
        <v/>
      </c>
      <c r="N1146" s="42" t="str">
        <f>IF($J1146="Item",_xll.NL("first",$J1146,"Description","No.","@@"&amp;$K1146),"")</f>
        <v/>
      </c>
      <c r="O1146" s="43">
        <v>0</v>
      </c>
      <c r="P1146" s="43">
        <v>-144</v>
      </c>
      <c r="Q1146" s="43">
        <v>0</v>
      </c>
      <c r="R1146" s="43">
        <v>0</v>
      </c>
      <c r="S1146" s="43">
        <v>0</v>
      </c>
      <c r="T1146" s="43">
        <v>0</v>
      </c>
      <c r="U1146" s="56"/>
    </row>
    <row r="1147" spans="1:21" ht="17.25" customHeight="1" x14ac:dyDescent="0.3">
      <c r="A1147" s="15" t="s">
        <v>30</v>
      </c>
      <c r="C1147" s="19"/>
      <c r="D1147" s="33" t="str">
        <f t="shared" si="284"/>
        <v>E100016</v>
      </c>
      <c r="E1147" s="33"/>
      <c r="F1147" s="34"/>
      <c r="G1147" s="34" t="str">
        <f>"""NAV Direct"",""CRONUS JetCorp USA"",""32"",""1"",""25242"""</f>
        <v>"NAV Direct","CRONUS JetCorp USA","32","1","25242"</v>
      </c>
      <c r="H1147" s="40">
        <v>43471</v>
      </c>
      <c r="I1147" s="41">
        <v>25242</v>
      </c>
      <c r="J1147" s="42" t="str">
        <f>"Customer"</f>
        <v>Customer</v>
      </c>
      <c r="K1147" s="42" t="str">
        <f>"C100102"</f>
        <v>C100102</v>
      </c>
      <c r="L1147" s="42" t="str">
        <f>IF($J1147="Customer",_xll.NL("first",$J1147,"Name","No.","@@"&amp;$K1147),"")</f>
        <v xml:space="preserve">BEI Outfitters </v>
      </c>
      <c r="M1147" s="42" t="str">
        <f>""</f>
        <v/>
      </c>
      <c r="N1147" s="42" t="str">
        <f>IF($J1147="Item",_xll.NL("first",$J1147,"Description","No.","@@"&amp;$K1147),"")</f>
        <v/>
      </c>
      <c r="O1147" s="43">
        <v>0</v>
      </c>
      <c r="P1147" s="43">
        <v>-144</v>
      </c>
      <c r="Q1147" s="43">
        <v>0</v>
      </c>
      <c r="R1147" s="43">
        <v>0</v>
      </c>
      <c r="S1147" s="43">
        <v>0</v>
      </c>
      <c r="T1147" s="43">
        <v>0</v>
      </c>
      <c r="U1147" s="56"/>
    </row>
    <row r="1148" spans="1:21" ht="17.25" customHeight="1" x14ac:dyDescent="0.3">
      <c r="A1148" s="15" t="s">
        <v>30</v>
      </c>
      <c r="C1148" s="19"/>
      <c r="D1148" s="33" t="str">
        <f t="shared" si="284"/>
        <v>E100016</v>
      </c>
      <c r="E1148" s="33"/>
      <c r="F1148" s="34"/>
      <c r="G1148" s="34" t="str">
        <f>"""NAV Direct"",""CRONUS JetCorp USA"",""32"",""1"",""30036"""</f>
        <v>"NAV Direct","CRONUS JetCorp USA","32","1","30036"</v>
      </c>
      <c r="H1148" s="40">
        <v>43471</v>
      </c>
      <c r="I1148" s="41">
        <v>30036</v>
      </c>
      <c r="J1148" s="42" t="str">
        <f>"Customer"</f>
        <v>Customer</v>
      </c>
      <c r="K1148" s="42" t="str">
        <f>"C100012"</f>
        <v>C100012</v>
      </c>
      <c r="L1148" s="42" t="str">
        <f>IF($J1148="Customer",_xll.NL("first",$J1148,"Name","No.","@@"&amp;$K1148),"")</f>
        <v>Bainbridges</v>
      </c>
      <c r="M1148" s="42" t="str">
        <f>""</f>
        <v/>
      </c>
      <c r="N1148" s="42" t="str">
        <f>IF($J1148="Item",_xll.NL("first",$J1148,"Description","No.","@@"&amp;$K1148),"")</f>
        <v/>
      </c>
      <c r="O1148" s="43">
        <v>0</v>
      </c>
      <c r="P1148" s="43">
        <v>-144</v>
      </c>
      <c r="Q1148" s="43">
        <v>0</v>
      </c>
      <c r="R1148" s="43">
        <v>0</v>
      </c>
      <c r="S1148" s="43">
        <v>0</v>
      </c>
      <c r="T1148" s="43">
        <v>0</v>
      </c>
      <c r="U1148" s="56"/>
    </row>
    <row r="1149" spans="1:21" ht="17.25" customHeight="1" x14ac:dyDescent="0.3">
      <c r="A1149" s="15" t="s">
        <v>30</v>
      </c>
      <c r="C1149" s="19"/>
      <c r="D1149" s="33" t="str">
        <f t="shared" si="284"/>
        <v>E100016</v>
      </c>
      <c r="E1149" s="33"/>
      <c r="F1149" s="34"/>
      <c r="G1149" s="34" t="str">
        <f>"""NAV Direct"",""CRONUS JetCorp USA"",""32"",""1"",""20339"""</f>
        <v>"NAV Direct","CRONUS JetCorp USA","32","1","20339"</v>
      </c>
      <c r="H1149" s="40">
        <v>43472</v>
      </c>
      <c r="I1149" s="41">
        <v>20339</v>
      </c>
      <c r="J1149" s="42" t="str">
        <f>"Customer"</f>
        <v>Customer</v>
      </c>
      <c r="K1149" s="42" t="str">
        <f>"C100145"</f>
        <v>C100145</v>
      </c>
      <c r="L1149" s="42" t="str">
        <f>IF($J1149="Customer",_xll.NL("first",$J1149,"Name","No.","@@"&amp;$K1149),"")</f>
        <v>Dicon Industries</v>
      </c>
      <c r="M1149" s="42" t="str">
        <f>""</f>
        <v/>
      </c>
      <c r="N1149" s="42" t="str">
        <f>IF($J1149="Item",_xll.NL("first",$J1149,"Description","No.","@@"&amp;$K1149),"")</f>
        <v/>
      </c>
      <c r="O1149" s="43">
        <v>0</v>
      </c>
      <c r="P1149" s="43">
        <v>-144</v>
      </c>
      <c r="Q1149" s="43">
        <v>0</v>
      </c>
      <c r="R1149" s="43">
        <v>0</v>
      </c>
      <c r="S1149" s="43">
        <v>0</v>
      </c>
      <c r="T1149" s="43">
        <v>0</v>
      </c>
      <c r="U1149" s="56"/>
    </row>
    <row r="1150" spans="1:21" ht="17.25" customHeight="1" x14ac:dyDescent="0.3">
      <c r="A1150" s="15" t="s">
        <v>30</v>
      </c>
      <c r="C1150" s="19"/>
      <c r="D1150" s="33" t="str">
        <f t="shared" si="284"/>
        <v>E100016</v>
      </c>
      <c r="E1150" s="33"/>
      <c r="F1150" s="34"/>
      <c r="G1150" s="34" t="str">
        <f>"""NAV Direct"",""CRONUS JetCorp USA"",""32"",""1"",""44483"""</f>
        <v>"NAV Direct","CRONUS JetCorp USA","32","1","44483"</v>
      </c>
      <c r="H1150" s="40">
        <v>43472</v>
      </c>
      <c r="I1150" s="41">
        <v>44483</v>
      </c>
      <c r="J1150" s="42" t="str">
        <f>"Customer"</f>
        <v>Customer</v>
      </c>
      <c r="K1150" s="42" t="str">
        <f>"C100141"</f>
        <v>C100141</v>
      </c>
      <c r="L1150" s="42" t="str">
        <f>IF($J1150="Customer",_xll.NL("first",$J1150,"Name","No.","@@"&amp;$K1150),"")</f>
        <v>Bargottis</v>
      </c>
      <c r="M1150" s="42" t="str">
        <f>""</f>
        <v/>
      </c>
      <c r="N1150" s="42" t="str">
        <f>IF($J1150="Item",_xll.NL("first",$J1150,"Description","No.","@@"&amp;$K1150),"")</f>
        <v/>
      </c>
      <c r="O1150" s="43">
        <v>0</v>
      </c>
      <c r="P1150" s="43">
        <v>-12</v>
      </c>
      <c r="Q1150" s="43">
        <v>0</v>
      </c>
      <c r="R1150" s="43">
        <v>0</v>
      </c>
      <c r="S1150" s="43">
        <v>0</v>
      </c>
      <c r="T1150" s="43">
        <v>0</v>
      </c>
      <c r="U1150" s="56"/>
    </row>
    <row r="1151" spans="1:21" ht="17.25" customHeight="1" x14ac:dyDescent="0.3">
      <c r="A1151" s="15" t="s">
        <v>30</v>
      </c>
      <c r="C1151" s="19"/>
      <c r="D1151" s="33" t="str">
        <f t="shared" si="284"/>
        <v>E100016</v>
      </c>
      <c r="E1151" s="33"/>
      <c r="F1151" s="34"/>
      <c r="G1151" s="34" t="str">
        <f>"""NAV Direct"",""CRONUS JetCorp USA"",""32"",""1"",""128875"""</f>
        <v>"NAV Direct","CRONUS JetCorp USA","32","1","128875"</v>
      </c>
      <c r="H1151" s="40">
        <v>43472</v>
      </c>
      <c r="I1151" s="41">
        <v>128875</v>
      </c>
      <c r="J1151" s="42" t="str">
        <f>"Customer"</f>
        <v>Customer</v>
      </c>
      <c r="K1151" s="42" t="str">
        <f>"C100105"</f>
        <v>C100105</v>
      </c>
      <c r="L1151" s="42" t="str">
        <f>IF($J1151="Customer",_xll.NL("first",$J1151,"Name","No.","@@"&amp;$K1151),"")</f>
        <v>Esystems</v>
      </c>
      <c r="M1151" s="42" t="str">
        <f>""</f>
        <v/>
      </c>
      <c r="N1151" s="42" t="str">
        <f>IF($J1151="Item",_xll.NL("first",$J1151,"Description","No.","@@"&amp;$K1151),"")</f>
        <v/>
      </c>
      <c r="O1151" s="43">
        <v>0</v>
      </c>
      <c r="P1151" s="43">
        <v>-144</v>
      </c>
      <c r="Q1151" s="43">
        <v>0</v>
      </c>
      <c r="R1151" s="43">
        <v>0</v>
      </c>
      <c r="S1151" s="43">
        <v>0</v>
      </c>
      <c r="T1151" s="43">
        <v>0</v>
      </c>
      <c r="U1151" s="56"/>
    </row>
    <row r="1152" spans="1:21" ht="17.25" customHeight="1" x14ac:dyDescent="0.3">
      <c r="A1152" s="15" t="s">
        <v>30</v>
      </c>
      <c r="C1152" s="19"/>
      <c r="D1152" s="33" t="str">
        <f t="shared" si="284"/>
        <v>E100016</v>
      </c>
      <c r="E1152" s="33"/>
      <c r="F1152" s="34"/>
      <c r="G1152" s="34" t="str">
        <f>"""NAV Direct"",""CRONUS JetCorp USA"",""32"",""1"",""20388"""</f>
        <v>"NAV Direct","CRONUS JetCorp USA","32","1","20388"</v>
      </c>
      <c r="H1152" s="40">
        <v>43473</v>
      </c>
      <c r="I1152" s="41">
        <v>20388</v>
      </c>
      <c r="J1152" s="42" t="str">
        <f>"Customer"</f>
        <v>Customer</v>
      </c>
      <c r="K1152" s="42" t="str">
        <f>"C100130"</f>
        <v>C100130</v>
      </c>
      <c r="L1152" s="42" t="str">
        <f>IF($J1152="Customer",_xll.NL("first",$J1152,"Name","No.","@@"&amp;$K1152),"")</f>
        <v>Hotspot Systems</v>
      </c>
      <c r="M1152" s="42" t="str">
        <f>""</f>
        <v/>
      </c>
      <c r="N1152" s="42" t="str">
        <f>IF($J1152="Item",_xll.NL("first",$J1152,"Description","No.","@@"&amp;$K1152),"")</f>
        <v/>
      </c>
      <c r="O1152" s="43">
        <v>0</v>
      </c>
      <c r="P1152" s="43">
        <v>-144</v>
      </c>
      <c r="Q1152" s="43">
        <v>0</v>
      </c>
      <c r="R1152" s="43">
        <v>0</v>
      </c>
      <c r="S1152" s="43">
        <v>0</v>
      </c>
      <c r="T1152" s="43">
        <v>0</v>
      </c>
      <c r="U1152" s="56"/>
    </row>
    <row r="1153" spans="1:21" ht="17.25" customHeight="1" x14ac:dyDescent="0.3">
      <c r="A1153" s="15" t="s">
        <v>30</v>
      </c>
      <c r="C1153" s="19"/>
      <c r="D1153" s="33" t="str">
        <f t="shared" si="284"/>
        <v>E100016</v>
      </c>
      <c r="E1153" s="33"/>
      <c r="F1153" s="34"/>
      <c r="G1153" s="34" t="str">
        <f>"""NAV Direct"",""CRONUS JetCorp USA"",""32"",""1"",""124547"""</f>
        <v>"NAV Direct","CRONUS JetCorp USA","32","1","124547"</v>
      </c>
      <c r="H1153" s="40">
        <v>43473</v>
      </c>
      <c r="I1153" s="41">
        <v>124547</v>
      </c>
      <c r="J1153" s="42" t="str">
        <f>"Customer"</f>
        <v>Customer</v>
      </c>
      <c r="K1153" s="42" t="str">
        <f>"C100035"</f>
        <v>C100035</v>
      </c>
      <c r="L1153" s="42" t="str">
        <f>IF($J1153="Customer",_xll.NL("first",$J1153,"Name","No.","@@"&amp;$K1153),"")</f>
        <v>First Touch Marketing</v>
      </c>
      <c r="M1153" s="42" t="str">
        <f>""</f>
        <v/>
      </c>
      <c r="N1153" s="42" t="str">
        <f>IF($J1153="Item",_xll.NL("first",$J1153,"Description","No.","@@"&amp;$K1153),"")</f>
        <v/>
      </c>
      <c r="O1153" s="43">
        <v>0</v>
      </c>
      <c r="P1153" s="43">
        <v>-289</v>
      </c>
      <c r="Q1153" s="43">
        <v>0</v>
      </c>
      <c r="R1153" s="43">
        <v>0</v>
      </c>
      <c r="S1153" s="43">
        <v>0</v>
      </c>
      <c r="T1153" s="43">
        <v>0</v>
      </c>
      <c r="U1153" s="56"/>
    </row>
    <row r="1154" spans="1:21" ht="17.25" customHeight="1" x14ac:dyDescent="0.3">
      <c r="A1154" s="15" t="s">
        <v>30</v>
      </c>
      <c r="C1154" s="19"/>
      <c r="D1154" s="33" t="str">
        <f t="shared" si="284"/>
        <v>E100016</v>
      </c>
      <c r="E1154" s="33"/>
      <c r="F1154" s="34"/>
      <c r="G1154" s="34" t="str">
        <f>"""NAV Direct"",""CRONUS JetCorp USA"",""32"",""1"",""124529"""</f>
        <v>"NAV Direct","CRONUS JetCorp USA","32","1","124529"</v>
      </c>
      <c r="H1154" s="40">
        <v>43474</v>
      </c>
      <c r="I1154" s="41">
        <v>124529</v>
      </c>
      <c r="J1154" s="42" t="str">
        <f>"Customer"</f>
        <v>Customer</v>
      </c>
      <c r="K1154" s="42" t="str">
        <f>"C100145"</f>
        <v>C100145</v>
      </c>
      <c r="L1154" s="42" t="str">
        <f>IF($J1154="Customer",_xll.NL("first",$J1154,"Name","No.","@@"&amp;$K1154),"")</f>
        <v>Dicon Industries</v>
      </c>
      <c r="M1154" s="42" t="str">
        <f>""</f>
        <v/>
      </c>
      <c r="N1154" s="42" t="str">
        <f>IF($J1154="Item",_xll.NL("first",$J1154,"Description","No.","@@"&amp;$K1154),"")</f>
        <v/>
      </c>
      <c r="O1154" s="43">
        <v>0</v>
      </c>
      <c r="P1154" s="43">
        <v>-169</v>
      </c>
      <c r="Q1154" s="43">
        <v>0</v>
      </c>
      <c r="R1154" s="43">
        <v>0</v>
      </c>
      <c r="S1154" s="43">
        <v>0</v>
      </c>
      <c r="T1154" s="43">
        <v>0</v>
      </c>
      <c r="U1154" s="56"/>
    </row>
    <row r="1155" spans="1:21" ht="17.25" customHeight="1" x14ac:dyDescent="0.3">
      <c r="A1155" s="15" t="s">
        <v>30</v>
      </c>
      <c r="C1155" s="19"/>
      <c r="D1155" s="33" t="str">
        <f t="shared" si="284"/>
        <v>E100016</v>
      </c>
      <c r="E1155" s="33"/>
      <c r="F1155" s="34"/>
      <c r="G1155" s="34" t="str">
        <f>"""NAV Direct"",""CRONUS JetCorp USA"",""32"",""1"",""135822"""</f>
        <v>"NAV Direct","CRONUS JetCorp USA","32","1","135822"</v>
      </c>
      <c r="H1155" s="40">
        <v>43474</v>
      </c>
      <c r="I1155" s="41">
        <v>135822</v>
      </c>
      <c r="J1155" s="42" t="str">
        <f>"Customer"</f>
        <v>Customer</v>
      </c>
      <c r="K1155" s="42" t="str">
        <f>"C100050"</f>
        <v>C100050</v>
      </c>
      <c r="L1155" s="42" t="str">
        <f>IF($J1155="Customer",_xll.NL("first",$J1155,"Name","No.","@@"&amp;$K1155),"")</f>
        <v>Lauritzen Kontorm¢bler A/S</v>
      </c>
      <c r="M1155" s="42" t="str">
        <f>""</f>
        <v/>
      </c>
      <c r="N1155" s="42" t="str">
        <f>IF($J1155="Item",_xll.NL("first",$J1155,"Description","No.","@@"&amp;$K1155),"")</f>
        <v/>
      </c>
      <c r="O1155" s="43">
        <v>0</v>
      </c>
      <c r="P1155" s="43">
        <v>-1</v>
      </c>
      <c r="Q1155" s="43">
        <v>0</v>
      </c>
      <c r="R1155" s="43">
        <v>0</v>
      </c>
      <c r="S1155" s="43">
        <v>0</v>
      </c>
      <c r="T1155" s="43">
        <v>0</v>
      </c>
      <c r="U1155" s="56"/>
    </row>
    <row r="1156" spans="1:21" ht="17.25" customHeight="1" x14ac:dyDescent="0.3">
      <c r="A1156" s="15" t="s">
        <v>30</v>
      </c>
      <c r="C1156" s="19"/>
      <c r="D1156" s="33" t="str">
        <f t="shared" si="284"/>
        <v>E100016</v>
      </c>
      <c r="E1156" s="33"/>
      <c r="F1156" s="34"/>
      <c r="G1156" s="34" t="str">
        <f>"""NAV Direct"",""CRONUS JetCorp USA"",""32"",""1"",""20357"""</f>
        <v>"NAV Direct","CRONUS JetCorp USA","32","1","20357"</v>
      </c>
      <c r="H1156" s="40">
        <v>43475</v>
      </c>
      <c r="I1156" s="41">
        <v>20357</v>
      </c>
      <c r="J1156" s="42" t="str">
        <f>"Customer"</f>
        <v>Customer</v>
      </c>
      <c r="K1156" s="42" t="str">
        <f>"C100097"</f>
        <v>C100097</v>
      </c>
      <c r="L1156" s="42" t="str">
        <f>IF($J1156="Customer",_xll.NL("first",$J1156,"Name","No.","@@"&amp;$K1156),"")</f>
        <v>Solotech</v>
      </c>
      <c r="M1156" s="42" t="str">
        <f>""</f>
        <v/>
      </c>
      <c r="N1156" s="42" t="str">
        <f>IF($J1156="Item",_xll.NL("first",$J1156,"Description","No.","@@"&amp;$K1156),"")</f>
        <v/>
      </c>
      <c r="O1156" s="43">
        <v>0</v>
      </c>
      <c r="P1156" s="43">
        <v>-144</v>
      </c>
      <c r="Q1156" s="43">
        <v>0</v>
      </c>
      <c r="R1156" s="43">
        <v>0</v>
      </c>
      <c r="S1156" s="43">
        <v>0</v>
      </c>
      <c r="T1156" s="43">
        <v>0</v>
      </c>
      <c r="U1156" s="56"/>
    </row>
    <row r="1157" spans="1:21" ht="17.25" customHeight="1" x14ac:dyDescent="0.3">
      <c r="A1157" s="15" t="s">
        <v>30</v>
      </c>
      <c r="C1157" s="19"/>
      <c r="D1157" s="33" t="str">
        <f t="shared" si="284"/>
        <v>E100016</v>
      </c>
      <c r="E1157" s="33"/>
      <c r="F1157" s="34"/>
      <c r="G1157" s="34" t="str">
        <f>"""NAV Direct"",""CRONUS JetCorp USA"",""32"",""1"",""20416"""</f>
        <v>"NAV Direct","CRONUS JetCorp USA","32","1","20416"</v>
      </c>
      <c r="H1157" s="40">
        <v>43475</v>
      </c>
      <c r="I1157" s="41">
        <v>20416</v>
      </c>
      <c r="J1157" s="42" t="str">
        <f>"Customer"</f>
        <v>Customer</v>
      </c>
      <c r="K1157" s="42" t="str">
        <f>"C100130"</f>
        <v>C100130</v>
      </c>
      <c r="L1157" s="42" t="str">
        <f>IF($J1157="Customer",_xll.NL("first",$J1157,"Name","No.","@@"&amp;$K1157),"")</f>
        <v>Hotspot Systems</v>
      </c>
      <c r="M1157" s="42" t="str">
        <f>""</f>
        <v/>
      </c>
      <c r="N1157" s="42" t="str">
        <f>IF($J1157="Item",_xll.NL("first",$J1157,"Description","No.","@@"&amp;$K1157),"")</f>
        <v/>
      </c>
      <c r="O1157" s="43">
        <v>0</v>
      </c>
      <c r="P1157" s="43">
        <v>-1</v>
      </c>
      <c r="Q1157" s="43">
        <v>0</v>
      </c>
      <c r="R1157" s="43">
        <v>0</v>
      </c>
      <c r="S1157" s="43">
        <v>0</v>
      </c>
      <c r="T1157" s="43">
        <v>0</v>
      </c>
      <c r="U1157" s="56"/>
    </row>
    <row r="1158" spans="1:21" ht="17.25" customHeight="1" x14ac:dyDescent="0.3">
      <c r="A1158" s="15" t="s">
        <v>30</v>
      </c>
      <c r="C1158" s="19"/>
      <c r="D1158" s="33" t="str">
        <f t="shared" si="284"/>
        <v>E100016</v>
      </c>
      <c r="E1158" s="33"/>
      <c r="F1158" s="34"/>
      <c r="G1158" s="34" t="str">
        <f>"""NAV Direct"",""CRONUS JetCorp USA"",""32"",""1"",""36485"""</f>
        <v>"NAV Direct","CRONUS JetCorp USA","32","1","36485"</v>
      </c>
      <c r="H1158" s="40">
        <v>43475</v>
      </c>
      <c r="I1158" s="41">
        <v>36485</v>
      </c>
      <c r="J1158" s="42" t="str">
        <f>"Customer"</f>
        <v>Customer</v>
      </c>
      <c r="K1158" s="42" t="str">
        <f>"C100063"</f>
        <v>C100063</v>
      </c>
      <c r="L1158" s="42" t="str">
        <f>IF($J1158="Customer",_xll.NL("first",$J1158,"Name","No.","@@"&amp;$K1158),"")</f>
        <v>Möbel Scherrer AG</v>
      </c>
      <c r="M1158" s="42" t="str">
        <f>""</f>
        <v/>
      </c>
      <c r="N1158" s="42" t="str">
        <f>IF($J1158="Item",_xll.NL("first",$J1158,"Description","No.","@@"&amp;$K1158),"")</f>
        <v/>
      </c>
      <c r="O1158" s="43">
        <v>0</v>
      </c>
      <c r="P1158" s="43">
        <v>-24</v>
      </c>
      <c r="Q1158" s="43">
        <v>0</v>
      </c>
      <c r="R1158" s="43">
        <v>0</v>
      </c>
      <c r="S1158" s="43">
        <v>0</v>
      </c>
      <c r="T1158" s="43">
        <v>0</v>
      </c>
      <c r="U1158" s="56"/>
    </row>
    <row r="1159" spans="1:21" ht="17.25" customHeight="1" x14ac:dyDescent="0.3">
      <c r="A1159" s="15" t="s">
        <v>30</v>
      </c>
      <c r="C1159" s="19"/>
      <c r="D1159" s="33" t="str">
        <f t="shared" si="284"/>
        <v>E100016</v>
      </c>
      <c r="E1159" s="33"/>
      <c r="F1159" s="34"/>
      <c r="G1159" s="34" t="str">
        <f>"""NAV Direct"",""CRONUS JetCorp USA"",""32"",""1"",""64617"""</f>
        <v>"NAV Direct","CRONUS JetCorp USA","32","1","64617"</v>
      </c>
      <c r="H1159" s="40">
        <v>43475</v>
      </c>
      <c r="I1159" s="41">
        <v>64617</v>
      </c>
      <c r="J1159" s="42" t="str">
        <f>"Customer"</f>
        <v>Customer</v>
      </c>
      <c r="K1159" s="42" t="str">
        <f>"C100136"</f>
        <v>C100136</v>
      </c>
      <c r="L1159" s="42" t="str">
        <f>IF($J1159="Customer",_xll.NL("first",$J1159,"Name","No.","@@"&amp;$K1159),"")</f>
        <v>First Bank</v>
      </c>
      <c r="M1159" s="42" t="str">
        <f>""</f>
        <v/>
      </c>
      <c r="N1159" s="42" t="str">
        <f>IF($J1159="Item",_xll.NL("first",$J1159,"Description","No.","@@"&amp;$K1159),"")</f>
        <v/>
      </c>
      <c r="O1159" s="43">
        <v>0</v>
      </c>
      <c r="P1159" s="43">
        <v>-144</v>
      </c>
      <c r="Q1159" s="43">
        <v>0</v>
      </c>
      <c r="R1159" s="43">
        <v>0</v>
      </c>
      <c r="S1159" s="43">
        <v>0</v>
      </c>
      <c r="T1159" s="43">
        <v>0</v>
      </c>
      <c r="U1159" s="56"/>
    </row>
    <row r="1160" spans="1:21" ht="17.25" customHeight="1" x14ac:dyDescent="0.3">
      <c r="A1160" s="15" t="s">
        <v>30</v>
      </c>
      <c r="C1160" s="19"/>
      <c r="D1160" s="33" t="str">
        <f t="shared" si="284"/>
        <v>E100016</v>
      </c>
      <c r="E1160" s="33"/>
      <c r="F1160" s="34"/>
      <c r="G1160" s="34" t="str">
        <f>"""NAV Direct"",""CRONUS JetCorp USA"",""32"",""1"",""124593"""</f>
        <v>"NAV Direct","CRONUS JetCorp USA","32","1","124593"</v>
      </c>
      <c r="H1160" s="40">
        <v>43475</v>
      </c>
      <c r="I1160" s="41">
        <v>124593</v>
      </c>
      <c r="J1160" s="42" t="str">
        <f>"Customer"</f>
        <v>Customer</v>
      </c>
      <c r="K1160" s="42" t="str">
        <f>"C100035"</f>
        <v>C100035</v>
      </c>
      <c r="L1160" s="42" t="str">
        <f>IF($J1160="Customer",_xll.NL("first",$J1160,"Name","No.","@@"&amp;$K1160),"")</f>
        <v>First Touch Marketing</v>
      </c>
      <c r="M1160" s="42" t="str">
        <f>""</f>
        <v/>
      </c>
      <c r="N1160" s="42" t="str">
        <f>IF($J1160="Item",_xll.NL("first",$J1160,"Description","No.","@@"&amp;$K1160),"")</f>
        <v/>
      </c>
      <c r="O1160" s="43">
        <v>0</v>
      </c>
      <c r="P1160" s="43">
        <v>-144</v>
      </c>
      <c r="Q1160" s="43">
        <v>0</v>
      </c>
      <c r="R1160" s="43">
        <v>0</v>
      </c>
      <c r="S1160" s="43">
        <v>0</v>
      </c>
      <c r="T1160" s="43">
        <v>0</v>
      </c>
      <c r="U1160" s="56"/>
    </row>
    <row r="1161" spans="1:21" ht="17.25" customHeight="1" x14ac:dyDescent="0.3">
      <c r="A1161" s="15" t="s">
        <v>30</v>
      </c>
      <c r="C1161" s="19"/>
      <c r="D1161" s="33"/>
      <c r="E1161" s="33"/>
      <c r="F1161" s="34"/>
      <c r="G1161" s="34"/>
      <c r="H1161" s="34"/>
      <c r="I1161" s="34"/>
      <c r="J1161" s="34"/>
      <c r="K1161" s="34"/>
      <c r="L1161" s="34"/>
      <c r="M1161" s="34"/>
      <c r="N1161" s="34"/>
      <c r="O1161" s="44"/>
      <c r="P1161" s="44"/>
      <c r="Q1161" s="44"/>
      <c r="R1161" s="44"/>
      <c r="S1161" s="44"/>
      <c r="T1161" s="44"/>
      <c r="U1161" s="57"/>
    </row>
    <row r="1162" spans="1:21" ht="17.25" customHeight="1" x14ac:dyDescent="0.3">
      <c r="A1162" s="15" t="s">
        <v>30</v>
      </c>
      <c r="C1162" s="19"/>
      <c r="D1162" s="33"/>
      <c r="E1162" s="33" t="s">
        <v>31</v>
      </c>
      <c r="F1162" s="34" t="s">
        <v>31</v>
      </c>
      <c r="G1162" s="34" t="s">
        <v>31</v>
      </c>
      <c r="H1162" s="34"/>
      <c r="I1162" s="34"/>
      <c r="J1162" s="34" t="s">
        <v>31</v>
      </c>
      <c r="K1162" s="34" t="s">
        <v>31</v>
      </c>
      <c r="L1162" s="34" t="s">
        <v>31</v>
      </c>
      <c r="M1162" s="34" t="s">
        <v>31</v>
      </c>
      <c r="N1162" s="34"/>
      <c r="U1162" s="58"/>
    </row>
    <row r="1163" spans="1:21" ht="20.25" customHeight="1" x14ac:dyDescent="0.35">
      <c r="A1163" s="15" t="s">
        <v>30</v>
      </c>
      <c r="C1163" s="19"/>
      <c r="D1163" s="35" t="str">
        <f t="shared" ref="D1163" si="285">E1163</f>
        <v>E100017</v>
      </c>
      <c r="E1163" s="36" t="str">
        <f>"E100017"</f>
        <v>E100017</v>
      </c>
      <c r="F1163" s="37" t="str">
        <f>"Clip-on Clock with Compass"</f>
        <v>Clip-on Clock with Compass</v>
      </c>
      <c r="G1163" s="37"/>
      <c r="H1163" s="38" t="str">
        <f>"EA"</f>
        <v>EA</v>
      </c>
      <c r="I1163" s="37"/>
      <c r="J1163" s="37"/>
      <c r="K1163" s="37"/>
      <c r="L1163" s="37"/>
      <c r="M1163" s="37"/>
      <c r="N1163" s="37"/>
      <c r="O1163" s="39">
        <f>(SUBTOTAL(9,O1164:O1185))</f>
        <v>6600</v>
      </c>
      <c r="P1163" s="39">
        <f>(SUBTOTAL(9,P1164:P1185))</f>
        <v>-1688</v>
      </c>
      <c r="Q1163" s="39">
        <f>(SUBTOTAL(9,Q1164:Q1185))</f>
        <v>0</v>
      </c>
      <c r="R1163" s="39">
        <f>(SUBTOTAL(9,R1164:R1185))</f>
        <v>0</v>
      </c>
      <c r="S1163" s="39">
        <f>(SUBTOTAL(9,S1164:S1185))</f>
        <v>0</v>
      </c>
      <c r="T1163" s="39">
        <f>(SUBTOTAL(9,T1164:T1185))</f>
        <v>0</v>
      </c>
      <c r="U1163" s="55">
        <f t="shared" ref="U1163" si="286">SUBTOTAL(9,O1164:T1185)</f>
        <v>4912</v>
      </c>
    </row>
    <row r="1164" spans="1:21" ht="17.25" customHeight="1" x14ac:dyDescent="0.3">
      <c r="A1164" s="15" t="s">
        <v>30</v>
      </c>
      <c r="C1164" s="19"/>
      <c r="D1164" s="33" t="str">
        <f t="shared" ref="D1164" si="287">D1163</f>
        <v>E100017</v>
      </c>
      <c r="E1164" s="33"/>
      <c r="F1164" s="34"/>
      <c r="G1164" s="34" t="str">
        <f>"""NAV Direct"",""CRONUS JetCorp USA"",""32"",""1"",""167513"""</f>
        <v>"NAV Direct","CRONUS JetCorp USA","32","1","167513"</v>
      </c>
      <c r="H1164" s="40">
        <v>43466</v>
      </c>
      <c r="I1164" s="41">
        <v>167513</v>
      </c>
      <c r="J1164" s="42" t="str">
        <f>"Vendor"</f>
        <v>Vendor</v>
      </c>
      <c r="K1164" s="42" t="str">
        <f>"V100009"</f>
        <v>V100009</v>
      </c>
      <c r="L1164" s="42" t="str">
        <f>IF($J1164="Customer",_xll.NL("first",$J1164,"Name","No.","@@"&amp;$K1164),"")</f>
        <v/>
      </c>
      <c r="M1164" s="42" t="str">
        <f>"Malay-Dan Export Unit Sdn Bhd"</f>
        <v>Malay-Dan Export Unit Sdn Bhd</v>
      </c>
      <c r="N1164" s="42" t="str">
        <f>IF($J1164="Item",_xll.NL("first",$J1164,"Description","No.","@@"&amp;$K1164),"")</f>
        <v/>
      </c>
      <c r="O1164" s="43">
        <v>400</v>
      </c>
      <c r="P1164" s="43">
        <v>0</v>
      </c>
      <c r="Q1164" s="43">
        <v>0</v>
      </c>
      <c r="R1164" s="43">
        <v>0</v>
      </c>
      <c r="S1164" s="43">
        <v>0</v>
      </c>
      <c r="T1164" s="43">
        <v>0</v>
      </c>
      <c r="U1164" s="56"/>
    </row>
    <row r="1165" spans="1:21" ht="17.25" customHeight="1" x14ac:dyDescent="0.3">
      <c r="A1165" s="15" t="s">
        <v>30</v>
      </c>
      <c r="C1165" s="19"/>
      <c r="D1165" s="33" t="str">
        <f t="shared" ref="D1165:D1184" si="288">D1164</f>
        <v>E100017</v>
      </c>
      <c r="E1165" s="33"/>
      <c r="F1165" s="34"/>
      <c r="G1165" s="34" t="str">
        <f>"""NAV Direct"",""CRONUS JetCorp USA"",""32"",""1"",""167531"""</f>
        <v>"NAV Direct","CRONUS JetCorp USA","32","1","167531"</v>
      </c>
      <c r="H1165" s="40">
        <v>43466</v>
      </c>
      <c r="I1165" s="41">
        <v>167531</v>
      </c>
      <c r="J1165" s="42" t="str">
        <f>"Vendor"</f>
        <v>Vendor</v>
      </c>
      <c r="K1165" s="42" t="str">
        <f>"V100040"</f>
        <v>V100040</v>
      </c>
      <c r="L1165" s="42" t="str">
        <f>IF($J1165="Customer",_xll.NL("first",$J1165,"Name","No.","@@"&amp;$K1165),"")</f>
        <v/>
      </c>
      <c r="M1165" s="42" t="str">
        <f>"Technische Betriebe Rotkreuz"</f>
        <v>Technische Betriebe Rotkreuz</v>
      </c>
      <c r="N1165" s="42" t="str">
        <f>IF($J1165="Item",_xll.NL("first",$J1165,"Description","No.","@@"&amp;$K1165),"")</f>
        <v/>
      </c>
      <c r="O1165" s="43">
        <v>600</v>
      </c>
      <c r="P1165" s="43">
        <v>0</v>
      </c>
      <c r="Q1165" s="43">
        <v>0</v>
      </c>
      <c r="R1165" s="43">
        <v>0</v>
      </c>
      <c r="S1165" s="43">
        <v>0</v>
      </c>
      <c r="T1165" s="43">
        <v>0</v>
      </c>
      <c r="U1165" s="56"/>
    </row>
    <row r="1166" spans="1:21" ht="17.25" customHeight="1" x14ac:dyDescent="0.3">
      <c r="A1166" s="15" t="s">
        <v>30</v>
      </c>
      <c r="C1166" s="19"/>
      <c r="D1166" s="33" t="str">
        <f t="shared" si="288"/>
        <v>E100017</v>
      </c>
      <c r="E1166" s="33"/>
      <c r="F1166" s="34"/>
      <c r="G1166" s="34" t="str">
        <f>"""NAV Direct"",""CRONUS JetCorp USA"",""32"",""1"",""167556"""</f>
        <v>"NAV Direct","CRONUS JetCorp USA","32","1","167556"</v>
      </c>
      <c r="H1166" s="40">
        <v>43466</v>
      </c>
      <c r="I1166" s="41">
        <v>167556</v>
      </c>
      <c r="J1166" s="42" t="str">
        <f>"Vendor"</f>
        <v>Vendor</v>
      </c>
      <c r="K1166" s="42" t="str">
        <f>"V100007"</f>
        <v>V100007</v>
      </c>
      <c r="L1166" s="42" t="str">
        <f>IF($J1166="Customer",_xll.NL("first",$J1166,"Name","No.","@@"&amp;$K1166),"")</f>
        <v/>
      </c>
      <c r="M1166" s="42" t="str">
        <f>"TrendTech"</f>
        <v>TrendTech</v>
      </c>
      <c r="N1166" s="42" t="str">
        <f>IF($J1166="Item",_xll.NL("first",$J1166,"Description","No.","@@"&amp;$K1166),"")</f>
        <v/>
      </c>
      <c r="O1166" s="43">
        <v>800</v>
      </c>
      <c r="P1166" s="43">
        <v>0</v>
      </c>
      <c r="Q1166" s="43">
        <v>0</v>
      </c>
      <c r="R1166" s="43">
        <v>0</v>
      </c>
      <c r="S1166" s="43">
        <v>0</v>
      </c>
      <c r="T1166" s="43">
        <v>0</v>
      </c>
      <c r="U1166" s="56"/>
    </row>
    <row r="1167" spans="1:21" ht="17.25" customHeight="1" x14ac:dyDescent="0.3">
      <c r="A1167" s="15" t="s">
        <v>30</v>
      </c>
      <c r="C1167" s="19"/>
      <c r="D1167" s="33" t="str">
        <f t="shared" si="288"/>
        <v>E100017</v>
      </c>
      <c r="E1167" s="33"/>
      <c r="F1167" s="34"/>
      <c r="G1167" s="34" t="str">
        <f>"""NAV Direct"",""CRONUS JetCorp USA"",""32"",""1"",""167575"""</f>
        <v>"NAV Direct","CRONUS JetCorp USA","32","1","167575"</v>
      </c>
      <c r="H1167" s="40">
        <v>43466</v>
      </c>
      <c r="I1167" s="41">
        <v>167575</v>
      </c>
      <c r="J1167" s="42" t="str">
        <f>"Vendor"</f>
        <v>Vendor</v>
      </c>
      <c r="K1167" s="42" t="str">
        <f>"V100001"</f>
        <v>V100001</v>
      </c>
      <c r="L1167" s="42" t="str">
        <f>IF($J1167="Customer",_xll.NL("first",$J1167,"Name","No.","@@"&amp;$K1167),"")</f>
        <v/>
      </c>
      <c r="M1167" s="42" t="str">
        <f>"Greigner, Inc."</f>
        <v>Greigner, Inc.</v>
      </c>
      <c r="N1167" s="42" t="str">
        <f>IF($J1167="Item",_xll.NL("first",$J1167,"Description","No.","@@"&amp;$K1167),"")</f>
        <v/>
      </c>
      <c r="O1167" s="43">
        <v>2400</v>
      </c>
      <c r="P1167" s="43">
        <v>0</v>
      </c>
      <c r="Q1167" s="43">
        <v>0</v>
      </c>
      <c r="R1167" s="43">
        <v>0</v>
      </c>
      <c r="S1167" s="43">
        <v>0</v>
      </c>
      <c r="T1167" s="43">
        <v>0</v>
      </c>
      <c r="U1167" s="56"/>
    </row>
    <row r="1168" spans="1:21" ht="17.25" customHeight="1" x14ac:dyDescent="0.3">
      <c r="A1168" s="15" t="s">
        <v>30</v>
      </c>
      <c r="C1168" s="19"/>
      <c r="D1168" s="33" t="str">
        <f t="shared" si="288"/>
        <v>E100017</v>
      </c>
      <c r="E1168" s="33"/>
      <c r="F1168" s="34"/>
      <c r="G1168" s="34" t="str">
        <f>"""NAV Direct"",""CRONUS JetCorp USA"",""32"",""1"",""167591"""</f>
        <v>"NAV Direct","CRONUS JetCorp USA","32","1","167591"</v>
      </c>
      <c r="H1168" s="40">
        <v>43466</v>
      </c>
      <c r="I1168" s="41">
        <v>167591</v>
      </c>
      <c r="J1168" s="42" t="str">
        <f>"Vendor"</f>
        <v>Vendor</v>
      </c>
      <c r="K1168" s="42" t="str">
        <f>"V100047"</f>
        <v>V100047</v>
      </c>
      <c r="L1168" s="42" t="str">
        <f>IF($J1168="Customer",_xll.NL("first",$J1168,"Name","No.","@@"&amp;$K1168),"")</f>
        <v/>
      </c>
      <c r="M1168" s="42" t="str">
        <f>"WoodMart Supply Co."</f>
        <v>WoodMart Supply Co.</v>
      </c>
      <c r="N1168" s="42" t="str">
        <f>IF($J1168="Item",_xll.NL("first",$J1168,"Description","No.","@@"&amp;$K1168),"")</f>
        <v/>
      </c>
      <c r="O1168" s="43">
        <v>200</v>
      </c>
      <c r="P1168" s="43">
        <v>0</v>
      </c>
      <c r="Q1168" s="43">
        <v>0</v>
      </c>
      <c r="R1168" s="43">
        <v>0</v>
      </c>
      <c r="S1168" s="43">
        <v>0</v>
      </c>
      <c r="T1168" s="43">
        <v>0</v>
      </c>
      <c r="U1168" s="56"/>
    </row>
    <row r="1169" spans="1:21" ht="17.25" customHeight="1" x14ac:dyDescent="0.3">
      <c r="A1169" s="15" t="s">
        <v>30</v>
      </c>
      <c r="C1169" s="19"/>
      <c r="D1169" s="33" t="str">
        <f t="shared" si="288"/>
        <v>E100017</v>
      </c>
      <c r="E1169" s="33"/>
      <c r="F1169" s="34"/>
      <c r="G1169" s="34" t="str">
        <f>"""NAV Direct"",""CRONUS JetCorp USA"",""32"",""1"",""167604"""</f>
        <v>"NAV Direct","CRONUS JetCorp USA","32","1","167604"</v>
      </c>
      <c r="H1169" s="40">
        <v>43466</v>
      </c>
      <c r="I1169" s="41">
        <v>167604</v>
      </c>
      <c r="J1169" s="42" t="str">
        <f>"Vendor"</f>
        <v>Vendor</v>
      </c>
      <c r="K1169" s="42" t="str">
        <f>"V100003"</f>
        <v>V100003</v>
      </c>
      <c r="L1169" s="42" t="str">
        <f>IF($J1169="Customer",_xll.NL("first",$J1169,"Name","No.","@@"&amp;$K1169),"")</f>
        <v/>
      </c>
      <c r="M1169" s="42" t="str">
        <f>"LogoMasters"</f>
        <v>LogoMasters</v>
      </c>
      <c r="N1169" s="42" t="str">
        <f>IF($J1169="Item",_xll.NL("first",$J1169,"Description","No.","@@"&amp;$K1169),"")</f>
        <v/>
      </c>
      <c r="O1169" s="43">
        <v>1800</v>
      </c>
      <c r="P1169" s="43">
        <v>0</v>
      </c>
      <c r="Q1169" s="43">
        <v>0</v>
      </c>
      <c r="R1169" s="43">
        <v>0</v>
      </c>
      <c r="S1169" s="43">
        <v>0</v>
      </c>
      <c r="T1169" s="43">
        <v>0</v>
      </c>
      <c r="U1169" s="56"/>
    </row>
    <row r="1170" spans="1:21" ht="17.25" customHeight="1" x14ac:dyDescent="0.3">
      <c r="A1170" s="15" t="s">
        <v>30</v>
      </c>
      <c r="C1170" s="19"/>
      <c r="D1170" s="33" t="str">
        <f t="shared" si="288"/>
        <v>E100017</v>
      </c>
      <c r="E1170" s="33"/>
      <c r="F1170" s="34"/>
      <c r="G1170" s="34" t="str">
        <f>"""NAV Direct"",""CRONUS JetCorp USA"",""32"",""1"",""167620"""</f>
        <v>"NAV Direct","CRONUS JetCorp USA","32","1","167620"</v>
      </c>
      <c r="H1170" s="40">
        <v>43466</v>
      </c>
      <c r="I1170" s="41">
        <v>167620</v>
      </c>
      <c r="J1170" s="42" t="str">
        <f>"Vendor"</f>
        <v>Vendor</v>
      </c>
      <c r="K1170" s="42" t="str">
        <f>"V100001"</f>
        <v>V100001</v>
      </c>
      <c r="L1170" s="42" t="str">
        <f>IF($J1170="Customer",_xll.NL("first",$J1170,"Name","No.","@@"&amp;$K1170),"")</f>
        <v/>
      </c>
      <c r="M1170" s="42" t="str">
        <f>"Greigner, Inc."</f>
        <v>Greigner, Inc.</v>
      </c>
      <c r="N1170" s="42" t="str">
        <f>IF($J1170="Item",_xll.NL("first",$J1170,"Description","No.","@@"&amp;$K1170),"")</f>
        <v/>
      </c>
      <c r="O1170" s="43">
        <v>400</v>
      </c>
      <c r="P1170" s="43">
        <v>0</v>
      </c>
      <c r="Q1170" s="43">
        <v>0</v>
      </c>
      <c r="R1170" s="43">
        <v>0</v>
      </c>
      <c r="S1170" s="43">
        <v>0</v>
      </c>
      <c r="T1170" s="43">
        <v>0</v>
      </c>
      <c r="U1170" s="56"/>
    </row>
    <row r="1171" spans="1:21" ht="17.25" customHeight="1" x14ac:dyDescent="0.3">
      <c r="A1171" s="15" t="s">
        <v>30</v>
      </c>
      <c r="C1171" s="19"/>
      <c r="D1171" s="33" t="str">
        <f t="shared" si="288"/>
        <v>E100017</v>
      </c>
      <c r="E1171" s="33"/>
      <c r="F1171" s="34"/>
      <c r="G1171" s="34" t="str">
        <f>"""NAV Direct"",""CRONUS JetCorp USA"",""32"",""1"",""132516"""</f>
        <v>"NAV Direct","CRONUS JetCorp USA","32","1","132516"</v>
      </c>
      <c r="H1171" s="40">
        <v>43470</v>
      </c>
      <c r="I1171" s="41">
        <v>132516</v>
      </c>
      <c r="J1171" s="42" t="str">
        <f>"Customer"</f>
        <v>Customer</v>
      </c>
      <c r="K1171" s="42" t="str">
        <f>"C100029"</f>
        <v>C100029</v>
      </c>
      <c r="L1171" s="42" t="str">
        <f>IF($J1171="Customer",_xll.NL("first",$J1171,"Name","No.","@@"&amp;$K1171),"")</f>
        <v>Elkhorn Airport</v>
      </c>
      <c r="M1171" s="42" t="str">
        <f>""</f>
        <v/>
      </c>
      <c r="N1171" s="42" t="str">
        <f>IF($J1171="Item",_xll.NL("first",$J1171,"Description","No.","@@"&amp;$K1171),"")</f>
        <v/>
      </c>
      <c r="O1171" s="43">
        <v>0</v>
      </c>
      <c r="P1171" s="43">
        <v>-6</v>
      </c>
      <c r="Q1171" s="43">
        <v>0</v>
      </c>
      <c r="R1171" s="43">
        <v>0</v>
      </c>
      <c r="S1171" s="43">
        <v>0</v>
      </c>
      <c r="T1171" s="43">
        <v>0</v>
      </c>
      <c r="U1171" s="56"/>
    </row>
    <row r="1172" spans="1:21" ht="17.25" customHeight="1" x14ac:dyDescent="0.3">
      <c r="A1172" s="15" t="s">
        <v>30</v>
      </c>
      <c r="C1172" s="19"/>
      <c r="D1172" s="33" t="str">
        <f t="shared" si="288"/>
        <v>E100017</v>
      </c>
      <c r="E1172" s="33"/>
      <c r="F1172" s="34"/>
      <c r="G1172" s="34" t="str">
        <f>"""NAV Direct"",""CRONUS JetCorp USA"",""32"",""1"",""153169"""</f>
        <v>"NAV Direct","CRONUS JetCorp USA","32","1","153169"</v>
      </c>
      <c r="H1172" s="40">
        <v>43470</v>
      </c>
      <c r="I1172" s="41">
        <v>153169</v>
      </c>
      <c r="J1172" s="42" t="str">
        <f>"Customer"</f>
        <v>Customer</v>
      </c>
      <c r="K1172" s="42" t="str">
        <f>"C100136"</f>
        <v>C100136</v>
      </c>
      <c r="L1172" s="42" t="str">
        <f>IF($J1172="Customer",_xll.NL("first",$J1172,"Name","No.","@@"&amp;$K1172),"")</f>
        <v>First Bank</v>
      </c>
      <c r="M1172" s="42" t="str">
        <f>""</f>
        <v/>
      </c>
      <c r="N1172" s="42" t="str">
        <f>IF($J1172="Item",_xll.NL("first",$J1172,"Description","No.","@@"&amp;$K1172),"")</f>
        <v/>
      </c>
      <c r="O1172" s="43">
        <v>0</v>
      </c>
      <c r="P1172" s="43">
        <v>-144</v>
      </c>
      <c r="Q1172" s="43">
        <v>0</v>
      </c>
      <c r="R1172" s="43">
        <v>0</v>
      </c>
      <c r="S1172" s="43">
        <v>0</v>
      </c>
      <c r="T1172" s="43">
        <v>0</v>
      </c>
      <c r="U1172" s="56"/>
    </row>
    <row r="1173" spans="1:21" ht="17.25" customHeight="1" x14ac:dyDescent="0.3">
      <c r="A1173" s="15" t="s">
        <v>30</v>
      </c>
      <c r="C1173" s="19"/>
      <c r="D1173" s="33" t="str">
        <f t="shared" si="288"/>
        <v>E100017</v>
      </c>
      <c r="E1173" s="33"/>
      <c r="F1173" s="34"/>
      <c r="G1173" s="34" t="str">
        <f>"""NAV Direct"",""CRONUS JetCorp USA"",""32"",""1"",""30041"""</f>
        <v>"NAV Direct","CRONUS JetCorp USA","32","1","30041"</v>
      </c>
      <c r="H1173" s="40">
        <v>43471</v>
      </c>
      <c r="I1173" s="41">
        <v>30041</v>
      </c>
      <c r="J1173" s="42" t="str">
        <f>"Customer"</f>
        <v>Customer</v>
      </c>
      <c r="K1173" s="42" t="str">
        <f>"C100012"</f>
        <v>C100012</v>
      </c>
      <c r="L1173" s="42" t="str">
        <f>IF($J1173="Customer",_xll.NL("first",$J1173,"Name","No.","@@"&amp;$K1173),"")</f>
        <v>Bainbridges</v>
      </c>
      <c r="M1173" s="42" t="str">
        <f>""</f>
        <v/>
      </c>
      <c r="N1173" s="42" t="str">
        <f>IF($J1173="Item",_xll.NL("first",$J1173,"Description","No.","@@"&amp;$K1173),"")</f>
        <v/>
      </c>
      <c r="O1173" s="43">
        <v>0</v>
      </c>
      <c r="P1173" s="43">
        <v>-48</v>
      </c>
      <c r="Q1173" s="43">
        <v>0</v>
      </c>
      <c r="R1173" s="43">
        <v>0</v>
      </c>
      <c r="S1173" s="43">
        <v>0</v>
      </c>
      <c r="T1173" s="43">
        <v>0</v>
      </c>
      <c r="U1173" s="56"/>
    </row>
    <row r="1174" spans="1:21" ht="17.25" customHeight="1" x14ac:dyDescent="0.3">
      <c r="A1174" s="15" t="s">
        <v>30</v>
      </c>
      <c r="C1174" s="19"/>
      <c r="D1174" s="33" t="str">
        <f t="shared" si="288"/>
        <v>E100017</v>
      </c>
      <c r="E1174" s="33"/>
      <c r="F1174" s="34"/>
      <c r="G1174" s="34" t="str">
        <f>"""NAV Direct"",""CRONUS JetCorp USA"",""32"",""1"",""72519"""</f>
        <v>"NAV Direct","CRONUS JetCorp USA","32","1","72519"</v>
      </c>
      <c r="H1174" s="40">
        <v>43471</v>
      </c>
      <c r="I1174" s="41">
        <v>72519</v>
      </c>
      <c r="J1174" s="42" t="str">
        <f>"Customer"</f>
        <v>Customer</v>
      </c>
      <c r="K1174" s="42" t="str">
        <f>"C100107"</f>
        <v>C100107</v>
      </c>
      <c r="L1174" s="42" t="str">
        <f>IF($J1174="Customer",_xll.NL("first",$J1174,"Name","No.","@@"&amp;$K1174),"")</f>
        <v>Lexitechnology</v>
      </c>
      <c r="M1174" s="42" t="str">
        <f>""</f>
        <v/>
      </c>
      <c r="N1174" s="42" t="str">
        <f>IF($J1174="Item",_xll.NL("first",$J1174,"Description","No.","@@"&amp;$K1174),"")</f>
        <v/>
      </c>
      <c r="O1174" s="43">
        <v>0</v>
      </c>
      <c r="P1174" s="43">
        <v>-144</v>
      </c>
      <c r="Q1174" s="43">
        <v>0</v>
      </c>
      <c r="R1174" s="43">
        <v>0</v>
      </c>
      <c r="S1174" s="43">
        <v>0</v>
      </c>
      <c r="T1174" s="43">
        <v>0</v>
      </c>
      <c r="U1174" s="56"/>
    </row>
    <row r="1175" spans="1:21" ht="17.25" customHeight="1" x14ac:dyDescent="0.3">
      <c r="A1175" s="15" t="s">
        <v>30</v>
      </c>
      <c r="C1175" s="19"/>
      <c r="D1175" s="33" t="str">
        <f t="shared" si="288"/>
        <v>E100017</v>
      </c>
      <c r="E1175" s="33"/>
      <c r="F1175" s="34"/>
      <c r="G1175" s="34" t="str">
        <f>"""NAV Direct"",""CRONUS JetCorp USA"",""32"",""1"",""54733"""</f>
        <v>"NAV Direct","CRONUS JetCorp USA","32","1","54733"</v>
      </c>
      <c r="H1175" s="40">
        <v>43472</v>
      </c>
      <c r="I1175" s="41">
        <v>54733</v>
      </c>
      <c r="J1175" s="42" t="str">
        <f>"Customer"</f>
        <v>Customer</v>
      </c>
      <c r="K1175" s="42" t="str">
        <f>"C100084"</f>
        <v>C100084</v>
      </c>
      <c r="L1175" s="42" t="str">
        <f>IF($J1175="Customer",_xll.NL("first",$J1175,"Name","No.","@@"&amp;$K1175),"")</f>
        <v>The Cannon Group PLC</v>
      </c>
      <c r="M1175" s="42" t="str">
        <f>""</f>
        <v/>
      </c>
      <c r="N1175" s="42" t="str">
        <f>IF($J1175="Item",_xll.NL("first",$J1175,"Description","No.","@@"&amp;$K1175),"")</f>
        <v/>
      </c>
      <c r="O1175" s="43">
        <v>0</v>
      </c>
      <c r="P1175" s="43">
        <v>-144</v>
      </c>
      <c r="Q1175" s="43">
        <v>0</v>
      </c>
      <c r="R1175" s="43">
        <v>0</v>
      </c>
      <c r="S1175" s="43">
        <v>0</v>
      </c>
      <c r="T1175" s="43">
        <v>0</v>
      </c>
      <c r="U1175" s="56"/>
    </row>
    <row r="1176" spans="1:21" ht="17.25" customHeight="1" x14ac:dyDescent="0.3">
      <c r="A1176" s="15" t="s">
        <v>30</v>
      </c>
      <c r="C1176" s="19"/>
      <c r="D1176" s="33" t="str">
        <f t="shared" si="288"/>
        <v>E100017</v>
      </c>
      <c r="E1176" s="33"/>
      <c r="F1176" s="34"/>
      <c r="G1176" s="34" t="str">
        <f>"""NAV Direct"",""CRONUS JetCorp USA"",""32"",""1"",""34313"""</f>
        <v>"NAV Direct","CRONUS JetCorp USA","32","1","34313"</v>
      </c>
      <c r="H1176" s="40">
        <v>43473</v>
      </c>
      <c r="I1176" s="41">
        <v>34313</v>
      </c>
      <c r="J1176" s="42" t="str">
        <f>"Customer"</f>
        <v>Customer</v>
      </c>
      <c r="K1176" s="42" t="str">
        <f>"C100059"</f>
        <v>C100059</v>
      </c>
      <c r="L1176" s="42" t="str">
        <f>IF($J1176="Customer",_xll.NL("first",$J1176,"Name","No.","@@"&amp;$K1176),"")</f>
        <v>Meersen Meubelen</v>
      </c>
      <c r="M1176" s="42" t="str">
        <f>""</f>
        <v/>
      </c>
      <c r="N1176" s="42" t="str">
        <f>IF($J1176="Item",_xll.NL("first",$J1176,"Description","No.","@@"&amp;$K1176),"")</f>
        <v/>
      </c>
      <c r="O1176" s="43">
        <v>0</v>
      </c>
      <c r="P1176" s="43">
        <v>-144</v>
      </c>
      <c r="Q1176" s="43">
        <v>0</v>
      </c>
      <c r="R1176" s="43">
        <v>0</v>
      </c>
      <c r="S1176" s="43">
        <v>0</v>
      </c>
      <c r="T1176" s="43">
        <v>0</v>
      </c>
      <c r="U1176" s="56"/>
    </row>
    <row r="1177" spans="1:21" ht="17.25" customHeight="1" x14ac:dyDescent="0.3">
      <c r="A1177" s="15" t="s">
        <v>30</v>
      </c>
      <c r="C1177" s="19"/>
      <c r="D1177" s="33" t="str">
        <f t="shared" si="288"/>
        <v>E100017</v>
      </c>
      <c r="E1177" s="33"/>
      <c r="F1177" s="34"/>
      <c r="G1177" s="34" t="str">
        <f>"""NAV Direct"",""CRONUS JetCorp USA"",""32"",""1"",""44530"""</f>
        <v>"NAV Direct","CRONUS JetCorp USA","32","1","44530"</v>
      </c>
      <c r="H1177" s="40">
        <v>43473</v>
      </c>
      <c r="I1177" s="41">
        <v>44530</v>
      </c>
      <c r="J1177" s="42" t="str">
        <f>"Customer"</f>
        <v>Customer</v>
      </c>
      <c r="K1177" s="42" t="str">
        <f>"C100139"</f>
        <v>C100139</v>
      </c>
      <c r="L1177" s="42" t="str">
        <f>IF($J1177="Customer",_xll.NL("first",$J1177,"Name","No.","@@"&amp;$K1177),"")</f>
        <v>Gamma Ray's</v>
      </c>
      <c r="M1177" s="42" t="str">
        <f>""</f>
        <v/>
      </c>
      <c r="N1177" s="42" t="str">
        <f>IF($J1177="Item",_xll.NL("first",$J1177,"Description","No.","@@"&amp;$K1177),"")</f>
        <v/>
      </c>
      <c r="O1177" s="43">
        <v>0</v>
      </c>
      <c r="P1177" s="43">
        <v>-144</v>
      </c>
      <c r="Q1177" s="43">
        <v>0</v>
      </c>
      <c r="R1177" s="43">
        <v>0</v>
      </c>
      <c r="S1177" s="43">
        <v>0</v>
      </c>
      <c r="T1177" s="43">
        <v>0</v>
      </c>
      <c r="U1177" s="56"/>
    </row>
    <row r="1178" spans="1:21" ht="17.25" customHeight="1" x14ac:dyDescent="0.3">
      <c r="A1178" s="15" t="s">
        <v>30</v>
      </c>
      <c r="C1178" s="19"/>
      <c r="D1178" s="33" t="str">
        <f t="shared" si="288"/>
        <v>E100017</v>
      </c>
      <c r="E1178" s="33"/>
      <c r="F1178" s="34"/>
      <c r="G1178" s="34" t="str">
        <f>"""NAV Direct"",""CRONUS JetCorp USA"",""32"",""1"",""124554"""</f>
        <v>"NAV Direct","CRONUS JetCorp USA","32","1","124554"</v>
      </c>
      <c r="H1178" s="40">
        <v>43473</v>
      </c>
      <c r="I1178" s="41">
        <v>124554</v>
      </c>
      <c r="J1178" s="42" t="str">
        <f>"Customer"</f>
        <v>Customer</v>
      </c>
      <c r="K1178" s="42" t="str">
        <f>"C100035"</f>
        <v>C100035</v>
      </c>
      <c r="L1178" s="42" t="str">
        <f>IF($J1178="Customer",_xll.NL("first",$J1178,"Name","No.","@@"&amp;$K1178),"")</f>
        <v>First Touch Marketing</v>
      </c>
      <c r="M1178" s="42" t="str">
        <f>""</f>
        <v/>
      </c>
      <c r="N1178" s="42" t="str">
        <f>IF($J1178="Item",_xll.NL("first",$J1178,"Description","No.","@@"&amp;$K1178),"")</f>
        <v/>
      </c>
      <c r="O1178" s="43">
        <v>0</v>
      </c>
      <c r="P1178" s="43">
        <v>-144</v>
      </c>
      <c r="Q1178" s="43">
        <v>0</v>
      </c>
      <c r="R1178" s="43">
        <v>0</v>
      </c>
      <c r="S1178" s="43">
        <v>0</v>
      </c>
      <c r="T1178" s="43">
        <v>0</v>
      </c>
      <c r="U1178" s="56"/>
    </row>
    <row r="1179" spans="1:21" ht="17.25" customHeight="1" x14ac:dyDescent="0.3">
      <c r="A1179" s="15" t="s">
        <v>30</v>
      </c>
      <c r="C1179" s="19"/>
      <c r="D1179" s="33" t="str">
        <f t="shared" si="288"/>
        <v>E100017</v>
      </c>
      <c r="E1179" s="33"/>
      <c r="F1179" s="34"/>
      <c r="G1179" s="34" t="str">
        <f>"""NAV Direct"",""CRONUS JetCorp USA"",""32"",""1"",""30064"""</f>
        <v>"NAV Direct","CRONUS JetCorp USA","32","1","30064"</v>
      </c>
      <c r="H1179" s="40">
        <v>43474</v>
      </c>
      <c r="I1179" s="41">
        <v>30064</v>
      </c>
      <c r="J1179" s="42" t="str">
        <f>"Customer"</f>
        <v>Customer</v>
      </c>
      <c r="K1179" s="42" t="str">
        <f>"C100086"</f>
        <v>C100086</v>
      </c>
      <c r="L1179" s="42" t="str">
        <f>IF($J1179="Customer",_xll.NL("first",$J1179,"Name","No.","@@"&amp;$K1179),"")</f>
        <v>Top Action Sports</v>
      </c>
      <c r="M1179" s="42" t="str">
        <f>""</f>
        <v/>
      </c>
      <c r="N1179" s="42" t="str">
        <f>IF($J1179="Item",_xll.NL("first",$J1179,"Description","No.","@@"&amp;$K1179),"")</f>
        <v/>
      </c>
      <c r="O1179" s="43">
        <v>0</v>
      </c>
      <c r="P1179" s="43">
        <v>-144</v>
      </c>
      <c r="Q1179" s="43">
        <v>0</v>
      </c>
      <c r="R1179" s="43">
        <v>0</v>
      </c>
      <c r="S1179" s="43">
        <v>0</v>
      </c>
      <c r="T1179" s="43">
        <v>0</v>
      </c>
      <c r="U1179" s="56"/>
    </row>
    <row r="1180" spans="1:21" ht="17.25" customHeight="1" x14ac:dyDescent="0.3">
      <c r="A1180" s="15" t="s">
        <v>30</v>
      </c>
      <c r="C1180" s="19"/>
      <c r="D1180" s="33" t="str">
        <f t="shared" si="288"/>
        <v>E100017</v>
      </c>
      <c r="E1180" s="33"/>
      <c r="F1180" s="34"/>
      <c r="G1180" s="34" t="str">
        <f>"""NAV Direct"",""CRONUS JetCorp USA"",""32"",""1"",""124535"""</f>
        <v>"NAV Direct","CRONUS JetCorp USA","32","1","124535"</v>
      </c>
      <c r="H1180" s="40">
        <v>43474</v>
      </c>
      <c r="I1180" s="41">
        <v>124535</v>
      </c>
      <c r="J1180" s="42" t="str">
        <f>"Customer"</f>
        <v>Customer</v>
      </c>
      <c r="K1180" s="42" t="str">
        <f>"C100145"</f>
        <v>C100145</v>
      </c>
      <c r="L1180" s="42" t="str">
        <f>IF($J1180="Customer",_xll.NL("first",$J1180,"Name","No.","@@"&amp;$K1180),"")</f>
        <v>Dicon Industries</v>
      </c>
      <c r="M1180" s="42" t="str">
        <f>""</f>
        <v/>
      </c>
      <c r="N1180" s="42" t="str">
        <f>IF($J1180="Item",_xll.NL("first",$J1180,"Description","No.","@@"&amp;$K1180),"")</f>
        <v/>
      </c>
      <c r="O1180" s="43">
        <v>0</v>
      </c>
      <c r="P1180" s="43">
        <v>-2</v>
      </c>
      <c r="Q1180" s="43">
        <v>0</v>
      </c>
      <c r="R1180" s="43">
        <v>0</v>
      </c>
      <c r="S1180" s="43">
        <v>0</v>
      </c>
      <c r="T1180" s="43">
        <v>0</v>
      </c>
      <c r="U1180" s="56"/>
    </row>
    <row r="1181" spans="1:21" ht="17.25" customHeight="1" x14ac:dyDescent="0.3">
      <c r="A1181" s="15" t="s">
        <v>30</v>
      </c>
      <c r="C1181" s="19"/>
      <c r="D1181" s="33" t="str">
        <f t="shared" si="288"/>
        <v>E100017</v>
      </c>
      <c r="E1181" s="33"/>
      <c r="F1181" s="34"/>
      <c r="G1181" s="34" t="str">
        <f>"""NAV Direct"",""CRONUS JetCorp USA"",""32"",""1"",""135818"""</f>
        <v>"NAV Direct","CRONUS JetCorp USA","32","1","135818"</v>
      </c>
      <c r="H1181" s="40">
        <v>43474</v>
      </c>
      <c r="I1181" s="41">
        <v>135818</v>
      </c>
      <c r="J1181" s="42" t="str">
        <f>"Customer"</f>
        <v>Customer</v>
      </c>
      <c r="K1181" s="42" t="str">
        <f>"C100050"</f>
        <v>C100050</v>
      </c>
      <c r="L1181" s="42" t="str">
        <f>IF($J1181="Customer",_xll.NL("first",$J1181,"Name","No.","@@"&amp;$K1181),"")</f>
        <v>Lauritzen Kontorm¢bler A/S</v>
      </c>
      <c r="M1181" s="42" t="str">
        <f>""</f>
        <v/>
      </c>
      <c r="N1181" s="42" t="str">
        <f>IF($J1181="Item",_xll.NL("first",$J1181,"Description","No.","@@"&amp;$K1181),"")</f>
        <v/>
      </c>
      <c r="O1181" s="43">
        <v>0</v>
      </c>
      <c r="P1181" s="43">
        <v>-144</v>
      </c>
      <c r="Q1181" s="43">
        <v>0</v>
      </c>
      <c r="R1181" s="43">
        <v>0</v>
      </c>
      <c r="S1181" s="43">
        <v>0</v>
      </c>
      <c r="T1181" s="43">
        <v>0</v>
      </c>
      <c r="U1181" s="56"/>
    </row>
    <row r="1182" spans="1:21" ht="17.25" customHeight="1" x14ac:dyDescent="0.3">
      <c r="A1182" s="15" t="s">
        <v>30</v>
      </c>
      <c r="C1182" s="19"/>
      <c r="D1182" s="33" t="str">
        <f t="shared" si="288"/>
        <v>E100017</v>
      </c>
      <c r="E1182" s="33"/>
      <c r="F1182" s="34"/>
      <c r="G1182" s="34" t="str">
        <f>"""NAV Direct"",""CRONUS JetCorp USA"",""32"",""1"",""64624"""</f>
        <v>"NAV Direct","CRONUS JetCorp USA","32","1","64624"</v>
      </c>
      <c r="H1182" s="40">
        <v>43475</v>
      </c>
      <c r="I1182" s="41">
        <v>64624</v>
      </c>
      <c r="J1182" s="42" t="str">
        <f>"Customer"</f>
        <v>Customer</v>
      </c>
      <c r="K1182" s="42" t="str">
        <f>"C100136"</f>
        <v>C100136</v>
      </c>
      <c r="L1182" s="42" t="str">
        <f>IF($J1182="Customer",_xll.NL("first",$J1182,"Name","No.","@@"&amp;$K1182),"")</f>
        <v>First Bank</v>
      </c>
      <c r="M1182" s="42" t="str">
        <f>""</f>
        <v/>
      </c>
      <c r="N1182" s="42" t="str">
        <f>IF($J1182="Item",_xll.NL("first",$J1182,"Description","No.","@@"&amp;$K1182),"")</f>
        <v/>
      </c>
      <c r="O1182" s="43">
        <v>0</v>
      </c>
      <c r="P1182" s="43">
        <v>-144</v>
      </c>
      <c r="Q1182" s="43">
        <v>0</v>
      </c>
      <c r="R1182" s="43">
        <v>0</v>
      </c>
      <c r="S1182" s="43">
        <v>0</v>
      </c>
      <c r="T1182" s="43">
        <v>0</v>
      </c>
      <c r="U1182" s="56"/>
    </row>
    <row r="1183" spans="1:21" ht="17.25" customHeight="1" x14ac:dyDescent="0.3">
      <c r="A1183" s="15" t="s">
        <v>30</v>
      </c>
      <c r="C1183" s="19"/>
      <c r="D1183" s="33" t="str">
        <f t="shared" si="288"/>
        <v>E100017</v>
      </c>
      <c r="E1183" s="33"/>
      <c r="F1183" s="34"/>
      <c r="G1183" s="34" t="str">
        <f>"""NAV Direct"",""CRONUS JetCorp USA"",""32"",""1"",""124595"""</f>
        <v>"NAV Direct","CRONUS JetCorp USA","32","1","124595"</v>
      </c>
      <c r="H1183" s="40">
        <v>43475</v>
      </c>
      <c r="I1183" s="41">
        <v>124595</v>
      </c>
      <c r="J1183" s="42" t="str">
        <f>"Customer"</f>
        <v>Customer</v>
      </c>
      <c r="K1183" s="42" t="str">
        <f>"C100035"</f>
        <v>C100035</v>
      </c>
      <c r="L1183" s="42" t="str">
        <f>IF($J1183="Customer",_xll.NL("first",$J1183,"Name","No.","@@"&amp;$K1183),"")</f>
        <v>First Touch Marketing</v>
      </c>
      <c r="M1183" s="42" t="str">
        <f>""</f>
        <v/>
      </c>
      <c r="N1183" s="42" t="str">
        <f>IF($J1183="Item",_xll.NL("first",$J1183,"Description","No.","@@"&amp;$K1183),"")</f>
        <v/>
      </c>
      <c r="O1183" s="43">
        <v>0</v>
      </c>
      <c r="P1183" s="43">
        <v>-48</v>
      </c>
      <c r="Q1183" s="43">
        <v>0</v>
      </c>
      <c r="R1183" s="43">
        <v>0</v>
      </c>
      <c r="S1183" s="43">
        <v>0</v>
      </c>
      <c r="T1183" s="43">
        <v>0</v>
      </c>
      <c r="U1183" s="56"/>
    </row>
    <row r="1184" spans="1:21" ht="17.25" customHeight="1" x14ac:dyDescent="0.3">
      <c r="A1184" s="15" t="s">
        <v>30</v>
      </c>
      <c r="C1184" s="19"/>
      <c r="D1184" s="33" t="str">
        <f t="shared" si="288"/>
        <v>E100017</v>
      </c>
      <c r="E1184" s="33"/>
      <c r="F1184" s="34"/>
      <c r="G1184" s="34" t="str">
        <f>"""NAV Direct"",""CRONUS JetCorp USA"",""32"",""1"",""132526"""</f>
        <v>"NAV Direct","CRONUS JetCorp USA","32","1","132526"</v>
      </c>
      <c r="H1184" s="40">
        <v>43477</v>
      </c>
      <c r="I1184" s="41">
        <v>132526</v>
      </c>
      <c r="J1184" s="42" t="str">
        <f>"Customer"</f>
        <v>Customer</v>
      </c>
      <c r="K1184" s="42" t="str">
        <f>"C100082"</f>
        <v>C100082</v>
      </c>
      <c r="L1184" s="42" t="str">
        <f>IF($J1184="Customer",_xll.NL("first",$J1184,"Name","No.","@@"&amp;$K1184),"")</f>
        <v>Sporting Goods Emporium</v>
      </c>
      <c r="M1184" s="42" t="str">
        <f>""</f>
        <v/>
      </c>
      <c r="N1184" s="42" t="str">
        <f>IF($J1184="Item",_xll.NL("first",$J1184,"Description","No.","@@"&amp;$K1184),"")</f>
        <v/>
      </c>
      <c r="O1184" s="43">
        <v>0</v>
      </c>
      <c r="P1184" s="43">
        <v>-288</v>
      </c>
      <c r="Q1184" s="43">
        <v>0</v>
      </c>
      <c r="R1184" s="43">
        <v>0</v>
      </c>
      <c r="S1184" s="43">
        <v>0</v>
      </c>
      <c r="T1184" s="43">
        <v>0</v>
      </c>
      <c r="U1184" s="56"/>
    </row>
    <row r="1185" spans="1:21" ht="17.25" customHeight="1" x14ac:dyDescent="0.3">
      <c r="A1185" s="15" t="s">
        <v>30</v>
      </c>
      <c r="C1185" s="19"/>
      <c r="D1185" s="33"/>
      <c r="E1185" s="33"/>
      <c r="F1185" s="34"/>
      <c r="G1185" s="34"/>
      <c r="H1185" s="34"/>
      <c r="I1185" s="34"/>
      <c r="J1185" s="34"/>
      <c r="K1185" s="34"/>
      <c r="L1185" s="34"/>
      <c r="M1185" s="34"/>
      <c r="N1185" s="34"/>
      <c r="O1185" s="44"/>
      <c r="P1185" s="44"/>
      <c r="Q1185" s="44"/>
      <c r="R1185" s="44"/>
      <c r="S1185" s="44"/>
      <c r="T1185" s="44"/>
      <c r="U1185" s="57"/>
    </row>
    <row r="1186" spans="1:21" ht="17.25" customHeight="1" x14ac:dyDescent="0.3">
      <c r="A1186" s="15" t="s">
        <v>30</v>
      </c>
      <c r="C1186" s="19"/>
      <c r="D1186" s="33"/>
      <c r="E1186" s="33" t="s">
        <v>31</v>
      </c>
      <c r="F1186" s="34" t="s">
        <v>31</v>
      </c>
      <c r="G1186" s="34" t="s">
        <v>31</v>
      </c>
      <c r="H1186" s="34"/>
      <c r="I1186" s="34"/>
      <c r="J1186" s="34" t="s">
        <v>31</v>
      </c>
      <c r="K1186" s="34" t="s">
        <v>31</v>
      </c>
      <c r="L1186" s="34" t="s">
        <v>31</v>
      </c>
      <c r="M1186" s="34" t="s">
        <v>31</v>
      </c>
      <c r="N1186" s="34"/>
      <c r="U1186" s="58"/>
    </row>
    <row r="1187" spans="1:21" ht="20.25" customHeight="1" x14ac:dyDescent="0.35">
      <c r="A1187" s="15" t="s">
        <v>30</v>
      </c>
      <c r="C1187" s="19"/>
      <c r="D1187" s="35" t="str">
        <f t="shared" ref="D1187" si="289">E1187</f>
        <v>E100018</v>
      </c>
      <c r="E1187" s="36" t="str">
        <f>"E100018"</f>
        <v>E100018</v>
      </c>
      <c r="F1187" s="37" t="str">
        <f>"Flexi-Clock &amp; Clip"</f>
        <v>Flexi-Clock &amp; Clip</v>
      </c>
      <c r="G1187" s="37"/>
      <c r="H1187" s="38" t="str">
        <f>"EA"</f>
        <v>EA</v>
      </c>
      <c r="I1187" s="37"/>
      <c r="J1187" s="37"/>
      <c r="K1187" s="37"/>
      <c r="L1187" s="37"/>
      <c r="M1187" s="37"/>
      <c r="N1187" s="37"/>
      <c r="O1187" s="39">
        <f>(SUBTOTAL(9,O1188:O1230))</f>
        <v>10400</v>
      </c>
      <c r="P1187" s="39">
        <f>(SUBTOTAL(9,P1188:P1230))</f>
        <v>-2858</v>
      </c>
      <c r="Q1187" s="39">
        <f>(SUBTOTAL(9,Q1188:Q1230))</f>
        <v>0</v>
      </c>
      <c r="R1187" s="39">
        <f>(SUBTOTAL(9,R1188:R1230))</f>
        <v>0</v>
      </c>
      <c r="S1187" s="39">
        <f>(SUBTOTAL(9,S1188:S1230))</f>
        <v>0</v>
      </c>
      <c r="T1187" s="39">
        <f>(SUBTOTAL(9,T1188:T1230))</f>
        <v>0</v>
      </c>
      <c r="U1187" s="55">
        <f t="shared" ref="U1187" si="290">SUBTOTAL(9,O1188:T1230)</f>
        <v>7542</v>
      </c>
    </row>
    <row r="1188" spans="1:21" ht="17.25" customHeight="1" x14ac:dyDescent="0.3">
      <c r="A1188" s="15" t="s">
        <v>30</v>
      </c>
      <c r="C1188" s="19"/>
      <c r="D1188" s="33" t="str">
        <f t="shared" ref="D1188" si="291">D1187</f>
        <v>E100018</v>
      </c>
      <c r="E1188" s="33"/>
      <c r="F1188" s="34"/>
      <c r="G1188" s="34" t="str">
        <f>"""NAV Direct"",""CRONUS JetCorp USA"",""32"",""1"",""167512"""</f>
        <v>"NAV Direct","CRONUS JetCorp USA","32","1","167512"</v>
      </c>
      <c r="H1188" s="40">
        <v>43466</v>
      </c>
      <c r="I1188" s="41">
        <v>167512</v>
      </c>
      <c r="J1188" s="42" t="str">
        <f>"Vendor"</f>
        <v>Vendor</v>
      </c>
      <c r="K1188" s="42" t="str">
        <f>"V100009"</f>
        <v>V100009</v>
      </c>
      <c r="L1188" s="42" t="str">
        <f>IF($J1188="Customer",_xll.NL("first",$J1188,"Name","No.","@@"&amp;$K1188),"")</f>
        <v/>
      </c>
      <c r="M1188" s="42" t="str">
        <f>"Malay-Dan Export Unit Sdn Bhd"</f>
        <v>Malay-Dan Export Unit Sdn Bhd</v>
      </c>
      <c r="N1188" s="42" t="str">
        <f>IF($J1188="Item",_xll.NL("first",$J1188,"Description","No.","@@"&amp;$K1188),"")</f>
        <v/>
      </c>
      <c r="O1188" s="43">
        <v>600</v>
      </c>
      <c r="P1188" s="43">
        <v>0</v>
      </c>
      <c r="Q1188" s="43">
        <v>0</v>
      </c>
      <c r="R1188" s="43">
        <v>0</v>
      </c>
      <c r="S1188" s="43">
        <v>0</v>
      </c>
      <c r="T1188" s="43">
        <v>0</v>
      </c>
      <c r="U1188" s="56"/>
    </row>
    <row r="1189" spans="1:21" ht="17.25" customHeight="1" x14ac:dyDescent="0.3">
      <c r="A1189" s="15" t="s">
        <v>30</v>
      </c>
      <c r="C1189" s="19"/>
      <c r="D1189" s="33" t="str">
        <f t="shared" ref="D1189:D1229" si="292">D1188</f>
        <v>E100018</v>
      </c>
      <c r="E1189" s="33"/>
      <c r="F1189" s="34"/>
      <c r="G1189" s="34" t="str">
        <f>"""NAV Direct"",""CRONUS JetCorp USA"",""32"",""1"",""167530"""</f>
        <v>"NAV Direct","CRONUS JetCorp USA","32","1","167530"</v>
      </c>
      <c r="H1189" s="40">
        <v>43466</v>
      </c>
      <c r="I1189" s="41">
        <v>167530</v>
      </c>
      <c r="J1189" s="42" t="str">
        <f>"Vendor"</f>
        <v>Vendor</v>
      </c>
      <c r="K1189" s="42" t="str">
        <f>"V100040"</f>
        <v>V100040</v>
      </c>
      <c r="L1189" s="42" t="str">
        <f>IF($J1189="Customer",_xll.NL("first",$J1189,"Name","No.","@@"&amp;$K1189),"")</f>
        <v/>
      </c>
      <c r="M1189" s="42" t="str">
        <f>"Technische Betriebe Rotkreuz"</f>
        <v>Technische Betriebe Rotkreuz</v>
      </c>
      <c r="N1189" s="42" t="str">
        <f>IF($J1189="Item",_xll.NL("first",$J1189,"Description","No.","@@"&amp;$K1189),"")</f>
        <v/>
      </c>
      <c r="O1189" s="43">
        <v>1400</v>
      </c>
      <c r="P1189" s="43">
        <v>0</v>
      </c>
      <c r="Q1189" s="43">
        <v>0</v>
      </c>
      <c r="R1189" s="43">
        <v>0</v>
      </c>
      <c r="S1189" s="43">
        <v>0</v>
      </c>
      <c r="T1189" s="43">
        <v>0</v>
      </c>
      <c r="U1189" s="56"/>
    </row>
    <row r="1190" spans="1:21" ht="17.25" customHeight="1" x14ac:dyDescent="0.3">
      <c r="A1190" s="15" t="s">
        <v>30</v>
      </c>
      <c r="C1190" s="19"/>
      <c r="D1190" s="33" t="str">
        <f t="shared" si="292"/>
        <v>E100018</v>
      </c>
      <c r="E1190" s="33"/>
      <c r="F1190" s="34"/>
      <c r="G1190" s="34" t="str">
        <f>"""NAV Direct"",""CRONUS JetCorp USA"",""32"",""1"",""167544"""</f>
        <v>"NAV Direct","CRONUS JetCorp USA","32","1","167544"</v>
      </c>
      <c r="H1190" s="40">
        <v>43466</v>
      </c>
      <c r="I1190" s="41">
        <v>167544</v>
      </c>
      <c r="J1190" s="42" t="str">
        <f>"Vendor"</f>
        <v>Vendor</v>
      </c>
      <c r="K1190" s="42" t="str">
        <f>"V100001"</f>
        <v>V100001</v>
      </c>
      <c r="L1190" s="42" t="str">
        <f>IF($J1190="Customer",_xll.NL("first",$J1190,"Name","No.","@@"&amp;$K1190),"")</f>
        <v/>
      </c>
      <c r="M1190" s="42" t="str">
        <f>"Greigner, Inc."</f>
        <v>Greigner, Inc.</v>
      </c>
      <c r="N1190" s="42" t="str">
        <f>IF($J1190="Item",_xll.NL("first",$J1190,"Description","No.","@@"&amp;$K1190),"")</f>
        <v/>
      </c>
      <c r="O1190" s="43">
        <v>200</v>
      </c>
      <c r="P1190" s="43">
        <v>0</v>
      </c>
      <c r="Q1190" s="43">
        <v>0</v>
      </c>
      <c r="R1190" s="43">
        <v>0</v>
      </c>
      <c r="S1190" s="43">
        <v>0</v>
      </c>
      <c r="T1190" s="43">
        <v>0</v>
      </c>
      <c r="U1190" s="56"/>
    </row>
    <row r="1191" spans="1:21" ht="17.25" customHeight="1" x14ac:dyDescent="0.3">
      <c r="A1191" s="15" t="s">
        <v>30</v>
      </c>
      <c r="C1191" s="19"/>
      <c r="D1191" s="33" t="str">
        <f t="shared" si="292"/>
        <v>E100018</v>
      </c>
      <c r="E1191" s="33"/>
      <c r="F1191" s="34"/>
      <c r="G1191" s="34" t="str">
        <f>"""NAV Direct"",""CRONUS JetCorp USA"",""32"",""1"",""167555"""</f>
        <v>"NAV Direct","CRONUS JetCorp USA","32","1","167555"</v>
      </c>
      <c r="H1191" s="40">
        <v>43466</v>
      </c>
      <c r="I1191" s="41">
        <v>167555</v>
      </c>
      <c r="J1191" s="42" t="str">
        <f>"Vendor"</f>
        <v>Vendor</v>
      </c>
      <c r="K1191" s="42" t="str">
        <f>"V100007"</f>
        <v>V100007</v>
      </c>
      <c r="L1191" s="42" t="str">
        <f>IF($J1191="Customer",_xll.NL("first",$J1191,"Name","No.","@@"&amp;$K1191),"")</f>
        <v/>
      </c>
      <c r="M1191" s="42" t="str">
        <f>"TrendTech"</f>
        <v>TrendTech</v>
      </c>
      <c r="N1191" s="42" t="str">
        <f>IF($J1191="Item",_xll.NL("first",$J1191,"Description","No.","@@"&amp;$K1191),"")</f>
        <v/>
      </c>
      <c r="O1191" s="43">
        <v>1400</v>
      </c>
      <c r="P1191" s="43">
        <v>0</v>
      </c>
      <c r="Q1191" s="43">
        <v>0</v>
      </c>
      <c r="R1191" s="43">
        <v>0</v>
      </c>
      <c r="S1191" s="43">
        <v>0</v>
      </c>
      <c r="T1191" s="43">
        <v>0</v>
      </c>
      <c r="U1191" s="56"/>
    </row>
    <row r="1192" spans="1:21" ht="17.25" customHeight="1" x14ac:dyDescent="0.3">
      <c r="A1192" s="15" t="s">
        <v>30</v>
      </c>
      <c r="C1192" s="19"/>
      <c r="D1192" s="33" t="str">
        <f t="shared" si="292"/>
        <v>E100018</v>
      </c>
      <c r="E1192" s="33"/>
      <c r="F1192" s="34"/>
      <c r="G1192" s="34" t="str">
        <f>"""NAV Direct"",""CRONUS JetCorp USA"",""32"",""1"",""167574"""</f>
        <v>"NAV Direct","CRONUS JetCorp USA","32","1","167574"</v>
      </c>
      <c r="H1192" s="40">
        <v>43466</v>
      </c>
      <c r="I1192" s="41">
        <v>167574</v>
      </c>
      <c r="J1192" s="42" t="str">
        <f>"Vendor"</f>
        <v>Vendor</v>
      </c>
      <c r="K1192" s="42" t="str">
        <f>"V100001"</f>
        <v>V100001</v>
      </c>
      <c r="L1192" s="42" t="str">
        <f>IF($J1192="Customer",_xll.NL("first",$J1192,"Name","No.","@@"&amp;$K1192),"")</f>
        <v/>
      </c>
      <c r="M1192" s="42" t="str">
        <f>"Greigner, Inc."</f>
        <v>Greigner, Inc.</v>
      </c>
      <c r="N1192" s="42" t="str">
        <f>IF($J1192="Item",_xll.NL("first",$J1192,"Description","No.","@@"&amp;$K1192),"")</f>
        <v/>
      </c>
      <c r="O1192" s="43">
        <v>5200</v>
      </c>
      <c r="P1192" s="43">
        <v>0</v>
      </c>
      <c r="Q1192" s="43">
        <v>0</v>
      </c>
      <c r="R1192" s="43">
        <v>0</v>
      </c>
      <c r="S1192" s="43">
        <v>0</v>
      </c>
      <c r="T1192" s="43">
        <v>0</v>
      </c>
      <c r="U1192" s="56"/>
    </row>
    <row r="1193" spans="1:21" ht="17.25" customHeight="1" x14ac:dyDescent="0.3">
      <c r="A1193" s="15" t="s">
        <v>30</v>
      </c>
      <c r="C1193" s="19"/>
      <c r="D1193" s="33" t="str">
        <f t="shared" si="292"/>
        <v>E100018</v>
      </c>
      <c r="E1193" s="33"/>
      <c r="F1193" s="34"/>
      <c r="G1193" s="34" t="str">
        <f>"""NAV Direct"",""CRONUS JetCorp USA"",""32"",""1"",""167590"""</f>
        <v>"NAV Direct","CRONUS JetCorp USA","32","1","167590"</v>
      </c>
      <c r="H1193" s="40">
        <v>43466</v>
      </c>
      <c r="I1193" s="41">
        <v>167590</v>
      </c>
      <c r="J1193" s="42" t="str">
        <f>"Vendor"</f>
        <v>Vendor</v>
      </c>
      <c r="K1193" s="42" t="str">
        <f>"V100047"</f>
        <v>V100047</v>
      </c>
      <c r="L1193" s="42" t="str">
        <f>IF($J1193="Customer",_xll.NL("first",$J1193,"Name","No.","@@"&amp;$K1193),"")</f>
        <v/>
      </c>
      <c r="M1193" s="42" t="str">
        <f>"WoodMart Supply Co."</f>
        <v>WoodMart Supply Co.</v>
      </c>
      <c r="N1193" s="42" t="str">
        <f>IF($J1193="Item",_xll.NL("first",$J1193,"Description","No.","@@"&amp;$K1193),"")</f>
        <v/>
      </c>
      <c r="O1193" s="43">
        <v>600</v>
      </c>
      <c r="P1193" s="43">
        <v>0</v>
      </c>
      <c r="Q1193" s="43">
        <v>0</v>
      </c>
      <c r="R1193" s="43">
        <v>0</v>
      </c>
      <c r="S1193" s="43">
        <v>0</v>
      </c>
      <c r="T1193" s="43">
        <v>0</v>
      </c>
      <c r="U1193" s="56"/>
    </row>
    <row r="1194" spans="1:21" ht="17.25" customHeight="1" x14ac:dyDescent="0.3">
      <c r="A1194" s="15" t="s">
        <v>30</v>
      </c>
      <c r="C1194" s="19"/>
      <c r="D1194" s="33" t="str">
        <f t="shared" si="292"/>
        <v>E100018</v>
      </c>
      <c r="E1194" s="33"/>
      <c r="F1194" s="34"/>
      <c r="G1194" s="34" t="str">
        <f>"""NAV Direct"",""CRONUS JetCorp USA"",""32"",""1"",""167603"""</f>
        <v>"NAV Direct","CRONUS JetCorp USA","32","1","167603"</v>
      </c>
      <c r="H1194" s="40">
        <v>43466</v>
      </c>
      <c r="I1194" s="41">
        <v>167603</v>
      </c>
      <c r="J1194" s="42" t="str">
        <f>"Vendor"</f>
        <v>Vendor</v>
      </c>
      <c r="K1194" s="42" t="str">
        <f>"V100003"</f>
        <v>V100003</v>
      </c>
      <c r="L1194" s="42" t="str">
        <f>IF($J1194="Customer",_xll.NL("first",$J1194,"Name","No.","@@"&amp;$K1194),"")</f>
        <v/>
      </c>
      <c r="M1194" s="42" t="str">
        <f>"LogoMasters"</f>
        <v>LogoMasters</v>
      </c>
      <c r="N1194" s="42" t="str">
        <f>IF($J1194="Item",_xll.NL("first",$J1194,"Description","No.","@@"&amp;$K1194),"")</f>
        <v/>
      </c>
      <c r="O1194" s="43">
        <v>800</v>
      </c>
      <c r="P1194" s="43">
        <v>0</v>
      </c>
      <c r="Q1194" s="43">
        <v>0</v>
      </c>
      <c r="R1194" s="43">
        <v>0</v>
      </c>
      <c r="S1194" s="43">
        <v>0</v>
      </c>
      <c r="T1194" s="43">
        <v>0</v>
      </c>
      <c r="U1194" s="56"/>
    </row>
    <row r="1195" spans="1:21" ht="17.25" customHeight="1" x14ac:dyDescent="0.3">
      <c r="A1195" s="15" t="s">
        <v>30</v>
      </c>
      <c r="C1195" s="19"/>
      <c r="D1195" s="33" t="str">
        <f t="shared" si="292"/>
        <v>E100018</v>
      </c>
      <c r="E1195" s="33"/>
      <c r="F1195" s="34"/>
      <c r="G1195" s="34" t="str">
        <f>"""NAV Direct"",""CRONUS JetCorp USA"",""32"",""1"",""167619"""</f>
        <v>"NAV Direct","CRONUS JetCorp USA","32","1","167619"</v>
      </c>
      <c r="H1195" s="40">
        <v>43466</v>
      </c>
      <c r="I1195" s="41">
        <v>167619</v>
      </c>
      <c r="J1195" s="42" t="str">
        <f>"Vendor"</f>
        <v>Vendor</v>
      </c>
      <c r="K1195" s="42" t="str">
        <f>"V100001"</f>
        <v>V100001</v>
      </c>
      <c r="L1195" s="42" t="str">
        <f>IF($J1195="Customer",_xll.NL("first",$J1195,"Name","No.","@@"&amp;$K1195),"")</f>
        <v/>
      </c>
      <c r="M1195" s="42" t="str">
        <f>"Greigner, Inc."</f>
        <v>Greigner, Inc.</v>
      </c>
      <c r="N1195" s="42" t="str">
        <f>IF($J1195="Item",_xll.NL("first",$J1195,"Description","No.","@@"&amp;$K1195),"")</f>
        <v/>
      </c>
      <c r="O1195" s="43">
        <v>200</v>
      </c>
      <c r="P1195" s="43">
        <v>0</v>
      </c>
      <c r="Q1195" s="43">
        <v>0</v>
      </c>
      <c r="R1195" s="43">
        <v>0</v>
      </c>
      <c r="S1195" s="43">
        <v>0</v>
      </c>
      <c r="T1195" s="43">
        <v>0</v>
      </c>
      <c r="U1195" s="56"/>
    </row>
    <row r="1196" spans="1:21" ht="17.25" customHeight="1" x14ac:dyDescent="0.3">
      <c r="A1196" s="15" t="s">
        <v>30</v>
      </c>
      <c r="C1196" s="19"/>
      <c r="D1196" s="33" t="str">
        <f t="shared" si="292"/>
        <v>E100018</v>
      </c>
      <c r="E1196" s="33"/>
      <c r="F1196" s="34"/>
      <c r="G1196" s="34" t="str">
        <f>"""NAV Direct"",""CRONUS JetCorp USA"",""32"",""1"",""3892"""</f>
        <v>"NAV Direct","CRONUS JetCorp USA","32","1","3892"</v>
      </c>
      <c r="H1196" s="40">
        <v>43467</v>
      </c>
      <c r="I1196" s="41">
        <v>3892</v>
      </c>
      <c r="J1196" s="42" t="str">
        <f>"Customer"</f>
        <v>Customer</v>
      </c>
      <c r="K1196" s="42" t="str">
        <f>"C100099"</f>
        <v>C100099</v>
      </c>
      <c r="L1196" s="42" t="str">
        <f>IF($J1196="Customer",_xll.NL("first",$J1196,"Name","No.","@@"&amp;$K1196),"")</f>
        <v>Voltive Systems</v>
      </c>
      <c r="M1196" s="42" t="str">
        <f>""</f>
        <v/>
      </c>
      <c r="N1196" s="42" t="str">
        <f>IF($J1196="Item",_xll.NL("first",$J1196,"Description","No.","@@"&amp;$K1196),"")</f>
        <v/>
      </c>
      <c r="O1196" s="43">
        <v>0</v>
      </c>
      <c r="P1196" s="43">
        <v>-144</v>
      </c>
      <c r="Q1196" s="43">
        <v>0</v>
      </c>
      <c r="R1196" s="43">
        <v>0</v>
      </c>
      <c r="S1196" s="43">
        <v>0</v>
      </c>
      <c r="T1196" s="43">
        <v>0</v>
      </c>
      <c r="U1196" s="56"/>
    </row>
    <row r="1197" spans="1:21" ht="17.25" customHeight="1" x14ac:dyDescent="0.3">
      <c r="A1197" s="15" t="s">
        <v>30</v>
      </c>
      <c r="C1197" s="19"/>
      <c r="D1197" s="33" t="str">
        <f t="shared" si="292"/>
        <v>E100018</v>
      </c>
      <c r="E1197" s="33"/>
      <c r="F1197" s="34"/>
      <c r="G1197" s="34" t="str">
        <f>"""NAV Direct"",""CRONUS JetCorp USA"",""32"",""1"",""120186"""</f>
        <v>"NAV Direct","CRONUS JetCorp USA","32","1","120186"</v>
      </c>
      <c r="H1197" s="40">
        <v>43469</v>
      </c>
      <c r="I1197" s="41">
        <v>120186</v>
      </c>
      <c r="J1197" s="42" t="str">
        <f>"Customer"</f>
        <v>Customer</v>
      </c>
      <c r="K1197" s="42" t="str">
        <f>"C100134"</f>
        <v>C100134</v>
      </c>
      <c r="L1197" s="42" t="str">
        <f>IF($J1197="Customer",_xll.NL("first",$J1197,"Name","No.","@@"&amp;$K1197),"")</f>
        <v>Iber Tech</v>
      </c>
      <c r="M1197" s="42" t="str">
        <f>""</f>
        <v/>
      </c>
      <c r="N1197" s="42" t="str">
        <f>IF($J1197="Item",_xll.NL("first",$J1197,"Description","No.","@@"&amp;$K1197),"")</f>
        <v/>
      </c>
      <c r="O1197" s="43">
        <v>0</v>
      </c>
      <c r="P1197" s="43">
        <v>-1</v>
      </c>
      <c r="Q1197" s="43">
        <v>0</v>
      </c>
      <c r="R1197" s="43">
        <v>0</v>
      </c>
      <c r="S1197" s="43">
        <v>0</v>
      </c>
      <c r="T1197" s="43">
        <v>0</v>
      </c>
      <c r="U1197" s="56"/>
    </row>
    <row r="1198" spans="1:21" ht="17.25" customHeight="1" x14ac:dyDescent="0.3">
      <c r="A1198" s="15" t="s">
        <v>30</v>
      </c>
      <c r="C1198" s="19"/>
      <c r="D1198" s="33" t="str">
        <f t="shared" si="292"/>
        <v>E100018</v>
      </c>
      <c r="E1198" s="33"/>
      <c r="F1198" s="34"/>
      <c r="G1198" s="34" t="str">
        <f>"""NAV Direct"",""CRONUS JetCorp USA"",""32"",""1"",""78850"""</f>
        <v>"NAV Direct","CRONUS JetCorp USA","32","1","78850"</v>
      </c>
      <c r="H1198" s="40">
        <v>43470</v>
      </c>
      <c r="I1198" s="41">
        <v>78850</v>
      </c>
      <c r="J1198" s="42" t="str">
        <f>"Customer"</f>
        <v>Customer</v>
      </c>
      <c r="K1198" s="42" t="str">
        <f>"C100117"</f>
        <v>C100117</v>
      </c>
      <c r="L1198" s="42" t="str">
        <f>IF($J1198="Customer",_xll.NL("first",$J1198,"Name","No.","@@"&amp;$K1198),"")</f>
        <v xml:space="preserve">Tintax </v>
      </c>
      <c r="M1198" s="42" t="str">
        <f>""</f>
        <v/>
      </c>
      <c r="N1198" s="42" t="str">
        <f>IF($J1198="Item",_xll.NL("first",$J1198,"Description","No.","@@"&amp;$K1198),"")</f>
        <v/>
      </c>
      <c r="O1198" s="43">
        <v>0</v>
      </c>
      <c r="P1198" s="43">
        <v>-145</v>
      </c>
      <c r="Q1198" s="43">
        <v>0</v>
      </c>
      <c r="R1198" s="43">
        <v>0</v>
      </c>
      <c r="S1198" s="43">
        <v>0</v>
      </c>
      <c r="T1198" s="43">
        <v>0</v>
      </c>
      <c r="U1198" s="56"/>
    </row>
    <row r="1199" spans="1:21" ht="17.25" customHeight="1" x14ac:dyDescent="0.3">
      <c r="A1199" s="15" t="s">
        <v>30</v>
      </c>
      <c r="C1199" s="19"/>
      <c r="D1199" s="33" t="str">
        <f t="shared" si="292"/>
        <v>E100018</v>
      </c>
      <c r="E1199" s="33"/>
      <c r="F1199" s="34"/>
      <c r="G1199" s="34" t="str">
        <f>"""NAV Direct"",""CRONUS JetCorp USA"",""32"",""1"",""111294"""</f>
        <v>"NAV Direct","CRONUS JetCorp USA","32","1","111294"</v>
      </c>
      <c r="H1199" s="40">
        <v>43470</v>
      </c>
      <c r="I1199" s="41">
        <v>111294</v>
      </c>
      <c r="J1199" s="42" t="str">
        <f>"Customer"</f>
        <v>Customer</v>
      </c>
      <c r="K1199" s="42" t="str">
        <f>"C100037"</f>
        <v>C100037</v>
      </c>
      <c r="L1199" s="42" t="str">
        <f>IF($J1199="Customer",_xll.NL("first",$J1199,"Name","No.","@@"&amp;$K1199),"")</f>
        <v>Tempsons Tropies</v>
      </c>
      <c r="M1199" s="42" t="str">
        <f>""</f>
        <v/>
      </c>
      <c r="N1199" s="42" t="str">
        <f>IF($J1199="Item",_xll.NL("first",$J1199,"Description","No.","@@"&amp;$K1199),"")</f>
        <v/>
      </c>
      <c r="O1199" s="43">
        <v>0</v>
      </c>
      <c r="P1199" s="43">
        <v>-144</v>
      </c>
      <c r="Q1199" s="43">
        <v>0</v>
      </c>
      <c r="R1199" s="43">
        <v>0</v>
      </c>
      <c r="S1199" s="43">
        <v>0</v>
      </c>
      <c r="T1199" s="43">
        <v>0</v>
      </c>
      <c r="U1199" s="56"/>
    </row>
    <row r="1200" spans="1:21" ht="17.25" customHeight="1" x14ac:dyDescent="0.3">
      <c r="A1200" s="15" t="s">
        <v>30</v>
      </c>
      <c r="C1200" s="19"/>
      <c r="D1200" s="33" t="str">
        <f t="shared" si="292"/>
        <v>E100018</v>
      </c>
      <c r="E1200" s="33"/>
      <c r="F1200" s="34"/>
      <c r="G1200" s="34" t="str">
        <f>"""NAV Direct"",""CRONUS JetCorp USA"",""32"",""1"",""10228"""</f>
        <v>"NAV Direct","CRONUS JetCorp USA","32","1","10228"</v>
      </c>
      <c r="H1200" s="40">
        <v>43471</v>
      </c>
      <c r="I1200" s="41">
        <v>10228</v>
      </c>
      <c r="J1200" s="42" t="str">
        <f>"Customer"</f>
        <v>Customer</v>
      </c>
      <c r="K1200" s="42" t="str">
        <f>"C100066"</f>
        <v>C100066</v>
      </c>
      <c r="L1200" s="42" t="str">
        <f>IF($J1200="Customer",_xll.NL("first",$J1200,"Name","No.","@@"&amp;$K1200),"")</f>
        <v>Office Solutions</v>
      </c>
      <c r="M1200" s="42" t="str">
        <f>""</f>
        <v/>
      </c>
      <c r="N1200" s="42" t="str">
        <f>IF($J1200="Item",_xll.NL("first",$J1200,"Description","No.","@@"&amp;$K1200),"")</f>
        <v/>
      </c>
      <c r="O1200" s="43">
        <v>0</v>
      </c>
      <c r="P1200" s="43">
        <v>-1</v>
      </c>
      <c r="Q1200" s="43">
        <v>0</v>
      </c>
      <c r="R1200" s="43">
        <v>0</v>
      </c>
      <c r="S1200" s="43">
        <v>0</v>
      </c>
      <c r="T1200" s="43">
        <v>0</v>
      </c>
      <c r="U1200" s="56"/>
    </row>
    <row r="1201" spans="1:21" ht="17.25" customHeight="1" x14ac:dyDescent="0.3">
      <c r="A1201" s="15" t="s">
        <v>30</v>
      </c>
      <c r="C1201" s="19"/>
      <c r="D1201" s="33" t="str">
        <f t="shared" si="292"/>
        <v>E100018</v>
      </c>
      <c r="E1201" s="33"/>
      <c r="F1201" s="34"/>
      <c r="G1201" s="34" t="str">
        <f>"""NAV Direct"",""CRONUS JetCorp USA"",""32"",""1"",""12463"""</f>
        <v>"NAV Direct","CRONUS JetCorp USA","32","1","12463"</v>
      </c>
      <c r="H1201" s="40">
        <v>43471</v>
      </c>
      <c r="I1201" s="41">
        <v>12463</v>
      </c>
      <c r="J1201" s="42" t="str">
        <f>"Customer"</f>
        <v>Customer</v>
      </c>
      <c r="K1201" s="42" t="str">
        <f>"C100041"</f>
        <v>C100041</v>
      </c>
      <c r="L1201" s="42" t="str">
        <f>IF($J1201="Customer",_xll.NL("first",$J1201,"Name","No.","@@"&amp;$K1201),"")</f>
        <v>Heimilisprydi</v>
      </c>
      <c r="M1201" s="42" t="str">
        <f>""</f>
        <v/>
      </c>
      <c r="N1201" s="42" t="str">
        <f>IF($J1201="Item",_xll.NL("first",$J1201,"Description","No.","@@"&amp;$K1201),"")</f>
        <v/>
      </c>
      <c r="O1201" s="43">
        <v>0</v>
      </c>
      <c r="P1201" s="43">
        <v>-289</v>
      </c>
      <c r="Q1201" s="43">
        <v>0</v>
      </c>
      <c r="R1201" s="43">
        <v>0</v>
      </c>
      <c r="S1201" s="43">
        <v>0</v>
      </c>
      <c r="T1201" s="43">
        <v>0</v>
      </c>
      <c r="U1201" s="56"/>
    </row>
    <row r="1202" spans="1:21" ht="17.25" customHeight="1" x14ac:dyDescent="0.3">
      <c r="A1202" s="15" t="s">
        <v>30</v>
      </c>
      <c r="C1202" s="19"/>
      <c r="D1202" s="33" t="str">
        <f t="shared" si="292"/>
        <v>E100018</v>
      </c>
      <c r="E1202" s="33"/>
      <c r="F1202" s="34"/>
      <c r="G1202" s="34" t="str">
        <f>"""NAV Direct"",""CRONUS JetCorp USA"",""32"",""1"",""15155"""</f>
        <v>"NAV Direct","CRONUS JetCorp USA","32","1","15155"</v>
      </c>
      <c r="H1202" s="40">
        <v>43471</v>
      </c>
      <c r="I1202" s="41">
        <v>15155</v>
      </c>
      <c r="J1202" s="42" t="str">
        <f>"Customer"</f>
        <v>Customer</v>
      </c>
      <c r="K1202" s="42" t="str">
        <f>"C100134"</f>
        <v>C100134</v>
      </c>
      <c r="L1202" s="42" t="str">
        <f>IF($J1202="Customer",_xll.NL("first",$J1202,"Name","No.","@@"&amp;$K1202),"")</f>
        <v>Iber Tech</v>
      </c>
      <c r="M1202" s="42" t="str">
        <f>""</f>
        <v/>
      </c>
      <c r="N1202" s="42" t="str">
        <f>IF($J1202="Item",_xll.NL("first",$J1202,"Description","No.","@@"&amp;$K1202),"")</f>
        <v/>
      </c>
      <c r="O1202" s="43">
        <v>0</v>
      </c>
      <c r="P1202" s="43">
        <v>-6</v>
      </c>
      <c r="Q1202" s="43">
        <v>0</v>
      </c>
      <c r="R1202" s="43">
        <v>0</v>
      </c>
      <c r="S1202" s="43">
        <v>0</v>
      </c>
      <c r="T1202" s="43">
        <v>0</v>
      </c>
      <c r="U1202" s="56"/>
    </row>
    <row r="1203" spans="1:21" ht="17.25" customHeight="1" x14ac:dyDescent="0.3">
      <c r="A1203" s="15" t="s">
        <v>30</v>
      </c>
      <c r="C1203" s="19"/>
      <c r="D1203" s="33" t="str">
        <f t="shared" si="292"/>
        <v>E100018</v>
      </c>
      <c r="E1203" s="33"/>
      <c r="F1203" s="34"/>
      <c r="G1203" s="34" t="str">
        <f>"""NAV Direct"",""CRONUS JetCorp USA"",""32"",""1"",""25249"""</f>
        <v>"NAV Direct","CRONUS JetCorp USA","32","1","25249"</v>
      </c>
      <c r="H1203" s="40">
        <v>43471</v>
      </c>
      <c r="I1203" s="41">
        <v>25249</v>
      </c>
      <c r="J1203" s="42" t="str">
        <f>"Customer"</f>
        <v>Customer</v>
      </c>
      <c r="K1203" s="42" t="str">
        <f>"C100102"</f>
        <v>C100102</v>
      </c>
      <c r="L1203" s="42" t="str">
        <f>IF($J1203="Customer",_xll.NL("first",$J1203,"Name","No.","@@"&amp;$K1203),"")</f>
        <v xml:space="preserve">BEI Outfitters </v>
      </c>
      <c r="M1203" s="42" t="str">
        <f>""</f>
        <v/>
      </c>
      <c r="N1203" s="42" t="str">
        <f>IF($J1203="Item",_xll.NL("first",$J1203,"Description","No.","@@"&amp;$K1203),"")</f>
        <v/>
      </c>
      <c r="O1203" s="43">
        <v>0</v>
      </c>
      <c r="P1203" s="43">
        <v>-2</v>
      </c>
      <c r="Q1203" s="43">
        <v>0</v>
      </c>
      <c r="R1203" s="43">
        <v>0</v>
      </c>
      <c r="S1203" s="43">
        <v>0</v>
      </c>
      <c r="T1203" s="43">
        <v>0</v>
      </c>
      <c r="U1203" s="56"/>
    </row>
    <row r="1204" spans="1:21" ht="17.25" customHeight="1" x14ac:dyDescent="0.3">
      <c r="A1204" s="15" t="s">
        <v>30</v>
      </c>
      <c r="C1204" s="19"/>
      <c r="D1204" s="33" t="str">
        <f t="shared" si="292"/>
        <v>E100018</v>
      </c>
      <c r="E1204" s="33"/>
      <c r="F1204" s="34"/>
      <c r="G1204" s="34" t="str">
        <f>"""NAV Direct"",""CRONUS JetCorp USA"",""32"",""1"",""30040"""</f>
        <v>"NAV Direct","CRONUS JetCorp USA","32","1","30040"</v>
      </c>
      <c r="H1204" s="40">
        <v>43471</v>
      </c>
      <c r="I1204" s="41">
        <v>30040</v>
      </c>
      <c r="J1204" s="42" t="str">
        <f>"Customer"</f>
        <v>Customer</v>
      </c>
      <c r="K1204" s="42" t="str">
        <f>"C100012"</f>
        <v>C100012</v>
      </c>
      <c r="L1204" s="42" t="str">
        <f>IF($J1204="Customer",_xll.NL("first",$J1204,"Name","No.","@@"&amp;$K1204),"")</f>
        <v>Bainbridges</v>
      </c>
      <c r="M1204" s="42" t="str">
        <f>""</f>
        <v/>
      </c>
      <c r="N1204" s="42" t="str">
        <f>IF($J1204="Item",_xll.NL("first",$J1204,"Description","No.","@@"&amp;$K1204),"")</f>
        <v/>
      </c>
      <c r="O1204" s="43">
        <v>0</v>
      </c>
      <c r="P1204" s="43">
        <v>-144</v>
      </c>
      <c r="Q1204" s="43">
        <v>0</v>
      </c>
      <c r="R1204" s="43">
        <v>0</v>
      </c>
      <c r="S1204" s="43">
        <v>0</v>
      </c>
      <c r="T1204" s="43">
        <v>0</v>
      </c>
      <c r="U1204" s="56"/>
    </row>
    <row r="1205" spans="1:21" ht="17.25" customHeight="1" x14ac:dyDescent="0.3">
      <c r="A1205" s="15" t="s">
        <v>30</v>
      </c>
      <c r="C1205" s="19"/>
      <c r="D1205" s="33" t="str">
        <f t="shared" si="292"/>
        <v>E100018</v>
      </c>
      <c r="E1205" s="33"/>
      <c r="F1205" s="34"/>
      <c r="G1205" s="34" t="str">
        <f>"""NAV Direct"",""CRONUS JetCorp USA"",""32"",""1"",""20342"""</f>
        <v>"NAV Direct","CRONUS JetCorp USA","32","1","20342"</v>
      </c>
      <c r="H1205" s="40">
        <v>43472</v>
      </c>
      <c r="I1205" s="41">
        <v>20342</v>
      </c>
      <c r="J1205" s="42" t="str">
        <f>"Customer"</f>
        <v>Customer</v>
      </c>
      <c r="K1205" s="42" t="str">
        <f>"C100145"</f>
        <v>C100145</v>
      </c>
      <c r="L1205" s="42" t="str">
        <f>IF($J1205="Customer",_xll.NL("first",$J1205,"Name","No.","@@"&amp;$K1205),"")</f>
        <v>Dicon Industries</v>
      </c>
      <c r="M1205" s="42" t="str">
        <f>""</f>
        <v/>
      </c>
      <c r="N1205" s="42" t="str">
        <f>IF($J1205="Item",_xll.NL("first",$J1205,"Description","No.","@@"&amp;$K1205),"")</f>
        <v/>
      </c>
      <c r="O1205" s="43">
        <v>0</v>
      </c>
      <c r="P1205" s="43">
        <v>-144</v>
      </c>
      <c r="Q1205" s="43">
        <v>0</v>
      </c>
      <c r="R1205" s="43">
        <v>0</v>
      </c>
      <c r="S1205" s="43">
        <v>0</v>
      </c>
      <c r="T1205" s="43">
        <v>0</v>
      </c>
      <c r="U1205" s="56"/>
    </row>
    <row r="1206" spans="1:21" ht="17.25" customHeight="1" x14ac:dyDescent="0.3">
      <c r="A1206" s="15" t="s">
        <v>30</v>
      </c>
      <c r="C1206" s="19"/>
      <c r="D1206" s="33" t="str">
        <f t="shared" si="292"/>
        <v>E100018</v>
      </c>
      <c r="E1206" s="33"/>
      <c r="F1206" s="34"/>
      <c r="G1206" s="34" t="str">
        <f>"""NAV Direct"",""CRONUS JetCorp USA"",""32"",""1"",""25257"""</f>
        <v>"NAV Direct","CRONUS JetCorp USA","32","1","25257"</v>
      </c>
      <c r="H1206" s="40">
        <v>43472</v>
      </c>
      <c r="I1206" s="41">
        <v>25257</v>
      </c>
      <c r="J1206" s="42" t="str">
        <f>"Customer"</f>
        <v>Customer</v>
      </c>
      <c r="K1206" s="42" t="str">
        <f>"C100098"</f>
        <v>C100098</v>
      </c>
      <c r="L1206" s="42" t="str">
        <f>IF($J1206="Customer",_xll.NL("first",$J1206,"Name","No.","@@"&amp;$K1206),"")</f>
        <v>BlackCane Motor Works</v>
      </c>
      <c r="M1206" s="42" t="str">
        <f>""</f>
        <v/>
      </c>
      <c r="N1206" s="42" t="str">
        <f>IF($J1206="Item",_xll.NL("first",$J1206,"Description","No.","@@"&amp;$K1206),"")</f>
        <v/>
      </c>
      <c r="O1206" s="43">
        <v>0</v>
      </c>
      <c r="P1206" s="43">
        <v>-289</v>
      </c>
      <c r="Q1206" s="43">
        <v>0</v>
      </c>
      <c r="R1206" s="43">
        <v>0</v>
      </c>
      <c r="S1206" s="43">
        <v>0</v>
      </c>
      <c r="T1206" s="43">
        <v>0</v>
      </c>
      <c r="U1206" s="56"/>
    </row>
    <row r="1207" spans="1:21" ht="17.25" customHeight="1" x14ac:dyDescent="0.3">
      <c r="A1207" s="15" t="s">
        <v>30</v>
      </c>
      <c r="C1207" s="19"/>
      <c r="D1207" s="33" t="str">
        <f t="shared" si="292"/>
        <v>E100018</v>
      </c>
      <c r="E1207" s="33"/>
      <c r="F1207" s="34"/>
      <c r="G1207" s="34" t="str">
        <f>"""NAV Direct"",""CRONUS JetCorp USA"",""32"",""1"",""54737"""</f>
        <v>"NAV Direct","CRONUS JetCorp USA","32","1","54737"</v>
      </c>
      <c r="H1207" s="40">
        <v>43472</v>
      </c>
      <c r="I1207" s="41">
        <v>54737</v>
      </c>
      <c r="J1207" s="42" t="str">
        <f>"Customer"</f>
        <v>Customer</v>
      </c>
      <c r="K1207" s="42" t="str">
        <f>"C100084"</f>
        <v>C100084</v>
      </c>
      <c r="L1207" s="42" t="str">
        <f>IF($J1207="Customer",_xll.NL("first",$J1207,"Name","No.","@@"&amp;$K1207),"")</f>
        <v>The Cannon Group PLC</v>
      </c>
      <c r="M1207" s="42" t="str">
        <f>""</f>
        <v/>
      </c>
      <c r="N1207" s="42" t="str">
        <f>IF($J1207="Item",_xll.NL("first",$J1207,"Description","No.","@@"&amp;$K1207),"")</f>
        <v/>
      </c>
      <c r="O1207" s="43">
        <v>0</v>
      </c>
      <c r="P1207" s="43">
        <v>-144</v>
      </c>
      <c r="Q1207" s="43">
        <v>0</v>
      </c>
      <c r="R1207" s="43">
        <v>0</v>
      </c>
      <c r="S1207" s="43">
        <v>0</v>
      </c>
      <c r="T1207" s="43">
        <v>0</v>
      </c>
      <c r="U1207" s="56"/>
    </row>
    <row r="1208" spans="1:21" ht="17.25" customHeight="1" x14ac:dyDescent="0.3">
      <c r="A1208" s="15" t="s">
        <v>30</v>
      </c>
      <c r="C1208" s="19"/>
      <c r="D1208" s="33" t="str">
        <f t="shared" si="292"/>
        <v>E100018</v>
      </c>
      <c r="E1208" s="33"/>
      <c r="F1208" s="34"/>
      <c r="G1208" s="34" t="str">
        <f>"""NAV Direct"",""CRONUS JetCorp USA"",""32"",""1"",""64610"""</f>
        <v>"NAV Direct","CRONUS JetCorp USA","32","1","64610"</v>
      </c>
      <c r="H1208" s="40">
        <v>43472</v>
      </c>
      <c r="I1208" s="41">
        <v>64610</v>
      </c>
      <c r="J1208" s="42" t="str">
        <f>"Customer"</f>
        <v>Customer</v>
      </c>
      <c r="K1208" s="42" t="str">
        <f>"C100140"</f>
        <v>C100140</v>
      </c>
      <c r="L1208" s="42" t="str">
        <f>IF($J1208="Customer",_xll.NL("first",$J1208,"Name","No.","@@"&amp;$K1208),"")</f>
        <v>Super Daves</v>
      </c>
      <c r="M1208" s="42" t="str">
        <f>""</f>
        <v/>
      </c>
      <c r="N1208" s="42" t="str">
        <f>IF($J1208="Item",_xll.NL("first",$J1208,"Description","No.","@@"&amp;$K1208),"")</f>
        <v/>
      </c>
      <c r="O1208" s="43">
        <v>0</v>
      </c>
      <c r="P1208" s="43">
        <v>-1</v>
      </c>
      <c r="Q1208" s="43">
        <v>0</v>
      </c>
      <c r="R1208" s="43">
        <v>0</v>
      </c>
      <c r="S1208" s="43">
        <v>0</v>
      </c>
      <c r="T1208" s="43">
        <v>0</v>
      </c>
      <c r="U1208" s="56"/>
    </row>
    <row r="1209" spans="1:21" ht="17.25" customHeight="1" x14ac:dyDescent="0.3">
      <c r="A1209" s="15" t="s">
        <v>30</v>
      </c>
      <c r="C1209" s="19"/>
      <c r="D1209" s="33" t="str">
        <f t="shared" si="292"/>
        <v>E100018</v>
      </c>
      <c r="E1209" s="33"/>
      <c r="F1209" s="34"/>
      <c r="G1209" s="34" t="str">
        <f>"""NAV Direct"",""CRONUS JetCorp USA"",""32"",""1"",""111286"""</f>
        <v>"NAV Direct","CRONUS JetCorp USA","32","1","111286"</v>
      </c>
      <c r="H1209" s="40">
        <v>43472</v>
      </c>
      <c r="I1209" s="41">
        <v>111286</v>
      </c>
      <c r="J1209" s="42" t="str">
        <f>"Customer"</f>
        <v>Customer</v>
      </c>
      <c r="K1209" s="42" t="str">
        <f>"C100099"</f>
        <v>C100099</v>
      </c>
      <c r="L1209" s="42" t="str">
        <f>IF($J1209="Customer",_xll.NL("first",$J1209,"Name","No.","@@"&amp;$K1209),"")</f>
        <v>Voltive Systems</v>
      </c>
      <c r="M1209" s="42" t="str">
        <f>""</f>
        <v/>
      </c>
      <c r="N1209" s="42" t="str">
        <f>IF($J1209="Item",_xll.NL("first",$J1209,"Description","No.","@@"&amp;$K1209),"")</f>
        <v/>
      </c>
      <c r="O1209" s="43">
        <v>0</v>
      </c>
      <c r="P1209" s="43">
        <v>-6</v>
      </c>
      <c r="Q1209" s="43">
        <v>0</v>
      </c>
      <c r="R1209" s="43">
        <v>0</v>
      </c>
      <c r="S1209" s="43">
        <v>0</v>
      </c>
      <c r="T1209" s="43">
        <v>0</v>
      </c>
      <c r="U1209" s="56"/>
    </row>
    <row r="1210" spans="1:21" ht="17.25" customHeight="1" x14ac:dyDescent="0.3">
      <c r="A1210" s="15" t="s">
        <v>30</v>
      </c>
      <c r="C1210" s="19"/>
      <c r="D1210" s="33" t="str">
        <f t="shared" si="292"/>
        <v>E100018</v>
      </c>
      <c r="E1210" s="33"/>
      <c r="F1210" s="34"/>
      <c r="G1210" s="34" t="str">
        <f>"""NAV Direct"",""CRONUS JetCorp USA"",""32"",""1"",""111317"""</f>
        <v>"NAV Direct","CRONUS JetCorp USA","32","1","111317"</v>
      </c>
      <c r="H1210" s="40">
        <v>43472</v>
      </c>
      <c r="I1210" s="41">
        <v>111317</v>
      </c>
      <c r="J1210" s="42" t="str">
        <f>"Customer"</f>
        <v>Customer</v>
      </c>
      <c r="K1210" s="42" t="str">
        <f>"C100099"</f>
        <v>C100099</v>
      </c>
      <c r="L1210" s="42" t="str">
        <f>IF($J1210="Customer",_xll.NL("first",$J1210,"Name","No.","@@"&amp;$K1210),"")</f>
        <v>Voltive Systems</v>
      </c>
      <c r="M1210" s="42" t="str">
        <f>""</f>
        <v/>
      </c>
      <c r="N1210" s="42" t="str">
        <f>IF($J1210="Item",_xll.NL("first",$J1210,"Description","No.","@@"&amp;$K1210),"")</f>
        <v/>
      </c>
      <c r="O1210" s="43">
        <v>0</v>
      </c>
      <c r="P1210" s="43">
        <v>-1</v>
      </c>
      <c r="Q1210" s="43">
        <v>0</v>
      </c>
      <c r="R1210" s="43">
        <v>0</v>
      </c>
      <c r="S1210" s="43">
        <v>0</v>
      </c>
      <c r="T1210" s="43">
        <v>0</v>
      </c>
      <c r="U1210" s="56"/>
    </row>
    <row r="1211" spans="1:21" ht="17.25" customHeight="1" x14ac:dyDescent="0.3">
      <c r="A1211" s="15" t="s">
        <v>30</v>
      </c>
      <c r="C1211" s="19"/>
      <c r="D1211" s="33" t="str">
        <f t="shared" si="292"/>
        <v>E100018</v>
      </c>
      <c r="E1211" s="33"/>
      <c r="F1211" s="34"/>
      <c r="G1211" s="34" t="str">
        <f>"""NAV Direct"",""CRONUS JetCorp USA"",""32"",""1"",""116374"""</f>
        <v>"NAV Direct","CRONUS JetCorp USA","32","1","116374"</v>
      </c>
      <c r="H1211" s="40">
        <v>43472</v>
      </c>
      <c r="I1211" s="41">
        <v>116374</v>
      </c>
      <c r="J1211" s="42" t="str">
        <f>"Customer"</f>
        <v>Customer</v>
      </c>
      <c r="K1211" s="42" t="str">
        <f>"C100054"</f>
        <v>C100054</v>
      </c>
      <c r="L1211" s="42" t="str">
        <f>IF($J1211="Customer",_xll.NL("first",$J1211,"Name","No.","@@"&amp;$K1211),"")</f>
        <v>London Candoxy Storage Campus</v>
      </c>
      <c r="M1211" s="42" t="str">
        <f>""</f>
        <v/>
      </c>
      <c r="N1211" s="42" t="str">
        <f>IF($J1211="Item",_xll.NL("first",$J1211,"Description","No.","@@"&amp;$K1211),"")</f>
        <v/>
      </c>
      <c r="O1211" s="43">
        <v>0</v>
      </c>
      <c r="P1211" s="43">
        <v>-48</v>
      </c>
      <c r="Q1211" s="43">
        <v>0</v>
      </c>
      <c r="R1211" s="43">
        <v>0</v>
      </c>
      <c r="S1211" s="43">
        <v>0</v>
      </c>
      <c r="T1211" s="43">
        <v>0</v>
      </c>
      <c r="U1211" s="56"/>
    </row>
    <row r="1212" spans="1:21" ht="17.25" customHeight="1" x14ac:dyDescent="0.3">
      <c r="A1212" s="15" t="s">
        <v>30</v>
      </c>
      <c r="C1212" s="19"/>
      <c r="D1212" s="33" t="str">
        <f t="shared" si="292"/>
        <v>E100018</v>
      </c>
      <c r="E1212" s="33"/>
      <c r="F1212" s="34"/>
      <c r="G1212" s="34" t="str">
        <f>"""NAV Direct"",""CRONUS JetCorp USA"",""32"",""1"",""128881"""</f>
        <v>"NAV Direct","CRONUS JetCorp USA","32","1","128881"</v>
      </c>
      <c r="H1212" s="40">
        <v>43472</v>
      </c>
      <c r="I1212" s="41">
        <v>128881</v>
      </c>
      <c r="J1212" s="42" t="str">
        <f>"Customer"</f>
        <v>Customer</v>
      </c>
      <c r="K1212" s="42" t="str">
        <f>"C100105"</f>
        <v>C100105</v>
      </c>
      <c r="L1212" s="42" t="str">
        <f>IF($J1212="Customer",_xll.NL("first",$J1212,"Name","No.","@@"&amp;$K1212),"")</f>
        <v>Esystems</v>
      </c>
      <c r="M1212" s="42" t="str">
        <f>""</f>
        <v/>
      </c>
      <c r="N1212" s="42" t="str">
        <f>IF($J1212="Item",_xll.NL("first",$J1212,"Description","No.","@@"&amp;$K1212),"")</f>
        <v/>
      </c>
      <c r="O1212" s="43">
        <v>0</v>
      </c>
      <c r="P1212" s="43">
        <v>-1</v>
      </c>
      <c r="Q1212" s="43">
        <v>0</v>
      </c>
      <c r="R1212" s="43">
        <v>0</v>
      </c>
      <c r="S1212" s="43">
        <v>0</v>
      </c>
      <c r="T1212" s="43">
        <v>0</v>
      </c>
      <c r="U1212" s="56"/>
    </row>
    <row r="1213" spans="1:21" ht="17.25" customHeight="1" x14ac:dyDescent="0.3">
      <c r="A1213" s="15" t="s">
        <v>30</v>
      </c>
      <c r="C1213" s="19"/>
      <c r="D1213" s="33" t="str">
        <f t="shared" si="292"/>
        <v>E100018</v>
      </c>
      <c r="E1213" s="33"/>
      <c r="F1213" s="34"/>
      <c r="G1213" s="34" t="str">
        <f>"""NAV Direct"",""CRONUS JetCorp USA"",""32"",""1"",""142554"""</f>
        <v>"NAV Direct","CRONUS JetCorp USA","32","1","142554"</v>
      </c>
      <c r="H1213" s="40">
        <v>43472</v>
      </c>
      <c r="I1213" s="41">
        <v>142554</v>
      </c>
      <c r="J1213" s="42" t="str">
        <f>"Customer"</f>
        <v>Customer</v>
      </c>
      <c r="K1213" s="42" t="str">
        <f>"C100100"</f>
        <v>C100100</v>
      </c>
      <c r="L1213" s="42" t="str">
        <f>IF($J1213="Customer",_xll.NL("first",$J1213,"Name","No.","@@"&amp;$K1213),"")</f>
        <v>Keybase, Inc.</v>
      </c>
      <c r="M1213" s="42" t="str">
        <f>""</f>
        <v/>
      </c>
      <c r="N1213" s="42" t="str">
        <f>IF($J1213="Item",_xll.NL("first",$J1213,"Description","No.","@@"&amp;$K1213),"")</f>
        <v/>
      </c>
      <c r="O1213" s="43">
        <v>0</v>
      </c>
      <c r="P1213" s="43">
        <v>-168</v>
      </c>
      <c r="Q1213" s="43">
        <v>0</v>
      </c>
      <c r="R1213" s="43">
        <v>0</v>
      </c>
      <c r="S1213" s="43">
        <v>0</v>
      </c>
      <c r="T1213" s="43">
        <v>0</v>
      </c>
      <c r="U1213" s="56"/>
    </row>
    <row r="1214" spans="1:21" ht="17.25" customHeight="1" x14ac:dyDescent="0.3">
      <c r="A1214" s="15" t="s">
        <v>30</v>
      </c>
      <c r="C1214" s="19"/>
      <c r="D1214" s="33" t="str">
        <f t="shared" si="292"/>
        <v>E100018</v>
      </c>
      <c r="E1214" s="33"/>
      <c r="F1214" s="34"/>
      <c r="G1214" s="34" t="str">
        <f>"""NAV Direct"",""CRONUS JetCorp USA"",""32"",""1"",""44531"""</f>
        <v>"NAV Direct","CRONUS JetCorp USA","32","1","44531"</v>
      </c>
      <c r="H1214" s="40">
        <v>43473</v>
      </c>
      <c r="I1214" s="41">
        <v>44531</v>
      </c>
      <c r="J1214" s="42" t="str">
        <f>"Customer"</f>
        <v>Customer</v>
      </c>
      <c r="K1214" s="42" t="str">
        <f>"C100139"</f>
        <v>C100139</v>
      </c>
      <c r="L1214" s="42" t="str">
        <f>IF($J1214="Customer",_xll.NL("first",$J1214,"Name","No.","@@"&amp;$K1214),"")</f>
        <v>Gamma Ray's</v>
      </c>
      <c r="M1214" s="42" t="str">
        <f>""</f>
        <v/>
      </c>
      <c r="N1214" s="42" t="str">
        <f>IF($J1214="Item",_xll.NL("first",$J1214,"Description","No.","@@"&amp;$K1214),"")</f>
        <v/>
      </c>
      <c r="O1214" s="43">
        <v>0</v>
      </c>
      <c r="P1214" s="43">
        <v>-144</v>
      </c>
      <c r="Q1214" s="43">
        <v>0</v>
      </c>
      <c r="R1214" s="43">
        <v>0</v>
      </c>
      <c r="S1214" s="43">
        <v>0</v>
      </c>
      <c r="T1214" s="43">
        <v>0</v>
      </c>
      <c r="U1214" s="56"/>
    </row>
    <row r="1215" spans="1:21" ht="17.25" customHeight="1" x14ac:dyDescent="0.3">
      <c r="A1215" s="15" t="s">
        <v>30</v>
      </c>
      <c r="C1215" s="19"/>
      <c r="D1215" s="33" t="str">
        <f t="shared" si="292"/>
        <v>E100018</v>
      </c>
      <c r="E1215" s="33"/>
      <c r="F1215" s="34"/>
      <c r="G1215" s="34" t="str">
        <f>"""NAV Direct"",""CRONUS JetCorp USA"",""32"",""1"",""124552"""</f>
        <v>"NAV Direct","CRONUS JetCorp USA","32","1","124552"</v>
      </c>
      <c r="H1215" s="40">
        <v>43473</v>
      </c>
      <c r="I1215" s="41">
        <v>124552</v>
      </c>
      <c r="J1215" s="42" t="str">
        <f>"Customer"</f>
        <v>Customer</v>
      </c>
      <c r="K1215" s="42" t="str">
        <f>"C100035"</f>
        <v>C100035</v>
      </c>
      <c r="L1215" s="42" t="str">
        <f>IF($J1215="Customer",_xll.NL("first",$J1215,"Name","No.","@@"&amp;$K1215),"")</f>
        <v>First Touch Marketing</v>
      </c>
      <c r="M1215" s="42" t="str">
        <f>""</f>
        <v/>
      </c>
      <c r="N1215" s="42" t="str">
        <f>IF($J1215="Item",_xll.NL("first",$J1215,"Description","No.","@@"&amp;$K1215),"")</f>
        <v/>
      </c>
      <c r="O1215" s="43">
        <v>0</v>
      </c>
      <c r="P1215" s="43">
        <v>-288</v>
      </c>
      <c r="Q1215" s="43">
        <v>0</v>
      </c>
      <c r="R1215" s="43">
        <v>0</v>
      </c>
      <c r="S1215" s="43">
        <v>0</v>
      </c>
      <c r="T1215" s="43">
        <v>0</v>
      </c>
      <c r="U1215" s="56"/>
    </row>
    <row r="1216" spans="1:21" ht="17.25" customHeight="1" x14ac:dyDescent="0.3">
      <c r="A1216" s="15" t="s">
        <v>30</v>
      </c>
      <c r="C1216" s="19"/>
      <c r="D1216" s="33" t="str">
        <f t="shared" si="292"/>
        <v>E100018</v>
      </c>
      <c r="E1216" s="33"/>
      <c r="F1216" s="34"/>
      <c r="G1216" s="34" t="str">
        <f>"""NAV Direct"",""CRONUS JetCorp USA"",""32"",""1"",""36496"""</f>
        <v>"NAV Direct","CRONUS JetCorp USA","32","1","36496"</v>
      </c>
      <c r="H1216" s="40">
        <v>43474</v>
      </c>
      <c r="I1216" s="41">
        <v>36496</v>
      </c>
      <c r="J1216" s="42" t="str">
        <f>"Customer"</f>
        <v>Customer</v>
      </c>
      <c r="K1216" s="42" t="str">
        <f>"C100092"</f>
        <v>C100092</v>
      </c>
      <c r="L1216" s="42" t="str">
        <f>IF($J1216="Customer",_xll.NL("first",$J1216,"Name","No.","@@"&amp;$K1216),"")</f>
        <v>Zuni Home Crafts Ltd.</v>
      </c>
      <c r="M1216" s="42" t="str">
        <f>""</f>
        <v/>
      </c>
      <c r="N1216" s="42" t="str">
        <f>IF($J1216="Item",_xll.NL("first",$J1216,"Description","No.","@@"&amp;$K1216),"")</f>
        <v/>
      </c>
      <c r="O1216" s="43">
        <v>0</v>
      </c>
      <c r="P1216" s="43">
        <v>-144</v>
      </c>
      <c r="Q1216" s="43">
        <v>0</v>
      </c>
      <c r="R1216" s="43">
        <v>0</v>
      </c>
      <c r="S1216" s="43">
        <v>0</v>
      </c>
      <c r="T1216" s="43">
        <v>0</v>
      </c>
      <c r="U1216" s="56"/>
    </row>
    <row r="1217" spans="1:21" ht="17.25" customHeight="1" x14ac:dyDescent="0.3">
      <c r="A1217" s="15" t="s">
        <v>30</v>
      </c>
      <c r="C1217" s="19"/>
      <c r="D1217" s="33" t="str">
        <f t="shared" si="292"/>
        <v>E100018</v>
      </c>
      <c r="E1217" s="33"/>
      <c r="F1217" s="34"/>
      <c r="G1217" s="34" t="str">
        <f>"""NAV Direct"",""CRONUS JetCorp USA"",""32"",""1"",""120195"""</f>
        <v>"NAV Direct","CRONUS JetCorp USA","32","1","120195"</v>
      </c>
      <c r="H1217" s="40">
        <v>43474</v>
      </c>
      <c r="I1217" s="41">
        <v>120195</v>
      </c>
      <c r="J1217" s="42" t="str">
        <f>"Customer"</f>
        <v>Customer</v>
      </c>
      <c r="K1217" s="42" t="str">
        <f>"C100049"</f>
        <v>C100049</v>
      </c>
      <c r="L1217" s="42" t="str">
        <f>IF($J1217="Customer",_xll.NL("first",$J1217,"Name","No.","@@"&amp;$K1217),"")</f>
        <v>Konberg Tapet AB</v>
      </c>
      <c r="M1217" s="42" t="str">
        <f>""</f>
        <v/>
      </c>
      <c r="N1217" s="42" t="str">
        <f>IF($J1217="Item",_xll.NL("first",$J1217,"Description","No.","@@"&amp;$K1217),"")</f>
        <v/>
      </c>
      <c r="O1217" s="43">
        <v>0</v>
      </c>
      <c r="P1217" s="43">
        <v>-1</v>
      </c>
      <c r="Q1217" s="43">
        <v>0</v>
      </c>
      <c r="R1217" s="43">
        <v>0</v>
      </c>
      <c r="S1217" s="43">
        <v>0</v>
      </c>
      <c r="T1217" s="43">
        <v>0</v>
      </c>
      <c r="U1217" s="56"/>
    </row>
    <row r="1218" spans="1:21" ht="17.25" customHeight="1" x14ac:dyDescent="0.3">
      <c r="A1218" s="15" t="s">
        <v>30</v>
      </c>
      <c r="C1218" s="19"/>
      <c r="D1218" s="33" t="str">
        <f t="shared" si="292"/>
        <v>E100018</v>
      </c>
      <c r="E1218" s="33"/>
      <c r="F1218" s="34"/>
      <c r="G1218" s="34" t="str">
        <f>"""NAV Direct"",""CRONUS JetCorp USA"",""32"",""1"",""124534"""</f>
        <v>"NAV Direct","CRONUS JetCorp USA","32","1","124534"</v>
      </c>
      <c r="H1218" s="40">
        <v>43474</v>
      </c>
      <c r="I1218" s="41">
        <v>124534</v>
      </c>
      <c r="J1218" s="42" t="str">
        <f>"Customer"</f>
        <v>Customer</v>
      </c>
      <c r="K1218" s="42" t="str">
        <f>"C100145"</f>
        <v>C100145</v>
      </c>
      <c r="L1218" s="42" t="str">
        <f>IF($J1218="Customer",_xll.NL("first",$J1218,"Name","No.","@@"&amp;$K1218),"")</f>
        <v>Dicon Industries</v>
      </c>
      <c r="M1218" s="42" t="str">
        <f>""</f>
        <v/>
      </c>
      <c r="N1218" s="42" t="str">
        <f>IF($J1218="Item",_xll.NL("first",$J1218,"Description","No.","@@"&amp;$K1218),"")</f>
        <v/>
      </c>
      <c r="O1218" s="43">
        <v>0</v>
      </c>
      <c r="P1218" s="43">
        <v>-144</v>
      </c>
      <c r="Q1218" s="43">
        <v>0</v>
      </c>
      <c r="R1218" s="43">
        <v>0</v>
      </c>
      <c r="S1218" s="43">
        <v>0</v>
      </c>
      <c r="T1218" s="43">
        <v>0</v>
      </c>
      <c r="U1218" s="56"/>
    </row>
    <row r="1219" spans="1:21" ht="17.25" customHeight="1" x14ac:dyDescent="0.3">
      <c r="A1219" s="15" t="s">
        <v>30</v>
      </c>
      <c r="C1219" s="19"/>
      <c r="D1219" s="33" t="str">
        <f t="shared" si="292"/>
        <v>E100018</v>
      </c>
      <c r="E1219" s="33"/>
      <c r="F1219" s="34"/>
      <c r="G1219" s="34" t="str">
        <f>"""NAV Direct"",""CRONUS JetCorp USA"",""32"",""1"",""135819"""</f>
        <v>"NAV Direct","CRONUS JetCorp USA","32","1","135819"</v>
      </c>
      <c r="H1219" s="40">
        <v>43474</v>
      </c>
      <c r="I1219" s="41">
        <v>135819</v>
      </c>
      <c r="J1219" s="42" t="str">
        <f>"Customer"</f>
        <v>Customer</v>
      </c>
      <c r="K1219" s="42" t="str">
        <f>"C100050"</f>
        <v>C100050</v>
      </c>
      <c r="L1219" s="42" t="str">
        <f>IF($J1219="Customer",_xll.NL("first",$J1219,"Name","No.","@@"&amp;$K1219),"")</f>
        <v>Lauritzen Kontorm¢bler A/S</v>
      </c>
      <c r="M1219" s="42" t="str">
        <f>""</f>
        <v/>
      </c>
      <c r="N1219" s="42" t="str">
        <f>IF($J1219="Item",_xll.NL("first",$J1219,"Description","No.","@@"&amp;$K1219),"")</f>
        <v/>
      </c>
      <c r="O1219" s="43">
        <v>0</v>
      </c>
      <c r="P1219" s="43">
        <v>-144</v>
      </c>
      <c r="Q1219" s="43">
        <v>0</v>
      </c>
      <c r="R1219" s="43">
        <v>0</v>
      </c>
      <c r="S1219" s="43">
        <v>0</v>
      </c>
      <c r="T1219" s="43">
        <v>0</v>
      </c>
      <c r="U1219" s="56"/>
    </row>
    <row r="1220" spans="1:21" ht="17.25" customHeight="1" x14ac:dyDescent="0.3">
      <c r="A1220" s="15" t="s">
        <v>30</v>
      </c>
      <c r="C1220" s="19"/>
      <c r="D1220" s="33" t="str">
        <f t="shared" si="292"/>
        <v>E100018</v>
      </c>
      <c r="E1220" s="33"/>
      <c r="F1220" s="34"/>
      <c r="G1220" s="34" t="str">
        <f>"""NAV Direct"",""CRONUS JetCorp USA"",""32"",""1"",""20414"""</f>
        <v>"NAV Direct","CRONUS JetCorp USA","32","1","20414"</v>
      </c>
      <c r="H1220" s="40">
        <v>43475</v>
      </c>
      <c r="I1220" s="41">
        <v>20414</v>
      </c>
      <c r="J1220" s="42" t="str">
        <f>"Customer"</f>
        <v>Customer</v>
      </c>
      <c r="K1220" s="42" t="str">
        <f>"C100130"</f>
        <v>C100130</v>
      </c>
      <c r="L1220" s="42" t="str">
        <f>IF($J1220="Customer",_xll.NL("first",$J1220,"Name","No.","@@"&amp;$K1220),"")</f>
        <v>Hotspot Systems</v>
      </c>
      <c r="M1220" s="42" t="str">
        <f>""</f>
        <v/>
      </c>
      <c r="N1220" s="42" t="str">
        <f>IF($J1220="Item",_xll.NL("first",$J1220,"Description","No.","@@"&amp;$K1220),"")</f>
        <v/>
      </c>
      <c r="O1220" s="43">
        <v>0</v>
      </c>
      <c r="P1220" s="43">
        <v>-12</v>
      </c>
      <c r="Q1220" s="43">
        <v>0</v>
      </c>
      <c r="R1220" s="43">
        <v>0</v>
      </c>
      <c r="S1220" s="43">
        <v>0</v>
      </c>
      <c r="T1220" s="43">
        <v>0</v>
      </c>
      <c r="U1220" s="56"/>
    </row>
    <row r="1221" spans="1:21" ht="17.25" customHeight="1" x14ac:dyDescent="0.3">
      <c r="A1221" s="15" t="s">
        <v>30</v>
      </c>
      <c r="C1221" s="19"/>
      <c r="D1221" s="33" t="str">
        <f t="shared" si="292"/>
        <v>E100018</v>
      </c>
      <c r="E1221" s="33"/>
      <c r="F1221" s="34"/>
      <c r="G1221" s="34" t="str">
        <f>"""NAV Direct"",""CRONUS JetCorp USA"",""32"",""1"",""30119"""</f>
        <v>"NAV Direct","CRONUS JetCorp USA","32","1","30119"</v>
      </c>
      <c r="H1221" s="40">
        <v>43475</v>
      </c>
      <c r="I1221" s="41">
        <v>30119</v>
      </c>
      <c r="J1221" s="42" t="str">
        <f>"Customer"</f>
        <v>Customer</v>
      </c>
      <c r="K1221" s="42" t="str">
        <f>"C100012"</f>
        <v>C100012</v>
      </c>
      <c r="L1221" s="42" t="str">
        <f>IF($J1221="Customer",_xll.NL("first",$J1221,"Name","No.","@@"&amp;$K1221),"")</f>
        <v>Bainbridges</v>
      </c>
      <c r="M1221" s="42" t="str">
        <f>""</f>
        <v/>
      </c>
      <c r="N1221" s="42" t="str">
        <f>IF($J1221="Item",_xll.NL("first",$J1221,"Description","No.","@@"&amp;$K1221),"")</f>
        <v/>
      </c>
      <c r="O1221" s="43">
        <v>0</v>
      </c>
      <c r="P1221" s="43">
        <v>-1</v>
      </c>
      <c r="Q1221" s="43">
        <v>0</v>
      </c>
      <c r="R1221" s="43">
        <v>0</v>
      </c>
      <c r="S1221" s="43">
        <v>0</v>
      </c>
      <c r="T1221" s="43">
        <v>0</v>
      </c>
      <c r="U1221" s="56"/>
    </row>
    <row r="1222" spans="1:21" ht="17.25" customHeight="1" x14ac:dyDescent="0.3">
      <c r="A1222" s="15" t="s">
        <v>30</v>
      </c>
      <c r="C1222" s="19"/>
      <c r="D1222" s="33" t="str">
        <f t="shared" si="292"/>
        <v>E100018</v>
      </c>
      <c r="E1222" s="33"/>
      <c r="F1222" s="34"/>
      <c r="G1222" s="34" t="str">
        <f>"""NAV Direct"",""CRONUS JetCorp USA"",""32"",""1"",""34343"""</f>
        <v>"NAV Direct","CRONUS JetCorp USA","32","1","34343"</v>
      </c>
      <c r="H1222" s="40">
        <v>43475</v>
      </c>
      <c r="I1222" s="41">
        <v>34343</v>
      </c>
      <c r="J1222" s="42" t="str">
        <f>"Customer"</f>
        <v>Customer</v>
      </c>
      <c r="K1222" s="42" t="str">
        <f>"C100008"</f>
        <v>C100008</v>
      </c>
      <c r="L1222" s="42" t="str">
        <f>IF($J1222="Customer",_xll.NL("first",$J1222,"Name","No.","@@"&amp;$K1222),"")</f>
        <v>Blanemark Hifi Shop</v>
      </c>
      <c r="M1222" s="42" t="str">
        <f>""</f>
        <v/>
      </c>
      <c r="N1222" s="42" t="str">
        <f>IF($J1222="Item",_xll.NL("first",$J1222,"Description","No.","@@"&amp;$K1222),"")</f>
        <v/>
      </c>
      <c r="O1222" s="43">
        <v>0</v>
      </c>
      <c r="P1222" s="43">
        <v>-1</v>
      </c>
      <c r="Q1222" s="43">
        <v>0</v>
      </c>
      <c r="R1222" s="43">
        <v>0</v>
      </c>
      <c r="S1222" s="43">
        <v>0</v>
      </c>
      <c r="T1222" s="43">
        <v>0</v>
      </c>
      <c r="U1222" s="56"/>
    </row>
    <row r="1223" spans="1:21" ht="17.25" customHeight="1" x14ac:dyDescent="0.3">
      <c r="A1223" s="15" t="s">
        <v>30</v>
      </c>
      <c r="C1223" s="19"/>
      <c r="D1223" s="33" t="str">
        <f t="shared" si="292"/>
        <v>E100018</v>
      </c>
      <c r="E1223" s="33"/>
      <c r="F1223" s="34"/>
      <c r="G1223" s="34" t="str">
        <f>"""NAV Direct"",""CRONUS JetCorp USA"",""32"",""1"",""128887"""</f>
        <v>"NAV Direct","CRONUS JetCorp USA","32","1","128887"</v>
      </c>
      <c r="H1223" s="40">
        <v>43475</v>
      </c>
      <c r="I1223" s="41">
        <v>128887</v>
      </c>
      <c r="J1223" s="42" t="str">
        <f>"Customer"</f>
        <v>Customer</v>
      </c>
      <c r="K1223" s="42" t="str">
        <f>"C100095"</f>
        <v>C100095</v>
      </c>
      <c r="L1223" s="42" t="str">
        <f>IF($J1223="Customer",_xll.NL("first",$J1223,"Name","No.","@@"&amp;$K1223),"")</f>
        <v>Randotax Outfitters</v>
      </c>
      <c r="M1223" s="42" t="str">
        <f>""</f>
        <v/>
      </c>
      <c r="N1223" s="42" t="str">
        <f>IF($J1223="Item",_xll.NL("first",$J1223,"Description","No.","@@"&amp;$K1223),"")</f>
        <v/>
      </c>
      <c r="O1223" s="43">
        <v>0</v>
      </c>
      <c r="P1223" s="43">
        <v>-150</v>
      </c>
      <c r="Q1223" s="43">
        <v>0</v>
      </c>
      <c r="R1223" s="43">
        <v>0</v>
      </c>
      <c r="S1223" s="43">
        <v>0</v>
      </c>
      <c r="T1223" s="43">
        <v>0</v>
      </c>
      <c r="U1223" s="56"/>
    </row>
    <row r="1224" spans="1:21" ht="17.25" customHeight="1" x14ac:dyDescent="0.3">
      <c r="A1224" s="15" t="s">
        <v>30</v>
      </c>
      <c r="C1224" s="19"/>
      <c r="D1224" s="33" t="str">
        <f t="shared" si="292"/>
        <v>E100018</v>
      </c>
      <c r="E1224" s="33"/>
      <c r="F1224" s="34"/>
      <c r="G1224" s="34" t="str">
        <f>"""NAV Direct"",""CRONUS JetCorp USA"",""32"",""1"",""159986"""</f>
        <v>"NAV Direct","CRONUS JetCorp USA","32","1","159986"</v>
      </c>
      <c r="H1224" s="40">
        <v>43475</v>
      </c>
      <c r="I1224" s="41">
        <v>159986</v>
      </c>
      <c r="J1224" s="42" t="str">
        <f>"Customer"</f>
        <v>Customer</v>
      </c>
      <c r="K1224" s="42" t="str">
        <f>"C100058"</f>
        <v>C100058</v>
      </c>
      <c r="L1224" s="42" t="str">
        <f>IF($J1224="Customer",_xll.NL("first",$J1224,"Name","No.","@@"&amp;$K1224),"")</f>
        <v>Marsholm Karmstol</v>
      </c>
      <c r="M1224" s="42" t="str">
        <f>""</f>
        <v/>
      </c>
      <c r="N1224" s="42" t="str">
        <f>IF($J1224="Item",_xll.NL("first",$J1224,"Description","No.","@@"&amp;$K1224),"")</f>
        <v/>
      </c>
      <c r="O1224" s="43">
        <v>0</v>
      </c>
      <c r="P1224" s="43">
        <v>1</v>
      </c>
      <c r="Q1224" s="43">
        <v>0</v>
      </c>
      <c r="R1224" s="43">
        <v>0</v>
      </c>
      <c r="S1224" s="43">
        <v>0</v>
      </c>
      <c r="T1224" s="43">
        <v>0</v>
      </c>
      <c r="U1224" s="56"/>
    </row>
    <row r="1225" spans="1:21" ht="17.25" customHeight="1" x14ac:dyDescent="0.3">
      <c r="A1225" s="15" t="s">
        <v>30</v>
      </c>
      <c r="C1225" s="19"/>
      <c r="D1225" s="33" t="str">
        <f t="shared" si="292"/>
        <v>E100018</v>
      </c>
      <c r="E1225" s="33"/>
      <c r="F1225" s="34"/>
      <c r="G1225" s="34" t="str">
        <f>"""NAV Direct"",""CRONUS JetCorp USA"",""32"",""1"",""7582"""</f>
        <v>"NAV Direct","CRONUS JetCorp USA","32","1","7582"</v>
      </c>
      <c r="H1225" s="40">
        <v>43476</v>
      </c>
      <c r="I1225" s="41">
        <v>7582</v>
      </c>
      <c r="J1225" s="42" t="str">
        <f>"Customer"</f>
        <v>Customer</v>
      </c>
      <c r="K1225" s="42" t="str">
        <f>"C100083"</f>
        <v>C100083</v>
      </c>
      <c r="L1225" s="42" t="str">
        <f>IF($J1225="Customer",_xll.NL("first",$J1225,"Name","No.","@@"&amp;$K1225),"")</f>
        <v>Stanfords</v>
      </c>
      <c r="M1225" s="42" t="str">
        <f>""</f>
        <v/>
      </c>
      <c r="N1225" s="42" t="str">
        <f>IF($J1225="Item",_xll.NL("first",$J1225,"Description","No.","@@"&amp;$K1225),"")</f>
        <v/>
      </c>
      <c r="O1225" s="43">
        <v>0</v>
      </c>
      <c r="P1225" s="43">
        <v>-1</v>
      </c>
      <c r="Q1225" s="43">
        <v>0</v>
      </c>
      <c r="R1225" s="43">
        <v>0</v>
      </c>
      <c r="S1225" s="43">
        <v>0</v>
      </c>
      <c r="T1225" s="43">
        <v>0</v>
      </c>
      <c r="U1225" s="56"/>
    </row>
    <row r="1226" spans="1:21" ht="17.25" customHeight="1" x14ac:dyDescent="0.3">
      <c r="A1226" s="15" t="s">
        <v>30</v>
      </c>
      <c r="C1226" s="19"/>
      <c r="D1226" s="33" t="str">
        <f t="shared" si="292"/>
        <v>E100018</v>
      </c>
      <c r="E1226" s="33"/>
      <c r="F1226" s="34"/>
      <c r="G1226" s="34" t="str">
        <f>"""NAV Direct"",""CRONUS JetCorp USA"",""32"",""1"",""7592"""</f>
        <v>"NAV Direct","CRONUS JetCorp USA","32","1","7592"</v>
      </c>
      <c r="H1226" s="40">
        <v>43476</v>
      </c>
      <c r="I1226" s="41">
        <v>7592</v>
      </c>
      <c r="J1226" s="42" t="str">
        <f>"Customer"</f>
        <v>Customer</v>
      </c>
      <c r="K1226" s="42" t="str">
        <f>"C100030"</f>
        <v>C100030</v>
      </c>
      <c r="L1226" s="42" t="str">
        <f>IF($J1226="Customer",_xll.NL("first",$J1226,"Name","No.","@@"&amp;$K1226),"")</f>
        <v>Stutringers</v>
      </c>
      <c r="M1226" s="42" t="str">
        <f>""</f>
        <v/>
      </c>
      <c r="N1226" s="42" t="str">
        <f>IF($J1226="Item",_xll.NL("first",$J1226,"Description","No.","@@"&amp;$K1226),"")</f>
        <v/>
      </c>
      <c r="O1226" s="43">
        <v>0</v>
      </c>
      <c r="P1226" s="43">
        <v>-2</v>
      </c>
      <c r="Q1226" s="43">
        <v>0</v>
      </c>
      <c r="R1226" s="43">
        <v>0</v>
      </c>
      <c r="S1226" s="43">
        <v>0</v>
      </c>
      <c r="T1226" s="43">
        <v>0</v>
      </c>
      <c r="U1226" s="56"/>
    </row>
    <row r="1227" spans="1:21" ht="17.25" customHeight="1" x14ac:dyDescent="0.3">
      <c r="A1227" s="15" t="s">
        <v>30</v>
      </c>
      <c r="C1227" s="19"/>
      <c r="D1227" s="33" t="str">
        <f t="shared" si="292"/>
        <v>E100018</v>
      </c>
      <c r="E1227" s="33"/>
      <c r="F1227" s="34"/>
      <c r="G1227" s="34" t="str">
        <f>"""NAV Direct"",""CRONUS JetCorp USA"",""32"",""1"",""7572"""</f>
        <v>"NAV Direct","CRONUS JetCorp USA","32","1","7572"</v>
      </c>
      <c r="H1227" s="40">
        <v>43477</v>
      </c>
      <c r="I1227" s="41">
        <v>7572</v>
      </c>
      <c r="J1227" s="42" t="str">
        <f>"Customer"</f>
        <v>Customer</v>
      </c>
      <c r="K1227" s="42" t="str">
        <f>"C100076"</f>
        <v>C100076</v>
      </c>
      <c r="L1227" s="42" t="str">
        <f>IF($J1227="Customer",_xll.NL("first",$J1227,"Name","No.","@@"&amp;$K1227),"")</f>
        <v>Showmasters</v>
      </c>
      <c r="M1227" s="42" t="str">
        <f>""</f>
        <v/>
      </c>
      <c r="N1227" s="42" t="str">
        <f>IF($J1227="Item",_xll.NL("first",$J1227,"Description","No.","@@"&amp;$K1227),"")</f>
        <v/>
      </c>
      <c r="O1227" s="43">
        <v>0</v>
      </c>
      <c r="P1227" s="43">
        <v>-6</v>
      </c>
      <c r="Q1227" s="43">
        <v>0</v>
      </c>
      <c r="R1227" s="43">
        <v>0</v>
      </c>
      <c r="S1227" s="43">
        <v>0</v>
      </c>
      <c r="T1227" s="43">
        <v>0</v>
      </c>
      <c r="U1227" s="56"/>
    </row>
    <row r="1228" spans="1:21" ht="17.25" customHeight="1" x14ac:dyDescent="0.3">
      <c r="A1228" s="15" t="s">
        <v>30</v>
      </c>
      <c r="C1228" s="19"/>
      <c r="D1228" s="33" t="str">
        <f t="shared" si="292"/>
        <v>E100018</v>
      </c>
      <c r="E1228" s="33"/>
      <c r="F1228" s="34"/>
      <c r="G1228" s="34" t="str">
        <f>"""NAV Direct"",""CRONUS JetCorp USA"",""32"",""1"",""20405"""</f>
        <v>"NAV Direct","CRONUS JetCorp USA","32","1","20405"</v>
      </c>
      <c r="H1228" s="40">
        <v>43477</v>
      </c>
      <c r="I1228" s="41">
        <v>20405</v>
      </c>
      <c r="J1228" s="42" t="str">
        <f>"Customer"</f>
        <v>Customer</v>
      </c>
      <c r="K1228" s="42" t="str">
        <f>"C100039"</f>
        <v>C100039</v>
      </c>
      <c r="L1228" s="42" t="str">
        <f>IF($J1228="Customer",_xll.NL("first",$J1228,"Name","No.","@@"&amp;$K1228),"")</f>
        <v>Gary's Sports</v>
      </c>
      <c r="M1228" s="42" t="str">
        <f>""</f>
        <v/>
      </c>
      <c r="N1228" s="42" t="str">
        <f>IF($J1228="Item",_xll.NL("first",$J1228,"Description","No.","@@"&amp;$K1228),"")</f>
        <v/>
      </c>
      <c r="O1228" s="43">
        <v>0</v>
      </c>
      <c r="P1228" s="43">
        <v>-144</v>
      </c>
      <c r="Q1228" s="43">
        <v>0</v>
      </c>
      <c r="R1228" s="43">
        <v>0</v>
      </c>
      <c r="S1228" s="43">
        <v>0</v>
      </c>
      <c r="T1228" s="43">
        <v>0</v>
      </c>
      <c r="U1228" s="56"/>
    </row>
    <row r="1229" spans="1:21" ht="17.25" customHeight="1" x14ac:dyDescent="0.3">
      <c r="A1229" s="15" t="s">
        <v>30</v>
      </c>
      <c r="C1229" s="19"/>
      <c r="D1229" s="33" t="str">
        <f t="shared" si="292"/>
        <v>E100018</v>
      </c>
      <c r="E1229" s="33"/>
      <c r="F1229" s="34"/>
      <c r="G1229" s="34" t="str">
        <f>"""NAV Direct"",""CRONUS JetCorp USA"",""32"",""1"",""158198"""</f>
        <v>"NAV Direct","CRONUS JetCorp USA","32","1","158198"</v>
      </c>
      <c r="H1229" s="40">
        <v>43477</v>
      </c>
      <c r="I1229" s="41">
        <v>158198</v>
      </c>
      <c r="J1229" s="42" t="str">
        <f>"Customer"</f>
        <v>Customer</v>
      </c>
      <c r="K1229" s="42" t="str">
        <f>"C100059"</f>
        <v>C100059</v>
      </c>
      <c r="L1229" s="42" t="str">
        <f>IF($J1229="Customer",_xll.NL("first",$J1229,"Name","No.","@@"&amp;$K1229),"")</f>
        <v>Meersen Meubelen</v>
      </c>
      <c r="M1229" s="42" t="str">
        <f>""</f>
        <v/>
      </c>
      <c r="N1229" s="42" t="str">
        <f>IF($J1229="Item",_xll.NL("first",$J1229,"Description","No.","@@"&amp;$K1229),"")</f>
        <v/>
      </c>
      <c r="O1229" s="43">
        <v>0</v>
      </c>
      <c r="P1229" s="43">
        <v>1</v>
      </c>
      <c r="Q1229" s="43">
        <v>0</v>
      </c>
      <c r="R1229" s="43">
        <v>0</v>
      </c>
      <c r="S1229" s="43">
        <v>0</v>
      </c>
      <c r="T1229" s="43">
        <v>0</v>
      </c>
      <c r="U1229" s="56"/>
    </row>
    <row r="1230" spans="1:21" ht="17.25" customHeight="1" x14ac:dyDescent="0.3">
      <c r="A1230" s="15" t="s">
        <v>30</v>
      </c>
      <c r="C1230" s="19"/>
      <c r="D1230" s="33"/>
      <c r="E1230" s="33"/>
      <c r="F1230" s="34"/>
      <c r="G1230" s="34"/>
      <c r="H1230" s="34"/>
      <c r="I1230" s="34"/>
      <c r="J1230" s="34"/>
      <c r="K1230" s="34"/>
      <c r="L1230" s="34"/>
      <c r="M1230" s="34"/>
      <c r="N1230" s="34"/>
      <c r="O1230" s="44"/>
      <c r="P1230" s="44"/>
      <c r="Q1230" s="44"/>
      <c r="R1230" s="44"/>
      <c r="S1230" s="44"/>
      <c r="T1230" s="44"/>
      <c r="U1230" s="57"/>
    </row>
    <row r="1231" spans="1:21" ht="17.25" customHeight="1" x14ac:dyDescent="0.3">
      <c r="A1231" s="15" t="s">
        <v>30</v>
      </c>
      <c r="C1231" s="19"/>
      <c r="D1231" s="33"/>
      <c r="E1231" s="33" t="s">
        <v>31</v>
      </c>
      <c r="F1231" s="34" t="s">
        <v>31</v>
      </c>
      <c r="G1231" s="34" t="s">
        <v>31</v>
      </c>
      <c r="H1231" s="34"/>
      <c r="I1231" s="34"/>
      <c r="J1231" s="34" t="s">
        <v>31</v>
      </c>
      <c r="K1231" s="34" t="s">
        <v>31</v>
      </c>
      <c r="L1231" s="34" t="s">
        <v>31</v>
      </c>
      <c r="M1231" s="34" t="s">
        <v>31</v>
      </c>
      <c r="N1231" s="34"/>
      <c r="U1231" s="58"/>
    </row>
    <row r="1232" spans="1:21" ht="20.25" customHeight="1" x14ac:dyDescent="0.35">
      <c r="A1232" s="15" t="s">
        <v>30</v>
      </c>
      <c r="C1232" s="19"/>
      <c r="D1232" s="35" t="str">
        <f t="shared" ref="D1232" si="293">E1232</f>
        <v>E100019</v>
      </c>
      <c r="E1232" s="36" t="str">
        <f>"E100019"</f>
        <v>E100019</v>
      </c>
      <c r="F1232" s="37" t="str">
        <f>"Mini Travel Alarm"</f>
        <v>Mini Travel Alarm</v>
      </c>
      <c r="G1232" s="37"/>
      <c r="H1232" s="38" t="str">
        <f>"EA"</f>
        <v>EA</v>
      </c>
      <c r="I1232" s="37"/>
      <c r="J1232" s="37"/>
      <c r="K1232" s="37"/>
      <c r="L1232" s="37"/>
      <c r="M1232" s="37"/>
      <c r="N1232" s="37"/>
      <c r="O1232" s="39">
        <f>(SUBTOTAL(9,O1233:O1251))</f>
        <v>3200</v>
      </c>
      <c r="P1232" s="39">
        <f>(SUBTOTAL(9,P1233:P1251))</f>
        <v>-799</v>
      </c>
      <c r="Q1232" s="39">
        <f>(SUBTOTAL(9,Q1233:Q1251))</f>
        <v>0</v>
      </c>
      <c r="R1232" s="39">
        <f>(SUBTOTAL(9,R1233:R1251))</f>
        <v>0</v>
      </c>
      <c r="S1232" s="39">
        <f>(SUBTOTAL(9,S1233:S1251))</f>
        <v>0</v>
      </c>
      <c r="T1232" s="39">
        <f>(SUBTOTAL(9,T1233:T1251))</f>
        <v>0</v>
      </c>
      <c r="U1232" s="55">
        <f t="shared" ref="U1232" si="294">SUBTOTAL(9,O1233:T1251)</f>
        <v>2401</v>
      </c>
    </row>
    <row r="1233" spans="1:21" ht="17.25" customHeight="1" x14ac:dyDescent="0.3">
      <c r="A1233" s="15" t="s">
        <v>30</v>
      </c>
      <c r="C1233" s="19"/>
      <c r="D1233" s="33" t="str">
        <f t="shared" ref="D1233" si="295">D1232</f>
        <v>E100019</v>
      </c>
      <c r="E1233" s="33"/>
      <c r="F1233" s="34"/>
      <c r="G1233" s="34" t="str">
        <f>"""NAV Direct"",""CRONUS JetCorp USA"",""32"",""1"",""167511"""</f>
        <v>"NAV Direct","CRONUS JetCorp USA","32","1","167511"</v>
      </c>
      <c r="H1233" s="40">
        <v>43466</v>
      </c>
      <c r="I1233" s="41">
        <v>167511</v>
      </c>
      <c r="J1233" s="42" t="str">
        <f>"Vendor"</f>
        <v>Vendor</v>
      </c>
      <c r="K1233" s="42" t="str">
        <f>"V100009"</f>
        <v>V100009</v>
      </c>
      <c r="L1233" s="42" t="str">
        <f>IF($J1233="Customer",_xll.NL("first",$J1233,"Name","No.","@@"&amp;$K1233),"")</f>
        <v/>
      </c>
      <c r="M1233" s="42" t="str">
        <f>"Malay-Dan Export Unit Sdn Bhd"</f>
        <v>Malay-Dan Export Unit Sdn Bhd</v>
      </c>
      <c r="N1233" s="42" t="str">
        <f>IF($J1233="Item",_xll.NL("first",$J1233,"Description","No.","@@"&amp;$K1233),"")</f>
        <v/>
      </c>
      <c r="O1233" s="43">
        <v>400</v>
      </c>
      <c r="P1233" s="43">
        <v>0</v>
      </c>
      <c r="Q1233" s="43">
        <v>0</v>
      </c>
      <c r="R1233" s="43">
        <v>0</v>
      </c>
      <c r="S1233" s="43">
        <v>0</v>
      </c>
      <c r="T1233" s="43">
        <v>0</v>
      </c>
      <c r="U1233" s="56"/>
    </row>
    <row r="1234" spans="1:21" ht="17.25" customHeight="1" x14ac:dyDescent="0.3">
      <c r="A1234" s="15" t="s">
        <v>30</v>
      </c>
      <c r="C1234" s="19"/>
      <c r="D1234" s="33" t="str">
        <f t="shared" ref="D1234:D1250" si="296">D1233</f>
        <v>E100019</v>
      </c>
      <c r="E1234" s="33"/>
      <c r="F1234" s="34"/>
      <c r="G1234" s="34" t="str">
        <f>"""NAV Direct"",""CRONUS JetCorp USA"",""32"",""1"",""167529"""</f>
        <v>"NAV Direct","CRONUS JetCorp USA","32","1","167529"</v>
      </c>
      <c r="H1234" s="40">
        <v>43466</v>
      </c>
      <c r="I1234" s="41">
        <v>167529</v>
      </c>
      <c r="J1234" s="42" t="str">
        <f>"Vendor"</f>
        <v>Vendor</v>
      </c>
      <c r="K1234" s="42" t="str">
        <f>"V100040"</f>
        <v>V100040</v>
      </c>
      <c r="L1234" s="42" t="str">
        <f>IF($J1234="Customer",_xll.NL("first",$J1234,"Name","No.","@@"&amp;$K1234),"")</f>
        <v/>
      </c>
      <c r="M1234" s="42" t="str">
        <f>"Technische Betriebe Rotkreuz"</f>
        <v>Technische Betriebe Rotkreuz</v>
      </c>
      <c r="N1234" s="42" t="str">
        <f>IF($J1234="Item",_xll.NL("first",$J1234,"Description","No.","@@"&amp;$K1234),"")</f>
        <v/>
      </c>
      <c r="O1234" s="43">
        <v>400</v>
      </c>
      <c r="P1234" s="43">
        <v>0</v>
      </c>
      <c r="Q1234" s="43">
        <v>0</v>
      </c>
      <c r="R1234" s="43">
        <v>0</v>
      </c>
      <c r="S1234" s="43">
        <v>0</v>
      </c>
      <c r="T1234" s="43">
        <v>0</v>
      </c>
      <c r="U1234" s="56"/>
    </row>
    <row r="1235" spans="1:21" ht="17.25" customHeight="1" x14ac:dyDescent="0.3">
      <c r="A1235" s="15" t="s">
        <v>30</v>
      </c>
      <c r="C1235" s="19"/>
      <c r="D1235" s="33" t="str">
        <f t="shared" si="296"/>
        <v>E100019</v>
      </c>
      <c r="E1235" s="33"/>
      <c r="F1235" s="34"/>
      <c r="G1235" s="34" t="str">
        <f>"""NAV Direct"",""CRONUS JetCorp USA"",""32"",""1"",""167554"""</f>
        <v>"NAV Direct","CRONUS JetCorp USA","32","1","167554"</v>
      </c>
      <c r="H1235" s="40">
        <v>43466</v>
      </c>
      <c r="I1235" s="41">
        <v>167554</v>
      </c>
      <c r="J1235" s="42" t="str">
        <f>"Vendor"</f>
        <v>Vendor</v>
      </c>
      <c r="K1235" s="42" t="str">
        <f>"V100007"</f>
        <v>V100007</v>
      </c>
      <c r="L1235" s="42" t="str">
        <f>IF($J1235="Customer",_xll.NL("first",$J1235,"Name","No.","@@"&amp;$K1235),"")</f>
        <v/>
      </c>
      <c r="M1235" s="42" t="str">
        <f>"TrendTech"</f>
        <v>TrendTech</v>
      </c>
      <c r="N1235" s="42" t="str">
        <f>IF($J1235="Item",_xll.NL("first",$J1235,"Description","No.","@@"&amp;$K1235),"")</f>
        <v/>
      </c>
      <c r="O1235" s="43">
        <v>800</v>
      </c>
      <c r="P1235" s="43">
        <v>0</v>
      </c>
      <c r="Q1235" s="43">
        <v>0</v>
      </c>
      <c r="R1235" s="43">
        <v>0</v>
      </c>
      <c r="S1235" s="43">
        <v>0</v>
      </c>
      <c r="T1235" s="43">
        <v>0</v>
      </c>
      <c r="U1235" s="56"/>
    </row>
    <row r="1236" spans="1:21" ht="17.25" customHeight="1" x14ac:dyDescent="0.3">
      <c r="A1236" s="15" t="s">
        <v>30</v>
      </c>
      <c r="C1236" s="19"/>
      <c r="D1236" s="33" t="str">
        <f t="shared" si="296"/>
        <v>E100019</v>
      </c>
      <c r="E1236" s="33"/>
      <c r="F1236" s="34"/>
      <c r="G1236" s="34" t="str">
        <f>"""NAV Direct"",""CRONUS JetCorp USA"",""32"",""1"",""167573"""</f>
        <v>"NAV Direct","CRONUS JetCorp USA","32","1","167573"</v>
      </c>
      <c r="H1236" s="40">
        <v>43466</v>
      </c>
      <c r="I1236" s="41">
        <v>167573</v>
      </c>
      <c r="J1236" s="42" t="str">
        <f>"Vendor"</f>
        <v>Vendor</v>
      </c>
      <c r="K1236" s="42" t="str">
        <f>"V100001"</f>
        <v>V100001</v>
      </c>
      <c r="L1236" s="42" t="str">
        <f>IF($J1236="Customer",_xll.NL("first",$J1236,"Name","No.","@@"&amp;$K1236),"")</f>
        <v/>
      </c>
      <c r="M1236" s="42" t="str">
        <f>"Greigner, Inc."</f>
        <v>Greigner, Inc.</v>
      </c>
      <c r="N1236" s="42" t="str">
        <f>IF($J1236="Item",_xll.NL("first",$J1236,"Description","No.","@@"&amp;$K1236),"")</f>
        <v/>
      </c>
      <c r="O1236" s="43">
        <v>600</v>
      </c>
      <c r="P1236" s="43">
        <v>0</v>
      </c>
      <c r="Q1236" s="43">
        <v>0</v>
      </c>
      <c r="R1236" s="43">
        <v>0</v>
      </c>
      <c r="S1236" s="43">
        <v>0</v>
      </c>
      <c r="T1236" s="43">
        <v>0</v>
      </c>
      <c r="U1236" s="56"/>
    </row>
    <row r="1237" spans="1:21" ht="17.25" customHeight="1" x14ac:dyDescent="0.3">
      <c r="A1237" s="15" t="s">
        <v>30</v>
      </c>
      <c r="C1237" s="19"/>
      <c r="D1237" s="33" t="str">
        <f t="shared" si="296"/>
        <v>E100019</v>
      </c>
      <c r="E1237" s="33"/>
      <c r="F1237" s="34"/>
      <c r="G1237" s="34" t="str">
        <f>"""NAV Direct"",""CRONUS JetCorp USA"",""32"",""1"",""167602"""</f>
        <v>"NAV Direct","CRONUS JetCorp USA","32","1","167602"</v>
      </c>
      <c r="H1237" s="40">
        <v>43466</v>
      </c>
      <c r="I1237" s="41">
        <v>167602</v>
      </c>
      <c r="J1237" s="42" t="str">
        <f>"Vendor"</f>
        <v>Vendor</v>
      </c>
      <c r="K1237" s="42" t="str">
        <f>"V100003"</f>
        <v>V100003</v>
      </c>
      <c r="L1237" s="42" t="str">
        <f>IF($J1237="Customer",_xll.NL("first",$J1237,"Name","No.","@@"&amp;$K1237),"")</f>
        <v/>
      </c>
      <c r="M1237" s="42" t="str">
        <f>"LogoMasters"</f>
        <v>LogoMasters</v>
      </c>
      <c r="N1237" s="42" t="str">
        <f>IF($J1237="Item",_xll.NL("first",$J1237,"Description","No.","@@"&amp;$K1237),"")</f>
        <v/>
      </c>
      <c r="O1237" s="43">
        <v>999.99999999999989</v>
      </c>
      <c r="P1237" s="43">
        <v>0</v>
      </c>
      <c r="Q1237" s="43">
        <v>0</v>
      </c>
      <c r="R1237" s="43">
        <v>0</v>
      </c>
      <c r="S1237" s="43">
        <v>0</v>
      </c>
      <c r="T1237" s="43">
        <v>0</v>
      </c>
      <c r="U1237" s="56"/>
    </row>
    <row r="1238" spans="1:21" ht="17.25" customHeight="1" x14ac:dyDescent="0.3">
      <c r="A1238" s="15" t="s">
        <v>30</v>
      </c>
      <c r="C1238" s="19"/>
      <c r="D1238" s="33" t="str">
        <f t="shared" si="296"/>
        <v>E100019</v>
      </c>
      <c r="E1238" s="33"/>
      <c r="F1238" s="34"/>
      <c r="G1238" s="34" t="str">
        <f>"""NAV Direct"",""CRONUS JetCorp USA"",""32"",""1"",""78843"""</f>
        <v>"NAV Direct","CRONUS JetCorp USA","32","1","78843"</v>
      </c>
      <c r="H1238" s="40">
        <v>43468</v>
      </c>
      <c r="I1238" s="41">
        <v>78843</v>
      </c>
      <c r="J1238" s="42" t="str">
        <f>"Customer"</f>
        <v>Customer</v>
      </c>
      <c r="K1238" s="42" t="str">
        <f>"C100117"</f>
        <v>C100117</v>
      </c>
      <c r="L1238" s="42" t="str">
        <f>IF($J1238="Customer",_xll.NL("first",$J1238,"Name","No.","@@"&amp;$K1238),"")</f>
        <v xml:space="preserve">Tintax </v>
      </c>
      <c r="M1238" s="42" t="str">
        <f>""</f>
        <v/>
      </c>
      <c r="N1238" s="42" t="str">
        <f>IF($J1238="Item",_xll.NL("first",$J1238,"Description","No.","@@"&amp;$K1238),"")</f>
        <v/>
      </c>
      <c r="O1238" s="43">
        <v>0</v>
      </c>
      <c r="P1238" s="43">
        <v>-1</v>
      </c>
      <c r="Q1238" s="43">
        <v>0</v>
      </c>
      <c r="R1238" s="43">
        <v>0</v>
      </c>
      <c r="S1238" s="43">
        <v>0</v>
      </c>
      <c r="T1238" s="43">
        <v>0</v>
      </c>
      <c r="U1238" s="56"/>
    </row>
    <row r="1239" spans="1:21" ht="17.25" customHeight="1" x14ac:dyDescent="0.3">
      <c r="A1239" s="15" t="s">
        <v>30</v>
      </c>
      <c r="C1239" s="19"/>
      <c r="D1239" s="33" t="str">
        <f t="shared" si="296"/>
        <v>E100019</v>
      </c>
      <c r="E1239" s="33"/>
      <c r="F1239" s="34"/>
      <c r="G1239" s="34" t="str">
        <f>"""NAV Direct"",""CRONUS JetCorp USA"",""32"",""1"",""111298"""</f>
        <v>"NAV Direct","CRONUS JetCorp USA","32","1","111298"</v>
      </c>
      <c r="H1239" s="40">
        <v>43470</v>
      </c>
      <c r="I1239" s="41">
        <v>111298</v>
      </c>
      <c r="J1239" s="42" t="str">
        <f>"Customer"</f>
        <v>Customer</v>
      </c>
      <c r="K1239" s="42" t="str">
        <f>"C100037"</f>
        <v>C100037</v>
      </c>
      <c r="L1239" s="42" t="str">
        <f>IF($J1239="Customer",_xll.NL("first",$J1239,"Name","No.","@@"&amp;$K1239),"")</f>
        <v>Tempsons Tropies</v>
      </c>
      <c r="M1239" s="42" t="str">
        <f>""</f>
        <v/>
      </c>
      <c r="N1239" s="42" t="str">
        <f>IF($J1239="Item",_xll.NL("first",$J1239,"Description","No.","@@"&amp;$K1239),"")</f>
        <v/>
      </c>
      <c r="O1239" s="43">
        <v>0</v>
      </c>
      <c r="P1239" s="43">
        <v>-1</v>
      </c>
      <c r="Q1239" s="43">
        <v>0</v>
      </c>
      <c r="R1239" s="43">
        <v>0</v>
      </c>
      <c r="S1239" s="43">
        <v>0</v>
      </c>
      <c r="T1239" s="43">
        <v>0</v>
      </c>
      <c r="U1239" s="56"/>
    </row>
    <row r="1240" spans="1:21" ht="17.25" customHeight="1" x14ac:dyDescent="0.3">
      <c r="A1240" s="15" t="s">
        <v>30</v>
      </c>
      <c r="C1240" s="19"/>
      <c r="D1240" s="33" t="str">
        <f t="shared" si="296"/>
        <v>E100019</v>
      </c>
      <c r="E1240" s="33"/>
      <c r="F1240" s="34"/>
      <c r="G1240" s="34" t="str">
        <f>"""NAV Direct"",""CRONUS JetCorp USA"",""32"",""1"",""114269"""</f>
        <v>"NAV Direct","CRONUS JetCorp USA","32","1","114269"</v>
      </c>
      <c r="H1240" s="40">
        <v>43470</v>
      </c>
      <c r="I1240" s="41">
        <v>114269</v>
      </c>
      <c r="J1240" s="42" t="str">
        <f>"Customer"</f>
        <v>Customer</v>
      </c>
      <c r="K1240" s="42" t="str">
        <f>"C100076"</f>
        <v>C100076</v>
      </c>
      <c r="L1240" s="42" t="str">
        <f>IF($J1240="Customer",_xll.NL("first",$J1240,"Name","No.","@@"&amp;$K1240),"")</f>
        <v>Showmasters</v>
      </c>
      <c r="M1240" s="42" t="str">
        <f>""</f>
        <v/>
      </c>
      <c r="N1240" s="42" t="str">
        <f>IF($J1240="Item",_xll.NL("first",$J1240,"Description","No.","@@"&amp;$K1240),"")</f>
        <v/>
      </c>
      <c r="O1240" s="43">
        <v>0</v>
      </c>
      <c r="P1240" s="43">
        <v>-144</v>
      </c>
      <c r="Q1240" s="43">
        <v>0</v>
      </c>
      <c r="R1240" s="43">
        <v>0</v>
      </c>
      <c r="S1240" s="43">
        <v>0</v>
      </c>
      <c r="T1240" s="43">
        <v>0</v>
      </c>
      <c r="U1240" s="56"/>
    </row>
    <row r="1241" spans="1:21" ht="17.25" customHeight="1" x14ac:dyDescent="0.3">
      <c r="A1241" s="15" t="s">
        <v>30</v>
      </c>
      <c r="C1241" s="19"/>
      <c r="D1241" s="33" t="str">
        <f t="shared" si="296"/>
        <v>E100019</v>
      </c>
      <c r="E1241" s="33"/>
      <c r="F1241" s="34"/>
      <c r="G1241" s="34" t="str">
        <f>"""NAV Direct"",""CRONUS JetCorp USA"",""32"",""1"",""78877"""</f>
        <v>"NAV Direct","CRONUS JetCorp USA","32","1","78877"</v>
      </c>
      <c r="H1241" s="40">
        <v>43471</v>
      </c>
      <c r="I1241" s="41">
        <v>78877</v>
      </c>
      <c r="J1241" s="42" t="str">
        <f>"Customer"</f>
        <v>Customer</v>
      </c>
      <c r="K1241" s="42" t="str">
        <f>"C100124"</f>
        <v>C100124</v>
      </c>
      <c r="L1241" s="42" t="str">
        <f>IF($J1241="Customer",_xll.NL("first",$J1241,"Name","No.","@@"&amp;$K1241),"")</f>
        <v>Ontocane Outdoors</v>
      </c>
      <c r="M1241" s="42" t="str">
        <f>""</f>
        <v/>
      </c>
      <c r="N1241" s="42" t="str">
        <f>IF($J1241="Item",_xll.NL("first",$J1241,"Description","No.","@@"&amp;$K1241),"")</f>
        <v/>
      </c>
      <c r="O1241" s="43">
        <v>0</v>
      </c>
      <c r="P1241" s="43">
        <v>-24</v>
      </c>
      <c r="Q1241" s="43">
        <v>0</v>
      </c>
      <c r="R1241" s="43">
        <v>0</v>
      </c>
      <c r="S1241" s="43">
        <v>0</v>
      </c>
      <c r="T1241" s="43">
        <v>0</v>
      </c>
      <c r="U1241" s="56"/>
    </row>
    <row r="1242" spans="1:21" ht="17.25" customHeight="1" x14ac:dyDescent="0.3">
      <c r="A1242" s="15" t="s">
        <v>30</v>
      </c>
      <c r="C1242" s="19"/>
      <c r="D1242" s="33" t="str">
        <f t="shared" si="296"/>
        <v>E100019</v>
      </c>
      <c r="E1242" s="33"/>
      <c r="F1242" s="34"/>
      <c r="G1242" s="34" t="str">
        <f>"""NAV Direct"",""CRONUS JetCorp USA"",""32"",""1"",""118079"""</f>
        <v>"NAV Direct","CRONUS JetCorp USA","32","1","118079"</v>
      </c>
      <c r="H1242" s="40">
        <v>43471</v>
      </c>
      <c r="I1242" s="41">
        <v>118079</v>
      </c>
      <c r="J1242" s="42" t="str">
        <f>"Customer"</f>
        <v>Customer</v>
      </c>
      <c r="K1242" s="42" t="str">
        <f>"C100060"</f>
        <v>C100060</v>
      </c>
      <c r="L1242" s="42" t="str">
        <f>IF($J1242="Customer",_xll.NL("first",$J1242,"Name","No.","@@"&amp;$K1242),"")</f>
        <v>MEMA Ljubljana d.o.o.</v>
      </c>
      <c r="M1242" s="42" t="str">
        <f>""</f>
        <v/>
      </c>
      <c r="N1242" s="42" t="str">
        <f>IF($J1242="Item",_xll.NL("first",$J1242,"Description","No.","@@"&amp;$K1242),"")</f>
        <v/>
      </c>
      <c r="O1242" s="43">
        <v>0</v>
      </c>
      <c r="P1242" s="43">
        <v>-1</v>
      </c>
      <c r="Q1242" s="43">
        <v>0</v>
      </c>
      <c r="R1242" s="43">
        <v>0</v>
      </c>
      <c r="S1242" s="43">
        <v>0</v>
      </c>
      <c r="T1242" s="43">
        <v>0</v>
      </c>
      <c r="U1242" s="56"/>
    </row>
    <row r="1243" spans="1:21" ht="17.25" customHeight="1" x14ac:dyDescent="0.3">
      <c r="A1243" s="15" t="s">
        <v>30</v>
      </c>
      <c r="C1243" s="19"/>
      <c r="D1243" s="33" t="str">
        <f t="shared" si="296"/>
        <v>E100019</v>
      </c>
      <c r="E1243" s="33"/>
      <c r="F1243" s="34"/>
      <c r="G1243" s="34" t="str">
        <f>"""NAV Direct"",""CRONUS JetCorp USA"",""32"",""1"",""44485"""</f>
        <v>"NAV Direct","CRONUS JetCorp USA","32","1","44485"</v>
      </c>
      <c r="H1243" s="40">
        <v>43472</v>
      </c>
      <c r="I1243" s="41">
        <v>44485</v>
      </c>
      <c r="J1243" s="42" t="str">
        <f>"Customer"</f>
        <v>Customer</v>
      </c>
      <c r="K1243" s="42" t="str">
        <f>"C100141"</f>
        <v>C100141</v>
      </c>
      <c r="L1243" s="42" t="str">
        <f>IF($J1243="Customer",_xll.NL("first",$J1243,"Name","No.","@@"&amp;$K1243),"")</f>
        <v>Bargottis</v>
      </c>
      <c r="M1243" s="42" t="str">
        <f>""</f>
        <v/>
      </c>
      <c r="N1243" s="42" t="str">
        <f>IF($J1243="Item",_xll.NL("first",$J1243,"Description","No.","@@"&amp;$K1243),"")</f>
        <v/>
      </c>
      <c r="O1243" s="43">
        <v>0</v>
      </c>
      <c r="P1243" s="43">
        <v>-1</v>
      </c>
      <c r="Q1243" s="43">
        <v>0</v>
      </c>
      <c r="R1243" s="43">
        <v>0</v>
      </c>
      <c r="S1243" s="43">
        <v>0</v>
      </c>
      <c r="T1243" s="43">
        <v>0</v>
      </c>
      <c r="U1243" s="56"/>
    </row>
    <row r="1244" spans="1:21" ht="17.25" customHeight="1" x14ac:dyDescent="0.3">
      <c r="A1244" s="15" t="s">
        <v>30</v>
      </c>
      <c r="C1244" s="19"/>
      <c r="D1244" s="33" t="str">
        <f t="shared" si="296"/>
        <v>E100019</v>
      </c>
      <c r="E1244" s="33"/>
      <c r="F1244" s="34"/>
      <c r="G1244" s="34" t="str">
        <f>"""NAV Direct"",""CRONUS JetCorp USA"",""32"",""1"",""64598"""</f>
        <v>"NAV Direct","CRONUS JetCorp USA","32","1","64598"</v>
      </c>
      <c r="H1244" s="40">
        <v>43472</v>
      </c>
      <c r="I1244" s="41">
        <v>64598</v>
      </c>
      <c r="J1244" s="42" t="str">
        <f>"Customer"</f>
        <v>Customer</v>
      </c>
      <c r="K1244" s="42" t="str">
        <f>"C100140"</f>
        <v>C100140</v>
      </c>
      <c r="L1244" s="42" t="str">
        <f>IF($J1244="Customer",_xll.NL("first",$J1244,"Name","No.","@@"&amp;$K1244),"")</f>
        <v>Super Daves</v>
      </c>
      <c r="M1244" s="42" t="str">
        <f>""</f>
        <v/>
      </c>
      <c r="N1244" s="42" t="str">
        <f>IF($J1244="Item",_xll.NL("first",$J1244,"Description","No.","@@"&amp;$K1244),"")</f>
        <v/>
      </c>
      <c r="O1244" s="43">
        <v>0</v>
      </c>
      <c r="P1244" s="43">
        <v>-144</v>
      </c>
      <c r="Q1244" s="43">
        <v>0</v>
      </c>
      <c r="R1244" s="43">
        <v>0</v>
      </c>
      <c r="S1244" s="43">
        <v>0</v>
      </c>
      <c r="T1244" s="43">
        <v>0</v>
      </c>
      <c r="U1244" s="56"/>
    </row>
    <row r="1245" spans="1:21" ht="17.25" customHeight="1" x14ac:dyDescent="0.3">
      <c r="A1245" s="15" t="s">
        <v>30</v>
      </c>
      <c r="C1245" s="19"/>
      <c r="D1245" s="33" t="str">
        <f t="shared" si="296"/>
        <v>E100019</v>
      </c>
      <c r="E1245" s="33"/>
      <c r="F1245" s="34"/>
      <c r="G1245" s="34" t="str">
        <f>"""NAV Direct"",""CRONUS JetCorp USA"",""32"",""1"",""111305"""</f>
        <v>"NAV Direct","CRONUS JetCorp USA","32","1","111305"</v>
      </c>
      <c r="H1245" s="40">
        <v>43472</v>
      </c>
      <c r="I1245" s="41">
        <v>111305</v>
      </c>
      <c r="J1245" s="42" t="str">
        <f>"Customer"</f>
        <v>Customer</v>
      </c>
      <c r="K1245" s="42" t="str">
        <f>"C100099"</f>
        <v>C100099</v>
      </c>
      <c r="L1245" s="42" t="str">
        <f>IF($J1245="Customer",_xll.NL("first",$J1245,"Name","No.","@@"&amp;$K1245),"")</f>
        <v>Voltive Systems</v>
      </c>
      <c r="M1245" s="42" t="str">
        <f>""</f>
        <v/>
      </c>
      <c r="N1245" s="42" t="str">
        <f>IF($J1245="Item",_xll.NL("first",$J1245,"Description","No.","@@"&amp;$K1245),"")</f>
        <v/>
      </c>
      <c r="O1245" s="43">
        <v>0</v>
      </c>
      <c r="P1245" s="43">
        <v>-1</v>
      </c>
      <c r="Q1245" s="43">
        <v>0</v>
      </c>
      <c r="R1245" s="43">
        <v>0</v>
      </c>
      <c r="S1245" s="43">
        <v>0</v>
      </c>
      <c r="T1245" s="43">
        <v>0</v>
      </c>
      <c r="U1245" s="56"/>
    </row>
    <row r="1246" spans="1:21" ht="17.25" customHeight="1" x14ac:dyDescent="0.3">
      <c r="A1246" s="15" t="s">
        <v>30</v>
      </c>
      <c r="C1246" s="19"/>
      <c r="D1246" s="33" t="str">
        <f t="shared" si="296"/>
        <v>E100019</v>
      </c>
      <c r="E1246" s="33"/>
      <c r="F1246" s="34"/>
      <c r="G1246" s="34" t="str">
        <f>"""NAV Direct"",""CRONUS JetCorp USA"",""32"",""1"",""3900"""</f>
        <v>"NAV Direct","CRONUS JetCorp USA","32","1","3900"</v>
      </c>
      <c r="H1246" s="40">
        <v>43473</v>
      </c>
      <c r="I1246" s="41">
        <v>3900</v>
      </c>
      <c r="J1246" s="42" t="str">
        <f>"Customer"</f>
        <v>Customer</v>
      </c>
      <c r="K1246" s="42" t="str">
        <f>"C100037"</f>
        <v>C100037</v>
      </c>
      <c r="L1246" s="42" t="str">
        <f>IF($J1246="Customer",_xll.NL("first",$J1246,"Name","No.","@@"&amp;$K1246),"")</f>
        <v>Tempsons Tropies</v>
      </c>
      <c r="M1246" s="42" t="str">
        <f>""</f>
        <v/>
      </c>
      <c r="N1246" s="42" t="str">
        <f>IF($J1246="Item",_xll.NL("first",$J1246,"Description","No.","@@"&amp;$K1246),"")</f>
        <v/>
      </c>
      <c r="O1246" s="43">
        <v>0</v>
      </c>
      <c r="P1246" s="43">
        <v>-144</v>
      </c>
      <c r="Q1246" s="43">
        <v>0</v>
      </c>
      <c r="R1246" s="43">
        <v>0</v>
      </c>
      <c r="S1246" s="43">
        <v>0</v>
      </c>
      <c r="T1246" s="43">
        <v>0</v>
      </c>
      <c r="U1246" s="56"/>
    </row>
    <row r="1247" spans="1:21" ht="17.25" customHeight="1" x14ac:dyDescent="0.3">
      <c r="A1247" s="15" t="s">
        <v>30</v>
      </c>
      <c r="C1247" s="19"/>
      <c r="D1247" s="33" t="str">
        <f t="shared" si="296"/>
        <v>E100019</v>
      </c>
      <c r="E1247" s="33"/>
      <c r="F1247" s="34"/>
      <c r="G1247" s="34" t="str">
        <f>"""NAV Direct"",""CRONUS JetCorp USA"",""32"",""1"",""116382"""</f>
        <v>"NAV Direct","CRONUS JetCorp USA","32","1","116382"</v>
      </c>
      <c r="H1247" s="40">
        <v>43473</v>
      </c>
      <c r="I1247" s="41">
        <v>116382</v>
      </c>
      <c r="J1247" s="42" t="str">
        <f>"Customer"</f>
        <v>Customer</v>
      </c>
      <c r="K1247" s="42" t="str">
        <f>"C100066"</f>
        <v>C100066</v>
      </c>
      <c r="L1247" s="42" t="str">
        <f>IF($J1247="Customer",_xll.NL("first",$J1247,"Name","No.","@@"&amp;$K1247),"")</f>
        <v>Office Solutions</v>
      </c>
      <c r="M1247" s="42" t="str">
        <f>""</f>
        <v/>
      </c>
      <c r="N1247" s="42" t="str">
        <f>IF($J1247="Item",_xll.NL("first",$J1247,"Description","No.","@@"&amp;$K1247),"")</f>
        <v/>
      </c>
      <c r="O1247" s="43">
        <v>0</v>
      </c>
      <c r="P1247" s="43">
        <v>-2</v>
      </c>
      <c r="Q1247" s="43">
        <v>0</v>
      </c>
      <c r="R1247" s="43">
        <v>0</v>
      </c>
      <c r="S1247" s="43">
        <v>0</v>
      </c>
      <c r="T1247" s="43">
        <v>0</v>
      </c>
      <c r="U1247" s="56"/>
    </row>
    <row r="1248" spans="1:21" ht="17.25" customHeight="1" x14ac:dyDescent="0.3">
      <c r="A1248" s="15" t="s">
        <v>30</v>
      </c>
      <c r="C1248" s="19"/>
      <c r="D1248" s="33" t="str">
        <f t="shared" si="296"/>
        <v>E100019</v>
      </c>
      <c r="E1248" s="33"/>
      <c r="F1248" s="34"/>
      <c r="G1248" s="34" t="str">
        <f>"""NAV Direct"",""CRONUS JetCorp USA"",""32"",""1"",""54710"""</f>
        <v>"NAV Direct","CRONUS JetCorp USA","32","1","54710"</v>
      </c>
      <c r="H1248" s="40">
        <v>43474</v>
      </c>
      <c r="I1248" s="41">
        <v>54710</v>
      </c>
      <c r="J1248" s="42" t="str">
        <f>"Customer"</f>
        <v>Customer</v>
      </c>
      <c r="K1248" s="42" t="str">
        <f>"C100096"</f>
        <v>C100096</v>
      </c>
      <c r="L1248" s="42" t="str">
        <f>IF($J1248="Customer",_xll.NL("first",$J1248,"Name","No.","@@"&amp;$K1248),"")</f>
        <v>D-Com Industries</v>
      </c>
      <c r="M1248" s="42" t="str">
        <f>""</f>
        <v/>
      </c>
      <c r="N1248" s="42" t="str">
        <f>IF($J1248="Item",_xll.NL("first",$J1248,"Description","No.","@@"&amp;$K1248),"")</f>
        <v/>
      </c>
      <c r="O1248" s="43">
        <v>0</v>
      </c>
      <c r="P1248" s="43">
        <v>-48</v>
      </c>
      <c r="Q1248" s="43">
        <v>0</v>
      </c>
      <c r="R1248" s="43">
        <v>0</v>
      </c>
      <c r="S1248" s="43">
        <v>0</v>
      </c>
      <c r="T1248" s="43">
        <v>0</v>
      </c>
      <c r="U1248" s="56"/>
    </row>
    <row r="1249" spans="1:21" ht="17.25" customHeight="1" x14ac:dyDescent="0.3">
      <c r="A1249" s="15" t="s">
        <v>30</v>
      </c>
      <c r="C1249" s="19"/>
      <c r="D1249" s="33" t="str">
        <f t="shared" si="296"/>
        <v>E100019</v>
      </c>
      <c r="E1249" s="33"/>
      <c r="F1249" s="34"/>
      <c r="G1249" s="34" t="str">
        <f>"""NAV Direct"",""CRONUS JetCorp USA"",""32"",""1"",""3924"""</f>
        <v>"NAV Direct","CRONUS JetCorp USA","32","1","3924"</v>
      </c>
      <c r="H1249" s="40">
        <v>43475</v>
      </c>
      <c r="I1249" s="41">
        <v>3924</v>
      </c>
      <c r="J1249" s="42" t="str">
        <f>"Customer"</f>
        <v>Customer</v>
      </c>
      <c r="K1249" s="42" t="str">
        <f>"C100099"</f>
        <v>C100099</v>
      </c>
      <c r="L1249" s="42" t="str">
        <f>IF($J1249="Customer",_xll.NL("first",$J1249,"Name","No.","@@"&amp;$K1249),"")</f>
        <v>Voltive Systems</v>
      </c>
      <c r="M1249" s="42" t="str">
        <f>""</f>
        <v/>
      </c>
      <c r="N1249" s="42" t="str">
        <f>IF($J1249="Item",_xll.NL("first",$J1249,"Description","No.","@@"&amp;$K1249),"")</f>
        <v/>
      </c>
      <c r="O1249" s="43">
        <v>0</v>
      </c>
      <c r="P1249" s="43">
        <v>-144</v>
      </c>
      <c r="Q1249" s="43">
        <v>0</v>
      </c>
      <c r="R1249" s="43">
        <v>0</v>
      </c>
      <c r="S1249" s="43">
        <v>0</v>
      </c>
      <c r="T1249" s="43">
        <v>0</v>
      </c>
      <c r="U1249" s="56"/>
    </row>
    <row r="1250" spans="1:21" ht="17.25" customHeight="1" x14ac:dyDescent="0.3">
      <c r="A1250" s="15" t="s">
        <v>30</v>
      </c>
      <c r="C1250" s="19"/>
      <c r="D1250" s="33" t="str">
        <f t="shared" si="296"/>
        <v>E100019</v>
      </c>
      <c r="E1250" s="33"/>
      <c r="F1250" s="34"/>
      <c r="G1250" s="34" t="str">
        <f>"""NAV Direct"",""CRONUS JetCorp USA"",""32"",""1"",""78896"""</f>
        <v>"NAV Direct","CRONUS JetCorp USA","32","1","78896"</v>
      </c>
      <c r="H1250" s="40">
        <v>43475</v>
      </c>
      <c r="I1250" s="41">
        <v>78896</v>
      </c>
      <c r="J1250" s="42" t="str">
        <f>"Customer"</f>
        <v>Customer</v>
      </c>
      <c r="K1250" s="42" t="str">
        <f>"C100128"</f>
        <v>C100128</v>
      </c>
      <c r="L1250" s="42" t="str">
        <f>IF($J1250="Customer",_xll.NL("first",$J1250,"Name","No.","@@"&amp;$K1250),"")</f>
        <v>Solar Tech</v>
      </c>
      <c r="M1250" s="42" t="str">
        <f>""</f>
        <v/>
      </c>
      <c r="N1250" s="42" t="str">
        <f>IF($J1250="Item",_xll.NL("first",$J1250,"Description","No.","@@"&amp;$K1250),"")</f>
        <v/>
      </c>
      <c r="O1250" s="43">
        <v>0</v>
      </c>
      <c r="P1250" s="43">
        <v>-144</v>
      </c>
      <c r="Q1250" s="43">
        <v>0</v>
      </c>
      <c r="R1250" s="43">
        <v>0</v>
      </c>
      <c r="S1250" s="43">
        <v>0</v>
      </c>
      <c r="T1250" s="43">
        <v>0</v>
      </c>
      <c r="U1250" s="56"/>
    </row>
    <row r="1251" spans="1:21" ht="17.25" customHeight="1" x14ac:dyDescent="0.3">
      <c r="A1251" s="15" t="s">
        <v>30</v>
      </c>
      <c r="C1251" s="19"/>
      <c r="D1251" s="33"/>
      <c r="E1251" s="33"/>
      <c r="F1251" s="34"/>
      <c r="G1251" s="34"/>
      <c r="H1251" s="34"/>
      <c r="I1251" s="34"/>
      <c r="J1251" s="34"/>
      <c r="K1251" s="34"/>
      <c r="L1251" s="34"/>
      <c r="M1251" s="34"/>
      <c r="N1251" s="34"/>
      <c r="O1251" s="44"/>
      <c r="P1251" s="44"/>
      <c r="Q1251" s="44"/>
      <c r="R1251" s="44"/>
      <c r="S1251" s="44"/>
      <c r="T1251" s="44"/>
      <c r="U1251" s="57"/>
    </row>
    <row r="1252" spans="1:21" ht="17.25" customHeight="1" x14ac:dyDescent="0.3">
      <c r="A1252" s="15" t="s">
        <v>30</v>
      </c>
      <c r="C1252" s="19"/>
      <c r="D1252" s="33"/>
      <c r="E1252" s="33" t="s">
        <v>31</v>
      </c>
      <c r="F1252" s="34" t="s">
        <v>31</v>
      </c>
      <c r="G1252" s="34" t="s">
        <v>31</v>
      </c>
      <c r="H1252" s="34"/>
      <c r="I1252" s="34"/>
      <c r="J1252" s="34" t="s">
        <v>31</v>
      </c>
      <c r="K1252" s="34" t="s">
        <v>31</v>
      </c>
      <c r="L1252" s="34" t="s">
        <v>31</v>
      </c>
      <c r="M1252" s="34" t="s">
        <v>31</v>
      </c>
      <c r="N1252" s="34"/>
      <c r="U1252" s="58"/>
    </row>
    <row r="1253" spans="1:21" ht="20.25" customHeight="1" x14ac:dyDescent="0.35">
      <c r="A1253" s="15" t="s">
        <v>30</v>
      </c>
      <c r="C1253" s="19"/>
      <c r="D1253" s="35" t="str">
        <f t="shared" ref="D1253" si="297">E1253</f>
        <v>E100020</v>
      </c>
      <c r="E1253" s="36" t="str">
        <f>"E100020"</f>
        <v>E100020</v>
      </c>
      <c r="F1253" s="37" t="str">
        <f>"Flip-up Travel Alarm"</f>
        <v>Flip-up Travel Alarm</v>
      </c>
      <c r="G1253" s="37"/>
      <c r="H1253" s="38" t="str">
        <f>"EA"</f>
        <v>EA</v>
      </c>
      <c r="I1253" s="37"/>
      <c r="J1253" s="37"/>
      <c r="K1253" s="37"/>
      <c r="L1253" s="37"/>
      <c r="M1253" s="37"/>
      <c r="N1253" s="37"/>
      <c r="O1253" s="39">
        <f>(SUBTOTAL(9,O1254:O1264))</f>
        <v>1600</v>
      </c>
      <c r="P1253" s="39">
        <f>(SUBTOTAL(9,P1254:P1264))</f>
        <v>-757</v>
      </c>
      <c r="Q1253" s="39">
        <f>(SUBTOTAL(9,Q1254:Q1264))</f>
        <v>0</v>
      </c>
      <c r="R1253" s="39">
        <f>(SUBTOTAL(9,R1254:R1264))</f>
        <v>0</v>
      </c>
      <c r="S1253" s="39">
        <f>(SUBTOTAL(9,S1254:S1264))</f>
        <v>0</v>
      </c>
      <c r="T1253" s="39">
        <f>(SUBTOTAL(9,T1254:T1264))</f>
        <v>0</v>
      </c>
      <c r="U1253" s="55">
        <f t="shared" ref="U1253" si="298">SUBTOTAL(9,O1254:T1264)</f>
        <v>843</v>
      </c>
    </row>
    <row r="1254" spans="1:21" ht="17.25" customHeight="1" x14ac:dyDescent="0.3">
      <c r="A1254" s="15" t="s">
        <v>30</v>
      </c>
      <c r="C1254" s="19"/>
      <c r="D1254" s="33" t="str">
        <f t="shared" ref="D1254" si="299">D1253</f>
        <v>E100020</v>
      </c>
      <c r="E1254" s="33"/>
      <c r="F1254" s="34"/>
      <c r="G1254" s="34" t="str">
        <f>"""NAV Direct"",""CRONUS JetCorp USA"",""32"",""1"",""167528"""</f>
        <v>"NAV Direct","CRONUS JetCorp USA","32","1","167528"</v>
      </c>
      <c r="H1254" s="40">
        <v>43466</v>
      </c>
      <c r="I1254" s="41">
        <v>167528</v>
      </c>
      <c r="J1254" s="42" t="str">
        <f>"Vendor"</f>
        <v>Vendor</v>
      </c>
      <c r="K1254" s="42" t="str">
        <f>"V100040"</f>
        <v>V100040</v>
      </c>
      <c r="L1254" s="42" t="str">
        <f>IF($J1254="Customer",_xll.NL("first",$J1254,"Name","No.","@@"&amp;$K1254),"")</f>
        <v/>
      </c>
      <c r="M1254" s="42" t="str">
        <f>"Technische Betriebe Rotkreuz"</f>
        <v>Technische Betriebe Rotkreuz</v>
      </c>
      <c r="N1254" s="42" t="str">
        <f>IF($J1254="Item",_xll.NL("first",$J1254,"Description","No.","@@"&amp;$K1254),"")</f>
        <v/>
      </c>
      <c r="O1254" s="43">
        <v>200</v>
      </c>
      <c r="P1254" s="43">
        <v>0</v>
      </c>
      <c r="Q1254" s="43">
        <v>0</v>
      </c>
      <c r="R1254" s="43">
        <v>0</v>
      </c>
      <c r="S1254" s="43">
        <v>0</v>
      </c>
      <c r="T1254" s="43">
        <v>0</v>
      </c>
      <c r="U1254" s="56"/>
    </row>
    <row r="1255" spans="1:21" ht="17.25" customHeight="1" x14ac:dyDescent="0.3">
      <c r="A1255" s="15" t="s">
        <v>30</v>
      </c>
      <c r="C1255" s="19"/>
      <c r="D1255" s="33" t="str">
        <f t="shared" ref="D1255:D1263" si="300">D1254</f>
        <v>E100020</v>
      </c>
      <c r="E1255" s="33"/>
      <c r="F1255" s="34"/>
      <c r="G1255" s="34" t="str">
        <f>"""NAV Direct"",""CRONUS JetCorp USA"",""32"",""1"",""167553"""</f>
        <v>"NAV Direct","CRONUS JetCorp USA","32","1","167553"</v>
      </c>
      <c r="H1255" s="40">
        <v>43466</v>
      </c>
      <c r="I1255" s="41">
        <v>167553</v>
      </c>
      <c r="J1255" s="42" t="str">
        <f>"Vendor"</f>
        <v>Vendor</v>
      </c>
      <c r="K1255" s="42" t="str">
        <f>"V100007"</f>
        <v>V100007</v>
      </c>
      <c r="L1255" s="42" t="str">
        <f>IF($J1255="Customer",_xll.NL("first",$J1255,"Name","No.","@@"&amp;$K1255),"")</f>
        <v/>
      </c>
      <c r="M1255" s="42" t="str">
        <f>"TrendTech"</f>
        <v>TrendTech</v>
      </c>
      <c r="N1255" s="42" t="str">
        <f>IF($J1255="Item",_xll.NL("first",$J1255,"Description","No.","@@"&amp;$K1255),"")</f>
        <v/>
      </c>
      <c r="O1255" s="43">
        <v>800</v>
      </c>
      <c r="P1255" s="43">
        <v>0</v>
      </c>
      <c r="Q1255" s="43">
        <v>0</v>
      </c>
      <c r="R1255" s="43">
        <v>0</v>
      </c>
      <c r="S1255" s="43">
        <v>0</v>
      </c>
      <c r="T1255" s="43">
        <v>0</v>
      </c>
      <c r="U1255" s="56"/>
    </row>
    <row r="1256" spans="1:21" ht="17.25" customHeight="1" x14ac:dyDescent="0.3">
      <c r="A1256" s="15" t="s">
        <v>30</v>
      </c>
      <c r="C1256" s="19"/>
      <c r="D1256" s="33" t="str">
        <f t="shared" si="300"/>
        <v>E100020</v>
      </c>
      <c r="E1256" s="33"/>
      <c r="F1256" s="34"/>
      <c r="G1256" s="34" t="str">
        <f>"""NAV Direct"",""CRONUS JetCorp USA"",""32"",""1"",""167601"""</f>
        <v>"NAV Direct","CRONUS JetCorp USA","32","1","167601"</v>
      </c>
      <c r="H1256" s="40">
        <v>43466</v>
      </c>
      <c r="I1256" s="41">
        <v>167601</v>
      </c>
      <c r="J1256" s="42" t="str">
        <f>"Vendor"</f>
        <v>Vendor</v>
      </c>
      <c r="K1256" s="42" t="str">
        <f>"V100003"</f>
        <v>V100003</v>
      </c>
      <c r="L1256" s="42" t="str">
        <f>IF($J1256="Customer",_xll.NL("first",$J1256,"Name","No.","@@"&amp;$K1256),"")</f>
        <v/>
      </c>
      <c r="M1256" s="42" t="str">
        <f>"LogoMasters"</f>
        <v>LogoMasters</v>
      </c>
      <c r="N1256" s="42" t="str">
        <f>IF($J1256="Item",_xll.NL("first",$J1256,"Description","No.","@@"&amp;$K1256),"")</f>
        <v/>
      </c>
      <c r="O1256" s="43">
        <v>600</v>
      </c>
      <c r="P1256" s="43">
        <v>0</v>
      </c>
      <c r="Q1256" s="43">
        <v>0</v>
      </c>
      <c r="R1256" s="43">
        <v>0</v>
      </c>
      <c r="S1256" s="43">
        <v>0</v>
      </c>
      <c r="T1256" s="43">
        <v>0</v>
      </c>
      <c r="U1256" s="56"/>
    </row>
    <row r="1257" spans="1:21" ht="17.25" customHeight="1" x14ac:dyDescent="0.3">
      <c r="A1257" s="15" t="s">
        <v>30</v>
      </c>
      <c r="C1257" s="19"/>
      <c r="D1257" s="33" t="str">
        <f t="shared" si="300"/>
        <v>E100020</v>
      </c>
      <c r="E1257" s="33"/>
      <c r="F1257" s="34"/>
      <c r="G1257" s="34" t="str">
        <f>"""NAV Direct"",""CRONUS JetCorp USA"",""32"",""1"",""12464"""</f>
        <v>"NAV Direct","CRONUS JetCorp USA","32","1","12464"</v>
      </c>
      <c r="H1257" s="40">
        <v>43471</v>
      </c>
      <c r="I1257" s="41">
        <v>12464</v>
      </c>
      <c r="J1257" s="42" t="str">
        <f>"Customer"</f>
        <v>Customer</v>
      </c>
      <c r="K1257" s="42" t="str">
        <f>"C100041"</f>
        <v>C100041</v>
      </c>
      <c r="L1257" s="42" t="str">
        <f>IF($J1257="Customer",_xll.NL("first",$J1257,"Name","No.","@@"&amp;$K1257),"")</f>
        <v>Heimilisprydi</v>
      </c>
      <c r="M1257" s="42" t="str">
        <f>""</f>
        <v/>
      </c>
      <c r="N1257" s="42" t="str">
        <f>IF($J1257="Item",_xll.NL("first",$J1257,"Description","No.","@@"&amp;$K1257),"")</f>
        <v/>
      </c>
      <c r="O1257" s="43">
        <v>0</v>
      </c>
      <c r="P1257" s="43">
        <v>-12</v>
      </c>
      <c r="Q1257" s="43">
        <v>0</v>
      </c>
      <c r="R1257" s="43">
        <v>0</v>
      </c>
      <c r="S1257" s="43">
        <v>0</v>
      </c>
      <c r="T1257" s="43">
        <v>0</v>
      </c>
      <c r="U1257" s="56"/>
    </row>
    <row r="1258" spans="1:21" ht="17.25" customHeight="1" x14ac:dyDescent="0.3">
      <c r="A1258" s="15" t="s">
        <v>30</v>
      </c>
      <c r="C1258" s="19"/>
      <c r="D1258" s="33" t="str">
        <f t="shared" si="300"/>
        <v>E100020</v>
      </c>
      <c r="E1258" s="33"/>
      <c r="F1258" s="34"/>
      <c r="G1258" s="34" t="str">
        <f>"""NAV Direct"",""CRONUS JetCorp USA"",""32"",""1"",""118082"""</f>
        <v>"NAV Direct","CRONUS JetCorp USA","32","1","118082"</v>
      </c>
      <c r="H1258" s="40">
        <v>43471</v>
      </c>
      <c r="I1258" s="41">
        <v>118082</v>
      </c>
      <c r="J1258" s="42" t="str">
        <f>"Customer"</f>
        <v>Customer</v>
      </c>
      <c r="K1258" s="42" t="str">
        <f>"C100060"</f>
        <v>C100060</v>
      </c>
      <c r="L1258" s="42" t="str">
        <f>IF($J1258="Customer",_xll.NL("first",$J1258,"Name","No.","@@"&amp;$K1258),"")</f>
        <v>MEMA Ljubljana d.o.o.</v>
      </c>
      <c r="M1258" s="42" t="str">
        <f>""</f>
        <v/>
      </c>
      <c r="N1258" s="42" t="str">
        <f>IF($J1258="Item",_xll.NL("first",$J1258,"Description","No.","@@"&amp;$K1258),"")</f>
        <v/>
      </c>
      <c r="O1258" s="43">
        <v>0</v>
      </c>
      <c r="P1258" s="43">
        <v>-24</v>
      </c>
      <c r="Q1258" s="43">
        <v>0</v>
      </c>
      <c r="R1258" s="43">
        <v>0</v>
      </c>
      <c r="S1258" s="43">
        <v>0</v>
      </c>
      <c r="T1258" s="43">
        <v>0</v>
      </c>
      <c r="U1258" s="56"/>
    </row>
    <row r="1259" spans="1:21" ht="17.25" customHeight="1" x14ac:dyDescent="0.3">
      <c r="A1259" s="15" t="s">
        <v>30</v>
      </c>
      <c r="C1259" s="19"/>
      <c r="D1259" s="33" t="str">
        <f t="shared" si="300"/>
        <v>E100020</v>
      </c>
      <c r="E1259" s="33"/>
      <c r="F1259" s="34"/>
      <c r="G1259" s="34" t="str">
        <f>"""NAV Direct"",""CRONUS JetCorp USA"",""32"",""1"",""3910"""</f>
        <v>"NAV Direct","CRONUS JetCorp USA","32","1","3910"</v>
      </c>
      <c r="H1259" s="40">
        <v>43472</v>
      </c>
      <c r="I1259" s="41">
        <v>3910</v>
      </c>
      <c r="J1259" s="42" t="str">
        <f>"Customer"</f>
        <v>Customer</v>
      </c>
      <c r="K1259" s="42" t="str">
        <f>"C100099"</f>
        <v>C100099</v>
      </c>
      <c r="L1259" s="42" t="str">
        <f>IF($J1259="Customer",_xll.NL("first",$J1259,"Name","No.","@@"&amp;$K1259),"")</f>
        <v>Voltive Systems</v>
      </c>
      <c r="M1259" s="42" t="str">
        <f>""</f>
        <v/>
      </c>
      <c r="N1259" s="42" t="str">
        <f>IF($J1259="Item",_xll.NL("first",$J1259,"Description","No.","@@"&amp;$K1259),"")</f>
        <v/>
      </c>
      <c r="O1259" s="43">
        <v>0</v>
      </c>
      <c r="P1259" s="43">
        <v>-145</v>
      </c>
      <c r="Q1259" s="43">
        <v>0</v>
      </c>
      <c r="R1259" s="43">
        <v>0</v>
      </c>
      <c r="S1259" s="43">
        <v>0</v>
      </c>
      <c r="T1259" s="43">
        <v>0</v>
      </c>
      <c r="U1259" s="56"/>
    </row>
    <row r="1260" spans="1:21" ht="17.25" customHeight="1" x14ac:dyDescent="0.3">
      <c r="A1260" s="15" t="s">
        <v>30</v>
      </c>
      <c r="C1260" s="19"/>
      <c r="D1260" s="33" t="str">
        <f t="shared" si="300"/>
        <v>E100020</v>
      </c>
      <c r="E1260" s="33"/>
      <c r="F1260" s="34"/>
      <c r="G1260" s="34" t="str">
        <f>"""NAV Direct"",""CRONUS JetCorp USA"",""32"",""1"",""3898"""</f>
        <v>"NAV Direct","CRONUS JetCorp USA","32","1","3898"</v>
      </c>
      <c r="H1260" s="40">
        <v>43473</v>
      </c>
      <c r="I1260" s="41">
        <v>3898</v>
      </c>
      <c r="J1260" s="42" t="str">
        <f>"Customer"</f>
        <v>Customer</v>
      </c>
      <c r="K1260" s="42" t="str">
        <f>"C100037"</f>
        <v>C100037</v>
      </c>
      <c r="L1260" s="42" t="str">
        <f>IF($J1260="Customer",_xll.NL("first",$J1260,"Name","No.","@@"&amp;$K1260),"")</f>
        <v>Tempsons Tropies</v>
      </c>
      <c r="M1260" s="42" t="str">
        <f>""</f>
        <v/>
      </c>
      <c r="N1260" s="42" t="str">
        <f>IF($J1260="Item",_xll.NL("first",$J1260,"Description","No.","@@"&amp;$K1260),"")</f>
        <v/>
      </c>
      <c r="O1260" s="43">
        <v>0</v>
      </c>
      <c r="P1260" s="43">
        <v>-144</v>
      </c>
      <c r="Q1260" s="43">
        <v>0</v>
      </c>
      <c r="R1260" s="43">
        <v>0</v>
      </c>
      <c r="S1260" s="43">
        <v>0</v>
      </c>
      <c r="T1260" s="43">
        <v>0</v>
      </c>
      <c r="U1260" s="56"/>
    </row>
    <row r="1261" spans="1:21" ht="17.25" customHeight="1" x14ac:dyDescent="0.3">
      <c r="A1261" s="15" t="s">
        <v>30</v>
      </c>
      <c r="C1261" s="19"/>
      <c r="D1261" s="33" t="str">
        <f t="shared" si="300"/>
        <v>E100020</v>
      </c>
      <c r="E1261" s="33"/>
      <c r="F1261" s="34"/>
      <c r="G1261" s="34" t="str">
        <f>"""NAV Direct"",""CRONUS JetCorp USA"",""32"",""1"",""114278"""</f>
        <v>"NAV Direct","CRONUS JetCorp USA","32","1","114278"</v>
      </c>
      <c r="H1261" s="40">
        <v>43474</v>
      </c>
      <c r="I1261" s="41">
        <v>114278</v>
      </c>
      <c r="J1261" s="42" t="str">
        <f>"Customer"</f>
        <v>Customer</v>
      </c>
      <c r="K1261" s="42" t="str">
        <f>"C100076"</f>
        <v>C100076</v>
      </c>
      <c r="L1261" s="42" t="str">
        <f>IF($J1261="Customer",_xll.NL("first",$J1261,"Name","No.","@@"&amp;$K1261),"")</f>
        <v>Showmasters</v>
      </c>
      <c r="M1261" s="42" t="str">
        <f>""</f>
        <v/>
      </c>
      <c r="N1261" s="42" t="str">
        <f>IF($J1261="Item",_xll.NL("first",$J1261,"Description","No.","@@"&amp;$K1261),"")</f>
        <v/>
      </c>
      <c r="O1261" s="43">
        <v>0</v>
      </c>
      <c r="P1261" s="43">
        <v>-144</v>
      </c>
      <c r="Q1261" s="43">
        <v>0</v>
      </c>
      <c r="R1261" s="43">
        <v>0</v>
      </c>
      <c r="S1261" s="43">
        <v>0</v>
      </c>
      <c r="T1261" s="43">
        <v>0</v>
      </c>
      <c r="U1261" s="56"/>
    </row>
    <row r="1262" spans="1:21" ht="17.25" customHeight="1" x14ac:dyDescent="0.3">
      <c r="A1262" s="15" t="s">
        <v>30</v>
      </c>
      <c r="C1262" s="19"/>
      <c r="D1262" s="33" t="str">
        <f t="shared" si="300"/>
        <v>E100020</v>
      </c>
      <c r="E1262" s="33"/>
      <c r="F1262" s="34"/>
      <c r="G1262" s="34" t="str">
        <f>"""NAV Direct"",""CRONUS JetCorp USA"",""32"",""1"",""3921"""</f>
        <v>"NAV Direct","CRONUS JetCorp USA","32","1","3921"</v>
      </c>
      <c r="H1262" s="40">
        <v>43475</v>
      </c>
      <c r="I1262" s="41">
        <v>3921</v>
      </c>
      <c r="J1262" s="42" t="str">
        <f>"Customer"</f>
        <v>Customer</v>
      </c>
      <c r="K1262" s="42" t="str">
        <f>"C100099"</f>
        <v>C100099</v>
      </c>
      <c r="L1262" s="42" t="str">
        <f>IF($J1262="Customer",_xll.NL("first",$J1262,"Name","No.","@@"&amp;$K1262),"")</f>
        <v>Voltive Systems</v>
      </c>
      <c r="M1262" s="42" t="str">
        <f>""</f>
        <v/>
      </c>
      <c r="N1262" s="42" t="str">
        <f>IF($J1262="Item",_xll.NL("first",$J1262,"Description","No.","@@"&amp;$K1262),"")</f>
        <v/>
      </c>
      <c r="O1262" s="43">
        <v>0</v>
      </c>
      <c r="P1262" s="43">
        <v>-144</v>
      </c>
      <c r="Q1262" s="43">
        <v>0</v>
      </c>
      <c r="R1262" s="43">
        <v>0</v>
      </c>
      <c r="S1262" s="43">
        <v>0</v>
      </c>
      <c r="T1262" s="43">
        <v>0</v>
      </c>
      <c r="U1262" s="56"/>
    </row>
    <row r="1263" spans="1:21" ht="17.25" customHeight="1" x14ac:dyDescent="0.3">
      <c r="A1263" s="15" t="s">
        <v>30</v>
      </c>
      <c r="C1263" s="19"/>
      <c r="D1263" s="33" t="str">
        <f t="shared" si="300"/>
        <v>E100020</v>
      </c>
      <c r="E1263" s="33"/>
      <c r="F1263" s="34"/>
      <c r="G1263" s="34" t="str">
        <f>"""NAV Direct"",""CRONUS JetCorp USA"",""32"",""1"",""7585"""</f>
        <v>"NAV Direct","CRONUS JetCorp USA","32","1","7585"</v>
      </c>
      <c r="H1263" s="40">
        <v>43476</v>
      </c>
      <c r="I1263" s="41">
        <v>7585</v>
      </c>
      <c r="J1263" s="42" t="str">
        <f>"Customer"</f>
        <v>Customer</v>
      </c>
      <c r="K1263" s="42" t="str">
        <f>"C100030"</f>
        <v>C100030</v>
      </c>
      <c r="L1263" s="42" t="str">
        <f>IF($J1263="Customer",_xll.NL("first",$J1263,"Name","No.","@@"&amp;$K1263),"")</f>
        <v>Stutringers</v>
      </c>
      <c r="M1263" s="42" t="str">
        <f>""</f>
        <v/>
      </c>
      <c r="N1263" s="42" t="str">
        <f>IF($J1263="Item",_xll.NL("first",$J1263,"Description","No.","@@"&amp;$K1263),"")</f>
        <v/>
      </c>
      <c r="O1263" s="43">
        <v>0</v>
      </c>
      <c r="P1263" s="43">
        <v>-144</v>
      </c>
      <c r="Q1263" s="43">
        <v>0</v>
      </c>
      <c r="R1263" s="43">
        <v>0</v>
      </c>
      <c r="S1263" s="43">
        <v>0</v>
      </c>
      <c r="T1263" s="43">
        <v>0</v>
      </c>
      <c r="U1263" s="56"/>
    </row>
    <row r="1264" spans="1:21" ht="17.25" customHeight="1" x14ac:dyDescent="0.3">
      <c r="A1264" s="15" t="s">
        <v>30</v>
      </c>
      <c r="C1264" s="19"/>
      <c r="D1264" s="33"/>
      <c r="E1264" s="33"/>
      <c r="F1264" s="34"/>
      <c r="G1264" s="34"/>
      <c r="H1264" s="34"/>
      <c r="I1264" s="34"/>
      <c r="J1264" s="34"/>
      <c r="K1264" s="34"/>
      <c r="L1264" s="34"/>
      <c r="M1264" s="34"/>
      <c r="N1264" s="34"/>
      <c r="O1264" s="44"/>
      <c r="P1264" s="44"/>
      <c r="Q1264" s="44"/>
      <c r="R1264" s="44"/>
      <c r="S1264" s="44"/>
      <c r="T1264" s="44"/>
      <c r="U1264" s="57"/>
    </row>
    <row r="1265" spans="1:21" ht="17.25" customHeight="1" x14ac:dyDescent="0.3">
      <c r="A1265" s="15" t="s">
        <v>30</v>
      </c>
      <c r="C1265" s="19"/>
      <c r="D1265" s="33"/>
      <c r="E1265" s="33" t="s">
        <v>31</v>
      </c>
      <c r="F1265" s="34" t="s">
        <v>31</v>
      </c>
      <c r="G1265" s="34" t="s">
        <v>31</v>
      </c>
      <c r="H1265" s="34"/>
      <c r="I1265" s="34"/>
      <c r="J1265" s="34" t="s">
        <v>31</v>
      </c>
      <c r="K1265" s="34" t="s">
        <v>31</v>
      </c>
      <c r="L1265" s="34" t="s">
        <v>31</v>
      </c>
      <c r="M1265" s="34" t="s">
        <v>31</v>
      </c>
      <c r="N1265" s="34"/>
      <c r="U1265" s="58"/>
    </row>
    <row r="1266" spans="1:21" ht="20.25" customHeight="1" x14ac:dyDescent="0.35">
      <c r="A1266" s="15" t="s">
        <v>30</v>
      </c>
      <c r="C1266" s="19"/>
      <c r="D1266" s="35" t="str">
        <f t="shared" ref="D1266" si="301">E1266</f>
        <v>E100021</v>
      </c>
      <c r="E1266" s="36" t="str">
        <f>"E100021"</f>
        <v>E100021</v>
      </c>
      <c r="F1266" s="37" t="str">
        <f>"Slim Travel Alarm"</f>
        <v>Slim Travel Alarm</v>
      </c>
      <c r="G1266" s="37"/>
      <c r="H1266" s="38" t="str">
        <f>"EA"</f>
        <v>EA</v>
      </c>
      <c r="I1266" s="37"/>
      <c r="J1266" s="37"/>
      <c r="K1266" s="37"/>
      <c r="L1266" s="37"/>
      <c r="M1266" s="37"/>
      <c r="N1266" s="37"/>
      <c r="O1266" s="39">
        <f>(SUBTOTAL(9,O1267:O1291))</f>
        <v>3800</v>
      </c>
      <c r="P1266" s="39">
        <f>(SUBTOTAL(9,P1267:P1291))</f>
        <v>-1164</v>
      </c>
      <c r="Q1266" s="39">
        <f>(SUBTOTAL(9,Q1267:Q1291))</f>
        <v>0</v>
      </c>
      <c r="R1266" s="39">
        <f>(SUBTOTAL(9,R1267:R1291))</f>
        <v>0</v>
      </c>
      <c r="S1266" s="39">
        <f>(SUBTOTAL(9,S1267:S1291))</f>
        <v>0</v>
      </c>
      <c r="T1266" s="39">
        <f>(SUBTOTAL(9,T1267:T1291))</f>
        <v>0</v>
      </c>
      <c r="U1266" s="55">
        <f t="shared" ref="U1266" si="302">SUBTOTAL(9,O1267:T1291)</f>
        <v>2636</v>
      </c>
    </row>
    <row r="1267" spans="1:21" ht="17.25" customHeight="1" x14ac:dyDescent="0.3">
      <c r="A1267" s="15" t="s">
        <v>30</v>
      </c>
      <c r="C1267" s="19"/>
      <c r="D1267" s="33" t="str">
        <f t="shared" ref="D1267" si="303">D1266</f>
        <v>E100021</v>
      </c>
      <c r="E1267" s="33"/>
      <c r="F1267" s="34"/>
      <c r="G1267" s="34" t="str">
        <f>"""NAV Direct"",""CRONUS JetCorp USA"",""32"",""1"",""167510"""</f>
        <v>"NAV Direct","CRONUS JetCorp USA","32","1","167510"</v>
      </c>
      <c r="H1267" s="40">
        <v>43466</v>
      </c>
      <c r="I1267" s="41">
        <v>167510</v>
      </c>
      <c r="J1267" s="42" t="str">
        <f>"Vendor"</f>
        <v>Vendor</v>
      </c>
      <c r="K1267" s="42" t="str">
        <f>"V100009"</f>
        <v>V100009</v>
      </c>
      <c r="L1267" s="42" t="str">
        <f>IF($J1267="Customer",_xll.NL("first",$J1267,"Name","No.","@@"&amp;$K1267),"")</f>
        <v/>
      </c>
      <c r="M1267" s="42" t="str">
        <f>"Malay-Dan Export Unit Sdn Bhd"</f>
        <v>Malay-Dan Export Unit Sdn Bhd</v>
      </c>
      <c r="N1267" s="42" t="str">
        <f>IF($J1267="Item",_xll.NL("first",$J1267,"Description","No.","@@"&amp;$K1267),"")</f>
        <v/>
      </c>
      <c r="O1267" s="43">
        <v>400</v>
      </c>
      <c r="P1267" s="43">
        <v>0</v>
      </c>
      <c r="Q1267" s="43">
        <v>0</v>
      </c>
      <c r="R1267" s="43">
        <v>0</v>
      </c>
      <c r="S1267" s="43">
        <v>0</v>
      </c>
      <c r="T1267" s="43">
        <v>0</v>
      </c>
      <c r="U1267" s="56"/>
    </row>
    <row r="1268" spans="1:21" ht="17.25" customHeight="1" x14ac:dyDescent="0.3">
      <c r="A1268" s="15" t="s">
        <v>30</v>
      </c>
      <c r="C1268" s="19"/>
      <c r="D1268" s="33" t="str">
        <f t="shared" ref="D1268:D1290" si="304">D1267</f>
        <v>E100021</v>
      </c>
      <c r="E1268" s="33"/>
      <c r="F1268" s="34"/>
      <c r="G1268" s="34" t="str">
        <f>"""NAV Direct"",""CRONUS JetCorp USA"",""32"",""1"",""167527"""</f>
        <v>"NAV Direct","CRONUS JetCorp USA","32","1","167527"</v>
      </c>
      <c r="H1268" s="40">
        <v>43466</v>
      </c>
      <c r="I1268" s="41">
        <v>167527</v>
      </c>
      <c r="J1268" s="42" t="str">
        <f>"Vendor"</f>
        <v>Vendor</v>
      </c>
      <c r="K1268" s="42" t="str">
        <f>"V100040"</f>
        <v>V100040</v>
      </c>
      <c r="L1268" s="42" t="str">
        <f>IF($J1268="Customer",_xll.NL("first",$J1268,"Name","No.","@@"&amp;$K1268),"")</f>
        <v/>
      </c>
      <c r="M1268" s="42" t="str">
        <f>"Technische Betriebe Rotkreuz"</f>
        <v>Technische Betriebe Rotkreuz</v>
      </c>
      <c r="N1268" s="42" t="str">
        <f>IF($J1268="Item",_xll.NL("first",$J1268,"Description","No.","@@"&amp;$K1268),"")</f>
        <v/>
      </c>
      <c r="O1268" s="43">
        <v>600</v>
      </c>
      <c r="P1268" s="43">
        <v>0</v>
      </c>
      <c r="Q1268" s="43">
        <v>0</v>
      </c>
      <c r="R1268" s="43">
        <v>0</v>
      </c>
      <c r="S1268" s="43">
        <v>0</v>
      </c>
      <c r="T1268" s="43">
        <v>0</v>
      </c>
      <c r="U1268" s="56"/>
    </row>
    <row r="1269" spans="1:21" ht="17.25" customHeight="1" x14ac:dyDescent="0.3">
      <c r="A1269" s="15" t="s">
        <v>30</v>
      </c>
      <c r="C1269" s="19"/>
      <c r="D1269" s="33" t="str">
        <f t="shared" si="304"/>
        <v>E100021</v>
      </c>
      <c r="E1269" s="33"/>
      <c r="F1269" s="34"/>
      <c r="G1269" s="34" t="str">
        <f>"""NAV Direct"",""CRONUS JetCorp USA"",""32"",""1"",""167552"""</f>
        <v>"NAV Direct","CRONUS JetCorp USA","32","1","167552"</v>
      </c>
      <c r="H1269" s="40">
        <v>43466</v>
      </c>
      <c r="I1269" s="41">
        <v>167552</v>
      </c>
      <c r="J1269" s="42" t="str">
        <f>"Vendor"</f>
        <v>Vendor</v>
      </c>
      <c r="K1269" s="42" t="str">
        <f>"V100007"</f>
        <v>V100007</v>
      </c>
      <c r="L1269" s="42" t="str">
        <f>IF($J1269="Customer",_xll.NL("first",$J1269,"Name","No.","@@"&amp;$K1269),"")</f>
        <v/>
      </c>
      <c r="M1269" s="42" t="str">
        <f>"TrendTech"</f>
        <v>TrendTech</v>
      </c>
      <c r="N1269" s="42" t="str">
        <f>IF($J1269="Item",_xll.NL("first",$J1269,"Description","No.","@@"&amp;$K1269),"")</f>
        <v/>
      </c>
      <c r="O1269" s="43">
        <v>600</v>
      </c>
      <c r="P1269" s="43">
        <v>0</v>
      </c>
      <c r="Q1269" s="43">
        <v>0</v>
      </c>
      <c r="R1269" s="43">
        <v>0</v>
      </c>
      <c r="S1269" s="43">
        <v>0</v>
      </c>
      <c r="T1269" s="43">
        <v>0</v>
      </c>
      <c r="U1269" s="56"/>
    </row>
    <row r="1270" spans="1:21" ht="17.25" customHeight="1" x14ac:dyDescent="0.3">
      <c r="A1270" s="15" t="s">
        <v>30</v>
      </c>
      <c r="C1270" s="19"/>
      <c r="D1270" s="33" t="str">
        <f t="shared" si="304"/>
        <v>E100021</v>
      </c>
      <c r="E1270" s="33"/>
      <c r="F1270" s="34"/>
      <c r="G1270" s="34" t="str">
        <f>"""NAV Direct"",""CRONUS JetCorp USA"",""32"",""1"",""167572"""</f>
        <v>"NAV Direct","CRONUS JetCorp USA","32","1","167572"</v>
      </c>
      <c r="H1270" s="40">
        <v>43466</v>
      </c>
      <c r="I1270" s="41">
        <v>167572</v>
      </c>
      <c r="J1270" s="42" t="str">
        <f>"Vendor"</f>
        <v>Vendor</v>
      </c>
      <c r="K1270" s="42" t="str">
        <f>"V100001"</f>
        <v>V100001</v>
      </c>
      <c r="L1270" s="42" t="str">
        <f>IF($J1270="Customer",_xll.NL("first",$J1270,"Name","No.","@@"&amp;$K1270),"")</f>
        <v/>
      </c>
      <c r="M1270" s="42" t="str">
        <f>"Greigner, Inc."</f>
        <v>Greigner, Inc.</v>
      </c>
      <c r="N1270" s="42" t="str">
        <f>IF($J1270="Item",_xll.NL("first",$J1270,"Description","No.","@@"&amp;$K1270),"")</f>
        <v/>
      </c>
      <c r="O1270" s="43">
        <v>1200</v>
      </c>
      <c r="P1270" s="43">
        <v>0</v>
      </c>
      <c r="Q1270" s="43">
        <v>0</v>
      </c>
      <c r="R1270" s="43">
        <v>0</v>
      </c>
      <c r="S1270" s="43">
        <v>0</v>
      </c>
      <c r="T1270" s="43">
        <v>0</v>
      </c>
      <c r="U1270" s="56"/>
    </row>
    <row r="1271" spans="1:21" ht="17.25" customHeight="1" x14ac:dyDescent="0.3">
      <c r="A1271" s="15" t="s">
        <v>30</v>
      </c>
      <c r="C1271" s="19"/>
      <c r="D1271" s="33" t="str">
        <f t="shared" si="304"/>
        <v>E100021</v>
      </c>
      <c r="E1271" s="33"/>
      <c r="F1271" s="34"/>
      <c r="G1271" s="34" t="str">
        <f>"""NAV Direct"",""CRONUS JetCorp USA"",""32"",""1"",""167600"""</f>
        <v>"NAV Direct","CRONUS JetCorp USA","32","1","167600"</v>
      </c>
      <c r="H1271" s="40">
        <v>43466</v>
      </c>
      <c r="I1271" s="41">
        <v>167600</v>
      </c>
      <c r="J1271" s="42" t="str">
        <f>"Vendor"</f>
        <v>Vendor</v>
      </c>
      <c r="K1271" s="42" t="str">
        <f>"V100003"</f>
        <v>V100003</v>
      </c>
      <c r="L1271" s="42" t="str">
        <f>IF($J1271="Customer",_xll.NL("first",$J1271,"Name","No.","@@"&amp;$K1271),"")</f>
        <v/>
      </c>
      <c r="M1271" s="42" t="str">
        <f>"LogoMasters"</f>
        <v>LogoMasters</v>
      </c>
      <c r="N1271" s="42" t="str">
        <f>IF($J1271="Item",_xll.NL("first",$J1271,"Description","No.","@@"&amp;$K1271),"")</f>
        <v/>
      </c>
      <c r="O1271" s="43">
        <v>999.99999999999989</v>
      </c>
      <c r="P1271" s="43">
        <v>0</v>
      </c>
      <c r="Q1271" s="43">
        <v>0</v>
      </c>
      <c r="R1271" s="43">
        <v>0</v>
      </c>
      <c r="S1271" s="43">
        <v>0</v>
      </c>
      <c r="T1271" s="43">
        <v>0</v>
      </c>
      <c r="U1271" s="56"/>
    </row>
    <row r="1272" spans="1:21" ht="17.25" customHeight="1" x14ac:dyDescent="0.3">
      <c r="A1272" s="15" t="s">
        <v>30</v>
      </c>
      <c r="C1272" s="19"/>
      <c r="D1272" s="33" t="str">
        <f t="shared" si="304"/>
        <v>E100021</v>
      </c>
      <c r="E1272" s="33"/>
      <c r="F1272" s="34"/>
      <c r="G1272" s="34" t="str">
        <f>"""NAV Direct"",""CRONUS JetCorp USA"",""32"",""1"",""3894"""</f>
        <v>"NAV Direct","CRONUS JetCorp USA","32","1","3894"</v>
      </c>
      <c r="H1272" s="40">
        <v>43467</v>
      </c>
      <c r="I1272" s="41">
        <v>3894</v>
      </c>
      <c r="J1272" s="42" t="str">
        <f>"Customer"</f>
        <v>Customer</v>
      </c>
      <c r="K1272" s="42" t="str">
        <f>"C100099"</f>
        <v>C100099</v>
      </c>
      <c r="L1272" s="42" t="str">
        <f>IF($J1272="Customer",_xll.NL("first",$J1272,"Name","No.","@@"&amp;$K1272),"")</f>
        <v>Voltive Systems</v>
      </c>
      <c r="M1272" s="42" t="str">
        <f>""</f>
        <v/>
      </c>
      <c r="N1272" s="42" t="str">
        <f>IF($J1272="Item",_xll.NL("first",$J1272,"Description","No.","@@"&amp;$K1272),"")</f>
        <v/>
      </c>
      <c r="O1272" s="43">
        <v>0</v>
      </c>
      <c r="P1272" s="43">
        <v>-1</v>
      </c>
      <c r="Q1272" s="43">
        <v>0</v>
      </c>
      <c r="R1272" s="43">
        <v>0</v>
      </c>
      <c r="S1272" s="43">
        <v>0</v>
      </c>
      <c r="T1272" s="43">
        <v>0</v>
      </c>
      <c r="U1272" s="56"/>
    </row>
    <row r="1273" spans="1:21" ht="17.25" customHeight="1" x14ac:dyDescent="0.3">
      <c r="A1273" s="15" t="s">
        <v>30</v>
      </c>
      <c r="C1273" s="19"/>
      <c r="D1273" s="33" t="str">
        <f t="shared" si="304"/>
        <v>E100021</v>
      </c>
      <c r="E1273" s="33"/>
      <c r="F1273" s="34"/>
      <c r="G1273" s="34" t="str">
        <f>"""NAV Direct"",""CRONUS JetCorp USA"",""32"",""1"",""7563"""</f>
        <v>"NAV Direct","CRONUS JetCorp USA","32","1","7563"</v>
      </c>
      <c r="H1273" s="40">
        <v>43469</v>
      </c>
      <c r="I1273" s="41">
        <v>7563</v>
      </c>
      <c r="J1273" s="42" t="str">
        <f>"Customer"</f>
        <v>Customer</v>
      </c>
      <c r="K1273" s="42" t="str">
        <f>"C100030"</f>
        <v>C100030</v>
      </c>
      <c r="L1273" s="42" t="str">
        <f>IF($J1273="Customer",_xll.NL("first",$J1273,"Name","No.","@@"&amp;$K1273),"")</f>
        <v>Stutringers</v>
      </c>
      <c r="M1273" s="42" t="str">
        <f>""</f>
        <v/>
      </c>
      <c r="N1273" s="42" t="str">
        <f>IF($J1273="Item",_xll.NL("first",$J1273,"Description","No.","@@"&amp;$K1273),"")</f>
        <v/>
      </c>
      <c r="O1273" s="43">
        <v>0</v>
      </c>
      <c r="P1273" s="43">
        <v>-1</v>
      </c>
      <c r="Q1273" s="43">
        <v>0</v>
      </c>
      <c r="R1273" s="43">
        <v>0</v>
      </c>
      <c r="S1273" s="43">
        <v>0</v>
      </c>
      <c r="T1273" s="43">
        <v>0</v>
      </c>
      <c r="U1273" s="56"/>
    </row>
    <row r="1274" spans="1:21" ht="17.25" customHeight="1" x14ac:dyDescent="0.3">
      <c r="A1274" s="15" t="s">
        <v>30</v>
      </c>
      <c r="C1274" s="19"/>
      <c r="D1274" s="33" t="str">
        <f t="shared" si="304"/>
        <v>E100021</v>
      </c>
      <c r="E1274" s="33"/>
      <c r="F1274" s="34"/>
      <c r="G1274" s="34" t="str">
        <f>"""NAV Direct"",""CRONUS JetCorp USA"",""32"",""1"",""64587"""</f>
        <v>"NAV Direct","CRONUS JetCorp USA","32","1","64587"</v>
      </c>
      <c r="H1274" s="40">
        <v>43469</v>
      </c>
      <c r="I1274" s="41">
        <v>64587</v>
      </c>
      <c r="J1274" s="42" t="str">
        <f>"Customer"</f>
        <v>Customer</v>
      </c>
      <c r="K1274" s="42" t="str">
        <f>"C100140"</f>
        <v>C100140</v>
      </c>
      <c r="L1274" s="42" t="str">
        <f>IF($J1274="Customer",_xll.NL("first",$J1274,"Name","No.","@@"&amp;$K1274),"")</f>
        <v>Super Daves</v>
      </c>
      <c r="M1274" s="42" t="str">
        <f>""</f>
        <v/>
      </c>
      <c r="N1274" s="42" t="str">
        <f>IF($J1274="Item",_xll.NL("first",$J1274,"Description","No.","@@"&amp;$K1274),"")</f>
        <v/>
      </c>
      <c r="O1274" s="43">
        <v>0</v>
      </c>
      <c r="P1274" s="43">
        <v>-48</v>
      </c>
      <c r="Q1274" s="43">
        <v>0</v>
      </c>
      <c r="R1274" s="43">
        <v>0</v>
      </c>
      <c r="S1274" s="43">
        <v>0</v>
      </c>
      <c r="T1274" s="43">
        <v>0</v>
      </c>
      <c r="U1274" s="56"/>
    </row>
    <row r="1275" spans="1:21" ht="17.25" customHeight="1" x14ac:dyDescent="0.3">
      <c r="A1275" s="15" t="s">
        <v>30</v>
      </c>
      <c r="C1275" s="19"/>
      <c r="D1275" s="33" t="str">
        <f t="shared" si="304"/>
        <v>E100021</v>
      </c>
      <c r="E1275" s="33"/>
      <c r="F1275" s="34"/>
      <c r="G1275" s="34" t="str">
        <f>"""NAV Direct"",""CRONUS JetCorp USA"",""32"",""1"",""147989"""</f>
        <v>"NAV Direct","CRONUS JetCorp USA","32","1","147989"</v>
      </c>
      <c r="H1275" s="40">
        <v>43469</v>
      </c>
      <c r="I1275" s="41">
        <v>147989</v>
      </c>
      <c r="J1275" s="42" t="str">
        <f>"Customer"</f>
        <v>Customer</v>
      </c>
      <c r="K1275" s="42" t="str">
        <f>"C100096"</f>
        <v>C100096</v>
      </c>
      <c r="L1275" s="42" t="str">
        <f>IF($J1275="Customer",_xll.NL("first",$J1275,"Name","No.","@@"&amp;$K1275),"")</f>
        <v>D-Com Industries</v>
      </c>
      <c r="M1275" s="42" t="str">
        <f>""</f>
        <v/>
      </c>
      <c r="N1275" s="42" t="str">
        <f>IF($J1275="Item",_xll.NL("first",$J1275,"Description","No.","@@"&amp;$K1275),"")</f>
        <v/>
      </c>
      <c r="O1275" s="43">
        <v>0</v>
      </c>
      <c r="P1275" s="43">
        <v>-144</v>
      </c>
      <c r="Q1275" s="43">
        <v>0</v>
      </c>
      <c r="R1275" s="43">
        <v>0</v>
      </c>
      <c r="S1275" s="43">
        <v>0</v>
      </c>
      <c r="T1275" s="43">
        <v>0</v>
      </c>
      <c r="U1275" s="56"/>
    </row>
    <row r="1276" spans="1:21" ht="17.25" customHeight="1" x14ac:dyDescent="0.3">
      <c r="A1276" s="15" t="s">
        <v>30</v>
      </c>
      <c r="C1276" s="19"/>
      <c r="D1276" s="33" t="str">
        <f t="shared" si="304"/>
        <v>E100021</v>
      </c>
      <c r="E1276" s="33"/>
      <c r="F1276" s="34"/>
      <c r="G1276" s="34" t="str">
        <f>"""NAV Direct"",""CRONUS JetCorp USA"",""32"",""1"",""114270"""</f>
        <v>"NAV Direct","CRONUS JetCorp USA","32","1","114270"</v>
      </c>
      <c r="H1276" s="40">
        <v>43470</v>
      </c>
      <c r="I1276" s="41">
        <v>114270</v>
      </c>
      <c r="J1276" s="42" t="str">
        <f>"Customer"</f>
        <v>Customer</v>
      </c>
      <c r="K1276" s="42" t="str">
        <f>"C100076"</f>
        <v>C100076</v>
      </c>
      <c r="L1276" s="42" t="str">
        <f>IF($J1276="Customer",_xll.NL("first",$J1276,"Name","No.","@@"&amp;$K1276),"")</f>
        <v>Showmasters</v>
      </c>
      <c r="M1276" s="42" t="str">
        <f>""</f>
        <v/>
      </c>
      <c r="N1276" s="42" t="str">
        <f>IF($J1276="Item",_xll.NL("first",$J1276,"Description","No.","@@"&amp;$K1276),"")</f>
        <v/>
      </c>
      <c r="O1276" s="43">
        <v>0</v>
      </c>
      <c r="P1276" s="43">
        <v>-48</v>
      </c>
      <c r="Q1276" s="43">
        <v>0</v>
      </c>
      <c r="R1276" s="43">
        <v>0</v>
      </c>
      <c r="S1276" s="43">
        <v>0</v>
      </c>
      <c r="T1276" s="43">
        <v>0</v>
      </c>
      <c r="U1276" s="56"/>
    </row>
    <row r="1277" spans="1:21" ht="17.25" customHeight="1" x14ac:dyDescent="0.3">
      <c r="A1277" s="15" t="s">
        <v>30</v>
      </c>
      <c r="C1277" s="19"/>
      <c r="D1277" s="33" t="str">
        <f t="shared" si="304"/>
        <v>E100021</v>
      </c>
      <c r="E1277" s="33"/>
      <c r="F1277" s="34"/>
      <c r="G1277" s="34" t="str">
        <f>"""NAV Direct"",""CRONUS JetCorp USA"",""32"",""1"",""153167"""</f>
        <v>"NAV Direct","CRONUS JetCorp USA","32","1","153167"</v>
      </c>
      <c r="H1277" s="40">
        <v>43470</v>
      </c>
      <c r="I1277" s="41">
        <v>153167</v>
      </c>
      <c r="J1277" s="42" t="str">
        <f>"Customer"</f>
        <v>Customer</v>
      </c>
      <c r="K1277" s="42" t="str">
        <f>"C100136"</f>
        <v>C100136</v>
      </c>
      <c r="L1277" s="42" t="str">
        <f>IF($J1277="Customer",_xll.NL("first",$J1277,"Name","No.","@@"&amp;$K1277),"")</f>
        <v>First Bank</v>
      </c>
      <c r="M1277" s="42" t="str">
        <f>""</f>
        <v/>
      </c>
      <c r="N1277" s="42" t="str">
        <f>IF($J1277="Item",_xll.NL("first",$J1277,"Description","No.","@@"&amp;$K1277),"")</f>
        <v/>
      </c>
      <c r="O1277" s="43">
        <v>0</v>
      </c>
      <c r="P1277" s="43">
        <v>-144</v>
      </c>
      <c r="Q1277" s="43">
        <v>0</v>
      </c>
      <c r="R1277" s="43">
        <v>0</v>
      </c>
      <c r="S1277" s="43">
        <v>0</v>
      </c>
      <c r="T1277" s="43">
        <v>0</v>
      </c>
      <c r="U1277" s="56"/>
    </row>
    <row r="1278" spans="1:21" ht="17.25" customHeight="1" x14ac:dyDescent="0.3">
      <c r="A1278" s="15" t="s">
        <v>30</v>
      </c>
      <c r="C1278" s="19"/>
      <c r="D1278" s="33" t="str">
        <f t="shared" si="304"/>
        <v>E100021</v>
      </c>
      <c r="E1278" s="33"/>
      <c r="F1278" s="34"/>
      <c r="G1278" s="34" t="str">
        <f>"""NAV Direct"",""CRONUS JetCorp USA"",""32"",""1"",""12461"""</f>
        <v>"NAV Direct","CRONUS JetCorp USA","32","1","12461"</v>
      </c>
      <c r="H1278" s="40">
        <v>43471</v>
      </c>
      <c r="I1278" s="41">
        <v>12461</v>
      </c>
      <c r="J1278" s="42" t="str">
        <f>"Customer"</f>
        <v>Customer</v>
      </c>
      <c r="K1278" s="42" t="str">
        <f>"C100041"</f>
        <v>C100041</v>
      </c>
      <c r="L1278" s="42" t="str">
        <f>IF($J1278="Customer",_xll.NL("first",$J1278,"Name","No.","@@"&amp;$K1278),"")</f>
        <v>Heimilisprydi</v>
      </c>
      <c r="M1278" s="42" t="str">
        <f>""</f>
        <v/>
      </c>
      <c r="N1278" s="42" t="str">
        <f>IF($J1278="Item",_xll.NL("first",$J1278,"Description","No.","@@"&amp;$K1278),"")</f>
        <v/>
      </c>
      <c r="O1278" s="43">
        <v>0</v>
      </c>
      <c r="P1278" s="43">
        <v>-144</v>
      </c>
      <c r="Q1278" s="43">
        <v>0</v>
      </c>
      <c r="R1278" s="43">
        <v>0</v>
      </c>
      <c r="S1278" s="43">
        <v>0</v>
      </c>
      <c r="T1278" s="43">
        <v>0</v>
      </c>
      <c r="U1278" s="56"/>
    </row>
    <row r="1279" spans="1:21" ht="17.25" customHeight="1" x14ac:dyDescent="0.3">
      <c r="A1279" s="15" t="s">
        <v>30</v>
      </c>
      <c r="C1279" s="19"/>
      <c r="D1279" s="33" t="str">
        <f t="shared" si="304"/>
        <v>E100021</v>
      </c>
      <c r="E1279" s="33"/>
      <c r="F1279" s="34"/>
      <c r="G1279" s="34" t="str">
        <f>"""NAV Direct"",""CRONUS JetCorp USA"",""32"",""1"",""64609"""</f>
        <v>"NAV Direct","CRONUS JetCorp USA","32","1","64609"</v>
      </c>
      <c r="H1279" s="40">
        <v>43472</v>
      </c>
      <c r="I1279" s="41">
        <v>64609</v>
      </c>
      <c r="J1279" s="42" t="str">
        <f>"Customer"</f>
        <v>Customer</v>
      </c>
      <c r="K1279" s="42" t="str">
        <f>"C100140"</f>
        <v>C100140</v>
      </c>
      <c r="L1279" s="42" t="str">
        <f>IF($J1279="Customer",_xll.NL("first",$J1279,"Name","No.","@@"&amp;$K1279),"")</f>
        <v>Super Daves</v>
      </c>
      <c r="M1279" s="42" t="str">
        <f>""</f>
        <v/>
      </c>
      <c r="N1279" s="42" t="str">
        <f>IF($J1279="Item",_xll.NL("first",$J1279,"Description","No.","@@"&amp;$K1279),"")</f>
        <v/>
      </c>
      <c r="O1279" s="43">
        <v>0</v>
      </c>
      <c r="P1279" s="43">
        <v>-1</v>
      </c>
      <c r="Q1279" s="43">
        <v>0</v>
      </c>
      <c r="R1279" s="43">
        <v>0</v>
      </c>
      <c r="S1279" s="43">
        <v>0</v>
      </c>
      <c r="T1279" s="43">
        <v>0</v>
      </c>
      <c r="U1279" s="56"/>
    </row>
    <row r="1280" spans="1:21" ht="17.25" customHeight="1" x14ac:dyDescent="0.3">
      <c r="A1280" s="15" t="s">
        <v>30</v>
      </c>
      <c r="C1280" s="19"/>
      <c r="D1280" s="33" t="str">
        <f t="shared" si="304"/>
        <v>E100021</v>
      </c>
      <c r="E1280" s="33"/>
      <c r="F1280" s="34"/>
      <c r="G1280" s="34" t="str">
        <f>"""NAV Direct"",""CRONUS JetCorp USA"",""32"",""1"",""111283"""</f>
        <v>"NAV Direct","CRONUS JetCorp USA","32","1","111283"</v>
      </c>
      <c r="H1280" s="40">
        <v>43472</v>
      </c>
      <c r="I1280" s="41">
        <v>111283</v>
      </c>
      <c r="J1280" s="42" t="str">
        <f>"Customer"</f>
        <v>Customer</v>
      </c>
      <c r="K1280" s="42" t="str">
        <f>"C100099"</f>
        <v>C100099</v>
      </c>
      <c r="L1280" s="42" t="str">
        <f>IF($J1280="Customer",_xll.NL("first",$J1280,"Name","No.","@@"&amp;$K1280),"")</f>
        <v>Voltive Systems</v>
      </c>
      <c r="M1280" s="42" t="str">
        <f>""</f>
        <v/>
      </c>
      <c r="N1280" s="42" t="str">
        <f>IF($J1280="Item",_xll.NL("first",$J1280,"Description","No.","@@"&amp;$K1280),"")</f>
        <v/>
      </c>
      <c r="O1280" s="43">
        <v>0</v>
      </c>
      <c r="P1280" s="43">
        <v>-24</v>
      </c>
      <c r="Q1280" s="43">
        <v>0</v>
      </c>
      <c r="R1280" s="43">
        <v>0</v>
      </c>
      <c r="S1280" s="43">
        <v>0</v>
      </c>
      <c r="T1280" s="43">
        <v>0</v>
      </c>
      <c r="U1280" s="56"/>
    </row>
    <row r="1281" spans="1:21" ht="17.25" customHeight="1" x14ac:dyDescent="0.3">
      <c r="A1281" s="15" t="s">
        <v>30</v>
      </c>
      <c r="C1281" s="19"/>
      <c r="D1281" s="33" t="str">
        <f t="shared" si="304"/>
        <v>E100021</v>
      </c>
      <c r="E1281" s="33"/>
      <c r="F1281" s="34"/>
      <c r="G1281" s="34" t="str">
        <f>"""NAV Direct"",""CRONUS JetCorp USA"",""32"",""1"",""111307"""</f>
        <v>"NAV Direct","CRONUS JetCorp USA","32","1","111307"</v>
      </c>
      <c r="H1281" s="40">
        <v>43472</v>
      </c>
      <c r="I1281" s="41">
        <v>111307</v>
      </c>
      <c r="J1281" s="42" t="str">
        <f>"Customer"</f>
        <v>Customer</v>
      </c>
      <c r="K1281" s="42" t="str">
        <f>"C100099"</f>
        <v>C100099</v>
      </c>
      <c r="L1281" s="42" t="str">
        <f>IF($J1281="Customer",_xll.NL("first",$J1281,"Name","No.","@@"&amp;$K1281),"")</f>
        <v>Voltive Systems</v>
      </c>
      <c r="M1281" s="42" t="str">
        <f>""</f>
        <v/>
      </c>
      <c r="N1281" s="42" t="str">
        <f>IF($J1281="Item",_xll.NL("first",$J1281,"Description","No.","@@"&amp;$K1281),"")</f>
        <v/>
      </c>
      <c r="O1281" s="43">
        <v>0</v>
      </c>
      <c r="P1281" s="43">
        <v>-1</v>
      </c>
      <c r="Q1281" s="43">
        <v>0</v>
      </c>
      <c r="R1281" s="43">
        <v>0</v>
      </c>
      <c r="S1281" s="43">
        <v>0</v>
      </c>
      <c r="T1281" s="43">
        <v>0</v>
      </c>
      <c r="U1281" s="56"/>
    </row>
    <row r="1282" spans="1:21" ht="17.25" customHeight="1" x14ac:dyDescent="0.3">
      <c r="A1282" s="15" t="s">
        <v>30</v>
      </c>
      <c r="C1282" s="19"/>
      <c r="D1282" s="33" t="str">
        <f t="shared" si="304"/>
        <v>E100021</v>
      </c>
      <c r="E1282" s="33"/>
      <c r="F1282" s="34"/>
      <c r="G1282" s="34" t="str">
        <f>"""NAV Direct"",""CRONUS JetCorp USA"",""32"",""1"",""3906"""</f>
        <v>"NAV Direct","CRONUS JetCorp USA","32","1","3906"</v>
      </c>
      <c r="H1282" s="40">
        <v>43473</v>
      </c>
      <c r="I1282" s="41">
        <v>3906</v>
      </c>
      <c r="J1282" s="42" t="str">
        <f>"Customer"</f>
        <v>Customer</v>
      </c>
      <c r="K1282" s="42" t="str">
        <f>"C100037"</f>
        <v>C100037</v>
      </c>
      <c r="L1282" s="42" t="str">
        <f>IF($J1282="Customer",_xll.NL("first",$J1282,"Name","No.","@@"&amp;$K1282),"")</f>
        <v>Tempsons Tropies</v>
      </c>
      <c r="M1282" s="42" t="str">
        <f>""</f>
        <v/>
      </c>
      <c r="N1282" s="42" t="str">
        <f>IF($J1282="Item",_xll.NL("first",$J1282,"Description","No.","@@"&amp;$K1282),"")</f>
        <v/>
      </c>
      <c r="O1282" s="43">
        <v>0</v>
      </c>
      <c r="P1282" s="43">
        <v>-1</v>
      </c>
      <c r="Q1282" s="43">
        <v>0</v>
      </c>
      <c r="R1282" s="43">
        <v>0</v>
      </c>
      <c r="S1282" s="43">
        <v>0</v>
      </c>
      <c r="T1282" s="43">
        <v>0</v>
      </c>
      <c r="U1282" s="56"/>
    </row>
    <row r="1283" spans="1:21" ht="17.25" customHeight="1" x14ac:dyDescent="0.3">
      <c r="A1283" s="15" t="s">
        <v>30</v>
      </c>
      <c r="C1283" s="19"/>
      <c r="D1283" s="33" t="str">
        <f t="shared" si="304"/>
        <v>E100021</v>
      </c>
      <c r="E1283" s="33"/>
      <c r="F1283" s="34"/>
      <c r="G1283" s="34" t="str">
        <f>"""NAV Direct"",""CRONUS JetCorp USA"",""32"",""1"",""44522"""</f>
        <v>"NAV Direct","CRONUS JetCorp USA","32","1","44522"</v>
      </c>
      <c r="H1283" s="40">
        <v>43473</v>
      </c>
      <c r="I1283" s="41">
        <v>44522</v>
      </c>
      <c r="J1283" s="42" t="str">
        <f>"Customer"</f>
        <v>Customer</v>
      </c>
      <c r="K1283" s="42" t="str">
        <f>"C100139"</f>
        <v>C100139</v>
      </c>
      <c r="L1283" s="42" t="str">
        <f>IF($J1283="Customer",_xll.NL("first",$J1283,"Name","No.","@@"&amp;$K1283),"")</f>
        <v>Gamma Ray's</v>
      </c>
      <c r="M1283" s="42" t="str">
        <f>""</f>
        <v/>
      </c>
      <c r="N1283" s="42" t="str">
        <f>IF($J1283="Item",_xll.NL("first",$J1283,"Description","No.","@@"&amp;$K1283),"")</f>
        <v/>
      </c>
      <c r="O1283" s="43">
        <v>0</v>
      </c>
      <c r="P1283" s="43">
        <v>-144</v>
      </c>
      <c r="Q1283" s="43">
        <v>0</v>
      </c>
      <c r="R1283" s="43">
        <v>0</v>
      </c>
      <c r="S1283" s="43">
        <v>0</v>
      </c>
      <c r="T1283" s="43">
        <v>0</v>
      </c>
      <c r="U1283" s="56"/>
    </row>
    <row r="1284" spans="1:21" ht="17.25" customHeight="1" x14ac:dyDescent="0.3">
      <c r="A1284" s="15" t="s">
        <v>30</v>
      </c>
      <c r="C1284" s="19"/>
      <c r="D1284" s="33" t="str">
        <f t="shared" si="304"/>
        <v>E100021</v>
      </c>
      <c r="E1284" s="33"/>
      <c r="F1284" s="34"/>
      <c r="G1284" s="34" t="str">
        <f>"""NAV Direct"",""CRONUS JetCorp USA"",""32"",""1"",""114286"""</f>
        <v>"NAV Direct","CRONUS JetCorp USA","32","1","114286"</v>
      </c>
      <c r="H1284" s="40">
        <v>43473</v>
      </c>
      <c r="I1284" s="41">
        <v>114286</v>
      </c>
      <c r="J1284" s="42" t="str">
        <f>"Customer"</f>
        <v>Customer</v>
      </c>
      <c r="K1284" s="42" t="str">
        <f>"C100083"</f>
        <v>C100083</v>
      </c>
      <c r="L1284" s="42" t="str">
        <f>IF($J1284="Customer",_xll.NL("first",$J1284,"Name","No.","@@"&amp;$K1284),"")</f>
        <v>Stanfords</v>
      </c>
      <c r="M1284" s="42" t="str">
        <f>""</f>
        <v/>
      </c>
      <c r="N1284" s="42" t="str">
        <f>IF($J1284="Item",_xll.NL("first",$J1284,"Description","No.","@@"&amp;$K1284),"")</f>
        <v/>
      </c>
      <c r="O1284" s="43">
        <v>0</v>
      </c>
      <c r="P1284" s="43">
        <v>-48</v>
      </c>
      <c r="Q1284" s="43">
        <v>0</v>
      </c>
      <c r="R1284" s="43">
        <v>0</v>
      </c>
      <c r="S1284" s="43">
        <v>0</v>
      </c>
      <c r="T1284" s="43">
        <v>0</v>
      </c>
      <c r="U1284" s="56"/>
    </row>
    <row r="1285" spans="1:21" ht="17.25" customHeight="1" x14ac:dyDescent="0.3">
      <c r="A1285" s="15" t="s">
        <v>30</v>
      </c>
      <c r="C1285" s="19"/>
      <c r="D1285" s="33" t="str">
        <f t="shared" si="304"/>
        <v>E100021</v>
      </c>
      <c r="E1285" s="33"/>
      <c r="F1285" s="34"/>
      <c r="G1285" s="34" t="str">
        <f>"""NAV Direct"",""CRONUS JetCorp USA"",""32"",""1"",""54700"""</f>
        <v>"NAV Direct","CRONUS JetCorp USA","32","1","54700"</v>
      </c>
      <c r="H1285" s="40">
        <v>43474</v>
      </c>
      <c r="I1285" s="41">
        <v>54700</v>
      </c>
      <c r="J1285" s="42" t="str">
        <f>"Customer"</f>
        <v>Customer</v>
      </c>
      <c r="K1285" s="42" t="str">
        <f>"C100096"</f>
        <v>C100096</v>
      </c>
      <c r="L1285" s="42" t="str">
        <f>IF($J1285="Customer",_xll.NL("first",$J1285,"Name","No.","@@"&amp;$K1285),"")</f>
        <v>D-Com Industries</v>
      </c>
      <c r="M1285" s="42" t="str">
        <f>""</f>
        <v/>
      </c>
      <c r="N1285" s="42" t="str">
        <f>IF($J1285="Item",_xll.NL("first",$J1285,"Description","No.","@@"&amp;$K1285),"")</f>
        <v/>
      </c>
      <c r="O1285" s="43">
        <v>0</v>
      </c>
      <c r="P1285" s="43">
        <v>-144</v>
      </c>
      <c r="Q1285" s="43">
        <v>0</v>
      </c>
      <c r="R1285" s="43">
        <v>0</v>
      </c>
      <c r="S1285" s="43">
        <v>0</v>
      </c>
      <c r="T1285" s="43">
        <v>0</v>
      </c>
      <c r="U1285" s="56"/>
    </row>
    <row r="1286" spans="1:21" ht="17.25" customHeight="1" x14ac:dyDescent="0.3">
      <c r="A1286" s="15" t="s">
        <v>30</v>
      </c>
      <c r="C1286" s="19"/>
      <c r="D1286" s="33" t="str">
        <f t="shared" si="304"/>
        <v>E100021</v>
      </c>
      <c r="E1286" s="33"/>
      <c r="F1286" s="34"/>
      <c r="G1286" s="34" t="str">
        <f>"""NAV Direct"",""CRONUS JetCorp USA"",""32"",""1"",""114280"""</f>
        <v>"NAV Direct","CRONUS JetCorp USA","32","1","114280"</v>
      </c>
      <c r="H1286" s="40">
        <v>43474</v>
      </c>
      <c r="I1286" s="41">
        <v>114280</v>
      </c>
      <c r="J1286" s="42" t="str">
        <f>"Customer"</f>
        <v>Customer</v>
      </c>
      <c r="K1286" s="42" t="str">
        <f>"C100076"</f>
        <v>C100076</v>
      </c>
      <c r="L1286" s="42" t="str">
        <f>IF($J1286="Customer",_xll.NL("first",$J1286,"Name","No.","@@"&amp;$K1286),"")</f>
        <v>Showmasters</v>
      </c>
      <c r="M1286" s="42" t="str">
        <f>""</f>
        <v/>
      </c>
      <c r="N1286" s="42" t="str">
        <f>IF($J1286="Item",_xll.NL("first",$J1286,"Description","No.","@@"&amp;$K1286),"")</f>
        <v/>
      </c>
      <c r="O1286" s="43">
        <v>0</v>
      </c>
      <c r="P1286" s="43">
        <v>-6</v>
      </c>
      <c r="Q1286" s="43">
        <v>0</v>
      </c>
      <c r="R1286" s="43">
        <v>0</v>
      </c>
      <c r="S1286" s="43">
        <v>0</v>
      </c>
      <c r="T1286" s="43">
        <v>0</v>
      </c>
      <c r="U1286" s="56"/>
    </row>
    <row r="1287" spans="1:21" ht="17.25" customHeight="1" x14ac:dyDescent="0.3">
      <c r="A1287" s="15" t="s">
        <v>30</v>
      </c>
      <c r="C1287" s="19"/>
      <c r="D1287" s="33" t="str">
        <f t="shared" si="304"/>
        <v>E100021</v>
      </c>
      <c r="E1287" s="33"/>
      <c r="F1287" s="34"/>
      <c r="G1287" s="34" t="str">
        <f>"""NAV Direct"",""CRONUS JetCorp USA"",""32"",""1"",""159979"""</f>
        <v>"NAV Direct","CRONUS JetCorp USA","32","1","159979"</v>
      </c>
      <c r="H1287" s="40">
        <v>43474</v>
      </c>
      <c r="I1287" s="41">
        <v>159979</v>
      </c>
      <c r="J1287" s="42" t="str">
        <f>"Customer"</f>
        <v>Customer</v>
      </c>
      <c r="K1287" s="42" t="str">
        <f>"C100107"</f>
        <v>C100107</v>
      </c>
      <c r="L1287" s="42" t="str">
        <f>IF($J1287="Customer",_xll.NL("first",$J1287,"Name","No.","@@"&amp;$K1287),"")</f>
        <v>Lexitechnology</v>
      </c>
      <c r="M1287" s="42" t="str">
        <f>""</f>
        <v/>
      </c>
      <c r="N1287" s="42" t="str">
        <f>IF($J1287="Item",_xll.NL("first",$J1287,"Description","No.","@@"&amp;$K1287),"")</f>
        <v/>
      </c>
      <c r="O1287" s="43">
        <v>0</v>
      </c>
      <c r="P1287" s="43">
        <v>24</v>
      </c>
      <c r="Q1287" s="43">
        <v>0</v>
      </c>
      <c r="R1287" s="43">
        <v>0</v>
      </c>
      <c r="S1287" s="43">
        <v>0</v>
      </c>
      <c r="T1287" s="43">
        <v>0</v>
      </c>
      <c r="U1287" s="56"/>
    </row>
    <row r="1288" spans="1:21" ht="17.25" customHeight="1" x14ac:dyDescent="0.3">
      <c r="A1288" s="15" t="s">
        <v>30</v>
      </c>
      <c r="C1288" s="19"/>
      <c r="D1288" s="33" t="str">
        <f t="shared" si="304"/>
        <v>E100021</v>
      </c>
      <c r="E1288" s="33"/>
      <c r="F1288" s="34"/>
      <c r="G1288" s="34" t="str">
        <f>"""NAV Direct"",""CRONUS JetCorp USA"",""32"",""1"",""3925"""</f>
        <v>"NAV Direct","CRONUS JetCorp USA","32","1","3925"</v>
      </c>
      <c r="H1288" s="40">
        <v>43475</v>
      </c>
      <c r="I1288" s="41">
        <v>3925</v>
      </c>
      <c r="J1288" s="42" t="str">
        <f>"Customer"</f>
        <v>Customer</v>
      </c>
      <c r="K1288" s="42" t="str">
        <f>"C100099"</f>
        <v>C100099</v>
      </c>
      <c r="L1288" s="42" t="str">
        <f>IF($J1288="Customer",_xll.NL("first",$J1288,"Name","No.","@@"&amp;$K1288),"")</f>
        <v>Voltive Systems</v>
      </c>
      <c r="M1288" s="42" t="str">
        <f>""</f>
        <v/>
      </c>
      <c r="N1288" s="42" t="str">
        <f>IF($J1288="Item",_xll.NL("first",$J1288,"Description","No.","@@"&amp;$K1288),"")</f>
        <v/>
      </c>
      <c r="O1288" s="43">
        <v>0</v>
      </c>
      <c r="P1288" s="43">
        <v>-144</v>
      </c>
      <c r="Q1288" s="43">
        <v>0</v>
      </c>
      <c r="R1288" s="43">
        <v>0</v>
      </c>
      <c r="S1288" s="43">
        <v>0</v>
      </c>
      <c r="T1288" s="43">
        <v>0</v>
      </c>
      <c r="U1288" s="56"/>
    </row>
    <row r="1289" spans="1:21" ht="17.25" customHeight="1" x14ac:dyDescent="0.3">
      <c r="A1289" s="15" t="s">
        <v>30</v>
      </c>
      <c r="C1289" s="19"/>
      <c r="D1289" s="33" t="str">
        <f t="shared" si="304"/>
        <v>E100021</v>
      </c>
      <c r="E1289" s="33"/>
      <c r="F1289" s="34"/>
      <c r="G1289" s="34" t="str">
        <f>"""NAV Direct"",""CRONUS JetCorp USA"",""32"",""1"",""7569"""</f>
        <v>"NAV Direct","CRONUS JetCorp USA","32","1","7569"</v>
      </c>
      <c r="H1289" s="40">
        <v>43477</v>
      </c>
      <c r="I1289" s="41">
        <v>7569</v>
      </c>
      <c r="J1289" s="42" t="str">
        <f>"Customer"</f>
        <v>Customer</v>
      </c>
      <c r="K1289" s="42" t="str">
        <f>"C100076"</f>
        <v>C100076</v>
      </c>
      <c r="L1289" s="42" t="str">
        <f>IF($J1289="Customer",_xll.NL("first",$J1289,"Name","No.","@@"&amp;$K1289),"")</f>
        <v>Showmasters</v>
      </c>
      <c r="M1289" s="42" t="str">
        <f>""</f>
        <v/>
      </c>
      <c r="N1289" s="42" t="str">
        <f>IF($J1289="Item",_xll.NL("first",$J1289,"Description","No.","@@"&amp;$K1289),"")</f>
        <v/>
      </c>
      <c r="O1289" s="43">
        <v>0</v>
      </c>
      <c r="P1289" s="43">
        <v>-144</v>
      </c>
      <c r="Q1289" s="43">
        <v>0</v>
      </c>
      <c r="R1289" s="43">
        <v>0</v>
      </c>
      <c r="S1289" s="43">
        <v>0</v>
      </c>
      <c r="T1289" s="43">
        <v>0</v>
      </c>
      <c r="U1289" s="56"/>
    </row>
    <row r="1290" spans="1:21" ht="17.25" customHeight="1" x14ac:dyDescent="0.3">
      <c r="A1290" s="15" t="s">
        <v>30</v>
      </c>
      <c r="C1290" s="19"/>
      <c r="D1290" s="33" t="str">
        <f t="shared" si="304"/>
        <v>E100021</v>
      </c>
      <c r="E1290" s="33"/>
      <c r="F1290" s="34"/>
      <c r="G1290" s="34" t="str">
        <f>"""NAV Direct"",""CRONUS JetCorp USA"",""32"",""1"",""10236"""</f>
        <v>"NAV Direct","CRONUS JetCorp USA","32","1","10236"</v>
      </c>
      <c r="H1290" s="40">
        <v>43477</v>
      </c>
      <c r="I1290" s="41">
        <v>10236</v>
      </c>
      <c r="J1290" s="42" t="str">
        <f>"Customer"</f>
        <v>Customer</v>
      </c>
      <c r="K1290" s="42" t="str">
        <f>"C100054"</f>
        <v>C100054</v>
      </c>
      <c r="L1290" s="42" t="str">
        <f>IF($J1290="Customer",_xll.NL("first",$J1290,"Name","No.","@@"&amp;$K1290),"")</f>
        <v>London Candoxy Storage Campus</v>
      </c>
      <c r="M1290" s="42" t="str">
        <f>""</f>
        <v/>
      </c>
      <c r="N1290" s="42" t="str">
        <f>IF($J1290="Item",_xll.NL("first",$J1290,"Description","No.","@@"&amp;$K1290),"")</f>
        <v/>
      </c>
      <c r="O1290" s="43">
        <v>0</v>
      </c>
      <c r="P1290" s="43">
        <v>-1</v>
      </c>
      <c r="Q1290" s="43">
        <v>0</v>
      </c>
      <c r="R1290" s="43">
        <v>0</v>
      </c>
      <c r="S1290" s="43">
        <v>0</v>
      </c>
      <c r="T1290" s="43">
        <v>0</v>
      </c>
      <c r="U1290" s="56"/>
    </row>
    <row r="1291" spans="1:21" ht="17.25" customHeight="1" x14ac:dyDescent="0.3">
      <c r="A1291" s="15" t="s">
        <v>30</v>
      </c>
      <c r="C1291" s="19"/>
      <c r="D1291" s="33"/>
      <c r="E1291" s="33"/>
      <c r="F1291" s="34"/>
      <c r="G1291" s="34"/>
      <c r="H1291" s="34"/>
      <c r="I1291" s="34"/>
      <c r="J1291" s="34"/>
      <c r="K1291" s="34"/>
      <c r="L1291" s="34"/>
      <c r="M1291" s="34"/>
      <c r="N1291" s="34"/>
      <c r="O1291" s="44"/>
      <c r="P1291" s="44"/>
      <c r="Q1291" s="44"/>
      <c r="R1291" s="44"/>
      <c r="S1291" s="44"/>
      <c r="T1291" s="44"/>
      <c r="U1291" s="57"/>
    </row>
    <row r="1292" spans="1:21" ht="17.25" customHeight="1" x14ac:dyDescent="0.3">
      <c r="A1292" s="15" t="s">
        <v>30</v>
      </c>
      <c r="C1292" s="19"/>
      <c r="D1292" s="33"/>
      <c r="E1292" s="33" t="s">
        <v>31</v>
      </c>
      <c r="F1292" s="34" t="s">
        <v>31</v>
      </c>
      <c r="G1292" s="34" t="s">
        <v>31</v>
      </c>
      <c r="H1292" s="34"/>
      <c r="I1292" s="34"/>
      <c r="J1292" s="34" t="s">
        <v>31</v>
      </c>
      <c r="K1292" s="34" t="s">
        <v>31</v>
      </c>
      <c r="L1292" s="34" t="s">
        <v>31</v>
      </c>
      <c r="M1292" s="34" t="s">
        <v>31</v>
      </c>
      <c r="N1292" s="34"/>
      <c r="U1292" s="58"/>
    </row>
    <row r="1293" spans="1:21" ht="20.25" customHeight="1" x14ac:dyDescent="0.35">
      <c r="A1293" s="15" t="s">
        <v>30</v>
      </c>
      <c r="C1293" s="19"/>
      <c r="D1293" s="35" t="str">
        <f t="shared" ref="D1293" si="305">E1293</f>
        <v>E100022</v>
      </c>
      <c r="E1293" s="36" t="str">
        <f>"E100022"</f>
        <v>E100022</v>
      </c>
      <c r="F1293" s="37" t="str">
        <f>"Wide Screen Alarm Clock"</f>
        <v>Wide Screen Alarm Clock</v>
      </c>
      <c r="G1293" s="37"/>
      <c r="H1293" s="38" t="str">
        <f>"EA"</f>
        <v>EA</v>
      </c>
      <c r="I1293" s="37"/>
      <c r="J1293" s="37"/>
      <c r="K1293" s="37"/>
      <c r="L1293" s="37"/>
      <c r="M1293" s="37"/>
      <c r="N1293" s="37"/>
      <c r="O1293" s="39">
        <f>(SUBTOTAL(9,O1294:O1321))</f>
        <v>4800</v>
      </c>
      <c r="P1293" s="39">
        <f>(SUBTOTAL(9,P1294:P1321))</f>
        <v>-1872</v>
      </c>
      <c r="Q1293" s="39">
        <f>(SUBTOTAL(9,Q1294:Q1321))</f>
        <v>0</v>
      </c>
      <c r="R1293" s="39">
        <f>(SUBTOTAL(9,R1294:R1321))</f>
        <v>0</v>
      </c>
      <c r="S1293" s="39">
        <f>(SUBTOTAL(9,S1294:S1321))</f>
        <v>0</v>
      </c>
      <c r="T1293" s="39">
        <f>(SUBTOTAL(9,T1294:T1321))</f>
        <v>0</v>
      </c>
      <c r="U1293" s="55">
        <f t="shared" ref="U1293" si="306">SUBTOTAL(9,O1294:T1321)</f>
        <v>2928</v>
      </c>
    </row>
    <row r="1294" spans="1:21" ht="17.25" customHeight="1" x14ac:dyDescent="0.3">
      <c r="A1294" s="15" t="s">
        <v>30</v>
      </c>
      <c r="C1294" s="19"/>
      <c r="D1294" s="33" t="str">
        <f t="shared" ref="D1294" si="307">D1293</f>
        <v>E100022</v>
      </c>
      <c r="E1294" s="33"/>
      <c r="F1294" s="34"/>
      <c r="G1294" s="34" t="str">
        <f>"""NAV Direct"",""CRONUS JetCorp USA"",""32"",""1"",""167509"""</f>
        <v>"NAV Direct","CRONUS JetCorp USA","32","1","167509"</v>
      </c>
      <c r="H1294" s="40">
        <v>43466</v>
      </c>
      <c r="I1294" s="41">
        <v>167509</v>
      </c>
      <c r="J1294" s="42" t="str">
        <f>"Vendor"</f>
        <v>Vendor</v>
      </c>
      <c r="K1294" s="42" t="str">
        <f>"V100009"</f>
        <v>V100009</v>
      </c>
      <c r="L1294" s="42" t="str">
        <f>IF($J1294="Customer",_xll.NL("first",$J1294,"Name","No.","@@"&amp;$K1294),"")</f>
        <v/>
      </c>
      <c r="M1294" s="42" t="str">
        <f>"Malay-Dan Export Unit Sdn Bhd"</f>
        <v>Malay-Dan Export Unit Sdn Bhd</v>
      </c>
      <c r="N1294" s="42" t="str">
        <f>IF($J1294="Item",_xll.NL("first",$J1294,"Description","No.","@@"&amp;$K1294),"")</f>
        <v/>
      </c>
      <c r="O1294" s="43">
        <v>200</v>
      </c>
      <c r="P1294" s="43">
        <v>0</v>
      </c>
      <c r="Q1294" s="43">
        <v>0</v>
      </c>
      <c r="R1294" s="43">
        <v>0</v>
      </c>
      <c r="S1294" s="43">
        <v>0</v>
      </c>
      <c r="T1294" s="43">
        <v>0</v>
      </c>
      <c r="U1294" s="56"/>
    </row>
    <row r="1295" spans="1:21" ht="17.25" customHeight="1" x14ac:dyDescent="0.3">
      <c r="A1295" s="15" t="s">
        <v>30</v>
      </c>
      <c r="C1295" s="19"/>
      <c r="D1295" s="33" t="str">
        <f t="shared" ref="D1295:D1320" si="308">D1294</f>
        <v>E100022</v>
      </c>
      <c r="E1295" s="33"/>
      <c r="F1295" s="34"/>
      <c r="G1295" s="34" t="str">
        <f>"""NAV Direct"",""CRONUS JetCorp USA"",""32"",""1"",""167526"""</f>
        <v>"NAV Direct","CRONUS JetCorp USA","32","1","167526"</v>
      </c>
      <c r="H1295" s="40">
        <v>43466</v>
      </c>
      <c r="I1295" s="41">
        <v>167526</v>
      </c>
      <c r="J1295" s="42" t="str">
        <f>"Vendor"</f>
        <v>Vendor</v>
      </c>
      <c r="K1295" s="42" t="str">
        <f>"V100040"</f>
        <v>V100040</v>
      </c>
      <c r="L1295" s="42" t="str">
        <f>IF($J1295="Customer",_xll.NL("first",$J1295,"Name","No.","@@"&amp;$K1295),"")</f>
        <v/>
      </c>
      <c r="M1295" s="42" t="str">
        <f>"Technische Betriebe Rotkreuz"</f>
        <v>Technische Betriebe Rotkreuz</v>
      </c>
      <c r="N1295" s="42" t="str">
        <f>IF($J1295="Item",_xll.NL("first",$J1295,"Description","No.","@@"&amp;$K1295),"")</f>
        <v/>
      </c>
      <c r="O1295" s="43">
        <v>800</v>
      </c>
      <c r="P1295" s="43">
        <v>0</v>
      </c>
      <c r="Q1295" s="43">
        <v>0</v>
      </c>
      <c r="R1295" s="43">
        <v>0</v>
      </c>
      <c r="S1295" s="43">
        <v>0</v>
      </c>
      <c r="T1295" s="43">
        <v>0</v>
      </c>
      <c r="U1295" s="56"/>
    </row>
    <row r="1296" spans="1:21" ht="17.25" customHeight="1" x14ac:dyDescent="0.3">
      <c r="A1296" s="15" t="s">
        <v>30</v>
      </c>
      <c r="C1296" s="19"/>
      <c r="D1296" s="33" t="str">
        <f t="shared" si="308"/>
        <v>E100022</v>
      </c>
      <c r="E1296" s="33"/>
      <c r="F1296" s="34"/>
      <c r="G1296" s="34" t="str">
        <f>"""NAV Direct"",""CRONUS JetCorp USA"",""32"",""1"",""167543"""</f>
        <v>"NAV Direct","CRONUS JetCorp USA","32","1","167543"</v>
      </c>
      <c r="H1296" s="40">
        <v>43466</v>
      </c>
      <c r="I1296" s="41">
        <v>167543</v>
      </c>
      <c r="J1296" s="42" t="str">
        <f>"Vendor"</f>
        <v>Vendor</v>
      </c>
      <c r="K1296" s="42" t="str">
        <f>"V100001"</f>
        <v>V100001</v>
      </c>
      <c r="L1296" s="42" t="str">
        <f>IF($J1296="Customer",_xll.NL("first",$J1296,"Name","No.","@@"&amp;$K1296),"")</f>
        <v/>
      </c>
      <c r="M1296" s="42" t="str">
        <f>"Greigner, Inc."</f>
        <v>Greigner, Inc.</v>
      </c>
      <c r="N1296" s="42" t="str">
        <f>IF($J1296="Item",_xll.NL("first",$J1296,"Description","No.","@@"&amp;$K1296),"")</f>
        <v/>
      </c>
      <c r="O1296" s="43">
        <v>200</v>
      </c>
      <c r="P1296" s="43">
        <v>0</v>
      </c>
      <c r="Q1296" s="43">
        <v>0</v>
      </c>
      <c r="R1296" s="43">
        <v>0</v>
      </c>
      <c r="S1296" s="43">
        <v>0</v>
      </c>
      <c r="T1296" s="43">
        <v>0</v>
      </c>
      <c r="U1296" s="56"/>
    </row>
    <row r="1297" spans="1:21" ht="17.25" customHeight="1" x14ac:dyDescent="0.3">
      <c r="A1297" s="15" t="s">
        <v>30</v>
      </c>
      <c r="C1297" s="19"/>
      <c r="D1297" s="33" t="str">
        <f t="shared" si="308"/>
        <v>E100022</v>
      </c>
      <c r="E1297" s="33"/>
      <c r="F1297" s="34"/>
      <c r="G1297" s="34" t="str">
        <f>"""NAV Direct"",""CRONUS JetCorp USA"",""32"",""1"",""167551"""</f>
        <v>"NAV Direct","CRONUS JetCorp USA","32","1","167551"</v>
      </c>
      <c r="H1297" s="40">
        <v>43466</v>
      </c>
      <c r="I1297" s="41">
        <v>167551</v>
      </c>
      <c r="J1297" s="42" t="str">
        <f>"Vendor"</f>
        <v>Vendor</v>
      </c>
      <c r="K1297" s="42" t="str">
        <f>"V100007"</f>
        <v>V100007</v>
      </c>
      <c r="L1297" s="42" t="str">
        <f>IF($J1297="Customer",_xll.NL("first",$J1297,"Name","No.","@@"&amp;$K1297),"")</f>
        <v/>
      </c>
      <c r="M1297" s="42" t="str">
        <f>"TrendTech"</f>
        <v>TrendTech</v>
      </c>
      <c r="N1297" s="42" t="str">
        <f>IF($J1297="Item",_xll.NL("first",$J1297,"Description","No.","@@"&amp;$K1297),"")</f>
        <v/>
      </c>
      <c r="O1297" s="43">
        <v>1200</v>
      </c>
      <c r="P1297" s="43">
        <v>0</v>
      </c>
      <c r="Q1297" s="43">
        <v>0</v>
      </c>
      <c r="R1297" s="43">
        <v>0</v>
      </c>
      <c r="S1297" s="43">
        <v>0</v>
      </c>
      <c r="T1297" s="43">
        <v>0</v>
      </c>
      <c r="U1297" s="56"/>
    </row>
    <row r="1298" spans="1:21" ht="17.25" customHeight="1" x14ac:dyDescent="0.3">
      <c r="A1298" s="15" t="s">
        <v>30</v>
      </c>
      <c r="C1298" s="19"/>
      <c r="D1298" s="33" t="str">
        <f t="shared" si="308"/>
        <v>E100022</v>
      </c>
      <c r="E1298" s="33"/>
      <c r="F1298" s="34"/>
      <c r="G1298" s="34" t="str">
        <f>"""NAV Direct"",""CRONUS JetCorp USA"",""32"",""1"",""167571"""</f>
        <v>"NAV Direct","CRONUS JetCorp USA","32","1","167571"</v>
      </c>
      <c r="H1298" s="40">
        <v>43466</v>
      </c>
      <c r="I1298" s="41">
        <v>167571</v>
      </c>
      <c r="J1298" s="42" t="str">
        <f>"Vendor"</f>
        <v>Vendor</v>
      </c>
      <c r="K1298" s="42" t="str">
        <f>"V100001"</f>
        <v>V100001</v>
      </c>
      <c r="L1298" s="42" t="str">
        <f>IF($J1298="Customer",_xll.NL("first",$J1298,"Name","No.","@@"&amp;$K1298),"")</f>
        <v/>
      </c>
      <c r="M1298" s="42" t="str">
        <f>"Greigner, Inc."</f>
        <v>Greigner, Inc.</v>
      </c>
      <c r="N1298" s="42" t="str">
        <f>IF($J1298="Item",_xll.NL("first",$J1298,"Description","No.","@@"&amp;$K1298),"")</f>
        <v/>
      </c>
      <c r="O1298" s="43">
        <v>400</v>
      </c>
      <c r="P1298" s="43">
        <v>0</v>
      </c>
      <c r="Q1298" s="43">
        <v>0</v>
      </c>
      <c r="R1298" s="43">
        <v>0</v>
      </c>
      <c r="S1298" s="43">
        <v>0</v>
      </c>
      <c r="T1298" s="43">
        <v>0</v>
      </c>
      <c r="U1298" s="56"/>
    </row>
    <row r="1299" spans="1:21" ht="17.25" customHeight="1" x14ac:dyDescent="0.3">
      <c r="A1299" s="15" t="s">
        <v>30</v>
      </c>
      <c r="C1299" s="19"/>
      <c r="D1299" s="33" t="str">
        <f t="shared" si="308"/>
        <v>E100022</v>
      </c>
      <c r="E1299" s="33"/>
      <c r="F1299" s="34"/>
      <c r="G1299" s="34" t="str">
        <f>"""NAV Direct"",""CRONUS JetCorp USA"",""32"",""1"",""167589"""</f>
        <v>"NAV Direct","CRONUS JetCorp USA","32","1","167589"</v>
      </c>
      <c r="H1299" s="40">
        <v>43466</v>
      </c>
      <c r="I1299" s="41">
        <v>167589</v>
      </c>
      <c r="J1299" s="42" t="str">
        <f>"Vendor"</f>
        <v>Vendor</v>
      </c>
      <c r="K1299" s="42" t="str">
        <f>"V100047"</f>
        <v>V100047</v>
      </c>
      <c r="L1299" s="42" t="str">
        <f>IF($J1299="Customer",_xll.NL("first",$J1299,"Name","No.","@@"&amp;$K1299),"")</f>
        <v/>
      </c>
      <c r="M1299" s="42" t="str">
        <f>"WoodMart Supply Co."</f>
        <v>WoodMart Supply Co.</v>
      </c>
      <c r="N1299" s="42" t="str">
        <f>IF($J1299="Item",_xll.NL("first",$J1299,"Description","No.","@@"&amp;$K1299),"")</f>
        <v/>
      </c>
      <c r="O1299" s="43">
        <v>200</v>
      </c>
      <c r="P1299" s="43">
        <v>0</v>
      </c>
      <c r="Q1299" s="43">
        <v>0</v>
      </c>
      <c r="R1299" s="43">
        <v>0</v>
      </c>
      <c r="S1299" s="43">
        <v>0</v>
      </c>
      <c r="T1299" s="43">
        <v>0</v>
      </c>
      <c r="U1299" s="56"/>
    </row>
    <row r="1300" spans="1:21" ht="17.25" customHeight="1" x14ac:dyDescent="0.3">
      <c r="A1300" s="15" t="s">
        <v>30</v>
      </c>
      <c r="C1300" s="19"/>
      <c r="D1300" s="33" t="str">
        <f t="shared" si="308"/>
        <v>E100022</v>
      </c>
      <c r="E1300" s="33"/>
      <c r="F1300" s="34"/>
      <c r="G1300" s="34" t="str">
        <f>"""NAV Direct"",""CRONUS JetCorp USA"",""32"",""1"",""167599"""</f>
        <v>"NAV Direct","CRONUS JetCorp USA","32","1","167599"</v>
      </c>
      <c r="H1300" s="40">
        <v>43466</v>
      </c>
      <c r="I1300" s="41">
        <v>167599</v>
      </c>
      <c r="J1300" s="42" t="str">
        <f>"Vendor"</f>
        <v>Vendor</v>
      </c>
      <c r="K1300" s="42" t="str">
        <f>"V100003"</f>
        <v>V100003</v>
      </c>
      <c r="L1300" s="42" t="str">
        <f>IF($J1300="Customer",_xll.NL("first",$J1300,"Name","No.","@@"&amp;$K1300),"")</f>
        <v/>
      </c>
      <c r="M1300" s="42" t="str">
        <f>"LogoMasters"</f>
        <v>LogoMasters</v>
      </c>
      <c r="N1300" s="42" t="str">
        <f>IF($J1300="Item",_xll.NL("first",$J1300,"Description","No.","@@"&amp;$K1300),"")</f>
        <v/>
      </c>
      <c r="O1300" s="43">
        <v>1800</v>
      </c>
      <c r="P1300" s="43">
        <v>0</v>
      </c>
      <c r="Q1300" s="43">
        <v>0</v>
      </c>
      <c r="R1300" s="43">
        <v>0</v>
      </c>
      <c r="S1300" s="43">
        <v>0</v>
      </c>
      <c r="T1300" s="43">
        <v>0</v>
      </c>
      <c r="U1300" s="56"/>
    </row>
    <row r="1301" spans="1:21" ht="17.25" customHeight="1" x14ac:dyDescent="0.3">
      <c r="A1301" s="15" t="s">
        <v>30</v>
      </c>
      <c r="C1301" s="19"/>
      <c r="D1301" s="33" t="str">
        <f t="shared" si="308"/>
        <v>E100022</v>
      </c>
      <c r="E1301" s="33"/>
      <c r="F1301" s="34"/>
      <c r="G1301" s="34" t="str">
        <f>"""NAV Direct"",""CRONUS JetCorp USA"",""32"",""1"",""3893"""</f>
        <v>"NAV Direct","CRONUS JetCorp USA","32","1","3893"</v>
      </c>
      <c r="H1301" s="40">
        <v>43467</v>
      </c>
      <c r="I1301" s="41">
        <v>3893</v>
      </c>
      <c r="J1301" s="42" t="str">
        <f>"Customer"</f>
        <v>Customer</v>
      </c>
      <c r="K1301" s="42" t="str">
        <f>"C100099"</f>
        <v>C100099</v>
      </c>
      <c r="L1301" s="42" t="str">
        <f>IF($J1301="Customer",_xll.NL("first",$J1301,"Name","No.","@@"&amp;$K1301),"")</f>
        <v>Voltive Systems</v>
      </c>
      <c r="M1301" s="42" t="str">
        <f>""</f>
        <v/>
      </c>
      <c r="N1301" s="42" t="str">
        <f>IF($J1301="Item",_xll.NL("first",$J1301,"Description","No.","@@"&amp;$K1301),"")</f>
        <v/>
      </c>
      <c r="O1301" s="43">
        <v>0</v>
      </c>
      <c r="P1301" s="43">
        <v>-3</v>
      </c>
      <c r="Q1301" s="43">
        <v>0</v>
      </c>
      <c r="R1301" s="43">
        <v>0</v>
      </c>
      <c r="S1301" s="43">
        <v>0</v>
      </c>
      <c r="T1301" s="43">
        <v>0</v>
      </c>
      <c r="U1301" s="56"/>
    </row>
    <row r="1302" spans="1:21" ht="17.25" customHeight="1" x14ac:dyDescent="0.3">
      <c r="A1302" s="15" t="s">
        <v>30</v>
      </c>
      <c r="C1302" s="19"/>
      <c r="D1302" s="33" t="str">
        <f t="shared" si="308"/>
        <v>E100022</v>
      </c>
      <c r="E1302" s="33"/>
      <c r="F1302" s="34"/>
      <c r="G1302" s="34" t="str">
        <f>"""NAV Direct"",""CRONUS JetCorp USA"",""32"",""1"",""12452"""</f>
        <v>"NAV Direct","CRONUS JetCorp USA","32","1","12452"</v>
      </c>
      <c r="H1302" s="40">
        <v>43469</v>
      </c>
      <c r="I1302" s="41">
        <v>12452</v>
      </c>
      <c r="J1302" s="42" t="str">
        <f>"Customer"</f>
        <v>Customer</v>
      </c>
      <c r="K1302" s="42" t="str">
        <f>"C100064"</f>
        <v>C100064</v>
      </c>
      <c r="L1302" s="42" t="str">
        <f>IF($J1302="Customer",_xll.NL("first",$J1302,"Name","No.","@@"&amp;$K1302),"")</f>
        <v>Möbel Siegfried</v>
      </c>
      <c r="M1302" s="42" t="str">
        <f>""</f>
        <v/>
      </c>
      <c r="N1302" s="42" t="str">
        <f>IF($J1302="Item",_xll.NL("first",$J1302,"Description","No.","@@"&amp;$K1302),"")</f>
        <v/>
      </c>
      <c r="O1302" s="43">
        <v>0</v>
      </c>
      <c r="P1302" s="43">
        <v>-432</v>
      </c>
      <c r="Q1302" s="43">
        <v>0</v>
      </c>
      <c r="R1302" s="43">
        <v>0</v>
      </c>
      <c r="S1302" s="43">
        <v>0</v>
      </c>
      <c r="T1302" s="43">
        <v>0</v>
      </c>
      <c r="U1302" s="56"/>
    </row>
    <row r="1303" spans="1:21" ht="17.25" customHeight="1" x14ac:dyDescent="0.3">
      <c r="A1303" s="15" t="s">
        <v>30</v>
      </c>
      <c r="C1303" s="19"/>
      <c r="D1303" s="33" t="str">
        <f t="shared" si="308"/>
        <v>E100022</v>
      </c>
      <c r="E1303" s="33"/>
      <c r="F1303" s="34"/>
      <c r="G1303" s="34" t="str">
        <f>"""NAV Direct"",""CRONUS JetCorp USA"",""32"",""1"",""64575"""</f>
        <v>"NAV Direct","CRONUS JetCorp USA","32","1","64575"</v>
      </c>
      <c r="H1303" s="40">
        <v>43469</v>
      </c>
      <c r="I1303" s="41">
        <v>64575</v>
      </c>
      <c r="J1303" s="42" t="str">
        <f>"Customer"</f>
        <v>Customer</v>
      </c>
      <c r="K1303" s="42" t="str">
        <f>"C100140"</f>
        <v>C100140</v>
      </c>
      <c r="L1303" s="42" t="str">
        <f>IF($J1303="Customer",_xll.NL("first",$J1303,"Name","No.","@@"&amp;$K1303),"")</f>
        <v>Super Daves</v>
      </c>
      <c r="M1303" s="42" t="str">
        <f>""</f>
        <v/>
      </c>
      <c r="N1303" s="42" t="str">
        <f>IF($J1303="Item",_xll.NL("first",$J1303,"Description","No.","@@"&amp;$K1303),"")</f>
        <v/>
      </c>
      <c r="O1303" s="43">
        <v>0</v>
      </c>
      <c r="P1303" s="43">
        <v>-288</v>
      </c>
      <c r="Q1303" s="43">
        <v>0</v>
      </c>
      <c r="R1303" s="43">
        <v>0</v>
      </c>
      <c r="S1303" s="43">
        <v>0</v>
      </c>
      <c r="T1303" s="43">
        <v>0</v>
      </c>
      <c r="U1303" s="56"/>
    </row>
    <row r="1304" spans="1:21" ht="17.25" customHeight="1" x14ac:dyDescent="0.3">
      <c r="A1304" s="15" t="s">
        <v>30</v>
      </c>
      <c r="C1304" s="19"/>
      <c r="D1304" s="33" t="str">
        <f t="shared" si="308"/>
        <v>E100022</v>
      </c>
      <c r="E1304" s="33"/>
      <c r="F1304" s="34"/>
      <c r="G1304" s="34" t="str">
        <f>"""NAV Direct"",""CRONUS JetCorp USA"",""32"",""1"",""120185"""</f>
        <v>"NAV Direct","CRONUS JetCorp USA","32","1","120185"</v>
      </c>
      <c r="H1304" s="40">
        <v>43469</v>
      </c>
      <c r="I1304" s="41">
        <v>120185</v>
      </c>
      <c r="J1304" s="42" t="str">
        <f>"Customer"</f>
        <v>Customer</v>
      </c>
      <c r="K1304" s="42" t="str">
        <f>"C100134"</f>
        <v>C100134</v>
      </c>
      <c r="L1304" s="42" t="str">
        <f>IF($J1304="Customer",_xll.NL("first",$J1304,"Name","No.","@@"&amp;$K1304),"")</f>
        <v>Iber Tech</v>
      </c>
      <c r="M1304" s="42" t="str">
        <f>""</f>
        <v/>
      </c>
      <c r="N1304" s="42" t="str">
        <f>IF($J1304="Item",_xll.NL("first",$J1304,"Description","No.","@@"&amp;$K1304),"")</f>
        <v/>
      </c>
      <c r="O1304" s="43">
        <v>0</v>
      </c>
      <c r="P1304" s="43">
        <v>-7</v>
      </c>
      <c r="Q1304" s="43">
        <v>0</v>
      </c>
      <c r="R1304" s="43">
        <v>0</v>
      </c>
      <c r="S1304" s="43">
        <v>0</v>
      </c>
      <c r="T1304" s="43">
        <v>0</v>
      </c>
      <c r="U1304" s="56"/>
    </row>
    <row r="1305" spans="1:21" ht="17.25" customHeight="1" x14ac:dyDescent="0.3">
      <c r="A1305" s="15" t="s">
        <v>30</v>
      </c>
      <c r="C1305" s="19"/>
      <c r="D1305" s="33" t="str">
        <f t="shared" si="308"/>
        <v>E100022</v>
      </c>
      <c r="E1305" s="33"/>
      <c r="F1305" s="34"/>
      <c r="G1305" s="34" t="str">
        <f>"""NAV Direct"",""CRONUS JetCorp USA"",""32"",""1"",""111292"""</f>
        <v>"NAV Direct","CRONUS JetCorp USA","32","1","111292"</v>
      </c>
      <c r="H1305" s="40">
        <v>43470</v>
      </c>
      <c r="I1305" s="41">
        <v>111292</v>
      </c>
      <c r="J1305" s="42" t="str">
        <f>"Customer"</f>
        <v>Customer</v>
      </c>
      <c r="K1305" s="42" t="str">
        <f>"C100037"</f>
        <v>C100037</v>
      </c>
      <c r="L1305" s="42" t="str">
        <f>IF($J1305="Customer",_xll.NL("first",$J1305,"Name","No.","@@"&amp;$K1305),"")</f>
        <v>Tempsons Tropies</v>
      </c>
      <c r="M1305" s="42" t="str">
        <f>""</f>
        <v/>
      </c>
      <c r="N1305" s="42" t="str">
        <f>IF($J1305="Item",_xll.NL("first",$J1305,"Description","No.","@@"&amp;$K1305),"")</f>
        <v/>
      </c>
      <c r="O1305" s="43">
        <v>0</v>
      </c>
      <c r="P1305" s="43">
        <v>-168</v>
      </c>
      <c r="Q1305" s="43">
        <v>0</v>
      </c>
      <c r="R1305" s="43">
        <v>0</v>
      </c>
      <c r="S1305" s="43">
        <v>0</v>
      </c>
      <c r="T1305" s="43">
        <v>0</v>
      </c>
      <c r="U1305" s="56"/>
    </row>
    <row r="1306" spans="1:21" ht="17.25" customHeight="1" x14ac:dyDescent="0.3">
      <c r="A1306" s="15" t="s">
        <v>30</v>
      </c>
      <c r="C1306" s="19"/>
      <c r="D1306" s="33" t="str">
        <f t="shared" si="308"/>
        <v>E100022</v>
      </c>
      <c r="E1306" s="33"/>
      <c r="F1306" s="34"/>
      <c r="G1306" s="34" t="str">
        <f>"""NAV Direct"",""CRONUS JetCorp USA"",""32"",""1"",""10221"""</f>
        <v>"NAV Direct","CRONUS JetCorp USA","32","1","10221"</v>
      </c>
      <c r="H1306" s="40">
        <v>43471</v>
      </c>
      <c r="I1306" s="41">
        <v>10221</v>
      </c>
      <c r="J1306" s="42" t="str">
        <f>"Customer"</f>
        <v>Customer</v>
      </c>
      <c r="K1306" s="42" t="str">
        <f>"C100066"</f>
        <v>C100066</v>
      </c>
      <c r="L1306" s="42" t="str">
        <f>IF($J1306="Customer",_xll.NL("first",$J1306,"Name","No.","@@"&amp;$K1306),"")</f>
        <v>Office Solutions</v>
      </c>
      <c r="M1306" s="42" t="str">
        <f>""</f>
        <v/>
      </c>
      <c r="N1306" s="42" t="str">
        <f>IF($J1306="Item",_xll.NL("first",$J1306,"Description","No.","@@"&amp;$K1306),"")</f>
        <v/>
      </c>
      <c r="O1306" s="43">
        <v>0</v>
      </c>
      <c r="P1306" s="43">
        <v>-144</v>
      </c>
      <c r="Q1306" s="43">
        <v>0</v>
      </c>
      <c r="R1306" s="43">
        <v>0</v>
      </c>
      <c r="S1306" s="43">
        <v>0</v>
      </c>
      <c r="T1306" s="43">
        <v>0</v>
      </c>
      <c r="U1306" s="56"/>
    </row>
    <row r="1307" spans="1:21" ht="17.25" customHeight="1" x14ac:dyDescent="0.3">
      <c r="A1307" s="15" t="s">
        <v>30</v>
      </c>
      <c r="C1307" s="19"/>
      <c r="D1307" s="33" t="str">
        <f t="shared" si="308"/>
        <v>E100022</v>
      </c>
      <c r="E1307" s="33"/>
      <c r="F1307" s="34"/>
      <c r="G1307" s="34" t="str">
        <f>"""NAV Direct"",""CRONUS JetCorp USA"",""32"",""1"",""118087"""</f>
        <v>"NAV Direct","CRONUS JetCorp USA","32","1","118087"</v>
      </c>
      <c r="H1307" s="40">
        <v>43471</v>
      </c>
      <c r="I1307" s="41">
        <v>118087</v>
      </c>
      <c r="J1307" s="42" t="str">
        <f>"Customer"</f>
        <v>Customer</v>
      </c>
      <c r="K1307" s="42" t="str">
        <f>"C100060"</f>
        <v>C100060</v>
      </c>
      <c r="L1307" s="42" t="str">
        <f>IF($J1307="Customer",_xll.NL("first",$J1307,"Name","No.","@@"&amp;$K1307),"")</f>
        <v>MEMA Ljubljana d.o.o.</v>
      </c>
      <c r="M1307" s="42" t="str">
        <f>""</f>
        <v/>
      </c>
      <c r="N1307" s="42" t="str">
        <f>IF($J1307="Item",_xll.NL("first",$J1307,"Description","No.","@@"&amp;$K1307),"")</f>
        <v/>
      </c>
      <c r="O1307" s="43">
        <v>0</v>
      </c>
      <c r="P1307" s="43">
        <v>-1</v>
      </c>
      <c r="Q1307" s="43">
        <v>0</v>
      </c>
      <c r="R1307" s="43">
        <v>0</v>
      </c>
      <c r="S1307" s="43">
        <v>0</v>
      </c>
      <c r="T1307" s="43">
        <v>0</v>
      </c>
      <c r="U1307" s="56"/>
    </row>
    <row r="1308" spans="1:21" ht="17.25" customHeight="1" x14ac:dyDescent="0.3">
      <c r="A1308" s="15" t="s">
        <v>30</v>
      </c>
      <c r="C1308" s="19"/>
      <c r="D1308" s="33" t="str">
        <f t="shared" si="308"/>
        <v>E100022</v>
      </c>
      <c r="E1308" s="33"/>
      <c r="F1308" s="34"/>
      <c r="G1308" s="34" t="str">
        <f>"""NAV Direct"",""CRONUS JetCorp USA"",""32"",""1"",""3916"""</f>
        <v>"NAV Direct","CRONUS JetCorp USA","32","1","3916"</v>
      </c>
      <c r="H1308" s="40">
        <v>43472</v>
      </c>
      <c r="I1308" s="41">
        <v>3916</v>
      </c>
      <c r="J1308" s="42" t="str">
        <f>"Customer"</f>
        <v>Customer</v>
      </c>
      <c r="K1308" s="42" t="str">
        <f>"C100099"</f>
        <v>C100099</v>
      </c>
      <c r="L1308" s="42" t="str">
        <f>IF($J1308="Customer",_xll.NL("first",$J1308,"Name","No.","@@"&amp;$K1308),"")</f>
        <v>Voltive Systems</v>
      </c>
      <c r="M1308" s="42" t="str">
        <f>""</f>
        <v/>
      </c>
      <c r="N1308" s="42" t="str">
        <f>IF($J1308="Item",_xll.NL("first",$J1308,"Description","No.","@@"&amp;$K1308),"")</f>
        <v/>
      </c>
      <c r="O1308" s="43">
        <v>0</v>
      </c>
      <c r="P1308" s="43">
        <v>-1</v>
      </c>
      <c r="Q1308" s="43">
        <v>0</v>
      </c>
      <c r="R1308" s="43">
        <v>0</v>
      </c>
      <c r="S1308" s="43">
        <v>0</v>
      </c>
      <c r="T1308" s="43">
        <v>0</v>
      </c>
      <c r="U1308" s="56"/>
    </row>
    <row r="1309" spans="1:21" ht="17.25" customHeight="1" x14ac:dyDescent="0.3">
      <c r="A1309" s="15" t="s">
        <v>30</v>
      </c>
      <c r="C1309" s="19"/>
      <c r="D1309" s="33" t="str">
        <f t="shared" si="308"/>
        <v>E100022</v>
      </c>
      <c r="E1309" s="33"/>
      <c r="F1309" s="34"/>
      <c r="G1309" s="34" t="str">
        <f>"""NAV Direct"",""CRONUS JetCorp USA"",""32"",""1"",""44470"""</f>
        <v>"NAV Direct","CRONUS JetCorp USA","32","1","44470"</v>
      </c>
      <c r="H1309" s="40">
        <v>43472</v>
      </c>
      <c r="I1309" s="41">
        <v>44470</v>
      </c>
      <c r="J1309" s="42" t="str">
        <f>"Customer"</f>
        <v>Customer</v>
      </c>
      <c r="K1309" s="42" t="str">
        <f>"C100141"</f>
        <v>C100141</v>
      </c>
      <c r="L1309" s="42" t="str">
        <f>IF($J1309="Customer",_xll.NL("first",$J1309,"Name","No.","@@"&amp;$K1309),"")</f>
        <v>Bargottis</v>
      </c>
      <c r="M1309" s="42" t="str">
        <f>""</f>
        <v/>
      </c>
      <c r="N1309" s="42" t="str">
        <f>IF($J1309="Item",_xll.NL("first",$J1309,"Description","No.","@@"&amp;$K1309),"")</f>
        <v/>
      </c>
      <c r="O1309" s="43">
        <v>0</v>
      </c>
      <c r="P1309" s="43">
        <v>-144</v>
      </c>
      <c r="Q1309" s="43">
        <v>0</v>
      </c>
      <c r="R1309" s="43">
        <v>0</v>
      </c>
      <c r="S1309" s="43">
        <v>0</v>
      </c>
      <c r="T1309" s="43">
        <v>0</v>
      </c>
      <c r="U1309" s="56"/>
    </row>
    <row r="1310" spans="1:21" ht="17.25" customHeight="1" x14ac:dyDescent="0.3">
      <c r="A1310" s="15" t="s">
        <v>30</v>
      </c>
      <c r="C1310" s="19"/>
      <c r="D1310" s="33" t="str">
        <f t="shared" si="308"/>
        <v>E100022</v>
      </c>
      <c r="E1310" s="33"/>
      <c r="F1310" s="34"/>
      <c r="G1310" s="34" t="str">
        <f>"""NAV Direct"",""CRONUS JetCorp USA"",""32"",""1"",""111308"""</f>
        <v>"NAV Direct","CRONUS JetCorp USA","32","1","111308"</v>
      </c>
      <c r="H1310" s="40">
        <v>43472</v>
      </c>
      <c r="I1310" s="41">
        <v>111308</v>
      </c>
      <c r="J1310" s="42" t="str">
        <f>"Customer"</f>
        <v>Customer</v>
      </c>
      <c r="K1310" s="42" t="str">
        <f>"C100099"</f>
        <v>C100099</v>
      </c>
      <c r="L1310" s="42" t="str">
        <f>IF($J1310="Customer",_xll.NL("first",$J1310,"Name","No.","@@"&amp;$K1310),"")</f>
        <v>Voltive Systems</v>
      </c>
      <c r="M1310" s="42" t="str">
        <f>""</f>
        <v/>
      </c>
      <c r="N1310" s="42" t="str">
        <f>IF($J1310="Item",_xll.NL("first",$J1310,"Description","No.","@@"&amp;$K1310),"")</f>
        <v/>
      </c>
      <c r="O1310" s="43">
        <v>0</v>
      </c>
      <c r="P1310" s="43">
        <v>-1</v>
      </c>
      <c r="Q1310" s="43">
        <v>0</v>
      </c>
      <c r="R1310" s="43">
        <v>0</v>
      </c>
      <c r="S1310" s="43">
        <v>0</v>
      </c>
      <c r="T1310" s="43">
        <v>0</v>
      </c>
      <c r="U1310" s="56"/>
    </row>
    <row r="1311" spans="1:21" ht="17.25" customHeight="1" x14ac:dyDescent="0.3">
      <c r="A1311" s="15" t="s">
        <v>30</v>
      </c>
      <c r="C1311" s="19"/>
      <c r="D1311" s="33" t="str">
        <f t="shared" si="308"/>
        <v>E100022</v>
      </c>
      <c r="E1311" s="33"/>
      <c r="F1311" s="34"/>
      <c r="G1311" s="34" t="str">
        <f>"""NAV Direct"",""CRONUS JetCorp USA"",""32"",""1"",""111312"""</f>
        <v>"NAV Direct","CRONUS JetCorp USA","32","1","111312"</v>
      </c>
      <c r="H1311" s="40">
        <v>43472</v>
      </c>
      <c r="I1311" s="41">
        <v>111312</v>
      </c>
      <c r="J1311" s="42" t="str">
        <f>"Customer"</f>
        <v>Customer</v>
      </c>
      <c r="K1311" s="42" t="str">
        <f>"C100099"</f>
        <v>C100099</v>
      </c>
      <c r="L1311" s="42" t="str">
        <f>IF($J1311="Customer",_xll.NL("first",$J1311,"Name","No.","@@"&amp;$K1311),"")</f>
        <v>Voltive Systems</v>
      </c>
      <c r="M1311" s="42" t="str">
        <f>""</f>
        <v/>
      </c>
      <c r="N1311" s="42" t="str">
        <f>IF($J1311="Item",_xll.NL("first",$J1311,"Description","No.","@@"&amp;$K1311),"")</f>
        <v/>
      </c>
      <c r="O1311" s="43">
        <v>0</v>
      </c>
      <c r="P1311" s="43">
        <v>-289</v>
      </c>
      <c r="Q1311" s="43">
        <v>0</v>
      </c>
      <c r="R1311" s="43">
        <v>0</v>
      </c>
      <c r="S1311" s="43">
        <v>0</v>
      </c>
      <c r="T1311" s="43">
        <v>0</v>
      </c>
      <c r="U1311" s="56"/>
    </row>
    <row r="1312" spans="1:21" ht="17.25" customHeight="1" x14ac:dyDescent="0.3">
      <c r="A1312" s="15" t="s">
        <v>30</v>
      </c>
      <c r="C1312" s="19"/>
      <c r="D1312" s="33" t="str">
        <f t="shared" si="308"/>
        <v>E100022</v>
      </c>
      <c r="E1312" s="33"/>
      <c r="F1312" s="34"/>
      <c r="G1312" s="34" t="str">
        <f>"""NAV Direct"",""CRONUS JetCorp USA"",""32"",""1"",""116383"""</f>
        <v>"NAV Direct","CRONUS JetCorp USA","32","1","116383"</v>
      </c>
      <c r="H1312" s="40">
        <v>43473</v>
      </c>
      <c r="I1312" s="41">
        <v>116383</v>
      </c>
      <c r="J1312" s="42" t="str">
        <f>"Customer"</f>
        <v>Customer</v>
      </c>
      <c r="K1312" s="42" t="str">
        <f>"C100066"</f>
        <v>C100066</v>
      </c>
      <c r="L1312" s="42" t="str">
        <f>IF($J1312="Customer",_xll.NL("first",$J1312,"Name","No.","@@"&amp;$K1312),"")</f>
        <v>Office Solutions</v>
      </c>
      <c r="M1312" s="42" t="str">
        <f>""</f>
        <v/>
      </c>
      <c r="N1312" s="42" t="str">
        <f>IF($J1312="Item",_xll.NL("first",$J1312,"Description","No.","@@"&amp;$K1312),"")</f>
        <v/>
      </c>
      <c r="O1312" s="43">
        <v>0</v>
      </c>
      <c r="P1312" s="43">
        <v>-2</v>
      </c>
      <c r="Q1312" s="43">
        <v>0</v>
      </c>
      <c r="R1312" s="43">
        <v>0</v>
      </c>
      <c r="S1312" s="43">
        <v>0</v>
      </c>
      <c r="T1312" s="43">
        <v>0</v>
      </c>
      <c r="U1312" s="56"/>
    </row>
    <row r="1313" spans="1:21" ht="17.25" customHeight="1" x14ac:dyDescent="0.3">
      <c r="A1313" s="15" t="s">
        <v>30</v>
      </c>
      <c r="C1313" s="19"/>
      <c r="D1313" s="33" t="str">
        <f t="shared" si="308"/>
        <v>E100022</v>
      </c>
      <c r="E1313" s="33"/>
      <c r="F1313" s="34"/>
      <c r="G1313" s="34" t="str">
        <f>"""NAV Direct"",""CRONUS JetCorp USA"",""32"",""1"",""54704"""</f>
        <v>"NAV Direct","CRONUS JetCorp USA","32","1","54704"</v>
      </c>
      <c r="H1313" s="40">
        <v>43474</v>
      </c>
      <c r="I1313" s="41">
        <v>54704</v>
      </c>
      <c r="J1313" s="42" t="str">
        <f>"Customer"</f>
        <v>Customer</v>
      </c>
      <c r="K1313" s="42" t="str">
        <f>"C100096"</f>
        <v>C100096</v>
      </c>
      <c r="L1313" s="42" t="str">
        <f>IF($J1313="Customer",_xll.NL("first",$J1313,"Name","No.","@@"&amp;$K1313),"")</f>
        <v>D-Com Industries</v>
      </c>
      <c r="M1313" s="42" t="str">
        <f>""</f>
        <v/>
      </c>
      <c r="N1313" s="42" t="str">
        <f>IF($J1313="Item",_xll.NL("first",$J1313,"Description","No.","@@"&amp;$K1313),"")</f>
        <v/>
      </c>
      <c r="O1313" s="43">
        <v>0</v>
      </c>
      <c r="P1313" s="43">
        <v>-144</v>
      </c>
      <c r="Q1313" s="43">
        <v>0</v>
      </c>
      <c r="R1313" s="43">
        <v>0</v>
      </c>
      <c r="S1313" s="43">
        <v>0</v>
      </c>
      <c r="T1313" s="43">
        <v>0</v>
      </c>
      <c r="U1313" s="56"/>
    </row>
    <row r="1314" spans="1:21" ht="17.25" customHeight="1" x14ac:dyDescent="0.3">
      <c r="A1314" s="15" t="s">
        <v>30</v>
      </c>
      <c r="C1314" s="19"/>
      <c r="D1314" s="33" t="str">
        <f t="shared" si="308"/>
        <v>E100022</v>
      </c>
      <c r="E1314" s="33"/>
      <c r="F1314" s="34"/>
      <c r="G1314" s="34" t="str">
        <f>"""NAV Direct"",""CRONUS JetCorp USA"",""32"",""1"",""120194"""</f>
        <v>"NAV Direct","CRONUS JetCorp USA","32","1","120194"</v>
      </c>
      <c r="H1314" s="40">
        <v>43474</v>
      </c>
      <c r="I1314" s="41">
        <v>120194</v>
      </c>
      <c r="J1314" s="42" t="str">
        <f>"Customer"</f>
        <v>Customer</v>
      </c>
      <c r="K1314" s="42" t="str">
        <f>"C100049"</f>
        <v>C100049</v>
      </c>
      <c r="L1314" s="42" t="str">
        <f>IF($J1314="Customer",_xll.NL("first",$J1314,"Name","No.","@@"&amp;$K1314),"")</f>
        <v>Konberg Tapet AB</v>
      </c>
      <c r="M1314" s="42" t="str">
        <f>""</f>
        <v/>
      </c>
      <c r="N1314" s="42" t="str">
        <f>IF($J1314="Item",_xll.NL("first",$J1314,"Description","No.","@@"&amp;$K1314),"")</f>
        <v/>
      </c>
      <c r="O1314" s="43">
        <v>0</v>
      </c>
      <c r="P1314" s="43">
        <v>-1</v>
      </c>
      <c r="Q1314" s="43">
        <v>0</v>
      </c>
      <c r="R1314" s="43">
        <v>0</v>
      </c>
      <c r="S1314" s="43">
        <v>0</v>
      </c>
      <c r="T1314" s="43">
        <v>0</v>
      </c>
      <c r="U1314" s="56"/>
    </row>
    <row r="1315" spans="1:21" ht="17.25" customHeight="1" x14ac:dyDescent="0.3">
      <c r="A1315" s="15" t="s">
        <v>30</v>
      </c>
      <c r="C1315" s="19"/>
      <c r="D1315" s="33" t="str">
        <f t="shared" si="308"/>
        <v>E100022</v>
      </c>
      <c r="E1315" s="33"/>
      <c r="F1315" s="34"/>
      <c r="G1315" s="34" t="str">
        <f>"""NAV Direct"",""CRONUS JetCorp USA"",""32"",""1"",""3926"""</f>
        <v>"NAV Direct","CRONUS JetCorp USA","32","1","3926"</v>
      </c>
      <c r="H1315" s="40">
        <v>43475</v>
      </c>
      <c r="I1315" s="41">
        <v>3926</v>
      </c>
      <c r="J1315" s="42" t="str">
        <f>"Customer"</f>
        <v>Customer</v>
      </c>
      <c r="K1315" s="42" t="str">
        <f>"C100099"</f>
        <v>C100099</v>
      </c>
      <c r="L1315" s="42" t="str">
        <f>IF($J1315="Customer",_xll.NL("first",$J1315,"Name","No.","@@"&amp;$K1315),"")</f>
        <v>Voltive Systems</v>
      </c>
      <c r="M1315" s="42" t="str">
        <f>""</f>
        <v/>
      </c>
      <c r="N1315" s="42" t="str">
        <f>IF($J1315="Item",_xll.NL("first",$J1315,"Description","No.","@@"&amp;$K1315),"")</f>
        <v/>
      </c>
      <c r="O1315" s="43">
        <v>0</v>
      </c>
      <c r="P1315" s="43">
        <v>-144</v>
      </c>
      <c r="Q1315" s="43">
        <v>0</v>
      </c>
      <c r="R1315" s="43">
        <v>0</v>
      </c>
      <c r="S1315" s="43">
        <v>0</v>
      </c>
      <c r="T1315" s="43">
        <v>0</v>
      </c>
      <c r="U1315" s="56"/>
    </row>
    <row r="1316" spans="1:21" ht="17.25" customHeight="1" x14ac:dyDescent="0.3">
      <c r="A1316" s="15" t="s">
        <v>30</v>
      </c>
      <c r="C1316" s="19"/>
      <c r="D1316" s="33" t="str">
        <f t="shared" si="308"/>
        <v>E100022</v>
      </c>
      <c r="E1316" s="33"/>
      <c r="F1316" s="34"/>
      <c r="G1316" s="34" t="str">
        <f>"""NAV Direct"",""CRONUS JetCorp USA"",""32"",""1"",""7581"""</f>
        <v>"NAV Direct","CRONUS JetCorp USA","32","1","7581"</v>
      </c>
      <c r="H1316" s="40">
        <v>43476</v>
      </c>
      <c r="I1316" s="41">
        <v>7581</v>
      </c>
      <c r="J1316" s="42" t="str">
        <f>"Customer"</f>
        <v>Customer</v>
      </c>
      <c r="K1316" s="42" t="str">
        <f>"C100083"</f>
        <v>C100083</v>
      </c>
      <c r="L1316" s="42" t="str">
        <f>IF($J1316="Customer",_xll.NL("first",$J1316,"Name","No.","@@"&amp;$K1316),"")</f>
        <v>Stanfords</v>
      </c>
      <c r="M1316" s="42" t="str">
        <f>""</f>
        <v/>
      </c>
      <c r="N1316" s="42" t="str">
        <f>IF($J1316="Item",_xll.NL("first",$J1316,"Description","No.","@@"&amp;$K1316),"")</f>
        <v/>
      </c>
      <c r="O1316" s="43">
        <v>0</v>
      </c>
      <c r="P1316" s="43">
        <v>-1</v>
      </c>
      <c r="Q1316" s="43">
        <v>0</v>
      </c>
      <c r="R1316" s="43">
        <v>0</v>
      </c>
      <c r="S1316" s="43">
        <v>0</v>
      </c>
      <c r="T1316" s="43">
        <v>0</v>
      </c>
      <c r="U1316" s="56"/>
    </row>
    <row r="1317" spans="1:21" ht="17.25" customHeight="1" x14ac:dyDescent="0.3">
      <c r="A1317" s="15" t="s">
        <v>30</v>
      </c>
      <c r="C1317" s="19"/>
      <c r="D1317" s="33" t="str">
        <f t="shared" si="308"/>
        <v>E100022</v>
      </c>
      <c r="E1317" s="33"/>
      <c r="F1317" s="34"/>
      <c r="G1317" s="34" t="str">
        <f>"""NAV Direct"",""CRONUS JetCorp USA"",""32"",""1"",""7593"""</f>
        <v>"NAV Direct","CRONUS JetCorp USA","32","1","7593"</v>
      </c>
      <c r="H1317" s="40">
        <v>43476</v>
      </c>
      <c r="I1317" s="41">
        <v>7593</v>
      </c>
      <c r="J1317" s="42" t="str">
        <f>"Customer"</f>
        <v>Customer</v>
      </c>
      <c r="K1317" s="42" t="str">
        <f>"C100030"</f>
        <v>C100030</v>
      </c>
      <c r="L1317" s="42" t="str">
        <f>IF($J1317="Customer",_xll.NL("first",$J1317,"Name","No.","@@"&amp;$K1317),"")</f>
        <v>Stutringers</v>
      </c>
      <c r="M1317" s="42" t="str">
        <f>""</f>
        <v/>
      </c>
      <c r="N1317" s="42" t="str">
        <f>IF($J1317="Item",_xll.NL("first",$J1317,"Description","No.","@@"&amp;$K1317),"")</f>
        <v/>
      </c>
      <c r="O1317" s="43">
        <v>0</v>
      </c>
      <c r="P1317" s="43">
        <v>-1</v>
      </c>
      <c r="Q1317" s="43">
        <v>0</v>
      </c>
      <c r="R1317" s="43">
        <v>0</v>
      </c>
      <c r="S1317" s="43">
        <v>0</v>
      </c>
      <c r="T1317" s="43">
        <v>0</v>
      </c>
      <c r="U1317" s="56"/>
    </row>
    <row r="1318" spans="1:21" ht="17.25" customHeight="1" x14ac:dyDescent="0.3">
      <c r="A1318" s="15" t="s">
        <v>30</v>
      </c>
      <c r="C1318" s="19"/>
      <c r="D1318" s="33" t="str">
        <f t="shared" si="308"/>
        <v>E100022</v>
      </c>
      <c r="E1318" s="33"/>
      <c r="F1318" s="34"/>
      <c r="G1318" s="34" t="str">
        <f>"""NAV Direct"",""CRONUS JetCorp USA"",""32"",""1"",""7571"""</f>
        <v>"NAV Direct","CRONUS JetCorp USA","32","1","7571"</v>
      </c>
      <c r="H1318" s="40">
        <v>43477</v>
      </c>
      <c r="I1318" s="41">
        <v>7571</v>
      </c>
      <c r="J1318" s="42" t="str">
        <f>"Customer"</f>
        <v>Customer</v>
      </c>
      <c r="K1318" s="42" t="str">
        <f>"C100076"</f>
        <v>C100076</v>
      </c>
      <c r="L1318" s="42" t="str">
        <f>IF($J1318="Customer",_xll.NL("first",$J1318,"Name","No.","@@"&amp;$K1318),"")</f>
        <v>Showmasters</v>
      </c>
      <c r="M1318" s="42" t="str">
        <f>""</f>
        <v/>
      </c>
      <c r="N1318" s="42" t="str">
        <f>IF($J1318="Item",_xll.NL("first",$J1318,"Description","No.","@@"&amp;$K1318),"")</f>
        <v/>
      </c>
      <c r="O1318" s="43">
        <v>0</v>
      </c>
      <c r="P1318" s="43">
        <v>-48</v>
      </c>
      <c r="Q1318" s="43">
        <v>0</v>
      </c>
      <c r="R1318" s="43">
        <v>0</v>
      </c>
      <c r="S1318" s="43">
        <v>0</v>
      </c>
      <c r="T1318" s="43">
        <v>0</v>
      </c>
      <c r="U1318" s="56"/>
    </row>
    <row r="1319" spans="1:21" ht="17.25" customHeight="1" x14ac:dyDescent="0.3">
      <c r="A1319" s="15" t="s">
        <v>30</v>
      </c>
      <c r="C1319" s="19"/>
      <c r="D1319" s="33" t="str">
        <f t="shared" si="308"/>
        <v>E100022</v>
      </c>
      <c r="E1319" s="33"/>
      <c r="F1319" s="34"/>
      <c r="G1319" s="34" t="str">
        <f>"""NAV Direct"",""CRONUS JetCorp USA"",""32"",""1"",""10232"""</f>
        <v>"NAV Direct","CRONUS JetCorp USA","32","1","10232"</v>
      </c>
      <c r="H1319" s="40">
        <v>43477</v>
      </c>
      <c r="I1319" s="41">
        <v>10232</v>
      </c>
      <c r="J1319" s="42" t="str">
        <f>"Customer"</f>
        <v>Customer</v>
      </c>
      <c r="K1319" s="42" t="str">
        <f>"C100054"</f>
        <v>C100054</v>
      </c>
      <c r="L1319" s="42" t="str">
        <f>IF($J1319="Customer",_xll.NL("first",$J1319,"Name","No.","@@"&amp;$K1319),"")</f>
        <v>London Candoxy Storage Campus</v>
      </c>
      <c r="M1319" s="42" t="str">
        <f>""</f>
        <v/>
      </c>
      <c r="N1319" s="42" t="str">
        <f>IF($J1319="Item",_xll.NL("first",$J1319,"Description","No.","@@"&amp;$K1319),"")</f>
        <v/>
      </c>
      <c r="O1319" s="43">
        <v>0</v>
      </c>
      <c r="P1319" s="43">
        <v>-49</v>
      </c>
      <c r="Q1319" s="43">
        <v>0</v>
      </c>
      <c r="R1319" s="43">
        <v>0</v>
      </c>
      <c r="S1319" s="43">
        <v>0</v>
      </c>
      <c r="T1319" s="43">
        <v>0</v>
      </c>
      <c r="U1319" s="56"/>
    </row>
    <row r="1320" spans="1:21" ht="17.25" customHeight="1" x14ac:dyDescent="0.3">
      <c r="A1320" s="15" t="s">
        <v>30</v>
      </c>
      <c r="C1320" s="19"/>
      <c r="D1320" s="33" t="str">
        <f t="shared" si="308"/>
        <v>E100022</v>
      </c>
      <c r="E1320" s="33"/>
      <c r="F1320" s="34"/>
      <c r="G1320" s="34" t="str">
        <f>"""NAV Direct"",""CRONUS JetCorp USA"",""32"",""1"",""114294"""</f>
        <v>"NAV Direct","CRONUS JetCorp USA","32","1","114294"</v>
      </c>
      <c r="H1320" s="40">
        <v>43477</v>
      </c>
      <c r="I1320" s="41">
        <v>114294</v>
      </c>
      <c r="J1320" s="42" t="str">
        <f>"Customer"</f>
        <v>Customer</v>
      </c>
      <c r="K1320" s="42" t="str">
        <f>"C100030"</f>
        <v>C100030</v>
      </c>
      <c r="L1320" s="42" t="str">
        <f>IF($J1320="Customer",_xll.NL("first",$J1320,"Name","No.","@@"&amp;$K1320),"")</f>
        <v>Stutringers</v>
      </c>
      <c r="M1320" s="42" t="str">
        <f>""</f>
        <v/>
      </c>
      <c r="N1320" s="42" t="str">
        <f>IF($J1320="Item",_xll.NL("first",$J1320,"Description","No.","@@"&amp;$K1320),"")</f>
        <v/>
      </c>
      <c r="O1320" s="43">
        <v>0</v>
      </c>
      <c r="P1320" s="43">
        <v>-4</v>
      </c>
      <c r="Q1320" s="43">
        <v>0</v>
      </c>
      <c r="R1320" s="43">
        <v>0</v>
      </c>
      <c r="S1320" s="43">
        <v>0</v>
      </c>
      <c r="T1320" s="43">
        <v>0</v>
      </c>
      <c r="U1320" s="56"/>
    </row>
    <row r="1321" spans="1:21" ht="17.25" customHeight="1" x14ac:dyDescent="0.3">
      <c r="A1321" s="15" t="s">
        <v>30</v>
      </c>
      <c r="C1321" s="19"/>
      <c r="D1321" s="33"/>
      <c r="E1321" s="33"/>
      <c r="F1321" s="34"/>
      <c r="G1321" s="34"/>
      <c r="H1321" s="34"/>
      <c r="I1321" s="34"/>
      <c r="J1321" s="34"/>
      <c r="K1321" s="34"/>
      <c r="L1321" s="34"/>
      <c r="M1321" s="34"/>
      <c r="N1321" s="34"/>
      <c r="O1321" s="44"/>
      <c r="P1321" s="44"/>
      <c r="Q1321" s="44"/>
      <c r="R1321" s="44"/>
      <c r="S1321" s="44"/>
      <c r="T1321" s="44"/>
      <c r="U1321" s="57"/>
    </row>
    <row r="1322" spans="1:21" ht="17.25" customHeight="1" x14ac:dyDescent="0.3">
      <c r="A1322" s="15" t="s">
        <v>30</v>
      </c>
      <c r="C1322" s="19"/>
      <c r="D1322" s="33"/>
      <c r="E1322" s="33" t="s">
        <v>31</v>
      </c>
      <c r="F1322" s="34" t="s">
        <v>31</v>
      </c>
      <c r="G1322" s="34" t="s">
        <v>31</v>
      </c>
      <c r="H1322" s="34"/>
      <c r="I1322" s="34"/>
      <c r="J1322" s="34" t="s">
        <v>31</v>
      </c>
      <c r="K1322" s="34" t="s">
        <v>31</v>
      </c>
      <c r="L1322" s="34" t="s">
        <v>31</v>
      </c>
      <c r="M1322" s="34" t="s">
        <v>31</v>
      </c>
      <c r="N1322" s="34"/>
      <c r="U1322" s="58"/>
    </row>
    <row r="1323" spans="1:21" ht="20.25" customHeight="1" x14ac:dyDescent="0.35">
      <c r="A1323" s="15" t="s">
        <v>30</v>
      </c>
      <c r="C1323" s="19"/>
      <c r="D1323" s="35" t="str">
        <f t="shared" ref="D1323" si="309">E1323</f>
        <v>E100023</v>
      </c>
      <c r="E1323" s="36" t="str">
        <f>"E100023"</f>
        <v>E100023</v>
      </c>
      <c r="F1323" s="37" t="str">
        <f>"Sport Earbuds"</f>
        <v>Sport Earbuds</v>
      </c>
      <c r="G1323" s="37"/>
      <c r="H1323" s="38" t="str">
        <f>"EA"</f>
        <v>EA</v>
      </c>
      <c r="I1323" s="37"/>
      <c r="J1323" s="37"/>
      <c r="K1323" s="37"/>
      <c r="L1323" s="37"/>
      <c r="M1323" s="37"/>
      <c r="N1323" s="37"/>
      <c r="O1323" s="39">
        <f>(SUBTOTAL(9,O1324:O1332))</f>
        <v>1700</v>
      </c>
      <c r="P1323" s="39">
        <f>(SUBTOTAL(9,P1324:P1332))</f>
        <v>-577</v>
      </c>
      <c r="Q1323" s="39">
        <f>(SUBTOTAL(9,Q1324:Q1332))</f>
        <v>0</v>
      </c>
      <c r="R1323" s="39">
        <f>(SUBTOTAL(9,R1324:R1332))</f>
        <v>0</v>
      </c>
      <c r="S1323" s="39">
        <f>(SUBTOTAL(9,S1324:S1332))</f>
        <v>0</v>
      </c>
      <c r="T1323" s="39">
        <f>(SUBTOTAL(9,T1324:T1332))</f>
        <v>0</v>
      </c>
      <c r="U1323" s="55">
        <f t="shared" ref="U1323" si="310">SUBTOTAL(9,O1324:T1332)</f>
        <v>1123</v>
      </c>
    </row>
    <row r="1324" spans="1:21" ht="17.25" customHeight="1" x14ac:dyDescent="0.3">
      <c r="A1324" s="15" t="s">
        <v>30</v>
      </c>
      <c r="C1324" s="19"/>
      <c r="D1324" s="33" t="str">
        <f t="shared" ref="D1324" si="311">D1323</f>
        <v>E100023</v>
      </c>
      <c r="E1324" s="33"/>
      <c r="F1324" s="34"/>
      <c r="G1324" s="34" t="str">
        <f>"""NAV Direct"",""CRONUS JetCorp USA"",""32"",""1"",""168037"""</f>
        <v>"NAV Direct","CRONUS JetCorp USA","32","1","168037"</v>
      </c>
      <c r="H1324" s="40">
        <v>43466</v>
      </c>
      <c r="I1324" s="41">
        <v>168037</v>
      </c>
      <c r="J1324" s="42" t="str">
        <f>"Vendor"</f>
        <v>Vendor</v>
      </c>
      <c r="K1324" s="42" t="str">
        <f>"V100001"</f>
        <v>V100001</v>
      </c>
      <c r="L1324" s="42" t="str">
        <f>IF($J1324="Customer",_xll.NL("first",$J1324,"Name","No.","@@"&amp;$K1324),"")</f>
        <v/>
      </c>
      <c r="M1324" s="42" t="str">
        <f>"Greigner, Inc."</f>
        <v>Greigner, Inc.</v>
      </c>
      <c r="N1324" s="42" t="str">
        <f>IF($J1324="Item",_xll.NL("first",$J1324,"Description","No.","@@"&amp;$K1324),"")</f>
        <v/>
      </c>
      <c r="O1324" s="43">
        <v>900</v>
      </c>
      <c r="P1324" s="43">
        <v>0</v>
      </c>
      <c r="Q1324" s="43">
        <v>0</v>
      </c>
      <c r="R1324" s="43">
        <v>0</v>
      </c>
      <c r="S1324" s="43">
        <v>0</v>
      </c>
      <c r="T1324" s="43">
        <v>0</v>
      </c>
      <c r="U1324" s="56"/>
    </row>
    <row r="1325" spans="1:21" ht="17.25" customHeight="1" x14ac:dyDescent="0.3">
      <c r="A1325" s="15" t="s">
        <v>30</v>
      </c>
      <c r="C1325" s="19"/>
      <c r="D1325" s="33" t="str">
        <f t="shared" ref="D1325:D1331" si="312">D1324</f>
        <v>E100023</v>
      </c>
      <c r="E1325" s="33"/>
      <c r="F1325" s="34"/>
      <c r="G1325" s="34" t="str">
        <f>"""NAV Direct"",""CRONUS JetCorp USA"",""32"",""1"",""168042"""</f>
        <v>"NAV Direct","CRONUS JetCorp USA","32","1","168042"</v>
      </c>
      <c r="H1325" s="40">
        <v>43466</v>
      </c>
      <c r="I1325" s="41">
        <v>168042</v>
      </c>
      <c r="J1325" s="42" t="str">
        <f>"Vendor"</f>
        <v>Vendor</v>
      </c>
      <c r="K1325" s="42" t="str">
        <f>"V100047"</f>
        <v>V100047</v>
      </c>
      <c r="L1325" s="42" t="str">
        <f>IF($J1325="Customer",_xll.NL("first",$J1325,"Name","No.","@@"&amp;$K1325),"")</f>
        <v/>
      </c>
      <c r="M1325" s="42" t="str">
        <f>"WoodMart Supply Co."</f>
        <v>WoodMart Supply Co.</v>
      </c>
      <c r="N1325" s="42" t="str">
        <f>IF($J1325="Item",_xll.NL("first",$J1325,"Description","No.","@@"&amp;$K1325),"")</f>
        <v/>
      </c>
      <c r="O1325" s="43">
        <v>100</v>
      </c>
      <c r="P1325" s="43">
        <v>0</v>
      </c>
      <c r="Q1325" s="43">
        <v>0</v>
      </c>
      <c r="R1325" s="43">
        <v>0</v>
      </c>
      <c r="S1325" s="43">
        <v>0</v>
      </c>
      <c r="T1325" s="43">
        <v>0</v>
      </c>
      <c r="U1325" s="56"/>
    </row>
    <row r="1326" spans="1:21" ht="17.25" customHeight="1" x14ac:dyDescent="0.3">
      <c r="A1326" s="15" t="s">
        <v>30</v>
      </c>
      <c r="C1326" s="19"/>
      <c r="D1326" s="33" t="str">
        <f t="shared" si="312"/>
        <v>E100023</v>
      </c>
      <c r="E1326" s="33"/>
      <c r="F1326" s="34"/>
      <c r="G1326" s="34" t="str">
        <f>"""NAV Direct"",""CRONUS JetCorp USA"",""32"",""1"",""168043"""</f>
        <v>"NAV Direct","CRONUS JetCorp USA","32","1","168043"</v>
      </c>
      <c r="H1326" s="40">
        <v>43466</v>
      </c>
      <c r="I1326" s="41">
        <v>168043</v>
      </c>
      <c r="J1326" s="42" t="str">
        <f>"Vendor"</f>
        <v>Vendor</v>
      </c>
      <c r="K1326" s="42" t="str">
        <f>"V100003"</f>
        <v>V100003</v>
      </c>
      <c r="L1326" s="42" t="str">
        <f>IF($J1326="Customer",_xll.NL("first",$J1326,"Name","No.","@@"&amp;$K1326),"")</f>
        <v/>
      </c>
      <c r="M1326" s="42" t="str">
        <f>"LogoMasters"</f>
        <v>LogoMasters</v>
      </c>
      <c r="N1326" s="42" t="str">
        <f>IF($J1326="Item",_xll.NL("first",$J1326,"Description","No.","@@"&amp;$K1326),"")</f>
        <v/>
      </c>
      <c r="O1326" s="43">
        <v>700</v>
      </c>
      <c r="P1326" s="43">
        <v>0</v>
      </c>
      <c r="Q1326" s="43">
        <v>0</v>
      </c>
      <c r="R1326" s="43">
        <v>0</v>
      </c>
      <c r="S1326" s="43">
        <v>0</v>
      </c>
      <c r="T1326" s="43">
        <v>0</v>
      </c>
      <c r="U1326" s="56"/>
    </row>
    <row r="1327" spans="1:21" ht="17.25" customHeight="1" x14ac:dyDescent="0.3">
      <c r="A1327" s="15" t="s">
        <v>30</v>
      </c>
      <c r="C1327" s="19"/>
      <c r="D1327" s="33" t="str">
        <f t="shared" si="312"/>
        <v>E100023</v>
      </c>
      <c r="E1327" s="33"/>
      <c r="F1327" s="34"/>
      <c r="G1327" s="34" t="str">
        <f>"""NAV Direct"",""CRONUS JetCorp USA"",""32"",""1"",""64572"""</f>
        <v>"NAV Direct","CRONUS JetCorp USA","32","1","64572"</v>
      </c>
      <c r="H1327" s="40">
        <v>43469</v>
      </c>
      <c r="I1327" s="41">
        <v>64572</v>
      </c>
      <c r="J1327" s="42" t="str">
        <f>"Customer"</f>
        <v>Customer</v>
      </c>
      <c r="K1327" s="42" t="str">
        <f>"C100140"</f>
        <v>C100140</v>
      </c>
      <c r="L1327" s="42" t="str">
        <f>IF($J1327="Customer",_xll.NL("first",$J1327,"Name","No.","@@"&amp;$K1327),"")</f>
        <v>Super Daves</v>
      </c>
      <c r="M1327" s="42" t="str">
        <f>""</f>
        <v/>
      </c>
      <c r="N1327" s="42" t="str">
        <f>IF($J1327="Item",_xll.NL("first",$J1327,"Description","No.","@@"&amp;$K1327),"")</f>
        <v/>
      </c>
      <c r="O1327" s="43">
        <v>0</v>
      </c>
      <c r="P1327" s="43">
        <v>-144</v>
      </c>
      <c r="Q1327" s="43">
        <v>0</v>
      </c>
      <c r="R1327" s="43">
        <v>0</v>
      </c>
      <c r="S1327" s="43">
        <v>0</v>
      </c>
      <c r="T1327" s="43">
        <v>0</v>
      </c>
      <c r="U1327" s="56"/>
    </row>
    <row r="1328" spans="1:21" ht="17.25" customHeight="1" x14ac:dyDescent="0.3">
      <c r="A1328" s="15" t="s">
        <v>30</v>
      </c>
      <c r="C1328" s="19"/>
      <c r="D1328" s="33" t="str">
        <f t="shared" si="312"/>
        <v>E100023</v>
      </c>
      <c r="E1328" s="33"/>
      <c r="F1328" s="34"/>
      <c r="G1328" s="34" t="str">
        <f>"""NAV Direct"",""CRONUS JetCorp USA"",""32"",""1"",""44540"""</f>
        <v>"NAV Direct","CRONUS JetCorp USA","32","1","44540"</v>
      </c>
      <c r="H1328" s="40">
        <v>43473</v>
      </c>
      <c r="I1328" s="41">
        <v>44540</v>
      </c>
      <c r="J1328" s="42" t="str">
        <f>"Customer"</f>
        <v>Customer</v>
      </c>
      <c r="K1328" s="42" t="str">
        <f>"C100139"</f>
        <v>C100139</v>
      </c>
      <c r="L1328" s="42" t="str">
        <f>IF($J1328="Customer",_xll.NL("first",$J1328,"Name","No.","@@"&amp;$K1328),"")</f>
        <v>Gamma Ray's</v>
      </c>
      <c r="M1328" s="42" t="str">
        <f>""</f>
        <v/>
      </c>
      <c r="N1328" s="42" t="str">
        <f>IF($J1328="Item",_xll.NL("first",$J1328,"Description","No.","@@"&amp;$K1328),"")</f>
        <v/>
      </c>
      <c r="O1328" s="43">
        <v>0</v>
      </c>
      <c r="P1328" s="43">
        <v>-1</v>
      </c>
      <c r="Q1328" s="43">
        <v>0</v>
      </c>
      <c r="R1328" s="43">
        <v>0</v>
      </c>
      <c r="S1328" s="43">
        <v>0</v>
      </c>
      <c r="T1328" s="43">
        <v>0</v>
      </c>
      <c r="U1328" s="56"/>
    </row>
    <row r="1329" spans="1:21" ht="17.25" customHeight="1" x14ac:dyDescent="0.3">
      <c r="A1329" s="15" t="s">
        <v>30</v>
      </c>
      <c r="C1329" s="19"/>
      <c r="D1329" s="33" t="str">
        <f t="shared" si="312"/>
        <v>E100023</v>
      </c>
      <c r="E1329" s="33"/>
      <c r="F1329" s="34"/>
      <c r="G1329" s="34" t="str">
        <f>"""NAV Direct"",""CRONUS JetCorp USA"",""32"",""1"",""54695"""</f>
        <v>"NAV Direct","CRONUS JetCorp USA","32","1","54695"</v>
      </c>
      <c r="H1329" s="40">
        <v>43474</v>
      </c>
      <c r="I1329" s="41">
        <v>54695</v>
      </c>
      <c r="J1329" s="42" t="str">
        <f>"Customer"</f>
        <v>Customer</v>
      </c>
      <c r="K1329" s="42" t="str">
        <f>"C100096"</f>
        <v>C100096</v>
      </c>
      <c r="L1329" s="42" t="str">
        <f>IF($J1329="Customer",_xll.NL("first",$J1329,"Name","No.","@@"&amp;$K1329),"")</f>
        <v>D-Com Industries</v>
      </c>
      <c r="M1329" s="42" t="str">
        <f>""</f>
        <v/>
      </c>
      <c r="N1329" s="42" t="str">
        <f>IF($J1329="Item",_xll.NL("first",$J1329,"Description","No.","@@"&amp;$K1329),"")</f>
        <v/>
      </c>
      <c r="O1329" s="43">
        <v>0</v>
      </c>
      <c r="P1329" s="43">
        <v>-144</v>
      </c>
      <c r="Q1329" s="43">
        <v>0</v>
      </c>
      <c r="R1329" s="43">
        <v>0</v>
      </c>
      <c r="S1329" s="43">
        <v>0</v>
      </c>
      <c r="T1329" s="43">
        <v>0</v>
      </c>
      <c r="U1329" s="56"/>
    </row>
    <row r="1330" spans="1:21" ht="17.25" customHeight="1" x14ac:dyDescent="0.3">
      <c r="A1330" s="15" t="s">
        <v>30</v>
      </c>
      <c r="C1330" s="19"/>
      <c r="D1330" s="33" t="str">
        <f t="shared" si="312"/>
        <v>E100023</v>
      </c>
      <c r="E1330" s="33"/>
      <c r="F1330" s="34"/>
      <c r="G1330" s="34" t="str">
        <f>"""NAV Direct"",""CRONUS JetCorp USA"",""32"",""1"",""64615"""</f>
        <v>"NAV Direct","CRONUS JetCorp USA","32","1","64615"</v>
      </c>
      <c r="H1330" s="40">
        <v>43475</v>
      </c>
      <c r="I1330" s="41">
        <v>64615</v>
      </c>
      <c r="J1330" s="42" t="str">
        <f>"Customer"</f>
        <v>Customer</v>
      </c>
      <c r="K1330" s="42" t="str">
        <f>"C100136"</f>
        <v>C100136</v>
      </c>
      <c r="L1330" s="42" t="str">
        <f>IF($J1330="Customer",_xll.NL("first",$J1330,"Name","No.","@@"&amp;$K1330),"")</f>
        <v>First Bank</v>
      </c>
      <c r="M1330" s="42" t="str">
        <f>""</f>
        <v/>
      </c>
      <c r="N1330" s="42" t="str">
        <f>IF($J1330="Item",_xll.NL("first",$J1330,"Description","No.","@@"&amp;$K1330),"")</f>
        <v/>
      </c>
      <c r="O1330" s="43">
        <v>0</v>
      </c>
      <c r="P1330" s="43">
        <v>-144</v>
      </c>
      <c r="Q1330" s="43">
        <v>0</v>
      </c>
      <c r="R1330" s="43">
        <v>0</v>
      </c>
      <c r="S1330" s="43">
        <v>0</v>
      </c>
      <c r="T1330" s="43">
        <v>0</v>
      </c>
      <c r="U1330" s="56"/>
    </row>
    <row r="1331" spans="1:21" ht="17.25" customHeight="1" x14ac:dyDescent="0.3">
      <c r="A1331" s="15" t="s">
        <v>30</v>
      </c>
      <c r="C1331" s="19"/>
      <c r="D1331" s="33" t="str">
        <f t="shared" si="312"/>
        <v>E100023</v>
      </c>
      <c r="E1331" s="33"/>
      <c r="F1331" s="34"/>
      <c r="G1331" s="34" t="str">
        <f>"""NAV Direct"",""CRONUS JetCorp USA"",""32"",""1"",""78861"""</f>
        <v>"NAV Direct","CRONUS JetCorp USA","32","1","78861"</v>
      </c>
      <c r="H1331" s="40">
        <v>43476</v>
      </c>
      <c r="I1331" s="41">
        <v>78861</v>
      </c>
      <c r="J1331" s="42" t="str">
        <f>"Customer"</f>
        <v>Customer</v>
      </c>
      <c r="K1331" s="42" t="str">
        <f>"C100117"</f>
        <v>C100117</v>
      </c>
      <c r="L1331" s="42" t="str">
        <f>IF($J1331="Customer",_xll.NL("first",$J1331,"Name","No.","@@"&amp;$K1331),"")</f>
        <v xml:space="preserve">Tintax </v>
      </c>
      <c r="M1331" s="42" t="str">
        <f>""</f>
        <v/>
      </c>
      <c r="N1331" s="42" t="str">
        <f>IF($J1331="Item",_xll.NL("first",$J1331,"Description","No.","@@"&amp;$K1331),"")</f>
        <v/>
      </c>
      <c r="O1331" s="43">
        <v>0</v>
      </c>
      <c r="P1331" s="43">
        <v>-144</v>
      </c>
      <c r="Q1331" s="43">
        <v>0</v>
      </c>
      <c r="R1331" s="43">
        <v>0</v>
      </c>
      <c r="S1331" s="43">
        <v>0</v>
      </c>
      <c r="T1331" s="43">
        <v>0</v>
      </c>
      <c r="U1331" s="56"/>
    </row>
    <row r="1332" spans="1:21" ht="17.25" customHeight="1" x14ac:dyDescent="0.3">
      <c r="A1332" s="15" t="s">
        <v>30</v>
      </c>
      <c r="C1332" s="19"/>
      <c r="D1332" s="33"/>
      <c r="E1332" s="33"/>
      <c r="F1332" s="34"/>
      <c r="G1332" s="34"/>
      <c r="H1332" s="34"/>
      <c r="I1332" s="34"/>
      <c r="J1332" s="34"/>
      <c r="K1332" s="34"/>
      <c r="L1332" s="34"/>
      <c r="M1332" s="34"/>
      <c r="N1332" s="34"/>
      <c r="O1332" s="44"/>
      <c r="P1332" s="44"/>
      <c r="Q1332" s="44"/>
      <c r="R1332" s="44"/>
      <c r="S1332" s="44"/>
      <c r="T1332" s="44"/>
      <c r="U1332" s="57"/>
    </row>
    <row r="1333" spans="1:21" ht="17.25" customHeight="1" x14ac:dyDescent="0.3">
      <c r="A1333" s="15" t="s">
        <v>30</v>
      </c>
      <c r="C1333" s="19"/>
      <c r="D1333" s="33"/>
      <c r="E1333" s="33" t="s">
        <v>31</v>
      </c>
      <c r="F1333" s="34" t="s">
        <v>31</v>
      </c>
      <c r="G1333" s="34" t="s">
        <v>31</v>
      </c>
      <c r="H1333" s="34"/>
      <c r="I1333" s="34"/>
      <c r="J1333" s="34" t="s">
        <v>31</v>
      </c>
      <c r="K1333" s="34" t="s">
        <v>31</v>
      </c>
      <c r="L1333" s="34" t="s">
        <v>31</v>
      </c>
      <c r="M1333" s="34" t="s">
        <v>31</v>
      </c>
      <c r="N1333" s="34"/>
      <c r="U1333" s="58"/>
    </row>
    <row r="1334" spans="1:21" ht="20.25" customHeight="1" x14ac:dyDescent="0.35">
      <c r="A1334" s="15" t="s">
        <v>30</v>
      </c>
      <c r="C1334" s="19"/>
      <c r="D1334" s="35" t="str">
        <f t="shared" ref="D1334" si="313">E1334</f>
        <v>E100024</v>
      </c>
      <c r="E1334" s="36" t="str">
        <f>"E100024"</f>
        <v>E100024</v>
      </c>
      <c r="F1334" s="37" t="str">
        <f>"Arch Calculator"</f>
        <v>Arch Calculator</v>
      </c>
      <c r="G1334" s="37"/>
      <c r="H1334" s="38" t="str">
        <f>"EA"</f>
        <v>EA</v>
      </c>
      <c r="I1334" s="37"/>
      <c r="J1334" s="37"/>
      <c r="K1334" s="37"/>
      <c r="L1334" s="37"/>
      <c r="M1334" s="37"/>
      <c r="N1334" s="37"/>
      <c r="O1334" s="39">
        <f>(SUBTOTAL(9,O1335:O1348))</f>
        <v>3500</v>
      </c>
      <c r="P1334" s="39">
        <f>(SUBTOTAL(9,P1335:P1348))</f>
        <v>-522</v>
      </c>
      <c r="Q1334" s="39">
        <f>(SUBTOTAL(9,Q1335:Q1348))</f>
        <v>0</v>
      </c>
      <c r="R1334" s="39">
        <f>(SUBTOTAL(9,R1335:R1348))</f>
        <v>0</v>
      </c>
      <c r="S1334" s="39">
        <f>(SUBTOTAL(9,S1335:S1348))</f>
        <v>0</v>
      </c>
      <c r="T1334" s="39">
        <f>(SUBTOTAL(9,T1335:T1348))</f>
        <v>0</v>
      </c>
      <c r="U1334" s="55">
        <f t="shared" ref="U1334" si="314">SUBTOTAL(9,O1335:T1348)</f>
        <v>2978</v>
      </c>
    </row>
    <row r="1335" spans="1:21" ht="17.25" customHeight="1" x14ac:dyDescent="0.3">
      <c r="A1335" s="15" t="s">
        <v>30</v>
      </c>
      <c r="C1335" s="19"/>
      <c r="D1335" s="33" t="str">
        <f t="shared" ref="D1335" si="315">D1334</f>
        <v>E100024</v>
      </c>
      <c r="E1335" s="33"/>
      <c r="F1335" s="34"/>
      <c r="G1335" s="34" t="str">
        <f>"""NAV Direct"",""CRONUS JetCorp USA"",""32"",""1"",""168309"""</f>
        <v>"NAV Direct","CRONUS JetCorp USA","32","1","168309"</v>
      </c>
      <c r="H1335" s="40">
        <v>43466</v>
      </c>
      <c r="I1335" s="41">
        <v>168309</v>
      </c>
      <c r="J1335" s="42" t="str">
        <f>"Vendor"</f>
        <v>Vendor</v>
      </c>
      <c r="K1335" s="42" t="str">
        <f>"V100025"</f>
        <v>V100025</v>
      </c>
      <c r="L1335" s="42" t="str">
        <f>IF($J1335="Customer",_xll.NL("first",$J1335,"Name","No.","@@"&amp;$K1335),"")</f>
        <v/>
      </c>
      <c r="M1335" s="42" t="str">
        <f>"Club Euroamis"</f>
        <v>Club Euroamis</v>
      </c>
      <c r="N1335" s="42" t="str">
        <f>IF($J1335="Item",_xll.NL("first",$J1335,"Description","No.","@@"&amp;$K1335),"")</f>
        <v/>
      </c>
      <c r="O1335" s="43">
        <v>499.99999999999994</v>
      </c>
      <c r="P1335" s="43">
        <v>0</v>
      </c>
      <c r="Q1335" s="43">
        <v>0</v>
      </c>
      <c r="R1335" s="43">
        <v>0</v>
      </c>
      <c r="S1335" s="43">
        <v>0</v>
      </c>
      <c r="T1335" s="43">
        <v>0</v>
      </c>
      <c r="U1335" s="56"/>
    </row>
    <row r="1336" spans="1:21" ht="17.25" customHeight="1" x14ac:dyDescent="0.3">
      <c r="A1336" s="15" t="s">
        <v>30</v>
      </c>
      <c r="C1336" s="19"/>
      <c r="D1336" s="33" t="str">
        <f t="shared" ref="D1336:D1347" si="316">D1335</f>
        <v>E100024</v>
      </c>
      <c r="E1336" s="33"/>
      <c r="F1336" s="34"/>
      <c r="G1336" s="34" t="str">
        <f>"""NAV Direct"",""CRONUS JetCorp USA"",""32"",""1"",""168319"""</f>
        <v>"NAV Direct","CRONUS JetCorp USA","32","1","168319"</v>
      </c>
      <c r="H1336" s="40">
        <v>43466</v>
      </c>
      <c r="I1336" s="41">
        <v>168319</v>
      </c>
      <c r="J1336" s="42" t="str">
        <f>"Vendor"</f>
        <v>Vendor</v>
      </c>
      <c r="K1336" s="42" t="str">
        <f>"V100040"</f>
        <v>V100040</v>
      </c>
      <c r="L1336" s="42" t="str">
        <f>IF($J1336="Customer",_xll.NL("first",$J1336,"Name","No.","@@"&amp;$K1336),"")</f>
        <v/>
      </c>
      <c r="M1336" s="42" t="str">
        <f>"Technische Betriebe Rotkreuz"</f>
        <v>Technische Betriebe Rotkreuz</v>
      </c>
      <c r="N1336" s="42" t="str">
        <f>IF($J1336="Item",_xll.NL("first",$J1336,"Description","No.","@@"&amp;$K1336),"")</f>
        <v/>
      </c>
      <c r="O1336" s="43">
        <v>499.99999999999994</v>
      </c>
      <c r="P1336" s="43">
        <v>0</v>
      </c>
      <c r="Q1336" s="43">
        <v>0</v>
      </c>
      <c r="R1336" s="43">
        <v>0</v>
      </c>
      <c r="S1336" s="43">
        <v>0</v>
      </c>
      <c r="T1336" s="43">
        <v>0</v>
      </c>
      <c r="U1336" s="56"/>
    </row>
    <row r="1337" spans="1:21" ht="17.25" customHeight="1" x14ac:dyDescent="0.3">
      <c r="A1337" s="15" t="s">
        <v>30</v>
      </c>
      <c r="C1337" s="19"/>
      <c r="D1337" s="33" t="str">
        <f t="shared" si="316"/>
        <v>E100024</v>
      </c>
      <c r="E1337" s="33"/>
      <c r="F1337" s="34"/>
      <c r="G1337" s="34" t="str">
        <f>"""NAV Direct"",""CRONUS JetCorp USA"",""32"",""1"",""168327"""</f>
        <v>"NAV Direct","CRONUS JetCorp USA","32","1","168327"</v>
      </c>
      <c r="H1337" s="40">
        <v>43466</v>
      </c>
      <c r="I1337" s="41">
        <v>168327</v>
      </c>
      <c r="J1337" s="42" t="str">
        <f>"Vendor"</f>
        <v>Vendor</v>
      </c>
      <c r="K1337" s="42" t="str">
        <f>"V100001"</f>
        <v>V100001</v>
      </c>
      <c r="L1337" s="42" t="str">
        <f>IF($J1337="Customer",_xll.NL("first",$J1337,"Name","No.","@@"&amp;$K1337),"")</f>
        <v/>
      </c>
      <c r="M1337" s="42" t="str">
        <f>"Greigner, Inc."</f>
        <v>Greigner, Inc.</v>
      </c>
      <c r="N1337" s="42" t="str">
        <f>IF($J1337="Item",_xll.NL("first",$J1337,"Description","No.","@@"&amp;$K1337),"")</f>
        <v/>
      </c>
      <c r="O1337" s="43">
        <v>249.99999999999997</v>
      </c>
      <c r="P1337" s="43">
        <v>0</v>
      </c>
      <c r="Q1337" s="43">
        <v>0</v>
      </c>
      <c r="R1337" s="43">
        <v>0</v>
      </c>
      <c r="S1337" s="43">
        <v>0</v>
      </c>
      <c r="T1337" s="43">
        <v>0</v>
      </c>
      <c r="U1337" s="56"/>
    </row>
    <row r="1338" spans="1:21" ht="17.25" customHeight="1" x14ac:dyDescent="0.3">
      <c r="A1338" s="15" t="s">
        <v>30</v>
      </c>
      <c r="C1338" s="19"/>
      <c r="D1338" s="33" t="str">
        <f t="shared" si="316"/>
        <v>E100024</v>
      </c>
      <c r="E1338" s="33"/>
      <c r="F1338" s="34"/>
      <c r="G1338" s="34" t="str">
        <f>"""NAV Direct"",""CRONUS JetCorp USA"",""32"",""1"",""168330"""</f>
        <v>"NAV Direct","CRONUS JetCorp USA","32","1","168330"</v>
      </c>
      <c r="H1338" s="40">
        <v>43466</v>
      </c>
      <c r="I1338" s="41">
        <v>168330</v>
      </c>
      <c r="J1338" s="42" t="str">
        <f>"Vendor"</f>
        <v>Vendor</v>
      </c>
      <c r="K1338" s="42" t="str">
        <f>"V100007"</f>
        <v>V100007</v>
      </c>
      <c r="L1338" s="42" t="str">
        <f>IF($J1338="Customer",_xll.NL("first",$J1338,"Name","No.","@@"&amp;$K1338),"")</f>
        <v/>
      </c>
      <c r="M1338" s="42" t="str">
        <f>"TrendTech"</f>
        <v>TrendTech</v>
      </c>
      <c r="N1338" s="42" t="str">
        <f>IF($J1338="Item",_xll.NL("first",$J1338,"Description","No.","@@"&amp;$K1338),"")</f>
        <v/>
      </c>
      <c r="O1338" s="43">
        <v>249.99999999999997</v>
      </c>
      <c r="P1338" s="43">
        <v>0</v>
      </c>
      <c r="Q1338" s="43">
        <v>0</v>
      </c>
      <c r="R1338" s="43">
        <v>0</v>
      </c>
      <c r="S1338" s="43">
        <v>0</v>
      </c>
      <c r="T1338" s="43">
        <v>0</v>
      </c>
      <c r="U1338" s="56"/>
    </row>
    <row r="1339" spans="1:21" ht="17.25" customHeight="1" x14ac:dyDescent="0.3">
      <c r="A1339" s="15" t="s">
        <v>30</v>
      </c>
      <c r="C1339" s="19"/>
      <c r="D1339" s="33" t="str">
        <f t="shared" si="316"/>
        <v>E100024</v>
      </c>
      <c r="E1339" s="33"/>
      <c r="F1339" s="34"/>
      <c r="G1339" s="34" t="str">
        <f>"""NAV Direct"",""CRONUS JetCorp USA"",""32"",""1"",""168344"""</f>
        <v>"NAV Direct","CRONUS JetCorp USA","32","1","168344"</v>
      </c>
      <c r="H1339" s="40">
        <v>43466</v>
      </c>
      <c r="I1339" s="41">
        <v>168344</v>
      </c>
      <c r="J1339" s="42" t="str">
        <f>"Vendor"</f>
        <v>Vendor</v>
      </c>
      <c r="K1339" s="42" t="str">
        <f>"V100001"</f>
        <v>V100001</v>
      </c>
      <c r="L1339" s="42" t="str">
        <f>IF($J1339="Customer",_xll.NL("first",$J1339,"Name","No.","@@"&amp;$K1339),"")</f>
        <v/>
      </c>
      <c r="M1339" s="42" t="str">
        <f>"Greigner, Inc."</f>
        <v>Greigner, Inc.</v>
      </c>
      <c r="N1339" s="42" t="str">
        <f>IF($J1339="Item",_xll.NL("first",$J1339,"Description","No.","@@"&amp;$K1339),"")</f>
        <v/>
      </c>
      <c r="O1339" s="43">
        <v>1250</v>
      </c>
      <c r="P1339" s="43">
        <v>0</v>
      </c>
      <c r="Q1339" s="43">
        <v>0</v>
      </c>
      <c r="R1339" s="43">
        <v>0</v>
      </c>
      <c r="S1339" s="43">
        <v>0</v>
      </c>
      <c r="T1339" s="43">
        <v>0</v>
      </c>
      <c r="U1339" s="56"/>
    </row>
    <row r="1340" spans="1:21" ht="17.25" customHeight="1" x14ac:dyDescent="0.3">
      <c r="A1340" s="15" t="s">
        <v>30</v>
      </c>
      <c r="C1340" s="19"/>
      <c r="D1340" s="33" t="str">
        <f t="shared" si="316"/>
        <v>E100024</v>
      </c>
      <c r="E1340" s="33"/>
      <c r="F1340" s="34"/>
      <c r="G1340" s="34" t="str">
        <f>"""NAV Direct"",""CRONUS JetCorp USA"",""32"",""1"",""168359"""</f>
        <v>"NAV Direct","CRONUS JetCorp USA","32","1","168359"</v>
      </c>
      <c r="H1340" s="40">
        <v>43466</v>
      </c>
      <c r="I1340" s="41">
        <v>168359</v>
      </c>
      <c r="J1340" s="42" t="str">
        <f>"Vendor"</f>
        <v>Vendor</v>
      </c>
      <c r="K1340" s="42" t="str">
        <f>"V100003"</f>
        <v>V100003</v>
      </c>
      <c r="L1340" s="42" t="str">
        <f>IF($J1340="Customer",_xll.NL("first",$J1340,"Name","No.","@@"&amp;$K1340),"")</f>
        <v/>
      </c>
      <c r="M1340" s="42" t="str">
        <f>"LogoMasters"</f>
        <v>LogoMasters</v>
      </c>
      <c r="N1340" s="42" t="str">
        <f>IF($J1340="Item",_xll.NL("first",$J1340,"Description","No.","@@"&amp;$K1340),"")</f>
        <v/>
      </c>
      <c r="O1340" s="43">
        <v>249.99999999999997</v>
      </c>
      <c r="P1340" s="43">
        <v>0</v>
      </c>
      <c r="Q1340" s="43">
        <v>0</v>
      </c>
      <c r="R1340" s="43">
        <v>0</v>
      </c>
      <c r="S1340" s="43">
        <v>0</v>
      </c>
      <c r="T1340" s="43">
        <v>0</v>
      </c>
      <c r="U1340" s="56"/>
    </row>
    <row r="1341" spans="1:21" ht="17.25" customHeight="1" x14ac:dyDescent="0.3">
      <c r="A1341" s="15" t="s">
        <v>30</v>
      </c>
      <c r="C1341" s="19"/>
      <c r="D1341" s="33" t="str">
        <f t="shared" si="316"/>
        <v>E100024</v>
      </c>
      <c r="E1341" s="33"/>
      <c r="F1341" s="34"/>
      <c r="G1341" s="34" t="str">
        <f>"""NAV Direct"",""CRONUS JetCorp USA"",""32"",""1"",""168366"""</f>
        <v>"NAV Direct","CRONUS JetCorp USA","32","1","168366"</v>
      </c>
      <c r="H1341" s="40">
        <v>43466</v>
      </c>
      <c r="I1341" s="41">
        <v>168366</v>
      </c>
      <c r="J1341" s="42" t="str">
        <f>"Vendor"</f>
        <v>Vendor</v>
      </c>
      <c r="K1341" s="42" t="str">
        <f>"V100001"</f>
        <v>V100001</v>
      </c>
      <c r="L1341" s="42" t="str">
        <f>IF($J1341="Customer",_xll.NL("first",$J1341,"Name","No.","@@"&amp;$K1341),"")</f>
        <v/>
      </c>
      <c r="M1341" s="42" t="str">
        <f>"Greigner, Inc."</f>
        <v>Greigner, Inc.</v>
      </c>
      <c r="N1341" s="42" t="str">
        <f>IF($J1341="Item",_xll.NL("first",$J1341,"Description","No.","@@"&amp;$K1341),"")</f>
        <v/>
      </c>
      <c r="O1341" s="43">
        <v>499.99999999999994</v>
      </c>
      <c r="P1341" s="43">
        <v>0</v>
      </c>
      <c r="Q1341" s="43">
        <v>0</v>
      </c>
      <c r="R1341" s="43">
        <v>0</v>
      </c>
      <c r="S1341" s="43">
        <v>0</v>
      </c>
      <c r="T1341" s="43">
        <v>0</v>
      </c>
      <c r="U1341" s="56"/>
    </row>
    <row r="1342" spans="1:21" ht="17.25" customHeight="1" x14ac:dyDescent="0.3">
      <c r="A1342" s="15" t="s">
        <v>30</v>
      </c>
      <c r="C1342" s="19"/>
      <c r="D1342" s="33" t="str">
        <f t="shared" si="316"/>
        <v>E100024</v>
      </c>
      <c r="E1342" s="33"/>
      <c r="F1342" s="34"/>
      <c r="G1342" s="34" t="str">
        <f>"""NAV Direct"",""CRONUS JetCorp USA"",""32"",""1"",""158691"""</f>
        <v>"NAV Direct","CRONUS JetCorp USA","32","1","158691"</v>
      </c>
      <c r="H1342" s="40">
        <v>43471</v>
      </c>
      <c r="I1342" s="41">
        <v>158691</v>
      </c>
      <c r="J1342" s="42" t="str">
        <f>"Customer"</f>
        <v>Customer</v>
      </c>
      <c r="K1342" s="42" t="str">
        <f>"C100126"</f>
        <v>C100126</v>
      </c>
      <c r="L1342" s="42" t="str">
        <f>IF($J1342="Customer",_xll.NL("first",$J1342,"Name","No.","@@"&amp;$K1342),"")</f>
        <v>Moveex</v>
      </c>
      <c r="M1342" s="42" t="str">
        <f>""</f>
        <v/>
      </c>
      <c r="N1342" s="42" t="str">
        <f>IF($J1342="Item",_xll.NL("first",$J1342,"Description","No.","@@"&amp;$K1342),"")</f>
        <v/>
      </c>
      <c r="O1342" s="43">
        <v>0</v>
      </c>
      <c r="P1342" s="43">
        <v>12</v>
      </c>
      <c r="Q1342" s="43">
        <v>0</v>
      </c>
      <c r="R1342" s="43">
        <v>0</v>
      </c>
      <c r="S1342" s="43">
        <v>0</v>
      </c>
      <c r="T1342" s="43">
        <v>0</v>
      </c>
      <c r="U1342" s="56"/>
    </row>
    <row r="1343" spans="1:21" ht="17.25" customHeight="1" x14ac:dyDescent="0.3">
      <c r="A1343" s="15" t="s">
        <v>30</v>
      </c>
      <c r="C1343" s="19"/>
      <c r="D1343" s="33" t="str">
        <f t="shared" si="316"/>
        <v>E100024</v>
      </c>
      <c r="E1343" s="33"/>
      <c r="F1343" s="34"/>
      <c r="G1343" s="34" t="str">
        <f>"""NAV Direct"",""CRONUS JetCorp USA"",""32"",""1"",""44532"""</f>
        <v>"NAV Direct","CRONUS JetCorp USA","32","1","44532"</v>
      </c>
      <c r="H1343" s="40">
        <v>43473</v>
      </c>
      <c r="I1343" s="41">
        <v>44532</v>
      </c>
      <c r="J1343" s="42" t="str">
        <f>"Customer"</f>
        <v>Customer</v>
      </c>
      <c r="K1343" s="42" t="str">
        <f>"C100139"</f>
        <v>C100139</v>
      </c>
      <c r="L1343" s="42" t="str">
        <f>IF($J1343="Customer",_xll.NL("first",$J1343,"Name","No.","@@"&amp;$K1343),"")</f>
        <v>Gamma Ray's</v>
      </c>
      <c r="M1343" s="42" t="str">
        <f>""</f>
        <v/>
      </c>
      <c r="N1343" s="42" t="str">
        <f>IF($J1343="Item",_xll.NL("first",$J1343,"Description","No.","@@"&amp;$K1343),"")</f>
        <v/>
      </c>
      <c r="O1343" s="43">
        <v>0</v>
      </c>
      <c r="P1343" s="43">
        <v>-48</v>
      </c>
      <c r="Q1343" s="43">
        <v>0</v>
      </c>
      <c r="R1343" s="43">
        <v>0</v>
      </c>
      <c r="S1343" s="43">
        <v>0</v>
      </c>
      <c r="T1343" s="43">
        <v>0</v>
      </c>
      <c r="U1343" s="56"/>
    </row>
    <row r="1344" spans="1:21" ht="17.25" customHeight="1" x14ac:dyDescent="0.3">
      <c r="A1344" s="15" t="s">
        <v>30</v>
      </c>
      <c r="C1344" s="19"/>
      <c r="D1344" s="33" t="str">
        <f t="shared" si="316"/>
        <v>E100024</v>
      </c>
      <c r="E1344" s="33"/>
      <c r="F1344" s="34"/>
      <c r="G1344" s="34" t="str">
        <f>"""NAV Direct"",""CRONUS JetCorp USA"",""32"",""1"",""78885"""</f>
        <v>"NAV Direct","CRONUS JetCorp USA","32","1","78885"</v>
      </c>
      <c r="H1344" s="40">
        <v>43474</v>
      </c>
      <c r="I1344" s="41">
        <v>78885</v>
      </c>
      <c r="J1344" s="42" t="str">
        <f>"Customer"</f>
        <v>Customer</v>
      </c>
      <c r="K1344" s="42" t="str">
        <f>"C100124"</f>
        <v>C100124</v>
      </c>
      <c r="L1344" s="42" t="str">
        <f>IF($J1344="Customer",_xll.NL("first",$J1344,"Name","No.","@@"&amp;$K1344),"")</f>
        <v>Ontocane Outdoors</v>
      </c>
      <c r="M1344" s="42" t="str">
        <f>""</f>
        <v/>
      </c>
      <c r="N1344" s="42" t="str">
        <f>IF($J1344="Item",_xll.NL("first",$J1344,"Description","No.","@@"&amp;$K1344),"")</f>
        <v/>
      </c>
      <c r="O1344" s="43">
        <v>0</v>
      </c>
      <c r="P1344" s="43">
        <v>-288</v>
      </c>
      <c r="Q1344" s="43">
        <v>0</v>
      </c>
      <c r="R1344" s="43">
        <v>0</v>
      </c>
      <c r="S1344" s="43">
        <v>0</v>
      </c>
      <c r="T1344" s="43">
        <v>0</v>
      </c>
      <c r="U1344" s="56"/>
    </row>
    <row r="1345" spans="1:21" ht="17.25" customHeight="1" x14ac:dyDescent="0.3">
      <c r="A1345" s="15" t="s">
        <v>30</v>
      </c>
      <c r="C1345" s="19"/>
      <c r="D1345" s="33" t="str">
        <f t="shared" si="316"/>
        <v>E100024</v>
      </c>
      <c r="E1345" s="33"/>
      <c r="F1345" s="34"/>
      <c r="G1345" s="34" t="str">
        <f>"""NAV Direct"",""CRONUS JetCorp USA"",""32"",""1"",""78897"""</f>
        <v>"NAV Direct","CRONUS JetCorp USA","32","1","78897"</v>
      </c>
      <c r="H1345" s="40">
        <v>43475</v>
      </c>
      <c r="I1345" s="41">
        <v>78897</v>
      </c>
      <c r="J1345" s="42" t="str">
        <f>"Customer"</f>
        <v>Customer</v>
      </c>
      <c r="K1345" s="42" t="str">
        <f>"C100128"</f>
        <v>C100128</v>
      </c>
      <c r="L1345" s="42" t="str">
        <f>IF($J1345="Customer",_xll.NL("first",$J1345,"Name","No.","@@"&amp;$K1345),"")</f>
        <v>Solar Tech</v>
      </c>
      <c r="M1345" s="42" t="str">
        <f>""</f>
        <v/>
      </c>
      <c r="N1345" s="42" t="str">
        <f>IF($J1345="Item",_xll.NL("first",$J1345,"Description","No.","@@"&amp;$K1345),"")</f>
        <v/>
      </c>
      <c r="O1345" s="43">
        <v>0</v>
      </c>
      <c r="P1345" s="43">
        <v>-144</v>
      </c>
      <c r="Q1345" s="43">
        <v>0</v>
      </c>
      <c r="R1345" s="43">
        <v>0</v>
      </c>
      <c r="S1345" s="43">
        <v>0</v>
      </c>
      <c r="T1345" s="43">
        <v>0</v>
      </c>
      <c r="U1345" s="56"/>
    </row>
    <row r="1346" spans="1:21" ht="17.25" customHeight="1" x14ac:dyDescent="0.3">
      <c r="A1346" s="15" t="s">
        <v>30</v>
      </c>
      <c r="C1346" s="19"/>
      <c r="D1346" s="33" t="str">
        <f t="shared" si="316"/>
        <v>E100024</v>
      </c>
      <c r="E1346" s="33"/>
      <c r="F1346" s="34"/>
      <c r="G1346" s="34" t="str">
        <f>"""NAV Direct"",""CRONUS JetCorp USA"",""32"",""1"",""153184"""</f>
        <v>"NAV Direct","CRONUS JetCorp USA","32","1","153184"</v>
      </c>
      <c r="H1346" s="40">
        <v>43475</v>
      </c>
      <c r="I1346" s="41">
        <v>153184</v>
      </c>
      <c r="J1346" s="42" t="str">
        <f>"Customer"</f>
        <v>Customer</v>
      </c>
      <c r="K1346" s="42" t="str">
        <f>"C100108"</f>
        <v>C100108</v>
      </c>
      <c r="L1346" s="42" t="str">
        <f>IF($J1346="Customer",_xll.NL("first",$J1346,"Name","No.","@@"&amp;$K1346),"")</f>
        <v>Kinfix Industries</v>
      </c>
      <c r="M1346" s="42" t="str">
        <f>""</f>
        <v/>
      </c>
      <c r="N1346" s="42" t="str">
        <f>IF($J1346="Item",_xll.NL("first",$J1346,"Description","No.","@@"&amp;$K1346),"")</f>
        <v/>
      </c>
      <c r="O1346" s="43">
        <v>0</v>
      </c>
      <c r="P1346" s="43">
        <v>-6</v>
      </c>
      <c r="Q1346" s="43">
        <v>0</v>
      </c>
      <c r="R1346" s="43">
        <v>0</v>
      </c>
      <c r="S1346" s="43">
        <v>0</v>
      </c>
      <c r="T1346" s="43">
        <v>0</v>
      </c>
      <c r="U1346" s="56"/>
    </row>
    <row r="1347" spans="1:21" ht="17.25" customHeight="1" x14ac:dyDescent="0.3">
      <c r="A1347" s="15" t="s">
        <v>30</v>
      </c>
      <c r="C1347" s="19"/>
      <c r="D1347" s="33" t="str">
        <f t="shared" si="316"/>
        <v>E100024</v>
      </c>
      <c r="E1347" s="33"/>
      <c r="F1347" s="34"/>
      <c r="G1347" s="34" t="str">
        <f>"""NAV Direct"",""CRONUS JetCorp USA"",""32"",""1"",""78863"""</f>
        <v>"NAV Direct","CRONUS JetCorp USA","32","1","78863"</v>
      </c>
      <c r="H1347" s="40">
        <v>43476</v>
      </c>
      <c r="I1347" s="41">
        <v>78863</v>
      </c>
      <c r="J1347" s="42" t="str">
        <f>"Customer"</f>
        <v>Customer</v>
      </c>
      <c r="K1347" s="42" t="str">
        <f>"C100117"</f>
        <v>C100117</v>
      </c>
      <c r="L1347" s="42" t="str">
        <f>IF($J1347="Customer",_xll.NL("first",$J1347,"Name","No.","@@"&amp;$K1347),"")</f>
        <v xml:space="preserve">Tintax </v>
      </c>
      <c r="M1347" s="42" t="str">
        <f>""</f>
        <v/>
      </c>
      <c r="N1347" s="42" t="str">
        <f>IF($J1347="Item",_xll.NL("first",$J1347,"Description","No.","@@"&amp;$K1347),"")</f>
        <v/>
      </c>
      <c r="O1347" s="43">
        <v>0</v>
      </c>
      <c r="P1347" s="43">
        <v>-48</v>
      </c>
      <c r="Q1347" s="43">
        <v>0</v>
      </c>
      <c r="R1347" s="43">
        <v>0</v>
      </c>
      <c r="S1347" s="43">
        <v>0</v>
      </c>
      <c r="T1347" s="43">
        <v>0</v>
      </c>
      <c r="U1347" s="56"/>
    </row>
    <row r="1348" spans="1:21" ht="17.25" customHeight="1" x14ac:dyDescent="0.3">
      <c r="A1348" s="15" t="s">
        <v>30</v>
      </c>
      <c r="C1348" s="19"/>
      <c r="D1348" s="33"/>
      <c r="E1348" s="33"/>
      <c r="F1348" s="34"/>
      <c r="G1348" s="34"/>
      <c r="H1348" s="34"/>
      <c r="I1348" s="34"/>
      <c r="J1348" s="34"/>
      <c r="K1348" s="34"/>
      <c r="L1348" s="34"/>
      <c r="M1348" s="34"/>
      <c r="N1348" s="34"/>
      <c r="O1348" s="44"/>
      <c r="P1348" s="44"/>
      <c r="Q1348" s="44"/>
      <c r="R1348" s="44"/>
      <c r="S1348" s="44"/>
      <c r="T1348" s="44"/>
      <c r="U1348" s="57"/>
    </row>
    <row r="1349" spans="1:21" ht="17.25" customHeight="1" x14ac:dyDescent="0.3">
      <c r="A1349" s="15" t="s">
        <v>30</v>
      </c>
      <c r="C1349" s="19"/>
      <c r="D1349" s="33"/>
      <c r="E1349" s="33" t="s">
        <v>31</v>
      </c>
      <c r="F1349" s="34" t="s">
        <v>31</v>
      </c>
      <c r="G1349" s="34" t="s">
        <v>31</v>
      </c>
      <c r="H1349" s="34"/>
      <c r="I1349" s="34"/>
      <c r="J1349" s="34" t="s">
        <v>31</v>
      </c>
      <c r="K1349" s="34" t="s">
        <v>31</v>
      </c>
      <c r="L1349" s="34" t="s">
        <v>31</v>
      </c>
      <c r="M1349" s="34" t="s">
        <v>31</v>
      </c>
      <c r="N1349" s="34"/>
      <c r="U1349" s="58"/>
    </row>
    <row r="1350" spans="1:21" ht="20.25" customHeight="1" x14ac:dyDescent="0.35">
      <c r="A1350" s="15" t="s">
        <v>30</v>
      </c>
      <c r="C1350" s="19"/>
      <c r="D1350" s="35" t="str">
        <f t="shared" ref="D1350" si="317">E1350</f>
        <v>E100025</v>
      </c>
      <c r="E1350" s="36" t="str">
        <f>"E100025"</f>
        <v>E100025</v>
      </c>
      <c r="F1350" s="37" t="str">
        <f>"Calc-U-Note"</f>
        <v>Calc-U-Note</v>
      </c>
      <c r="G1350" s="37"/>
      <c r="H1350" s="38" t="str">
        <f>"EA"</f>
        <v>EA</v>
      </c>
      <c r="I1350" s="37"/>
      <c r="J1350" s="37"/>
      <c r="K1350" s="37"/>
      <c r="L1350" s="37"/>
      <c r="M1350" s="37"/>
      <c r="N1350" s="37"/>
      <c r="O1350" s="39">
        <f>(SUBTOTAL(9,O1351:O1359))</f>
        <v>3250</v>
      </c>
      <c r="P1350" s="39">
        <f>(SUBTOTAL(9,P1351:P1359))</f>
        <v>-50</v>
      </c>
      <c r="Q1350" s="39">
        <f>(SUBTOTAL(9,Q1351:Q1359))</f>
        <v>0</v>
      </c>
      <c r="R1350" s="39">
        <f>(SUBTOTAL(9,R1351:R1359))</f>
        <v>0</v>
      </c>
      <c r="S1350" s="39">
        <f>(SUBTOTAL(9,S1351:S1359))</f>
        <v>0</v>
      </c>
      <c r="T1350" s="39">
        <f>(SUBTOTAL(9,T1351:T1359))</f>
        <v>0</v>
      </c>
      <c r="U1350" s="55">
        <f t="shared" ref="U1350" si="318">SUBTOTAL(9,O1351:T1359)</f>
        <v>3200</v>
      </c>
    </row>
    <row r="1351" spans="1:21" ht="17.25" customHeight="1" x14ac:dyDescent="0.3">
      <c r="A1351" s="15" t="s">
        <v>30</v>
      </c>
      <c r="C1351" s="19"/>
      <c r="D1351" s="33" t="str">
        <f t="shared" ref="D1351" si="319">D1350</f>
        <v>E100025</v>
      </c>
      <c r="E1351" s="33"/>
      <c r="F1351" s="34"/>
      <c r="G1351" s="34" t="str">
        <f>"""NAV Direct"",""CRONUS JetCorp USA"",""32"",""1"",""168308"""</f>
        <v>"NAV Direct","CRONUS JetCorp USA","32","1","168308"</v>
      </c>
      <c r="H1351" s="40">
        <v>43466</v>
      </c>
      <c r="I1351" s="41">
        <v>168308</v>
      </c>
      <c r="J1351" s="42" t="str">
        <f>"Vendor"</f>
        <v>Vendor</v>
      </c>
      <c r="K1351" s="42" t="str">
        <f>"V100025"</f>
        <v>V100025</v>
      </c>
      <c r="L1351" s="42" t="str">
        <f>IF($J1351="Customer",_xll.NL("first",$J1351,"Name","No.","@@"&amp;$K1351),"")</f>
        <v/>
      </c>
      <c r="M1351" s="42" t="str">
        <f>"Club Euroamis"</f>
        <v>Club Euroamis</v>
      </c>
      <c r="N1351" s="42" t="str">
        <f>IF($J1351="Item",_xll.NL("first",$J1351,"Description","No.","@@"&amp;$K1351),"")</f>
        <v/>
      </c>
      <c r="O1351" s="43">
        <v>249.99999999999997</v>
      </c>
      <c r="P1351" s="43">
        <v>0</v>
      </c>
      <c r="Q1351" s="43">
        <v>0</v>
      </c>
      <c r="R1351" s="43">
        <v>0</v>
      </c>
      <c r="S1351" s="43">
        <v>0</v>
      </c>
      <c r="T1351" s="43">
        <v>0</v>
      </c>
      <c r="U1351" s="56"/>
    </row>
    <row r="1352" spans="1:21" ht="17.25" customHeight="1" x14ac:dyDescent="0.3">
      <c r="A1352" s="15" t="s">
        <v>30</v>
      </c>
      <c r="C1352" s="19"/>
      <c r="D1352" s="33" t="str">
        <f t="shared" ref="D1352:D1358" si="320">D1351</f>
        <v>E100025</v>
      </c>
      <c r="E1352" s="33"/>
      <c r="F1352" s="34"/>
      <c r="G1352" s="34" t="str">
        <f>"""NAV Direct"",""CRONUS JetCorp USA"",""32"",""1"",""168318"""</f>
        <v>"NAV Direct","CRONUS JetCorp USA","32","1","168318"</v>
      </c>
      <c r="H1352" s="40">
        <v>43466</v>
      </c>
      <c r="I1352" s="41">
        <v>168318</v>
      </c>
      <c r="J1352" s="42" t="str">
        <f>"Vendor"</f>
        <v>Vendor</v>
      </c>
      <c r="K1352" s="42" t="str">
        <f>"V100040"</f>
        <v>V100040</v>
      </c>
      <c r="L1352" s="42" t="str">
        <f>IF($J1352="Customer",_xll.NL("first",$J1352,"Name","No.","@@"&amp;$K1352),"")</f>
        <v/>
      </c>
      <c r="M1352" s="42" t="str">
        <f>"Technische Betriebe Rotkreuz"</f>
        <v>Technische Betriebe Rotkreuz</v>
      </c>
      <c r="N1352" s="42" t="str">
        <f>IF($J1352="Item",_xll.NL("first",$J1352,"Description","No.","@@"&amp;$K1352),"")</f>
        <v/>
      </c>
      <c r="O1352" s="43">
        <v>499.99999999999994</v>
      </c>
      <c r="P1352" s="43">
        <v>0</v>
      </c>
      <c r="Q1352" s="43">
        <v>0</v>
      </c>
      <c r="R1352" s="43">
        <v>0</v>
      </c>
      <c r="S1352" s="43">
        <v>0</v>
      </c>
      <c r="T1352" s="43">
        <v>0</v>
      </c>
      <c r="U1352" s="56"/>
    </row>
    <row r="1353" spans="1:21" ht="17.25" customHeight="1" x14ac:dyDescent="0.3">
      <c r="A1353" s="15" t="s">
        <v>30</v>
      </c>
      <c r="C1353" s="19"/>
      <c r="D1353" s="33" t="str">
        <f t="shared" si="320"/>
        <v>E100025</v>
      </c>
      <c r="E1353" s="33"/>
      <c r="F1353" s="34"/>
      <c r="G1353" s="34" t="str">
        <f>"""NAV Direct"",""CRONUS JetCorp USA"",""32"",""1"",""168343"""</f>
        <v>"NAV Direct","CRONUS JetCorp USA","32","1","168343"</v>
      </c>
      <c r="H1353" s="40">
        <v>43466</v>
      </c>
      <c r="I1353" s="41">
        <v>168343</v>
      </c>
      <c r="J1353" s="42" t="str">
        <f>"Vendor"</f>
        <v>Vendor</v>
      </c>
      <c r="K1353" s="42" t="str">
        <f>"V100001"</f>
        <v>V100001</v>
      </c>
      <c r="L1353" s="42" t="str">
        <f>IF($J1353="Customer",_xll.NL("first",$J1353,"Name","No.","@@"&amp;$K1353),"")</f>
        <v/>
      </c>
      <c r="M1353" s="42" t="str">
        <f>"Greigner, Inc."</f>
        <v>Greigner, Inc.</v>
      </c>
      <c r="N1353" s="42" t="str">
        <f>IF($J1353="Item",_xll.NL("first",$J1353,"Description","No.","@@"&amp;$K1353),"")</f>
        <v/>
      </c>
      <c r="O1353" s="43">
        <v>999.99999999999989</v>
      </c>
      <c r="P1353" s="43">
        <v>0</v>
      </c>
      <c r="Q1353" s="43">
        <v>0</v>
      </c>
      <c r="R1353" s="43">
        <v>0</v>
      </c>
      <c r="S1353" s="43">
        <v>0</v>
      </c>
      <c r="T1353" s="43">
        <v>0</v>
      </c>
      <c r="U1353" s="56"/>
    </row>
    <row r="1354" spans="1:21" ht="17.25" customHeight="1" x14ac:dyDescent="0.3">
      <c r="A1354" s="15" t="s">
        <v>30</v>
      </c>
      <c r="C1354" s="19"/>
      <c r="D1354" s="33" t="str">
        <f t="shared" si="320"/>
        <v>E100025</v>
      </c>
      <c r="E1354" s="33"/>
      <c r="F1354" s="34"/>
      <c r="G1354" s="34" t="str">
        <f>"""NAV Direct"",""CRONUS JetCorp USA"",""32"",""1"",""168358"""</f>
        <v>"NAV Direct","CRONUS JetCorp USA","32","1","168358"</v>
      </c>
      <c r="H1354" s="40">
        <v>43466</v>
      </c>
      <c r="I1354" s="41">
        <v>168358</v>
      </c>
      <c r="J1354" s="42" t="str">
        <f>"Vendor"</f>
        <v>Vendor</v>
      </c>
      <c r="K1354" s="42" t="str">
        <f>"V100003"</f>
        <v>V100003</v>
      </c>
      <c r="L1354" s="42" t="str">
        <f>IF($J1354="Customer",_xll.NL("first",$J1354,"Name","No.","@@"&amp;$K1354),"")</f>
        <v/>
      </c>
      <c r="M1354" s="42" t="str">
        <f>"LogoMasters"</f>
        <v>LogoMasters</v>
      </c>
      <c r="N1354" s="42" t="str">
        <f>IF($J1354="Item",_xll.NL("first",$J1354,"Description","No.","@@"&amp;$K1354),"")</f>
        <v/>
      </c>
      <c r="O1354" s="43">
        <v>1250</v>
      </c>
      <c r="P1354" s="43">
        <v>0</v>
      </c>
      <c r="Q1354" s="43">
        <v>0</v>
      </c>
      <c r="R1354" s="43">
        <v>0</v>
      </c>
      <c r="S1354" s="43">
        <v>0</v>
      </c>
      <c r="T1354" s="43">
        <v>0</v>
      </c>
      <c r="U1354" s="56"/>
    </row>
    <row r="1355" spans="1:21" ht="17.25" customHeight="1" x14ac:dyDescent="0.3">
      <c r="A1355" s="15" t="s">
        <v>30</v>
      </c>
      <c r="C1355" s="19"/>
      <c r="D1355" s="33" t="str">
        <f t="shared" si="320"/>
        <v>E100025</v>
      </c>
      <c r="E1355" s="33"/>
      <c r="F1355" s="34"/>
      <c r="G1355" s="34" t="str">
        <f>"""NAV Direct"",""CRONUS JetCorp USA"",""32"",""1"",""168365"""</f>
        <v>"NAV Direct","CRONUS JetCorp USA","32","1","168365"</v>
      </c>
      <c r="H1355" s="40">
        <v>43466</v>
      </c>
      <c r="I1355" s="41">
        <v>168365</v>
      </c>
      <c r="J1355" s="42" t="str">
        <f>"Vendor"</f>
        <v>Vendor</v>
      </c>
      <c r="K1355" s="42" t="str">
        <f>"V100001"</f>
        <v>V100001</v>
      </c>
      <c r="L1355" s="42" t="str">
        <f>IF($J1355="Customer",_xll.NL("first",$J1355,"Name","No.","@@"&amp;$K1355),"")</f>
        <v/>
      </c>
      <c r="M1355" s="42" t="str">
        <f>"Greigner, Inc."</f>
        <v>Greigner, Inc.</v>
      </c>
      <c r="N1355" s="42" t="str">
        <f>IF($J1355="Item",_xll.NL("first",$J1355,"Description","No.","@@"&amp;$K1355),"")</f>
        <v/>
      </c>
      <c r="O1355" s="43">
        <v>249.99999999999997</v>
      </c>
      <c r="P1355" s="43">
        <v>0</v>
      </c>
      <c r="Q1355" s="43">
        <v>0</v>
      </c>
      <c r="R1355" s="43">
        <v>0</v>
      </c>
      <c r="S1355" s="43">
        <v>0</v>
      </c>
      <c r="T1355" s="43">
        <v>0</v>
      </c>
      <c r="U1355" s="56"/>
    </row>
    <row r="1356" spans="1:21" ht="17.25" customHeight="1" x14ac:dyDescent="0.3">
      <c r="A1356" s="15" t="s">
        <v>30</v>
      </c>
      <c r="C1356" s="19"/>
      <c r="D1356" s="33" t="str">
        <f t="shared" si="320"/>
        <v>E100025</v>
      </c>
      <c r="E1356" s="33"/>
      <c r="F1356" s="34"/>
      <c r="G1356" s="34" t="str">
        <f>"""NAV Direct"",""CRONUS JetCorp USA"",""32"",""1"",""153199"""</f>
        <v>"NAV Direct","CRONUS JetCorp USA","32","1","153199"</v>
      </c>
      <c r="H1356" s="40">
        <v>43469</v>
      </c>
      <c r="I1356" s="41">
        <v>153199</v>
      </c>
      <c r="J1356" s="42" t="str">
        <f>"Customer"</f>
        <v>Customer</v>
      </c>
      <c r="K1356" s="42" t="str">
        <f>"C100136"</f>
        <v>C100136</v>
      </c>
      <c r="L1356" s="42" t="str">
        <f>IF($J1356="Customer",_xll.NL("first",$J1356,"Name","No.","@@"&amp;$K1356),"")</f>
        <v>First Bank</v>
      </c>
      <c r="M1356" s="42" t="str">
        <f>""</f>
        <v/>
      </c>
      <c r="N1356" s="42" t="str">
        <f>IF($J1356="Item",_xll.NL("first",$J1356,"Description","No.","@@"&amp;$K1356),"")</f>
        <v/>
      </c>
      <c r="O1356" s="43">
        <v>0</v>
      </c>
      <c r="P1356" s="43">
        <v>-1</v>
      </c>
      <c r="Q1356" s="43">
        <v>0</v>
      </c>
      <c r="R1356" s="43">
        <v>0</v>
      </c>
      <c r="S1356" s="43">
        <v>0</v>
      </c>
      <c r="T1356" s="43">
        <v>0</v>
      </c>
      <c r="U1356" s="56"/>
    </row>
    <row r="1357" spans="1:21" ht="17.25" customHeight="1" x14ac:dyDescent="0.3">
      <c r="A1357" s="15" t="s">
        <v>30</v>
      </c>
      <c r="C1357" s="19"/>
      <c r="D1357" s="33" t="str">
        <f t="shared" si="320"/>
        <v>E100025</v>
      </c>
      <c r="E1357" s="33"/>
      <c r="F1357" s="34"/>
      <c r="G1357" s="34" t="str">
        <f>"""NAV Direct"",""CRONUS JetCorp USA"",""32"",""1"",""153172"""</f>
        <v>"NAV Direct","CRONUS JetCorp USA","32","1","153172"</v>
      </c>
      <c r="H1357" s="40">
        <v>43470</v>
      </c>
      <c r="I1357" s="41">
        <v>153172</v>
      </c>
      <c r="J1357" s="42" t="str">
        <f>"Customer"</f>
        <v>Customer</v>
      </c>
      <c r="K1357" s="42" t="str">
        <f>"C100136"</f>
        <v>C100136</v>
      </c>
      <c r="L1357" s="42" t="str">
        <f>IF($J1357="Customer",_xll.NL("first",$J1357,"Name","No.","@@"&amp;$K1357),"")</f>
        <v>First Bank</v>
      </c>
      <c r="M1357" s="42" t="str">
        <f>""</f>
        <v/>
      </c>
      <c r="N1357" s="42" t="str">
        <f>IF($J1357="Item",_xll.NL("first",$J1357,"Description","No.","@@"&amp;$K1357),"")</f>
        <v/>
      </c>
      <c r="O1357" s="43">
        <v>0</v>
      </c>
      <c r="P1357" s="43">
        <v>-48</v>
      </c>
      <c r="Q1357" s="43">
        <v>0</v>
      </c>
      <c r="R1357" s="43">
        <v>0</v>
      </c>
      <c r="S1357" s="43">
        <v>0</v>
      </c>
      <c r="T1357" s="43">
        <v>0</v>
      </c>
      <c r="U1357" s="56"/>
    </row>
    <row r="1358" spans="1:21" ht="17.25" customHeight="1" x14ac:dyDescent="0.3">
      <c r="A1358" s="15" t="s">
        <v>30</v>
      </c>
      <c r="C1358" s="19"/>
      <c r="D1358" s="33" t="str">
        <f t="shared" si="320"/>
        <v>E100025</v>
      </c>
      <c r="E1358" s="33"/>
      <c r="F1358" s="34"/>
      <c r="G1358" s="34" t="str">
        <f>"""NAV Direct"",""CRONUS JetCorp USA"",""32"",""1"",""54715"""</f>
        <v>"NAV Direct","CRONUS JetCorp USA","32","1","54715"</v>
      </c>
      <c r="H1358" s="40">
        <v>43474</v>
      </c>
      <c r="I1358" s="41">
        <v>54715</v>
      </c>
      <c r="J1358" s="42" t="str">
        <f>"Customer"</f>
        <v>Customer</v>
      </c>
      <c r="K1358" s="42" t="str">
        <f>"C100096"</f>
        <v>C100096</v>
      </c>
      <c r="L1358" s="42" t="str">
        <f>IF($J1358="Customer",_xll.NL("first",$J1358,"Name","No.","@@"&amp;$K1358),"")</f>
        <v>D-Com Industries</v>
      </c>
      <c r="M1358" s="42" t="str">
        <f>""</f>
        <v/>
      </c>
      <c r="N1358" s="42" t="str">
        <f>IF($J1358="Item",_xll.NL("first",$J1358,"Description","No.","@@"&amp;$K1358),"")</f>
        <v/>
      </c>
      <c r="O1358" s="43">
        <v>0</v>
      </c>
      <c r="P1358" s="43">
        <v>-1</v>
      </c>
      <c r="Q1358" s="43">
        <v>0</v>
      </c>
      <c r="R1358" s="43">
        <v>0</v>
      </c>
      <c r="S1358" s="43">
        <v>0</v>
      </c>
      <c r="T1358" s="43">
        <v>0</v>
      </c>
      <c r="U1358" s="56"/>
    </row>
    <row r="1359" spans="1:21" ht="17.25" customHeight="1" x14ac:dyDescent="0.3">
      <c r="A1359" s="15" t="s">
        <v>30</v>
      </c>
      <c r="C1359" s="19"/>
      <c r="D1359" s="33"/>
      <c r="E1359" s="33"/>
      <c r="F1359" s="34"/>
      <c r="G1359" s="34"/>
      <c r="H1359" s="34"/>
      <c r="I1359" s="34"/>
      <c r="J1359" s="34"/>
      <c r="K1359" s="34"/>
      <c r="L1359" s="34"/>
      <c r="M1359" s="34"/>
      <c r="N1359" s="34"/>
      <c r="O1359" s="44"/>
      <c r="P1359" s="44"/>
      <c r="Q1359" s="44"/>
      <c r="R1359" s="44"/>
      <c r="S1359" s="44"/>
      <c r="T1359" s="44"/>
      <c r="U1359" s="57"/>
    </row>
    <row r="1360" spans="1:21" ht="17.25" customHeight="1" x14ac:dyDescent="0.3">
      <c r="A1360" s="15" t="s">
        <v>30</v>
      </c>
      <c r="C1360" s="19"/>
      <c r="D1360" s="33"/>
      <c r="E1360" s="33" t="s">
        <v>31</v>
      </c>
      <c r="F1360" s="34" t="s">
        <v>31</v>
      </c>
      <c r="G1360" s="34" t="s">
        <v>31</v>
      </c>
      <c r="H1360" s="34"/>
      <c r="I1360" s="34"/>
      <c r="J1360" s="34" t="s">
        <v>31</v>
      </c>
      <c r="K1360" s="34" t="s">
        <v>31</v>
      </c>
      <c r="L1360" s="34" t="s">
        <v>31</v>
      </c>
      <c r="M1360" s="34" t="s">
        <v>31</v>
      </c>
      <c r="N1360" s="34"/>
      <c r="U1360" s="58"/>
    </row>
    <row r="1361" spans="1:21" ht="20.25" customHeight="1" x14ac:dyDescent="0.35">
      <c r="A1361" s="15" t="s">
        <v>30</v>
      </c>
      <c r="C1361" s="19"/>
      <c r="D1361" s="35" t="str">
        <f t="shared" ref="D1361" si="321">E1361</f>
        <v>E100026</v>
      </c>
      <c r="E1361" s="36" t="str">
        <f>"E100026"</f>
        <v>E100026</v>
      </c>
      <c r="F1361" s="37" t="str">
        <f>"Desk Calculator"</f>
        <v>Desk Calculator</v>
      </c>
      <c r="G1361" s="37"/>
      <c r="H1361" s="38" t="str">
        <f>"EA"</f>
        <v>EA</v>
      </c>
      <c r="I1361" s="37"/>
      <c r="J1361" s="37"/>
      <c r="K1361" s="37"/>
      <c r="L1361" s="37"/>
      <c r="M1361" s="37"/>
      <c r="N1361" s="37"/>
      <c r="O1361" s="39">
        <f>(SUBTOTAL(9,O1362:O1373))</f>
        <v>2249.9999999999995</v>
      </c>
      <c r="P1361" s="39">
        <f>(SUBTOTAL(9,P1362:P1373))</f>
        <v>-624</v>
      </c>
      <c r="Q1361" s="39">
        <f>(SUBTOTAL(9,Q1362:Q1373))</f>
        <v>0</v>
      </c>
      <c r="R1361" s="39">
        <f>(SUBTOTAL(9,R1362:R1373))</f>
        <v>0</v>
      </c>
      <c r="S1361" s="39">
        <f>(SUBTOTAL(9,S1362:S1373))</f>
        <v>0</v>
      </c>
      <c r="T1361" s="39">
        <f>(SUBTOTAL(9,T1362:T1373))</f>
        <v>0</v>
      </c>
      <c r="U1361" s="55">
        <f t="shared" ref="U1361" si="322">SUBTOTAL(9,O1362:T1373)</f>
        <v>1625.9999999999995</v>
      </c>
    </row>
    <row r="1362" spans="1:21" ht="17.25" customHeight="1" x14ac:dyDescent="0.3">
      <c r="A1362" s="15" t="s">
        <v>30</v>
      </c>
      <c r="C1362" s="19"/>
      <c r="D1362" s="33" t="str">
        <f t="shared" ref="D1362" si="323">D1361</f>
        <v>E100026</v>
      </c>
      <c r="E1362" s="33"/>
      <c r="F1362" s="34"/>
      <c r="G1362" s="34" t="str">
        <f>"""NAV Direct"",""CRONUS JetCorp USA"",""32"",""1"",""168307"""</f>
        <v>"NAV Direct","CRONUS JetCorp USA","32","1","168307"</v>
      </c>
      <c r="H1362" s="40">
        <v>43466</v>
      </c>
      <c r="I1362" s="41">
        <v>168307</v>
      </c>
      <c r="J1362" s="42" t="str">
        <f>"Vendor"</f>
        <v>Vendor</v>
      </c>
      <c r="K1362" s="42" t="str">
        <f>"V100025"</f>
        <v>V100025</v>
      </c>
      <c r="L1362" s="42" t="str">
        <f>IF($J1362="Customer",_xll.NL("first",$J1362,"Name","No.","@@"&amp;$K1362),"")</f>
        <v/>
      </c>
      <c r="M1362" s="42" t="str">
        <f>"Club Euroamis"</f>
        <v>Club Euroamis</v>
      </c>
      <c r="N1362" s="42" t="str">
        <f>IF($J1362="Item",_xll.NL("first",$J1362,"Description","No.","@@"&amp;$K1362),"")</f>
        <v/>
      </c>
      <c r="O1362" s="43">
        <v>499.99999999999994</v>
      </c>
      <c r="P1362" s="43">
        <v>0</v>
      </c>
      <c r="Q1362" s="43">
        <v>0</v>
      </c>
      <c r="R1362" s="43">
        <v>0</v>
      </c>
      <c r="S1362" s="43">
        <v>0</v>
      </c>
      <c r="T1362" s="43">
        <v>0</v>
      </c>
      <c r="U1362" s="56"/>
    </row>
    <row r="1363" spans="1:21" ht="17.25" customHeight="1" x14ac:dyDescent="0.3">
      <c r="A1363" s="15" t="s">
        <v>30</v>
      </c>
      <c r="C1363" s="19"/>
      <c r="D1363" s="33" t="str">
        <f t="shared" ref="D1363:D1372" si="324">D1362</f>
        <v>E100026</v>
      </c>
      <c r="E1363" s="33"/>
      <c r="F1363" s="34"/>
      <c r="G1363" s="34" t="str">
        <f>"""NAV Direct"",""CRONUS JetCorp USA"",""32"",""1"",""168317"""</f>
        <v>"NAV Direct","CRONUS JetCorp USA","32","1","168317"</v>
      </c>
      <c r="H1363" s="40">
        <v>43466</v>
      </c>
      <c r="I1363" s="41">
        <v>168317</v>
      </c>
      <c r="J1363" s="42" t="str">
        <f>"Vendor"</f>
        <v>Vendor</v>
      </c>
      <c r="K1363" s="42" t="str">
        <f>"V100040"</f>
        <v>V100040</v>
      </c>
      <c r="L1363" s="42" t="str">
        <f>IF($J1363="Customer",_xll.NL("first",$J1363,"Name","No.","@@"&amp;$K1363),"")</f>
        <v/>
      </c>
      <c r="M1363" s="42" t="str">
        <f>"Technische Betriebe Rotkreuz"</f>
        <v>Technische Betriebe Rotkreuz</v>
      </c>
      <c r="N1363" s="42" t="str">
        <f>IF($J1363="Item",_xll.NL("first",$J1363,"Description","No.","@@"&amp;$K1363),"")</f>
        <v/>
      </c>
      <c r="O1363" s="43">
        <v>249.99999999999997</v>
      </c>
      <c r="P1363" s="43">
        <v>0</v>
      </c>
      <c r="Q1363" s="43">
        <v>0</v>
      </c>
      <c r="R1363" s="43">
        <v>0</v>
      </c>
      <c r="S1363" s="43">
        <v>0</v>
      </c>
      <c r="T1363" s="43">
        <v>0</v>
      </c>
      <c r="U1363" s="56"/>
    </row>
    <row r="1364" spans="1:21" ht="17.25" customHeight="1" x14ac:dyDescent="0.3">
      <c r="A1364" s="15" t="s">
        <v>30</v>
      </c>
      <c r="C1364" s="19"/>
      <c r="D1364" s="33" t="str">
        <f t="shared" si="324"/>
        <v>E100026</v>
      </c>
      <c r="E1364" s="33"/>
      <c r="F1364" s="34"/>
      <c r="G1364" s="34" t="str">
        <f>"""NAV Direct"",""CRONUS JetCorp USA"",""32"",""1"",""168326"""</f>
        <v>"NAV Direct","CRONUS JetCorp USA","32","1","168326"</v>
      </c>
      <c r="H1364" s="40">
        <v>43466</v>
      </c>
      <c r="I1364" s="41">
        <v>168326</v>
      </c>
      <c r="J1364" s="42" t="str">
        <f>"Vendor"</f>
        <v>Vendor</v>
      </c>
      <c r="K1364" s="42" t="str">
        <f>"V100001"</f>
        <v>V100001</v>
      </c>
      <c r="L1364" s="42" t="str">
        <f>IF($J1364="Customer",_xll.NL("first",$J1364,"Name","No.","@@"&amp;$K1364),"")</f>
        <v/>
      </c>
      <c r="M1364" s="42" t="str">
        <f>"Greigner, Inc."</f>
        <v>Greigner, Inc.</v>
      </c>
      <c r="N1364" s="42" t="str">
        <f>IF($J1364="Item",_xll.NL("first",$J1364,"Description","No.","@@"&amp;$K1364),"")</f>
        <v/>
      </c>
      <c r="O1364" s="43">
        <v>249.99999999999997</v>
      </c>
      <c r="P1364" s="43">
        <v>0</v>
      </c>
      <c r="Q1364" s="43">
        <v>0</v>
      </c>
      <c r="R1364" s="43">
        <v>0</v>
      </c>
      <c r="S1364" s="43">
        <v>0</v>
      </c>
      <c r="T1364" s="43">
        <v>0</v>
      </c>
      <c r="U1364" s="56"/>
    </row>
    <row r="1365" spans="1:21" ht="17.25" customHeight="1" x14ac:dyDescent="0.3">
      <c r="A1365" s="15" t="s">
        <v>30</v>
      </c>
      <c r="C1365" s="19"/>
      <c r="D1365" s="33" t="str">
        <f t="shared" si="324"/>
        <v>E100026</v>
      </c>
      <c r="E1365" s="33"/>
      <c r="F1365" s="34"/>
      <c r="G1365" s="34" t="str">
        <f>"""NAV Direct"",""CRONUS JetCorp USA"",""32"",""1"",""168342"""</f>
        <v>"NAV Direct","CRONUS JetCorp USA","32","1","168342"</v>
      </c>
      <c r="H1365" s="40">
        <v>43466</v>
      </c>
      <c r="I1365" s="41">
        <v>168342</v>
      </c>
      <c r="J1365" s="42" t="str">
        <f>"Vendor"</f>
        <v>Vendor</v>
      </c>
      <c r="K1365" s="42" t="str">
        <f>"V100001"</f>
        <v>V100001</v>
      </c>
      <c r="L1365" s="42" t="str">
        <f>IF($J1365="Customer",_xll.NL("first",$J1365,"Name","No.","@@"&amp;$K1365),"")</f>
        <v/>
      </c>
      <c r="M1365" s="42" t="str">
        <f>"Greigner, Inc."</f>
        <v>Greigner, Inc.</v>
      </c>
      <c r="N1365" s="42" t="str">
        <f>IF($J1365="Item",_xll.NL("first",$J1365,"Description","No.","@@"&amp;$K1365),"")</f>
        <v/>
      </c>
      <c r="O1365" s="43">
        <v>499.99999999999994</v>
      </c>
      <c r="P1365" s="43">
        <v>0</v>
      </c>
      <c r="Q1365" s="43">
        <v>0</v>
      </c>
      <c r="R1365" s="43">
        <v>0</v>
      </c>
      <c r="S1365" s="43">
        <v>0</v>
      </c>
      <c r="T1365" s="43">
        <v>0</v>
      </c>
      <c r="U1365" s="56"/>
    </row>
    <row r="1366" spans="1:21" ht="17.25" customHeight="1" x14ac:dyDescent="0.3">
      <c r="A1366" s="15" t="s">
        <v>30</v>
      </c>
      <c r="C1366" s="19"/>
      <c r="D1366" s="33" t="str">
        <f t="shared" si="324"/>
        <v>E100026</v>
      </c>
      <c r="E1366" s="33"/>
      <c r="F1366" s="34"/>
      <c r="G1366" s="34" t="str">
        <f>"""NAV Direct"",""CRONUS JetCorp USA"",""32"",""1"",""168346"""</f>
        <v>"NAV Direct","CRONUS JetCorp USA","32","1","168346"</v>
      </c>
      <c r="H1366" s="40">
        <v>43466</v>
      </c>
      <c r="I1366" s="41">
        <v>168346</v>
      </c>
      <c r="J1366" s="42" t="str">
        <f>"Vendor"</f>
        <v>Vendor</v>
      </c>
      <c r="K1366" s="42" t="str">
        <f>"V100047"</f>
        <v>V100047</v>
      </c>
      <c r="L1366" s="42" t="str">
        <f>IF($J1366="Customer",_xll.NL("first",$J1366,"Name","No.","@@"&amp;$K1366),"")</f>
        <v/>
      </c>
      <c r="M1366" s="42" t="str">
        <f>"WoodMart Supply Co."</f>
        <v>WoodMart Supply Co.</v>
      </c>
      <c r="N1366" s="42" t="str">
        <f>IF($J1366="Item",_xll.NL("first",$J1366,"Description","No.","@@"&amp;$K1366),"")</f>
        <v/>
      </c>
      <c r="O1366" s="43">
        <v>249.99999999999997</v>
      </c>
      <c r="P1366" s="43">
        <v>0</v>
      </c>
      <c r="Q1366" s="43">
        <v>0</v>
      </c>
      <c r="R1366" s="43">
        <v>0</v>
      </c>
      <c r="S1366" s="43">
        <v>0</v>
      </c>
      <c r="T1366" s="43">
        <v>0</v>
      </c>
      <c r="U1366" s="56"/>
    </row>
    <row r="1367" spans="1:21" ht="17.25" customHeight="1" x14ac:dyDescent="0.3">
      <c r="A1367" s="15" t="s">
        <v>30</v>
      </c>
      <c r="C1367" s="19"/>
      <c r="D1367" s="33" t="str">
        <f t="shared" si="324"/>
        <v>E100026</v>
      </c>
      <c r="E1367" s="33"/>
      <c r="F1367" s="34"/>
      <c r="G1367" s="34" t="str">
        <f>"""NAV Direct"",""CRONUS JetCorp USA"",""32"",""1"",""168357"""</f>
        <v>"NAV Direct","CRONUS JetCorp USA","32","1","168357"</v>
      </c>
      <c r="H1367" s="40">
        <v>43466</v>
      </c>
      <c r="I1367" s="41">
        <v>168357</v>
      </c>
      <c r="J1367" s="42" t="str">
        <f>"Vendor"</f>
        <v>Vendor</v>
      </c>
      <c r="K1367" s="42" t="str">
        <f>"V100003"</f>
        <v>V100003</v>
      </c>
      <c r="L1367" s="42" t="str">
        <f>IF($J1367="Customer",_xll.NL("first",$J1367,"Name","No.","@@"&amp;$K1367),"")</f>
        <v/>
      </c>
      <c r="M1367" s="42" t="str">
        <f>"LogoMasters"</f>
        <v>LogoMasters</v>
      </c>
      <c r="N1367" s="42" t="str">
        <f>IF($J1367="Item",_xll.NL("first",$J1367,"Description","No.","@@"&amp;$K1367),"")</f>
        <v/>
      </c>
      <c r="O1367" s="43">
        <v>499.99999999999994</v>
      </c>
      <c r="P1367" s="43">
        <v>0</v>
      </c>
      <c r="Q1367" s="43">
        <v>0</v>
      </c>
      <c r="R1367" s="43">
        <v>0</v>
      </c>
      <c r="S1367" s="43">
        <v>0</v>
      </c>
      <c r="T1367" s="43">
        <v>0</v>
      </c>
      <c r="U1367" s="56"/>
    </row>
    <row r="1368" spans="1:21" ht="17.25" customHeight="1" x14ac:dyDescent="0.3">
      <c r="A1368" s="15" t="s">
        <v>30</v>
      </c>
      <c r="C1368" s="19"/>
      <c r="D1368" s="33" t="str">
        <f t="shared" si="324"/>
        <v>E100026</v>
      </c>
      <c r="E1368" s="33"/>
      <c r="F1368" s="34"/>
      <c r="G1368" s="34" t="str">
        <f>"""NAV Direct"",""CRONUS JetCorp USA"",""32"",""1"",""72522"""</f>
        <v>"NAV Direct","CRONUS JetCorp USA","32","1","72522"</v>
      </c>
      <c r="H1368" s="40">
        <v>43471</v>
      </c>
      <c r="I1368" s="41">
        <v>72522</v>
      </c>
      <c r="J1368" s="42" t="str">
        <f>"Customer"</f>
        <v>Customer</v>
      </c>
      <c r="K1368" s="42" t="str">
        <f>"C100107"</f>
        <v>C100107</v>
      </c>
      <c r="L1368" s="42" t="str">
        <f>IF($J1368="Customer",_xll.NL("first",$J1368,"Name","No.","@@"&amp;$K1368),"")</f>
        <v>Lexitechnology</v>
      </c>
      <c r="M1368" s="42" t="str">
        <f>""</f>
        <v/>
      </c>
      <c r="N1368" s="42" t="str">
        <f>IF($J1368="Item",_xll.NL("first",$J1368,"Description","No.","@@"&amp;$K1368),"")</f>
        <v/>
      </c>
      <c r="O1368" s="43">
        <v>0</v>
      </c>
      <c r="P1368" s="43">
        <v>-144</v>
      </c>
      <c r="Q1368" s="43">
        <v>0</v>
      </c>
      <c r="R1368" s="43">
        <v>0</v>
      </c>
      <c r="S1368" s="43">
        <v>0</v>
      </c>
      <c r="T1368" s="43">
        <v>0</v>
      </c>
      <c r="U1368" s="56"/>
    </row>
    <row r="1369" spans="1:21" ht="17.25" customHeight="1" x14ac:dyDescent="0.3">
      <c r="A1369" s="15" t="s">
        <v>30</v>
      </c>
      <c r="C1369" s="19"/>
      <c r="D1369" s="33" t="str">
        <f t="shared" si="324"/>
        <v>E100026</v>
      </c>
      <c r="E1369" s="33"/>
      <c r="F1369" s="34"/>
      <c r="G1369" s="34" t="str">
        <f>"""NAV Direct"",""CRONUS JetCorp USA"",""32"",""1"",""78876"""</f>
        <v>"NAV Direct","CRONUS JetCorp USA","32","1","78876"</v>
      </c>
      <c r="H1369" s="40">
        <v>43471</v>
      </c>
      <c r="I1369" s="41">
        <v>78876</v>
      </c>
      <c r="J1369" s="42" t="str">
        <f>"Customer"</f>
        <v>Customer</v>
      </c>
      <c r="K1369" s="42" t="str">
        <f>"C100124"</f>
        <v>C100124</v>
      </c>
      <c r="L1369" s="42" t="str">
        <f>IF($J1369="Customer",_xll.NL("first",$J1369,"Name","No.","@@"&amp;$K1369),"")</f>
        <v>Ontocane Outdoors</v>
      </c>
      <c r="M1369" s="42" t="str">
        <f>""</f>
        <v/>
      </c>
      <c r="N1369" s="42" t="str">
        <f>IF($J1369="Item",_xll.NL("first",$J1369,"Description","No.","@@"&amp;$K1369),"")</f>
        <v/>
      </c>
      <c r="O1369" s="43">
        <v>0</v>
      </c>
      <c r="P1369" s="43">
        <v>-144</v>
      </c>
      <c r="Q1369" s="43">
        <v>0</v>
      </c>
      <c r="R1369" s="43">
        <v>0</v>
      </c>
      <c r="S1369" s="43">
        <v>0</v>
      </c>
      <c r="T1369" s="43">
        <v>0</v>
      </c>
      <c r="U1369" s="56"/>
    </row>
    <row r="1370" spans="1:21" ht="17.25" customHeight="1" x14ac:dyDescent="0.3">
      <c r="A1370" s="15" t="s">
        <v>30</v>
      </c>
      <c r="C1370" s="19"/>
      <c r="D1370" s="33" t="str">
        <f t="shared" si="324"/>
        <v>E100026</v>
      </c>
      <c r="E1370" s="33"/>
      <c r="F1370" s="34"/>
      <c r="G1370" s="34" t="str">
        <f>"""NAV Direct"",""CRONUS JetCorp USA"",""32"",""1"",""64607"""</f>
        <v>"NAV Direct","CRONUS JetCorp USA","32","1","64607"</v>
      </c>
      <c r="H1370" s="40">
        <v>43472</v>
      </c>
      <c r="I1370" s="41">
        <v>64607</v>
      </c>
      <c r="J1370" s="42" t="str">
        <f>"Customer"</f>
        <v>Customer</v>
      </c>
      <c r="K1370" s="42" t="str">
        <f>"C100140"</f>
        <v>C100140</v>
      </c>
      <c r="L1370" s="42" t="str">
        <f>IF($J1370="Customer",_xll.NL("first",$J1370,"Name","No.","@@"&amp;$K1370),"")</f>
        <v>Super Daves</v>
      </c>
      <c r="M1370" s="42" t="str">
        <f>""</f>
        <v/>
      </c>
      <c r="N1370" s="42" t="str">
        <f>IF($J1370="Item",_xll.NL("first",$J1370,"Description","No.","@@"&amp;$K1370),"")</f>
        <v/>
      </c>
      <c r="O1370" s="43">
        <v>0</v>
      </c>
      <c r="P1370" s="43">
        <v>-48</v>
      </c>
      <c r="Q1370" s="43">
        <v>0</v>
      </c>
      <c r="R1370" s="43">
        <v>0</v>
      </c>
      <c r="S1370" s="43">
        <v>0</v>
      </c>
      <c r="T1370" s="43">
        <v>0</v>
      </c>
      <c r="U1370" s="56"/>
    </row>
    <row r="1371" spans="1:21" ht="17.25" customHeight="1" x14ac:dyDescent="0.3">
      <c r="A1371" s="15" t="s">
        <v>30</v>
      </c>
      <c r="C1371" s="19"/>
      <c r="D1371" s="33" t="str">
        <f t="shared" si="324"/>
        <v>E100026</v>
      </c>
      <c r="E1371" s="33"/>
      <c r="F1371" s="34"/>
      <c r="G1371" s="34" t="str">
        <f>"""NAV Direct"",""CRONUS JetCorp USA"",""32"",""1"",""78891"""</f>
        <v>"NAV Direct","CRONUS JetCorp USA","32","1","78891"</v>
      </c>
      <c r="H1371" s="40">
        <v>43474</v>
      </c>
      <c r="I1371" s="41">
        <v>78891</v>
      </c>
      <c r="J1371" s="42" t="str">
        <f>"Customer"</f>
        <v>Customer</v>
      </c>
      <c r="K1371" s="42" t="str">
        <f>"C100124"</f>
        <v>C100124</v>
      </c>
      <c r="L1371" s="42" t="str">
        <f>IF($J1371="Customer",_xll.NL("first",$J1371,"Name","No.","@@"&amp;$K1371),"")</f>
        <v>Ontocane Outdoors</v>
      </c>
      <c r="M1371" s="42" t="str">
        <f>""</f>
        <v/>
      </c>
      <c r="N1371" s="42" t="str">
        <f>IF($J1371="Item",_xll.NL("first",$J1371,"Description","No.","@@"&amp;$K1371),"")</f>
        <v/>
      </c>
      <c r="O1371" s="43">
        <v>0</v>
      </c>
      <c r="P1371" s="43">
        <v>-144</v>
      </c>
      <c r="Q1371" s="43">
        <v>0</v>
      </c>
      <c r="R1371" s="43">
        <v>0</v>
      </c>
      <c r="S1371" s="43">
        <v>0</v>
      </c>
      <c r="T1371" s="43">
        <v>0</v>
      </c>
      <c r="U1371" s="56"/>
    </row>
    <row r="1372" spans="1:21" ht="17.25" customHeight="1" x14ac:dyDescent="0.3">
      <c r="A1372" s="15" t="s">
        <v>30</v>
      </c>
      <c r="C1372" s="19"/>
      <c r="D1372" s="33" t="str">
        <f t="shared" si="324"/>
        <v>E100026</v>
      </c>
      <c r="E1372" s="33"/>
      <c r="F1372" s="34"/>
      <c r="G1372" s="34" t="str">
        <f>"""NAV Direct"",""CRONUS JetCorp USA"",""32"",""1"",""64626"""</f>
        <v>"NAV Direct","CRONUS JetCorp USA","32","1","64626"</v>
      </c>
      <c r="H1372" s="40">
        <v>43475</v>
      </c>
      <c r="I1372" s="41">
        <v>64626</v>
      </c>
      <c r="J1372" s="42" t="str">
        <f>"Customer"</f>
        <v>Customer</v>
      </c>
      <c r="K1372" s="42" t="str">
        <f>"C100136"</f>
        <v>C100136</v>
      </c>
      <c r="L1372" s="42" t="str">
        <f>IF($J1372="Customer",_xll.NL("first",$J1372,"Name","No.","@@"&amp;$K1372),"")</f>
        <v>First Bank</v>
      </c>
      <c r="M1372" s="42" t="str">
        <f>""</f>
        <v/>
      </c>
      <c r="N1372" s="42" t="str">
        <f>IF($J1372="Item",_xll.NL("first",$J1372,"Description","No.","@@"&amp;$K1372),"")</f>
        <v/>
      </c>
      <c r="O1372" s="43">
        <v>0</v>
      </c>
      <c r="P1372" s="43">
        <v>-144</v>
      </c>
      <c r="Q1372" s="43">
        <v>0</v>
      </c>
      <c r="R1372" s="43">
        <v>0</v>
      </c>
      <c r="S1372" s="43">
        <v>0</v>
      </c>
      <c r="T1372" s="43">
        <v>0</v>
      </c>
      <c r="U1372" s="56"/>
    </row>
    <row r="1373" spans="1:21" ht="17.25" customHeight="1" x14ac:dyDescent="0.3">
      <c r="A1373" s="15" t="s">
        <v>30</v>
      </c>
      <c r="C1373" s="19"/>
      <c r="D1373" s="33"/>
      <c r="E1373" s="33"/>
      <c r="F1373" s="34"/>
      <c r="G1373" s="34"/>
      <c r="H1373" s="34"/>
      <c r="I1373" s="34"/>
      <c r="J1373" s="34"/>
      <c r="K1373" s="34"/>
      <c r="L1373" s="34"/>
      <c r="M1373" s="34"/>
      <c r="N1373" s="34"/>
      <c r="O1373" s="44"/>
      <c r="P1373" s="44"/>
      <c r="Q1373" s="44"/>
      <c r="R1373" s="44"/>
      <c r="S1373" s="44"/>
      <c r="T1373" s="44"/>
      <c r="U1373" s="57"/>
    </row>
    <row r="1374" spans="1:21" ht="17.25" customHeight="1" x14ac:dyDescent="0.3">
      <c r="A1374" s="15" t="s">
        <v>30</v>
      </c>
      <c r="C1374" s="19"/>
      <c r="D1374" s="33"/>
      <c r="E1374" s="33" t="s">
        <v>31</v>
      </c>
      <c r="F1374" s="34" t="s">
        <v>31</v>
      </c>
      <c r="G1374" s="34" t="s">
        <v>31</v>
      </c>
      <c r="H1374" s="34"/>
      <c r="I1374" s="34"/>
      <c r="J1374" s="34" t="s">
        <v>31</v>
      </c>
      <c r="K1374" s="34" t="s">
        <v>31</v>
      </c>
      <c r="L1374" s="34" t="s">
        <v>31</v>
      </c>
      <c r="M1374" s="34" t="s">
        <v>31</v>
      </c>
      <c r="N1374" s="34"/>
      <c r="U1374" s="58"/>
    </row>
    <row r="1375" spans="1:21" ht="20.25" customHeight="1" x14ac:dyDescent="0.35">
      <c r="A1375" s="15" t="s">
        <v>30</v>
      </c>
      <c r="C1375" s="19"/>
      <c r="D1375" s="35" t="str">
        <f t="shared" ref="D1375" si="325">E1375</f>
        <v>E100027</v>
      </c>
      <c r="E1375" s="36" t="str">
        <f>"E100027"</f>
        <v>E100027</v>
      </c>
      <c r="F1375" s="37" t="str">
        <f>"Ergo-Calculator"</f>
        <v>Ergo-Calculator</v>
      </c>
      <c r="G1375" s="37"/>
      <c r="H1375" s="38" t="str">
        <f>"EA"</f>
        <v>EA</v>
      </c>
      <c r="I1375" s="37"/>
      <c r="J1375" s="37"/>
      <c r="K1375" s="37"/>
      <c r="L1375" s="37"/>
      <c r="M1375" s="37"/>
      <c r="N1375" s="37"/>
      <c r="O1375" s="39">
        <f>(SUBTOTAL(9,O1376:O1386))</f>
        <v>2750</v>
      </c>
      <c r="P1375" s="39">
        <f>(SUBTOTAL(9,P1376:P1386))</f>
        <v>-457</v>
      </c>
      <c r="Q1375" s="39">
        <f>(SUBTOTAL(9,Q1376:Q1386))</f>
        <v>0</v>
      </c>
      <c r="R1375" s="39">
        <f>(SUBTOTAL(9,R1376:R1386))</f>
        <v>0</v>
      </c>
      <c r="S1375" s="39">
        <f>(SUBTOTAL(9,S1376:S1386))</f>
        <v>0</v>
      </c>
      <c r="T1375" s="39">
        <f>(SUBTOTAL(9,T1376:T1386))</f>
        <v>0</v>
      </c>
      <c r="U1375" s="55">
        <f t="shared" ref="U1375" si="326">SUBTOTAL(9,O1376:T1386)</f>
        <v>2293</v>
      </c>
    </row>
    <row r="1376" spans="1:21" ht="17.25" customHeight="1" x14ac:dyDescent="0.3">
      <c r="A1376" s="15" t="s">
        <v>30</v>
      </c>
      <c r="C1376" s="19"/>
      <c r="D1376" s="33" t="str">
        <f t="shared" ref="D1376" si="327">D1375</f>
        <v>E100027</v>
      </c>
      <c r="E1376" s="33"/>
      <c r="F1376" s="34"/>
      <c r="G1376" s="34" t="str">
        <f>"""NAV Direct"",""CRONUS JetCorp USA"",""32"",""1"",""168316"""</f>
        <v>"NAV Direct","CRONUS JetCorp USA","32","1","168316"</v>
      </c>
      <c r="H1376" s="40">
        <v>43466</v>
      </c>
      <c r="I1376" s="41">
        <v>168316</v>
      </c>
      <c r="J1376" s="42" t="str">
        <f>"Vendor"</f>
        <v>Vendor</v>
      </c>
      <c r="K1376" s="42" t="str">
        <f>"V100040"</f>
        <v>V100040</v>
      </c>
      <c r="L1376" s="42" t="str">
        <f>IF($J1376="Customer",_xll.NL("first",$J1376,"Name","No.","@@"&amp;$K1376),"")</f>
        <v/>
      </c>
      <c r="M1376" s="42" t="str">
        <f>"Technische Betriebe Rotkreuz"</f>
        <v>Technische Betriebe Rotkreuz</v>
      </c>
      <c r="N1376" s="42" t="str">
        <f>IF($J1376="Item",_xll.NL("first",$J1376,"Description","No.","@@"&amp;$K1376),"")</f>
        <v/>
      </c>
      <c r="O1376" s="43">
        <v>499.99999999999994</v>
      </c>
      <c r="P1376" s="43">
        <v>0</v>
      </c>
      <c r="Q1376" s="43">
        <v>0</v>
      </c>
      <c r="R1376" s="43">
        <v>0</v>
      </c>
      <c r="S1376" s="43">
        <v>0</v>
      </c>
      <c r="T1376" s="43">
        <v>0</v>
      </c>
      <c r="U1376" s="56"/>
    </row>
    <row r="1377" spans="1:21" ht="17.25" customHeight="1" x14ac:dyDescent="0.3">
      <c r="A1377" s="15" t="s">
        <v>30</v>
      </c>
      <c r="C1377" s="19"/>
      <c r="D1377" s="33" t="str">
        <f t="shared" ref="D1377:D1385" si="328">D1376</f>
        <v>E100027</v>
      </c>
      <c r="E1377" s="33"/>
      <c r="F1377" s="34"/>
      <c r="G1377" s="34" t="str">
        <f>"""NAV Direct"",""CRONUS JetCorp USA"",""32"",""1"",""168325"""</f>
        <v>"NAV Direct","CRONUS JetCorp USA","32","1","168325"</v>
      </c>
      <c r="H1377" s="40">
        <v>43466</v>
      </c>
      <c r="I1377" s="41">
        <v>168325</v>
      </c>
      <c r="J1377" s="42" t="str">
        <f>"Vendor"</f>
        <v>Vendor</v>
      </c>
      <c r="K1377" s="42" t="str">
        <f>"V100001"</f>
        <v>V100001</v>
      </c>
      <c r="L1377" s="42" t="str">
        <f>IF($J1377="Customer",_xll.NL("first",$J1377,"Name","No.","@@"&amp;$K1377),"")</f>
        <v/>
      </c>
      <c r="M1377" s="42" t="str">
        <f>"Greigner, Inc."</f>
        <v>Greigner, Inc.</v>
      </c>
      <c r="N1377" s="42" t="str">
        <f>IF($J1377="Item",_xll.NL("first",$J1377,"Description","No.","@@"&amp;$K1377),"")</f>
        <v/>
      </c>
      <c r="O1377" s="43">
        <v>249.99999999999997</v>
      </c>
      <c r="P1377" s="43">
        <v>0</v>
      </c>
      <c r="Q1377" s="43">
        <v>0</v>
      </c>
      <c r="R1377" s="43">
        <v>0</v>
      </c>
      <c r="S1377" s="43">
        <v>0</v>
      </c>
      <c r="T1377" s="43">
        <v>0</v>
      </c>
      <c r="U1377" s="56"/>
    </row>
    <row r="1378" spans="1:21" ht="17.25" customHeight="1" x14ac:dyDescent="0.3">
      <c r="A1378" s="15" t="s">
        <v>30</v>
      </c>
      <c r="C1378" s="19"/>
      <c r="D1378" s="33" t="str">
        <f t="shared" si="328"/>
        <v>E100027</v>
      </c>
      <c r="E1378" s="33"/>
      <c r="F1378" s="34"/>
      <c r="G1378" s="34" t="str">
        <f>"""NAV Direct"",""CRONUS JetCorp USA"",""32"",""1"",""168341"""</f>
        <v>"NAV Direct","CRONUS JetCorp USA","32","1","168341"</v>
      </c>
      <c r="H1378" s="40">
        <v>43466</v>
      </c>
      <c r="I1378" s="41">
        <v>168341</v>
      </c>
      <c r="J1378" s="42" t="str">
        <f>"Vendor"</f>
        <v>Vendor</v>
      </c>
      <c r="K1378" s="42" t="str">
        <f>"V100001"</f>
        <v>V100001</v>
      </c>
      <c r="L1378" s="42" t="str">
        <f>IF($J1378="Customer",_xll.NL("first",$J1378,"Name","No.","@@"&amp;$K1378),"")</f>
        <v/>
      </c>
      <c r="M1378" s="42" t="str">
        <f>"Greigner, Inc."</f>
        <v>Greigner, Inc.</v>
      </c>
      <c r="N1378" s="42" t="str">
        <f>IF($J1378="Item",_xll.NL("first",$J1378,"Description","No.","@@"&amp;$K1378),"")</f>
        <v/>
      </c>
      <c r="O1378" s="43">
        <v>499.99999999999994</v>
      </c>
      <c r="P1378" s="43">
        <v>0</v>
      </c>
      <c r="Q1378" s="43">
        <v>0</v>
      </c>
      <c r="R1378" s="43">
        <v>0</v>
      </c>
      <c r="S1378" s="43">
        <v>0</v>
      </c>
      <c r="T1378" s="43">
        <v>0</v>
      </c>
      <c r="U1378" s="56"/>
    </row>
    <row r="1379" spans="1:21" ht="17.25" customHeight="1" x14ac:dyDescent="0.3">
      <c r="A1379" s="15" t="s">
        <v>30</v>
      </c>
      <c r="C1379" s="19"/>
      <c r="D1379" s="33" t="str">
        <f t="shared" si="328"/>
        <v>E100027</v>
      </c>
      <c r="E1379" s="33"/>
      <c r="F1379" s="34"/>
      <c r="G1379" s="34" t="str">
        <f>"""NAV Direct"",""CRONUS JetCorp USA"",""32"",""1"",""168356"""</f>
        <v>"NAV Direct","CRONUS JetCorp USA","32","1","168356"</v>
      </c>
      <c r="H1379" s="40">
        <v>43466</v>
      </c>
      <c r="I1379" s="41">
        <v>168356</v>
      </c>
      <c r="J1379" s="42" t="str">
        <f>"Vendor"</f>
        <v>Vendor</v>
      </c>
      <c r="K1379" s="42" t="str">
        <f>"V100003"</f>
        <v>V100003</v>
      </c>
      <c r="L1379" s="42" t="str">
        <f>IF($J1379="Customer",_xll.NL("first",$J1379,"Name","No.","@@"&amp;$K1379),"")</f>
        <v/>
      </c>
      <c r="M1379" s="42" t="str">
        <f>"LogoMasters"</f>
        <v>LogoMasters</v>
      </c>
      <c r="N1379" s="42" t="str">
        <f>IF($J1379="Item",_xll.NL("first",$J1379,"Description","No.","@@"&amp;$K1379),"")</f>
        <v/>
      </c>
      <c r="O1379" s="43">
        <v>750</v>
      </c>
      <c r="P1379" s="43">
        <v>0</v>
      </c>
      <c r="Q1379" s="43">
        <v>0</v>
      </c>
      <c r="R1379" s="43">
        <v>0</v>
      </c>
      <c r="S1379" s="43">
        <v>0</v>
      </c>
      <c r="T1379" s="43">
        <v>0</v>
      </c>
      <c r="U1379" s="56"/>
    </row>
    <row r="1380" spans="1:21" ht="17.25" customHeight="1" x14ac:dyDescent="0.3">
      <c r="A1380" s="15" t="s">
        <v>30</v>
      </c>
      <c r="C1380" s="19"/>
      <c r="D1380" s="33" t="str">
        <f t="shared" si="328"/>
        <v>E100027</v>
      </c>
      <c r="E1380" s="33"/>
      <c r="F1380" s="34"/>
      <c r="G1380" s="34" t="str">
        <f>"""NAV Direct"",""CRONUS JetCorp USA"",""32"",""1"",""168364"""</f>
        <v>"NAV Direct","CRONUS JetCorp USA","32","1","168364"</v>
      </c>
      <c r="H1380" s="40">
        <v>43466</v>
      </c>
      <c r="I1380" s="41">
        <v>168364</v>
      </c>
      <c r="J1380" s="42" t="str">
        <f>"Vendor"</f>
        <v>Vendor</v>
      </c>
      <c r="K1380" s="42" t="str">
        <f>"V100001"</f>
        <v>V100001</v>
      </c>
      <c r="L1380" s="42" t="str">
        <f>IF($J1380="Customer",_xll.NL("first",$J1380,"Name","No.","@@"&amp;$K1380),"")</f>
        <v/>
      </c>
      <c r="M1380" s="42" t="str">
        <f>"Greigner, Inc."</f>
        <v>Greigner, Inc.</v>
      </c>
      <c r="N1380" s="42" t="str">
        <f>IF($J1380="Item",_xll.NL("first",$J1380,"Description","No.","@@"&amp;$K1380),"")</f>
        <v/>
      </c>
      <c r="O1380" s="43">
        <v>750</v>
      </c>
      <c r="P1380" s="43">
        <v>0</v>
      </c>
      <c r="Q1380" s="43">
        <v>0</v>
      </c>
      <c r="R1380" s="43">
        <v>0</v>
      </c>
      <c r="S1380" s="43">
        <v>0</v>
      </c>
      <c r="T1380" s="43">
        <v>0</v>
      </c>
      <c r="U1380" s="56"/>
    </row>
    <row r="1381" spans="1:21" ht="17.25" customHeight="1" x14ac:dyDescent="0.3">
      <c r="A1381" s="15" t="s">
        <v>30</v>
      </c>
      <c r="C1381" s="19"/>
      <c r="D1381" s="33" t="str">
        <f t="shared" si="328"/>
        <v>E100027</v>
      </c>
      <c r="E1381" s="33"/>
      <c r="F1381" s="34"/>
      <c r="G1381" s="34" t="str">
        <f>"""NAV Direct"",""CRONUS JetCorp USA"",""32"",""1"",""78835"""</f>
        <v>"NAV Direct","CRONUS JetCorp USA","32","1","78835"</v>
      </c>
      <c r="H1381" s="40">
        <v>43468</v>
      </c>
      <c r="I1381" s="41">
        <v>78835</v>
      </c>
      <c r="J1381" s="42" t="str">
        <f>"Customer"</f>
        <v>Customer</v>
      </c>
      <c r="K1381" s="42" t="str">
        <f>"C100117"</f>
        <v>C100117</v>
      </c>
      <c r="L1381" s="42" t="str">
        <f>IF($J1381="Customer",_xll.NL("first",$J1381,"Name","No.","@@"&amp;$K1381),"")</f>
        <v xml:space="preserve">Tintax </v>
      </c>
      <c r="M1381" s="42" t="str">
        <f>""</f>
        <v/>
      </c>
      <c r="N1381" s="42" t="str">
        <f>IF($J1381="Item",_xll.NL("first",$J1381,"Description","No.","@@"&amp;$K1381),"")</f>
        <v/>
      </c>
      <c r="O1381" s="43">
        <v>0</v>
      </c>
      <c r="P1381" s="43">
        <v>-144</v>
      </c>
      <c r="Q1381" s="43">
        <v>0</v>
      </c>
      <c r="R1381" s="43">
        <v>0</v>
      </c>
      <c r="S1381" s="43">
        <v>0</v>
      </c>
      <c r="T1381" s="43">
        <v>0</v>
      </c>
      <c r="U1381" s="56"/>
    </row>
    <row r="1382" spans="1:21" ht="17.25" customHeight="1" x14ac:dyDescent="0.3">
      <c r="A1382" s="15" t="s">
        <v>30</v>
      </c>
      <c r="C1382" s="19"/>
      <c r="D1382" s="33" t="str">
        <f t="shared" si="328"/>
        <v>E100027</v>
      </c>
      <c r="E1382" s="33"/>
      <c r="F1382" s="34"/>
      <c r="G1382" s="34" t="str">
        <f>"""NAV Direct"",""CRONUS JetCorp USA"",""32"",""1"",""153192"""</f>
        <v>"NAV Direct","CRONUS JetCorp USA","32","1","153192"</v>
      </c>
      <c r="H1382" s="40">
        <v>43469</v>
      </c>
      <c r="I1382" s="41">
        <v>153192</v>
      </c>
      <c r="J1382" s="42" t="str">
        <f>"Customer"</f>
        <v>Customer</v>
      </c>
      <c r="K1382" s="42" t="str">
        <f>"C100136"</f>
        <v>C100136</v>
      </c>
      <c r="L1382" s="42" t="str">
        <f>IF($J1382="Customer",_xll.NL("first",$J1382,"Name","No.","@@"&amp;$K1382),"")</f>
        <v>First Bank</v>
      </c>
      <c r="M1382" s="42" t="str">
        <f>""</f>
        <v/>
      </c>
      <c r="N1382" s="42" t="str">
        <f>IF($J1382="Item",_xll.NL("first",$J1382,"Description","No.","@@"&amp;$K1382),"")</f>
        <v/>
      </c>
      <c r="O1382" s="43">
        <v>0</v>
      </c>
      <c r="P1382" s="43">
        <v>-144</v>
      </c>
      <c r="Q1382" s="43">
        <v>0</v>
      </c>
      <c r="R1382" s="43">
        <v>0</v>
      </c>
      <c r="S1382" s="43">
        <v>0</v>
      </c>
      <c r="T1382" s="43">
        <v>0</v>
      </c>
      <c r="U1382" s="56"/>
    </row>
    <row r="1383" spans="1:21" ht="17.25" customHeight="1" x14ac:dyDescent="0.3">
      <c r="A1383" s="15" t="s">
        <v>30</v>
      </c>
      <c r="C1383" s="19"/>
      <c r="D1383" s="33" t="str">
        <f t="shared" si="328"/>
        <v>E100027</v>
      </c>
      <c r="E1383" s="33"/>
      <c r="F1383" s="34"/>
      <c r="G1383" s="34" t="str">
        <f>"""NAV Direct"",""CRONUS JetCorp USA"",""32"",""1"",""78878"""</f>
        <v>"NAV Direct","CRONUS JetCorp USA","32","1","78878"</v>
      </c>
      <c r="H1383" s="40">
        <v>43471</v>
      </c>
      <c r="I1383" s="41">
        <v>78878</v>
      </c>
      <c r="J1383" s="42" t="str">
        <f>"Customer"</f>
        <v>Customer</v>
      </c>
      <c r="K1383" s="42" t="str">
        <f>"C100124"</f>
        <v>C100124</v>
      </c>
      <c r="L1383" s="42" t="str">
        <f>IF($J1383="Customer",_xll.NL("first",$J1383,"Name","No.","@@"&amp;$K1383),"")</f>
        <v>Ontocane Outdoors</v>
      </c>
      <c r="M1383" s="42" t="str">
        <f>""</f>
        <v/>
      </c>
      <c r="N1383" s="42" t="str">
        <f>IF($J1383="Item",_xll.NL("first",$J1383,"Description","No.","@@"&amp;$K1383),"")</f>
        <v/>
      </c>
      <c r="O1383" s="43">
        <v>0</v>
      </c>
      <c r="P1383" s="43">
        <v>-24</v>
      </c>
      <c r="Q1383" s="43">
        <v>0</v>
      </c>
      <c r="R1383" s="43">
        <v>0</v>
      </c>
      <c r="S1383" s="43">
        <v>0</v>
      </c>
      <c r="T1383" s="43">
        <v>0</v>
      </c>
      <c r="U1383" s="56"/>
    </row>
    <row r="1384" spans="1:21" ht="17.25" customHeight="1" x14ac:dyDescent="0.3">
      <c r="A1384" s="15" t="s">
        <v>30</v>
      </c>
      <c r="C1384" s="19"/>
      <c r="D1384" s="33" t="str">
        <f t="shared" si="328"/>
        <v>E100027</v>
      </c>
      <c r="E1384" s="33"/>
      <c r="F1384" s="34"/>
      <c r="G1384" s="34" t="str">
        <f>"""NAV Direct"",""CRONUS JetCorp USA"",""32"",""1"",""54730"""</f>
        <v>"NAV Direct","CRONUS JetCorp USA","32","1","54730"</v>
      </c>
      <c r="H1384" s="40">
        <v>43472</v>
      </c>
      <c r="I1384" s="41">
        <v>54730</v>
      </c>
      <c r="J1384" s="42" t="str">
        <f>"Customer"</f>
        <v>Customer</v>
      </c>
      <c r="K1384" s="42" t="str">
        <f>"C100084"</f>
        <v>C100084</v>
      </c>
      <c r="L1384" s="42" t="str">
        <f>IF($J1384="Customer",_xll.NL("first",$J1384,"Name","No.","@@"&amp;$K1384),"")</f>
        <v>The Cannon Group PLC</v>
      </c>
      <c r="M1384" s="42" t="str">
        <f>""</f>
        <v/>
      </c>
      <c r="N1384" s="42" t="str">
        <f>IF($J1384="Item",_xll.NL("first",$J1384,"Description","No.","@@"&amp;$K1384),"")</f>
        <v/>
      </c>
      <c r="O1384" s="43">
        <v>0</v>
      </c>
      <c r="P1384" s="43">
        <v>-144</v>
      </c>
      <c r="Q1384" s="43">
        <v>0</v>
      </c>
      <c r="R1384" s="43">
        <v>0</v>
      </c>
      <c r="S1384" s="43">
        <v>0</v>
      </c>
      <c r="T1384" s="43">
        <v>0</v>
      </c>
      <c r="U1384" s="56"/>
    </row>
    <row r="1385" spans="1:21" ht="17.25" customHeight="1" x14ac:dyDescent="0.3">
      <c r="A1385" s="15" t="s">
        <v>30</v>
      </c>
      <c r="C1385" s="19"/>
      <c r="D1385" s="33" t="str">
        <f t="shared" si="328"/>
        <v>E100027</v>
      </c>
      <c r="E1385" s="33"/>
      <c r="F1385" s="34"/>
      <c r="G1385" s="34" t="str">
        <f>"""NAV Direct"",""CRONUS JetCorp USA"",""32"",""1"",""78894"""</f>
        <v>"NAV Direct","CRONUS JetCorp USA","32","1","78894"</v>
      </c>
      <c r="H1385" s="40">
        <v>43474</v>
      </c>
      <c r="I1385" s="41">
        <v>78894</v>
      </c>
      <c r="J1385" s="42" t="str">
        <f>"Customer"</f>
        <v>Customer</v>
      </c>
      <c r="K1385" s="42" t="str">
        <f>"C100124"</f>
        <v>C100124</v>
      </c>
      <c r="L1385" s="42" t="str">
        <f>IF($J1385="Customer",_xll.NL("first",$J1385,"Name","No.","@@"&amp;$K1385),"")</f>
        <v>Ontocane Outdoors</v>
      </c>
      <c r="M1385" s="42" t="str">
        <f>""</f>
        <v/>
      </c>
      <c r="N1385" s="42" t="str">
        <f>IF($J1385="Item",_xll.NL("first",$J1385,"Description","No.","@@"&amp;$K1385),"")</f>
        <v/>
      </c>
      <c r="O1385" s="43">
        <v>0</v>
      </c>
      <c r="P1385" s="43">
        <v>-1</v>
      </c>
      <c r="Q1385" s="43">
        <v>0</v>
      </c>
      <c r="R1385" s="43">
        <v>0</v>
      </c>
      <c r="S1385" s="43">
        <v>0</v>
      </c>
      <c r="T1385" s="43">
        <v>0</v>
      </c>
      <c r="U1385" s="56"/>
    </row>
    <row r="1386" spans="1:21" ht="17.25" customHeight="1" x14ac:dyDescent="0.3">
      <c r="A1386" s="15" t="s">
        <v>30</v>
      </c>
      <c r="C1386" s="19"/>
      <c r="D1386" s="33"/>
      <c r="E1386" s="33"/>
      <c r="F1386" s="34"/>
      <c r="G1386" s="34"/>
      <c r="H1386" s="34"/>
      <c r="I1386" s="34"/>
      <c r="J1386" s="34"/>
      <c r="K1386" s="34"/>
      <c r="L1386" s="34"/>
      <c r="M1386" s="34"/>
      <c r="N1386" s="34"/>
      <c r="O1386" s="44"/>
      <c r="P1386" s="44"/>
      <c r="Q1386" s="44"/>
      <c r="R1386" s="44"/>
      <c r="S1386" s="44"/>
      <c r="T1386" s="44"/>
      <c r="U1386" s="57"/>
    </row>
    <row r="1387" spans="1:21" ht="17.25" customHeight="1" x14ac:dyDescent="0.3">
      <c r="A1387" s="15" t="s">
        <v>30</v>
      </c>
      <c r="C1387" s="19"/>
      <c r="D1387" s="33"/>
      <c r="E1387" s="33" t="s">
        <v>31</v>
      </c>
      <c r="F1387" s="34" t="s">
        <v>31</v>
      </c>
      <c r="G1387" s="34" t="s">
        <v>31</v>
      </c>
      <c r="H1387" s="34"/>
      <c r="I1387" s="34"/>
      <c r="J1387" s="34" t="s">
        <v>31</v>
      </c>
      <c r="K1387" s="34" t="s">
        <v>31</v>
      </c>
      <c r="L1387" s="34" t="s">
        <v>31</v>
      </c>
      <c r="M1387" s="34" t="s">
        <v>31</v>
      </c>
      <c r="N1387" s="34"/>
      <c r="U1387" s="58"/>
    </row>
    <row r="1388" spans="1:21" ht="20.25" customHeight="1" x14ac:dyDescent="0.35">
      <c r="A1388" s="15" t="s">
        <v>30</v>
      </c>
      <c r="C1388" s="19"/>
      <c r="D1388" s="35" t="str">
        <f t="shared" ref="D1388" si="329">E1388</f>
        <v>E100028</v>
      </c>
      <c r="E1388" s="36" t="str">
        <f>"E100028"</f>
        <v>E100028</v>
      </c>
      <c r="F1388" s="37" t="str">
        <f>"USB 4-Port Hub"</f>
        <v>USB 4-Port Hub</v>
      </c>
      <c r="G1388" s="37"/>
      <c r="H1388" s="38" t="str">
        <f>"EA"</f>
        <v>EA</v>
      </c>
      <c r="I1388" s="37"/>
      <c r="J1388" s="37"/>
      <c r="K1388" s="37"/>
      <c r="L1388" s="37"/>
      <c r="M1388" s="37"/>
      <c r="N1388" s="37"/>
      <c r="O1388" s="39">
        <f>(SUBTOTAL(9,O1389:O1395))</f>
        <v>1249.9999999999998</v>
      </c>
      <c r="P1388" s="39">
        <f>(SUBTOTAL(9,P1389:P1395))</f>
        <v>-432</v>
      </c>
      <c r="Q1388" s="39">
        <f>(SUBTOTAL(9,Q1389:Q1395))</f>
        <v>0</v>
      </c>
      <c r="R1388" s="39">
        <f>(SUBTOTAL(9,R1389:R1395))</f>
        <v>0</v>
      </c>
      <c r="S1388" s="39">
        <f>(SUBTOTAL(9,S1389:S1395))</f>
        <v>0</v>
      </c>
      <c r="T1388" s="39">
        <f>(SUBTOTAL(9,T1389:T1395))</f>
        <v>0</v>
      </c>
      <c r="U1388" s="55">
        <f t="shared" ref="U1388" si="330">SUBTOTAL(9,O1389:T1395)</f>
        <v>817.99999999999977</v>
      </c>
    </row>
    <row r="1389" spans="1:21" ht="17.25" customHeight="1" x14ac:dyDescent="0.3">
      <c r="A1389" s="15" t="s">
        <v>30</v>
      </c>
      <c r="C1389" s="19"/>
      <c r="D1389" s="33" t="str">
        <f t="shared" ref="D1389" si="331">D1388</f>
        <v>E100028</v>
      </c>
      <c r="E1389" s="33"/>
      <c r="F1389" s="34"/>
      <c r="G1389" s="34" t="str">
        <f>"""NAV Direct"",""CRONUS JetCorp USA"",""32"",""1"",""168324"""</f>
        <v>"NAV Direct","CRONUS JetCorp USA","32","1","168324"</v>
      </c>
      <c r="H1389" s="40">
        <v>43466</v>
      </c>
      <c r="I1389" s="41">
        <v>168324</v>
      </c>
      <c r="J1389" s="42" t="str">
        <f>"Vendor"</f>
        <v>Vendor</v>
      </c>
      <c r="K1389" s="42" t="str">
        <f>"V100001"</f>
        <v>V100001</v>
      </c>
      <c r="L1389" s="42" t="str">
        <f>IF($J1389="Customer",_xll.NL("first",$J1389,"Name","No.","@@"&amp;$K1389),"")</f>
        <v/>
      </c>
      <c r="M1389" s="42" t="str">
        <f>"Greigner, Inc."</f>
        <v>Greigner, Inc.</v>
      </c>
      <c r="N1389" s="42" t="str">
        <f>IF($J1389="Item",_xll.NL("first",$J1389,"Description","No.","@@"&amp;$K1389),"")</f>
        <v/>
      </c>
      <c r="O1389" s="43">
        <v>249.99999999999997</v>
      </c>
      <c r="P1389" s="43">
        <v>0</v>
      </c>
      <c r="Q1389" s="43">
        <v>0</v>
      </c>
      <c r="R1389" s="43">
        <v>0</v>
      </c>
      <c r="S1389" s="43">
        <v>0</v>
      </c>
      <c r="T1389" s="43">
        <v>0</v>
      </c>
      <c r="U1389" s="56"/>
    </row>
    <row r="1390" spans="1:21" ht="17.25" customHeight="1" x14ac:dyDescent="0.3">
      <c r="A1390" s="15" t="s">
        <v>30</v>
      </c>
      <c r="C1390" s="19"/>
      <c r="D1390" s="33" t="str">
        <f t="shared" ref="D1390:D1394" si="332">D1389</f>
        <v>E100028</v>
      </c>
      <c r="E1390" s="33"/>
      <c r="F1390" s="34"/>
      <c r="G1390" s="34" t="str">
        <f>"""NAV Direct"",""CRONUS JetCorp USA"",""32"",""1"",""168340"""</f>
        <v>"NAV Direct","CRONUS JetCorp USA","32","1","168340"</v>
      </c>
      <c r="H1390" s="40">
        <v>43466</v>
      </c>
      <c r="I1390" s="41">
        <v>168340</v>
      </c>
      <c r="J1390" s="42" t="str">
        <f>"Vendor"</f>
        <v>Vendor</v>
      </c>
      <c r="K1390" s="42" t="str">
        <f>"V100001"</f>
        <v>V100001</v>
      </c>
      <c r="L1390" s="42" t="str">
        <f>IF($J1390="Customer",_xll.NL("first",$J1390,"Name","No.","@@"&amp;$K1390),"")</f>
        <v/>
      </c>
      <c r="M1390" s="42" t="str">
        <f>"Greigner, Inc."</f>
        <v>Greigner, Inc.</v>
      </c>
      <c r="N1390" s="42" t="str">
        <f>IF($J1390="Item",_xll.NL("first",$J1390,"Description","No.","@@"&amp;$K1390),"")</f>
        <v/>
      </c>
      <c r="O1390" s="43">
        <v>499.99999999999994</v>
      </c>
      <c r="P1390" s="43">
        <v>0</v>
      </c>
      <c r="Q1390" s="43">
        <v>0</v>
      </c>
      <c r="R1390" s="43">
        <v>0</v>
      </c>
      <c r="S1390" s="43">
        <v>0</v>
      </c>
      <c r="T1390" s="43">
        <v>0</v>
      </c>
      <c r="U1390" s="56"/>
    </row>
    <row r="1391" spans="1:21" ht="17.25" customHeight="1" x14ac:dyDescent="0.3">
      <c r="A1391" s="15" t="s">
        <v>30</v>
      </c>
      <c r="C1391" s="19"/>
      <c r="D1391" s="33" t="str">
        <f t="shared" si="332"/>
        <v>E100028</v>
      </c>
      <c r="E1391" s="33"/>
      <c r="F1391" s="34"/>
      <c r="G1391" s="34" t="str">
        <f>"""NAV Direct"",""CRONUS JetCorp USA"",""32"",""1"",""168355"""</f>
        <v>"NAV Direct","CRONUS JetCorp USA","32","1","168355"</v>
      </c>
      <c r="H1391" s="40">
        <v>43466</v>
      </c>
      <c r="I1391" s="41">
        <v>168355</v>
      </c>
      <c r="J1391" s="42" t="str">
        <f>"Vendor"</f>
        <v>Vendor</v>
      </c>
      <c r="K1391" s="42" t="str">
        <f>"V100003"</f>
        <v>V100003</v>
      </c>
      <c r="L1391" s="42" t="str">
        <f>IF($J1391="Customer",_xll.NL("first",$J1391,"Name","No.","@@"&amp;$K1391),"")</f>
        <v/>
      </c>
      <c r="M1391" s="42" t="str">
        <f>"LogoMasters"</f>
        <v>LogoMasters</v>
      </c>
      <c r="N1391" s="42" t="str">
        <f>IF($J1391="Item",_xll.NL("first",$J1391,"Description","No.","@@"&amp;$K1391),"")</f>
        <v/>
      </c>
      <c r="O1391" s="43">
        <v>499.99999999999994</v>
      </c>
      <c r="P1391" s="43">
        <v>0</v>
      </c>
      <c r="Q1391" s="43">
        <v>0</v>
      </c>
      <c r="R1391" s="43">
        <v>0</v>
      </c>
      <c r="S1391" s="43">
        <v>0</v>
      </c>
      <c r="T1391" s="43">
        <v>0</v>
      </c>
      <c r="U1391" s="56"/>
    </row>
    <row r="1392" spans="1:21" ht="17.25" customHeight="1" x14ac:dyDescent="0.3">
      <c r="A1392" s="15" t="s">
        <v>30</v>
      </c>
      <c r="C1392" s="19"/>
      <c r="D1392" s="33" t="str">
        <f t="shared" si="332"/>
        <v>E100028</v>
      </c>
      <c r="E1392" s="33"/>
      <c r="F1392" s="34"/>
      <c r="G1392" s="34" t="str">
        <f>"""NAV Direct"",""CRONUS JetCorp USA"",""32"",""1"",""78833"""</f>
        <v>"NAV Direct","CRONUS JetCorp USA","32","1","78833"</v>
      </c>
      <c r="H1392" s="40">
        <v>43468</v>
      </c>
      <c r="I1392" s="41">
        <v>78833</v>
      </c>
      <c r="J1392" s="42" t="str">
        <f>"Customer"</f>
        <v>Customer</v>
      </c>
      <c r="K1392" s="42" t="str">
        <f>"C100117"</f>
        <v>C100117</v>
      </c>
      <c r="L1392" s="42" t="str">
        <f>IF($J1392="Customer",_xll.NL("first",$J1392,"Name","No.","@@"&amp;$K1392),"")</f>
        <v xml:space="preserve">Tintax </v>
      </c>
      <c r="M1392" s="42" t="str">
        <f>""</f>
        <v/>
      </c>
      <c r="N1392" s="42" t="str">
        <f>IF($J1392="Item",_xll.NL("first",$J1392,"Description","No.","@@"&amp;$K1392),"")</f>
        <v/>
      </c>
      <c r="O1392" s="43">
        <v>0</v>
      </c>
      <c r="P1392" s="43">
        <v>-144</v>
      </c>
      <c r="Q1392" s="43">
        <v>0</v>
      </c>
      <c r="R1392" s="43">
        <v>0</v>
      </c>
      <c r="S1392" s="43">
        <v>0</v>
      </c>
      <c r="T1392" s="43">
        <v>0</v>
      </c>
      <c r="U1392" s="56"/>
    </row>
    <row r="1393" spans="1:21" ht="17.25" customHeight="1" x14ac:dyDescent="0.3">
      <c r="A1393" s="15" t="s">
        <v>30</v>
      </c>
      <c r="C1393" s="19"/>
      <c r="D1393" s="33" t="str">
        <f t="shared" si="332"/>
        <v>E100028</v>
      </c>
      <c r="E1393" s="33"/>
      <c r="F1393" s="34"/>
      <c r="G1393" s="34" t="str">
        <f>"""NAV Direct"",""CRONUS JetCorp USA"",""32"",""1"",""54728"""</f>
        <v>"NAV Direct","CRONUS JetCorp USA","32","1","54728"</v>
      </c>
      <c r="H1393" s="40">
        <v>43472</v>
      </c>
      <c r="I1393" s="41">
        <v>54728</v>
      </c>
      <c r="J1393" s="42" t="str">
        <f>"Customer"</f>
        <v>Customer</v>
      </c>
      <c r="K1393" s="42" t="str">
        <f>"C100084"</f>
        <v>C100084</v>
      </c>
      <c r="L1393" s="42" t="str">
        <f>IF($J1393="Customer",_xll.NL("first",$J1393,"Name","No.","@@"&amp;$K1393),"")</f>
        <v>The Cannon Group PLC</v>
      </c>
      <c r="M1393" s="42" t="str">
        <f>""</f>
        <v/>
      </c>
      <c r="N1393" s="42" t="str">
        <f>IF($J1393="Item",_xll.NL("first",$J1393,"Description","No.","@@"&amp;$K1393),"")</f>
        <v/>
      </c>
      <c r="O1393" s="43">
        <v>0</v>
      </c>
      <c r="P1393" s="43">
        <v>-144</v>
      </c>
      <c r="Q1393" s="43">
        <v>0</v>
      </c>
      <c r="R1393" s="43">
        <v>0</v>
      </c>
      <c r="S1393" s="43">
        <v>0</v>
      </c>
      <c r="T1393" s="43">
        <v>0</v>
      </c>
      <c r="U1393" s="56"/>
    </row>
    <row r="1394" spans="1:21" ht="17.25" customHeight="1" x14ac:dyDescent="0.3">
      <c r="A1394" s="15" t="s">
        <v>30</v>
      </c>
      <c r="C1394" s="19"/>
      <c r="D1394" s="33" t="str">
        <f t="shared" si="332"/>
        <v>E100028</v>
      </c>
      <c r="E1394" s="33"/>
      <c r="F1394" s="34"/>
      <c r="G1394" s="34" t="str">
        <f>"""NAV Direct"",""CRONUS JetCorp USA"",""32"",""1"",""44521"""</f>
        <v>"NAV Direct","CRONUS JetCorp USA","32","1","44521"</v>
      </c>
      <c r="H1394" s="40">
        <v>43473</v>
      </c>
      <c r="I1394" s="41">
        <v>44521</v>
      </c>
      <c r="J1394" s="42" t="str">
        <f>"Customer"</f>
        <v>Customer</v>
      </c>
      <c r="K1394" s="42" t="str">
        <f>"C100139"</f>
        <v>C100139</v>
      </c>
      <c r="L1394" s="42" t="str">
        <f>IF($J1394="Customer",_xll.NL("first",$J1394,"Name","No.","@@"&amp;$K1394),"")</f>
        <v>Gamma Ray's</v>
      </c>
      <c r="M1394" s="42" t="str">
        <f>""</f>
        <v/>
      </c>
      <c r="N1394" s="42" t="str">
        <f>IF($J1394="Item",_xll.NL("first",$J1394,"Description","No.","@@"&amp;$K1394),"")</f>
        <v/>
      </c>
      <c r="O1394" s="43">
        <v>0</v>
      </c>
      <c r="P1394" s="43">
        <v>-144</v>
      </c>
      <c r="Q1394" s="43">
        <v>0</v>
      </c>
      <c r="R1394" s="43">
        <v>0</v>
      </c>
      <c r="S1394" s="43">
        <v>0</v>
      </c>
      <c r="T1394" s="43">
        <v>0</v>
      </c>
      <c r="U1394" s="56"/>
    </row>
    <row r="1395" spans="1:21" ht="17.25" customHeight="1" x14ac:dyDescent="0.3">
      <c r="A1395" s="15" t="s">
        <v>30</v>
      </c>
      <c r="C1395" s="19"/>
      <c r="D1395" s="33"/>
      <c r="E1395" s="33"/>
      <c r="F1395" s="34"/>
      <c r="G1395" s="34"/>
      <c r="H1395" s="34"/>
      <c r="I1395" s="34"/>
      <c r="J1395" s="34"/>
      <c r="K1395" s="34"/>
      <c r="L1395" s="34"/>
      <c r="M1395" s="34"/>
      <c r="N1395" s="34"/>
      <c r="O1395" s="44"/>
      <c r="P1395" s="44"/>
      <c r="Q1395" s="44"/>
      <c r="R1395" s="44"/>
      <c r="S1395" s="44"/>
      <c r="T1395" s="44"/>
      <c r="U1395" s="57"/>
    </row>
    <row r="1396" spans="1:21" ht="17.25" customHeight="1" x14ac:dyDescent="0.3">
      <c r="A1396" s="15" t="s">
        <v>30</v>
      </c>
      <c r="C1396" s="19"/>
      <c r="D1396" s="33"/>
      <c r="E1396" s="33" t="s">
        <v>31</v>
      </c>
      <c r="F1396" s="34" t="s">
        <v>31</v>
      </c>
      <c r="G1396" s="34" t="s">
        <v>31</v>
      </c>
      <c r="H1396" s="34"/>
      <c r="I1396" s="34"/>
      <c r="J1396" s="34" t="s">
        <v>31</v>
      </c>
      <c r="K1396" s="34" t="s">
        <v>31</v>
      </c>
      <c r="L1396" s="34" t="s">
        <v>31</v>
      </c>
      <c r="M1396" s="34" t="s">
        <v>31</v>
      </c>
      <c r="N1396" s="34"/>
      <c r="U1396" s="58"/>
    </row>
    <row r="1397" spans="1:21" ht="20.25" customHeight="1" x14ac:dyDescent="0.35">
      <c r="A1397" s="15" t="s">
        <v>30</v>
      </c>
      <c r="C1397" s="19"/>
      <c r="D1397" s="35" t="str">
        <f t="shared" ref="D1397" si="333">E1397</f>
        <v>E100029</v>
      </c>
      <c r="E1397" s="36" t="str">
        <f>"E100029"</f>
        <v>E100029</v>
      </c>
      <c r="F1397" s="37" t="str">
        <f>"LED Flex Light"</f>
        <v>LED Flex Light</v>
      </c>
      <c r="G1397" s="37"/>
      <c r="H1397" s="38" t="str">
        <f>"EA"</f>
        <v>EA</v>
      </c>
      <c r="I1397" s="37"/>
      <c r="J1397" s="37"/>
      <c r="K1397" s="37"/>
      <c r="L1397" s="37"/>
      <c r="M1397" s="37"/>
      <c r="N1397" s="37"/>
      <c r="O1397" s="39">
        <f>(SUBTOTAL(9,O1398:O1403))</f>
        <v>2750</v>
      </c>
      <c r="P1397" s="39">
        <f>(SUBTOTAL(9,P1398:P1403))</f>
        <v>-288</v>
      </c>
      <c r="Q1397" s="39">
        <f>(SUBTOTAL(9,Q1398:Q1403))</f>
        <v>0</v>
      </c>
      <c r="R1397" s="39">
        <f>(SUBTOTAL(9,R1398:R1403))</f>
        <v>0</v>
      </c>
      <c r="S1397" s="39">
        <f>(SUBTOTAL(9,S1398:S1403))</f>
        <v>0</v>
      </c>
      <c r="T1397" s="39">
        <f>(SUBTOTAL(9,T1398:T1403))</f>
        <v>0</v>
      </c>
      <c r="U1397" s="55">
        <f t="shared" ref="U1397" si="334">SUBTOTAL(9,O1398:T1403)</f>
        <v>2462</v>
      </c>
    </row>
    <row r="1398" spans="1:21" ht="17.25" customHeight="1" x14ac:dyDescent="0.3">
      <c r="A1398" s="15" t="s">
        <v>30</v>
      </c>
      <c r="C1398" s="19"/>
      <c r="D1398" s="33" t="str">
        <f t="shared" ref="D1398" si="335">D1397</f>
        <v>E100029</v>
      </c>
      <c r="E1398" s="33"/>
      <c r="F1398" s="34"/>
      <c r="G1398" s="34" t="str">
        <f>"""NAV Direct"",""CRONUS JetCorp USA"",""32"",""1"",""168315"""</f>
        <v>"NAV Direct","CRONUS JetCorp USA","32","1","168315"</v>
      </c>
      <c r="H1398" s="40">
        <v>43466</v>
      </c>
      <c r="I1398" s="41">
        <v>168315</v>
      </c>
      <c r="J1398" s="42" t="str">
        <f>"Vendor"</f>
        <v>Vendor</v>
      </c>
      <c r="K1398" s="42" t="str">
        <f>"V100040"</f>
        <v>V100040</v>
      </c>
      <c r="L1398" s="42" t="str">
        <f>IF($J1398="Customer",_xll.NL("first",$J1398,"Name","No.","@@"&amp;$K1398),"")</f>
        <v/>
      </c>
      <c r="M1398" s="42" t="str">
        <f>"Technische Betriebe Rotkreuz"</f>
        <v>Technische Betriebe Rotkreuz</v>
      </c>
      <c r="N1398" s="42" t="str">
        <f>IF($J1398="Item",_xll.NL("first",$J1398,"Description","No.","@@"&amp;$K1398),"")</f>
        <v/>
      </c>
      <c r="O1398" s="43">
        <v>750</v>
      </c>
      <c r="P1398" s="43">
        <v>0</v>
      </c>
      <c r="Q1398" s="43">
        <v>0</v>
      </c>
      <c r="R1398" s="43">
        <v>0</v>
      </c>
      <c r="S1398" s="43">
        <v>0</v>
      </c>
      <c r="T1398" s="43">
        <v>0</v>
      </c>
      <c r="U1398" s="56"/>
    </row>
    <row r="1399" spans="1:21" ht="17.25" customHeight="1" x14ac:dyDescent="0.3">
      <c r="A1399" s="15" t="s">
        <v>30</v>
      </c>
      <c r="C1399" s="19"/>
      <c r="D1399" s="33" t="str">
        <f t="shared" ref="D1399:D1402" si="336">D1398</f>
        <v>E100029</v>
      </c>
      <c r="E1399" s="33"/>
      <c r="F1399" s="34"/>
      <c r="G1399" s="34" t="str">
        <f>"""NAV Direct"",""CRONUS JetCorp USA"",""32"",""1"",""168339"""</f>
        <v>"NAV Direct","CRONUS JetCorp USA","32","1","168339"</v>
      </c>
      <c r="H1399" s="40">
        <v>43466</v>
      </c>
      <c r="I1399" s="41">
        <v>168339</v>
      </c>
      <c r="J1399" s="42" t="str">
        <f>"Vendor"</f>
        <v>Vendor</v>
      </c>
      <c r="K1399" s="42" t="str">
        <f>"V100001"</f>
        <v>V100001</v>
      </c>
      <c r="L1399" s="42" t="str">
        <f>IF($J1399="Customer",_xll.NL("first",$J1399,"Name","No.","@@"&amp;$K1399),"")</f>
        <v/>
      </c>
      <c r="M1399" s="42" t="str">
        <f>"Greigner, Inc."</f>
        <v>Greigner, Inc.</v>
      </c>
      <c r="N1399" s="42" t="str">
        <f>IF($J1399="Item",_xll.NL("first",$J1399,"Description","No.","@@"&amp;$K1399),"")</f>
        <v/>
      </c>
      <c r="O1399" s="43">
        <v>750</v>
      </c>
      <c r="P1399" s="43">
        <v>0</v>
      </c>
      <c r="Q1399" s="43">
        <v>0</v>
      </c>
      <c r="R1399" s="43">
        <v>0</v>
      </c>
      <c r="S1399" s="43">
        <v>0</v>
      </c>
      <c r="T1399" s="43">
        <v>0</v>
      </c>
      <c r="U1399" s="56"/>
    </row>
    <row r="1400" spans="1:21" ht="17.25" customHeight="1" x14ac:dyDescent="0.3">
      <c r="A1400" s="15" t="s">
        <v>30</v>
      </c>
      <c r="C1400" s="19"/>
      <c r="D1400" s="33" t="str">
        <f t="shared" si="336"/>
        <v>E100029</v>
      </c>
      <c r="E1400" s="33"/>
      <c r="F1400" s="34"/>
      <c r="G1400" s="34" t="str">
        <f>"""NAV Direct"",""CRONUS JetCorp USA"",""32"",""1"",""168354"""</f>
        <v>"NAV Direct","CRONUS JetCorp USA","32","1","168354"</v>
      </c>
      <c r="H1400" s="40">
        <v>43466</v>
      </c>
      <c r="I1400" s="41">
        <v>168354</v>
      </c>
      <c r="J1400" s="42" t="str">
        <f>"Vendor"</f>
        <v>Vendor</v>
      </c>
      <c r="K1400" s="42" t="str">
        <f>"V100003"</f>
        <v>V100003</v>
      </c>
      <c r="L1400" s="42" t="str">
        <f>IF($J1400="Customer",_xll.NL("first",$J1400,"Name","No.","@@"&amp;$K1400),"")</f>
        <v/>
      </c>
      <c r="M1400" s="42" t="str">
        <f>"LogoMasters"</f>
        <v>LogoMasters</v>
      </c>
      <c r="N1400" s="42" t="str">
        <f>IF($J1400="Item",_xll.NL("first",$J1400,"Description","No.","@@"&amp;$K1400),"")</f>
        <v/>
      </c>
      <c r="O1400" s="43">
        <v>1250</v>
      </c>
      <c r="P1400" s="43">
        <v>0</v>
      </c>
      <c r="Q1400" s="43">
        <v>0</v>
      </c>
      <c r="R1400" s="43">
        <v>0</v>
      </c>
      <c r="S1400" s="43">
        <v>0</v>
      </c>
      <c r="T1400" s="43">
        <v>0</v>
      </c>
      <c r="U1400" s="56"/>
    </row>
    <row r="1401" spans="1:21" ht="17.25" customHeight="1" x14ac:dyDescent="0.3">
      <c r="A1401" s="15" t="s">
        <v>30</v>
      </c>
      <c r="C1401" s="19"/>
      <c r="D1401" s="33" t="str">
        <f t="shared" si="336"/>
        <v>E100029</v>
      </c>
      <c r="E1401" s="33"/>
      <c r="F1401" s="34"/>
      <c r="G1401" s="34" t="str">
        <f>"""NAV Direct"",""CRONUS JetCorp USA"",""32"",""1"",""78832"""</f>
        <v>"NAV Direct","CRONUS JetCorp USA","32","1","78832"</v>
      </c>
      <c r="H1401" s="40">
        <v>43468</v>
      </c>
      <c r="I1401" s="41">
        <v>78832</v>
      </c>
      <c r="J1401" s="42" t="str">
        <f>"Customer"</f>
        <v>Customer</v>
      </c>
      <c r="K1401" s="42" t="str">
        <f>"C100117"</f>
        <v>C100117</v>
      </c>
      <c r="L1401" s="42" t="str">
        <f>IF($J1401="Customer",_xll.NL("first",$J1401,"Name","No.","@@"&amp;$K1401),"")</f>
        <v xml:space="preserve">Tintax </v>
      </c>
      <c r="M1401" s="42" t="str">
        <f>""</f>
        <v/>
      </c>
      <c r="N1401" s="42" t="str">
        <f>IF($J1401="Item",_xll.NL("first",$J1401,"Description","No.","@@"&amp;$K1401),"")</f>
        <v/>
      </c>
      <c r="O1401" s="43">
        <v>0</v>
      </c>
      <c r="P1401" s="43">
        <v>-144</v>
      </c>
      <c r="Q1401" s="43">
        <v>0</v>
      </c>
      <c r="R1401" s="43">
        <v>0</v>
      </c>
      <c r="S1401" s="43">
        <v>0</v>
      </c>
      <c r="T1401" s="43">
        <v>0</v>
      </c>
      <c r="U1401" s="56"/>
    </row>
    <row r="1402" spans="1:21" ht="17.25" customHeight="1" x14ac:dyDescent="0.3">
      <c r="A1402" s="15" t="s">
        <v>30</v>
      </c>
      <c r="C1402" s="19"/>
      <c r="D1402" s="33" t="str">
        <f t="shared" si="336"/>
        <v>E100029</v>
      </c>
      <c r="E1402" s="33"/>
      <c r="F1402" s="34"/>
      <c r="G1402" s="34" t="str">
        <f>"""NAV Direct"",""CRONUS JetCorp USA"",""32"",""1"",""72513"""</f>
        <v>"NAV Direct","CRONUS JetCorp USA","32","1","72513"</v>
      </c>
      <c r="H1402" s="40">
        <v>43471</v>
      </c>
      <c r="I1402" s="41">
        <v>72513</v>
      </c>
      <c r="J1402" s="42" t="str">
        <f>"Customer"</f>
        <v>Customer</v>
      </c>
      <c r="K1402" s="42" t="str">
        <f>"C100107"</f>
        <v>C100107</v>
      </c>
      <c r="L1402" s="42" t="str">
        <f>IF($J1402="Customer",_xll.NL("first",$J1402,"Name","No.","@@"&amp;$K1402),"")</f>
        <v>Lexitechnology</v>
      </c>
      <c r="M1402" s="42" t="str">
        <f>""</f>
        <v/>
      </c>
      <c r="N1402" s="42" t="str">
        <f>IF($J1402="Item",_xll.NL("first",$J1402,"Description","No.","@@"&amp;$K1402),"")</f>
        <v/>
      </c>
      <c r="O1402" s="43">
        <v>0</v>
      </c>
      <c r="P1402" s="43">
        <v>-144</v>
      </c>
      <c r="Q1402" s="43">
        <v>0</v>
      </c>
      <c r="R1402" s="43">
        <v>0</v>
      </c>
      <c r="S1402" s="43">
        <v>0</v>
      </c>
      <c r="T1402" s="43">
        <v>0</v>
      </c>
      <c r="U1402" s="56"/>
    </row>
    <row r="1403" spans="1:21" ht="17.25" customHeight="1" x14ac:dyDescent="0.3">
      <c r="A1403" s="15" t="s">
        <v>30</v>
      </c>
      <c r="C1403" s="19"/>
      <c r="D1403" s="33"/>
      <c r="E1403" s="33"/>
      <c r="F1403" s="34"/>
      <c r="G1403" s="34"/>
      <c r="H1403" s="34"/>
      <c r="I1403" s="34"/>
      <c r="J1403" s="34"/>
      <c r="K1403" s="34"/>
      <c r="L1403" s="34"/>
      <c r="M1403" s="34"/>
      <c r="N1403" s="34"/>
      <c r="O1403" s="44"/>
      <c r="P1403" s="44"/>
      <c r="Q1403" s="44"/>
      <c r="R1403" s="44"/>
      <c r="S1403" s="44"/>
      <c r="T1403" s="44"/>
      <c r="U1403" s="57"/>
    </row>
    <row r="1404" spans="1:21" ht="17.25" customHeight="1" x14ac:dyDescent="0.3">
      <c r="A1404" s="15" t="s">
        <v>30</v>
      </c>
      <c r="C1404" s="19"/>
      <c r="D1404" s="33"/>
      <c r="E1404" s="33" t="s">
        <v>31</v>
      </c>
      <c r="F1404" s="34" t="s">
        <v>31</v>
      </c>
      <c r="G1404" s="34" t="s">
        <v>31</v>
      </c>
      <c r="H1404" s="34"/>
      <c r="I1404" s="34"/>
      <c r="J1404" s="34" t="s">
        <v>31</v>
      </c>
      <c r="K1404" s="34" t="s">
        <v>31</v>
      </c>
      <c r="L1404" s="34" t="s">
        <v>31</v>
      </c>
      <c r="M1404" s="34" t="s">
        <v>31</v>
      </c>
      <c r="N1404" s="34"/>
      <c r="U1404" s="58"/>
    </row>
    <row r="1405" spans="1:21" ht="20.25" customHeight="1" x14ac:dyDescent="0.35">
      <c r="A1405" s="15" t="s">
        <v>30</v>
      </c>
      <c r="C1405" s="19"/>
      <c r="D1405" s="35" t="str">
        <f t="shared" ref="D1405" si="337">E1405</f>
        <v>E100030</v>
      </c>
      <c r="E1405" s="36" t="str">
        <f>"E100030"</f>
        <v>E100030</v>
      </c>
      <c r="F1405" s="37" t="str">
        <f>"LED Keychain"</f>
        <v>LED Keychain</v>
      </c>
      <c r="G1405" s="37"/>
      <c r="H1405" s="38" t="str">
        <f>"EA"</f>
        <v>EA</v>
      </c>
      <c r="I1405" s="37"/>
      <c r="J1405" s="37"/>
      <c r="K1405" s="37"/>
      <c r="L1405" s="37"/>
      <c r="M1405" s="37"/>
      <c r="N1405" s="37"/>
      <c r="O1405" s="39">
        <f>(SUBTOTAL(9,O1406:O1414))</f>
        <v>2499.9999999999995</v>
      </c>
      <c r="P1405" s="39">
        <f>(SUBTOTAL(9,P1406:P1414))</f>
        <v>-146</v>
      </c>
      <c r="Q1405" s="39">
        <f>(SUBTOTAL(9,Q1406:Q1414))</f>
        <v>0</v>
      </c>
      <c r="R1405" s="39">
        <f>(SUBTOTAL(9,R1406:R1414))</f>
        <v>0</v>
      </c>
      <c r="S1405" s="39">
        <f>(SUBTOTAL(9,S1406:S1414))</f>
        <v>0</v>
      </c>
      <c r="T1405" s="39">
        <f>(SUBTOTAL(9,T1406:T1414))</f>
        <v>0</v>
      </c>
      <c r="U1405" s="55">
        <f t="shared" ref="U1405" si="338">SUBTOTAL(9,O1406:T1414)</f>
        <v>2353.9999999999995</v>
      </c>
    </row>
    <row r="1406" spans="1:21" ht="17.25" customHeight="1" x14ac:dyDescent="0.3">
      <c r="A1406" s="15" t="s">
        <v>30</v>
      </c>
      <c r="C1406" s="19"/>
      <c r="D1406" s="33" t="str">
        <f t="shared" ref="D1406" si="339">D1405</f>
        <v>E100030</v>
      </c>
      <c r="E1406" s="33"/>
      <c r="F1406" s="34"/>
      <c r="G1406" s="34" t="str">
        <f>"""NAV Direct"",""CRONUS JetCorp USA"",""32"",""1"",""168306"""</f>
        <v>"NAV Direct","CRONUS JetCorp USA","32","1","168306"</v>
      </c>
      <c r="H1406" s="40">
        <v>43466</v>
      </c>
      <c r="I1406" s="41">
        <v>168306</v>
      </c>
      <c r="J1406" s="42" t="str">
        <f>"Vendor"</f>
        <v>Vendor</v>
      </c>
      <c r="K1406" s="42" t="str">
        <f>"V100025"</f>
        <v>V100025</v>
      </c>
      <c r="L1406" s="42" t="str">
        <f>IF($J1406="Customer",_xll.NL("first",$J1406,"Name","No.","@@"&amp;$K1406),"")</f>
        <v/>
      </c>
      <c r="M1406" s="42" t="str">
        <f>"Club Euroamis"</f>
        <v>Club Euroamis</v>
      </c>
      <c r="N1406" s="42" t="str">
        <f>IF($J1406="Item",_xll.NL("first",$J1406,"Description","No.","@@"&amp;$K1406),"")</f>
        <v/>
      </c>
      <c r="O1406" s="43">
        <v>249.99999999999997</v>
      </c>
      <c r="P1406" s="43">
        <v>0</v>
      </c>
      <c r="Q1406" s="43">
        <v>0</v>
      </c>
      <c r="R1406" s="43">
        <v>0</v>
      </c>
      <c r="S1406" s="43">
        <v>0</v>
      </c>
      <c r="T1406" s="43">
        <v>0</v>
      </c>
      <c r="U1406" s="56"/>
    </row>
    <row r="1407" spans="1:21" ht="17.25" customHeight="1" x14ac:dyDescent="0.3">
      <c r="A1407" s="15" t="s">
        <v>30</v>
      </c>
      <c r="C1407" s="19"/>
      <c r="D1407" s="33" t="str">
        <f t="shared" ref="D1407:D1413" si="340">D1406</f>
        <v>E100030</v>
      </c>
      <c r="E1407" s="33"/>
      <c r="F1407" s="34"/>
      <c r="G1407" s="34" t="str">
        <f>"""NAV Direct"",""CRONUS JetCorp USA"",""32"",""1"",""168314"""</f>
        <v>"NAV Direct","CRONUS JetCorp USA","32","1","168314"</v>
      </c>
      <c r="H1407" s="40">
        <v>43466</v>
      </c>
      <c r="I1407" s="41">
        <v>168314</v>
      </c>
      <c r="J1407" s="42" t="str">
        <f>"Vendor"</f>
        <v>Vendor</v>
      </c>
      <c r="K1407" s="42" t="str">
        <f>"V100040"</f>
        <v>V100040</v>
      </c>
      <c r="L1407" s="42" t="str">
        <f>IF($J1407="Customer",_xll.NL("first",$J1407,"Name","No.","@@"&amp;$K1407),"")</f>
        <v/>
      </c>
      <c r="M1407" s="42" t="str">
        <f>"Technische Betriebe Rotkreuz"</f>
        <v>Technische Betriebe Rotkreuz</v>
      </c>
      <c r="N1407" s="42" t="str">
        <f>IF($J1407="Item",_xll.NL("first",$J1407,"Description","No.","@@"&amp;$K1407),"")</f>
        <v/>
      </c>
      <c r="O1407" s="43">
        <v>499.99999999999994</v>
      </c>
      <c r="P1407" s="43">
        <v>0</v>
      </c>
      <c r="Q1407" s="43">
        <v>0</v>
      </c>
      <c r="R1407" s="43">
        <v>0</v>
      </c>
      <c r="S1407" s="43">
        <v>0</v>
      </c>
      <c r="T1407" s="43">
        <v>0</v>
      </c>
      <c r="U1407" s="56"/>
    </row>
    <row r="1408" spans="1:21" ht="17.25" customHeight="1" x14ac:dyDescent="0.3">
      <c r="A1408" s="15" t="s">
        <v>30</v>
      </c>
      <c r="C1408" s="19"/>
      <c r="D1408" s="33" t="str">
        <f t="shared" si="340"/>
        <v>E100030</v>
      </c>
      <c r="E1408" s="33"/>
      <c r="F1408" s="34"/>
      <c r="G1408" s="34" t="str">
        <f>"""NAV Direct"",""CRONUS JetCorp USA"",""32"",""1"",""168338"""</f>
        <v>"NAV Direct","CRONUS JetCorp USA","32","1","168338"</v>
      </c>
      <c r="H1408" s="40">
        <v>43466</v>
      </c>
      <c r="I1408" s="41">
        <v>168338</v>
      </c>
      <c r="J1408" s="42" t="str">
        <f>"Vendor"</f>
        <v>Vendor</v>
      </c>
      <c r="K1408" s="42" t="str">
        <f>"V100001"</f>
        <v>V100001</v>
      </c>
      <c r="L1408" s="42" t="str">
        <f>IF($J1408="Customer",_xll.NL("first",$J1408,"Name","No.","@@"&amp;$K1408),"")</f>
        <v/>
      </c>
      <c r="M1408" s="42" t="str">
        <f>"Greigner, Inc."</f>
        <v>Greigner, Inc.</v>
      </c>
      <c r="N1408" s="42" t="str">
        <f>IF($J1408="Item",_xll.NL("first",$J1408,"Description","No.","@@"&amp;$K1408),"")</f>
        <v/>
      </c>
      <c r="O1408" s="43">
        <v>999.99999999999989</v>
      </c>
      <c r="P1408" s="43">
        <v>0</v>
      </c>
      <c r="Q1408" s="43">
        <v>0</v>
      </c>
      <c r="R1408" s="43">
        <v>0</v>
      </c>
      <c r="S1408" s="43">
        <v>0</v>
      </c>
      <c r="T1408" s="43">
        <v>0</v>
      </c>
      <c r="U1408" s="56"/>
    </row>
    <row r="1409" spans="1:21" ht="17.25" customHeight="1" x14ac:dyDescent="0.3">
      <c r="A1409" s="15" t="s">
        <v>30</v>
      </c>
      <c r="C1409" s="19"/>
      <c r="D1409" s="33" t="str">
        <f t="shared" si="340"/>
        <v>E100030</v>
      </c>
      <c r="E1409" s="33"/>
      <c r="F1409" s="34"/>
      <c r="G1409" s="34" t="str">
        <f>"""NAV Direct"",""CRONUS JetCorp USA"",""32"",""1"",""168353"""</f>
        <v>"NAV Direct","CRONUS JetCorp USA","32","1","168353"</v>
      </c>
      <c r="H1409" s="40">
        <v>43466</v>
      </c>
      <c r="I1409" s="41">
        <v>168353</v>
      </c>
      <c r="J1409" s="42" t="str">
        <f>"Vendor"</f>
        <v>Vendor</v>
      </c>
      <c r="K1409" s="42" t="str">
        <f>"V100003"</f>
        <v>V100003</v>
      </c>
      <c r="L1409" s="42" t="str">
        <f>IF($J1409="Customer",_xll.NL("first",$J1409,"Name","No.","@@"&amp;$K1409),"")</f>
        <v/>
      </c>
      <c r="M1409" s="42" t="str">
        <f>"LogoMasters"</f>
        <v>LogoMasters</v>
      </c>
      <c r="N1409" s="42" t="str">
        <f>IF($J1409="Item",_xll.NL("first",$J1409,"Description","No.","@@"&amp;$K1409),"")</f>
        <v/>
      </c>
      <c r="O1409" s="43">
        <v>499.99999999999994</v>
      </c>
      <c r="P1409" s="43">
        <v>0</v>
      </c>
      <c r="Q1409" s="43">
        <v>0</v>
      </c>
      <c r="R1409" s="43">
        <v>0</v>
      </c>
      <c r="S1409" s="43">
        <v>0</v>
      </c>
      <c r="T1409" s="43">
        <v>0</v>
      </c>
      <c r="U1409" s="56"/>
    </row>
    <row r="1410" spans="1:21" ht="17.25" customHeight="1" x14ac:dyDescent="0.3">
      <c r="A1410" s="15" t="s">
        <v>30</v>
      </c>
      <c r="C1410" s="19"/>
      <c r="D1410" s="33" t="str">
        <f t="shared" si="340"/>
        <v>E100030</v>
      </c>
      <c r="E1410" s="33"/>
      <c r="F1410" s="34"/>
      <c r="G1410" s="34" t="str">
        <f>"""NAV Direct"",""CRONUS JetCorp USA"",""32"",""1"",""168363"""</f>
        <v>"NAV Direct","CRONUS JetCorp USA","32","1","168363"</v>
      </c>
      <c r="H1410" s="40">
        <v>43466</v>
      </c>
      <c r="I1410" s="41">
        <v>168363</v>
      </c>
      <c r="J1410" s="42" t="str">
        <f>"Vendor"</f>
        <v>Vendor</v>
      </c>
      <c r="K1410" s="42" t="str">
        <f>"V100001"</f>
        <v>V100001</v>
      </c>
      <c r="L1410" s="42" t="str">
        <f>IF($J1410="Customer",_xll.NL("first",$J1410,"Name","No.","@@"&amp;$K1410),"")</f>
        <v/>
      </c>
      <c r="M1410" s="42" t="str">
        <f>"Greigner, Inc."</f>
        <v>Greigner, Inc.</v>
      </c>
      <c r="N1410" s="42" t="str">
        <f>IF($J1410="Item",_xll.NL("first",$J1410,"Description","No.","@@"&amp;$K1410),"")</f>
        <v/>
      </c>
      <c r="O1410" s="43">
        <v>249.99999999999997</v>
      </c>
      <c r="P1410" s="43">
        <v>0</v>
      </c>
      <c r="Q1410" s="43">
        <v>0</v>
      </c>
      <c r="R1410" s="43">
        <v>0</v>
      </c>
      <c r="S1410" s="43">
        <v>0</v>
      </c>
      <c r="T1410" s="43">
        <v>0</v>
      </c>
      <c r="U1410" s="56"/>
    </row>
    <row r="1411" spans="1:21" ht="17.25" customHeight="1" x14ac:dyDescent="0.3">
      <c r="A1411" s="15" t="s">
        <v>30</v>
      </c>
      <c r="C1411" s="19"/>
      <c r="D1411" s="33" t="str">
        <f t="shared" si="340"/>
        <v>E100030</v>
      </c>
      <c r="E1411" s="33"/>
      <c r="F1411" s="34"/>
      <c r="G1411" s="34" t="str">
        <f>"""NAV Direct"",""CRONUS JetCorp USA"",""32"",""1"",""64592"""</f>
        <v>"NAV Direct","CRONUS JetCorp USA","32","1","64592"</v>
      </c>
      <c r="H1411" s="40">
        <v>43469</v>
      </c>
      <c r="I1411" s="41">
        <v>64592</v>
      </c>
      <c r="J1411" s="42" t="str">
        <f>"Customer"</f>
        <v>Customer</v>
      </c>
      <c r="K1411" s="42" t="str">
        <f>"C100140"</f>
        <v>C100140</v>
      </c>
      <c r="L1411" s="42" t="str">
        <f>IF($J1411="Customer",_xll.NL("first",$J1411,"Name","No.","@@"&amp;$K1411),"")</f>
        <v>Super Daves</v>
      </c>
      <c r="M1411" s="42" t="str">
        <f>""</f>
        <v/>
      </c>
      <c r="N1411" s="42" t="str">
        <f>IF($J1411="Item",_xll.NL("first",$J1411,"Description","No.","@@"&amp;$K1411),"")</f>
        <v/>
      </c>
      <c r="O1411" s="43">
        <v>0</v>
      </c>
      <c r="P1411" s="43">
        <v>-1</v>
      </c>
      <c r="Q1411" s="43">
        <v>0</v>
      </c>
      <c r="R1411" s="43">
        <v>0</v>
      </c>
      <c r="S1411" s="43">
        <v>0</v>
      </c>
      <c r="T1411" s="43">
        <v>0</v>
      </c>
      <c r="U1411" s="56"/>
    </row>
    <row r="1412" spans="1:21" ht="17.25" customHeight="1" x14ac:dyDescent="0.3">
      <c r="A1412" s="15" t="s">
        <v>30</v>
      </c>
      <c r="C1412" s="19"/>
      <c r="D1412" s="33" t="str">
        <f t="shared" si="340"/>
        <v>E100030</v>
      </c>
      <c r="E1412" s="33"/>
      <c r="F1412" s="34"/>
      <c r="G1412" s="34" t="str">
        <f>"""NAV Direct"",""CRONUS JetCorp USA"",""32"",""1"",""54738"""</f>
        <v>"NAV Direct","CRONUS JetCorp USA","32","1","54738"</v>
      </c>
      <c r="H1412" s="40">
        <v>43472</v>
      </c>
      <c r="I1412" s="41">
        <v>54738</v>
      </c>
      <c r="J1412" s="42" t="str">
        <f>"Customer"</f>
        <v>Customer</v>
      </c>
      <c r="K1412" s="42" t="str">
        <f>"C100084"</f>
        <v>C100084</v>
      </c>
      <c r="L1412" s="42" t="str">
        <f>IF($J1412="Customer",_xll.NL("first",$J1412,"Name","No.","@@"&amp;$K1412),"")</f>
        <v>The Cannon Group PLC</v>
      </c>
      <c r="M1412" s="42" t="str">
        <f>""</f>
        <v/>
      </c>
      <c r="N1412" s="42" t="str">
        <f>IF($J1412="Item",_xll.NL("first",$J1412,"Description","No.","@@"&amp;$K1412),"")</f>
        <v/>
      </c>
      <c r="O1412" s="43">
        <v>0</v>
      </c>
      <c r="P1412" s="43">
        <v>-144</v>
      </c>
      <c r="Q1412" s="43">
        <v>0</v>
      </c>
      <c r="R1412" s="43">
        <v>0</v>
      </c>
      <c r="S1412" s="43">
        <v>0</v>
      </c>
      <c r="T1412" s="43">
        <v>0</v>
      </c>
      <c r="U1412" s="56"/>
    </row>
    <row r="1413" spans="1:21" ht="17.25" customHeight="1" x14ac:dyDescent="0.3">
      <c r="A1413" s="15" t="s">
        <v>30</v>
      </c>
      <c r="C1413" s="19"/>
      <c r="D1413" s="33" t="str">
        <f t="shared" si="340"/>
        <v>E100030</v>
      </c>
      <c r="E1413" s="33"/>
      <c r="F1413" s="34"/>
      <c r="G1413" s="34" t="str">
        <f>"""NAV Direct"",""CRONUS JetCorp USA"",""32"",""1"",""54716"""</f>
        <v>"NAV Direct","CRONUS JetCorp USA","32","1","54716"</v>
      </c>
      <c r="H1413" s="40">
        <v>43474</v>
      </c>
      <c r="I1413" s="41">
        <v>54716</v>
      </c>
      <c r="J1413" s="42" t="str">
        <f>"Customer"</f>
        <v>Customer</v>
      </c>
      <c r="K1413" s="42" t="str">
        <f>"C100096"</f>
        <v>C100096</v>
      </c>
      <c r="L1413" s="42" t="str">
        <f>IF($J1413="Customer",_xll.NL("first",$J1413,"Name","No.","@@"&amp;$K1413),"")</f>
        <v>D-Com Industries</v>
      </c>
      <c r="M1413" s="42" t="str">
        <f>""</f>
        <v/>
      </c>
      <c r="N1413" s="42" t="str">
        <f>IF($J1413="Item",_xll.NL("first",$J1413,"Description","No.","@@"&amp;$K1413),"")</f>
        <v/>
      </c>
      <c r="O1413" s="43">
        <v>0</v>
      </c>
      <c r="P1413" s="43">
        <v>-1</v>
      </c>
      <c r="Q1413" s="43">
        <v>0</v>
      </c>
      <c r="R1413" s="43">
        <v>0</v>
      </c>
      <c r="S1413" s="43">
        <v>0</v>
      </c>
      <c r="T1413" s="43">
        <v>0</v>
      </c>
      <c r="U1413" s="56"/>
    </row>
    <row r="1414" spans="1:21" ht="17.25" customHeight="1" x14ac:dyDescent="0.3">
      <c r="A1414" s="15" t="s">
        <v>30</v>
      </c>
      <c r="C1414" s="19"/>
      <c r="D1414" s="33"/>
      <c r="E1414" s="33"/>
      <c r="F1414" s="34"/>
      <c r="G1414" s="34"/>
      <c r="H1414" s="34"/>
      <c r="I1414" s="34"/>
      <c r="J1414" s="34"/>
      <c r="K1414" s="34"/>
      <c r="L1414" s="34"/>
      <c r="M1414" s="34"/>
      <c r="N1414" s="34"/>
      <c r="O1414" s="44"/>
      <c r="P1414" s="44"/>
      <c r="Q1414" s="44"/>
      <c r="R1414" s="44"/>
      <c r="S1414" s="44"/>
      <c r="T1414" s="44"/>
      <c r="U1414" s="57"/>
    </row>
    <row r="1415" spans="1:21" ht="17.25" customHeight="1" x14ac:dyDescent="0.3">
      <c r="A1415" s="15" t="s">
        <v>30</v>
      </c>
      <c r="C1415" s="19"/>
      <c r="D1415" s="33"/>
      <c r="E1415" s="33" t="s">
        <v>31</v>
      </c>
      <c r="F1415" s="34" t="s">
        <v>31</v>
      </c>
      <c r="G1415" s="34" t="s">
        <v>31</v>
      </c>
      <c r="H1415" s="34"/>
      <c r="I1415" s="34"/>
      <c r="J1415" s="34" t="s">
        <v>31</v>
      </c>
      <c r="K1415" s="34" t="s">
        <v>31</v>
      </c>
      <c r="L1415" s="34" t="s">
        <v>31</v>
      </c>
      <c r="M1415" s="34" t="s">
        <v>31</v>
      </c>
      <c r="N1415" s="34"/>
      <c r="U1415" s="58"/>
    </row>
    <row r="1416" spans="1:21" ht="20.25" customHeight="1" x14ac:dyDescent="0.35">
      <c r="A1416" s="15" t="s">
        <v>30</v>
      </c>
      <c r="C1416" s="19"/>
      <c r="D1416" s="35" t="str">
        <f t="shared" ref="D1416" si="341">E1416</f>
        <v>E100031</v>
      </c>
      <c r="E1416" s="36" t="str">
        <f>"E100031"</f>
        <v>E100031</v>
      </c>
      <c r="F1416" s="37" t="str">
        <f>"Ad Torch"</f>
        <v>Ad Torch</v>
      </c>
      <c r="G1416" s="37"/>
      <c r="H1416" s="38" t="str">
        <f>"EA"</f>
        <v>EA</v>
      </c>
      <c r="I1416" s="37"/>
      <c r="J1416" s="37"/>
      <c r="K1416" s="37"/>
      <c r="L1416" s="37"/>
      <c r="M1416" s="37"/>
      <c r="N1416" s="37"/>
      <c r="O1416" s="39">
        <f>(SUBTOTAL(9,O1417:O1420))</f>
        <v>1250</v>
      </c>
      <c r="P1416" s="39">
        <f>(SUBTOTAL(9,P1417:P1420))</f>
        <v>-192</v>
      </c>
      <c r="Q1416" s="39">
        <f>(SUBTOTAL(9,Q1417:Q1420))</f>
        <v>0</v>
      </c>
      <c r="R1416" s="39">
        <f>(SUBTOTAL(9,R1417:R1420))</f>
        <v>0</v>
      </c>
      <c r="S1416" s="39">
        <f>(SUBTOTAL(9,S1417:S1420))</f>
        <v>0</v>
      </c>
      <c r="T1416" s="39">
        <f>(SUBTOTAL(9,T1417:T1420))</f>
        <v>0</v>
      </c>
      <c r="U1416" s="55">
        <f t="shared" ref="U1416" si="342">SUBTOTAL(9,O1417:T1420)</f>
        <v>1058</v>
      </c>
    </row>
    <row r="1417" spans="1:21" ht="17.25" customHeight="1" x14ac:dyDescent="0.3">
      <c r="A1417" s="15" t="s">
        <v>30</v>
      </c>
      <c r="C1417" s="19"/>
      <c r="D1417" s="33" t="str">
        <f t="shared" ref="D1417" si="343">D1416</f>
        <v>E100031</v>
      </c>
      <c r="E1417" s="33"/>
      <c r="F1417" s="34"/>
      <c r="G1417" s="34" t="str">
        <f>"""NAV Direct"",""CRONUS JetCorp USA"",""32"",""1"",""168337"""</f>
        <v>"NAV Direct","CRONUS JetCorp USA","32","1","168337"</v>
      </c>
      <c r="H1417" s="40">
        <v>43466</v>
      </c>
      <c r="I1417" s="41">
        <v>168337</v>
      </c>
      <c r="J1417" s="42" t="str">
        <f>"Vendor"</f>
        <v>Vendor</v>
      </c>
      <c r="K1417" s="42" t="str">
        <f>"V100001"</f>
        <v>V100001</v>
      </c>
      <c r="L1417" s="42" t="str">
        <f>IF($J1417="Customer",_xll.NL("first",$J1417,"Name","No.","@@"&amp;$K1417),"")</f>
        <v/>
      </c>
      <c r="M1417" s="42" t="str">
        <f>"Greigner, Inc."</f>
        <v>Greigner, Inc.</v>
      </c>
      <c r="N1417" s="42" t="str">
        <f>IF($J1417="Item",_xll.NL("first",$J1417,"Description","No.","@@"&amp;$K1417),"")</f>
        <v/>
      </c>
      <c r="O1417" s="43">
        <v>499.99999999999994</v>
      </c>
      <c r="P1417" s="43">
        <v>0</v>
      </c>
      <c r="Q1417" s="43">
        <v>0</v>
      </c>
      <c r="R1417" s="43">
        <v>0</v>
      </c>
      <c r="S1417" s="43">
        <v>0</v>
      </c>
      <c r="T1417" s="43">
        <v>0</v>
      </c>
      <c r="U1417" s="56"/>
    </row>
    <row r="1418" spans="1:21" ht="17.25" customHeight="1" x14ac:dyDescent="0.3">
      <c r="A1418" s="15" t="s">
        <v>30</v>
      </c>
      <c r="C1418" s="19"/>
      <c r="D1418" s="33" t="str">
        <f t="shared" ref="D1418:D1419" si="344">D1417</f>
        <v>E100031</v>
      </c>
      <c r="E1418" s="33"/>
      <c r="F1418" s="34"/>
      <c r="G1418" s="34" t="str">
        <f>"""NAV Direct"",""CRONUS JetCorp USA"",""32"",""1"",""168352"""</f>
        <v>"NAV Direct","CRONUS JetCorp USA","32","1","168352"</v>
      </c>
      <c r="H1418" s="40">
        <v>43466</v>
      </c>
      <c r="I1418" s="41">
        <v>168352</v>
      </c>
      <c r="J1418" s="42" t="str">
        <f>"Vendor"</f>
        <v>Vendor</v>
      </c>
      <c r="K1418" s="42" t="str">
        <f>"V100003"</f>
        <v>V100003</v>
      </c>
      <c r="L1418" s="42" t="str">
        <f>IF($J1418="Customer",_xll.NL("first",$J1418,"Name","No.","@@"&amp;$K1418),"")</f>
        <v/>
      </c>
      <c r="M1418" s="42" t="str">
        <f>"LogoMasters"</f>
        <v>LogoMasters</v>
      </c>
      <c r="N1418" s="42" t="str">
        <f>IF($J1418="Item",_xll.NL("first",$J1418,"Description","No.","@@"&amp;$K1418),"")</f>
        <v/>
      </c>
      <c r="O1418" s="43">
        <v>750</v>
      </c>
      <c r="P1418" s="43">
        <v>0</v>
      </c>
      <c r="Q1418" s="43">
        <v>0</v>
      </c>
      <c r="R1418" s="43">
        <v>0</v>
      </c>
      <c r="S1418" s="43">
        <v>0</v>
      </c>
      <c r="T1418" s="43">
        <v>0</v>
      </c>
      <c r="U1418" s="56"/>
    </row>
    <row r="1419" spans="1:21" ht="17.25" customHeight="1" x14ac:dyDescent="0.3">
      <c r="A1419" s="15" t="s">
        <v>30</v>
      </c>
      <c r="C1419" s="19"/>
      <c r="D1419" s="33" t="str">
        <f t="shared" si="344"/>
        <v>E100031</v>
      </c>
      <c r="E1419" s="33"/>
      <c r="F1419" s="34"/>
      <c r="G1419" s="34" t="str">
        <f>"""NAV Direct"",""CRONUS JetCorp USA"",""32"",""1"",""54696"""</f>
        <v>"NAV Direct","CRONUS JetCorp USA","32","1","54696"</v>
      </c>
      <c r="H1419" s="40">
        <v>43474</v>
      </c>
      <c r="I1419" s="41">
        <v>54696</v>
      </c>
      <c r="J1419" s="42" t="str">
        <f>"Customer"</f>
        <v>Customer</v>
      </c>
      <c r="K1419" s="42" t="str">
        <f>"C100096"</f>
        <v>C100096</v>
      </c>
      <c r="L1419" s="42" t="str">
        <f>IF($J1419="Customer",_xll.NL("first",$J1419,"Name","No.","@@"&amp;$K1419),"")</f>
        <v>D-Com Industries</v>
      </c>
      <c r="M1419" s="42" t="str">
        <f>""</f>
        <v/>
      </c>
      <c r="N1419" s="42" t="str">
        <f>IF($J1419="Item",_xll.NL("first",$J1419,"Description","No.","@@"&amp;$K1419),"")</f>
        <v/>
      </c>
      <c r="O1419" s="43">
        <v>0</v>
      </c>
      <c r="P1419" s="43">
        <v>-192</v>
      </c>
      <c r="Q1419" s="43">
        <v>0</v>
      </c>
      <c r="R1419" s="43">
        <v>0</v>
      </c>
      <c r="S1419" s="43">
        <v>0</v>
      </c>
      <c r="T1419" s="43">
        <v>0</v>
      </c>
      <c r="U1419" s="56"/>
    </row>
    <row r="1420" spans="1:21" ht="17.25" customHeight="1" x14ac:dyDescent="0.3">
      <c r="A1420" s="15" t="s">
        <v>30</v>
      </c>
      <c r="C1420" s="19"/>
      <c r="D1420" s="33"/>
      <c r="E1420" s="33"/>
      <c r="F1420" s="34"/>
      <c r="G1420" s="34"/>
      <c r="H1420" s="34"/>
      <c r="I1420" s="34"/>
      <c r="J1420" s="34"/>
      <c r="K1420" s="34"/>
      <c r="L1420" s="34"/>
      <c r="M1420" s="34"/>
      <c r="N1420" s="34"/>
      <c r="O1420" s="44"/>
      <c r="P1420" s="44"/>
      <c r="Q1420" s="44"/>
      <c r="R1420" s="44"/>
      <c r="S1420" s="44"/>
      <c r="T1420" s="44"/>
      <c r="U1420" s="57"/>
    </row>
    <row r="1421" spans="1:21" ht="17.25" customHeight="1" x14ac:dyDescent="0.3">
      <c r="A1421" s="15" t="s">
        <v>30</v>
      </c>
      <c r="C1421" s="19"/>
      <c r="D1421" s="33"/>
      <c r="E1421" s="33" t="s">
        <v>31</v>
      </c>
      <c r="F1421" s="34" t="s">
        <v>31</v>
      </c>
      <c r="G1421" s="34" t="s">
        <v>31</v>
      </c>
      <c r="H1421" s="34"/>
      <c r="I1421" s="34"/>
      <c r="J1421" s="34" t="s">
        <v>31</v>
      </c>
      <c r="K1421" s="34" t="s">
        <v>31</v>
      </c>
      <c r="L1421" s="34" t="s">
        <v>31</v>
      </c>
      <c r="M1421" s="34" t="s">
        <v>31</v>
      </c>
      <c r="N1421" s="34"/>
      <c r="U1421" s="58"/>
    </row>
    <row r="1422" spans="1:21" ht="20.25" customHeight="1" x14ac:dyDescent="0.35">
      <c r="A1422" s="15" t="s">
        <v>30</v>
      </c>
      <c r="C1422" s="19"/>
      <c r="D1422" s="35" t="str">
        <f t="shared" ref="D1422" si="345">E1422</f>
        <v>E100032</v>
      </c>
      <c r="E1422" s="36" t="str">
        <f>"E100032"</f>
        <v>E100032</v>
      </c>
      <c r="F1422" s="37" t="str">
        <f>"Button Key-Light"</f>
        <v>Button Key-Light</v>
      </c>
      <c r="G1422" s="37"/>
      <c r="H1422" s="38" t="str">
        <f>"EA"</f>
        <v>EA</v>
      </c>
      <c r="I1422" s="37"/>
      <c r="J1422" s="37"/>
      <c r="K1422" s="37"/>
      <c r="L1422" s="37"/>
      <c r="M1422" s="37"/>
      <c r="N1422" s="37"/>
      <c r="O1422" s="39">
        <f>(SUBTOTAL(9,O1423:O1435))</f>
        <v>1750</v>
      </c>
      <c r="P1422" s="39">
        <f>(SUBTOTAL(9,P1423:P1435))</f>
        <v>-767</v>
      </c>
      <c r="Q1422" s="39">
        <f>(SUBTOTAL(9,Q1423:Q1435))</f>
        <v>0</v>
      </c>
      <c r="R1422" s="39">
        <f>(SUBTOTAL(9,R1423:R1435))</f>
        <v>0</v>
      </c>
      <c r="S1422" s="39">
        <f>(SUBTOTAL(9,S1423:S1435))</f>
        <v>0</v>
      </c>
      <c r="T1422" s="39">
        <f>(SUBTOTAL(9,T1423:T1435))</f>
        <v>0</v>
      </c>
      <c r="U1422" s="55">
        <f t="shared" ref="U1422" si="346">SUBTOTAL(9,O1423:T1435)</f>
        <v>983</v>
      </c>
    </row>
    <row r="1423" spans="1:21" ht="17.25" customHeight="1" x14ac:dyDescent="0.3">
      <c r="A1423" s="15" t="s">
        <v>30</v>
      </c>
      <c r="C1423" s="19"/>
      <c r="D1423" s="33" t="str">
        <f t="shared" ref="D1423" si="347">D1422</f>
        <v>E100032</v>
      </c>
      <c r="E1423" s="33"/>
      <c r="F1423" s="34"/>
      <c r="G1423" s="34" t="str">
        <f>"""NAV Direct"",""CRONUS JetCorp USA"",""32"",""1"",""168313"""</f>
        <v>"NAV Direct","CRONUS JetCorp USA","32","1","168313"</v>
      </c>
      <c r="H1423" s="40">
        <v>43466</v>
      </c>
      <c r="I1423" s="41">
        <v>168313</v>
      </c>
      <c r="J1423" s="42" t="str">
        <f>"Vendor"</f>
        <v>Vendor</v>
      </c>
      <c r="K1423" s="42" t="str">
        <f>"V100040"</f>
        <v>V100040</v>
      </c>
      <c r="L1423" s="42" t="str">
        <f>IF($J1423="Customer",_xll.NL("first",$J1423,"Name","No.","@@"&amp;$K1423),"")</f>
        <v/>
      </c>
      <c r="M1423" s="42" t="str">
        <f>"Technische Betriebe Rotkreuz"</f>
        <v>Technische Betriebe Rotkreuz</v>
      </c>
      <c r="N1423" s="42" t="str">
        <f>IF($J1423="Item",_xll.NL("first",$J1423,"Description","No.","@@"&amp;$K1423),"")</f>
        <v/>
      </c>
      <c r="O1423" s="43">
        <v>249.99999999999997</v>
      </c>
      <c r="P1423" s="43">
        <v>0</v>
      </c>
      <c r="Q1423" s="43">
        <v>0</v>
      </c>
      <c r="R1423" s="43">
        <v>0</v>
      </c>
      <c r="S1423" s="43">
        <v>0</v>
      </c>
      <c r="T1423" s="43">
        <v>0</v>
      </c>
      <c r="U1423" s="56"/>
    </row>
    <row r="1424" spans="1:21" ht="17.25" customHeight="1" x14ac:dyDescent="0.3">
      <c r="A1424" s="15" t="s">
        <v>30</v>
      </c>
      <c r="C1424" s="19"/>
      <c r="D1424" s="33" t="str">
        <f t="shared" ref="D1424:D1434" si="348">D1423</f>
        <v>E100032</v>
      </c>
      <c r="E1424" s="33"/>
      <c r="F1424" s="34"/>
      <c r="G1424" s="34" t="str">
        <f>"""NAV Direct"",""CRONUS JetCorp USA"",""32"",""1"",""168336"""</f>
        <v>"NAV Direct","CRONUS JetCorp USA","32","1","168336"</v>
      </c>
      <c r="H1424" s="40">
        <v>43466</v>
      </c>
      <c r="I1424" s="41">
        <v>168336</v>
      </c>
      <c r="J1424" s="42" t="str">
        <f>"Vendor"</f>
        <v>Vendor</v>
      </c>
      <c r="K1424" s="42" t="str">
        <f>"V100001"</f>
        <v>V100001</v>
      </c>
      <c r="L1424" s="42" t="str">
        <f>IF($J1424="Customer",_xll.NL("first",$J1424,"Name","No.","@@"&amp;$K1424),"")</f>
        <v/>
      </c>
      <c r="M1424" s="42" t="str">
        <f>"Greigner, Inc."</f>
        <v>Greigner, Inc.</v>
      </c>
      <c r="N1424" s="42" t="str">
        <f>IF($J1424="Item",_xll.NL("first",$J1424,"Description","No.","@@"&amp;$K1424),"")</f>
        <v/>
      </c>
      <c r="O1424" s="43">
        <v>750</v>
      </c>
      <c r="P1424" s="43">
        <v>0</v>
      </c>
      <c r="Q1424" s="43">
        <v>0</v>
      </c>
      <c r="R1424" s="43">
        <v>0</v>
      </c>
      <c r="S1424" s="43">
        <v>0</v>
      </c>
      <c r="T1424" s="43">
        <v>0</v>
      </c>
      <c r="U1424" s="56"/>
    </row>
    <row r="1425" spans="1:21" ht="17.25" customHeight="1" x14ac:dyDescent="0.3">
      <c r="A1425" s="15" t="s">
        <v>30</v>
      </c>
      <c r="C1425" s="19"/>
      <c r="D1425" s="33" t="str">
        <f t="shared" si="348"/>
        <v>E100032</v>
      </c>
      <c r="E1425" s="33"/>
      <c r="F1425" s="34"/>
      <c r="G1425" s="34" t="str">
        <f>"""NAV Direct"",""CRONUS JetCorp USA"",""32"",""1"",""168351"""</f>
        <v>"NAV Direct","CRONUS JetCorp USA","32","1","168351"</v>
      </c>
      <c r="H1425" s="40">
        <v>43466</v>
      </c>
      <c r="I1425" s="41">
        <v>168351</v>
      </c>
      <c r="J1425" s="42" t="str">
        <f>"Vendor"</f>
        <v>Vendor</v>
      </c>
      <c r="K1425" s="42" t="str">
        <f>"V100003"</f>
        <v>V100003</v>
      </c>
      <c r="L1425" s="42" t="str">
        <f>IF($J1425="Customer",_xll.NL("first",$J1425,"Name","No.","@@"&amp;$K1425),"")</f>
        <v/>
      </c>
      <c r="M1425" s="42" t="str">
        <f>"LogoMasters"</f>
        <v>LogoMasters</v>
      </c>
      <c r="N1425" s="42" t="str">
        <f>IF($J1425="Item",_xll.NL("first",$J1425,"Description","No.","@@"&amp;$K1425),"")</f>
        <v/>
      </c>
      <c r="O1425" s="43">
        <v>750</v>
      </c>
      <c r="P1425" s="43">
        <v>0</v>
      </c>
      <c r="Q1425" s="43">
        <v>0</v>
      </c>
      <c r="R1425" s="43">
        <v>0</v>
      </c>
      <c r="S1425" s="43">
        <v>0</v>
      </c>
      <c r="T1425" s="43">
        <v>0</v>
      </c>
      <c r="U1425" s="56"/>
    </row>
    <row r="1426" spans="1:21" ht="17.25" customHeight="1" x14ac:dyDescent="0.3">
      <c r="A1426" s="15" t="s">
        <v>30</v>
      </c>
      <c r="C1426" s="19"/>
      <c r="D1426" s="33" t="str">
        <f t="shared" si="348"/>
        <v>E100032</v>
      </c>
      <c r="E1426" s="33"/>
      <c r="F1426" s="34"/>
      <c r="G1426" s="34" t="str">
        <f>"""NAV Direct"",""CRONUS JetCorp USA"",""32"",""1"",""64591"""</f>
        <v>"NAV Direct","CRONUS JetCorp USA","32","1","64591"</v>
      </c>
      <c r="H1426" s="40">
        <v>43469</v>
      </c>
      <c r="I1426" s="41">
        <v>64591</v>
      </c>
      <c r="J1426" s="42" t="str">
        <f>"Customer"</f>
        <v>Customer</v>
      </c>
      <c r="K1426" s="42" t="str">
        <f>"C100140"</f>
        <v>C100140</v>
      </c>
      <c r="L1426" s="42" t="str">
        <f>IF($J1426="Customer",_xll.NL("first",$J1426,"Name","No.","@@"&amp;$K1426),"")</f>
        <v>Super Daves</v>
      </c>
      <c r="M1426" s="42" t="str">
        <f>""</f>
        <v/>
      </c>
      <c r="N1426" s="42" t="str">
        <f>IF($J1426="Item",_xll.NL("first",$J1426,"Description","No.","@@"&amp;$K1426),"")</f>
        <v/>
      </c>
      <c r="O1426" s="43">
        <v>0</v>
      </c>
      <c r="P1426" s="43">
        <v>-48</v>
      </c>
      <c r="Q1426" s="43">
        <v>0</v>
      </c>
      <c r="R1426" s="43">
        <v>0</v>
      </c>
      <c r="S1426" s="43">
        <v>0</v>
      </c>
      <c r="T1426" s="43">
        <v>0</v>
      </c>
      <c r="U1426" s="56"/>
    </row>
    <row r="1427" spans="1:21" ht="17.25" customHeight="1" x14ac:dyDescent="0.3">
      <c r="A1427" s="15" t="s">
        <v>30</v>
      </c>
      <c r="C1427" s="19"/>
      <c r="D1427" s="33" t="str">
        <f t="shared" si="348"/>
        <v>E100032</v>
      </c>
      <c r="E1427" s="33"/>
      <c r="F1427" s="34"/>
      <c r="G1427" s="34" t="str">
        <f>"""NAV Direct"",""CRONUS JetCorp USA"",""32"",""1"",""72524"""</f>
        <v>"NAV Direct","CRONUS JetCorp USA","32","1","72524"</v>
      </c>
      <c r="H1427" s="40">
        <v>43471</v>
      </c>
      <c r="I1427" s="41">
        <v>72524</v>
      </c>
      <c r="J1427" s="42" t="str">
        <f>"Customer"</f>
        <v>Customer</v>
      </c>
      <c r="K1427" s="42" t="str">
        <f>"C100107"</f>
        <v>C100107</v>
      </c>
      <c r="L1427" s="42" t="str">
        <f>IF($J1427="Customer",_xll.NL("first",$J1427,"Name","No.","@@"&amp;$K1427),"")</f>
        <v>Lexitechnology</v>
      </c>
      <c r="M1427" s="42" t="str">
        <f>""</f>
        <v/>
      </c>
      <c r="N1427" s="42" t="str">
        <f>IF($J1427="Item",_xll.NL("first",$J1427,"Description","No.","@@"&amp;$K1427),"")</f>
        <v/>
      </c>
      <c r="O1427" s="43">
        <v>0</v>
      </c>
      <c r="P1427" s="43">
        <v>-144</v>
      </c>
      <c r="Q1427" s="43">
        <v>0</v>
      </c>
      <c r="R1427" s="43">
        <v>0</v>
      </c>
      <c r="S1427" s="43">
        <v>0</v>
      </c>
      <c r="T1427" s="43">
        <v>0</v>
      </c>
      <c r="U1427" s="56"/>
    </row>
    <row r="1428" spans="1:21" ht="17.25" customHeight="1" x14ac:dyDescent="0.3">
      <c r="A1428" s="15" t="s">
        <v>30</v>
      </c>
      <c r="C1428" s="19"/>
      <c r="D1428" s="33" t="str">
        <f t="shared" si="348"/>
        <v>E100032</v>
      </c>
      <c r="E1428" s="33"/>
      <c r="F1428" s="34"/>
      <c r="G1428" s="34" t="str">
        <f>"""NAV Direct"",""CRONUS JetCorp USA"",""32"",""1"",""158694"""</f>
        <v>"NAV Direct","CRONUS JetCorp USA","32","1","158694"</v>
      </c>
      <c r="H1428" s="40">
        <v>43471</v>
      </c>
      <c r="I1428" s="41">
        <v>158694</v>
      </c>
      <c r="J1428" s="42" t="str">
        <f>"Customer"</f>
        <v>Customer</v>
      </c>
      <c r="K1428" s="42" t="str">
        <f>"C100126"</f>
        <v>C100126</v>
      </c>
      <c r="L1428" s="42" t="str">
        <f>IF($J1428="Customer",_xll.NL("first",$J1428,"Name","No.","@@"&amp;$K1428),"")</f>
        <v>Moveex</v>
      </c>
      <c r="M1428" s="42" t="str">
        <f>""</f>
        <v/>
      </c>
      <c r="N1428" s="42" t="str">
        <f>IF($J1428="Item",_xll.NL("first",$J1428,"Description","No.","@@"&amp;$K1428),"")</f>
        <v/>
      </c>
      <c r="O1428" s="43">
        <v>0</v>
      </c>
      <c r="P1428" s="43">
        <v>1</v>
      </c>
      <c r="Q1428" s="43">
        <v>0</v>
      </c>
      <c r="R1428" s="43">
        <v>0</v>
      </c>
      <c r="S1428" s="43">
        <v>0</v>
      </c>
      <c r="T1428" s="43">
        <v>0</v>
      </c>
      <c r="U1428" s="56"/>
    </row>
    <row r="1429" spans="1:21" ht="17.25" customHeight="1" x14ac:dyDescent="0.3">
      <c r="A1429" s="15" t="s">
        <v>30</v>
      </c>
      <c r="C1429" s="19"/>
      <c r="D1429" s="33" t="str">
        <f t="shared" si="348"/>
        <v>E100032</v>
      </c>
      <c r="E1429" s="33"/>
      <c r="F1429" s="34"/>
      <c r="G1429" s="34" t="str">
        <f>"""NAV Direct"",""CRONUS JetCorp USA"",""32"",""1"",""44481"""</f>
        <v>"NAV Direct","CRONUS JetCorp USA","32","1","44481"</v>
      </c>
      <c r="H1429" s="40">
        <v>43472</v>
      </c>
      <c r="I1429" s="41">
        <v>44481</v>
      </c>
      <c r="J1429" s="42" t="str">
        <f>"Customer"</f>
        <v>Customer</v>
      </c>
      <c r="K1429" s="42" t="str">
        <f>"C100141"</f>
        <v>C100141</v>
      </c>
      <c r="L1429" s="42" t="str">
        <f>IF($J1429="Customer",_xll.NL("first",$J1429,"Name","No.","@@"&amp;$K1429),"")</f>
        <v>Bargottis</v>
      </c>
      <c r="M1429" s="42" t="str">
        <f>""</f>
        <v/>
      </c>
      <c r="N1429" s="42" t="str">
        <f>IF($J1429="Item",_xll.NL("first",$J1429,"Description","No.","@@"&amp;$K1429),"")</f>
        <v/>
      </c>
      <c r="O1429" s="43">
        <v>0</v>
      </c>
      <c r="P1429" s="43">
        <v>-144</v>
      </c>
      <c r="Q1429" s="43">
        <v>0</v>
      </c>
      <c r="R1429" s="43">
        <v>0</v>
      </c>
      <c r="S1429" s="43">
        <v>0</v>
      </c>
      <c r="T1429" s="43">
        <v>0</v>
      </c>
      <c r="U1429" s="56"/>
    </row>
    <row r="1430" spans="1:21" ht="17.25" customHeight="1" x14ac:dyDescent="0.3">
      <c r="A1430" s="15" t="s">
        <v>30</v>
      </c>
      <c r="C1430" s="19"/>
      <c r="D1430" s="33" t="str">
        <f t="shared" si="348"/>
        <v>E100032</v>
      </c>
      <c r="E1430" s="33"/>
      <c r="F1430" s="34"/>
      <c r="G1430" s="34" t="str">
        <f>"""NAV Direct"",""CRONUS JetCorp USA"",""32"",""1"",""54743"""</f>
        <v>"NAV Direct","CRONUS JetCorp USA","32","1","54743"</v>
      </c>
      <c r="H1430" s="40">
        <v>43472</v>
      </c>
      <c r="I1430" s="41">
        <v>54743</v>
      </c>
      <c r="J1430" s="42" t="str">
        <f>"Customer"</f>
        <v>Customer</v>
      </c>
      <c r="K1430" s="42" t="str">
        <f>"C100084"</f>
        <v>C100084</v>
      </c>
      <c r="L1430" s="42" t="str">
        <f>IF($J1430="Customer",_xll.NL("first",$J1430,"Name","No.","@@"&amp;$K1430),"")</f>
        <v>The Cannon Group PLC</v>
      </c>
      <c r="M1430" s="42" t="str">
        <f>""</f>
        <v/>
      </c>
      <c r="N1430" s="42" t="str">
        <f>IF($J1430="Item",_xll.NL("first",$J1430,"Description","No.","@@"&amp;$K1430),"")</f>
        <v/>
      </c>
      <c r="O1430" s="43">
        <v>0</v>
      </c>
      <c r="P1430" s="43">
        <v>-144</v>
      </c>
      <c r="Q1430" s="43">
        <v>0</v>
      </c>
      <c r="R1430" s="43">
        <v>0</v>
      </c>
      <c r="S1430" s="43">
        <v>0</v>
      </c>
      <c r="T1430" s="43">
        <v>0</v>
      </c>
      <c r="U1430" s="56"/>
    </row>
    <row r="1431" spans="1:21" ht="17.25" customHeight="1" x14ac:dyDescent="0.3">
      <c r="A1431" s="15" t="s">
        <v>30</v>
      </c>
      <c r="C1431" s="19"/>
      <c r="D1431" s="33" t="str">
        <f t="shared" si="348"/>
        <v>E100032</v>
      </c>
      <c r="E1431" s="33"/>
      <c r="F1431" s="34"/>
      <c r="G1431" s="34" t="str">
        <f>"""NAV Direct"",""CRONUS JetCorp USA"",""32"",""1"",""44536"""</f>
        <v>"NAV Direct","CRONUS JetCorp USA","32","1","44536"</v>
      </c>
      <c r="H1431" s="40">
        <v>43473</v>
      </c>
      <c r="I1431" s="41">
        <v>44536</v>
      </c>
      <c r="J1431" s="42" t="str">
        <f>"Customer"</f>
        <v>Customer</v>
      </c>
      <c r="K1431" s="42" t="str">
        <f>"C100139"</f>
        <v>C100139</v>
      </c>
      <c r="L1431" s="42" t="str">
        <f>IF($J1431="Customer",_xll.NL("first",$J1431,"Name","No.","@@"&amp;$K1431),"")</f>
        <v>Gamma Ray's</v>
      </c>
      <c r="M1431" s="42" t="str">
        <f>""</f>
        <v/>
      </c>
      <c r="N1431" s="42" t="str">
        <f>IF($J1431="Item",_xll.NL("first",$J1431,"Description","No.","@@"&amp;$K1431),"")</f>
        <v/>
      </c>
      <c r="O1431" s="43">
        <v>0</v>
      </c>
      <c r="P1431" s="43">
        <v>-144</v>
      </c>
      <c r="Q1431" s="43">
        <v>0</v>
      </c>
      <c r="R1431" s="43">
        <v>0</v>
      </c>
      <c r="S1431" s="43">
        <v>0</v>
      </c>
      <c r="T1431" s="43">
        <v>0</v>
      </c>
      <c r="U1431" s="56"/>
    </row>
    <row r="1432" spans="1:21" ht="17.25" customHeight="1" x14ac:dyDescent="0.3">
      <c r="A1432" s="15" t="s">
        <v>30</v>
      </c>
      <c r="C1432" s="19"/>
      <c r="D1432" s="33" t="str">
        <f t="shared" si="348"/>
        <v>E100032</v>
      </c>
      <c r="E1432" s="33"/>
      <c r="F1432" s="34"/>
      <c r="G1432" s="34" t="str">
        <f>"""NAV Direct"",""CRONUS JetCorp USA"",""32"",""1"",""159119"""</f>
        <v>"NAV Direct","CRONUS JetCorp USA","32","1","159119"</v>
      </c>
      <c r="H1432" s="40">
        <v>43474</v>
      </c>
      <c r="I1432" s="41">
        <v>159119</v>
      </c>
      <c r="J1432" s="42" t="str">
        <f>"Customer"</f>
        <v>Customer</v>
      </c>
      <c r="K1432" s="42" t="str">
        <f>"C100143"</f>
        <v>C100143</v>
      </c>
      <c r="L1432" s="42" t="str">
        <f>IF($J1432="Customer",_xll.NL("first",$J1432,"Name","No.","@@"&amp;$K1432),"")</f>
        <v>Parvotis</v>
      </c>
      <c r="M1432" s="42" t="str">
        <f>""</f>
        <v/>
      </c>
      <c r="N1432" s="42" t="str">
        <f>IF($J1432="Item",_xll.NL("first",$J1432,"Description","No.","@@"&amp;$K1432),"")</f>
        <v/>
      </c>
      <c r="O1432" s="43">
        <v>0</v>
      </c>
      <c r="P1432" s="43">
        <v>1</v>
      </c>
      <c r="Q1432" s="43">
        <v>0</v>
      </c>
      <c r="R1432" s="43">
        <v>0</v>
      </c>
      <c r="S1432" s="43">
        <v>0</v>
      </c>
      <c r="T1432" s="43">
        <v>0</v>
      </c>
      <c r="U1432" s="56"/>
    </row>
    <row r="1433" spans="1:21" ht="17.25" customHeight="1" x14ac:dyDescent="0.3">
      <c r="A1433" s="15" t="s">
        <v>30</v>
      </c>
      <c r="C1433" s="19"/>
      <c r="D1433" s="33" t="str">
        <f t="shared" si="348"/>
        <v>E100032</v>
      </c>
      <c r="E1433" s="33"/>
      <c r="F1433" s="34"/>
      <c r="G1433" s="34" t="str">
        <f>"""NAV Direct"",""CRONUS JetCorp USA"",""32"",""1"",""64628"""</f>
        <v>"NAV Direct","CRONUS JetCorp USA","32","1","64628"</v>
      </c>
      <c r="H1433" s="40">
        <v>43475</v>
      </c>
      <c r="I1433" s="41">
        <v>64628</v>
      </c>
      <c r="J1433" s="42" t="str">
        <f>"Customer"</f>
        <v>Customer</v>
      </c>
      <c r="K1433" s="42" t="str">
        <f>"C100136"</f>
        <v>C100136</v>
      </c>
      <c r="L1433" s="42" t="str">
        <f>IF($J1433="Customer",_xll.NL("first",$J1433,"Name","No.","@@"&amp;$K1433),"")</f>
        <v>First Bank</v>
      </c>
      <c r="M1433" s="42" t="str">
        <f>""</f>
        <v/>
      </c>
      <c r="N1433" s="42" t="str">
        <f>IF($J1433="Item",_xll.NL("first",$J1433,"Description","No.","@@"&amp;$K1433),"")</f>
        <v/>
      </c>
      <c r="O1433" s="43">
        <v>0</v>
      </c>
      <c r="P1433" s="43">
        <v>-144</v>
      </c>
      <c r="Q1433" s="43">
        <v>0</v>
      </c>
      <c r="R1433" s="43">
        <v>0</v>
      </c>
      <c r="S1433" s="43">
        <v>0</v>
      </c>
      <c r="T1433" s="43">
        <v>0</v>
      </c>
      <c r="U1433" s="56"/>
    </row>
    <row r="1434" spans="1:21" ht="17.25" customHeight="1" x14ac:dyDescent="0.3">
      <c r="A1434" s="15" t="s">
        <v>30</v>
      </c>
      <c r="C1434" s="19"/>
      <c r="D1434" s="33" t="str">
        <f t="shared" si="348"/>
        <v>E100032</v>
      </c>
      <c r="E1434" s="33"/>
      <c r="F1434" s="34"/>
      <c r="G1434" s="34" t="str">
        <f>"""NAV Direct"",""CRONUS JetCorp USA"",""32"",""1"",""78870"""</f>
        <v>"NAV Direct","CRONUS JetCorp USA","32","1","78870"</v>
      </c>
      <c r="H1434" s="40">
        <v>43476</v>
      </c>
      <c r="I1434" s="41">
        <v>78870</v>
      </c>
      <c r="J1434" s="42" t="str">
        <f>"Customer"</f>
        <v>Customer</v>
      </c>
      <c r="K1434" s="42" t="str">
        <f>"C100117"</f>
        <v>C100117</v>
      </c>
      <c r="L1434" s="42" t="str">
        <f>IF($J1434="Customer",_xll.NL("first",$J1434,"Name","No.","@@"&amp;$K1434),"")</f>
        <v xml:space="preserve">Tintax </v>
      </c>
      <c r="M1434" s="42" t="str">
        <f>""</f>
        <v/>
      </c>
      <c r="N1434" s="42" t="str">
        <f>IF($J1434="Item",_xll.NL("first",$J1434,"Description","No.","@@"&amp;$K1434),"")</f>
        <v/>
      </c>
      <c r="O1434" s="43">
        <v>0</v>
      </c>
      <c r="P1434" s="43">
        <v>-1</v>
      </c>
      <c r="Q1434" s="43">
        <v>0</v>
      </c>
      <c r="R1434" s="43">
        <v>0</v>
      </c>
      <c r="S1434" s="43">
        <v>0</v>
      </c>
      <c r="T1434" s="43">
        <v>0</v>
      </c>
      <c r="U1434" s="56"/>
    </row>
    <row r="1435" spans="1:21" ht="17.25" customHeight="1" x14ac:dyDescent="0.3">
      <c r="A1435" s="15" t="s">
        <v>30</v>
      </c>
      <c r="C1435" s="19"/>
      <c r="D1435" s="33"/>
      <c r="E1435" s="33"/>
      <c r="F1435" s="34"/>
      <c r="G1435" s="34"/>
      <c r="H1435" s="34"/>
      <c r="I1435" s="34"/>
      <c r="J1435" s="34"/>
      <c r="K1435" s="34"/>
      <c r="L1435" s="34"/>
      <c r="M1435" s="34"/>
      <c r="N1435" s="34"/>
      <c r="O1435" s="44"/>
      <c r="P1435" s="44"/>
      <c r="Q1435" s="44"/>
      <c r="R1435" s="44"/>
      <c r="S1435" s="44"/>
      <c r="T1435" s="44"/>
      <c r="U1435" s="57"/>
    </row>
    <row r="1436" spans="1:21" ht="17.25" customHeight="1" x14ac:dyDescent="0.3">
      <c r="A1436" s="15" t="s">
        <v>30</v>
      </c>
      <c r="C1436" s="19"/>
      <c r="D1436" s="33"/>
      <c r="E1436" s="33" t="s">
        <v>31</v>
      </c>
      <c r="F1436" s="34" t="s">
        <v>31</v>
      </c>
      <c r="G1436" s="34" t="s">
        <v>31</v>
      </c>
      <c r="H1436" s="34"/>
      <c r="I1436" s="34"/>
      <c r="J1436" s="34" t="s">
        <v>31</v>
      </c>
      <c r="K1436" s="34" t="s">
        <v>31</v>
      </c>
      <c r="L1436" s="34" t="s">
        <v>31</v>
      </c>
      <c r="M1436" s="34" t="s">
        <v>31</v>
      </c>
      <c r="N1436" s="34"/>
      <c r="U1436" s="58"/>
    </row>
    <row r="1437" spans="1:21" ht="20.25" customHeight="1" x14ac:dyDescent="0.35">
      <c r="A1437" s="15" t="s">
        <v>30</v>
      </c>
      <c r="C1437" s="19"/>
      <c r="D1437" s="35" t="str">
        <f t="shared" ref="D1437" si="349">E1437</f>
        <v>E100033</v>
      </c>
      <c r="E1437" s="36" t="str">
        <f>"E100033"</f>
        <v>E100033</v>
      </c>
      <c r="F1437" s="37" t="str">
        <f>"Dual Source Flashlight"</f>
        <v>Dual Source Flashlight</v>
      </c>
      <c r="G1437" s="37"/>
      <c r="H1437" s="38" t="str">
        <f>"EA"</f>
        <v>EA</v>
      </c>
      <c r="I1437" s="37"/>
      <c r="J1437" s="37"/>
      <c r="K1437" s="37"/>
      <c r="L1437" s="37"/>
      <c r="M1437" s="37"/>
      <c r="N1437" s="37"/>
      <c r="O1437" s="39">
        <f>(SUBTOTAL(9,O1438:O1450))</f>
        <v>2249.9999999999995</v>
      </c>
      <c r="P1437" s="39">
        <f>(SUBTOTAL(9,P1438:P1450))</f>
        <v>-1213</v>
      </c>
      <c r="Q1437" s="39">
        <f>(SUBTOTAL(9,Q1438:Q1450))</f>
        <v>0</v>
      </c>
      <c r="R1437" s="39">
        <f>(SUBTOTAL(9,R1438:R1450))</f>
        <v>0</v>
      </c>
      <c r="S1437" s="39">
        <f>(SUBTOTAL(9,S1438:S1450))</f>
        <v>0</v>
      </c>
      <c r="T1437" s="39">
        <f>(SUBTOTAL(9,T1438:T1450))</f>
        <v>0</v>
      </c>
      <c r="U1437" s="55">
        <f t="shared" ref="U1437" si="350">SUBTOTAL(9,O1438:T1450)</f>
        <v>1036.9999999999995</v>
      </c>
    </row>
    <row r="1438" spans="1:21" ht="17.25" customHeight="1" x14ac:dyDescent="0.3">
      <c r="A1438" s="15" t="s">
        <v>30</v>
      </c>
      <c r="C1438" s="19"/>
      <c r="D1438" s="33" t="str">
        <f t="shared" ref="D1438" si="351">D1437</f>
        <v>E100033</v>
      </c>
      <c r="E1438" s="33"/>
      <c r="F1438" s="34"/>
      <c r="G1438" s="34" t="str">
        <f>"""NAV Direct"",""CRONUS JetCorp USA"",""32"",""1"",""168323"""</f>
        <v>"NAV Direct","CRONUS JetCorp USA","32","1","168323"</v>
      </c>
      <c r="H1438" s="40">
        <v>43466</v>
      </c>
      <c r="I1438" s="41">
        <v>168323</v>
      </c>
      <c r="J1438" s="42" t="str">
        <f>"Vendor"</f>
        <v>Vendor</v>
      </c>
      <c r="K1438" s="42" t="str">
        <f>"V100001"</f>
        <v>V100001</v>
      </c>
      <c r="L1438" s="42" t="str">
        <f>IF($J1438="Customer",_xll.NL("first",$J1438,"Name","No.","@@"&amp;$K1438),"")</f>
        <v/>
      </c>
      <c r="M1438" s="42" t="str">
        <f>"Greigner, Inc."</f>
        <v>Greigner, Inc.</v>
      </c>
      <c r="N1438" s="42" t="str">
        <f>IF($J1438="Item",_xll.NL("first",$J1438,"Description","No.","@@"&amp;$K1438),"")</f>
        <v/>
      </c>
      <c r="O1438" s="43">
        <v>499.99999999999994</v>
      </c>
      <c r="P1438" s="43">
        <v>0</v>
      </c>
      <c r="Q1438" s="43">
        <v>0</v>
      </c>
      <c r="R1438" s="43">
        <v>0</v>
      </c>
      <c r="S1438" s="43">
        <v>0</v>
      </c>
      <c r="T1438" s="43">
        <v>0</v>
      </c>
      <c r="U1438" s="56"/>
    </row>
    <row r="1439" spans="1:21" ht="17.25" customHeight="1" x14ac:dyDescent="0.3">
      <c r="A1439" s="15" t="s">
        <v>30</v>
      </c>
      <c r="C1439" s="19"/>
      <c r="D1439" s="33" t="str">
        <f t="shared" ref="D1439:D1449" si="352">D1438</f>
        <v>E100033</v>
      </c>
      <c r="E1439" s="33"/>
      <c r="F1439" s="34"/>
      <c r="G1439" s="34" t="str">
        <f>"""NAV Direct"",""CRONUS JetCorp USA"",""32"",""1"",""168335"""</f>
        <v>"NAV Direct","CRONUS JetCorp USA","32","1","168335"</v>
      </c>
      <c r="H1439" s="40">
        <v>43466</v>
      </c>
      <c r="I1439" s="41">
        <v>168335</v>
      </c>
      <c r="J1439" s="42" t="str">
        <f>"Vendor"</f>
        <v>Vendor</v>
      </c>
      <c r="K1439" s="42" t="str">
        <f>"V100001"</f>
        <v>V100001</v>
      </c>
      <c r="L1439" s="42" t="str">
        <f>IF($J1439="Customer",_xll.NL("first",$J1439,"Name","No.","@@"&amp;$K1439),"")</f>
        <v/>
      </c>
      <c r="M1439" s="42" t="str">
        <f>"Greigner, Inc."</f>
        <v>Greigner, Inc.</v>
      </c>
      <c r="N1439" s="42" t="str">
        <f>IF($J1439="Item",_xll.NL("first",$J1439,"Description","No.","@@"&amp;$K1439),"")</f>
        <v/>
      </c>
      <c r="O1439" s="43">
        <v>499.99999999999994</v>
      </c>
      <c r="P1439" s="43">
        <v>0</v>
      </c>
      <c r="Q1439" s="43">
        <v>0</v>
      </c>
      <c r="R1439" s="43">
        <v>0</v>
      </c>
      <c r="S1439" s="43">
        <v>0</v>
      </c>
      <c r="T1439" s="43">
        <v>0</v>
      </c>
      <c r="U1439" s="56"/>
    </row>
    <row r="1440" spans="1:21" ht="17.25" customHeight="1" x14ac:dyDescent="0.3">
      <c r="A1440" s="15" t="s">
        <v>30</v>
      </c>
      <c r="C1440" s="19"/>
      <c r="D1440" s="33" t="str">
        <f t="shared" si="352"/>
        <v>E100033</v>
      </c>
      <c r="E1440" s="33"/>
      <c r="F1440" s="34"/>
      <c r="G1440" s="34" t="str">
        <f>"""NAV Direct"",""CRONUS JetCorp USA"",""32"",""1"",""168350"""</f>
        <v>"NAV Direct","CRONUS JetCorp USA","32","1","168350"</v>
      </c>
      <c r="H1440" s="40">
        <v>43466</v>
      </c>
      <c r="I1440" s="41">
        <v>168350</v>
      </c>
      <c r="J1440" s="42" t="str">
        <f>"Vendor"</f>
        <v>Vendor</v>
      </c>
      <c r="K1440" s="42" t="str">
        <f>"V100003"</f>
        <v>V100003</v>
      </c>
      <c r="L1440" s="42" t="str">
        <f>IF($J1440="Customer",_xll.NL("first",$J1440,"Name","No.","@@"&amp;$K1440),"")</f>
        <v/>
      </c>
      <c r="M1440" s="42" t="str">
        <f>"LogoMasters"</f>
        <v>LogoMasters</v>
      </c>
      <c r="N1440" s="42" t="str">
        <f>IF($J1440="Item",_xll.NL("first",$J1440,"Description","No.","@@"&amp;$K1440),"")</f>
        <v/>
      </c>
      <c r="O1440" s="43">
        <v>999.99999999999989</v>
      </c>
      <c r="P1440" s="43">
        <v>0</v>
      </c>
      <c r="Q1440" s="43">
        <v>0</v>
      </c>
      <c r="R1440" s="43">
        <v>0</v>
      </c>
      <c r="S1440" s="43">
        <v>0</v>
      </c>
      <c r="T1440" s="43">
        <v>0</v>
      </c>
      <c r="U1440" s="56"/>
    </row>
    <row r="1441" spans="1:21" ht="17.25" customHeight="1" x14ac:dyDescent="0.3">
      <c r="A1441" s="15" t="s">
        <v>30</v>
      </c>
      <c r="C1441" s="19"/>
      <c r="D1441" s="33" t="str">
        <f t="shared" si="352"/>
        <v>E100033</v>
      </c>
      <c r="E1441" s="33"/>
      <c r="F1441" s="34"/>
      <c r="G1441" s="34" t="str">
        <f>"""NAV Direct"",""CRONUS JetCorp USA"",""32"",""1"",""168362"""</f>
        <v>"NAV Direct","CRONUS JetCorp USA","32","1","168362"</v>
      </c>
      <c r="H1441" s="40">
        <v>43466</v>
      </c>
      <c r="I1441" s="41">
        <v>168362</v>
      </c>
      <c r="J1441" s="42" t="str">
        <f>"Vendor"</f>
        <v>Vendor</v>
      </c>
      <c r="K1441" s="42" t="str">
        <f>"V100001"</f>
        <v>V100001</v>
      </c>
      <c r="L1441" s="42" t="str">
        <f>IF($J1441="Customer",_xll.NL("first",$J1441,"Name","No.","@@"&amp;$K1441),"")</f>
        <v/>
      </c>
      <c r="M1441" s="42" t="str">
        <f>"Greigner, Inc."</f>
        <v>Greigner, Inc.</v>
      </c>
      <c r="N1441" s="42" t="str">
        <f>IF($J1441="Item",_xll.NL("first",$J1441,"Description","No.","@@"&amp;$K1441),"")</f>
        <v/>
      </c>
      <c r="O1441" s="43">
        <v>249.99999999999997</v>
      </c>
      <c r="P1441" s="43">
        <v>0</v>
      </c>
      <c r="Q1441" s="43">
        <v>0</v>
      </c>
      <c r="R1441" s="43">
        <v>0</v>
      </c>
      <c r="S1441" s="43">
        <v>0</v>
      </c>
      <c r="T1441" s="43">
        <v>0</v>
      </c>
      <c r="U1441" s="56"/>
    </row>
    <row r="1442" spans="1:21" ht="17.25" customHeight="1" x14ac:dyDescent="0.3">
      <c r="A1442" s="15" t="s">
        <v>30</v>
      </c>
      <c r="C1442" s="19"/>
      <c r="D1442" s="33" t="str">
        <f t="shared" si="352"/>
        <v>E100033</v>
      </c>
      <c r="E1442" s="33"/>
      <c r="F1442" s="34"/>
      <c r="G1442" s="34" t="str">
        <f>"""NAV Direct"",""CRONUS JetCorp USA"",""32"",""1"",""78841"""</f>
        <v>"NAV Direct","CRONUS JetCorp USA","32","1","78841"</v>
      </c>
      <c r="H1442" s="40">
        <v>43468</v>
      </c>
      <c r="I1442" s="41">
        <v>78841</v>
      </c>
      <c r="J1442" s="42" t="str">
        <f>"Customer"</f>
        <v>Customer</v>
      </c>
      <c r="K1442" s="42" t="str">
        <f>"C100117"</f>
        <v>C100117</v>
      </c>
      <c r="L1442" s="42" t="str">
        <f>IF($J1442="Customer",_xll.NL("first",$J1442,"Name","No.","@@"&amp;$K1442),"")</f>
        <v xml:space="preserve">Tintax </v>
      </c>
      <c r="M1442" s="42" t="str">
        <f>""</f>
        <v/>
      </c>
      <c r="N1442" s="42" t="str">
        <f>IF($J1442="Item",_xll.NL("first",$J1442,"Description","No.","@@"&amp;$K1442),"")</f>
        <v/>
      </c>
      <c r="O1442" s="43">
        <v>0</v>
      </c>
      <c r="P1442" s="43">
        <v>-12</v>
      </c>
      <c r="Q1442" s="43">
        <v>0</v>
      </c>
      <c r="R1442" s="43">
        <v>0</v>
      </c>
      <c r="S1442" s="43">
        <v>0</v>
      </c>
      <c r="T1442" s="43">
        <v>0</v>
      </c>
      <c r="U1442" s="56"/>
    </row>
    <row r="1443" spans="1:21" ht="17.25" customHeight="1" x14ac:dyDescent="0.3">
      <c r="A1443" s="15" t="s">
        <v>30</v>
      </c>
      <c r="C1443" s="19"/>
      <c r="D1443" s="33" t="str">
        <f t="shared" si="352"/>
        <v>E100033</v>
      </c>
      <c r="E1443" s="33"/>
      <c r="F1443" s="34"/>
      <c r="G1443" s="34" t="str">
        <f>"""NAV Direct"",""CRONUS JetCorp USA"",""32"",""1"",""153195"""</f>
        <v>"NAV Direct","CRONUS JetCorp USA","32","1","153195"</v>
      </c>
      <c r="H1443" s="40">
        <v>43469</v>
      </c>
      <c r="I1443" s="41">
        <v>153195</v>
      </c>
      <c r="J1443" s="42" t="str">
        <f>"Customer"</f>
        <v>Customer</v>
      </c>
      <c r="K1443" s="42" t="str">
        <f>"C100136"</f>
        <v>C100136</v>
      </c>
      <c r="L1443" s="42" t="str">
        <f>IF($J1443="Customer",_xll.NL("first",$J1443,"Name","No.","@@"&amp;$K1443),"")</f>
        <v>First Bank</v>
      </c>
      <c r="M1443" s="42" t="str">
        <f>""</f>
        <v/>
      </c>
      <c r="N1443" s="42" t="str">
        <f>IF($J1443="Item",_xll.NL("first",$J1443,"Description","No.","@@"&amp;$K1443),"")</f>
        <v/>
      </c>
      <c r="O1443" s="43">
        <v>0</v>
      </c>
      <c r="P1443" s="43">
        <v>-48</v>
      </c>
      <c r="Q1443" s="43">
        <v>0</v>
      </c>
      <c r="R1443" s="43">
        <v>0</v>
      </c>
      <c r="S1443" s="43">
        <v>0</v>
      </c>
      <c r="T1443" s="43">
        <v>0</v>
      </c>
      <c r="U1443" s="56"/>
    </row>
    <row r="1444" spans="1:21" ht="17.25" customHeight="1" x14ac:dyDescent="0.3">
      <c r="A1444" s="15" t="s">
        <v>30</v>
      </c>
      <c r="C1444" s="19"/>
      <c r="D1444" s="33" t="str">
        <f t="shared" si="352"/>
        <v>E100033</v>
      </c>
      <c r="E1444" s="33"/>
      <c r="F1444" s="34"/>
      <c r="G1444" s="34" t="str">
        <f>"""NAV Direct"",""CRONUS JetCorp USA"",""32"",""1"",""153165"""</f>
        <v>"NAV Direct","CRONUS JetCorp USA","32","1","153165"</v>
      </c>
      <c r="H1444" s="40">
        <v>43470</v>
      </c>
      <c r="I1444" s="41">
        <v>153165</v>
      </c>
      <c r="J1444" s="42" t="str">
        <f>"Customer"</f>
        <v>Customer</v>
      </c>
      <c r="K1444" s="42" t="str">
        <f>"C100136"</f>
        <v>C100136</v>
      </c>
      <c r="L1444" s="42" t="str">
        <f>IF($J1444="Customer",_xll.NL("first",$J1444,"Name","No.","@@"&amp;$K1444),"")</f>
        <v>First Bank</v>
      </c>
      <c r="M1444" s="42" t="str">
        <f>""</f>
        <v/>
      </c>
      <c r="N1444" s="42" t="str">
        <f>IF($J1444="Item",_xll.NL("first",$J1444,"Description","No.","@@"&amp;$K1444),"")</f>
        <v/>
      </c>
      <c r="O1444" s="43">
        <v>0</v>
      </c>
      <c r="P1444" s="43">
        <v>-144</v>
      </c>
      <c r="Q1444" s="43">
        <v>0</v>
      </c>
      <c r="R1444" s="43">
        <v>0</v>
      </c>
      <c r="S1444" s="43">
        <v>0</v>
      </c>
      <c r="T1444" s="43">
        <v>0</v>
      </c>
      <c r="U1444" s="56"/>
    </row>
    <row r="1445" spans="1:21" ht="17.25" customHeight="1" x14ac:dyDescent="0.3">
      <c r="A1445" s="15" t="s">
        <v>30</v>
      </c>
      <c r="C1445" s="19"/>
      <c r="D1445" s="33" t="str">
        <f t="shared" si="352"/>
        <v>E100033</v>
      </c>
      <c r="E1445" s="33"/>
      <c r="F1445" s="34"/>
      <c r="G1445" s="34" t="str">
        <f>"""NAV Direct"",""CRONUS JetCorp USA"",""32"",""1"",""72508"""</f>
        <v>"NAV Direct","CRONUS JetCorp USA","32","1","72508"</v>
      </c>
      <c r="H1445" s="40">
        <v>43471</v>
      </c>
      <c r="I1445" s="41">
        <v>72508</v>
      </c>
      <c r="J1445" s="42" t="str">
        <f>"Customer"</f>
        <v>Customer</v>
      </c>
      <c r="K1445" s="42" t="str">
        <f>"C100107"</f>
        <v>C100107</v>
      </c>
      <c r="L1445" s="42" t="str">
        <f>IF($J1445="Customer",_xll.NL("first",$J1445,"Name","No.","@@"&amp;$K1445),"")</f>
        <v>Lexitechnology</v>
      </c>
      <c r="M1445" s="42" t="str">
        <f>""</f>
        <v/>
      </c>
      <c r="N1445" s="42" t="str">
        <f>IF($J1445="Item",_xll.NL("first",$J1445,"Description","No.","@@"&amp;$K1445),"")</f>
        <v/>
      </c>
      <c r="O1445" s="43">
        <v>0</v>
      </c>
      <c r="P1445" s="43">
        <v>-288</v>
      </c>
      <c r="Q1445" s="43">
        <v>0</v>
      </c>
      <c r="R1445" s="43">
        <v>0</v>
      </c>
      <c r="S1445" s="43">
        <v>0</v>
      </c>
      <c r="T1445" s="43">
        <v>0</v>
      </c>
      <c r="U1445" s="56"/>
    </row>
    <row r="1446" spans="1:21" ht="17.25" customHeight="1" x14ac:dyDescent="0.3">
      <c r="A1446" s="15" t="s">
        <v>30</v>
      </c>
      <c r="C1446" s="19"/>
      <c r="D1446" s="33" t="str">
        <f t="shared" si="352"/>
        <v>E100033</v>
      </c>
      <c r="E1446" s="33"/>
      <c r="F1446" s="34"/>
      <c r="G1446" s="34" t="str">
        <f>"""NAV Direct"",""CRONUS JetCorp USA"",""32"",""1"",""44469"""</f>
        <v>"NAV Direct","CRONUS JetCorp USA","32","1","44469"</v>
      </c>
      <c r="H1446" s="40">
        <v>43472</v>
      </c>
      <c r="I1446" s="41">
        <v>44469</v>
      </c>
      <c r="J1446" s="42" t="str">
        <f>"Customer"</f>
        <v>Customer</v>
      </c>
      <c r="K1446" s="42" t="str">
        <f>"C100141"</f>
        <v>C100141</v>
      </c>
      <c r="L1446" s="42" t="str">
        <f>IF($J1446="Customer",_xll.NL("first",$J1446,"Name","No.","@@"&amp;$K1446),"")</f>
        <v>Bargottis</v>
      </c>
      <c r="M1446" s="42" t="str">
        <f>""</f>
        <v/>
      </c>
      <c r="N1446" s="42" t="str">
        <f>IF($J1446="Item",_xll.NL("first",$J1446,"Description","No.","@@"&amp;$K1446),"")</f>
        <v/>
      </c>
      <c r="O1446" s="43">
        <v>0</v>
      </c>
      <c r="P1446" s="43">
        <v>-144</v>
      </c>
      <c r="Q1446" s="43">
        <v>0</v>
      </c>
      <c r="R1446" s="43">
        <v>0</v>
      </c>
      <c r="S1446" s="43">
        <v>0</v>
      </c>
      <c r="T1446" s="43">
        <v>0</v>
      </c>
      <c r="U1446" s="56"/>
    </row>
    <row r="1447" spans="1:21" ht="17.25" customHeight="1" x14ac:dyDescent="0.3">
      <c r="A1447" s="15" t="s">
        <v>30</v>
      </c>
      <c r="C1447" s="19"/>
      <c r="D1447" s="33" t="str">
        <f t="shared" si="352"/>
        <v>E100033</v>
      </c>
      <c r="E1447" s="33"/>
      <c r="F1447" s="34"/>
      <c r="G1447" s="34" t="str">
        <f>"""NAV Direct"",""CRONUS JetCorp USA"",""32"",""1"",""54717"""</f>
        <v>"NAV Direct","CRONUS JetCorp USA","32","1","54717"</v>
      </c>
      <c r="H1447" s="40">
        <v>43472</v>
      </c>
      <c r="I1447" s="41">
        <v>54717</v>
      </c>
      <c r="J1447" s="42" t="str">
        <f>"Customer"</f>
        <v>Customer</v>
      </c>
      <c r="K1447" s="42" t="str">
        <f>"C100084"</f>
        <v>C100084</v>
      </c>
      <c r="L1447" s="42" t="str">
        <f>IF($J1447="Customer",_xll.NL("first",$J1447,"Name","No.","@@"&amp;$K1447),"")</f>
        <v>The Cannon Group PLC</v>
      </c>
      <c r="M1447" s="42" t="str">
        <f>""</f>
        <v/>
      </c>
      <c r="N1447" s="42" t="str">
        <f>IF($J1447="Item",_xll.NL("first",$J1447,"Description","No.","@@"&amp;$K1447),"")</f>
        <v/>
      </c>
      <c r="O1447" s="43">
        <v>0</v>
      </c>
      <c r="P1447" s="43">
        <v>-432</v>
      </c>
      <c r="Q1447" s="43">
        <v>0</v>
      </c>
      <c r="R1447" s="43">
        <v>0</v>
      </c>
      <c r="S1447" s="43">
        <v>0</v>
      </c>
      <c r="T1447" s="43">
        <v>0</v>
      </c>
      <c r="U1447" s="56"/>
    </row>
    <row r="1448" spans="1:21" ht="17.25" customHeight="1" x14ac:dyDescent="0.3">
      <c r="A1448" s="15" t="s">
        <v>30</v>
      </c>
      <c r="C1448" s="19"/>
      <c r="D1448" s="33" t="str">
        <f t="shared" si="352"/>
        <v>E100033</v>
      </c>
      <c r="E1448" s="33"/>
      <c r="F1448" s="34"/>
      <c r="G1448" s="34" t="str">
        <f>"""NAV Direct"",""CRONUS JetCorp USA"",""32"",""1"",""78887"""</f>
        <v>"NAV Direct","CRONUS JetCorp USA","32","1","78887"</v>
      </c>
      <c r="H1448" s="40">
        <v>43474</v>
      </c>
      <c r="I1448" s="41">
        <v>78887</v>
      </c>
      <c r="J1448" s="42" t="str">
        <f>"Customer"</f>
        <v>Customer</v>
      </c>
      <c r="K1448" s="42" t="str">
        <f>"C100124"</f>
        <v>C100124</v>
      </c>
      <c r="L1448" s="42" t="str">
        <f>IF($J1448="Customer",_xll.NL("first",$J1448,"Name","No.","@@"&amp;$K1448),"")</f>
        <v>Ontocane Outdoors</v>
      </c>
      <c r="M1448" s="42" t="str">
        <f>""</f>
        <v/>
      </c>
      <c r="N1448" s="42" t="str">
        <f>IF($J1448="Item",_xll.NL("first",$J1448,"Description","No.","@@"&amp;$K1448),"")</f>
        <v/>
      </c>
      <c r="O1448" s="43">
        <v>0</v>
      </c>
      <c r="P1448" s="43">
        <v>-144</v>
      </c>
      <c r="Q1448" s="43">
        <v>0</v>
      </c>
      <c r="R1448" s="43">
        <v>0</v>
      </c>
      <c r="S1448" s="43">
        <v>0</v>
      </c>
      <c r="T1448" s="43">
        <v>0</v>
      </c>
      <c r="U1448" s="56"/>
    </row>
    <row r="1449" spans="1:21" ht="17.25" customHeight="1" x14ac:dyDescent="0.3">
      <c r="A1449" s="15" t="s">
        <v>30</v>
      </c>
      <c r="C1449" s="19"/>
      <c r="D1449" s="33" t="str">
        <f t="shared" si="352"/>
        <v>E100033</v>
      </c>
      <c r="E1449" s="33"/>
      <c r="F1449" s="34"/>
      <c r="G1449" s="34" t="str">
        <f>"""NAV Direct"",""CRONUS JetCorp USA"",""32"",""1"",""78867"""</f>
        <v>"NAV Direct","CRONUS JetCorp USA","32","1","78867"</v>
      </c>
      <c r="H1449" s="40">
        <v>43476</v>
      </c>
      <c r="I1449" s="41">
        <v>78867</v>
      </c>
      <c r="J1449" s="42" t="str">
        <f>"Customer"</f>
        <v>Customer</v>
      </c>
      <c r="K1449" s="42" t="str">
        <f>"C100117"</f>
        <v>C100117</v>
      </c>
      <c r="L1449" s="42" t="str">
        <f>IF($J1449="Customer",_xll.NL("first",$J1449,"Name","No.","@@"&amp;$K1449),"")</f>
        <v xml:space="preserve">Tintax </v>
      </c>
      <c r="M1449" s="42" t="str">
        <f>""</f>
        <v/>
      </c>
      <c r="N1449" s="42" t="str">
        <f>IF($J1449="Item",_xll.NL("first",$J1449,"Description","No.","@@"&amp;$K1449),"")</f>
        <v/>
      </c>
      <c r="O1449" s="43">
        <v>0</v>
      </c>
      <c r="P1449" s="43">
        <v>-1</v>
      </c>
      <c r="Q1449" s="43">
        <v>0</v>
      </c>
      <c r="R1449" s="43">
        <v>0</v>
      </c>
      <c r="S1449" s="43">
        <v>0</v>
      </c>
      <c r="T1449" s="43">
        <v>0</v>
      </c>
      <c r="U1449" s="56"/>
    </row>
    <row r="1450" spans="1:21" ht="17.25" customHeight="1" x14ac:dyDescent="0.3">
      <c r="A1450" s="15" t="s">
        <v>30</v>
      </c>
      <c r="C1450" s="19"/>
      <c r="D1450" s="33"/>
      <c r="E1450" s="33"/>
      <c r="F1450" s="34"/>
      <c r="G1450" s="34"/>
      <c r="H1450" s="34"/>
      <c r="I1450" s="34"/>
      <c r="J1450" s="34"/>
      <c r="K1450" s="34"/>
      <c r="L1450" s="34"/>
      <c r="M1450" s="34"/>
      <c r="N1450" s="34"/>
      <c r="O1450" s="44"/>
      <c r="P1450" s="44"/>
      <c r="Q1450" s="44"/>
      <c r="R1450" s="44"/>
      <c r="S1450" s="44"/>
      <c r="T1450" s="44"/>
      <c r="U1450" s="57"/>
    </row>
    <row r="1451" spans="1:21" ht="17.25" customHeight="1" x14ac:dyDescent="0.3">
      <c r="A1451" s="15" t="s">
        <v>30</v>
      </c>
      <c r="C1451" s="19"/>
      <c r="D1451" s="33"/>
      <c r="E1451" s="33" t="s">
        <v>31</v>
      </c>
      <c r="F1451" s="34" t="s">
        <v>31</v>
      </c>
      <c r="G1451" s="34" t="s">
        <v>31</v>
      </c>
      <c r="H1451" s="34"/>
      <c r="I1451" s="34"/>
      <c r="J1451" s="34" t="s">
        <v>31</v>
      </c>
      <c r="K1451" s="34" t="s">
        <v>31</v>
      </c>
      <c r="L1451" s="34" t="s">
        <v>31</v>
      </c>
      <c r="M1451" s="34" t="s">
        <v>31</v>
      </c>
      <c r="N1451" s="34"/>
      <c r="U1451" s="58"/>
    </row>
    <row r="1452" spans="1:21" ht="20.25" customHeight="1" x14ac:dyDescent="0.35">
      <c r="A1452" s="15" t="s">
        <v>30</v>
      </c>
      <c r="C1452" s="19"/>
      <c r="D1452" s="35" t="str">
        <f t="shared" ref="D1452" si="353">E1452</f>
        <v>E100034</v>
      </c>
      <c r="E1452" s="36" t="str">
        <f>"E100034"</f>
        <v>E100034</v>
      </c>
      <c r="F1452" s="37" t="str">
        <f>"Bamboo 1GB USB Flash Drive"</f>
        <v>Bamboo 1GB USB Flash Drive</v>
      </c>
      <c r="G1452" s="37"/>
      <c r="H1452" s="38" t="str">
        <f>"EA"</f>
        <v>EA</v>
      </c>
      <c r="I1452" s="37"/>
      <c r="J1452" s="37"/>
      <c r="K1452" s="37"/>
      <c r="L1452" s="37"/>
      <c r="M1452" s="37"/>
      <c r="N1452" s="37"/>
      <c r="O1452" s="39">
        <f>(SUBTOTAL(9,O1453:O1463))</f>
        <v>3000</v>
      </c>
      <c r="P1452" s="39">
        <f>(SUBTOTAL(9,P1453:P1463))</f>
        <v>-431</v>
      </c>
      <c r="Q1452" s="39">
        <f>(SUBTOTAL(9,Q1453:Q1463))</f>
        <v>0</v>
      </c>
      <c r="R1452" s="39">
        <f>(SUBTOTAL(9,R1453:R1463))</f>
        <v>0</v>
      </c>
      <c r="S1452" s="39">
        <f>(SUBTOTAL(9,S1453:S1463))</f>
        <v>0</v>
      </c>
      <c r="T1452" s="39">
        <f>(SUBTOTAL(9,T1453:T1463))</f>
        <v>0</v>
      </c>
      <c r="U1452" s="55">
        <f t="shared" ref="U1452" si="354">SUBTOTAL(9,O1453:T1463)</f>
        <v>2569</v>
      </c>
    </row>
    <row r="1453" spans="1:21" ht="17.25" customHeight="1" x14ac:dyDescent="0.3">
      <c r="A1453" s="15" t="s">
        <v>30</v>
      </c>
      <c r="C1453" s="19"/>
      <c r="D1453" s="33" t="str">
        <f t="shared" ref="D1453" si="355">D1452</f>
        <v>E100034</v>
      </c>
      <c r="E1453" s="33"/>
      <c r="F1453" s="34"/>
      <c r="G1453" s="34" t="str">
        <f>"""NAV Direct"",""CRONUS JetCorp USA"",""32"",""1"",""168312"""</f>
        <v>"NAV Direct","CRONUS JetCorp USA","32","1","168312"</v>
      </c>
      <c r="H1453" s="40">
        <v>43466</v>
      </c>
      <c r="I1453" s="41">
        <v>168312</v>
      </c>
      <c r="J1453" s="42" t="str">
        <f>"Vendor"</f>
        <v>Vendor</v>
      </c>
      <c r="K1453" s="42" t="str">
        <f>"V100040"</f>
        <v>V100040</v>
      </c>
      <c r="L1453" s="42" t="str">
        <f>IF($J1453="Customer",_xll.NL("first",$J1453,"Name","No.","@@"&amp;$K1453),"")</f>
        <v/>
      </c>
      <c r="M1453" s="42" t="str">
        <f>"Technische Betriebe Rotkreuz"</f>
        <v>Technische Betriebe Rotkreuz</v>
      </c>
      <c r="N1453" s="42" t="str">
        <f>IF($J1453="Item",_xll.NL("first",$J1453,"Description","No.","@@"&amp;$K1453),"")</f>
        <v/>
      </c>
      <c r="O1453" s="43">
        <v>249.99999999999997</v>
      </c>
      <c r="P1453" s="43">
        <v>0</v>
      </c>
      <c r="Q1453" s="43">
        <v>0</v>
      </c>
      <c r="R1453" s="43">
        <v>0</v>
      </c>
      <c r="S1453" s="43">
        <v>0</v>
      </c>
      <c r="T1453" s="43">
        <v>0</v>
      </c>
      <c r="U1453" s="56"/>
    </row>
    <row r="1454" spans="1:21" ht="17.25" customHeight="1" x14ac:dyDescent="0.3">
      <c r="A1454" s="15" t="s">
        <v>30</v>
      </c>
      <c r="C1454" s="19"/>
      <c r="D1454" s="33" t="str">
        <f t="shared" ref="D1454:D1462" si="356">D1453</f>
        <v>E100034</v>
      </c>
      <c r="E1454" s="33"/>
      <c r="F1454" s="34"/>
      <c r="G1454" s="34" t="str">
        <f>"""NAV Direct"",""CRONUS JetCorp USA"",""32"",""1"",""168322"""</f>
        <v>"NAV Direct","CRONUS JetCorp USA","32","1","168322"</v>
      </c>
      <c r="H1454" s="40">
        <v>43466</v>
      </c>
      <c r="I1454" s="41">
        <v>168322</v>
      </c>
      <c r="J1454" s="42" t="str">
        <f>"Vendor"</f>
        <v>Vendor</v>
      </c>
      <c r="K1454" s="42" t="str">
        <f>"V100001"</f>
        <v>V100001</v>
      </c>
      <c r="L1454" s="42" t="str">
        <f>IF($J1454="Customer",_xll.NL("first",$J1454,"Name","No.","@@"&amp;$K1454),"")</f>
        <v/>
      </c>
      <c r="M1454" s="42" t="str">
        <f>"Greigner, Inc."</f>
        <v>Greigner, Inc.</v>
      </c>
      <c r="N1454" s="42" t="str">
        <f>IF($J1454="Item",_xll.NL("first",$J1454,"Description","No.","@@"&amp;$K1454),"")</f>
        <v/>
      </c>
      <c r="O1454" s="43">
        <v>499.99999999999994</v>
      </c>
      <c r="P1454" s="43">
        <v>0</v>
      </c>
      <c r="Q1454" s="43">
        <v>0</v>
      </c>
      <c r="R1454" s="43">
        <v>0</v>
      </c>
      <c r="S1454" s="43">
        <v>0</v>
      </c>
      <c r="T1454" s="43">
        <v>0</v>
      </c>
      <c r="U1454" s="56"/>
    </row>
    <row r="1455" spans="1:21" ht="17.25" customHeight="1" x14ac:dyDescent="0.3">
      <c r="A1455" s="15" t="s">
        <v>30</v>
      </c>
      <c r="C1455" s="19"/>
      <c r="D1455" s="33" t="str">
        <f t="shared" si="356"/>
        <v>E100034</v>
      </c>
      <c r="E1455" s="33"/>
      <c r="F1455" s="34"/>
      <c r="G1455" s="34" t="str">
        <f>"""NAV Direct"",""CRONUS JetCorp USA"",""32"",""1"",""168329"""</f>
        <v>"NAV Direct","CRONUS JetCorp USA","32","1","168329"</v>
      </c>
      <c r="H1455" s="40">
        <v>43466</v>
      </c>
      <c r="I1455" s="41">
        <v>168329</v>
      </c>
      <c r="J1455" s="42" t="str">
        <f>"Vendor"</f>
        <v>Vendor</v>
      </c>
      <c r="K1455" s="42" t="str">
        <f>"V100007"</f>
        <v>V100007</v>
      </c>
      <c r="L1455" s="42" t="str">
        <f>IF($J1455="Customer",_xll.NL("first",$J1455,"Name","No.","@@"&amp;$K1455),"")</f>
        <v/>
      </c>
      <c r="M1455" s="42" t="str">
        <f>"TrendTech"</f>
        <v>TrendTech</v>
      </c>
      <c r="N1455" s="42" t="str">
        <f>IF($J1455="Item",_xll.NL("first",$J1455,"Description","No.","@@"&amp;$K1455),"")</f>
        <v/>
      </c>
      <c r="O1455" s="43">
        <v>249.99999999999997</v>
      </c>
      <c r="P1455" s="43">
        <v>0</v>
      </c>
      <c r="Q1455" s="43">
        <v>0</v>
      </c>
      <c r="R1455" s="43">
        <v>0</v>
      </c>
      <c r="S1455" s="43">
        <v>0</v>
      </c>
      <c r="T1455" s="43">
        <v>0</v>
      </c>
      <c r="U1455" s="56"/>
    </row>
    <row r="1456" spans="1:21" ht="17.25" customHeight="1" x14ac:dyDescent="0.3">
      <c r="A1456" s="15" t="s">
        <v>30</v>
      </c>
      <c r="C1456" s="19"/>
      <c r="D1456" s="33" t="str">
        <f t="shared" si="356"/>
        <v>E100034</v>
      </c>
      <c r="E1456" s="33"/>
      <c r="F1456" s="34"/>
      <c r="G1456" s="34" t="str">
        <f>"""NAV Direct"",""CRONUS JetCorp USA"",""32"",""1"",""168334"""</f>
        <v>"NAV Direct","CRONUS JetCorp USA","32","1","168334"</v>
      </c>
      <c r="H1456" s="40">
        <v>43466</v>
      </c>
      <c r="I1456" s="41">
        <v>168334</v>
      </c>
      <c r="J1456" s="42" t="str">
        <f>"Vendor"</f>
        <v>Vendor</v>
      </c>
      <c r="K1456" s="42" t="str">
        <f>"V100001"</f>
        <v>V100001</v>
      </c>
      <c r="L1456" s="42" t="str">
        <f>IF($J1456="Customer",_xll.NL("first",$J1456,"Name","No.","@@"&amp;$K1456),"")</f>
        <v/>
      </c>
      <c r="M1456" s="42" t="str">
        <f>"Greigner, Inc."</f>
        <v>Greigner, Inc.</v>
      </c>
      <c r="N1456" s="42" t="str">
        <f>IF($J1456="Item",_xll.NL("first",$J1456,"Description","No.","@@"&amp;$K1456),"")</f>
        <v/>
      </c>
      <c r="O1456" s="43">
        <v>750</v>
      </c>
      <c r="P1456" s="43">
        <v>0</v>
      </c>
      <c r="Q1456" s="43">
        <v>0</v>
      </c>
      <c r="R1456" s="43">
        <v>0</v>
      </c>
      <c r="S1456" s="43">
        <v>0</v>
      </c>
      <c r="T1456" s="43">
        <v>0</v>
      </c>
      <c r="U1456" s="56"/>
    </row>
    <row r="1457" spans="1:21" ht="17.25" customHeight="1" x14ac:dyDescent="0.3">
      <c r="A1457" s="15" t="s">
        <v>30</v>
      </c>
      <c r="C1457" s="19"/>
      <c r="D1457" s="33" t="str">
        <f t="shared" si="356"/>
        <v>E100034</v>
      </c>
      <c r="E1457" s="33"/>
      <c r="F1457" s="34"/>
      <c r="G1457" s="34" t="str">
        <f>"""NAV Direct"",""CRONUS JetCorp USA"",""32"",""1"",""168349"""</f>
        <v>"NAV Direct","CRONUS JetCorp USA","32","1","168349"</v>
      </c>
      <c r="H1457" s="40">
        <v>43466</v>
      </c>
      <c r="I1457" s="41">
        <v>168349</v>
      </c>
      <c r="J1457" s="42" t="str">
        <f>"Vendor"</f>
        <v>Vendor</v>
      </c>
      <c r="K1457" s="42" t="str">
        <f>"V100003"</f>
        <v>V100003</v>
      </c>
      <c r="L1457" s="42" t="str">
        <f>IF($J1457="Customer",_xll.NL("first",$J1457,"Name","No.","@@"&amp;$K1457),"")</f>
        <v/>
      </c>
      <c r="M1457" s="42" t="str">
        <f>"LogoMasters"</f>
        <v>LogoMasters</v>
      </c>
      <c r="N1457" s="42" t="str">
        <f>IF($J1457="Item",_xll.NL("first",$J1457,"Description","No.","@@"&amp;$K1457),"")</f>
        <v/>
      </c>
      <c r="O1457" s="43">
        <v>999.99999999999989</v>
      </c>
      <c r="P1457" s="43">
        <v>0</v>
      </c>
      <c r="Q1457" s="43">
        <v>0</v>
      </c>
      <c r="R1457" s="43">
        <v>0</v>
      </c>
      <c r="S1457" s="43">
        <v>0</v>
      </c>
      <c r="T1457" s="43">
        <v>0</v>
      </c>
      <c r="U1457" s="56"/>
    </row>
    <row r="1458" spans="1:21" ht="17.25" customHeight="1" x14ac:dyDescent="0.3">
      <c r="A1458" s="15" t="s">
        <v>30</v>
      </c>
      <c r="C1458" s="19"/>
      <c r="D1458" s="33" t="str">
        <f t="shared" si="356"/>
        <v>E100034</v>
      </c>
      <c r="E1458" s="33"/>
      <c r="F1458" s="34"/>
      <c r="G1458" s="34" t="str">
        <f>"""NAV Direct"",""CRONUS JetCorp USA"",""32"",""1"",""168361"""</f>
        <v>"NAV Direct","CRONUS JetCorp USA","32","1","168361"</v>
      </c>
      <c r="H1458" s="40">
        <v>43466</v>
      </c>
      <c r="I1458" s="41">
        <v>168361</v>
      </c>
      <c r="J1458" s="42" t="str">
        <f>"Vendor"</f>
        <v>Vendor</v>
      </c>
      <c r="K1458" s="42" t="str">
        <f>"V100001"</f>
        <v>V100001</v>
      </c>
      <c r="L1458" s="42" t="str">
        <f>IF($J1458="Customer",_xll.NL("first",$J1458,"Name","No.","@@"&amp;$K1458),"")</f>
        <v/>
      </c>
      <c r="M1458" s="42" t="str">
        <f>"Greigner, Inc."</f>
        <v>Greigner, Inc.</v>
      </c>
      <c r="N1458" s="42" t="str">
        <f>IF($J1458="Item",_xll.NL("first",$J1458,"Description","No.","@@"&amp;$K1458),"")</f>
        <v/>
      </c>
      <c r="O1458" s="43">
        <v>249.99999999999997</v>
      </c>
      <c r="P1458" s="43">
        <v>0</v>
      </c>
      <c r="Q1458" s="43">
        <v>0</v>
      </c>
      <c r="R1458" s="43">
        <v>0</v>
      </c>
      <c r="S1458" s="43">
        <v>0</v>
      </c>
      <c r="T1458" s="43">
        <v>0</v>
      </c>
      <c r="U1458" s="56"/>
    </row>
    <row r="1459" spans="1:21" ht="17.25" customHeight="1" x14ac:dyDescent="0.3">
      <c r="A1459" s="15" t="s">
        <v>30</v>
      </c>
      <c r="C1459" s="19"/>
      <c r="D1459" s="33" t="str">
        <f t="shared" si="356"/>
        <v>E100034</v>
      </c>
      <c r="E1459" s="33"/>
      <c r="F1459" s="34"/>
      <c r="G1459" s="34" t="str">
        <f>"""NAV Direct"",""CRONUS JetCorp USA"",""32"",""1"",""78871"""</f>
        <v>"NAV Direct","CRONUS JetCorp USA","32","1","78871"</v>
      </c>
      <c r="H1459" s="40">
        <v>43471</v>
      </c>
      <c r="I1459" s="41">
        <v>78871</v>
      </c>
      <c r="J1459" s="42" t="str">
        <f>"Customer"</f>
        <v>Customer</v>
      </c>
      <c r="K1459" s="42" t="str">
        <f>"C100124"</f>
        <v>C100124</v>
      </c>
      <c r="L1459" s="42" t="str">
        <f>IF($J1459="Customer",_xll.NL("first",$J1459,"Name","No.","@@"&amp;$K1459),"")</f>
        <v>Ontocane Outdoors</v>
      </c>
      <c r="M1459" s="42" t="str">
        <f>""</f>
        <v/>
      </c>
      <c r="N1459" s="42" t="str">
        <f>IF($J1459="Item",_xll.NL("first",$J1459,"Description","No.","@@"&amp;$K1459),"")</f>
        <v/>
      </c>
      <c r="O1459" s="43">
        <v>0</v>
      </c>
      <c r="P1459" s="43">
        <v>-144</v>
      </c>
      <c r="Q1459" s="43">
        <v>0</v>
      </c>
      <c r="R1459" s="43">
        <v>0</v>
      </c>
      <c r="S1459" s="43">
        <v>0</v>
      </c>
      <c r="T1459" s="43">
        <v>0</v>
      </c>
      <c r="U1459" s="56"/>
    </row>
    <row r="1460" spans="1:21" ht="17.25" customHeight="1" x14ac:dyDescent="0.3">
      <c r="A1460" s="15" t="s">
        <v>30</v>
      </c>
      <c r="C1460" s="19"/>
      <c r="D1460" s="33" t="str">
        <f t="shared" si="356"/>
        <v>E100034</v>
      </c>
      <c r="E1460" s="33"/>
      <c r="F1460" s="34"/>
      <c r="G1460" s="34" t="str">
        <f>"""NAV Direct"",""CRONUS JetCorp USA"",""32"",""1"",""158692"""</f>
        <v>"NAV Direct","CRONUS JetCorp USA","32","1","158692"</v>
      </c>
      <c r="H1460" s="40">
        <v>43471</v>
      </c>
      <c r="I1460" s="41">
        <v>158692</v>
      </c>
      <c r="J1460" s="42" t="str">
        <f>"Customer"</f>
        <v>Customer</v>
      </c>
      <c r="K1460" s="42" t="str">
        <f>"C100126"</f>
        <v>C100126</v>
      </c>
      <c r="L1460" s="42" t="str">
        <f>IF($J1460="Customer",_xll.NL("first",$J1460,"Name","No.","@@"&amp;$K1460),"")</f>
        <v>Moveex</v>
      </c>
      <c r="M1460" s="42" t="str">
        <f>""</f>
        <v/>
      </c>
      <c r="N1460" s="42" t="str">
        <f>IF($J1460="Item",_xll.NL("first",$J1460,"Description","No.","@@"&amp;$K1460),"")</f>
        <v/>
      </c>
      <c r="O1460" s="43">
        <v>0</v>
      </c>
      <c r="P1460" s="43">
        <v>1</v>
      </c>
      <c r="Q1460" s="43">
        <v>0</v>
      </c>
      <c r="R1460" s="43">
        <v>0</v>
      </c>
      <c r="S1460" s="43">
        <v>0</v>
      </c>
      <c r="T1460" s="43">
        <v>0</v>
      </c>
      <c r="U1460" s="56"/>
    </row>
    <row r="1461" spans="1:21" ht="17.25" customHeight="1" x14ac:dyDescent="0.3">
      <c r="A1461" s="15" t="s">
        <v>30</v>
      </c>
      <c r="C1461" s="19"/>
      <c r="D1461" s="33" t="str">
        <f t="shared" si="356"/>
        <v>E100034</v>
      </c>
      <c r="E1461" s="33"/>
      <c r="F1461" s="34"/>
      <c r="G1461" s="34" t="str">
        <f>"""NAV Direct"",""CRONUS JetCorp USA"",""32"",""1"",""54718"""</f>
        <v>"NAV Direct","CRONUS JetCorp USA","32","1","54718"</v>
      </c>
      <c r="H1461" s="40">
        <v>43472</v>
      </c>
      <c r="I1461" s="41">
        <v>54718</v>
      </c>
      <c r="J1461" s="42" t="str">
        <f>"Customer"</f>
        <v>Customer</v>
      </c>
      <c r="K1461" s="42" t="str">
        <f>"C100084"</f>
        <v>C100084</v>
      </c>
      <c r="L1461" s="42" t="str">
        <f>IF($J1461="Customer",_xll.NL("first",$J1461,"Name","No.","@@"&amp;$K1461),"")</f>
        <v>The Cannon Group PLC</v>
      </c>
      <c r="M1461" s="42" t="str">
        <f>""</f>
        <v/>
      </c>
      <c r="N1461" s="42" t="str">
        <f>IF($J1461="Item",_xll.NL("first",$J1461,"Description","No.","@@"&amp;$K1461),"")</f>
        <v/>
      </c>
      <c r="O1461" s="43">
        <v>0</v>
      </c>
      <c r="P1461" s="43">
        <v>-144</v>
      </c>
      <c r="Q1461" s="43">
        <v>0</v>
      </c>
      <c r="R1461" s="43">
        <v>0</v>
      </c>
      <c r="S1461" s="43">
        <v>0</v>
      </c>
      <c r="T1461" s="43">
        <v>0</v>
      </c>
      <c r="U1461" s="56"/>
    </row>
    <row r="1462" spans="1:21" ht="17.25" customHeight="1" x14ac:dyDescent="0.3">
      <c r="A1462" s="15" t="s">
        <v>30</v>
      </c>
      <c r="C1462" s="19"/>
      <c r="D1462" s="33" t="str">
        <f t="shared" si="356"/>
        <v>E100034</v>
      </c>
      <c r="E1462" s="33"/>
      <c r="F1462" s="34"/>
      <c r="G1462" s="34" t="str">
        <f>"""NAV Direct"",""CRONUS JetCorp USA"",""32"",""1"",""44509"""</f>
        <v>"NAV Direct","CRONUS JetCorp USA","32","1","44509"</v>
      </c>
      <c r="H1462" s="40">
        <v>43473</v>
      </c>
      <c r="I1462" s="41">
        <v>44509</v>
      </c>
      <c r="J1462" s="42" t="str">
        <f>"Customer"</f>
        <v>Customer</v>
      </c>
      <c r="K1462" s="42" t="str">
        <f>"C100139"</f>
        <v>C100139</v>
      </c>
      <c r="L1462" s="42" t="str">
        <f>IF($J1462="Customer",_xll.NL("first",$J1462,"Name","No.","@@"&amp;$K1462),"")</f>
        <v>Gamma Ray's</v>
      </c>
      <c r="M1462" s="42" t="str">
        <f>""</f>
        <v/>
      </c>
      <c r="N1462" s="42" t="str">
        <f>IF($J1462="Item",_xll.NL("first",$J1462,"Description","No.","@@"&amp;$K1462),"")</f>
        <v/>
      </c>
      <c r="O1462" s="43">
        <v>0</v>
      </c>
      <c r="P1462" s="43">
        <v>-144</v>
      </c>
      <c r="Q1462" s="43">
        <v>0</v>
      </c>
      <c r="R1462" s="43">
        <v>0</v>
      </c>
      <c r="S1462" s="43">
        <v>0</v>
      </c>
      <c r="T1462" s="43">
        <v>0</v>
      </c>
      <c r="U1462" s="56"/>
    </row>
    <row r="1463" spans="1:21" ht="17.25" customHeight="1" x14ac:dyDescent="0.3">
      <c r="A1463" s="15" t="s">
        <v>30</v>
      </c>
      <c r="C1463" s="19"/>
      <c r="D1463" s="33"/>
      <c r="E1463" s="33"/>
      <c r="F1463" s="34"/>
      <c r="G1463" s="34"/>
      <c r="H1463" s="34"/>
      <c r="I1463" s="34"/>
      <c r="J1463" s="34"/>
      <c r="K1463" s="34"/>
      <c r="L1463" s="34"/>
      <c r="M1463" s="34"/>
      <c r="N1463" s="34"/>
      <c r="O1463" s="44"/>
      <c r="P1463" s="44"/>
      <c r="Q1463" s="44"/>
      <c r="R1463" s="44"/>
      <c r="S1463" s="44"/>
      <c r="T1463" s="44"/>
      <c r="U1463" s="57"/>
    </row>
    <row r="1464" spans="1:21" ht="17.25" customHeight="1" x14ac:dyDescent="0.3">
      <c r="A1464" s="15" t="s">
        <v>30</v>
      </c>
      <c r="C1464" s="19"/>
      <c r="D1464" s="33"/>
      <c r="E1464" s="33" t="s">
        <v>31</v>
      </c>
      <c r="F1464" s="34" t="s">
        <v>31</v>
      </c>
      <c r="G1464" s="34" t="s">
        <v>31</v>
      </c>
      <c r="H1464" s="34"/>
      <c r="I1464" s="34"/>
      <c r="J1464" s="34" t="s">
        <v>31</v>
      </c>
      <c r="K1464" s="34" t="s">
        <v>31</v>
      </c>
      <c r="L1464" s="34" t="s">
        <v>31</v>
      </c>
      <c r="M1464" s="34" t="s">
        <v>31</v>
      </c>
      <c r="N1464" s="34"/>
      <c r="U1464" s="58"/>
    </row>
    <row r="1465" spans="1:21" ht="20.25" customHeight="1" x14ac:dyDescent="0.35">
      <c r="A1465" s="15" t="s">
        <v>30</v>
      </c>
      <c r="C1465" s="19"/>
      <c r="D1465" s="35" t="str">
        <f t="shared" ref="D1465" si="357">E1465</f>
        <v>E100035</v>
      </c>
      <c r="E1465" s="36" t="str">
        <f>"E100035"</f>
        <v>E100035</v>
      </c>
      <c r="F1465" s="37" t="str">
        <f>"2GB Foldout USB Flash Drive"</f>
        <v>2GB Foldout USB Flash Drive</v>
      </c>
      <c r="G1465" s="37"/>
      <c r="H1465" s="38" t="str">
        <f>"EA"</f>
        <v>EA</v>
      </c>
      <c r="I1465" s="37"/>
      <c r="J1465" s="37"/>
      <c r="K1465" s="37"/>
      <c r="L1465" s="37"/>
      <c r="M1465" s="37"/>
      <c r="N1465" s="37"/>
      <c r="O1465" s="39">
        <f>(SUBTOTAL(9,O1466:O1474))</f>
        <v>2000</v>
      </c>
      <c r="P1465" s="39">
        <f>(SUBTOTAL(9,P1466:P1474))</f>
        <v>-625</v>
      </c>
      <c r="Q1465" s="39">
        <f>(SUBTOTAL(9,Q1466:Q1474))</f>
        <v>0</v>
      </c>
      <c r="R1465" s="39">
        <f>(SUBTOTAL(9,R1466:R1474))</f>
        <v>0</v>
      </c>
      <c r="S1465" s="39">
        <f>(SUBTOTAL(9,S1466:S1474))</f>
        <v>0</v>
      </c>
      <c r="T1465" s="39">
        <f>(SUBTOTAL(9,T1466:T1474))</f>
        <v>0</v>
      </c>
      <c r="U1465" s="55">
        <f t="shared" ref="U1465" si="358">SUBTOTAL(9,O1466:T1474)</f>
        <v>1375</v>
      </c>
    </row>
    <row r="1466" spans="1:21" ht="17.25" customHeight="1" x14ac:dyDescent="0.3">
      <c r="A1466" s="15" t="s">
        <v>30</v>
      </c>
      <c r="C1466" s="19"/>
      <c r="D1466" s="33" t="str">
        <f t="shared" ref="D1466" si="359">D1465</f>
        <v>E100035</v>
      </c>
      <c r="E1466" s="33"/>
      <c r="F1466" s="34"/>
      <c r="G1466" s="34" t="str">
        <f>"""NAV Direct"",""CRONUS JetCorp USA"",""32"",""1"",""168311"""</f>
        <v>"NAV Direct","CRONUS JetCorp USA","32","1","168311"</v>
      </c>
      <c r="H1466" s="40">
        <v>43466</v>
      </c>
      <c r="I1466" s="41">
        <v>168311</v>
      </c>
      <c r="J1466" s="42" t="str">
        <f>"Vendor"</f>
        <v>Vendor</v>
      </c>
      <c r="K1466" s="42" t="str">
        <f>"V100040"</f>
        <v>V100040</v>
      </c>
      <c r="L1466" s="42" t="str">
        <f>IF($J1466="Customer",_xll.NL("first",$J1466,"Name","No.","@@"&amp;$K1466),"")</f>
        <v/>
      </c>
      <c r="M1466" s="42" t="str">
        <f>"Technische Betriebe Rotkreuz"</f>
        <v>Technische Betriebe Rotkreuz</v>
      </c>
      <c r="N1466" s="42" t="str">
        <f>IF($J1466="Item",_xll.NL("first",$J1466,"Description","No.","@@"&amp;$K1466),"")</f>
        <v/>
      </c>
      <c r="O1466" s="43">
        <v>249.99999999999997</v>
      </c>
      <c r="P1466" s="43">
        <v>0</v>
      </c>
      <c r="Q1466" s="43">
        <v>0</v>
      </c>
      <c r="R1466" s="43">
        <v>0</v>
      </c>
      <c r="S1466" s="43">
        <v>0</v>
      </c>
      <c r="T1466" s="43">
        <v>0</v>
      </c>
      <c r="U1466" s="56"/>
    </row>
    <row r="1467" spans="1:21" ht="17.25" customHeight="1" x14ac:dyDescent="0.3">
      <c r="A1467" s="15" t="s">
        <v>30</v>
      </c>
      <c r="C1467" s="19"/>
      <c r="D1467" s="33" t="str">
        <f t="shared" ref="D1467:D1473" si="360">D1466</f>
        <v>E100035</v>
      </c>
      <c r="E1467" s="33"/>
      <c r="F1467" s="34"/>
      <c r="G1467" s="34" t="str">
        <f>"""NAV Direct"",""CRONUS JetCorp USA"",""32"",""1"",""168321"""</f>
        <v>"NAV Direct","CRONUS JetCorp USA","32","1","168321"</v>
      </c>
      <c r="H1467" s="40">
        <v>43466</v>
      </c>
      <c r="I1467" s="41">
        <v>168321</v>
      </c>
      <c r="J1467" s="42" t="str">
        <f>"Vendor"</f>
        <v>Vendor</v>
      </c>
      <c r="K1467" s="42" t="str">
        <f>"V100001"</f>
        <v>V100001</v>
      </c>
      <c r="L1467" s="42" t="str">
        <f>IF($J1467="Customer",_xll.NL("first",$J1467,"Name","No.","@@"&amp;$K1467),"")</f>
        <v/>
      </c>
      <c r="M1467" s="42" t="str">
        <f>"Greigner, Inc."</f>
        <v>Greigner, Inc.</v>
      </c>
      <c r="N1467" s="42" t="str">
        <f>IF($J1467="Item",_xll.NL("first",$J1467,"Description","No.","@@"&amp;$K1467),"")</f>
        <v/>
      </c>
      <c r="O1467" s="43">
        <v>249.99999999999997</v>
      </c>
      <c r="P1467" s="43">
        <v>0</v>
      </c>
      <c r="Q1467" s="43">
        <v>0</v>
      </c>
      <c r="R1467" s="43">
        <v>0</v>
      </c>
      <c r="S1467" s="43">
        <v>0</v>
      </c>
      <c r="T1467" s="43">
        <v>0</v>
      </c>
      <c r="U1467" s="56"/>
    </row>
    <row r="1468" spans="1:21" ht="17.25" customHeight="1" x14ac:dyDescent="0.3">
      <c r="A1468" s="15" t="s">
        <v>30</v>
      </c>
      <c r="C1468" s="19"/>
      <c r="D1468" s="33" t="str">
        <f t="shared" si="360"/>
        <v>E100035</v>
      </c>
      <c r="E1468" s="33"/>
      <c r="F1468" s="34"/>
      <c r="G1468" s="34" t="str">
        <f>"""NAV Direct"",""CRONUS JetCorp USA"",""32"",""1"",""168333"""</f>
        <v>"NAV Direct","CRONUS JetCorp USA","32","1","168333"</v>
      </c>
      <c r="H1468" s="40">
        <v>43466</v>
      </c>
      <c r="I1468" s="41">
        <v>168333</v>
      </c>
      <c r="J1468" s="42" t="str">
        <f>"Vendor"</f>
        <v>Vendor</v>
      </c>
      <c r="K1468" s="42" t="str">
        <f>"V100001"</f>
        <v>V100001</v>
      </c>
      <c r="L1468" s="42" t="str">
        <f>IF($J1468="Customer",_xll.NL("first",$J1468,"Name","No.","@@"&amp;$K1468),"")</f>
        <v/>
      </c>
      <c r="M1468" s="42" t="str">
        <f>"Greigner, Inc."</f>
        <v>Greigner, Inc.</v>
      </c>
      <c r="N1468" s="42" t="str">
        <f>IF($J1468="Item",_xll.NL("first",$J1468,"Description","No.","@@"&amp;$K1468),"")</f>
        <v/>
      </c>
      <c r="O1468" s="43">
        <v>750</v>
      </c>
      <c r="P1468" s="43">
        <v>0</v>
      </c>
      <c r="Q1468" s="43">
        <v>0</v>
      </c>
      <c r="R1468" s="43">
        <v>0</v>
      </c>
      <c r="S1468" s="43">
        <v>0</v>
      </c>
      <c r="T1468" s="43">
        <v>0</v>
      </c>
      <c r="U1468" s="56"/>
    </row>
    <row r="1469" spans="1:21" ht="17.25" customHeight="1" x14ac:dyDescent="0.3">
      <c r="A1469" s="15" t="s">
        <v>30</v>
      </c>
      <c r="C1469" s="19"/>
      <c r="D1469" s="33" t="str">
        <f t="shared" si="360"/>
        <v>E100035</v>
      </c>
      <c r="E1469" s="33"/>
      <c r="F1469" s="34"/>
      <c r="G1469" s="34" t="str">
        <f>"""NAV Direct"",""CRONUS JetCorp USA"",""32"",""1"",""168348"""</f>
        <v>"NAV Direct","CRONUS JetCorp USA","32","1","168348"</v>
      </c>
      <c r="H1469" s="40">
        <v>43466</v>
      </c>
      <c r="I1469" s="41">
        <v>168348</v>
      </c>
      <c r="J1469" s="42" t="str">
        <f>"Vendor"</f>
        <v>Vendor</v>
      </c>
      <c r="K1469" s="42" t="str">
        <f>"V100003"</f>
        <v>V100003</v>
      </c>
      <c r="L1469" s="42" t="str">
        <f>IF($J1469="Customer",_xll.NL("first",$J1469,"Name","No.","@@"&amp;$K1469),"")</f>
        <v/>
      </c>
      <c r="M1469" s="42" t="str">
        <f>"LogoMasters"</f>
        <v>LogoMasters</v>
      </c>
      <c r="N1469" s="42" t="str">
        <f>IF($J1469="Item",_xll.NL("first",$J1469,"Description","No.","@@"&amp;$K1469),"")</f>
        <v/>
      </c>
      <c r="O1469" s="43">
        <v>750</v>
      </c>
      <c r="P1469" s="43">
        <v>0</v>
      </c>
      <c r="Q1469" s="43">
        <v>0</v>
      </c>
      <c r="R1469" s="43">
        <v>0</v>
      </c>
      <c r="S1469" s="43">
        <v>0</v>
      </c>
      <c r="T1469" s="43">
        <v>0</v>
      </c>
      <c r="U1469" s="56"/>
    </row>
    <row r="1470" spans="1:21" ht="17.25" customHeight="1" x14ac:dyDescent="0.3">
      <c r="A1470" s="15" t="s">
        <v>30</v>
      </c>
      <c r="C1470" s="19"/>
      <c r="D1470" s="33" t="str">
        <f t="shared" si="360"/>
        <v>E100035</v>
      </c>
      <c r="E1470" s="33"/>
      <c r="F1470" s="34"/>
      <c r="G1470" s="34" t="str">
        <f>"""NAV Direct"",""CRONUS JetCorp USA"",""32"",""1"",""44478"""</f>
        <v>"NAV Direct","CRONUS JetCorp USA","32","1","44478"</v>
      </c>
      <c r="H1470" s="40">
        <v>43472</v>
      </c>
      <c r="I1470" s="41">
        <v>44478</v>
      </c>
      <c r="J1470" s="42" t="str">
        <f>"Customer"</f>
        <v>Customer</v>
      </c>
      <c r="K1470" s="42" t="str">
        <f>"C100141"</f>
        <v>C100141</v>
      </c>
      <c r="L1470" s="42" t="str">
        <f>IF($J1470="Customer",_xll.NL("first",$J1470,"Name","No.","@@"&amp;$K1470),"")</f>
        <v>Bargottis</v>
      </c>
      <c r="M1470" s="42" t="str">
        <f>""</f>
        <v/>
      </c>
      <c r="N1470" s="42" t="str">
        <f>IF($J1470="Item",_xll.NL("first",$J1470,"Description","No.","@@"&amp;$K1470),"")</f>
        <v/>
      </c>
      <c r="O1470" s="43">
        <v>0</v>
      </c>
      <c r="P1470" s="43">
        <v>-49</v>
      </c>
      <c r="Q1470" s="43">
        <v>0</v>
      </c>
      <c r="R1470" s="43">
        <v>0</v>
      </c>
      <c r="S1470" s="43">
        <v>0</v>
      </c>
      <c r="T1470" s="43">
        <v>0</v>
      </c>
      <c r="U1470" s="56"/>
    </row>
    <row r="1471" spans="1:21" ht="17.25" customHeight="1" x14ac:dyDescent="0.3">
      <c r="A1471" s="15" t="s">
        <v>30</v>
      </c>
      <c r="C1471" s="19"/>
      <c r="D1471" s="33" t="str">
        <f t="shared" si="360"/>
        <v>E100035</v>
      </c>
      <c r="E1471" s="33"/>
      <c r="F1471" s="34"/>
      <c r="G1471" s="34" t="str">
        <f>"""NAV Direct"",""CRONUS JetCorp USA"",""32"",""1"",""54722"""</f>
        <v>"NAV Direct","CRONUS JetCorp USA","32","1","54722"</v>
      </c>
      <c r="H1471" s="40">
        <v>43472</v>
      </c>
      <c r="I1471" s="41">
        <v>54722</v>
      </c>
      <c r="J1471" s="42" t="str">
        <f>"Customer"</f>
        <v>Customer</v>
      </c>
      <c r="K1471" s="42" t="str">
        <f>"C100084"</f>
        <v>C100084</v>
      </c>
      <c r="L1471" s="42" t="str">
        <f>IF($J1471="Customer",_xll.NL("first",$J1471,"Name","No.","@@"&amp;$K1471),"")</f>
        <v>The Cannon Group PLC</v>
      </c>
      <c r="M1471" s="42" t="str">
        <f>""</f>
        <v/>
      </c>
      <c r="N1471" s="42" t="str">
        <f>IF($J1471="Item",_xll.NL("first",$J1471,"Description","No.","@@"&amp;$K1471),"")</f>
        <v/>
      </c>
      <c r="O1471" s="43">
        <v>0</v>
      </c>
      <c r="P1471" s="43">
        <v>-144</v>
      </c>
      <c r="Q1471" s="43">
        <v>0</v>
      </c>
      <c r="R1471" s="43">
        <v>0</v>
      </c>
      <c r="S1471" s="43">
        <v>0</v>
      </c>
      <c r="T1471" s="43">
        <v>0</v>
      </c>
      <c r="U1471" s="56"/>
    </row>
    <row r="1472" spans="1:21" ht="17.25" customHeight="1" x14ac:dyDescent="0.3">
      <c r="A1472" s="15" t="s">
        <v>30</v>
      </c>
      <c r="C1472" s="19"/>
      <c r="D1472" s="33" t="str">
        <f t="shared" si="360"/>
        <v>E100035</v>
      </c>
      <c r="E1472" s="33"/>
      <c r="F1472" s="34"/>
      <c r="G1472" s="34" t="str">
        <f>"""NAV Direct"",""CRONUS JetCorp USA"",""32"",""1"",""44513"""</f>
        <v>"NAV Direct","CRONUS JetCorp USA","32","1","44513"</v>
      </c>
      <c r="H1472" s="40">
        <v>43473</v>
      </c>
      <c r="I1472" s="41">
        <v>44513</v>
      </c>
      <c r="J1472" s="42" t="str">
        <f>"Customer"</f>
        <v>Customer</v>
      </c>
      <c r="K1472" s="42" t="str">
        <f>"C100139"</f>
        <v>C100139</v>
      </c>
      <c r="L1472" s="42" t="str">
        <f>IF($J1472="Customer",_xll.NL("first",$J1472,"Name","No.","@@"&amp;$K1472),"")</f>
        <v>Gamma Ray's</v>
      </c>
      <c r="M1472" s="42" t="str">
        <f>""</f>
        <v/>
      </c>
      <c r="N1472" s="42" t="str">
        <f>IF($J1472="Item",_xll.NL("first",$J1472,"Description","No.","@@"&amp;$K1472),"")</f>
        <v/>
      </c>
      <c r="O1472" s="43">
        <v>0</v>
      </c>
      <c r="P1472" s="43">
        <v>-144</v>
      </c>
      <c r="Q1472" s="43">
        <v>0</v>
      </c>
      <c r="R1472" s="43">
        <v>0</v>
      </c>
      <c r="S1472" s="43">
        <v>0</v>
      </c>
      <c r="T1472" s="43">
        <v>0</v>
      </c>
      <c r="U1472" s="56"/>
    </row>
    <row r="1473" spans="1:21" ht="17.25" customHeight="1" x14ac:dyDescent="0.3">
      <c r="A1473" s="15" t="s">
        <v>30</v>
      </c>
      <c r="C1473" s="19"/>
      <c r="D1473" s="33" t="str">
        <f t="shared" si="360"/>
        <v>E100035</v>
      </c>
      <c r="E1473" s="33"/>
      <c r="F1473" s="34"/>
      <c r="G1473" s="34" t="str">
        <f>"""NAV Direct"",""CRONUS JetCorp USA"",""32"",""1"",""78859"""</f>
        <v>"NAV Direct","CRONUS JetCorp USA","32","1","78859"</v>
      </c>
      <c r="H1473" s="40">
        <v>43476</v>
      </c>
      <c r="I1473" s="41">
        <v>78859</v>
      </c>
      <c r="J1473" s="42" t="str">
        <f>"Customer"</f>
        <v>Customer</v>
      </c>
      <c r="K1473" s="42" t="str">
        <f>"C100117"</f>
        <v>C100117</v>
      </c>
      <c r="L1473" s="42" t="str">
        <f>IF($J1473="Customer",_xll.NL("first",$J1473,"Name","No.","@@"&amp;$K1473),"")</f>
        <v xml:space="preserve">Tintax </v>
      </c>
      <c r="M1473" s="42" t="str">
        <f>""</f>
        <v/>
      </c>
      <c r="N1473" s="42" t="str">
        <f>IF($J1473="Item",_xll.NL("first",$J1473,"Description","No.","@@"&amp;$K1473),"")</f>
        <v/>
      </c>
      <c r="O1473" s="43">
        <v>0</v>
      </c>
      <c r="P1473" s="43">
        <v>-288</v>
      </c>
      <c r="Q1473" s="43">
        <v>0</v>
      </c>
      <c r="R1473" s="43">
        <v>0</v>
      </c>
      <c r="S1473" s="43">
        <v>0</v>
      </c>
      <c r="T1473" s="43">
        <v>0</v>
      </c>
      <c r="U1473" s="56"/>
    </row>
    <row r="1474" spans="1:21" ht="17.25" customHeight="1" x14ac:dyDescent="0.3">
      <c r="A1474" s="15" t="s">
        <v>30</v>
      </c>
      <c r="C1474" s="19"/>
      <c r="D1474" s="33"/>
      <c r="E1474" s="33"/>
      <c r="F1474" s="34"/>
      <c r="G1474" s="34"/>
      <c r="H1474" s="34"/>
      <c r="I1474" s="34"/>
      <c r="J1474" s="34"/>
      <c r="K1474" s="34"/>
      <c r="L1474" s="34"/>
      <c r="M1474" s="34"/>
      <c r="N1474" s="34"/>
      <c r="O1474" s="44"/>
      <c r="P1474" s="44"/>
      <c r="Q1474" s="44"/>
      <c r="R1474" s="44"/>
      <c r="S1474" s="44"/>
      <c r="T1474" s="44"/>
      <c r="U1474" s="57"/>
    </row>
    <row r="1475" spans="1:21" ht="17.25" customHeight="1" x14ac:dyDescent="0.3">
      <c r="A1475" s="15" t="s">
        <v>30</v>
      </c>
      <c r="C1475" s="19"/>
      <c r="D1475" s="33"/>
      <c r="E1475" s="33" t="s">
        <v>31</v>
      </c>
      <c r="F1475" s="34" t="s">
        <v>31</v>
      </c>
      <c r="G1475" s="34" t="s">
        <v>31</v>
      </c>
      <c r="H1475" s="34"/>
      <c r="I1475" s="34"/>
      <c r="J1475" s="34" t="s">
        <v>31</v>
      </c>
      <c r="K1475" s="34" t="s">
        <v>31</v>
      </c>
      <c r="L1475" s="34" t="s">
        <v>31</v>
      </c>
      <c r="M1475" s="34" t="s">
        <v>31</v>
      </c>
      <c r="N1475" s="34"/>
      <c r="U1475" s="58"/>
    </row>
    <row r="1476" spans="1:21" ht="20.25" customHeight="1" x14ac:dyDescent="0.35">
      <c r="A1476" s="15" t="s">
        <v>30</v>
      </c>
      <c r="C1476" s="19"/>
      <c r="D1476" s="35" t="str">
        <f t="shared" ref="D1476" si="361">E1476</f>
        <v>E100038</v>
      </c>
      <c r="E1476" s="36" t="str">
        <f>"E100038"</f>
        <v>E100038</v>
      </c>
      <c r="F1476" s="37" t="str">
        <f>"1GB USB Flash Drive Pen"</f>
        <v>1GB USB Flash Drive Pen</v>
      </c>
      <c r="G1476" s="37"/>
      <c r="H1476" s="38" t="str">
        <f>"EA"</f>
        <v>EA</v>
      </c>
      <c r="I1476" s="37"/>
      <c r="J1476" s="37"/>
      <c r="K1476" s="37"/>
      <c r="L1476" s="37"/>
      <c r="M1476" s="37"/>
      <c r="N1476" s="37"/>
      <c r="O1476" s="39">
        <f>(SUBTOTAL(9,O1477:O1484))</f>
        <v>2000</v>
      </c>
      <c r="P1476" s="39">
        <f>(SUBTOTAL(9,P1477:P1484))</f>
        <v>-433</v>
      </c>
      <c r="Q1476" s="39">
        <f>(SUBTOTAL(9,Q1477:Q1484))</f>
        <v>0</v>
      </c>
      <c r="R1476" s="39">
        <f>(SUBTOTAL(9,R1477:R1484))</f>
        <v>0</v>
      </c>
      <c r="S1476" s="39">
        <f>(SUBTOTAL(9,S1477:S1484))</f>
        <v>0</v>
      </c>
      <c r="T1476" s="39">
        <f>(SUBTOTAL(9,T1477:T1484))</f>
        <v>0</v>
      </c>
      <c r="U1476" s="55">
        <f t="shared" ref="U1476" si="362">SUBTOTAL(9,O1477:T1484)</f>
        <v>1567</v>
      </c>
    </row>
    <row r="1477" spans="1:21" ht="17.25" customHeight="1" x14ac:dyDescent="0.3">
      <c r="A1477" s="15" t="s">
        <v>30</v>
      </c>
      <c r="C1477" s="19"/>
      <c r="D1477" s="33" t="str">
        <f t="shared" ref="D1477" si="363">D1476</f>
        <v>E100038</v>
      </c>
      <c r="E1477" s="33"/>
      <c r="F1477" s="34"/>
      <c r="G1477" s="34" t="str">
        <f>"""NAV Direct"",""CRONUS JetCorp USA"",""32"",""1"",""168310"""</f>
        <v>"NAV Direct","CRONUS JetCorp USA","32","1","168310"</v>
      </c>
      <c r="H1477" s="40">
        <v>43466</v>
      </c>
      <c r="I1477" s="41">
        <v>168310</v>
      </c>
      <c r="J1477" s="42" t="str">
        <f>"Vendor"</f>
        <v>Vendor</v>
      </c>
      <c r="K1477" s="42" t="str">
        <f>"V100040"</f>
        <v>V100040</v>
      </c>
      <c r="L1477" s="42" t="str">
        <f>IF($J1477="Customer",_xll.NL("first",$J1477,"Name","No.","@@"&amp;$K1477),"")</f>
        <v/>
      </c>
      <c r="M1477" s="42" t="str">
        <f>"Technische Betriebe Rotkreuz"</f>
        <v>Technische Betriebe Rotkreuz</v>
      </c>
      <c r="N1477" s="42" t="str">
        <f>IF($J1477="Item",_xll.NL("first",$J1477,"Description","No.","@@"&amp;$K1477),"")</f>
        <v/>
      </c>
      <c r="O1477" s="43">
        <v>249.99999999999997</v>
      </c>
      <c r="P1477" s="43">
        <v>0</v>
      </c>
      <c r="Q1477" s="43">
        <v>0</v>
      </c>
      <c r="R1477" s="43">
        <v>0</v>
      </c>
      <c r="S1477" s="43">
        <v>0</v>
      </c>
      <c r="T1477" s="43">
        <v>0</v>
      </c>
      <c r="U1477" s="56"/>
    </row>
    <row r="1478" spans="1:21" ht="17.25" customHeight="1" x14ac:dyDescent="0.3">
      <c r="A1478" s="15" t="s">
        <v>30</v>
      </c>
      <c r="C1478" s="19"/>
      <c r="D1478" s="33" t="str">
        <f t="shared" ref="D1478:D1483" si="364">D1477</f>
        <v>E100038</v>
      </c>
      <c r="E1478" s="33"/>
      <c r="F1478" s="34"/>
      <c r="G1478" s="34" t="str">
        <f>"""NAV Direct"",""CRONUS JetCorp USA"",""32"",""1"",""168328"""</f>
        <v>"NAV Direct","CRONUS JetCorp USA","32","1","168328"</v>
      </c>
      <c r="H1478" s="40">
        <v>43466</v>
      </c>
      <c r="I1478" s="41">
        <v>168328</v>
      </c>
      <c r="J1478" s="42" t="str">
        <f>"Vendor"</f>
        <v>Vendor</v>
      </c>
      <c r="K1478" s="42" t="str">
        <f>"V100007"</f>
        <v>V100007</v>
      </c>
      <c r="L1478" s="42" t="str">
        <f>IF($J1478="Customer",_xll.NL("first",$J1478,"Name","No.","@@"&amp;$K1478),"")</f>
        <v/>
      </c>
      <c r="M1478" s="42" t="str">
        <f>"TrendTech"</f>
        <v>TrendTech</v>
      </c>
      <c r="N1478" s="42" t="str">
        <f>IF($J1478="Item",_xll.NL("first",$J1478,"Description","No.","@@"&amp;$K1478),"")</f>
        <v/>
      </c>
      <c r="O1478" s="43">
        <v>249.99999999999997</v>
      </c>
      <c r="P1478" s="43">
        <v>0</v>
      </c>
      <c r="Q1478" s="43">
        <v>0</v>
      </c>
      <c r="R1478" s="43">
        <v>0</v>
      </c>
      <c r="S1478" s="43">
        <v>0</v>
      </c>
      <c r="T1478" s="43">
        <v>0</v>
      </c>
      <c r="U1478" s="56"/>
    </row>
    <row r="1479" spans="1:21" ht="17.25" customHeight="1" x14ac:dyDescent="0.3">
      <c r="A1479" s="15" t="s">
        <v>30</v>
      </c>
      <c r="C1479" s="19"/>
      <c r="D1479" s="33" t="str">
        <f t="shared" si="364"/>
        <v>E100038</v>
      </c>
      <c r="E1479" s="33"/>
      <c r="F1479" s="34"/>
      <c r="G1479" s="34" t="str">
        <f>"""NAV Direct"",""CRONUS JetCorp USA"",""32"",""1"",""168332"""</f>
        <v>"NAV Direct","CRONUS JetCorp USA","32","1","168332"</v>
      </c>
      <c r="H1479" s="40">
        <v>43466</v>
      </c>
      <c r="I1479" s="41">
        <v>168332</v>
      </c>
      <c r="J1479" s="42" t="str">
        <f>"Vendor"</f>
        <v>Vendor</v>
      </c>
      <c r="K1479" s="42" t="str">
        <f>"V100001"</f>
        <v>V100001</v>
      </c>
      <c r="L1479" s="42" t="str">
        <f>IF($J1479="Customer",_xll.NL("first",$J1479,"Name","No.","@@"&amp;$K1479),"")</f>
        <v/>
      </c>
      <c r="M1479" s="42" t="str">
        <f>"Greigner, Inc."</f>
        <v>Greigner, Inc.</v>
      </c>
      <c r="N1479" s="42" t="str">
        <f>IF($J1479="Item",_xll.NL("first",$J1479,"Description","No.","@@"&amp;$K1479),"")</f>
        <v/>
      </c>
      <c r="O1479" s="43">
        <v>1250</v>
      </c>
      <c r="P1479" s="43">
        <v>0</v>
      </c>
      <c r="Q1479" s="43">
        <v>0</v>
      </c>
      <c r="R1479" s="43">
        <v>0</v>
      </c>
      <c r="S1479" s="43">
        <v>0</v>
      </c>
      <c r="T1479" s="43">
        <v>0</v>
      </c>
      <c r="U1479" s="56"/>
    </row>
    <row r="1480" spans="1:21" ht="17.25" customHeight="1" x14ac:dyDescent="0.3">
      <c r="A1480" s="15" t="s">
        <v>30</v>
      </c>
      <c r="C1480" s="19"/>
      <c r="D1480" s="33" t="str">
        <f t="shared" si="364"/>
        <v>E100038</v>
      </c>
      <c r="E1480" s="33"/>
      <c r="F1480" s="34"/>
      <c r="G1480" s="34" t="str">
        <f>"""NAV Direct"",""CRONUS JetCorp USA"",""32"",""1"",""168347"""</f>
        <v>"NAV Direct","CRONUS JetCorp USA","32","1","168347"</v>
      </c>
      <c r="H1480" s="40">
        <v>43466</v>
      </c>
      <c r="I1480" s="41">
        <v>168347</v>
      </c>
      <c r="J1480" s="42" t="str">
        <f>"Vendor"</f>
        <v>Vendor</v>
      </c>
      <c r="K1480" s="42" t="str">
        <f>"V100003"</f>
        <v>V100003</v>
      </c>
      <c r="L1480" s="42" t="str">
        <f>IF($J1480="Customer",_xll.NL("first",$J1480,"Name","No.","@@"&amp;$K1480),"")</f>
        <v/>
      </c>
      <c r="M1480" s="42" t="str">
        <f>"LogoMasters"</f>
        <v>LogoMasters</v>
      </c>
      <c r="N1480" s="42" t="str">
        <f>IF($J1480="Item",_xll.NL("first",$J1480,"Description","No.","@@"&amp;$K1480),"")</f>
        <v/>
      </c>
      <c r="O1480" s="43">
        <v>249.99999999999997</v>
      </c>
      <c r="P1480" s="43">
        <v>0</v>
      </c>
      <c r="Q1480" s="43">
        <v>0</v>
      </c>
      <c r="R1480" s="43">
        <v>0</v>
      </c>
      <c r="S1480" s="43">
        <v>0</v>
      </c>
      <c r="T1480" s="43">
        <v>0</v>
      </c>
      <c r="U1480" s="56"/>
    </row>
    <row r="1481" spans="1:21" ht="17.25" customHeight="1" x14ac:dyDescent="0.3">
      <c r="A1481" s="15" t="s">
        <v>30</v>
      </c>
      <c r="C1481" s="19"/>
      <c r="D1481" s="33" t="str">
        <f t="shared" si="364"/>
        <v>E100038</v>
      </c>
      <c r="E1481" s="33"/>
      <c r="F1481" s="34"/>
      <c r="G1481" s="34" t="str">
        <f>"""NAV Direct"",""CRONUS JetCorp USA"",""32"",""1"",""78872"""</f>
        <v>"NAV Direct","CRONUS JetCorp USA","32","1","78872"</v>
      </c>
      <c r="H1481" s="40">
        <v>43471</v>
      </c>
      <c r="I1481" s="41">
        <v>78872</v>
      </c>
      <c r="J1481" s="42" t="str">
        <f>"Customer"</f>
        <v>Customer</v>
      </c>
      <c r="K1481" s="42" t="str">
        <f>"C100124"</f>
        <v>C100124</v>
      </c>
      <c r="L1481" s="42" t="str">
        <f>IF($J1481="Customer",_xll.NL("first",$J1481,"Name","No.","@@"&amp;$K1481),"")</f>
        <v>Ontocane Outdoors</v>
      </c>
      <c r="M1481" s="42" t="str">
        <f>""</f>
        <v/>
      </c>
      <c r="N1481" s="42" t="str">
        <f>IF($J1481="Item",_xll.NL("first",$J1481,"Description","No.","@@"&amp;$K1481),"")</f>
        <v/>
      </c>
      <c r="O1481" s="43">
        <v>0</v>
      </c>
      <c r="P1481" s="43">
        <v>-144</v>
      </c>
      <c r="Q1481" s="43">
        <v>0</v>
      </c>
      <c r="R1481" s="43">
        <v>0</v>
      </c>
      <c r="S1481" s="43">
        <v>0</v>
      </c>
      <c r="T1481" s="43">
        <v>0</v>
      </c>
      <c r="U1481" s="56"/>
    </row>
    <row r="1482" spans="1:21" ht="17.25" customHeight="1" x14ac:dyDescent="0.3">
      <c r="A1482" s="15" t="s">
        <v>30</v>
      </c>
      <c r="C1482" s="19"/>
      <c r="D1482" s="33" t="str">
        <f t="shared" si="364"/>
        <v>E100038</v>
      </c>
      <c r="E1482" s="33"/>
      <c r="F1482" s="34"/>
      <c r="G1482" s="34" t="str">
        <f>"""NAV Direct"",""CRONUS JetCorp USA"",""32"",""1"",""44461"""</f>
        <v>"NAV Direct","CRONUS JetCorp USA","32","1","44461"</v>
      </c>
      <c r="H1482" s="40">
        <v>43472</v>
      </c>
      <c r="I1482" s="41">
        <v>44461</v>
      </c>
      <c r="J1482" s="42" t="str">
        <f>"Customer"</f>
        <v>Customer</v>
      </c>
      <c r="K1482" s="42" t="str">
        <f>"C100141"</f>
        <v>C100141</v>
      </c>
      <c r="L1482" s="42" t="str">
        <f>IF($J1482="Customer",_xll.NL("first",$J1482,"Name","No.","@@"&amp;$K1482),"")</f>
        <v>Bargottis</v>
      </c>
      <c r="M1482" s="42" t="str">
        <f>""</f>
        <v/>
      </c>
      <c r="N1482" s="42" t="str">
        <f>IF($J1482="Item",_xll.NL("first",$J1482,"Description","No.","@@"&amp;$K1482),"")</f>
        <v/>
      </c>
      <c r="O1482" s="43">
        <v>0</v>
      </c>
      <c r="P1482" s="43">
        <v>-145</v>
      </c>
      <c r="Q1482" s="43">
        <v>0</v>
      </c>
      <c r="R1482" s="43">
        <v>0</v>
      </c>
      <c r="S1482" s="43">
        <v>0</v>
      </c>
      <c r="T1482" s="43">
        <v>0</v>
      </c>
      <c r="U1482" s="56"/>
    </row>
    <row r="1483" spans="1:21" ht="17.25" customHeight="1" x14ac:dyDescent="0.3">
      <c r="A1483" s="15" t="s">
        <v>30</v>
      </c>
      <c r="C1483" s="19"/>
      <c r="D1483" s="33" t="str">
        <f t="shared" si="364"/>
        <v>E100038</v>
      </c>
      <c r="E1483" s="33"/>
      <c r="F1483" s="34"/>
      <c r="G1483" s="34" t="str">
        <f>"""NAV Direct"",""CRONUS JetCorp USA"",""32"",""1"",""44510"""</f>
        <v>"NAV Direct","CRONUS JetCorp USA","32","1","44510"</v>
      </c>
      <c r="H1483" s="40">
        <v>43473</v>
      </c>
      <c r="I1483" s="41">
        <v>44510</v>
      </c>
      <c r="J1483" s="42" t="str">
        <f>"Customer"</f>
        <v>Customer</v>
      </c>
      <c r="K1483" s="42" t="str">
        <f>"C100139"</f>
        <v>C100139</v>
      </c>
      <c r="L1483" s="42" t="str">
        <f>IF($J1483="Customer",_xll.NL("first",$J1483,"Name","No.","@@"&amp;$K1483),"")</f>
        <v>Gamma Ray's</v>
      </c>
      <c r="M1483" s="42" t="str">
        <f>""</f>
        <v/>
      </c>
      <c r="N1483" s="42" t="str">
        <f>IF($J1483="Item",_xll.NL("first",$J1483,"Description","No.","@@"&amp;$K1483),"")</f>
        <v/>
      </c>
      <c r="O1483" s="43">
        <v>0</v>
      </c>
      <c r="P1483" s="43">
        <v>-144</v>
      </c>
      <c r="Q1483" s="43">
        <v>0</v>
      </c>
      <c r="R1483" s="43">
        <v>0</v>
      </c>
      <c r="S1483" s="43">
        <v>0</v>
      </c>
      <c r="T1483" s="43">
        <v>0</v>
      </c>
      <c r="U1483" s="56"/>
    </row>
    <row r="1484" spans="1:21" ht="17.25" customHeight="1" x14ac:dyDescent="0.3">
      <c r="A1484" s="15" t="s">
        <v>30</v>
      </c>
      <c r="C1484" s="19"/>
      <c r="D1484" s="33"/>
      <c r="E1484" s="33"/>
      <c r="F1484" s="34"/>
      <c r="G1484" s="34"/>
      <c r="H1484" s="34"/>
      <c r="I1484" s="34"/>
      <c r="J1484" s="34"/>
      <c r="K1484" s="34"/>
      <c r="L1484" s="34"/>
      <c r="M1484" s="34"/>
      <c r="N1484" s="34"/>
      <c r="O1484" s="44"/>
      <c r="P1484" s="44"/>
      <c r="Q1484" s="44"/>
      <c r="R1484" s="44"/>
      <c r="S1484" s="44"/>
      <c r="T1484" s="44"/>
      <c r="U1484" s="57"/>
    </row>
    <row r="1485" spans="1:21" ht="17.25" customHeight="1" x14ac:dyDescent="0.3">
      <c r="A1485" s="15" t="s">
        <v>30</v>
      </c>
      <c r="C1485" s="19"/>
      <c r="D1485" s="33"/>
      <c r="E1485" s="33" t="s">
        <v>31</v>
      </c>
      <c r="F1485" s="34" t="s">
        <v>31</v>
      </c>
      <c r="G1485" s="34" t="s">
        <v>31</v>
      </c>
      <c r="H1485" s="34"/>
      <c r="I1485" s="34"/>
      <c r="J1485" s="34" t="s">
        <v>31</v>
      </c>
      <c r="K1485" s="34" t="s">
        <v>31</v>
      </c>
      <c r="L1485" s="34" t="s">
        <v>31</v>
      </c>
      <c r="M1485" s="34" t="s">
        <v>31</v>
      </c>
      <c r="N1485" s="34"/>
      <c r="U1485" s="58"/>
    </row>
    <row r="1486" spans="1:21" ht="20.25" customHeight="1" x14ac:dyDescent="0.35">
      <c r="A1486" s="15" t="s">
        <v>30</v>
      </c>
      <c r="C1486" s="19"/>
      <c r="D1486" s="35" t="str">
        <f t="shared" ref="D1486" si="365">E1486</f>
        <v>E100039</v>
      </c>
      <c r="E1486" s="36" t="str">
        <f>"E100039"</f>
        <v>E100039</v>
      </c>
      <c r="F1486" s="37" t="str">
        <f>"Campfire Mug"</f>
        <v>Campfire Mug</v>
      </c>
      <c r="G1486" s="37"/>
      <c r="H1486" s="38" t="str">
        <f>"EA"</f>
        <v>EA</v>
      </c>
      <c r="I1486" s="37"/>
      <c r="J1486" s="37"/>
      <c r="K1486" s="37"/>
      <c r="L1486" s="37"/>
      <c r="M1486" s="37"/>
      <c r="N1486" s="37"/>
      <c r="O1486" s="39">
        <f>(SUBTOTAL(9,O1487:O1496))</f>
        <v>2999.9999999999995</v>
      </c>
      <c r="P1486" s="39">
        <f>(SUBTOTAL(9,P1487:P1496))</f>
        <v>-577</v>
      </c>
      <c r="Q1486" s="39">
        <f>(SUBTOTAL(9,Q1487:Q1496))</f>
        <v>0</v>
      </c>
      <c r="R1486" s="39">
        <f>(SUBTOTAL(9,R1487:R1496))</f>
        <v>0</v>
      </c>
      <c r="S1486" s="39">
        <f>(SUBTOTAL(9,S1487:S1496))</f>
        <v>0</v>
      </c>
      <c r="T1486" s="39">
        <f>(SUBTOTAL(9,T1487:T1496))</f>
        <v>0</v>
      </c>
      <c r="U1486" s="55">
        <f t="shared" ref="U1486" si="366">SUBTOTAL(9,O1487:T1496)</f>
        <v>2422.9999999999995</v>
      </c>
    </row>
    <row r="1487" spans="1:21" ht="17.25" customHeight="1" x14ac:dyDescent="0.3">
      <c r="A1487" s="15" t="s">
        <v>30</v>
      </c>
      <c r="C1487" s="19"/>
      <c r="D1487" s="33" t="str">
        <f t="shared" ref="D1487" si="367">D1486</f>
        <v>E100039</v>
      </c>
      <c r="E1487" s="33"/>
      <c r="F1487" s="34"/>
      <c r="G1487" s="34" t="str">
        <f>"""NAV Direct"",""CRONUS JetCorp USA"",""32"",""1"",""168617"""</f>
        <v>"NAV Direct","CRONUS JetCorp USA","32","1","168617"</v>
      </c>
      <c r="H1487" s="40">
        <v>43466</v>
      </c>
      <c r="I1487" s="41">
        <v>168617</v>
      </c>
      <c r="J1487" s="42" t="str">
        <f>"Vendor"</f>
        <v>Vendor</v>
      </c>
      <c r="K1487" s="42" t="str">
        <f>"V100040"</f>
        <v>V100040</v>
      </c>
      <c r="L1487" s="42" t="str">
        <f>IF($J1487="Customer",_xll.NL("first",$J1487,"Name","No.","@@"&amp;$K1487),"")</f>
        <v/>
      </c>
      <c r="M1487" s="42" t="str">
        <f>"Technische Betriebe Rotkreuz"</f>
        <v>Technische Betriebe Rotkreuz</v>
      </c>
      <c r="N1487" s="42" t="str">
        <f>IF($J1487="Item",_xll.NL("first",$J1487,"Description","No.","@@"&amp;$K1487),"")</f>
        <v/>
      </c>
      <c r="O1487" s="43">
        <v>249.99999999999997</v>
      </c>
      <c r="P1487" s="43">
        <v>0</v>
      </c>
      <c r="Q1487" s="43">
        <v>0</v>
      </c>
      <c r="R1487" s="43">
        <v>0</v>
      </c>
      <c r="S1487" s="43">
        <v>0</v>
      </c>
      <c r="T1487" s="43">
        <v>0</v>
      </c>
      <c r="U1487" s="56"/>
    </row>
    <row r="1488" spans="1:21" ht="17.25" customHeight="1" x14ac:dyDescent="0.3">
      <c r="A1488" s="15" t="s">
        <v>30</v>
      </c>
      <c r="C1488" s="19"/>
      <c r="D1488" s="33" t="str">
        <f t="shared" ref="D1488:D1495" si="368">D1487</f>
        <v>E100039</v>
      </c>
      <c r="E1488" s="33"/>
      <c r="F1488" s="34"/>
      <c r="G1488" s="34" t="str">
        <f>"""NAV Direct"",""CRONUS JetCorp USA"",""32"",""1"",""168627"""</f>
        <v>"NAV Direct","CRONUS JetCorp USA","32","1","168627"</v>
      </c>
      <c r="H1488" s="40">
        <v>43466</v>
      </c>
      <c r="I1488" s="41">
        <v>168627</v>
      </c>
      <c r="J1488" s="42" t="str">
        <f>"Vendor"</f>
        <v>Vendor</v>
      </c>
      <c r="K1488" s="42" t="str">
        <f>"V100007"</f>
        <v>V100007</v>
      </c>
      <c r="L1488" s="42" t="str">
        <f>IF($J1488="Customer",_xll.NL("first",$J1488,"Name","No.","@@"&amp;$K1488),"")</f>
        <v/>
      </c>
      <c r="M1488" s="42" t="str">
        <f>"TrendTech"</f>
        <v>TrendTech</v>
      </c>
      <c r="N1488" s="42" t="str">
        <f>IF($J1488="Item",_xll.NL("first",$J1488,"Description","No.","@@"&amp;$K1488),"")</f>
        <v/>
      </c>
      <c r="O1488" s="43">
        <v>249.99999999999997</v>
      </c>
      <c r="P1488" s="43">
        <v>0</v>
      </c>
      <c r="Q1488" s="43">
        <v>0</v>
      </c>
      <c r="R1488" s="43">
        <v>0</v>
      </c>
      <c r="S1488" s="43">
        <v>0</v>
      </c>
      <c r="T1488" s="43">
        <v>0</v>
      </c>
      <c r="U1488" s="56"/>
    </row>
    <row r="1489" spans="1:21" ht="17.25" customHeight="1" x14ac:dyDescent="0.3">
      <c r="A1489" s="15" t="s">
        <v>30</v>
      </c>
      <c r="C1489" s="19"/>
      <c r="D1489" s="33" t="str">
        <f t="shared" si="368"/>
        <v>E100039</v>
      </c>
      <c r="E1489" s="33"/>
      <c r="F1489" s="34"/>
      <c r="G1489" s="34" t="str">
        <f>"""NAV Direct"",""CRONUS JetCorp USA"",""32"",""1"",""168641"""</f>
        <v>"NAV Direct","CRONUS JetCorp USA","32","1","168641"</v>
      </c>
      <c r="H1489" s="40">
        <v>43466</v>
      </c>
      <c r="I1489" s="41">
        <v>168641</v>
      </c>
      <c r="J1489" s="42" t="str">
        <f>"Vendor"</f>
        <v>Vendor</v>
      </c>
      <c r="K1489" s="42" t="str">
        <f>"V100001"</f>
        <v>V100001</v>
      </c>
      <c r="L1489" s="42" t="str">
        <f>IF($J1489="Customer",_xll.NL("first",$J1489,"Name","No.","@@"&amp;$K1489),"")</f>
        <v/>
      </c>
      <c r="M1489" s="42" t="str">
        <f>"Greigner, Inc."</f>
        <v>Greigner, Inc.</v>
      </c>
      <c r="N1489" s="42" t="str">
        <f>IF($J1489="Item",_xll.NL("first",$J1489,"Description","No.","@@"&amp;$K1489),"")</f>
        <v/>
      </c>
      <c r="O1489" s="43">
        <v>1999.9999999999998</v>
      </c>
      <c r="P1489" s="43">
        <v>0</v>
      </c>
      <c r="Q1489" s="43">
        <v>0</v>
      </c>
      <c r="R1489" s="43">
        <v>0</v>
      </c>
      <c r="S1489" s="43">
        <v>0</v>
      </c>
      <c r="T1489" s="43">
        <v>0</v>
      </c>
      <c r="U1489" s="56"/>
    </row>
    <row r="1490" spans="1:21" ht="17.25" customHeight="1" x14ac:dyDescent="0.3">
      <c r="A1490" s="15" t="s">
        <v>30</v>
      </c>
      <c r="C1490" s="19"/>
      <c r="D1490" s="33" t="str">
        <f t="shared" si="368"/>
        <v>E100039</v>
      </c>
      <c r="E1490" s="33"/>
      <c r="F1490" s="34"/>
      <c r="G1490" s="34" t="str">
        <f>"""NAV Direct"",""CRONUS JetCorp USA"",""32"",""1"",""168665"""</f>
        <v>"NAV Direct","CRONUS JetCorp USA","32","1","168665"</v>
      </c>
      <c r="H1490" s="40">
        <v>43466</v>
      </c>
      <c r="I1490" s="41">
        <v>168665</v>
      </c>
      <c r="J1490" s="42" t="str">
        <f>"Vendor"</f>
        <v>Vendor</v>
      </c>
      <c r="K1490" s="42" t="str">
        <f>"V100003"</f>
        <v>V100003</v>
      </c>
      <c r="L1490" s="42" t="str">
        <f>IF($J1490="Customer",_xll.NL("first",$J1490,"Name","No.","@@"&amp;$K1490),"")</f>
        <v/>
      </c>
      <c r="M1490" s="42" t="str">
        <f>"LogoMasters"</f>
        <v>LogoMasters</v>
      </c>
      <c r="N1490" s="42" t="str">
        <f>IF($J1490="Item",_xll.NL("first",$J1490,"Description","No.","@@"&amp;$K1490),"")</f>
        <v/>
      </c>
      <c r="O1490" s="43">
        <v>499.99999999999994</v>
      </c>
      <c r="P1490" s="43">
        <v>0</v>
      </c>
      <c r="Q1490" s="43">
        <v>0</v>
      </c>
      <c r="R1490" s="43">
        <v>0</v>
      </c>
      <c r="S1490" s="43">
        <v>0</v>
      </c>
      <c r="T1490" s="43">
        <v>0</v>
      </c>
      <c r="U1490" s="56"/>
    </row>
    <row r="1491" spans="1:21" ht="17.25" customHeight="1" x14ac:dyDescent="0.3">
      <c r="A1491" s="15" t="s">
        <v>30</v>
      </c>
      <c r="C1491" s="19"/>
      <c r="D1491" s="33" t="str">
        <f t="shared" si="368"/>
        <v>E100039</v>
      </c>
      <c r="E1491" s="33"/>
      <c r="F1491" s="34"/>
      <c r="G1491" s="34" t="str">
        <f>"""NAV Direct"",""CRONUS JetCorp USA"",""32"",""1"",""64583"""</f>
        <v>"NAV Direct","CRONUS JetCorp USA","32","1","64583"</v>
      </c>
      <c r="H1491" s="40">
        <v>43469</v>
      </c>
      <c r="I1491" s="41">
        <v>64583</v>
      </c>
      <c r="J1491" s="42" t="str">
        <f>"Customer"</f>
        <v>Customer</v>
      </c>
      <c r="K1491" s="42" t="str">
        <f>"C100140"</f>
        <v>C100140</v>
      </c>
      <c r="L1491" s="42" t="str">
        <f>IF($J1491="Customer",_xll.NL("first",$J1491,"Name","No.","@@"&amp;$K1491),"")</f>
        <v>Super Daves</v>
      </c>
      <c r="M1491" s="42" t="str">
        <f>""</f>
        <v/>
      </c>
      <c r="N1491" s="42" t="str">
        <f>IF($J1491="Item",_xll.NL("first",$J1491,"Description","No.","@@"&amp;$K1491),"")</f>
        <v/>
      </c>
      <c r="O1491" s="43">
        <v>0</v>
      </c>
      <c r="P1491" s="43">
        <v>-144</v>
      </c>
      <c r="Q1491" s="43">
        <v>0</v>
      </c>
      <c r="R1491" s="43">
        <v>0</v>
      </c>
      <c r="S1491" s="43">
        <v>0</v>
      </c>
      <c r="T1491" s="43">
        <v>0</v>
      </c>
      <c r="U1491" s="56"/>
    </row>
    <row r="1492" spans="1:21" ht="17.25" customHeight="1" x14ac:dyDescent="0.3">
      <c r="A1492" s="15" t="s">
        <v>30</v>
      </c>
      <c r="C1492" s="19"/>
      <c r="D1492" s="33" t="str">
        <f t="shared" si="368"/>
        <v>E100039</v>
      </c>
      <c r="E1492" s="33"/>
      <c r="F1492" s="34"/>
      <c r="G1492" s="34" t="str">
        <f>"""NAV Direct"",""CRONUS JetCorp USA"",""32"",""1"",""44474"""</f>
        <v>"NAV Direct","CRONUS JetCorp USA","32","1","44474"</v>
      </c>
      <c r="H1492" s="40">
        <v>43472</v>
      </c>
      <c r="I1492" s="41">
        <v>44474</v>
      </c>
      <c r="J1492" s="42" t="str">
        <f>"Customer"</f>
        <v>Customer</v>
      </c>
      <c r="K1492" s="42" t="str">
        <f>"C100141"</f>
        <v>C100141</v>
      </c>
      <c r="L1492" s="42" t="str">
        <f>IF($J1492="Customer",_xll.NL("first",$J1492,"Name","No.","@@"&amp;$K1492),"")</f>
        <v>Bargottis</v>
      </c>
      <c r="M1492" s="42" t="str">
        <f>""</f>
        <v/>
      </c>
      <c r="N1492" s="42" t="str">
        <f>IF($J1492="Item",_xll.NL("first",$J1492,"Description","No.","@@"&amp;$K1492),"")</f>
        <v/>
      </c>
      <c r="O1492" s="43">
        <v>0</v>
      </c>
      <c r="P1492" s="43">
        <v>-144</v>
      </c>
      <c r="Q1492" s="43">
        <v>0</v>
      </c>
      <c r="R1492" s="43">
        <v>0</v>
      </c>
      <c r="S1492" s="43">
        <v>0</v>
      </c>
      <c r="T1492" s="43">
        <v>0</v>
      </c>
      <c r="U1492" s="56"/>
    </row>
    <row r="1493" spans="1:21" ht="17.25" customHeight="1" x14ac:dyDescent="0.3">
      <c r="A1493" s="15" t="s">
        <v>30</v>
      </c>
      <c r="C1493" s="19"/>
      <c r="D1493" s="33" t="str">
        <f t="shared" si="368"/>
        <v>E100039</v>
      </c>
      <c r="E1493" s="33"/>
      <c r="F1493" s="34"/>
      <c r="G1493" s="34" t="str">
        <f>"""NAV Direct"",""CRONUS JetCorp USA"",""32"",""1"",""64600"""</f>
        <v>"NAV Direct","CRONUS JetCorp USA","32","1","64600"</v>
      </c>
      <c r="H1493" s="40">
        <v>43472</v>
      </c>
      <c r="I1493" s="41">
        <v>64600</v>
      </c>
      <c r="J1493" s="42" t="str">
        <f>"Customer"</f>
        <v>Customer</v>
      </c>
      <c r="K1493" s="42" t="str">
        <f>"C100140"</f>
        <v>C100140</v>
      </c>
      <c r="L1493" s="42" t="str">
        <f>IF($J1493="Customer",_xll.NL("first",$J1493,"Name","No.","@@"&amp;$K1493),"")</f>
        <v>Super Daves</v>
      </c>
      <c r="M1493" s="42" t="str">
        <f>""</f>
        <v/>
      </c>
      <c r="N1493" s="42" t="str">
        <f>IF($J1493="Item",_xll.NL("first",$J1493,"Description","No.","@@"&amp;$K1493),"")</f>
        <v/>
      </c>
      <c r="O1493" s="43">
        <v>0</v>
      </c>
      <c r="P1493" s="43">
        <v>-144</v>
      </c>
      <c r="Q1493" s="43">
        <v>0</v>
      </c>
      <c r="R1493" s="43">
        <v>0</v>
      </c>
      <c r="S1493" s="43">
        <v>0</v>
      </c>
      <c r="T1493" s="43">
        <v>0</v>
      </c>
      <c r="U1493" s="56"/>
    </row>
    <row r="1494" spans="1:21" ht="17.25" customHeight="1" x14ac:dyDescent="0.3">
      <c r="A1494" s="15" t="s">
        <v>30</v>
      </c>
      <c r="C1494" s="19"/>
      <c r="D1494" s="33" t="str">
        <f t="shared" si="368"/>
        <v>E100039</v>
      </c>
      <c r="E1494" s="33"/>
      <c r="F1494" s="34"/>
      <c r="G1494" s="34" t="str">
        <f>"""NAV Direct"",""CRONUS JetCorp USA"",""32"",""1"",""44543"""</f>
        <v>"NAV Direct","CRONUS JetCorp USA","32","1","44543"</v>
      </c>
      <c r="H1494" s="40">
        <v>43473</v>
      </c>
      <c r="I1494" s="41">
        <v>44543</v>
      </c>
      <c r="J1494" s="42" t="str">
        <f>"Customer"</f>
        <v>Customer</v>
      </c>
      <c r="K1494" s="42" t="str">
        <f>"C100139"</f>
        <v>C100139</v>
      </c>
      <c r="L1494" s="42" t="str">
        <f>IF($J1494="Customer",_xll.NL("first",$J1494,"Name","No.","@@"&amp;$K1494),"")</f>
        <v>Gamma Ray's</v>
      </c>
      <c r="M1494" s="42" t="str">
        <f>""</f>
        <v/>
      </c>
      <c r="N1494" s="42" t="str">
        <f>IF($J1494="Item",_xll.NL("first",$J1494,"Description","No.","@@"&amp;$K1494),"")</f>
        <v/>
      </c>
      <c r="O1494" s="43">
        <v>0</v>
      </c>
      <c r="P1494" s="43">
        <v>-1</v>
      </c>
      <c r="Q1494" s="43">
        <v>0</v>
      </c>
      <c r="R1494" s="43">
        <v>0</v>
      </c>
      <c r="S1494" s="43">
        <v>0</v>
      </c>
      <c r="T1494" s="43">
        <v>0</v>
      </c>
      <c r="U1494" s="56"/>
    </row>
    <row r="1495" spans="1:21" ht="17.25" customHeight="1" x14ac:dyDescent="0.3">
      <c r="A1495" s="15" t="s">
        <v>30</v>
      </c>
      <c r="C1495" s="19"/>
      <c r="D1495" s="33" t="str">
        <f t="shared" si="368"/>
        <v>E100039</v>
      </c>
      <c r="E1495" s="33"/>
      <c r="F1495" s="34"/>
      <c r="G1495" s="34" t="str">
        <f>"""NAV Direct"",""CRONUS JetCorp USA"",""32"",""1"",""54705"""</f>
        <v>"NAV Direct","CRONUS JetCorp USA","32","1","54705"</v>
      </c>
      <c r="H1495" s="40">
        <v>43474</v>
      </c>
      <c r="I1495" s="41">
        <v>54705</v>
      </c>
      <c r="J1495" s="42" t="str">
        <f>"Customer"</f>
        <v>Customer</v>
      </c>
      <c r="K1495" s="42" t="str">
        <f>"C100096"</f>
        <v>C100096</v>
      </c>
      <c r="L1495" s="42" t="str">
        <f>IF($J1495="Customer",_xll.NL("first",$J1495,"Name","No.","@@"&amp;$K1495),"")</f>
        <v>D-Com Industries</v>
      </c>
      <c r="M1495" s="42" t="str">
        <f>""</f>
        <v/>
      </c>
      <c r="N1495" s="42" t="str">
        <f>IF($J1495="Item",_xll.NL("first",$J1495,"Description","No.","@@"&amp;$K1495),"")</f>
        <v/>
      </c>
      <c r="O1495" s="43">
        <v>0</v>
      </c>
      <c r="P1495" s="43">
        <v>-144</v>
      </c>
      <c r="Q1495" s="43">
        <v>0</v>
      </c>
      <c r="R1495" s="43">
        <v>0</v>
      </c>
      <c r="S1495" s="43">
        <v>0</v>
      </c>
      <c r="T1495" s="43">
        <v>0</v>
      </c>
      <c r="U1495" s="56"/>
    </row>
    <row r="1496" spans="1:21" ht="17.25" customHeight="1" x14ac:dyDescent="0.3">
      <c r="A1496" s="15" t="s">
        <v>30</v>
      </c>
      <c r="C1496" s="19"/>
      <c r="D1496" s="33"/>
      <c r="E1496" s="33"/>
      <c r="F1496" s="34"/>
      <c r="G1496" s="34"/>
      <c r="H1496" s="34"/>
      <c r="I1496" s="34"/>
      <c r="J1496" s="34"/>
      <c r="K1496" s="34"/>
      <c r="L1496" s="34"/>
      <c r="M1496" s="34"/>
      <c r="N1496" s="34"/>
      <c r="O1496" s="44"/>
      <c r="P1496" s="44"/>
      <c r="Q1496" s="44"/>
      <c r="R1496" s="44"/>
      <c r="S1496" s="44"/>
      <c r="T1496" s="44"/>
      <c r="U1496" s="57"/>
    </row>
    <row r="1497" spans="1:21" ht="17.25" customHeight="1" x14ac:dyDescent="0.3">
      <c r="A1497" s="15" t="s">
        <v>30</v>
      </c>
      <c r="C1497" s="19"/>
      <c r="D1497" s="33"/>
      <c r="E1497" s="33" t="s">
        <v>31</v>
      </c>
      <c r="F1497" s="34" t="s">
        <v>31</v>
      </c>
      <c r="G1497" s="34" t="s">
        <v>31</v>
      </c>
      <c r="H1497" s="34"/>
      <c r="I1497" s="34"/>
      <c r="J1497" s="34" t="s">
        <v>31</v>
      </c>
      <c r="K1497" s="34" t="s">
        <v>31</v>
      </c>
      <c r="L1497" s="34" t="s">
        <v>31</v>
      </c>
      <c r="M1497" s="34" t="s">
        <v>31</v>
      </c>
      <c r="N1497" s="34"/>
      <c r="U1497" s="58"/>
    </row>
    <row r="1498" spans="1:21" ht="20.25" customHeight="1" x14ac:dyDescent="0.35">
      <c r="A1498" s="15" t="s">
        <v>30</v>
      </c>
      <c r="C1498" s="19"/>
      <c r="D1498" s="35" t="str">
        <f t="shared" ref="D1498" si="369">E1498</f>
        <v>E100040</v>
      </c>
      <c r="E1498" s="36" t="str">
        <f>"E100040"</f>
        <v>E100040</v>
      </c>
      <c r="F1498" s="37" t="str">
        <f>"Wave Mug"</f>
        <v>Wave Mug</v>
      </c>
      <c r="G1498" s="37"/>
      <c r="H1498" s="38" t="str">
        <f>"EA"</f>
        <v>EA</v>
      </c>
      <c r="I1498" s="37"/>
      <c r="J1498" s="37"/>
      <c r="K1498" s="37"/>
      <c r="L1498" s="37"/>
      <c r="M1498" s="37"/>
      <c r="N1498" s="37"/>
      <c r="O1498" s="39">
        <f>(SUBTOTAL(9,O1499:O1508))</f>
        <v>3250</v>
      </c>
      <c r="P1498" s="39">
        <f>(SUBTOTAL(9,P1499:P1508))</f>
        <v>-720</v>
      </c>
      <c r="Q1498" s="39">
        <f>(SUBTOTAL(9,Q1499:Q1508))</f>
        <v>0</v>
      </c>
      <c r="R1498" s="39">
        <f>(SUBTOTAL(9,R1499:R1508))</f>
        <v>0</v>
      </c>
      <c r="S1498" s="39">
        <f>(SUBTOTAL(9,S1499:S1508))</f>
        <v>0</v>
      </c>
      <c r="T1498" s="39">
        <f>(SUBTOTAL(9,T1499:T1508))</f>
        <v>0</v>
      </c>
      <c r="U1498" s="55">
        <f t="shared" ref="U1498" si="370">SUBTOTAL(9,O1499:T1508)</f>
        <v>2530</v>
      </c>
    </row>
    <row r="1499" spans="1:21" ht="17.25" customHeight="1" x14ac:dyDescent="0.3">
      <c r="A1499" s="15" t="s">
        <v>30</v>
      </c>
      <c r="C1499" s="19"/>
      <c r="D1499" s="33" t="str">
        <f t="shared" ref="D1499" si="371">D1498</f>
        <v>E100040</v>
      </c>
      <c r="E1499" s="33"/>
      <c r="F1499" s="34"/>
      <c r="G1499" s="34" t="str">
        <f>"""NAV Direct"",""CRONUS JetCorp USA"",""32"",""1"",""168616"""</f>
        <v>"NAV Direct","CRONUS JetCorp USA","32","1","168616"</v>
      </c>
      <c r="H1499" s="40">
        <v>43466</v>
      </c>
      <c r="I1499" s="41">
        <v>168616</v>
      </c>
      <c r="J1499" s="42" t="str">
        <f>"Vendor"</f>
        <v>Vendor</v>
      </c>
      <c r="K1499" s="42" t="str">
        <f>"V100040"</f>
        <v>V100040</v>
      </c>
      <c r="L1499" s="42" t="str">
        <f>IF($J1499="Customer",_xll.NL("first",$J1499,"Name","No.","@@"&amp;$K1499),"")</f>
        <v/>
      </c>
      <c r="M1499" s="42" t="str">
        <f>"Technische Betriebe Rotkreuz"</f>
        <v>Technische Betriebe Rotkreuz</v>
      </c>
      <c r="N1499" s="42" t="str">
        <f>IF($J1499="Item",_xll.NL("first",$J1499,"Description","No.","@@"&amp;$K1499),"")</f>
        <v/>
      </c>
      <c r="O1499" s="43">
        <v>499.99999999999994</v>
      </c>
      <c r="P1499" s="43">
        <v>0</v>
      </c>
      <c r="Q1499" s="43">
        <v>0</v>
      </c>
      <c r="R1499" s="43">
        <v>0</v>
      </c>
      <c r="S1499" s="43">
        <v>0</v>
      </c>
      <c r="T1499" s="43">
        <v>0</v>
      </c>
      <c r="U1499" s="56"/>
    </row>
    <row r="1500" spans="1:21" ht="17.25" customHeight="1" x14ac:dyDescent="0.3">
      <c r="A1500" s="15" t="s">
        <v>30</v>
      </c>
      <c r="C1500" s="19"/>
      <c r="D1500" s="33" t="str">
        <f t="shared" ref="D1500:D1507" si="372">D1499</f>
        <v>E100040</v>
      </c>
      <c r="E1500" s="33"/>
      <c r="F1500" s="34"/>
      <c r="G1500" s="34" t="str">
        <f>"""NAV Direct"",""CRONUS JetCorp USA"",""32"",""1"",""168622"""</f>
        <v>"NAV Direct","CRONUS JetCorp USA","32","1","168622"</v>
      </c>
      <c r="H1500" s="40">
        <v>43466</v>
      </c>
      <c r="I1500" s="41">
        <v>168622</v>
      </c>
      <c r="J1500" s="42" t="str">
        <f>"Vendor"</f>
        <v>Vendor</v>
      </c>
      <c r="K1500" s="42" t="str">
        <f>"V100001"</f>
        <v>V100001</v>
      </c>
      <c r="L1500" s="42" t="str">
        <f>IF($J1500="Customer",_xll.NL("first",$J1500,"Name","No.","@@"&amp;$K1500),"")</f>
        <v/>
      </c>
      <c r="M1500" s="42" t="str">
        <f>"Greigner, Inc."</f>
        <v>Greigner, Inc.</v>
      </c>
      <c r="N1500" s="42" t="str">
        <f>IF($J1500="Item",_xll.NL("first",$J1500,"Description","No.","@@"&amp;$K1500),"")</f>
        <v/>
      </c>
      <c r="O1500" s="43">
        <v>249.99999999999997</v>
      </c>
      <c r="P1500" s="43">
        <v>0</v>
      </c>
      <c r="Q1500" s="43">
        <v>0</v>
      </c>
      <c r="R1500" s="43">
        <v>0</v>
      </c>
      <c r="S1500" s="43">
        <v>0</v>
      </c>
      <c r="T1500" s="43">
        <v>0</v>
      </c>
      <c r="U1500" s="56"/>
    </row>
    <row r="1501" spans="1:21" ht="17.25" customHeight="1" x14ac:dyDescent="0.3">
      <c r="A1501" s="15" t="s">
        <v>30</v>
      </c>
      <c r="C1501" s="19"/>
      <c r="D1501" s="33" t="str">
        <f t="shared" si="372"/>
        <v>E100040</v>
      </c>
      <c r="E1501" s="33"/>
      <c r="F1501" s="34"/>
      <c r="G1501" s="34" t="str">
        <f>"""NAV Direct"",""CRONUS JetCorp USA"",""32"",""1"",""168640"""</f>
        <v>"NAV Direct","CRONUS JetCorp USA","32","1","168640"</v>
      </c>
      <c r="H1501" s="40">
        <v>43466</v>
      </c>
      <c r="I1501" s="41">
        <v>168640</v>
      </c>
      <c r="J1501" s="42" t="str">
        <f>"Vendor"</f>
        <v>Vendor</v>
      </c>
      <c r="K1501" s="42" t="str">
        <f>"V100001"</f>
        <v>V100001</v>
      </c>
      <c r="L1501" s="42" t="str">
        <f>IF($J1501="Customer",_xll.NL("first",$J1501,"Name","No.","@@"&amp;$K1501),"")</f>
        <v/>
      </c>
      <c r="M1501" s="42" t="str">
        <f>"Greigner, Inc."</f>
        <v>Greigner, Inc.</v>
      </c>
      <c r="N1501" s="42" t="str">
        <f>IF($J1501="Item",_xll.NL("first",$J1501,"Description","No.","@@"&amp;$K1501),"")</f>
        <v/>
      </c>
      <c r="O1501" s="43">
        <v>1500</v>
      </c>
      <c r="P1501" s="43">
        <v>0</v>
      </c>
      <c r="Q1501" s="43">
        <v>0</v>
      </c>
      <c r="R1501" s="43">
        <v>0</v>
      </c>
      <c r="S1501" s="43">
        <v>0</v>
      </c>
      <c r="T1501" s="43">
        <v>0</v>
      </c>
      <c r="U1501" s="56"/>
    </row>
    <row r="1502" spans="1:21" ht="17.25" customHeight="1" x14ac:dyDescent="0.3">
      <c r="A1502" s="15" t="s">
        <v>30</v>
      </c>
      <c r="C1502" s="19"/>
      <c r="D1502" s="33" t="str">
        <f t="shared" si="372"/>
        <v>E100040</v>
      </c>
      <c r="E1502" s="33"/>
      <c r="F1502" s="34"/>
      <c r="G1502" s="34" t="str">
        <f>"""NAV Direct"",""CRONUS JetCorp USA"",""32"",""1"",""168664"""</f>
        <v>"NAV Direct","CRONUS JetCorp USA","32","1","168664"</v>
      </c>
      <c r="H1502" s="40">
        <v>43466</v>
      </c>
      <c r="I1502" s="41">
        <v>168664</v>
      </c>
      <c r="J1502" s="42" t="str">
        <f>"Vendor"</f>
        <v>Vendor</v>
      </c>
      <c r="K1502" s="42" t="str">
        <f>"V100003"</f>
        <v>V100003</v>
      </c>
      <c r="L1502" s="42" t="str">
        <f>IF($J1502="Customer",_xll.NL("first",$J1502,"Name","No.","@@"&amp;$K1502),"")</f>
        <v/>
      </c>
      <c r="M1502" s="42" t="str">
        <f>"LogoMasters"</f>
        <v>LogoMasters</v>
      </c>
      <c r="N1502" s="42" t="str">
        <f>IF($J1502="Item",_xll.NL("first",$J1502,"Description","No.","@@"&amp;$K1502),"")</f>
        <v/>
      </c>
      <c r="O1502" s="43">
        <v>750</v>
      </c>
      <c r="P1502" s="43">
        <v>0</v>
      </c>
      <c r="Q1502" s="43">
        <v>0</v>
      </c>
      <c r="R1502" s="43">
        <v>0</v>
      </c>
      <c r="S1502" s="43">
        <v>0</v>
      </c>
      <c r="T1502" s="43">
        <v>0</v>
      </c>
      <c r="U1502" s="56"/>
    </row>
    <row r="1503" spans="1:21" ht="17.25" customHeight="1" x14ac:dyDescent="0.3">
      <c r="A1503" s="15" t="s">
        <v>30</v>
      </c>
      <c r="C1503" s="19"/>
      <c r="D1503" s="33" t="str">
        <f t="shared" si="372"/>
        <v>E100040</v>
      </c>
      <c r="E1503" s="33"/>
      <c r="F1503" s="34"/>
      <c r="G1503" s="34" t="str">
        <f>"""NAV Direct"",""CRONUS JetCorp USA"",""32"",""1"",""168679"""</f>
        <v>"NAV Direct","CRONUS JetCorp USA","32","1","168679"</v>
      </c>
      <c r="H1503" s="40">
        <v>43466</v>
      </c>
      <c r="I1503" s="41">
        <v>168679</v>
      </c>
      <c r="J1503" s="42" t="str">
        <f>"Vendor"</f>
        <v>Vendor</v>
      </c>
      <c r="K1503" s="42" t="str">
        <f>"V100001"</f>
        <v>V100001</v>
      </c>
      <c r="L1503" s="42" t="str">
        <f>IF($J1503="Customer",_xll.NL("first",$J1503,"Name","No.","@@"&amp;$K1503),"")</f>
        <v/>
      </c>
      <c r="M1503" s="42" t="str">
        <f>"Greigner, Inc."</f>
        <v>Greigner, Inc.</v>
      </c>
      <c r="N1503" s="42" t="str">
        <f>IF($J1503="Item",_xll.NL("first",$J1503,"Description","No.","@@"&amp;$K1503),"")</f>
        <v/>
      </c>
      <c r="O1503" s="43">
        <v>249.99999999999997</v>
      </c>
      <c r="P1503" s="43">
        <v>0</v>
      </c>
      <c r="Q1503" s="43">
        <v>0</v>
      </c>
      <c r="R1503" s="43">
        <v>0</v>
      </c>
      <c r="S1503" s="43">
        <v>0</v>
      </c>
      <c r="T1503" s="43">
        <v>0</v>
      </c>
      <c r="U1503" s="56"/>
    </row>
    <row r="1504" spans="1:21" ht="17.25" customHeight="1" x14ac:dyDescent="0.3">
      <c r="A1504" s="15" t="s">
        <v>30</v>
      </c>
      <c r="C1504" s="19"/>
      <c r="D1504" s="33" t="str">
        <f t="shared" si="372"/>
        <v>E100040</v>
      </c>
      <c r="E1504" s="33"/>
      <c r="F1504" s="34"/>
      <c r="G1504" s="34" t="str">
        <f>"""NAV Direct"",""CRONUS JetCorp USA"",""32"",""1"",""78836"""</f>
        <v>"NAV Direct","CRONUS JetCorp USA","32","1","78836"</v>
      </c>
      <c r="H1504" s="40">
        <v>43468</v>
      </c>
      <c r="I1504" s="41">
        <v>78836</v>
      </c>
      <c r="J1504" s="42" t="str">
        <f>"Customer"</f>
        <v>Customer</v>
      </c>
      <c r="K1504" s="42" t="str">
        <f>"C100117"</f>
        <v>C100117</v>
      </c>
      <c r="L1504" s="42" t="str">
        <f>IF($J1504="Customer",_xll.NL("first",$J1504,"Name","No.","@@"&amp;$K1504),"")</f>
        <v xml:space="preserve">Tintax </v>
      </c>
      <c r="M1504" s="42" t="str">
        <f>""</f>
        <v/>
      </c>
      <c r="N1504" s="42" t="str">
        <f>IF($J1504="Item",_xll.NL("first",$J1504,"Description","No.","@@"&amp;$K1504),"")</f>
        <v/>
      </c>
      <c r="O1504" s="43">
        <v>0</v>
      </c>
      <c r="P1504" s="43">
        <v>-144</v>
      </c>
      <c r="Q1504" s="43">
        <v>0</v>
      </c>
      <c r="R1504" s="43">
        <v>0</v>
      </c>
      <c r="S1504" s="43">
        <v>0</v>
      </c>
      <c r="T1504" s="43">
        <v>0</v>
      </c>
      <c r="U1504" s="56"/>
    </row>
    <row r="1505" spans="1:21" ht="17.25" customHeight="1" x14ac:dyDescent="0.3">
      <c r="A1505" s="15" t="s">
        <v>30</v>
      </c>
      <c r="C1505" s="19"/>
      <c r="D1505" s="33" t="str">
        <f t="shared" si="372"/>
        <v>E100040</v>
      </c>
      <c r="E1505" s="33"/>
      <c r="F1505" s="34"/>
      <c r="G1505" s="34" t="str">
        <f>"""NAV Direct"",""CRONUS JetCorp USA"",""32"",""1"",""54725"""</f>
        <v>"NAV Direct","CRONUS JetCorp USA","32","1","54725"</v>
      </c>
      <c r="H1505" s="40">
        <v>43472</v>
      </c>
      <c r="I1505" s="41">
        <v>54725</v>
      </c>
      <c r="J1505" s="42" t="str">
        <f>"Customer"</f>
        <v>Customer</v>
      </c>
      <c r="K1505" s="42" t="str">
        <f>"C100084"</f>
        <v>C100084</v>
      </c>
      <c r="L1505" s="42" t="str">
        <f>IF($J1505="Customer",_xll.NL("first",$J1505,"Name","No.","@@"&amp;$K1505),"")</f>
        <v>The Cannon Group PLC</v>
      </c>
      <c r="M1505" s="42" t="str">
        <f>""</f>
        <v/>
      </c>
      <c r="N1505" s="42" t="str">
        <f>IF($J1505="Item",_xll.NL("first",$J1505,"Description","No.","@@"&amp;$K1505),"")</f>
        <v/>
      </c>
      <c r="O1505" s="43">
        <v>0</v>
      </c>
      <c r="P1505" s="43">
        <v>-288</v>
      </c>
      <c r="Q1505" s="43">
        <v>0</v>
      </c>
      <c r="R1505" s="43">
        <v>0</v>
      </c>
      <c r="S1505" s="43">
        <v>0</v>
      </c>
      <c r="T1505" s="43">
        <v>0</v>
      </c>
      <c r="U1505" s="56"/>
    </row>
    <row r="1506" spans="1:21" ht="17.25" customHeight="1" x14ac:dyDescent="0.3">
      <c r="A1506" s="15" t="s">
        <v>30</v>
      </c>
      <c r="C1506" s="19"/>
      <c r="D1506" s="33" t="str">
        <f t="shared" si="372"/>
        <v>E100040</v>
      </c>
      <c r="E1506" s="33"/>
      <c r="F1506" s="34"/>
      <c r="G1506" s="34" t="str">
        <f>"""NAV Direct"",""CRONUS JetCorp USA"",""32"",""1"",""54706"""</f>
        <v>"NAV Direct","CRONUS JetCorp USA","32","1","54706"</v>
      </c>
      <c r="H1506" s="40">
        <v>43474</v>
      </c>
      <c r="I1506" s="41">
        <v>54706</v>
      </c>
      <c r="J1506" s="42" t="str">
        <f>"Customer"</f>
        <v>Customer</v>
      </c>
      <c r="K1506" s="42" t="str">
        <f>"C100096"</f>
        <v>C100096</v>
      </c>
      <c r="L1506" s="42" t="str">
        <f>IF($J1506="Customer",_xll.NL("first",$J1506,"Name","No.","@@"&amp;$K1506),"")</f>
        <v>D-Com Industries</v>
      </c>
      <c r="M1506" s="42" t="str">
        <f>""</f>
        <v/>
      </c>
      <c r="N1506" s="42" t="str">
        <f>IF($J1506="Item",_xll.NL("first",$J1506,"Description","No.","@@"&amp;$K1506),"")</f>
        <v/>
      </c>
      <c r="O1506" s="43">
        <v>0</v>
      </c>
      <c r="P1506" s="43">
        <v>-144</v>
      </c>
      <c r="Q1506" s="43">
        <v>0</v>
      </c>
      <c r="R1506" s="43">
        <v>0</v>
      </c>
      <c r="S1506" s="43">
        <v>0</v>
      </c>
      <c r="T1506" s="43">
        <v>0</v>
      </c>
      <c r="U1506" s="56"/>
    </row>
    <row r="1507" spans="1:21" ht="17.25" customHeight="1" x14ac:dyDescent="0.3">
      <c r="A1507" s="15" t="s">
        <v>30</v>
      </c>
      <c r="C1507" s="19"/>
      <c r="D1507" s="33" t="str">
        <f t="shared" si="372"/>
        <v>E100040</v>
      </c>
      <c r="E1507" s="33"/>
      <c r="F1507" s="34"/>
      <c r="G1507" s="34" t="str">
        <f>"""NAV Direct"",""CRONUS JetCorp USA"",""32"",""1"",""78901"""</f>
        <v>"NAV Direct","CRONUS JetCorp USA","32","1","78901"</v>
      </c>
      <c r="H1507" s="40">
        <v>43475</v>
      </c>
      <c r="I1507" s="41">
        <v>78901</v>
      </c>
      <c r="J1507" s="42" t="str">
        <f>"Customer"</f>
        <v>Customer</v>
      </c>
      <c r="K1507" s="42" t="str">
        <f>"C100128"</f>
        <v>C100128</v>
      </c>
      <c r="L1507" s="42" t="str">
        <f>IF($J1507="Customer",_xll.NL("first",$J1507,"Name","No.","@@"&amp;$K1507),"")</f>
        <v>Solar Tech</v>
      </c>
      <c r="M1507" s="42" t="str">
        <f>""</f>
        <v/>
      </c>
      <c r="N1507" s="42" t="str">
        <f>IF($J1507="Item",_xll.NL("first",$J1507,"Description","No.","@@"&amp;$K1507),"")</f>
        <v/>
      </c>
      <c r="O1507" s="43">
        <v>0</v>
      </c>
      <c r="P1507" s="43">
        <v>-144</v>
      </c>
      <c r="Q1507" s="43">
        <v>0</v>
      </c>
      <c r="R1507" s="43">
        <v>0</v>
      </c>
      <c r="S1507" s="43">
        <v>0</v>
      </c>
      <c r="T1507" s="43">
        <v>0</v>
      </c>
      <c r="U1507" s="56"/>
    </row>
    <row r="1508" spans="1:21" ht="17.25" customHeight="1" x14ac:dyDescent="0.3">
      <c r="A1508" s="15" t="s">
        <v>30</v>
      </c>
      <c r="C1508" s="19"/>
      <c r="D1508" s="33"/>
      <c r="E1508" s="33"/>
      <c r="F1508" s="34"/>
      <c r="G1508" s="34"/>
      <c r="H1508" s="34"/>
      <c r="I1508" s="34"/>
      <c r="J1508" s="34"/>
      <c r="K1508" s="34"/>
      <c r="L1508" s="34"/>
      <c r="M1508" s="34"/>
      <c r="N1508" s="34"/>
      <c r="O1508" s="44"/>
      <c r="P1508" s="44"/>
      <c r="Q1508" s="44"/>
      <c r="R1508" s="44"/>
      <c r="S1508" s="44"/>
      <c r="T1508" s="44"/>
      <c r="U1508" s="57"/>
    </row>
    <row r="1509" spans="1:21" ht="17.25" customHeight="1" x14ac:dyDescent="0.3">
      <c r="A1509" s="15" t="s">
        <v>30</v>
      </c>
      <c r="C1509" s="19"/>
      <c r="D1509" s="33"/>
      <c r="E1509" s="33" t="s">
        <v>31</v>
      </c>
      <c r="F1509" s="34" t="s">
        <v>31</v>
      </c>
      <c r="G1509" s="34" t="s">
        <v>31</v>
      </c>
      <c r="H1509" s="34"/>
      <c r="I1509" s="34"/>
      <c r="J1509" s="34" t="s">
        <v>31</v>
      </c>
      <c r="K1509" s="34" t="s">
        <v>31</v>
      </c>
      <c r="L1509" s="34" t="s">
        <v>31</v>
      </c>
      <c r="M1509" s="34" t="s">
        <v>31</v>
      </c>
      <c r="N1509" s="34"/>
      <c r="U1509" s="58"/>
    </row>
    <row r="1510" spans="1:21" ht="20.25" customHeight="1" x14ac:dyDescent="0.35">
      <c r="A1510" s="15" t="s">
        <v>30</v>
      </c>
      <c r="C1510" s="19"/>
      <c r="D1510" s="35" t="str">
        <f t="shared" ref="D1510" si="373">E1510</f>
        <v>E100041</v>
      </c>
      <c r="E1510" s="36" t="str">
        <f>"E100041"</f>
        <v>E100041</v>
      </c>
      <c r="F1510" s="37" t="str">
        <f>"Biodegradable Colored SPORT BOT"</f>
        <v>Biodegradable Colored SPORT BOT</v>
      </c>
      <c r="G1510" s="37"/>
      <c r="H1510" s="38" t="str">
        <f>"EA"</f>
        <v>EA</v>
      </c>
      <c r="I1510" s="37"/>
      <c r="J1510" s="37"/>
      <c r="K1510" s="37"/>
      <c r="L1510" s="37"/>
      <c r="M1510" s="37"/>
      <c r="N1510" s="37"/>
      <c r="O1510" s="39">
        <f>(SUBTOTAL(9,O1511:O1522))</f>
        <v>4250</v>
      </c>
      <c r="P1510" s="39">
        <f>(SUBTOTAL(9,P1511:P1522))</f>
        <v>-1008</v>
      </c>
      <c r="Q1510" s="39">
        <f>(SUBTOTAL(9,Q1511:Q1522))</f>
        <v>0</v>
      </c>
      <c r="R1510" s="39">
        <f>(SUBTOTAL(9,R1511:R1522))</f>
        <v>0</v>
      </c>
      <c r="S1510" s="39">
        <f>(SUBTOTAL(9,S1511:S1522))</f>
        <v>0</v>
      </c>
      <c r="T1510" s="39">
        <f>(SUBTOTAL(9,T1511:T1522))</f>
        <v>0</v>
      </c>
      <c r="U1510" s="55">
        <f t="shared" ref="U1510" si="374">SUBTOTAL(9,O1511:T1522)</f>
        <v>3242</v>
      </c>
    </row>
    <row r="1511" spans="1:21" ht="17.25" customHeight="1" x14ac:dyDescent="0.3">
      <c r="A1511" s="15" t="s">
        <v>30</v>
      </c>
      <c r="C1511" s="19"/>
      <c r="D1511" s="33" t="str">
        <f t="shared" ref="D1511" si="375">D1510</f>
        <v>E100041</v>
      </c>
      <c r="E1511" s="33"/>
      <c r="F1511" s="34"/>
      <c r="G1511" s="34" t="str">
        <f>"""NAV Direct"",""CRONUS JetCorp USA"",""32"",""1"",""168615"""</f>
        <v>"NAV Direct","CRONUS JetCorp USA","32","1","168615"</v>
      </c>
      <c r="H1511" s="40">
        <v>43466</v>
      </c>
      <c r="I1511" s="41">
        <v>168615</v>
      </c>
      <c r="J1511" s="42" t="str">
        <f>"Vendor"</f>
        <v>Vendor</v>
      </c>
      <c r="K1511" s="42" t="str">
        <f>"V100040"</f>
        <v>V100040</v>
      </c>
      <c r="L1511" s="42" t="str">
        <f>IF($J1511="Customer",_xll.NL("first",$J1511,"Name","No.","@@"&amp;$K1511),"")</f>
        <v/>
      </c>
      <c r="M1511" s="42" t="str">
        <f>"Technische Betriebe Rotkreuz"</f>
        <v>Technische Betriebe Rotkreuz</v>
      </c>
      <c r="N1511" s="42" t="str">
        <f>IF($J1511="Item",_xll.NL("first",$J1511,"Description","No.","@@"&amp;$K1511),"")</f>
        <v/>
      </c>
      <c r="O1511" s="43">
        <v>750</v>
      </c>
      <c r="P1511" s="43">
        <v>0</v>
      </c>
      <c r="Q1511" s="43">
        <v>0</v>
      </c>
      <c r="R1511" s="43">
        <v>0</v>
      </c>
      <c r="S1511" s="43">
        <v>0</v>
      </c>
      <c r="T1511" s="43">
        <v>0</v>
      </c>
      <c r="U1511" s="56"/>
    </row>
    <row r="1512" spans="1:21" ht="17.25" customHeight="1" x14ac:dyDescent="0.3">
      <c r="A1512" s="15" t="s">
        <v>30</v>
      </c>
      <c r="C1512" s="19"/>
      <c r="D1512" s="33" t="str">
        <f t="shared" ref="D1512:D1521" si="376">D1511</f>
        <v>E100041</v>
      </c>
      <c r="E1512" s="33"/>
      <c r="F1512" s="34"/>
      <c r="G1512" s="34" t="str">
        <f>"""NAV Direct"",""CRONUS JetCorp USA"",""32"",""1"",""168639"""</f>
        <v>"NAV Direct","CRONUS JetCorp USA","32","1","168639"</v>
      </c>
      <c r="H1512" s="40">
        <v>43466</v>
      </c>
      <c r="I1512" s="41">
        <v>168639</v>
      </c>
      <c r="J1512" s="42" t="str">
        <f>"Vendor"</f>
        <v>Vendor</v>
      </c>
      <c r="K1512" s="42" t="str">
        <f>"V100001"</f>
        <v>V100001</v>
      </c>
      <c r="L1512" s="42" t="str">
        <f>IF($J1512="Customer",_xll.NL("first",$J1512,"Name","No.","@@"&amp;$K1512),"")</f>
        <v/>
      </c>
      <c r="M1512" s="42" t="str">
        <f>"Greigner, Inc."</f>
        <v>Greigner, Inc.</v>
      </c>
      <c r="N1512" s="42" t="str">
        <f>IF($J1512="Item",_xll.NL("first",$J1512,"Description","No.","@@"&amp;$K1512),"")</f>
        <v/>
      </c>
      <c r="O1512" s="43">
        <v>1999.9999999999998</v>
      </c>
      <c r="P1512" s="43">
        <v>0</v>
      </c>
      <c r="Q1512" s="43">
        <v>0</v>
      </c>
      <c r="R1512" s="43">
        <v>0</v>
      </c>
      <c r="S1512" s="43">
        <v>0</v>
      </c>
      <c r="T1512" s="43">
        <v>0</v>
      </c>
      <c r="U1512" s="56"/>
    </row>
    <row r="1513" spans="1:21" ht="17.25" customHeight="1" x14ac:dyDescent="0.3">
      <c r="A1513" s="15" t="s">
        <v>30</v>
      </c>
      <c r="C1513" s="19"/>
      <c r="D1513" s="33" t="str">
        <f t="shared" si="376"/>
        <v>E100041</v>
      </c>
      <c r="E1513" s="33"/>
      <c r="F1513" s="34"/>
      <c r="G1513" s="34" t="str">
        <f>"""NAV Direct"",""CRONUS JetCorp USA"",""32"",""1"",""168663"""</f>
        <v>"NAV Direct","CRONUS JetCorp USA","32","1","168663"</v>
      </c>
      <c r="H1513" s="40">
        <v>43466</v>
      </c>
      <c r="I1513" s="41">
        <v>168663</v>
      </c>
      <c r="J1513" s="42" t="str">
        <f>"Vendor"</f>
        <v>Vendor</v>
      </c>
      <c r="K1513" s="42" t="str">
        <f>"V100003"</f>
        <v>V100003</v>
      </c>
      <c r="L1513" s="42" t="str">
        <f>IF($J1513="Customer",_xll.NL("first",$J1513,"Name","No.","@@"&amp;$K1513),"")</f>
        <v/>
      </c>
      <c r="M1513" s="42" t="str">
        <f>"LogoMasters"</f>
        <v>LogoMasters</v>
      </c>
      <c r="N1513" s="42" t="str">
        <f>IF($J1513="Item",_xll.NL("first",$J1513,"Description","No.","@@"&amp;$K1513),"")</f>
        <v/>
      </c>
      <c r="O1513" s="43">
        <v>1250</v>
      </c>
      <c r="P1513" s="43">
        <v>0</v>
      </c>
      <c r="Q1513" s="43">
        <v>0</v>
      </c>
      <c r="R1513" s="43">
        <v>0</v>
      </c>
      <c r="S1513" s="43">
        <v>0</v>
      </c>
      <c r="T1513" s="43">
        <v>0</v>
      </c>
      <c r="U1513" s="56"/>
    </row>
    <row r="1514" spans="1:21" ht="17.25" customHeight="1" x14ac:dyDescent="0.3">
      <c r="A1514" s="15" t="s">
        <v>30</v>
      </c>
      <c r="C1514" s="19"/>
      <c r="D1514" s="33" t="str">
        <f t="shared" si="376"/>
        <v>E100041</v>
      </c>
      <c r="E1514" s="33"/>
      <c r="F1514" s="34"/>
      <c r="G1514" s="34" t="str">
        <f>"""NAV Direct"",""CRONUS JetCorp USA"",""32"",""1"",""168678"""</f>
        <v>"NAV Direct","CRONUS JetCorp USA","32","1","168678"</v>
      </c>
      <c r="H1514" s="40">
        <v>43466</v>
      </c>
      <c r="I1514" s="41">
        <v>168678</v>
      </c>
      <c r="J1514" s="42" t="str">
        <f>"Vendor"</f>
        <v>Vendor</v>
      </c>
      <c r="K1514" s="42" t="str">
        <f>"V100001"</f>
        <v>V100001</v>
      </c>
      <c r="L1514" s="42" t="str">
        <f>IF($J1514="Customer",_xll.NL("first",$J1514,"Name","No.","@@"&amp;$K1514),"")</f>
        <v/>
      </c>
      <c r="M1514" s="42" t="str">
        <f>"Greigner, Inc."</f>
        <v>Greigner, Inc.</v>
      </c>
      <c r="N1514" s="42" t="str">
        <f>IF($J1514="Item",_xll.NL("first",$J1514,"Description","No.","@@"&amp;$K1514),"")</f>
        <v/>
      </c>
      <c r="O1514" s="43">
        <v>249.99999999999997</v>
      </c>
      <c r="P1514" s="43">
        <v>0</v>
      </c>
      <c r="Q1514" s="43">
        <v>0</v>
      </c>
      <c r="R1514" s="43">
        <v>0</v>
      </c>
      <c r="S1514" s="43">
        <v>0</v>
      </c>
      <c r="T1514" s="43">
        <v>0</v>
      </c>
      <c r="U1514" s="56"/>
    </row>
    <row r="1515" spans="1:21" ht="17.25" customHeight="1" x14ac:dyDescent="0.3">
      <c r="A1515" s="15" t="s">
        <v>30</v>
      </c>
      <c r="C1515" s="19"/>
      <c r="D1515" s="33" t="str">
        <f t="shared" si="376"/>
        <v>E100041</v>
      </c>
      <c r="E1515" s="33"/>
      <c r="F1515" s="34"/>
      <c r="G1515" s="34" t="str">
        <f>"""NAV Direct"",""CRONUS JetCorp USA"",""32"",""1"",""64585"""</f>
        <v>"NAV Direct","CRONUS JetCorp USA","32","1","64585"</v>
      </c>
      <c r="H1515" s="40">
        <v>43469</v>
      </c>
      <c r="I1515" s="41">
        <v>64585</v>
      </c>
      <c r="J1515" s="42" t="str">
        <f>"Customer"</f>
        <v>Customer</v>
      </c>
      <c r="K1515" s="42" t="str">
        <f>"C100140"</f>
        <v>C100140</v>
      </c>
      <c r="L1515" s="42" t="str">
        <f>IF($J1515="Customer",_xll.NL("first",$J1515,"Name","No.","@@"&amp;$K1515),"")</f>
        <v>Super Daves</v>
      </c>
      <c r="M1515" s="42" t="str">
        <f>""</f>
        <v/>
      </c>
      <c r="N1515" s="42" t="str">
        <f>IF($J1515="Item",_xll.NL("first",$J1515,"Description","No.","@@"&amp;$K1515),"")</f>
        <v/>
      </c>
      <c r="O1515" s="43">
        <v>0</v>
      </c>
      <c r="P1515" s="43">
        <v>-288</v>
      </c>
      <c r="Q1515" s="43">
        <v>0</v>
      </c>
      <c r="R1515" s="43">
        <v>0</v>
      </c>
      <c r="S1515" s="43">
        <v>0</v>
      </c>
      <c r="T1515" s="43">
        <v>0</v>
      </c>
      <c r="U1515" s="56"/>
    </row>
    <row r="1516" spans="1:21" ht="17.25" customHeight="1" x14ac:dyDescent="0.3">
      <c r="A1516" s="15" t="s">
        <v>30</v>
      </c>
      <c r="C1516" s="19"/>
      <c r="D1516" s="33" t="str">
        <f t="shared" si="376"/>
        <v>E100041</v>
      </c>
      <c r="E1516" s="33"/>
      <c r="F1516" s="34"/>
      <c r="G1516" s="34" t="str">
        <f>"""NAV Direct"",""CRONUS JetCorp USA"",""32"",""1"",""78851"""</f>
        <v>"NAV Direct","CRONUS JetCorp USA","32","1","78851"</v>
      </c>
      <c r="H1516" s="40">
        <v>43470</v>
      </c>
      <c r="I1516" s="41">
        <v>78851</v>
      </c>
      <c r="J1516" s="42" t="str">
        <f>"Customer"</f>
        <v>Customer</v>
      </c>
      <c r="K1516" s="42" t="str">
        <f>"C100117"</f>
        <v>C100117</v>
      </c>
      <c r="L1516" s="42" t="str">
        <f>IF($J1516="Customer",_xll.NL("first",$J1516,"Name","No.","@@"&amp;$K1516),"")</f>
        <v xml:space="preserve">Tintax </v>
      </c>
      <c r="M1516" s="42" t="str">
        <f>""</f>
        <v/>
      </c>
      <c r="N1516" s="42" t="str">
        <f>IF($J1516="Item",_xll.NL("first",$J1516,"Description","No.","@@"&amp;$K1516),"")</f>
        <v/>
      </c>
      <c r="O1516" s="43">
        <v>0</v>
      </c>
      <c r="P1516" s="43">
        <v>-144</v>
      </c>
      <c r="Q1516" s="43">
        <v>0</v>
      </c>
      <c r="R1516" s="43">
        <v>0</v>
      </c>
      <c r="S1516" s="43">
        <v>0</v>
      </c>
      <c r="T1516" s="43">
        <v>0</v>
      </c>
      <c r="U1516" s="56"/>
    </row>
    <row r="1517" spans="1:21" ht="17.25" customHeight="1" x14ac:dyDescent="0.3">
      <c r="A1517" s="15" t="s">
        <v>30</v>
      </c>
      <c r="C1517" s="19"/>
      <c r="D1517" s="33" t="str">
        <f t="shared" si="376"/>
        <v>E100041</v>
      </c>
      <c r="E1517" s="33"/>
      <c r="F1517" s="34"/>
      <c r="G1517" s="34" t="str">
        <f>"""NAV Direct"",""CRONUS JetCorp USA"",""32"",""1"",""44480"""</f>
        <v>"NAV Direct","CRONUS JetCorp USA","32","1","44480"</v>
      </c>
      <c r="H1517" s="40">
        <v>43472</v>
      </c>
      <c r="I1517" s="41">
        <v>44480</v>
      </c>
      <c r="J1517" s="42" t="str">
        <f>"Customer"</f>
        <v>Customer</v>
      </c>
      <c r="K1517" s="42" t="str">
        <f>"C100141"</f>
        <v>C100141</v>
      </c>
      <c r="L1517" s="42" t="str">
        <f>IF($J1517="Customer",_xll.NL("first",$J1517,"Name","No.","@@"&amp;$K1517),"")</f>
        <v>Bargottis</v>
      </c>
      <c r="M1517" s="42" t="str">
        <f>""</f>
        <v/>
      </c>
      <c r="N1517" s="42" t="str">
        <f>IF($J1517="Item",_xll.NL("first",$J1517,"Description","No.","@@"&amp;$K1517),"")</f>
        <v/>
      </c>
      <c r="O1517" s="43">
        <v>0</v>
      </c>
      <c r="P1517" s="43">
        <v>-144</v>
      </c>
      <c r="Q1517" s="43">
        <v>0</v>
      </c>
      <c r="R1517" s="43">
        <v>0</v>
      </c>
      <c r="S1517" s="43">
        <v>0</v>
      </c>
      <c r="T1517" s="43">
        <v>0</v>
      </c>
      <c r="U1517" s="56"/>
    </row>
    <row r="1518" spans="1:21" ht="17.25" customHeight="1" x14ac:dyDescent="0.3">
      <c r="A1518" s="15" t="s">
        <v>30</v>
      </c>
      <c r="C1518" s="19"/>
      <c r="D1518" s="33" t="str">
        <f t="shared" si="376"/>
        <v>E100041</v>
      </c>
      <c r="E1518" s="33"/>
      <c r="F1518" s="34"/>
      <c r="G1518" s="34" t="str">
        <f>"""NAV Direct"",""CRONUS JetCorp USA"",""32"",""1"",""54740"""</f>
        <v>"NAV Direct","CRONUS JetCorp USA","32","1","54740"</v>
      </c>
      <c r="H1518" s="40">
        <v>43472</v>
      </c>
      <c r="I1518" s="41">
        <v>54740</v>
      </c>
      <c r="J1518" s="42" t="str">
        <f>"Customer"</f>
        <v>Customer</v>
      </c>
      <c r="K1518" s="42" t="str">
        <f>"C100084"</f>
        <v>C100084</v>
      </c>
      <c r="L1518" s="42" t="str">
        <f>IF($J1518="Customer",_xll.NL("first",$J1518,"Name","No.","@@"&amp;$K1518),"")</f>
        <v>The Cannon Group PLC</v>
      </c>
      <c r="M1518" s="42" t="str">
        <f>""</f>
        <v/>
      </c>
      <c r="N1518" s="42" t="str">
        <f>IF($J1518="Item",_xll.NL("first",$J1518,"Description","No.","@@"&amp;$K1518),"")</f>
        <v/>
      </c>
      <c r="O1518" s="43">
        <v>0</v>
      </c>
      <c r="P1518" s="43">
        <v>-145</v>
      </c>
      <c r="Q1518" s="43">
        <v>0</v>
      </c>
      <c r="R1518" s="43">
        <v>0</v>
      </c>
      <c r="S1518" s="43">
        <v>0</v>
      </c>
      <c r="T1518" s="43">
        <v>0</v>
      </c>
      <c r="U1518" s="56"/>
    </row>
    <row r="1519" spans="1:21" ht="17.25" customHeight="1" x14ac:dyDescent="0.3">
      <c r="A1519" s="15" t="s">
        <v>30</v>
      </c>
      <c r="C1519" s="19"/>
      <c r="D1519" s="33" t="str">
        <f t="shared" si="376"/>
        <v>E100041</v>
      </c>
      <c r="E1519" s="33"/>
      <c r="F1519" s="34"/>
      <c r="G1519" s="34" t="str">
        <f>"""NAV Direct"",""CRONUS JetCorp USA"",""32"",""1"",""64604"""</f>
        <v>"NAV Direct","CRONUS JetCorp USA","32","1","64604"</v>
      </c>
      <c r="H1519" s="40">
        <v>43472</v>
      </c>
      <c r="I1519" s="41">
        <v>64604</v>
      </c>
      <c r="J1519" s="42" t="str">
        <f>"Customer"</f>
        <v>Customer</v>
      </c>
      <c r="K1519" s="42" t="str">
        <f>"C100140"</f>
        <v>C100140</v>
      </c>
      <c r="L1519" s="42" t="str">
        <f>IF($J1519="Customer",_xll.NL("first",$J1519,"Name","No.","@@"&amp;$K1519),"")</f>
        <v>Super Daves</v>
      </c>
      <c r="M1519" s="42" t="str">
        <f>""</f>
        <v/>
      </c>
      <c r="N1519" s="42" t="str">
        <f>IF($J1519="Item",_xll.NL("first",$J1519,"Description","No.","@@"&amp;$K1519),"")</f>
        <v/>
      </c>
      <c r="O1519" s="43">
        <v>0</v>
      </c>
      <c r="P1519" s="43">
        <v>-144</v>
      </c>
      <c r="Q1519" s="43">
        <v>0</v>
      </c>
      <c r="R1519" s="43">
        <v>0</v>
      </c>
      <c r="S1519" s="43">
        <v>0</v>
      </c>
      <c r="T1519" s="43">
        <v>0</v>
      </c>
      <c r="U1519" s="56"/>
    </row>
    <row r="1520" spans="1:21" ht="17.25" customHeight="1" x14ac:dyDescent="0.3">
      <c r="A1520" s="15" t="s">
        <v>30</v>
      </c>
      <c r="C1520" s="19"/>
      <c r="D1520" s="33" t="str">
        <f t="shared" si="376"/>
        <v>E100041</v>
      </c>
      <c r="E1520" s="33"/>
      <c r="F1520" s="34"/>
      <c r="G1520" s="34" t="str">
        <f>"""NAV Direct"",""CRONUS JetCorp USA"",""32"",""1"",""159118"""</f>
        <v>"NAV Direct","CRONUS JetCorp USA","32","1","159118"</v>
      </c>
      <c r="H1520" s="40">
        <v>43474</v>
      </c>
      <c r="I1520" s="41">
        <v>159118</v>
      </c>
      <c r="J1520" s="42" t="str">
        <f>"Customer"</f>
        <v>Customer</v>
      </c>
      <c r="K1520" s="42" t="str">
        <f>"C100143"</f>
        <v>C100143</v>
      </c>
      <c r="L1520" s="42" t="str">
        <f>IF($J1520="Customer",_xll.NL("first",$J1520,"Name","No.","@@"&amp;$K1520),"")</f>
        <v>Parvotis</v>
      </c>
      <c r="M1520" s="42" t="str">
        <f>""</f>
        <v/>
      </c>
      <c r="N1520" s="42" t="str">
        <f>IF($J1520="Item",_xll.NL("first",$J1520,"Description","No.","@@"&amp;$K1520),"")</f>
        <v/>
      </c>
      <c r="O1520" s="43">
        <v>0</v>
      </c>
      <c r="P1520" s="43">
        <v>1</v>
      </c>
      <c r="Q1520" s="43">
        <v>0</v>
      </c>
      <c r="R1520" s="43">
        <v>0</v>
      </c>
      <c r="S1520" s="43">
        <v>0</v>
      </c>
      <c r="T1520" s="43">
        <v>0</v>
      </c>
      <c r="U1520" s="56"/>
    </row>
    <row r="1521" spans="1:21" ht="17.25" customHeight="1" x14ac:dyDescent="0.3">
      <c r="A1521" s="15" t="s">
        <v>30</v>
      </c>
      <c r="C1521" s="19"/>
      <c r="D1521" s="33" t="str">
        <f t="shared" si="376"/>
        <v>E100041</v>
      </c>
      <c r="E1521" s="33"/>
      <c r="F1521" s="34"/>
      <c r="G1521" s="34" t="str">
        <f>"""NAV Direct"",""CRONUS JetCorp USA"",""32"",""1"",""78864"""</f>
        <v>"NAV Direct","CRONUS JetCorp USA","32","1","78864"</v>
      </c>
      <c r="H1521" s="40">
        <v>43476</v>
      </c>
      <c r="I1521" s="41">
        <v>78864</v>
      </c>
      <c r="J1521" s="42" t="str">
        <f>"Customer"</f>
        <v>Customer</v>
      </c>
      <c r="K1521" s="42" t="str">
        <f>"C100117"</f>
        <v>C100117</v>
      </c>
      <c r="L1521" s="42" t="str">
        <f>IF($J1521="Customer",_xll.NL("first",$J1521,"Name","No.","@@"&amp;$K1521),"")</f>
        <v xml:space="preserve">Tintax </v>
      </c>
      <c r="M1521" s="42" t="str">
        <f>""</f>
        <v/>
      </c>
      <c r="N1521" s="42" t="str">
        <f>IF($J1521="Item",_xll.NL("first",$J1521,"Description","No.","@@"&amp;$K1521),"")</f>
        <v/>
      </c>
      <c r="O1521" s="43">
        <v>0</v>
      </c>
      <c r="P1521" s="43">
        <v>-144</v>
      </c>
      <c r="Q1521" s="43">
        <v>0</v>
      </c>
      <c r="R1521" s="43">
        <v>0</v>
      </c>
      <c r="S1521" s="43">
        <v>0</v>
      </c>
      <c r="T1521" s="43">
        <v>0</v>
      </c>
      <c r="U1521" s="56"/>
    </row>
    <row r="1522" spans="1:21" ht="17.25" customHeight="1" x14ac:dyDescent="0.3">
      <c r="A1522" s="15" t="s">
        <v>30</v>
      </c>
      <c r="C1522" s="19"/>
      <c r="D1522" s="33"/>
      <c r="E1522" s="33"/>
      <c r="F1522" s="34"/>
      <c r="G1522" s="34"/>
      <c r="H1522" s="34"/>
      <c r="I1522" s="34"/>
      <c r="J1522" s="34"/>
      <c r="K1522" s="34"/>
      <c r="L1522" s="34"/>
      <c r="M1522" s="34"/>
      <c r="N1522" s="34"/>
      <c r="O1522" s="44"/>
      <c r="P1522" s="44"/>
      <c r="Q1522" s="44"/>
      <c r="R1522" s="44"/>
      <c r="S1522" s="44"/>
      <c r="T1522" s="44"/>
      <c r="U1522" s="57"/>
    </row>
    <row r="1523" spans="1:21" ht="17.25" customHeight="1" x14ac:dyDescent="0.3">
      <c r="A1523" s="15" t="s">
        <v>30</v>
      </c>
      <c r="C1523" s="19"/>
      <c r="D1523" s="33"/>
      <c r="E1523" s="33" t="s">
        <v>31</v>
      </c>
      <c r="F1523" s="34" t="s">
        <v>31</v>
      </c>
      <c r="G1523" s="34" t="s">
        <v>31</v>
      </c>
      <c r="H1523" s="34"/>
      <c r="I1523" s="34"/>
      <c r="J1523" s="34" t="s">
        <v>31</v>
      </c>
      <c r="K1523" s="34" t="s">
        <v>31</v>
      </c>
      <c r="L1523" s="34" t="s">
        <v>31</v>
      </c>
      <c r="M1523" s="34" t="s">
        <v>31</v>
      </c>
      <c r="N1523" s="34"/>
      <c r="U1523" s="58"/>
    </row>
    <row r="1524" spans="1:21" ht="20.25" customHeight="1" x14ac:dyDescent="0.35">
      <c r="A1524" s="15" t="s">
        <v>30</v>
      </c>
      <c r="C1524" s="19"/>
      <c r="D1524" s="35" t="str">
        <f t="shared" ref="D1524" si="377">E1524</f>
        <v>E100042</v>
      </c>
      <c r="E1524" s="36" t="str">
        <f>"E100042"</f>
        <v>E100042</v>
      </c>
      <c r="F1524" s="37" t="str">
        <f>"Soft Touch Travel Mug"</f>
        <v>Soft Touch Travel Mug</v>
      </c>
      <c r="G1524" s="37"/>
      <c r="H1524" s="38" t="str">
        <f>"EA"</f>
        <v>EA</v>
      </c>
      <c r="I1524" s="37"/>
      <c r="J1524" s="37"/>
      <c r="K1524" s="37"/>
      <c r="L1524" s="37"/>
      <c r="M1524" s="37"/>
      <c r="N1524" s="37"/>
      <c r="O1524" s="39">
        <f>(SUBTOTAL(9,O1525:O1534))</f>
        <v>5500</v>
      </c>
      <c r="P1524" s="39">
        <f>(SUBTOTAL(9,P1525:P1534))</f>
        <v>-432</v>
      </c>
      <c r="Q1524" s="39">
        <f>(SUBTOTAL(9,Q1525:Q1534))</f>
        <v>0</v>
      </c>
      <c r="R1524" s="39">
        <f>(SUBTOTAL(9,R1525:R1534))</f>
        <v>0</v>
      </c>
      <c r="S1524" s="39">
        <f>(SUBTOTAL(9,S1525:S1534))</f>
        <v>0</v>
      </c>
      <c r="T1524" s="39">
        <f>(SUBTOTAL(9,T1525:T1534))</f>
        <v>0</v>
      </c>
      <c r="U1524" s="55">
        <f t="shared" ref="U1524" si="378">SUBTOTAL(9,O1525:T1534)</f>
        <v>5068</v>
      </c>
    </row>
    <row r="1525" spans="1:21" ht="17.25" customHeight="1" x14ac:dyDescent="0.3">
      <c r="A1525" s="15" t="s">
        <v>30</v>
      </c>
      <c r="C1525" s="19"/>
      <c r="D1525" s="33" t="str">
        <f t="shared" ref="D1525" si="379">D1524</f>
        <v>E100042</v>
      </c>
      <c r="E1525" s="33"/>
      <c r="F1525" s="34"/>
      <c r="G1525" s="34" t="str">
        <f>"""NAV Direct"",""CRONUS JetCorp USA"",""32"",""1"",""168607"""</f>
        <v>"NAV Direct","CRONUS JetCorp USA","32","1","168607"</v>
      </c>
      <c r="H1525" s="40">
        <v>43466</v>
      </c>
      <c r="I1525" s="41">
        <v>168607</v>
      </c>
      <c r="J1525" s="42" t="str">
        <f>"Vendor"</f>
        <v>Vendor</v>
      </c>
      <c r="K1525" s="42" t="str">
        <f>"V100025"</f>
        <v>V100025</v>
      </c>
      <c r="L1525" s="42" t="str">
        <f>IF($J1525="Customer",_xll.NL("first",$J1525,"Name","No.","@@"&amp;$K1525),"")</f>
        <v/>
      </c>
      <c r="M1525" s="42" t="str">
        <f>"Club Euroamis"</f>
        <v>Club Euroamis</v>
      </c>
      <c r="N1525" s="42" t="str">
        <f>IF($J1525="Item",_xll.NL("first",$J1525,"Description","No.","@@"&amp;$K1525),"")</f>
        <v/>
      </c>
      <c r="O1525" s="43">
        <v>499.99999999999994</v>
      </c>
      <c r="P1525" s="43">
        <v>0</v>
      </c>
      <c r="Q1525" s="43">
        <v>0</v>
      </c>
      <c r="R1525" s="43">
        <v>0</v>
      </c>
      <c r="S1525" s="43">
        <v>0</v>
      </c>
      <c r="T1525" s="43">
        <v>0</v>
      </c>
      <c r="U1525" s="56"/>
    </row>
    <row r="1526" spans="1:21" ht="17.25" customHeight="1" x14ac:dyDescent="0.3">
      <c r="A1526" s="15" t="s">
        <v>30</v>
      </c>
      <c r="C1526" s="19"/>
      <c r="D1526" s="33" t="str">
        <f t="shared" ref="D1526:D1533" si="380">D1525</f>
        <v>E100042</v>
      </c>
      <c r="E1526" s="33"/>
      <c r="F1526" s="34"/>
      <c r="G1526" s="34" t="str">
        <f>"""NAV Direct"",""CRONUS JetCorp USA"",""32"",""1"",""168621"""</f>
        <v>"NAV Direct","CRONUS JetCorp USA","32","1","168621"</v>
      </c>
      <c r="H1526" s="40">
        <v>43466</v>
      </c>
      <c r="I1526" s="41">
        <v>168621</v>
      </c>
      <c r="J1526" s="42" t="str">
        <f>"Vendor"</f>
        <v>Vendor</v>
      </c>
      <c r="K1526" s="42" t="str">
        <f>"V100001"</f>
        <v>V100001</v>
      </c>
      <c r="L1526" s="42" t="str">
        <f>IF($J1526="Customer",_xll.NL("first",$J1526,"Name","No.","@@"&amp;$K1526),"")</f>
        <v/>
      </c>
      <c r="M1526" s="42" t="str">
        <f>"Greigner, Inc."</f>
        <v>Greigner, Inc.</v>
      </c>
      <c r="N1526" s="42" t="str">
        <f>IF($J1526="Item",_xll.NL("first",$J1526,"Description","No.","@@"&amp;$K1526),"")</f>
        <v/>
      </c>
      <c r="O1526" s="43">
        <v>249.99999999999997</v>
      </c>
      <c r="P1526" s="43">
        <v>0</v>
      </c>
      <c r="Q1526" s="43">
        <v>0</v>
      </c>
      <c r="R1526" s="43">
        <v>0</v>
      </c>
      <c r="S1526" s="43">
        <v>0</v>
      </c>
      <c r="T1526" s="43">
        <v>0</v>
      </c>
      <c r="U1526" s="56"/>
    </row>
    <row r="1527" spans="1:21" ht="17.25" customHeight="1" x14ac:dyDescent="0.3">
      <c r="A1527" s="15" t="s">
        <v>30</v>
      </c>
      <c r="C1527" s="19"/>
      <c r="D1527" s="33" t="str">
        <f t="shared" si="380"/>
        <v>E100042</v>
      </c>
      <c r="E1527" s="33"/>
      <c r="F1527" s="34"/>
      <c r="G1527" s="34" t="str">
        <f>"""NAV Direct"",""CRONUS JetCorp USA"",""32"",""1"",""168638"""</f>
        <v>"NAV Direct","CRONUS JetCorp USA","32","1","168638"</v>
      </c>
      <c r="H1527" s="40">
        <v>43466</v>
      </c>
      <c r="I1527" s="41">
        <v>168638</v>
      </c>
      <c r="J1527" s="42" t="str">
        <f>"Vendor"</f>
        <v>Vendor</v>
      </c>
      <c r="K1527" s="42" t="str">
        <f>"V100001"</f>
        <v>V100001</v>
      </c>
      <c r="L1527" s="42" t="str">
        <f>IF($J1527="Customer",_xll.NL("first",$J1527,"Name","No.","@@"&amp;$K1527),"")</f>
        <v/>
      </c>
      <c r="M1527" s="42" t="str">
        <f>"Greigner, Inc."</f>
        <v>Greigner, Inc.</v>
      </c>
      <c r="N1527" s="42" t="str">
        <f>IF($J1527="Item",_xll.NL("first",$J1527,"Description","No.","@@"&amp;$K1527),"")</f>
        <v/>
      </c>
      <c r="O1527" s="43">
        <v>2750</v>
      </c>
      <c r="P1527" s="43">
        <v>0</v>
      </c>
      <c r="Q1527" s="43">
        <v>0</v>
      </c>
      <c r="R1527" s="43">
        <v>0</v>
      </c>
      <c r="S1527" s="43">
        <v>0</v>
      </c>
      <c r="T1527" s="43">
        <v>0</v>
      </c>
      <c r="U1527" s="56"/>
    </row>
    <row r="1528" spans="1:21" ht="17.25" customHeight="1" x14ac:dyDescent="0.3">
      <c r="A1528" s="15" t="s">
        <v>30</v>
      </c>
      <c r="C1528" s="19"/>
      <c r="D1528" s="33" t="str">
        <f t="shared" si="380"/>
        <v>E100042</v>
      </c>
      <c r="E1528" s="33"/>
      <c r="F1528" s="34"/>
      <c r="G1528" s="34" t="str">
        <f>"""NAV Direct"",""CRONUS JetCorp USA"",""32"",""1"",""168650"""</f>
        <v>"NAV Direct","CRONUS JetCorp USA","32","1","168650"</v>
      </c>
      <c r="H1528" s="40">
        <v>43466</v>
      </c>
      <c r="I1528" s="41">
        <v>168650</v>
      </c>
      <c r="J1528" s="42" t="str">
        <f>"Vendor"</f>
        <v>Vendor</v>
      </c>
      <c r="K1528" s="42" t="str">
        <f>"V100047"</f>
        <v>V100047</v>
      </c>
      <c r="L1528" s="42" t="str">
        <f>IF($J1528="Customer",_xll.NL("first",$J1528,"Name","No.","@@"&amp;$K1528),"")</f>
        <v/>
      </c>
      <c r="M1528" s="42" t="str">
        <f>"WoodMart Supply Co."</f>
        <v>WoodMart Supply Co.</v>
      </c>
      <c r="N1528" s="42" t="str">
        <f>IF($J1528="Item",_xll.NL("first",$J1528,"Description","No.","@@"&amp;$K1528),"")</f>
        <v/>
      </c>
      <c r="O1528" s="43">
        <v>499.99999999999994</v>
      </c>
      <c r="P1528" s="43">
        <v>0</v>
      </c>
      <c r="Q1528" s="43">
        <v>0</v>
      </c>
      <c r="R1528" s="43">
        <v>0</v>
      </c>
      <c r="S1528" s="43">
        <v>0</v>
      </c>
      <c r="T1528" s="43">
        <v>0</v>
      </c>
      <c r="U1528" s="56"/>
    </row>
    <row r="1529" spans="1:21" ht="17.25" customHeight="1" x14ac:dyDescent="0.3">
      <c r="A1529" s="15" t="s">
        <v>30</v>
      </c>
      <c r="C1529" s="19"/>
      <c r="D1529" s="33" t="str">
        <f t="shared" si="380"/>
        <v>E100042</v>
      </c>
      <c r="E1529" s="33"/>
      <c r="F1529" s="34"/>
      <c r="G1529" s="34" t="str">
        <f>"""NAV Direct"",""CRONUS JetCorp USA"",""32"",""1"",""168662"""</f>
        <v>"NAV Direct","CRONUS JetCorp USA","32","1","168662"</v>
      </c>
      <c r="H1529" s="40">
        <v>43466</v>
      </c>
      <c r="I1529" s="41">
        <v>168662</v>
      </c>
      <c r="J1529" s="42" t="str">
        <f>"Vendor"</f>
        <v>Vendor</v>
      </c>
      <c r="K1529" s="42" t="str">
        <f>"V100003"</f>
        <v>V100003</v>
      </c>
      <c r="L1529" s="42" t="str">
        <f>IF($J1529="Customer",_xll.NL("first",$J1529,"Name","No.","@@"&amp;$K1529),"")</f>
        <v/>
      </c>
      <c r="M1529" s="42" t="str">
        <f>"LogoMasters"</f>
        <v>LogoMasters</v>
      </c>
      <c r="N1529" s="42" t="str">
        <f>IF($J1529="Item",_xll.NL("first",$J1529,"Description","No.","@@"&amp;$K1529),"")</f>
        <v/>
      </c>
      <c r="O1529" s="43">
        <v>1250</v>
      </c>
      <c r="P1529" s="43">
        <v>0</v>
      </c>
      <c r="Q1529" s="43">
        <v>0</v>
      </c>
      <c r="R1529" s="43">
        <v>0</v>
      </c>
      <c r="S1529" s="43">
        <v>0</v>
      </c>
      <c r="T1529" s="43">
        <v>0</v>
      </c>
      <c r="U1529" s="56"/>
    </row>
    <row r="1530" spans="1:21" ht="17.25" customHeight="1" x14ac:dyDescent="0.3">
      <c r="A1530" s="15" t="s">
        <v>30</v>
      </c>
      <c r="C1530" s="19"/>
      <c r="D1530" s="33" t="str">
        <f t="shared" si="380"/>
        <v>E100042</v>
      </c>
      <c r="E1530" s="33"/>
      <c r="F1530" s="34"/>
      <c r="G1530" s="34" t="str">
        <f>"""NAV Direct"",""CRONUS JetCorp USA"",""32"",""1"",""168677"""</f>
        <v>"NAV Direct","CRONUS JetCorp USA","32","1","168677"</v>
      </c>
      <c r="H1530" s="40">
        <v>43466</v>
      </c>
      <c r="I1530" s="41">
        <v>168677</v>
      </c>
      <c r="J1530" s="42" t="str">
        <f>"Vendor"</f>
        <v>Vendor</v>
      </c>
      <c r="K1530" s="42" t="str">
        <f>"V100001"</f>
        <v>V100001</v>
      </c>
      <c r="L1530" s="42" t="str">
        <f>IF($J1530="Customer",_xll.NL("first",$J1530,"Name","No.","@@"&amp;$K1530),"")</f>
        <v/>
      </c>
      <c r="M1530" s="42" t="str">
        <f>"Greigner, Inc."</f>
        <v>Greigner, Inc.</v>
      </c>
      <c r="N1530" s="42" t="str">
        <f>IF($J1530="Item",_xll.NL("first",$J1530,"Description","No.","@@"&amp;$K1530),"")</f>
        <v/>
      </c>
      <c r="O1530" s="43">
        <v>249.99999999999997</v>
      </c>
      <c r="P1530" s="43">
        <v>0</v>
      </c>
      <c r="Q1530" s="43">
        <v>0</v>
      </c>
      <c r="R1530" s="43">
        <v>0</v>
      </c>
      <c r="S1530" s="43">
        <v>0</v>
      </c>
      <c r="T1530" s="43">
        <v>0</v>
      </c>
      <c r="U1530" s="56"/>
    </row>
    <row r="1531" spans="1:21" ht="17.25" customHeight="1" x14ac:dyDescent="0.3">
      <c r="A1531" s="15" t="s">
        <v>30</v>
      </c>
      <c r="C1531" s="19"/>
      <c r="D1531" s="33" t="str">
        <f t="shared" si="380"/>
        <v>E100042</v>
      </c>
      <c r="E1531" s="33"/>
      <c r="F1531" s="34"/>
      <c r="G1531" s="34" t="str">
        <f>"""NAV Direct"",""CRONUS JetCorp USA"",""32"",""1"",""78831"""</f>
        <v>"NAV Direct","CRONUS JetCorp USA","32","1","78831"</v>
      </c>
      <c r="H1531" s="40">
        <v>43468</v>
      </c>
      <c r="I1531" s="41">
        <v>78831</v>
      </c>
      <c r="J1531" s="42" t="str">
        <f>"Customer"</f>
        <v>Customer</v>
      </c>
      <c r="K1531" s="42" t="str">
        <f>"C100117"</f>
        <v>C100117</v>
      </c>
      <c r="L1531" s="42" t="str">
        <f>IF($J1531="Customer",_xll.NL("first",$J1531,"Name","No.","@@"&amp;$K1531),"")</f>
        <v xml:space="preserve">Tintax </v>
      </c>
      <c r="M1531" s="42" t="str">
        <f>""</f>
        <v/>
      </c>
      <c r="N1531" s="42" t="str">
        <f>IF($J1531="Item",_xll.NL("first",$J1531,"Description","No.","@@"&amp;$K1531),"")</f>
        <v/>
      </c>
      <c r="O1531" s="43">
        <v>0</v>
      </c>
      <c r="P1531" s="43">
        <v>-144</v>
      </c>
      <c r="Q1531" s="43">
        <v>0</v>
      </c>
      <c r="R1531" s="43">
        <v>0</v>
      </c>
      <c r="S1531" s="43">
        <v>0</v>
      </c>
      <c r="T1531" s="43">
        <v>0</v>
      </c>
      <c r="U1531" s="56"/>
    </row>
    <row r="1532" spans="1:21" ht="17.25" customHeight="1" x14ac:dyDescent="0.3">
      <c r="A1532" s="15" t="s">
        <v>30</v>
      </c>
      <c r="C1532" s="19"/>
      <c r="D1532" s="33" t="str">
        <f t="shared" si="380"/>
        <v>E100042</v>
      </c>
      <c r="E1532" s="33"/>
      <c r="F1532" s="34"/>
      <c r="G1532" s="34" t="str">
        <f>"""NAV Direct"",""CRONUS JetCorp USA"",""32"",""1"",""64574"""</f>
        <v>"NAV Direct","CRONUS JetCorp USA","32","1","64574"</v>
      </c>
      <c r="H1532" s="40">
        <v>43469</v>
      </c>
      <c r="I1532" s="41">
        <v>64574</v>
      </c>
      <c r="J1532" s="42" t="str">
        <f>"Customer"</f>
        <v>Customer</v>
      </c>
      <c r="K1532" s="42" t="str">
        <f>"C100140"</f>
        <v>C100140</v>
      </c>
      <c r="L1532" s="42" t="str">
        <f>IF($J1532="Customer",_xll.NL("first",$J1532,"Name","No.","@@"&amp;$K1532),"")</f>
        <v>Super Daves</v>
      </c>
      <c r="M1532" s="42" t="str">
        <f>""</f>
        <v/>
      </c>
      <c r="N1532" s="42" t="str">
        <f>IF($J1532="Item",_xll.NL("first",$J1532,"Description","No.","@@"&amp;$K1532),"")</f>
        <v/>
      </c>
      <c r="O1532" s="43">
        <v>0</v>
      </c>
      <c r="P1532" s="43">
        <v>-144</v>
      </c>
      <c r="Q1532" s="43">
        <v>0</v>
      </c>
      <c r="R1532" s="43">
        <v>0</v>
      </c>
      <c r="S1532" s="43">
        <v>0</v>
      </c>
      <c r="T1532" s="43">
        <v>0</v>
      </c>
      <c r="U1532" s="56"/>
    </row>
    <row r="1533" spans="1:21" ht="17.25" customHeight="1" x14ac:dyDescent="0.3">
      <c r="A1533" s="15" t="s">
        <v>30</v>
      </c>
      <c r="C1533" s="19"/>
      <c r="D1533" s="33" t="str">
        <f t="shared" si="380"/>
        <v>E100042</v>
      </c>
      <c r="E1533" s="33"/>
      <c r="F1533" s="34"/>
      <c r="G1533" s="34" t="str">
        <f>"""NAV Direct"",""CRONUS JetCorp USA"",""32"",""1"",""72511"""</f>
        <v>"NAV Direct","CRONUS JetCorp USA","32","1","72511"</v>
      </c>
      <c r="H1533" s="40">
        <v>43471</v>
      </c>
      <c r="I1533" s="41">
        <v>72511</v>
      </c>
      <c r="J1533" s="42" t="str">
        <f>"Customer"</f>
        <v>Customer</v>
      </c>
      <c r="K1533" s="42" t="str">
        <f>"C100107"</f>
        <v>C100107</v>
      </c>
      <c r="L1533" s="42" t="str">
        <f>IF($J1533="Customer",_xll.NL("first",$J1533,"Name","No.","@@"&amp;$K1533),"")</f>
        <v>Lexitechnology</v>
      </c>
      <c r="M1533" s="42" t="str">
        <f>""</f>
        <v/>
      </c>
      <c r="N1533" s="42" t="str">
        <f>IF($J1533="Item",_xll.NL("first",$J1533,"Description","No.","@@"&amp;$K1533),"")</f>
        <v/>
      </c>
      <c r="O1533" s="43">
        <v>0</v>
      </c>
      <c r="P1533" s="43">
        <v>-144</v>
      </c>
      <c r="Q1533" s="43">
        <v>0</v>
      </c>
      <c r="R1533" s="43">
        <v>0</v>
      </c>
      <c r="S1533" s="43">
        <v>0</v>
      </c>
      <c r="T1533" s="43">
        <v>0</v>
      </c>
      <c r="U1533" s="56"/>
    </row>
    <row r="1534" spans="1:21" ht="17.25" customHeight="1" x14ac:dyDescent="0.3">
      <c r="A1534" s="15" t="s">
        <v>30</v>
      </c>
      <c r="C1534" s="19"/>
      <c r="D1534" s="33"/>
      <c r="E1534" s="33"/>
      <c r="F1534" s="34"/>
      <c r="G1534" s="34"/>
      <c r="H1534" s="34"/>
      <c r="I1534" s="34"/>
      <c r="J1534" s="34"/>
      <c r="K1534" s="34"/>
      <c r="L1534" s="34"/>
      <c r="M1534" s="34"/>
      <c r="N1534" s="34"/>
      <c r="O1534" s="44"/>
      <c r="P1534" s="44"/>
      <c r="Q1534" s="44"/>
      <c r="R1534" s="44"/>
      <c r="S1534" s="44"/>
      <c r="T1534" s="44"/>
      <c r="U1534" s="57"/>
    </row>
    <row r="1535" spans="1:21" ht="17.25" customHeight="1" x14ac:dyDescent="0.3">
      <c r="A1535" s="15" t="s">
        <v>30</v>
      </c>
      <c r="C1535" s="19"/>
      <c r="D1535" s="33"/>
      <c r="E1535" s="33" t="s">
        <v>31</v>
      </c>
      <c r="F1535" s="34" t="s">
        <v>31</v>
      </c>
      <c r="G1535" s="34" t="s">
        <v>31</v>
      </c>
      <c r="H1535" s="34"/>
      <c r="I1535" s="34"/>
      <c r="J1535" s="34" t="s">
        <v>31</v>
      </c>
      <c r="K1535" s="34" t="s">
        <v>31</v>
      </c>
      <c r="L1535" s="34" t="s">
        <v>31</v>
      </c>
      <c r="M1535" s="34" t="s">
        <v>31</v>
      </c>
      <c r="N1535" s="34"/>
      <c r="U1535" s="58"/>
    </row>
    <row r="1536" spans="1:21" ht="20.25" customHeight="1" x14ac:dyDescent="0.35">
      <c r="A1536" s="15" t="s">
        <v>30</v>
      </c>
      <c r="C1536" s="19"/>
      <c r="D1536" s="35" t="str">
        <f t="shared" ref="D1536" si="381">E1536</f>
        <v>E100043</v>
      </c>
      <c r="E1536" s="36" t="str">
        <f>"E100043"</f>
        <v>E100043</v>
      </c>
      <c r="F1536" s="37" t="str">
        <f>"Pub Glass"</f>
        <v>Pub Glass</v>
      </c>
      <c r="G1536" s="37"/>
      <c r="H1536" s="38" t="str">
        <f>"EA"</f>
        <v>EA</v>
      </c>
      <c r="I1536" s="37"/>
      <c r="J1536" s="37"/>
      <c r="K1536" s="37"/>
      <c r="L1536" s="37"/>
      <c r="M1536" s="37"/>
      <c r="N1536" s="37"/>
      <c r="O1536" s="39">
        <f>(SUBTOTAL(9,O1537:O1548))</f>
        <v>5250</v>
      </c>
      <c r="P1536" s="39">
        <f>(SUBTOTAL(9,P1537:P1548))</f>
        <v>-721</v>
      </c>
      <c r="Q1536" s="39">
        <f>(SUBTOTAL(9,Q1537:Q1548))</f>
        <v>0</v>
      </c>
      <c r="R1536" s="39">
        <f>(SUBTOTAL(9,R1537:R1548))</f>
        <v>0</v>
      </c>
      <c r="S1536" s="39">
        <f>(SUBTOTAL(9,S1537:S1548))</f>
        <v>0</v>
      </c>
      <c r="T1536" s="39">
        <f>(SUBTOTAL(9,T1537:T1548))</f>
        <v>0</v>
      </c>
      <c r="U1536" s="55">
        <f t="shared" ref="U1536" si="382">SUBTOTAL(9,O1537:T1548)</f>
        <v>4529</v>
      </c>
    </row>
    <row r="1537" spans="1:21" ht="17.25" customHeight="1" x14ac:dyDescent="0.3">
      <c r="A1537" s="15" t="s">
        <v>30</v>
      </c>
      <c r="C1537" s="19"/>
      <c r="D1537" s="33" t="str">
        <f t="shared" ref="D1537" si="383">D1536</f>
        <v>E100043</v>
      </c>
      <c r="E1537" s="33"/>
      <c r="F1537" s="34"/>
      <c r="G1537" s="34" t="str">
        <f>"""NAV Direct"",""CRONUS JetCorp USA"",""32"",""1"",""168606"""</f>
        <v>"NAV Direct","CRONUS JetCorp USA","32","1","168606"</v>
      </c>
      <c r="H1537" s="40">
        <v>43466</v>
      </c>
      <c r="I1537" s="41">
        <v>168606</v>
      </c>
      <c r="J1537" s="42" t="str">
        <f>"Vendor"</f>
        <v>Vendor</v>
      </c>
      <c r="K1537" s="42" t="str">
        <f>"V100025"</f>
        <v>V100025</v>
      </c>
      <c r="L1537" s="42" t="str">
        <f>IF($J1537="Customer",_xll.NL("first",$J1537,"Name","No.","@@"&amp;$K1537),"")</f>
        <v/>
      </c>
      <c r="M1537" s="42" t="str">
        <f>"Club Euroamis"</f>
        <v>Club Euroamis</v>
      </c>
      <c r="N1537" s="42" t="str">
        <f>IF($J1537="Item",_xll.NL("first",$J1537,"Description","No.","@@"&amp;$K1537),"")</f>
        <v/>
      </c>
      <c r="O1537" s="43">
        <v>249.99999999999997</v>
      </c>
      <c r="P1537" s="43">
        <v>0</v>
      </c>
      <c r="Q1537" s="43">
        <v>0</v>
      </c>
      <c r="R1537" s="43">
        <v>0</v>
      </c>
      <c r="S1537" s="43">
        <v>0</v>
      </c>
      <c r="T1537" s="43">
        <v>0</v>
      </c>
      <c r="U1537" s="56"/>
    </row>
    <row r="1538" spans="1:21" ht="17.25" customHeight="1" x14ac:dyDescent="0.3">
      <c r="A1538" s="15" t="s">
        <v>30</v>
      </c>
      <c r="C1538" s="19"/>
      <c r="D1538" s="33" t="str">
        <f t="shared" ref="D1538:D1547" si="384">D1537</f>
        <v>E100043</v>
      </c>
      <c r="E1538" s="33"/>
      <c r="F1538" s="34"/>
      <c r="G1538" s="34" t="str">
        <f>"""NAV Direct"",""CRONUS JetCorp USA"",""32"",""1"",""168614"""</f>
        <v>"NAV Direct","CRONUS JetCorp USA","32","1","168614"</v>
      </c>
      <c r="H1538" s="40">
        <v>43466</v>
      </c>
      <c r="I1538" s="41">
        <v>168614</v>
      </c>
      <c r="J1538" s="42" t="str">
        <f>"Vendor"</f>
        <v>Vendor</v>
      </c>
      <c r="K1538" s="42" t="str">
        <f>"V100040"</f>
        <v>V100040</v>
      </c>
      <c r="L1538" s="42" t="str">
        <f>IF($J1538="Customer",_xll.NL("first",$J1538,"Name","No.","@@"&amp;$K1538),"")</f>
        <v/>
      </c>
      <c r="M1538" s="42" t="str">
        <f>"Technische Betriebe Rotkreuz"</f>
        <v>Technische Betriebe Rotkreuz</v>
      </c>
      <c r="N1538" s="42" t="str">
        <f>IF($J1538="Item",_xll.NL("first",$J1538,"Description","No.","@@"&amp;$K1538),"")</f>
        <v/>
      </c>
      <c r="O1538" s="43">
        <v>750</v>
      </c>
      <c r="P1538" s="43">
        <v>0</v>
      </c>
      <c r="Q1538" s="43">
        <v>0</v>
      </c>
      <c r="R1538" s="43">
        <v>0</v>
      </c>
      <c r="S1538" s="43">
        <v>0</v>
      </c>
      <c r="T1538" s="43">
        <v>0</v>
      </c>
      <c r="U1538" s="56"/>
    </row>
    <row r="1539" spans="1:21" ht="17.25" customHeight="1" x14ac:dyDescent="0.3">
      <c r="A1539" s="15" t="s">
        <v>30</v>
      </c>
      <c r="C1539" s="19"/>
      <c r="D1539" s="33" t="str">
        <f t="shared" si="384"/>
        <v>E100043</v>
      </c>
      <c r="E1539" s="33"/>
      <c r="F1539" s="34"/>
      <c r="G1539" s="34" t="str">
        <f>"""NAV Direct"",""CRONUS JetCorp USA"",""32"",""1"",""168637"""</f>
        <v>"NAV Direct","CRONUS JetCorp USA","32","1","168637"</v>
      </c>
      <c r="H1539" s="40">
        <v>43466</v>
      </c>
      <c r="I1539" s="41">
        <v>168637</v>
      </c>
      <c r="J1539" s="42" t="str">
        <f>"Vendor"</f>
        <v>Vendor</v>
      </c>
      <c r="K1539" s="42" t="str">
        <f>"V100001"</f>
        <v>V100001</v>
      </c>
      <c r="L1539" s="42" t="str">
        <f>IF($J1539="Customer",_xll.NL("first",$J1539,"Name","No.","@@"&amp;$K1539),"")</f>
        <v/>
      </c>
      <c r="M1539" s="42" t="str">
        <f>"Greigner, Inc."</f>
        <v>Greigner, Inc.</v>
      </c>
      <c r="N1539" s="42" t="str">
        <f>IF($J1539="Item",_xll.NL("first",$J1539,"Description","No.","@@"&amp;$K1539),"")</f>
        <v/>
      </c>
      <c r="O1539" s="43">
        <v>2500</v>
      </c>
      <c r="P1539" s="43">
        <v>0</v>
      </c>
      <c r="Q1539" s="43">
        <v>0</v>
      </c>
      <c r="R1539" s="43">
        <v>0</v>
      </c>
      <c r="S1539" s="43">
        <v>0</v>
      </c>
      <c r="T1539" s="43">
        <v>0</v>
      </c>
      <c r="U1539" s="56"/>
    </row>
    <row r="1540" spans="1:21" ht="17.25" customHeight="1" x14ac:dyDescent="0.3">
      <c r="A1540" s="15" t="s">
        <v>30</v>
      </c>
      <c r="C1540" s="19"/>
      <c r="D1540" s="33" t="str">
        <f t="shared" si="384"/>
        <v>E100043</v>
      </c>
      <c r="E1540" s="33"/>
      <c r="F1540" s="34"/>
      <c r="G1540" s="34" t="str">
        <f>"""NAV Direct"",""CRONUS JetCorp USA"",""32"",""1"",""168649"""</f>
        <v>"NAV Direct","CRONUS JetCorp USA","32","1","168649"</v>
      </c>
      <c r="H1540" s="40">
        <v>43466</v>
      </c>
      <c r="I1540" s="41">
        <v>168649</v>
      </c>
      <c r="J1540" s="42" t="str">
        <f>"Vendor"</f>
        <v>Vendor</v>
      </c>
      <c r="K1540" s="42" t="str">
        <f>"V100047"</f>
        <v>V100047</v>
      </c>
      <c r="L1540" s="42" t="str">
        <f>IF($J1540="Customer",_xll.NL("first",$J1540,"Name","No.","@@"&amp;$K1540),"")</f>
        <v/>
      </c>
      <c r="M1540" s="42" t="str">
        <f>"WoodMart Supply Co."</f>
        <v>WoodMart Supply Co.</v>
      </c>
      <c r="N1540" s="42" t="str">
        <f>IF($J1540="Item",_xll.NL("first",$J1540,"Description","No.","@@"&amp;$K1540),"")</f>
        <v/>
      </c>
      <c r="O1540" s="43">
        <v>249.99999999999997</v>
      </c>
      <c r="P1540" s="43">
        <v>0</v>
      </c>
      <c r="Q1540" s="43">
        <v>0</v>
      </c>
      <c r="R1540" s="43">
        <v>0</v>
      </c>
      <c r="S1540" s="43">
        <v>0</v>
      </c>
      <c r="T1540" s="43">
        <v>0</v>
      </c>
      <c r="U1540" s="56"/>
    </row>
    <row r="1541" spans="1:21" ht="17.25" customHeight="1" x14ac:dyDescent="0.3">
      <c r="A1541" s="15" t="s">
        <v>30</v>
      </c>
      <c r="C1541" s="19"/>
      <c r="D1541" s="33" t="str">
        <f t="shared" si="384"/>
        <v>E100043</v>
      </c>
      <c r="E1541" s="33"/>
      <c r="F1541" s="34"/>
      <c r="G1541" s="34" t="str">
        <f>"""NAV Direct"",""CRONUS JetCorp USA"",""32"",""1"",""168661"""</f>
        <v>"NAV Direct","CRONUS JetCorp USA","32","1","168661"</v>
      </c>
      <c r="H1541" s="40">
        <v>43466</v>
      </c>
      <c r="I1541" s="41">
        <v>168661</v>
      </c>
      <c r="J1541" s="42" t="str">
        <f>"Vendor"</f>
        <v>Vendor</v>
      </c>
      <c r="K1541" s="42" t="str">
        <f>"V100003"</f>
        <v>V100003</v>
      </c>
      <c r="L1541" s="42" t="str">
        <f>IF($J1541="Customer",_xll.NL("first",$J1541,"Name","No.","@@"&amp;$K1541),"")</f>
        <v/>
      </c>
      <c r="M1541" s="42" t="str">
        <f>"LogoMasters"</f>
        <v>LogoMasters</v>
      </c>
      <c r="N1541" s="42" t="str">
        <f>IF($J1541="Item",_xll.NL("first",$J1541,"Description","No.","@@"&amp;$K1541),"")</f>
        <v/>
      </c>
      <c r="O1541" s="43">
        <v>999.99999999999989</v>
      </c>
      <c r="P1541" s="43">
        <v>0</v>
      </c>
      <c r="Q1541" s="43">
        <v>0</v>
      </c>
      <c r="R1541" s="43">
        <v>0</v>
      </c>
      <c r="S1541" s="43">
        <v>0</v>
      </c>
      <c r="T1541" s="43">
        <v>0</v>
      </c>
      <c r="U1541" s="56"/>
    </row>
    <row r="1542" spans="1:21" ht="17.25" customHeight="1" x14ac:dyDescent="0.3">
      <c r="A1542" s="15" t="s">
        <v>30</v>
      </c>
      <c r="C1542" s="19"/>
      <c r="D1542" s="33" t="str">
        <f t="shared" si="384"/>
        <v>E100043</v>
      </c>
      <c r="E1542" s="33"/>
      <c r="F1542" s="34"/>
      <c r="G1542" s="34" t="str">
        <f>"""NAV Direct"",""CRONUS JetCorp USA"",""32"",""1"",""168676"""</f>
        <v>"NAV Direct","CRONUS JetCorp USA","32","1","168676"</v>
      </c>
      <c r="H1542" s="40">
        <v>43466</v>
      </c>
      <c r="I1542" s="41">
        <v>168676</v>
      </c>
      <c r="J1542" s="42" t="str">
        <f>"Vendor"</f>
        <v>Vendor</v>
      </c>
      <c r="K1542" s="42" t="str">
        <f>"V100001"</f>
        <v>V100001</v>
      </c>
      <c r="L1542" s="42" t="str">
        <f>IF($J1542="Customer",_xll.NL("first",$J1542,"Name","No.","@@"&amp;$K1542),"")</f>
        <v/>
      </c>
      <c r="M1542" s="42" t="str">
        <f>"Greigner, Inc."</f>
        <v>Greigner, Inc.</v>
      </c>
      <c r="N1542" s="42" t="str">
        <f>IF($J1542="Item",_xll.NL("first",$J1542,"Description","No.","@@"&amp;$K1542),"")</f>
        <v/>
      </c>
      <c r="O1542" s="43">
        <v>499.99999999999994</v>
      </c>
      <c r="P1542" s="43">
        <v>0</v>
      </c>
      <c r="Q1542" s="43">
        <v>0</v>
      </c>
      <c r="R1542" s="43">
        <v>0</v>
      </c>
      <c r="S1542" s="43">
        <v>0</v>
      </c>
      <c r="T1542" s="43">
        <v>0</v>
      </c>
      <c r="U1542" s="56"/>
    </row>
    <row r="1543" spans="1:21" ht="17.25" customHeight="1" x14ac:dyDescent="0.3">
      <c r="A1543" s="15" t="s">
        <v>30</v>
      </c>
      <c r="C1543" s="19"/>
      <c r="D1543" s="33" t="str">
        <f t="shared" si="384"/>
        <v>E100043</v>
      </c>
      <c r="E1543" s="33"/>
      <c r="F1543" s="34"/>
      <c r="G1543" s="34" t="str">
        <f>"""NAV Direct"",""CRONUS JetCorp USA"",""32"",""1"",""147992"""</f>
        <v>"NAV Direct","CRONUS JetCorp USA","32","1","147992"</v>
      </c>
      <c r="H1543" s="40">
        <v>43469</v>
      </c>
      <c r="I1543" s="41">
        <v>147992</v>
      </c>
      <c r="J1543" s="42" t="str">
        <f>"Customer"</f>
        <v>Customer</v>
      </c>
      <c r="K1543" s="42" t="str">
        <f>"C100096"</f>
        <v>C100096</v>
      </c>
      <c r="L1543" s="42" t="str">
        <f>IF($J1543="Customer",_xll.NL("first",$J1543,"Name","No.","@@"&amp;$K1543),"")</f>
        <v>D-Com Industries</v>
      </c>
      <c r="M1543" s="42" t="str">
        <f>""</f>
        <v/>
      </c>
      <c r="N1543" s="42" t="str">
        <f>IF($J1543="Item",_xll.NL("first",$J1543,"Description","No.","@@"&amp;$K1543),"")</f>
        <v/>
      </c>
      <c r="O1543" s="43">
        <v>0</v>
      </c>
      <c r="P1543" s="43">
        <v>-144</v>
      </c>
      <c r="Q1543" s="43">
        <v>0</v>
      </c>
      <c r="R1543" s="43">
        <v>0</v>
      </c>
      <c r="S1543" s="43">
        <v>0</v>
      </c>
      <c r="T1543" s="43">
        <v>0</v>
      </c>
      <c r="U1543" s="56"/>
    </row>
    <row r="1544" spans="1:21" ht="17.25" customHeight="1" x14ac:dyDescent="0.3">
      <c r="A1544" s="15" t="s">
        <v>30</v>
      </c>
      <c r="C1544" s="19"/>
      <c r="D1544" s="33" t="str">
        <f t="shared" si="384"/>
        <v>E100043</v>
      </c>
      <c r="E1544" s="33"/>
      <c r="F1544" s="34"/>
      <c r="G1544" s="34" t="str">
        <f>"""NAV Direct"",""CRONUS JetCorp USA"",""32"",""1"",""78848"""</f>
        <v>"NAV Direct","CRONUS JetCorp USA","32","1","78848"</v>
      </c>
      <c r="H1544" s="40">
        <v>43470</v>
      </c>
      <c r="I1544" s="41">
        <v>78848</v>
      </c>
      <c r="J1544" s="42" t="str">
        <f>"Customer"</f>
        <v>Customer</v>
      </c>
      <c r="K1544" s="42" t="str">
        <f>"C100117"</f>
        <v>C100117</v>
      </c>
      <c r="L1544" s="42" t="str">
        <f>IF($J1544="Customer",_xll.NL("first",$J1544,"Name","No.","@@"&amp;$K1544),"")</f>
        <v xml:space="preserve">Tintax </v>
      </c>
      <c r="M1544" s="42" t="str">
        <f>""</f>
        <v/>
      </c>
      <c r="N1544" s="42" t="str">
        <f>IF($J1544="Item",_xll.NL("first",$J1544,"Description","No.","@@"&amp;$K1544),"")</f>
        <v/>
      </c>
      <c r="O1544" s="43">
        <v>0</v>
      </c>
      <c r="P1544" s="43">
        <v>-144</v>
      </c>
      <c r="Q1544" s="43">
        <v>0</v>
      </c>
      <c r="R1544" s="43">
        <v>0</v>
      </c>
      <c r="S1544" s="43">
        <v>0</v>
      </c>
      <c r="T1544" s="43">
        <v>0</v>
      </c>
      <c r="U1544" s="56"/>
    </row>
    <row r="1545" spans="1:21" ht="17.25" customHeight="1" x14ac:dyDescent="0.3">
      <c r="A1545" s="15" t="s">
        <v>30</v>
      </c>
      <c r="C1545" s="19"/>
      <c r="D1545" s="33" t="str">
        <f t="shared" si="384"/>
        <v>E100043</v>
      </c>
      <c r="E1545" s="33"/>
      <c r="F1545" s="34"/>
      <c r="G1545" s="34" t="str">
        <f>"""NAV Direct"",""CRONUS JetCorp USA"",""32"",""1"",""72520"""</f>
        <v>"NAV Direct","CRONUS JetCorp USA","32","1","72520"</v>
      </c>
      <c r="H1545" s="40">
        <v>43471</v>
      </c>
      <c r="I1545" s="41">
        <v>72520</v>
      </c>
      <c r="J1545" s="42" t="str">
        <f>"Customer"</f>
        <v>Customer</v>
      </c>
      <c r="K1545" s="42" t="str">
        <f>"C100107"</f>
        <v>C100107</v>
      </c>
      <c r="L1545" s="42" t="str">
        <f>IF($J1545="Customer",_xll.NL("first",$J1545,"Name","No.","@@"&amp;$K1545),"")</f>
        <v>Lexitechnology</v>
      </c>
      <c r="M1545" s="42" t="str">
        <f>""</f>
        <v/>
      </c>
      <c r="N1545" s="42" t="str">
        <f>IF($J1545="Item",_xll.NL("first",$J1545,"Description","No.","@@"&amp;$K1545),"")</f>
        <v/>
      </c>
      <c r="O1545" s="43">
        <v>0</v>
      </c>
      <c r="P1545" s="43">
        <v>-144</v>
      </c>
      <c r="Q1545" s="43">
        <v>0</v>
      </c>
      <c r="R1545" s="43">
        <v>0</v>
      </c>
      <c r="S1545" s="43">
        <v>0</v>
      </c>
      <c r="T1545" s="43">
        <v>0</v>
      </c>
      <c r="U1545" s="56"/>
    </row>
    <row r="1546" spans="1:21" ht="17.25" customHeight="1" x14ac:dyDescent="0.3">
      <c r="A1546" s="15" t="s">
        <v>30</v>
      </c>
      <c r="C1546" s="19"/>
      <c r="D1546" s="33" t="str">
        <f t="shared" si="384"/>
        <v>E100043</v>
      </c>
      <c r="E1546" s="33"/>
      <c r="F1546" s="34"/>
      <c r="G1546" s="34" t="str">
        <f>"""NAV Direct"",""CRONUS JetCorp USA"",""32"",""1"",""142556"""</f>
        <v>"NAV Direct","CRONUS JetCorp USA","32","1","142556"</v>
      </c>
      <c r="H1546" s="40">
        <v>43472</v>
      </c>
      <c r="I1546" s="41">
        <v>142556</v>
      </c>
      <c r="J1546" s="42" t="str">
        <f>"Customer"</f>
        <v>Customer</v>
      </c>
      <c r="K1546" s="42" t="str">
        <f>"C100100"</f>
        <v>C100100</v>
      </c>
      <c r="L1546" s="42" t="str">
        <f>IF($J1546="Customer",_xll.NL("first",$J1546,"Name","No.","@@"&amp;$K1546),"")</f>
        <v>Keybase, Inc.</v>
      </c>
      <c r="M1546" s="42" t="str">
        <f>""</f>
        <v/>
      </c>
      <c r="N1546" s="42" t="str">
        <f>IF($J1546="Item",_xll.NL("first",$J1546,"Description","No.","@@"&amp;$K1546),"")</f>
        <v/>
      </c>
      <c r="O1546" s="43">
        <v>0</v>
      </c>
      <c r="P1546" s="43">
        <v>-1</v>
      </c>
      <c r="Q1546" s="43">
        <v>0</v>
      </c>
      <c r="R1546" s="43">
        <v>0</v>
      </c>
      <c r="S1546" s="43">
        <v>0</v>
      </c>
      <c r="T1546" s="43">
        <v>0</v>
      </c>
      <c r="U1546" s="56"/>
    </row>
    <row r="1547" spans="1:21" ht="17.25" customHeight="1" x14ac:dyDescent="0.3">
      <c r="A1547" s="15" t="s">
        <v>30</v>
      </c>
      <c r="C1547" s="19"/>
      <c r="D1547" s="33" t="str">
        <f t="shared" si="384"/>
        <v>E100043</v>
      </c>
      <c r="E1547" s="33"/>
      <c r="F1547" s="34"/>
      <c r="G1547" s="34" t="str">
        <f>"""NAV Direct"",""CRONUS JetCorp USA"",""32"",""1"",""44523"""</f>
        <v>"NAV Direct","CRONUS JetCorp USA","32","1","44523"</v>
      </c>
      <c r="H1547" s="40">
        <v>43473</v>
      </c>
      <c r="I1547" s="41">
        <v>44523</v>
      </c>
      <c r="J1547" s="42" t="str">
        <f>"Customer"</f>
        <v>Customer</v>
      </c>
      <c r="K1547" s="42" t="str">
        <f>"C100139"</f>
        <v>C100139</v>
      </c>
      <c r="L1547" s="42" t="str">
        <f>IF($J1547="Customer",_xll.NL("first",$J1547,"Name","No.","@@"&amp;$K1547),"")</f>
        <v>Gamma Ray's</v>
      </c>
      <c r="M1547" s="42" t="str">
        <f>""</f>
        <v/>
      </c>
      <c r="N1547" s="42" t="str">
        <f>IF($J1547="Item",_xll.NL("first",$J1547,"Description","No.","@@"&amp;$K1547),"")</f>
        <v/>
      </c>
      <c r="O1547" s="43">
        <v>0</v>
      </c>
      <c r="P1547" s="43">
        <v>-288</v>
      </c>
      <c r="Q1547" s="43">
        <v>0</v>
      </c>
      <c r="R1547" s="43">
        <v>0</v>
      </c>
      <c r="S1547" s="43">
        <v>0</v>
      </c>
      <c r="T1547" s="43">
        <v>0</v>
      </c>
      <c r="U1547" s="56"/>
    </row>
    <row r="1548" spans="1:21" ht="17.25" customHeight="1" x14ac:dyDescent="0.3">
      <c r="A1548" s="15" t="s">
        <v>30</v>
      </c>
      <c r="C1548" s="19"/>
      <c r="D1548" s="33"/>
      <c r="E1548" s="33"/>
      <c r="F1548" s="34"/>
      <c r="G1548" s="34"/>
      <c r="H1548" s="34"/>
      <c r="I1548" s="34"/>
      <c r="J1548" s="34"/>
      <c r="K1548" s="34"/>
      <c r="L1548" s="34"/>
      <c r="M1548" s="34"/>
      <c r="N1548" s="34"/>
      <c r="O1548" s="44"/>
      <c r="P1548" s="44"/>
      <c r="Q1548" s="44"/>
      <c r="R1548" s="44"/>
      <c r="S1548" s="44"/>
      <c r="T1548" s="44"/>
      <c r="U1548" s="57"/>
    </row>
    <row r="1549" spans="1:21" ht="17.25" customHeight="1" x14ac:dyDescent="0.3">
      <c r="A1549" s="15" t="s">
        <v>30</v>
      </c>
      <c r="C1549" s="19"/>
      <c r="D1549" s="33"/>
      <c r="E1549" s="33" t="s">
        <v>31</v>
      </c>
      <c r="F1549" s="34" t="s">
        <v>31</v>
      </c>
      <c r="G1549" s="34" t="s">
        <v>31</v>
      </c>
      <c r="H1549" s="34"/>
      <c r="I1549" s="34"/>
      <c r="J1549" s="34" t="s">
        <v>31</v>
      </c>
      <c r="K1549" s="34" t="s">
        <v>31</v>
      </c>
      <c r="L1549" s="34" t="s">
        <v>31</v>
      </c>
      <c r="M1549" s="34" t="s">
        <v>31</v>
      </c>
      <c r="N1549" s="34"/>
      <c r="U1549" s="58"/>
    </row>
    <row r="1550" spans="1:21" ht="20.25" customHeight="1" x14ac:dyDescent="0.35">
      <c r="A1550" s="15" t="s">
        <v>30</v>
      </c>
      <c r="C1550" s="19"/>
      <c r="D1550" s="35" t="str">
        <f t="shared" ref="D1550" si="385">E1550</f>
        <v>E100044</v>
      </c>
      <c r="E1550" s="36" t="str">
        <f>"E100044"</f>
        <v>E100044</v>
      </c>
      <c r="F1550" s="37" t="str">
        <f>"Juice Glass"</f>
        <v>Juice Glass</v>
      </c>
      <c r="G1550" s="37"/>
      <c r="H1550" s="38" t="str">
        <f>"EA"</f>
        <v>EA</v>
      </c>
      <c r="I1550" s="37"/>
      <c r="J1550" s="37"/>
      <c r="K1550" s="37"/>
      <c r="L1550" s="37"/>
      <c r="M1550" s="37"/>
      <c r="N1550" s="37"/>
      <c r="O1550" s="39">
        <f>(SUBTOTAL(9,O1551:O1563))</f>
        <v>5250</v>
      </c>
      <c r="P1550" s="39">
        <f>(SUBTOTAL(9,P1551:P1563))</f>
        <v>-864</v>
      </c>
      <c r="Q1550" s="39">
        <f>(SUBTOTAL(9,Q1551:Q1563))</f>
        <v>0</v>
      </c>
      <c r="R1550" s="39">
        <f>(SUBTOTAL(9,R1551:R1563))</f>
        <v>0</v>
      </c>
      <c r="S1550" s="39">
        <f>(SUBTOTAL(9,S1551:S1563))</f>
        <v>0</v>
      </c>
      <c r="T1550" s="39">
        <f>(SUBTOTAL(9,T1551:T1563))</f>
        <v>0</v>
      </c>
      <c r="U1550" s="55">
        <f t="shared" ref="U1550" si="386">SUBTOTAL(9,O1551:T1563)</f>
        <v>4386</v>
      </c>
    </row>
    <row r="1551" spans="1:21" ht="17.25" customHeight="1" x14ac:dyDescent="0.3">
      <c r="A1551" s="15" t="s">
        <v>30</v>
      </c>
      <c r="C1551" s="19"/>
      <c r="D1551" s="33" t="str">
        <f t="shared" ref="D1551" si="387">D1550</f>
        <v>E100044</v>
      </c>
      <c r="E1551" s="33"/>
      <c r="F1551" s="34"/>
      <c r="G1551" s="34" t="str">
        <f>"""NAV Direct"",""CRONUS JetCorp USA"",""32"",""1"",""168613"""</f>
        <v>"NAV Direct","CRONUS JetCorp USA","32","1","168613"</v>
      </c>
      <c r="H1551" s="40">
        <v>43466</v>
      </c>
      <c r="I1551" s="41">
        <v>168613</v>
      </c>
      <c r="J1551" s="42" t="str">
        <f>"Vendor"</f>
        <v>Vendor</v>
      </c>
      <c r="K1551" s="42" t="str">
        <f>"V100040"</f>
        <v>V100040</v>
      </c>
      <c r="L1551" s="42" t="str">
        <f>IF($J1551="Customer",_xll.NL("first",$J1551,"Name","No.","@@"&amp;$K1551),"")</f>
        <v/>
      </c>
      <c r="M1551" s="42" t="str">
        <f>"Technische Betriebe Rotkreuz"</f>
        <v>Technische Betriebe Rotkreuz</v>
      </c>
      <c r="N1551" s="42" t="str">
        <f>IF($J1551="Item",_xll.NL("first",$J1551,"Description","No.","@@"&amp;$K1551),"")</f>
        <v/>
      </c>
      <c r="O1551" s="43">
        <v>750</v>
      </c>
      <c r="P1551" s="43">
        <v>0</v>
      </c>
      <c r="Q1551" s="43">
        <v>0</v>
      </c>
      <c r="R1551" s="43">
        <v>0</v>
      </c>
      <c r="S1551" s="43">
        <v>0</v>
      </c>
      <c r="T1551" s="43">
        <v>0</v>
      </c>
      <c r="U1551" s="56"/>
    </row>
    <row r="1552" spans="1:21" ht="17.25" customHeight="1" x14ac:dyDescent="0.3">
      <c r="A1552" s="15" t="s">
        <v>30</v>
      </c>
      <c r="C1552" s="19"/>
      <c r="D1552" s="33" t="str">
        <f t="shared" ref="D1552:D1562" si="388">D1551</f>
        <v>E100044</v>
      </c>
      <c r="E1552" s="33"/>
      <c r="F1552" s="34"/>
      <c r="G1552" s="34" t="str">
        <f>"""NAV Direct"",""CRONUS JetCorp USA"",""32"",""1"",""168636"""</f>
        <v>"NAV Direct","CRONUS JetCorp USA","32","1","168636"</v>
      </c>
      <c r="H1552" s="40">
        <v>43466</v>
      </c>
      <c r="I1552" s="41">
        <v>168636</v>
      </c>
      <c r="J1552" s="42" t="str">
        <f>"Vendor"</f>
        <v>Vendor</v>
      </c>
      <c r="K1552" s="42" t="str">
        <f>"V100001"</f>
        <v>V100001</v>
      </c>
      <c r="L1552" s="42" t="str">
        <f>IF($J1552="Customer",_xll.NL("first",$J1552,"Name","No.","@@"&amp;$K1552),"")</f>
        <v/>
      </c>
      <c r="M1552" s="42" t="str">
        <f>"Greigner, Inc."</f>
        <v>Greigner, Inc.</v>
      </c>
      <c r="N1552" s="42" t="str">
        <f>IF($J1552="Item",_xll.NL("first",$J1552,"Description","No.","@@"&amp;$K1552),"")</f>
        <v/>
      </c>
      <c r="O1552" s="43">
        <v>2750</v>
      </c>
      <c r="P1552" s="43">
        <v>0</v>
      </c>
      <c r="Q1552" s="43">
        <v>0</v>
      </c>
      <c r="R1552" s="43">
        <v>0</v>
      </c>
      <c r="S1552" s="43">
        <v>0</v>
      </c>
      <c r="T1552" s="43">
        <v>0</v>
      </c>
      <c r="U1552" s="56"/>
    </row>
    <row r="1553" spans="1:21" ht="17.25" customHeight="1" x14ac:dyDescent="0.3">
      <c r="A1553" s="15" t="s">
        <v>30</v>
      </c>
      <c r="C1553" s="19"/>
      <c r="D1553" s="33" t="str">
        <f t="shared" si="388"/>
        <v>E100044</v>
      </c>
      <c r="E1553" s="33"/>
      <c r="F1553" s="34"/>
      <c r="G1553" s="34" t="str">
        <f>"""NAV Direct"",""CRONUS JetCorp USA"",""32"",""1"",""168660"""</f>
        <v>"NAV Direct","CRONUS JetCorp USA","32","1","168660"</v>
      </c>
      <c r="H1553" s="40">
        <v>43466</v>
      </c>
      <c r="I1553" s="41">
        <v>168660</v>
      </c>
      <c r="J1553" s="42" t="str">
        <f>"Vendor"</f>
        <v>Vendor</v>
      </c>
      <c r="K1553" s="42" t="str">
        <f>"V100003"</f>
        <v>V100003</v>
      </c>
      <c r="L1553" s="42" t="str">
        <f>IF($J1553="Customer",_xll.NL("first",$J1553,"Name","No.","@@"&amp;$K1553),"")</f>
        <v/>
      </c>
      <c r="M1553" s="42" t="str">
        <f>"LogoMasters"</f>
        <v>LogoMasters</v>
      </c>
      <c r="N1553" s="42" t="str">
        <f>IF($J1553="Item",_xll.NL("first",$J1553,"Description","No.","@@"&amp;$K1553),"")</f>
        <v/>
      </c>
      <c r="O1553" s="43">
        <v>1500</v>
      </c>
      <c r="P1553" s="43">
        <v>0</v>
      </c>
      <c r="Q1553" s="43">
        <v>0</v>
      </c>
      <c r="R1553" s="43">
        <v>0</v>
      </c>
      <c r="S1553" s="43">
        <v>0</v>
      </c>
      <c r="T1553" s="43">
        <v>0</v>
      </c>
      <c r="U1553" s="56"/>
    </row>
    <row r="1554" spans="1:21" ht="17.25" customHeight="1" x14ac:dyDescent="0.3">
      <c r="A1554" s="15" t="s">
        <v>30</v>
      </c>
      <c r="C1554" s="19"/>
      <c r="D1554" s="33" t="str">
        <f t="shared" si="388"/>
        <v>E100044</v>
      </c>
      <c r="E1554" s="33"/>
      <c r="F1554" s="34"/>
      <c r="G1554" s="34" t="str">
        <f>"""NAV Direct"",""CRONUS JetCorp USA"",""32"",""1"",""168675"""</f>
        <v>"NAV Direct","CRONUS JetCorp USA","32","1","168675"</v>
      </c>
      <c r="H1554" s="40">
        <v>43466</v>
      </c>
      <c r="I1554" s="41">
        <v>168675</v>
      </c>
      <c r="J1554" s="42" t="str">
        <f>"Vendor"</f>
        <v>Vendor</v>
      </c>
      <c r="K1554" s="42" t="str">
        <f>"V100001"</f>
        <v>V100001</v>
      </c>
      <c r="L1554" s="42" t="str">
        <f>IF($J1554="Customer",_xll.NL("first",$J1554,"Name","No.","@@"&amp;$K1554),"")</f>
        <v/>
      </c>
      <c r="M1554" s="42" t="str">
        <f>"Greigner, Inc."</f>
        <v>Greigner, Inc.</v>
      </c>
      <c r="N1554" s="42" t="str">
        <f>IF($J1554="Item",_xll.NL("first",$J1554,"Description","No.","@@"&amp;$K1554),"")</f>
        <v/>
      </c>
      <c r="O1554" s="43">
        <v>249.99999999999997</v>
      </c>
      <c r="P1554" s="43">
        <v>0</v>
      </c>
      <c r="Q1554" s="43">
        <v>0</v>
      </c>
      <c r="R1554" s="43">
        <v>0</v>
      </c>
      <c r="S1554" s="43">
        <v>0</v>
      </c>
      <c r="T1554" s="43">
        <v>0</v>
      </c>
      <c r="U1554" s="56"/>
    </row>
    <row r="1555" spans="1:21" ht="17.25" customHeight="1" x14ac:dyDescent="0.3">
      <c r="A1555" s="15" t="s">
        <v>30</v>
      </c>
      <c r="C1555" s="19"/>
      <c r="D1555" s="33" t="str">
        <f t="shared" si="388"/>
        <v>E100044</v>
      </c>
      <c r="E1555" s="33"/>
      <c r="F1555" s="34"/>
      <c r="G1555" s="34" t="str">
        <f>"""NAV Direct"",""CRONUS JetCorp USA"",""32"",""1"",""78840"""</f>
        <v>"NAV Direct","CRONUS JetCorp USA","32","1","78840"</v>
      </c>
      <c r="H1555" s="40">
        <v>43468</v>
      </c>
      <c r="I1555" s="41">
        <v>78840</v>
      </c>
      <c r="J1555" s="42" t="str">
        <f>"Customer"</f>
        <v>Customer</v>
      </c>
      <c r="K1555" s="42" t="str">
        <f>"C100117"</f>
        <v>C100117</v>
      </c>
      <c r="L1555" s="42" t="str">
        <f>IF($J1555="Customer",_xll.NL("first",$J1555,"Name","No.","@@"&amp;$K1555),"")</f>
        <v xml:space="preserve">Tintax </v>
      </c>
      <c r="M1555" s="42" t="str">
        <f>""</f>
        <v/>
      </c>
      <c r="N1555" s="42" t="str">
        <f>IF($J1555="Item",_xll.NL("first",$J1555,"Description","No.","@@"&amp;$K1555),"")</f>
        <v/>
      </c>
      <c r="O1555" s="43">
        <v>0</v>
      </c>
      <c r="P1555" s="43">
        <v>-144</v>
      </c>
      <c r="Q1555" s="43">
        <v>0</v>
      </c>
      <c r="R1555" s="43">
        <v>0</v>
      </c>
      <c r="S1555" s="43">
        <v>0</v>
      </c>
      <c r="T1555" s="43">
        <v>0</v>
      </c>
      <c r="U1555" s="56"/>
    </row>
    <row r="1556" spans="1:21" ht="17.25" customHeight="1" x14ac:dyDescent="0.3">
      <c r="A1556" s="15" t="s">
        <v>30</v>
      </c>
      <c r="C1556" s="19"/>
      <c r="D1556" s="33" t="str">
        <f t="shared" si="388"/>
        <v>E100044</v>
      </c>
      <c r="E1556" s="33"/>
      <c r="F1556" s="34"/>
      <c r="G1556" s="34" t="str">
        <f>"""NAV Direct"",""CRONUS JetCorp USA"",""32"",""1"",""78852"""</f>
        <v>"NAV Direct","CRONUS JetCorp USA","32","1","78852"</v>
      </c>
      <c r="H1556" s="40">
        <v>43470</v>
      </c>
      <c r="I1556" s="41">
        <v>78852</v>
      </c>
      <c r="J1556" s="42" t="str">
        <f>"Customer"</f>
        <v>Customer</v>
      </c>
      <c r="K1556" s="42" t="str">
        <f>"C100117"</f>
        <v>C100117</v>
      </c>
      <c r="L1556" s="42" t="str">
        <f>IF($J1556="Customer",_xll.NL("first",$J1556,"Name","No.","@@"&amp;$K1556),"")</f>
        <v xml:space="preserve">Tintax </v>
      </c>
      <c r="M1556" s="42" t="str">
        <f>""</f>
        <v/>
      </c>
      <c r="N1556" s="42" t="str">
        <f>IF($J1556="Item",_xll.NL("first",$J1556,"Description","No.","@@"&amp;$K1556),"")</f>
        <v/>
      </c>
      <c r="O1556" s="43">
        <v>0</v>
      </c>
      <c r="P1556" s="43">
        <v>-144</v>
      </c>
      <c r="Q1556" s="43">
        <v>0</v>
      </c>
      <c r="R1556" s="43">
        <v>0</v>
      </c>
      <c r="S1556" s="43">
        <v>0</v>
      </c>
      <c r="T1556" s="43">
        <v>0</v>
      </c>
      <c r="U1556" s="56"/>
    </row>
    <row r="1557" spans="1:21" ht="17.25" customHeight="1" x14ac:dyDescent="0.3">
      <c r="A1557" s="15" t="s">
        <v>30</v>
      </c>
      <c r="C1557" s="19"/>
      <c r="D1557" s="33" t="str">
        <f t="shared" si="388"/>
        <v>E100044</v>
      </c>
      <c r="E1557" s="33"/>
      <c r="F1557" s="34"/>
      <c r="G1557" s="34" t="str">
        <f>"""NAV Direct"",""CRONUS JetCorp USA"",""32"",""1"",""72523"""</f>
        <v>"NAV Direct","CRONUS JetCorp USA","32","1","72523"</v>
      </c>
      <c r="H1557" s="40">
        <v>43471</v>
      </c>
      <c r="I1557" s="41">
        <v>72523</v>
      </c>
      <c r="J1557" s="42" t="str">
        <f>"Customer"</f>
        <v>Customer</v>
      </c>
      <c r="K1557" s="42" t="str">
        <f>"C100107"</f>
        <v>C100107</v>
      </c>
      <c r="L1557" s="42" t="str">
        <f>IF($J1557="Customer",_xll.NL("first",$J1557,"Name","No.","@@"&amp;$K1557),"")</f>
        <v>Lexitechnology</v>
      </c>
      <c r="M1557" s="42" t="str">
        <f>""</f>
        <v/>
      </c>
      <c r="N1557" s="42" t="str">
        <f>IF($J1557="Item",_xll.NL("first",$J1557,"Description","No.","@@"&amp;$K1557),"")</f>
        <v/>
      </c>
      <c r="O1557" s="43">
        <v>0</v>
      </c>
      <c r="P1557" s="43">
        <v>-144</v>
      </c>
      <c r="Q1557" s="43">
        <v>0</v>
      </c>
      <c r="R1557" s="43">
        <v>0</v>
      </c>
      <c r="S1557" s="43">
        <v>0</v>
      </c>
      <c r="T1557" s="43">
        <v>0</v>
      </c>
      <c r="U1557" s="56"/>
    </row>
    <row r="1558" spans="1:21" ht="17.25" customHeight="1" x14ac:dyDescent="0.3">
      <c r="A1558" s="15" t="s">
        <v>30</v>
      </c>
      <c r="C1558" s="19"/>
      <c r="D1558" s="33" t="str">
        <f t="shared" si="388"/>
        <v>E100044</v>
      </c>
      <c r="E1558" s="33"/>
      <c r="F1558" s="34"/>
      <c r="G1558" s="34" t="str">
        <f>"""NAV Direct"",""CRONUS JetCorp USA"",""32"",""1"",""54742"""</f>
        <v>"NAV Direct","CRONUS JetCorp USA","32","1","54742"</v>
      </c>
      <c r="H1558" s="40">
        <v>43472</v>
      </c>
      <c r="I1558" s="41">
        <v>54742</v>
      </c>
      <c r="J1558" s="42" t="str">
        <f>"Customer"</f>
        <v>Customer</v>
      </c>
      <c r="K1558" s="42" t="str">
        <f>"C100084"</f>
        <v>C100084</v>
      </c>
      <c r="L1558" s="42" t="str">
        <f>IF($J1558="Customer",_xll.NL("first",$J1558,"Name","No.","@@"&amp;$K1558),"")</f>
        <v>The Cannon Group PLC</v>
      </c>
      <c r="M1558" s="42" t="str">
        <f>""</f>
        <v/>
      </c>
      <c r="N1558" s="42" t="str">
        <f>IF($J1558="Item",_xll.NL("first",$J1558,"Description","No.","@@"&amp;$K1558),"")</f>
        <v/>
      </c>
      <c r="O1558" s="43">
        <v>0</v>
      </c>
      <c r="P1558" s="43">
        <v>-144</v>
      </c>
      <c r="Q1558" s="43">
        <v>0</v>
      </c>
      <c r="R1558" s="43">
        <v>0</v>
      </c>
      <c r="S1558" s="43">
        <v>0</v>
      </c>
      <c r="T1558" s="43">
        <v>0</v>
      </c>
      <c r="U1558" s="56"/>
    </row>
    <row r="1559" spans="1:21" ht="17.25" customHeight="1" x14ac:dyDescent="0.3">
      <c r="A1559" s="15" t="s">
        <v>30</v>
      </c>
      <c r="C1559" s="19"/>
      <c r="D1559" s="33" t="str">
        <f t="shared" si="388"/>
        <v>E100044</v>
      </c>
      <c r="E1559" s="33"/>
      <c r="F1559" s="34"/>
      <c r="G1559" s="34" t="str">
        <f>"""NAV Direct"",""CRONUS JetCorp USA"",""32"",""1"",""64605"""</f>
        <v>"NAV Direct","CRONUS JetCorp USA","32","1","64605"</v>
      </c>
      <c r="H1559" s="40">
        <v>43472</v>
      </c>
      <c r="I1559" s="41">
        <v>64605</v>
      </c>
      <c r="J1559" s="42" t="str">
        <f>"Customer"</f>
        <v>Customer</v>
      </c>
      <c r="K1559" s="42" t="str">
        <f>"C100140"</f>
        <v>C100140</v>
      </c>
      <c r="L1559" s="42" t="str">
        <f>IF($J1559="Customer",_xll.NL("first",$J1559,"Name","No.","@@"&amp;$K1559),"")</f>
        <v>Super Daves</v>
      </c>
      <c r="M1559" s="42" t="str">
        <f>""</f>
        <v/>
      </c>
      <c r="N1559" s="42" t="str">
        <f>IF($J1559="Item",_xll.NL("first",$J1559,"Description","No.","@@"&amp;$K1559),"")</f>
        <v/>
      </c>
      <c r="O1559" s="43">
        <v>0</v>
      </c>
      <c r="P1559" s="43">
        <v>-144</v>
      </c>
      <c r="Q1559" s="43">
        <v>0</v>
      </c>
      <c r="R1559" s="43">
        <v>0</v>
      </c>
      <c r="S1559" s="43">
        <v>0</v>
      </c>
      <c r="T1559" s="43">
        <v>0</v>
      </c>
      <c r="U1559" s="56"/>
    </row>
    <row r="1560" spans="1:21" ht="17.25" customHeight="1" x14ac:dyDescent="0.3">
      <c r="A1560" s="15" t="s">
        <v>30</v>
      </c>
      <c r="C1560" s="19"/>
      <c r="D1560" s="33" t="str">
        <f t="shared" si="388"/>
        <v>E100044</v>
      </c>
      <c r="E1560" s="33"/>
      <c r="F1560" s="34"/>
      <c r="G1560" s="34" t="str">
        <f>"""NAV Direct"",""CRONUS JetCorp USA"",""32"",""1"",""44535"""</f>
        <v>"NAV Direct","CRONUS JetCorp USA","32","1","44535"</v>
      </c>
      <c r="H1560" s="40">
        <v>43473</v>
      </c>
      <c r="I1560" s="41">
        <v>44535</v>
      </c>
      <c r="J1560" s="42" t="str">
        <f>"Customer"</f>
        <v>Customer</v>
      </c>
      <c r="K1560" s="42" t="str">
        <f>"C100139"</f>
        <v>C100139</v>
      </c>
      <c r="L1560" s="42" t="str">
        <f>IF($J1560="Customer",_xll.NL("first",$J1560,"Name","No.","@@"&amp;$K1560),"")</f>
        <v>Gamma Ray's</v>
      </c>
      <c r="M1560" s="42" t="str">
        <f>""</f>
        <v/>
      </c>
      <c r="N1560" s="42" t="str">
        <f>IF($J1560="Item",_xll.NL("first",$J1560,"Description","No.","@@"&amp;$K1560),"")</f>
        <v/>
      </c>
      <c r="O1560" s="43">
        <v>0</v>
      </c>
      <c r="P1560" s="43">
        <v>-144</v>
      </c>
      <c r="Q1560" s="43">
        <v>0</v>
      </c>
      <c r="R1560" s="43">
        <v>0</v>
      </c>
      <c r="S1560" s="43">
        <v>0</v>
      </c>
      <c r="T1560" s="43">
        <v>0</v>
      </c>
      <c r="U1560" s="56"/>
    </row>
    <row r="1561" spans="1:21" ht="17.25" customHeight="1" x14ac:dyDescent="0.3">
      <c r="A1561" s="15" t="s">
        <v>30</v>
      </c>
      <c r="C1561" s="19"/>
      <c r="D1561" s="33" t="str">
        <f t="shared" si="388"/>
        <v>E100044</v>
      </c>
      <c r="E1561" s="33"/>
      <c r="F1561" s="34"/>
      <c r="G1561" s="34" t="str">
        <f>"""NAV Direct"",""CRONUS JetCorp USA"",""32"",""1"",""153186"""</f>
        <v>"NAV Direct","CRONUS JetCorp USA","32","1","153186"</v>
      </c>
      <c r="H1561" s="40">
        <v>43475</v>
      </c>
      <c r="I1561" s="41">
        <v>153186</v>
      </c>
      <c r="J1561" s="42" t="str">
        <f>"Customer"</f>
        <v>Customer</v>
      </c>
      <c r="K1561" s="42" t="str">
        <f>"C100108"</f>
        <v>C100108</v>
      </c>
      <c r="L1561" s="42" t="str">
        <f>IF($J1561="Customer",_xll.NL("first",$J1561,"Name","No.","@@"&amp;$K1561),"")</f>
        <v>Kinfix Industries</v>
      </c>
      <c r="M1561" s="42" t="str">
        <f>""</f>
        <v/>
      </c>
      <c r="N1561" s="42" t="str">
        <f>IF($J1561="Item",_xll.NL("first",$J1561,"Description","No.","@@"&amp;$K1561),"")</f>
        <v/>
      </c>
      <c r="O1561" s="43">
        <v>0</v>
      </c>
      <c r="P1561" s="43">
        <v>-1</v>
      </c>
      <c r="Q1561" s="43">
        <v>0</v>
      </c>
      <c r="R1561" s="43">
        <v>0</v>
      </c>
      <c r="S1561" s="43">
        <v>0</v>
      </c>
      <c r="T1561" s="43">
        <v>0</v>
      </c>
      <c r="U1561" s="56"/>
    </row>
    <row r="1562" spans="1:21" ht="17.25" customHeight="1" x14ac:dyDescent="0.3">
      <c r="A1562" s="15" t="s">
        <v>30</v>
      </c>
      <c r="C1562" s="19"/>
      <c r="D1562" s="33" t="str">
        <f t="shared" si="388"/>
        <v>E100044</v>
      </c>
      <c r="E1562" s="33"/>
      <c r="F1562" s="34"/>
      <c r="G1562" s="34" t="str">
        <f>"""NAV Direct"",""CRONUS JetCorp USA"",""32"",""1"",""159987"""</f>
        <v>"NAV Direct","CRONUS JetCorp USA","32","1","159987"</v>
      </c>
      <c r="H1562" s="40">
        <v>43475</v>
      </c>
      <c r="I1562" s="41">
        <v>159987</v>
      </c>
      <c r="J1562" s="42" t="str">
        <f>"Customer"</f>
        <v>Customer</v>
      </c>
      <c r="K1562" s="42" t="str">
        <f>"C100058"</f>
        <v>C100058</v>
      </c>
      <c r="L1562" s="42" t="str">
        <f>IF($J1562="Customer",_xll.NL("first",$J1562,"Name","No.","@@"&amp;$K1562),"")</f>
        <v>Marsholm Karmstol</v>
      </c>
      <c r="M1562" s="42" t="str">
        <f>""</f>
        <v/>
      </c>
      <c r="N1562" s="42" t="str">
        <f>IF($J1562="Item",_xll.NL("first",$J1562,"Description","No.","@@"&amp;$K1562),"")</f>
        <v/>
      </c>
      <c r="O1562" s="43">
        <v>0</v>
      </c>
      <c r="P1562" s="43">
        <v>1</v>
      </c>
      <c r="Q1562" s="43">
        <v>0</v>
      </c>
      <c r="R1562" s="43">
        <v>0</v>
      </c>
      <c r="S1562" s="43">
        <v>0</v>
      </c>
      <c r="T1562" s="43">
        <v>0</v>
      </c>
      <c r="U1562" s="56"/>
    </row>
    <row r="1563" spans="1:21" ht="17.25" customHeight="1" x14ac:dyDescent="0.3">
      <c r="A1563" s="15" t="s">
        <v>30</v>
      </c>
      <c r="C1563" s="19"/>
      <c r="D1563" s="33"/>
      <c r="E1563" s="33"/>
      <c r="F1563" s="34"/>
      <c r="G1563" s="34"/>
      <c r="H1563" s="34"/>
      <c r="I1563" s="34"/>
      <c r="J1563" s="34"/>
      <c r="K1563" s="34"/>
      <c r="L1563" s="34"/>
      <c r="M1563" s="34"/>
      <c r="N1563" s="34"/>
      <c r="O1563" s="44"/>
      <c r="P1563" s="44"/>
      <c r="Q1563" s="44"/>
      <c r="R1563" s="44"/>
      <c r="S1563" s="44"/>
      <c r="T1563" s="44"/>
      <c r="U1563" s="57"/>
    </row>
    <row r="1564" spans="1:21" ht="17.25" customHeight="1" x14ac:dyDescent="0.3">
      <c r="A1564" s="15" t="s">
        <v>30</v>
      </c>
      <c r="C1564" s="19"/>
      <c r="D1564" s="33"/>
      <c r="E1564" s="33" t="s">
        <v>31</v>
      </c>
      <c r="F1564" s="34" t="s">
        <v>31</v>
      </c>
      <c r="G1564" s="34" t="s">
        <v>31</v>
      </c>
      <c r="H1564" s="34"/>
      <c r="I1564" s="34"/>
      <c r="J1564" s="34" t="s">
        <v>31</v>
      </c>
      <c r="K1564" s="34" t="s">
        <v>31</v>
      </c>
      <c r="L1564" s="34" t="s">
        <v>31</v>
      </c>
      <c r="M1564" s="34" t="s">
        <v>31</v>
      </c>
      <c r="N1564" s="34"/>
      <c r="U1564" s="58"/>
    </row>
    <row r="1565" spans="1:21" ht="20.25" customHeight="1" x14ac:dyDescent="0.35">
      <c r="A1565" s="15" t="s">
        <v>30</v>
      </c>
      <c r="C1565" s="19"/>
      <c r="D1565" s="35" t="str">
        <f t="shared" ref="D1565" si="389">E1565</f>
        <v>E100045</v>
      </c>
      <c r="E1565" s="36" t="str">
        <f>"E100045"</f>
        <v>E100045</v>
      </c>
      <c r="F1565" s="37" t="str">
        <f>"Flute"</f>
        <v>Flute</v>
      </c>
      <c r="G1565" s="37"/>
      <c r="H1565" s="38" t="str">
        <f>"EA"</f>
        <v>EA</v>
      </c>
      <c r="I1565" s="37"/>
      <c r="J1565" s="37"/>
      <c r="K1565" s="37"/>
      <c r="L1565" s="37"/>
      <c r="M1565" s="37"/>
      <c r="N1565" s="37"/>
      <c r="O1565" s="39">
        <f>(SUBTOTAL(9,O1566:O1573))</f>
        <v>4250</v>
      </c>
      <c r="P1565" s="39">
        <f>(SUBTOTAL(9,P1566:P1573))</f>
        <v>-288</v>
      </c>
      <c r="Q1565" s="39">
        <f>(SUBTOTAL(9,Q1566:Q1573))</f>
        <v>0</v>
      </c>
      <c r="R1565" s="39">
        <f>(SUBTOTAL(9,R1566:R1573))</f>
        <v>0</v>
      </c>
      <c r="S1565" s="39">
        <f>(SUBTOTAL(9,S1566:S1573))</f>
        <v>0</v>
      </c>
      <c r="T1565" s="39">
        <f>(SUBTOTAL(9,T1566:T1573))</f>
        <v>0</v>
      </c>
      <c r="U1565" s="55">
        <f t="shared" ref="U1565" si="390">SUBTOTAL(9,O1566:T1573)</f>
        <v>3962</v>
      </c>
    </row>
    <row r="1566" spans="1:21" ht="17.25" customHeight="1" x14ac:dyDescent="0.3">
      <c r="A1566" s="15" t="s">
        <v>30</v>
      </c>
      <c r="C1566" s="19"/>
      <c r="D1566" s="33" t="str">
        <f t="shared" ref="D1566" si="391">D1565</f>
        <v>E100045</v>
      </c>
      <c r="E1566" s="33"/>
      <c r="F1566" s="34"/>
      <c r="G1566" s="34" t="str">
        <f>"""NAV Direct"",""CRONUS JetCorp USA"",""32"",""1"",""168605"""</f>
        <v>"NAV Direct","CRONUS JetCorp USA","32","1","168605"</v>
      </c>
      <c r="H1566" s="40">
        <v>43466</v>
      </c>
      <c r="I1566" s="41">
        <v>168605</v>
      </c>
      <c r="J1566" s="42" t="str">
        <f>"Vendor"</f>
        <v>Vendor</v>
      </c>
      <c r="K1566" s="42" t="str">
        <f>"V100025"</f>
        <v>V100025</v>
      </c>
      <c r="L1566" s="42" t="str">
        <f>IF($J1566="Customer",_xll.NL("first",$J1566,"Name","No.","@@"&amp;$K1566),"")</f>
        <v/>
      </c>
      <c r="M1566" s="42" t="str">
        <f>"Club Euroamis"</f>
        <v>Club Euroamis</v>
      </c>
      <c r="N1566" s="42" t="str">
        <f>IF($J1566="Item",_xll.NL("first",$J1566,"Description","No.","@@"&amp;$K1566),"")</f>
        <v/>
      </c>
      <c r="O1566" s="43">
        <v>249.99999999999997</v>
      </c>
      <c r="P1566" s="43">
        <v>0</v>
      </c>
      <c r="Q1566" s="43">
        <v>0</v>
      </c>
      <c r="R1566" s="43">
        <v>0</v>
      </c>
      <c r="S1566" s="43">
        <v>0</v>
      </c>
      <c r="T1566" s="43">
        <v>0</v>
      </c>
      <c r="U1566" s="56"/>
    </row>
    <row r="1567" spans="1:21" ht="17.25" customHeight="1" x14ac:dyDescent="0.3">
      <c r="A1567" s="15" t="s">
        <v>30</v>
      </c>
      <c r="C1567" s="19"/>
      <c r="D1567" s="33" t="str">
        <f t="shared" ref="D1567:D1572" si="392">D1566</f>
        <v>E100045</v>
      </c>
      <c r="E1567" s="33"/>
      <c r="F1567" s="34"/>
      <c r="G1567" s="34" t="str">
        <f>"""NAV Direct"",""CRONUS JetCorp USA"",""32"",""1"",""168626"""</f>
        <v>"NAV Direct","CRONUS JetCorp USA","32","1","168626"</v>
      </c>
      <c r="H1567" s="40">
        <v>43466</v>
      </c>
      <c r="I1567" s="41">
        <v>168626</v>
      </c>
      <c r="J1567" s="42" t="str">
        <f>"Vendor"</f>
        <v>Vendor</v>
      </c>
      <c r="K1567" s="42" t="str">
        <f>"V100007"</f>
        <v>V100007</v>
      </c>
      <c r="L1567" s="42" t="str">
        <f>IF($J1567="Customer",_xll.NL("first",$J1567,"Name","No.","@@"&amp;$K1567),"")</f>
        <v/>
      </c>
      <c r="M1567" s="42" t="str">
        <f>"TrendTech"</f>
        <v>TrendTech</v>
      </c>
      <c r="N1567" s="42" t="str">
        <f>IF($J1567="Item",_xll.NL("first",$J1567,"Description","No.","@@"&amp;$K1567),"")</f>
        <v/>
      </c>
      <c r="O1567" s="43">
        <v>499.99999999999994</v>
      </c>
      <c r="P1567" s="43">
        <v>0</v>
      </c>
      <c r="Q1567" s="43">
        <v>0</v>
      </c>
      <c r="R1567" s="43">
        <v>0</v>
      </c>
      <c r="S1567" s="43">
        <v>0</v>
      </c>
      <c r="T1567" s="43">
        <v>0</v>
      </c>
      <c r="U1567" s="56"/>
    </row>
    <row r="1568" spans="1:21" ht="17.25" customHeight="1" x14ac:dyDescent="0.3">
      <c r="A1568" s="15" t="s">
        <v>30</v>
      </c>
      <c r="C1568" s="19"/>
      <c r="D1568" s="33" t="str">
        <f t="shared" si="392"/>
        <v>E100045</v>
      </c>
      <c r="E1568" s="33"/>
      <c r="F1568" s="34"/>
      <c r="G1568" s="34" t="str">
        <f>"""NAV Direct"",""CRONUS JetCorp USA"",""32"",""1"",""168635"""</f>
        <v>"NAV Direct","CRONUS JetCorp USA","32","1","168635"</v>
      </c>
      <c r="H1568" s="40">
        <v>43466</v>
      </c>
      <c r="I1568" s="41">
        <v>168635</v>
      </c>
      <c r="J1568" s="42" t="str">
        <f>"Vendor"</f>
        <v>Vendor</v>
      </c>
      <c r="K1568" s="42" t="str">
        <f>"V100001"</f>
        <v>V100001</v>
      </c>
      <c r="L1568" s="42" t="str">
        <f>IF($J1568="Customer",_xll.NL("first",$J1568,"Name","No.","@@"&amp;$K1568),"")</f>
        <v/>
      </c>
      <c r="M1568" s="42" t="str">
        <f>"Greigner, Inc."</f>
        <v>Greigner, Inc.</v>
      </c>
      <c r="N1568" s="42" t="str">
        <f>IF($J1568="Item",_xll.NL("first",$J1568,"Description","No.","@@"&amp;$K1568),"")</f>
        <v/>
      </c>
      <c r="O1568" s="43">
        <v>1750</v>
      </c>
      <c r="P1568" s="43">
        <v>0</v>
      </c>
      <c r="Q1568" s="43">
        <v>0</v>
      </c>
      <c r="R1568" s="43">
        <v>0</v>
      </c>
      <c r="S1568" s="43">
        <v>0</v>
      </c>
      <c r="T1568" s="43">
        <v>0</v>
      </c>
      <c r="U1568" s="56"/>
    </row>
    <row r="1569" spans="1:21" ht="17.25" customHeight="1" x14ac:dyDescent="0.3">
      <c r="A1569" s="15" t="s">
        <v>30</v>
      </c>
      <c r="C1569" s="19"/>
      <c r="D1569" s="33" t="str">
        <f t="shared" si="392"/>
        <v>E100045</v>
      </c>
      <c r="E1569" s="33"/>
      <c r="F1569" s="34"/>
      <c r="G1569" s="34" t="str">
        <f>"""NAV Direct"",""CRONUS JetCorp USA"",""32"",""1"",""168659"""</f>
        <v>"NAV Direct","CRONUS JetCorp USA","32","1","168659"</v>
      </c>
      <c r="H1569" s="40">
        <v>43466</v>
      </c>
      <c r="I1569" s="41">
        <v>168659</v>
      </c>
      <c r="J1569" s="42" t="str">
        <f>"Vendor"</f>
        <v>Vendor</v>
      </c>
      <c r="K1569" s="42" t="str">
        <f>"V100003"</f>
        <v>V100003</v>
      </c>
      <c r="L1569" s="42" t="str">
        <f>IF($J1569="Customer",_xll.NL("first",$J1569,"Name","No.","@@"&amp;$K1569),"")</f>
        <v/>
      </c>
      <c r="M1569" s="42" t="str">
        <f>"LogoMasters"</f>
        <v>LogoMasters</v>
      </c>
      <c r="N1569" s="42" t="str">
        <f>IF($J1569="Item",_xll.NL("first",$J1569,"Description","No.","@@"&amp;$K1569),"")</f>
        <v/>
      </c>
      <c r="O1569" s="43">
        <v>1500</v>
      </c>
      <c r="P1569" s="43">
        <v>0</v>
      </c>
      <c r="Q1569" s="43">
        <v>0</v>
      </c>
      <c r="R1569" s="43">
        <v>0</v>
      </c>
      <c r="S1569" s="43">
        <v>0</v>
      </c>
      <c r="T1569" s="43">
        <v>0</v>
      </c>
      <c r="U1569" s="56"/>
    </row>
    <row r="1570" spans="1:21" ht="17.25" customHeight="1" x14ac:dyDescent="0.3">
      <c r="A1570" s="15" t="s">
        <v>30</v>
      </c>
      <c r="C1570" s="19"/>
      <c r="D1570" s="33" t="str">
        <f t="shared" si="392"/>
        <v>E100045</v>
      </c>
      <c r="E1570" s="33"/>
      <c r="F1570" s="34"/>
      <c r="G1570" s="34" t="str">
        <f>"""NAV Direct"",""CRONUS JetCorp USA"",""32"",""1"",""168674"""</f>
        <v>"NAV Direct","CRONUS JetCorp USA","32","1","168674"</v>
      </c>
      <c r="H1570" s="40">
        <v>43466</v>
      </c>
      <c r="I1570" s="41">
        <v>168674</v>
      </c>
      <c r="J1570" s="42" t="str">
        <f>"Vendor"</f>
        <v>Vendor</v>
      </c>
      <c r="K1570" s="42" t="str">
        <f>"V100001"</f>
        <v>V100001</v>
      </c>
      <c r="L1570" s="42" t="str">
        <f>IF($J1570="Customer",_xll.NL("first",$J1570,"Name","No.","@@"&amp;$K1570),"")</f>
        <v/>
      </c>
      <c r="M1570" s="42" t="str">
        <f>"Greigner, Inc."</f>
        <v>Greigner, Inc.</v>
      </c>
      <c r="N1570" s="42" t="str">
        <f>IF($J1570="Item",_xll.NL("first",$J1570,"Description","No.","@@"&amp;$K1570),"")</f>
        <v/>
      </c>
      <c r="O1570" s="43">
        <v>249.99999999999997</v>
      </c>
      <c r="P1570" s="43">
        <v>0</v>
      </c>
      <c r="Q1570" s="43">
        <v>0</v>
      </c>
      <c r="R1570" s="43">
        <v>0</v>
      </c>
      <c r="S1570" s="43">
        <v>0</v>
      </c>
      <c r="T1570" s="43">
        <v>0</v>
      </c>
      <c r="U1570" s="56"/>
    </row>
    <row r="1571" spans="1:21" ht="17.25" customHeight="1" x14ac:dyDescent="0.3">
      <c r="A1571" s="15" t="s">
        <v>30</v>
      </c>
      <c r="C1571" s="19"/>
      <c r="D1571" s="33" t="str">
        <f t="shared" si="392"/>
        <v>E100045</v>
      </c>
      <c r="E1571" s="33"/>
      <c r="F1571" s="34"/>
      <c r="G1571" s="34" t="str">
        <f>"""NAV Direct"",""CRONUS JetCorp USA"",""32"",""1"",""44479"""</f>
        <v>"NAV Direct","CRONUS JetCorp USA","32","1","44479"</v>
      </c>
      <c r="H1571" s="40">
        <v>43472</v>
      </c>
      <c r="I1571" s="41">
        <v>44479</v>
      </c>
      <c r="J1571" s="42" t="str">
        <f>"Customer"</f>
        <v>Customer</v>
      </c>
      <c r="K1571" s="42" t="str">
        <f>"C100141"</f>
        <v>C100141</v>
      </c>
      <c r="L1571" s="42" t="str">
        <f>IF($J1571="Customer",_xll.NL("first",$J1571,"Name","No.","@@"&amp;$K1571),"")</f>
        <v>Bargottis</v>
      </c>
      <c r="M1571" s="42" t="str">
        <f>""</f>
        <v/>
      </c>
      <c r="N1571" s="42" t="str">
        <f>IF($J1571="Item",_xll.NL("first",$J1571,"Description","No.","@@"&amp;$K1571),"")</f>
        <v/>
      </c>
      <c r="O1571" s="43">
        <v>0</v>
      </c>
      <c r="P1571" s="43">
        <v>-144</v>
      </c>
      <c r="Q1571" s="43">
        <v>0</v>
      </c>
      <c r="R1571" s="43">
        <v>0</v>
      </c>
      <c r="S1571" s="43">
        <v>0</v>
      </c>
      <c r="T1571" s="43">
        <v>0</v>
      </c>
      <c r="U1571" s="56"/>
    </row>
    <row r="1572" spans="1:21" ht="17.25" customHeight="1" x14ac:dyDescent="0.3">
      <c r="A1572" s="15" t="s">
        <v>30</v>
      </c>
      <c r="C1572" s="19"/>
      <c r="D1572" s="33" t="str">
        <f t="shared" si="392"/>
        <v>E100045</v>
      </c>
      <c r="E1572" s="33"/>
      <c r="F1572" s="34"/>
      <c r="G1572" s="34" t="str">
        <f>"""NAV Direct"",""CRONUS JetCorp USA"",""32"",""1"",""44534"""</f>
        <v>"NAV Direct","CRONUS JetCorp USA","32","1","44534"</v>
      </c>
      <c r="H1572" s="40">
        <v>43473</v>
      </c>
      <c r="I1572" s="41">
        <v>44534</v>
      </c>
      <c r="J1572" s="42" t="str">
        <f>"Customer"</f>
        <v>Customer</v>
      </c>
      <c r="K1572" s="42" t="str">
        <f>"C100139"</f>
        <v>C100139</v>
      </c>
      <c r="L1572" s="42" t="str">
        <f>IF($J1572="Customer",_xll.NL("first",$J1572,"Name","No.","@@"&amp;$K1572),"")</f>
        <v>Gamma Ray's</v>
      </c>
      <c r="M1572" s="42" t="str">
        <f>""</f>
        <v/>
      </c>
      <c r="N1572" s="42" t="str">
        <f>IF($J1572="Item",_xll.NL("first",$J1572,"Description","No.","@@"&amp;$K1572),"")</f>
        <v/>
      </c>
      <c r="O1572" s="43">
        <v>0</v>
      </c>
      <c r="P1572" s="43">
        <v>-144</v>
      </c>
      <c r="Q1572" s="43">
        <v>0</v>
      </c>
      <c r="R1572" s="43">
        <v>0</v>
      </c>
      <c r="S1572" s="43">
        <v>0</v>
      </c>
      <c r="T1572" s="43">
        <v>0</v>
      </c>
      <c r="U1572" s="56"/>
    </row>
    <row r="1573" spans="1:21" ht="17.25" customHeight="1" x14ac:dyDescent="0.3">
      <c r="A1573" s="15" t="s">
        <v>30</v>
      </c>
      <c r="C1573" s="19"/>
      <c r="D1573" s="33"/>
      <c r="E1573" s="33"/>
      <c r="F1573" s="34"/>
      <c r="G1573" s="34"/>
      <c r="H1573" s="34"/>
      <c r="I1573" s="34"/>
      <c r="J1573" s="34"/>
      <c r="K1573" s="34"/>
      <c r="L1573" s="34"/>
      <c r="M1573" s="34"/>
      <c r="N1573" s="34"/>
      <c r="O1573" s="44"/>
      <c r="P1573" s="44"/>
      <c r="Q1573" s="44"/>
      <c r="R1573" s="44"/>
      <c r="S1573" s="44"/>
      <c r="T1573" s="44"/>
      <c r="U1573" s="57"/>
    </row>
    <row r="1574" spans="1:21" ht="17.25" customHeight="1" x14ac:dyDescent="0.3">
      <c r="A1574" s="15" t="s">
        <v>30</v>
      </c>
      <c r="C1574" s="19"/>
      <c r="D1574" s="33"/>
      <c r="E1574" s="33" t="s">
        <v>31</v>
      </c>
      <c r="F1574" s="34" t="s">
        <v>31</v>
      </c>
      <c r="G1574" s="34" t="s">
        <v>31</v>
      </c>
      <c r="H1574" s="34"/>
      <c r="I1574" s="34"/>
      <c r="J1574" s="34" t="s">
        <v>31</v>
      </c>
      <c r="K1574" s="34" t="s">
        <v>31</v>
      </c>
      <c r="L1574" s="34" t="s">
        <v>31</v>
      </c>
      <c r="M1574" s="34" t="s">
        <v>31</v>
      </c>
      <c r="N1574" s="34"/>
      <c r="U1574" s="58"/>
    </row>
    <row r="1575" spans="1:21" ht="20.25" customHeight="1" x14ac:dyDescent="0.35">
      <c r="A1575" s="15" t="s">
        <v>30</v>
      </c>
      <c r="C1575" s="19"/>
      <c r="D1575" s="35" t="str">
        <f t="shared" ref="D1575" si="393">E1575</f>
        <v>E100046</v>
      </c>
      <c r="E1575" s="36" t="str">
        <f>"E100046"</f>
        <v>E100046</v>
      </c>
      <c r="F1575" s="37" t="str">
        <f>"Milk Bottle"</f>
        <v>Milk Bottle</v>
      </c>
      <c r="G1575" s="37"/>
      <c r="H1575" s="38" t="str">
        <f>"EA"</f>
        <v>EA</v>
      </c>
      <c r="I1575" s="37"/>
      <c r="J1575" s="37"/>
      <c r="K1575" s="37"/>
      <c r="L1575" s="37"/>
      <c r="M1575" s="37"/>
      <c r="N1575" s="37"/>
      <c r="O1575" s="39">
        <f>(SUBTOTAL(9,O1576:O1585))</f>
        <v>4000</v>
      </c>
      <c r="P1575" s="39">
        <f>(SUBTOTAL(9,P1576:P1585))</f>
        <v>-469</v>
      </c>
      <c r="Q1575" s="39">
        <f>(SUBTOTAL(9,Q1576:Q1585))</f>
        <v>0</v>
      </c>
      <c r="R1575" s="39">
        <f>(SUBTOTAL(9,R1576:R1585))</f>
        <v>0</v>
      </c>
      <c r="S1575" s="39">
        <f>(SUBTOTAL(9,S1576:S1585))</f>
        <v>0</v>
      </c>
      <c r="T1575" s="39">
        <f>(SUBTOTAL(9,T1576:T1585))</f>
        <v>0</v>
      </c>
      <c r="U1575" s="55">
        <f t="shared" ref="U1575" si="394">SUBTOTAL(9,O1576:T1585)</f>
        <v>3531</v>
      </c>
    </row>
    <row r="1576" spans="1:21" ht="17.25" customHeight="1" x14ac:dyDescent="0.3">
      <c r="A1576" s="15" t="s">
        <v>30</v>
      </c>
      <c r="C1576" s="19"/>
      <c r="D1576" s="33" t="str">
        <f t="shared" ref="D1576" si="395">D1575</f>
        <v>E100046</v>
      </c>
      <c r="E1576" s="33"/>
      <c r="F1576" s="34"/>
      <c r="G1576" s="34" t="str">
        <f>"""NAV Direct"",""CRONUS JetCorp USA"",""32"",""1"",""168612"""</f>
        <v>"NAV Direct","CRONUS JetCorp USA","32","1","168612"</v>
      </c>
      <c r="H1576" s="40">
        <v>43466</v>
      </c>
      <c r="I1576" s="41">
        <v>168612</v>
      </c>
      <c r="J1576" s="42" t="str">
        <f>"Vendor"</f>
        <v>Vendor</v>
      </c>
      <c r="K1576" s="42" t="str">
        <f>"V100040"</f>
        <v>V100040</v>
      </c>
      <c r="L1576" s="42" t="str">
        <f>IF($J1576="Customer",_xll.NL("first",$J1576,"Name","No.","@@"&amp;$K1576),"")</f>
        <v/>
      </c>
      <c r="M1576" s="42" t="str">
        <f>"Technische Betriebe Rotkreuz"</f>
        <v>Technische Betriebe Rotkreuz</v>
      </c>
      <c r="N1576" s="42" t="str">
        <f>IF($J1576="Item",_xll.NL("first",$J1576,"Description","No.","@@"&amp;$K1576),"")</f>
        <v/>
      </c>
      <c r="O1576" s="43">
        <v>750</v>
      </c>
      <c r="P1576" s="43">
        <v>0</v>
      </c>
      <c r="Q1576" s="43">
        <v>0</v>
      </c>
      <c r="R1576" s="43">
        <v>0</v>
      </c>
      <c r="S1576" s="43">
        <v>0</v>
      </c>
      <c r="T1576" s="43">
        <v>0</v>
      </c>
      <c r="U1576" s="56"/>
    </row>
    <row r="1577" spans="1:21" ht="17.25" customHeight="1" x14ac:dyDescent="0.3">
      <c r="A1577" s="15" t="s">
        <v>30</v>
      </c>
      <c r="C1577" s="19"/>
      <c r="D1577" s="33" t="str">
        <f t="shared" ref="D1577:D1584" si="396">D1576</f>
        <v>E100046</v>
      </c>
      <c r="E1577" s="33"/>
      <c r="F1577" s="34"/>
      <c r="G1577" s="34" t="str">
        <f>"""NAV Direct"",""CRONUS JetCorp USA"",""32"",""1"",""168625"""</f>
        <v>"NAV Direct","CRONUS JetCorp USA","32","1","168625"</v>
      </c>
      <c r="H1577" s="40">
        <v>43466</v>
      </c>
      <c r="I1577" s="41">
        <v>168625</v>
      </c>
      <c r="J1577" s="42" t="str">
        <f>"Vendor"</f>
        <v>Vendor</v>
      </c>
      <c r="K1577" s="42" t="str">
        <f>"V100007"</f>
        <v>V100007</v>
      </c>
      <c r="L1577" s="42" t="str">
        <f>IF($J1577="Customer",_xll.NL("first",$J1577,"Name","No.","@@"&amp;$K1577),"")</f>
        <v/>
      </c>
      <c r="M1577" s="42" t="str">
        <f>"TrendTech"</f>
        <v>TrendTech</v>
      </c>
      <c r="N1577" s="42" t="str">
        <f>IF($J1577="Item",_xll.NL("first",$J1577,"Description","No.","@@"&amp;$K1577),"")</f>
        <v/>
      </c>
      <c r="O1577" s="43">
        <v>499.99999999999994</v>
      </c>
      <c r="P1577" s="43">
        <v>0</v>
      </c>
      <c r="Q1577" s="43">
        <v>0</v>
      </c>
      <c r="R1577" s="43">
        <v>0</v>
      </c>
      <c r="S1577" s="43">
        <v>0</v>
      </c>
      <c r="T1577" s="43">
        <v>0</v>
      </c>
      <c r="U1577" s="56"/>
    </row>
    <row r="1578" spans="1:21" ht="17.25" customHeight="1" x14ac:dyDescent="0.3">
      <c r="A1578" s="15" t="s">
        <v>30</v>
      </c>
      <c r="C1578" s="19"/>
      <c r="D1578" s="33" t="str">
        <f t="shared" si="396"/>
        <v>E100046</v>
      </c>
      <c r="E1578" s="33"/>
      <c r="F1578" s="34"/>
      <c r="G1578" s="34" t="str">
        <f>"""NAV Direct"",""CRONUS JetCorp USA"",""32"",""1"",""168634"""</f>
        <v>"NAV Direct","CRONUS JetCorp USA","32","1","168634"</v>
      </c>
      <c r="H1578" s="40">
        <v>43466</v>
      </c>
      <c r="I1578" s="41">
        <v>168634</v>
      </c>
      <c r="J1578" s="42" t="str">
        <f>"Vendor"</f>
        <v>Vendor</v>
      </c>
      <c r="K1578" s="42" t="str">
        <f>"V100001"</f>
        <v>V100001</v>
      </c>
      <c r="L1578" s="42" t="str">
        <f>IF($J1578="Customer",_xll.NL("first",$J1578,"Name","No.","@@"&amp;$K1578),"")</f>
        <v/>
      </c>
      <c r="M1578" s="42" t="str">
        <f>"Greigner, Inc."</f>
        <v>Greigner, Inc.</v>
      </c>
      <c r="N1578" s="42" t="str">
        <f>IF($J1578="Item",_xll.NL("first",$J1578,"Description","No.","@@"&amp;$K1578),"")</f>
        <v/>
      </c>
      <c r="O1578" s="43">
        <v>2250</v>
      </c>
      <c r="P1578" s="43">
        <v>0</v>
      </c>
      <c r="Q1578" s="43">
        <v>0</v>
      </c>
      <c r="R1578" s="43">
        <v>0</v>
      </c>
      <c r="S1578" s="43">
        <v>0</v>
      </c>
      <c r="T1578" s="43">
        <v>0</v>
      </c>
      <c r="U1578" s="56"/>
    </row>
    <row r="1579" spans="1:21" ht="17.25" customHeight="1" x14ac:dyDescent="0.3">
      <c r="A1579" s="15" t="s">
        <v>30</v>
      </c>
      <c r="C1579" s="19"/>
      <c r="D1579" s="33" t="str">
        <f t="shared" si="396"/>
        <v>E100046</v>
      </c>
      <c r="E1579" s="33"/>
      <c r="F1579" s="34"/>
      <c r="G1579" s="34" t="str">
        <f>"""NAV Direct"",""CRONUS JetCorp USA"",""32"",""1"",""168658"""</f>
        <v>"NAV Direct","CRONUS JetCorp USA","32","1","168658"</v>
      </c>
      <c r="H1579" s="40">
        <v>43466</v>
      </c>
      <c r="I1579" s="41">
        <v>168658</v>
      </c>
      <c r="J1579" s="42" t="str">
        <f>"Vendor"</f>
        <v>Vendor</v>
      </c>
      <c r="K1579" s="42" t="str">
        <f>"V100003"</f>
        <v>V100003</v>
      </c>
      <c r="L1579" s="42" t="str">
        <f>IF($J1579="Customer",_xll.NL("first",$J1579,"Name","No.","@@"&amp;$K1579),"")</f>
        <v/>
      </c>
      <c r="M1579" s="42" t="str">
        <f>"LogoMasters"</f>
        <v>LogoMasters</v>
      </c>
      <c r="N1579" s="42" t="str">
        <f>IF($J1579="Item",_xll.NL("first",$J1579,"Description","No.","@@"&amp;$K1579),"")</f>
        <v/>
      </c>
      <c r="O1579" s="43">
        <v>499.99999999999994</v>
      </c>
      <c r="P1579" s="43">
        <v>0</v>
      </c>
      <c r="Q1579" s="43">
        <v>0</v>
      </c>
      <c r="R1579" s="43">
        <v>0</v>
      </c>
      <c r="S1579" s="43">
        <v>0</v>
      </c>
      <c r="T1579" s="43">
        <v>0</v>
      </c>
      <c r="U1579" s="56"/>
    </row>
    <row r="1580" spans="1:21" ht="17.25" customHeight="1" x14ac:dyDescent="0.3">
      <c r="A1580" s="15" t="s">
        <v>30</v>
      </c>
      <c r="C1580" s="19"/>
      <c r="D1580" s="33" t="str">
        <f t="shared" si="396"/>
        <v>E100046</v>
      </c>
      <c r="E1580" s="33"/>
      <c r="F1580" s="34"/>
      <c r="G1580" s="34" t="str">
        <f>"""NAV Direct"",""CRONUS JetCorp USA"",""32"",""1"",""64576"""</f>
        <v>"NAV Direct","CRONUS JetCorp USA","32","1","64576"</v>
      </c>
      <c r="H1580" s="40">
        <v>43469</v>
      </c>
      <c r="I1580" s="41">
        <v>64576</v>
      </c>
      <c r="J1580" s="42" t="str">
        <f>"Customer"</f>
        <v>Customer</v>
      </c>
      <c r="K1580" s="42" t="str">
        <f>"C100140"</f>
        <v>C100140</v>
      </c>
      <c r="L1580" s="42" t="str">
        <f>IF($J1580="Customer",_xll.NL("first",$J1580,"Name","No.","@@"&amp;$K1580),"")</f>
        <v>Super Daves</v>
      </c>
      <c r="M1580" s="42" t="str">
        <f>""</f>
        <v/>
      </c>
      <c r="N1580" s="42" t="str">
        <f>IF($J1580="Item",_xll.NL("first",$J1580,"Description","No.","@@"&amp;$K1580),"")</f>
        <v/>
      </c>
      <c r="O1580" s="43">
        <v>0</v>
      </c>
      <c r="P1580" s="43">
        <v>-288</v>
      </c>
      <c r="Q1580" s="43">
        <v>0</v>
      </c>
      <c r="R1580" s="43">
        <v>0</v>
      </c>
      <c r="S1580" s="43">
        <v>0</v>
      </c>
      <c r="T1580" s="43">
        <v>0</v>
      </c>
      <c r="U1580" s="56"/>
    </row>
    <row r="1581" spans="1:21" ht="17.25" customHeight="1" x14ac:dyDescent="0.3">
      <c r="A1581" s="15" t="s">
        <v>30</v>
      </c>
      <c r="C1581" s="19"/>
      <c r="D1581" s="33" t="str">
        <f t="shared" si="396"/>
        <v>E100046</v>
      </c>
      <c r="E1581" s="33"/>
      <c r="F1581" s="34"/>
      <c r="G1581" s="34" t="str">
        <f>"""NAV Direct"",""CRONUS JetCorp USA"",""32"",""1"",""147991"""</f>
        <v>"NAV Direct","CRONUS JetCorp USA","32","1","147991"</v>
      </c>
      <c r="H1581" s="40">
        <v>43469</v>
      </c>
      <c r="I1581" s="41">
        <v>147991</v>
      </c>
      <c r="J1581" s="42" t="str">
        <f>"Customer"</f>
        <v>Customer</v>
      </c>
      <c r="K1581" s="42" t="str">
        <f>"C100096"</f>
        <v>C100096</v>
      </c>
      <c r="L1581" s="42" t="str">
        <f>IF($J1581="Customer",_xll.NL("first",$J1581,"Name","No.","@@"&amp;$K1581),"")</f>
        <v>D-Com Industries</v>
      </c>
      <c r="M1581" s="42" t="str">
        <f>""</f>
        <v/>
      </c>
      <c r="N1581" s="42" t="str">
        <f>IF($J1581="Item",_xll.NL("first",$J1581,"Description","No.","@@"&amp;$K1581),"")</f>
        <v/>
      </c>
      <c r="O1581" s="43">
        <v>0</v>
      </c>
      <c r="P1581" s="43">
        <v>-144</v>
      </c>
      <c r="Q1581" s="43">
        <v>0</v>
      </c>
      <c r="R1581" s="43">
        <v>0</v>
      </c>
      <c r="S1581" s="43">
        <v>0</v>
      </c>
      <c r="T1581" s="43">
        <v>0</v>
      </c>
      <c r="U1581" s="56"/>
    </row>
    <row r="1582" spans="1:21" ht="17.25" customHeight="1" x14ac:dyDescent="0.3">
      <c r="A1582" s="15" t="s">
        <v>30</v>
      </c>
      <c r="C1582" s="19"/>
      <c r="D1582" s="33" t="str">
        <f t="shared" si="396"/>
        <v>E100046</v>
      </c>
      <c r="E1582" s="33"/>
      <c r="F1582" s="34"/>
      <c r="G1582" s="34" t="str">
        <f>"""NAV Direct"",""CRONUS JetCorp USA"",""32"",""1"",""78857"""</f>
        <v>"NAV Direct","CRONUS JetCorp USA","32","1","78857"</v>
      </c>
      <c r="H1582" s="40">
        <v>43470</v>
      </c>
      <c r="I1582" s="41">
        <v>78857</v>
      </c>
      <c r="J1582" s="42" t="str">
        <f>"Customer"</f>
        <v>Customer</v>
      </c>
      <c r="K1582" s="42" t="str">
        <f>"C100117"</f>
        <v>C100117</v>
      </c>
      <c r="L1582" s="42" t="str">
        <f>IF($J1582="Customer",_xll.NL("first",$J1582,"Name","No.","@@"&amp;$K1582),"")</f>
        <v xml:space="preserve">Tintax </v>
      </c>
      <c r="M1582" s="42" t="str">
        <f>""</f>
        <v/>
      </c>
      <c r="N1582" s="42" t="str">
        <f>IF($J1582="Item",_xll.NL("first",$J1582,"Description","No.","@@"&amp;$K1582),"")</f>
        <v/>
      </c>
      <c r="O1582" s="43">
        <v>0</v>
      </c>
      <c r="P1582" s="43">
        <v>-1</v>
      </c>
      <c r="Q1582" s="43">
        <v>0</v>
      </c>
      <c r="R1582" s="43">
        <v>0</v>
      </c>
      <c r="S1582" s="43">
        <v>0</v>
      </c>
      <c r="T1582" s="43">
        <v>0</v>
      </c>
      <c r="U1582" s="56"/>
    </row>
    <row r="1583" spans="1:21" ht="17.25" customHeight="1" x14ac:dyDescent="0.3">
      <c r="A1583" s="15" t="s">
        <v>30</v>
      </c>
      <c r="C1583" s="19"/>
      <c r="D1583" s="33" t="str">
        <f t="shared" si="396"/>
        <v>E100046</v>
      </c>
      <c r="E1583" s="33"/>
      <c r="F1583" s="34"/>
      <c r="G1583" s="34" t="str">
        <f>"""NAV Direct"",""CRONUS JetCorp USA"",""32"",""1"",""78893"""</f>
        <v>"NAV Direct","CRONUS JetCorp USA","32","1","78893"</v>
      </c>
      <c r="H1583" s="40">
        <v>43474</v>
      </c>
      <c r="I1583" s="41">
        <v>78893</v>
      </c>
      <c r="J1583" s="42" t="str">
        <f>"Customer"</f>
        <v>Customer</v>
      </c>
      <c r="K1583" s="42" t="str">
        <f>"C100124"</f>
        <v>C100124</v>
      </c>
      <c r="L1583" s="42" t="str">
        <f>IF($J1583="Customer",_xll.NL("first",$J1583,"Name","No.","@@"&amp;$K1583),"")</f>
        <v>Ontocane Outdoors</v>
      </c>
      <c r="M1583" s="42" t="str">
        <f>""</f>
        <v/>
      </c>
      <c r="N1583" s="42" t="str">
        <f>IF($J1583="Item",_xll.NL("first",$J1583,"Description","No.","@@"&amp;$K1583),"")</f>
        <v/>
      </c>
      <c r="O1583" s="43">
        <v>0</v>
      </c>
      <c r="P1583" s="43">
        <v>-12</v>
      </c>
      <c r="Q1583" s="43">
        <v>0</v>
      </c>
      <c r="R1583" s="43">
        <v>0</v>
      </c>
      <c r="S1583" s="43">
        <v>0</v>
      </c>
      <c r="T1583" s="43">
        <v>0</v>
      </c>
      <c r="U1583" s="56"/>
    </row>
    <row r="1584" spans="1:21" ht="17.25" customHeight="1" x14ac:dyDescent="0.3">
      <c r="A1584" s="15" t="s">
        <v>30</v>
      </c>
      <c r="C1584" s="19"/>
      <c r="D1584" s="33" t="str">
        <f t="shared" si="396"/>
        <v>E100046</v>
      </c>
      <c r="E1584" s="33"/>
      <c r="F1584" s="34"/>
      <c r="G1584" s="34" t="str">
        <f>"""NAV Direct"",""CRONUS JetCorp USA"",""32"",""1"",""78906"""</f>
        <v>"NAV Direct","CRONUS JetCorp USA","32","1","78906"</v>
      </c>
      <c r="H1584" s="40">
        <v>43475</v>
      </c>
      <c r="I1584" s="41">
        <v>78906</v>
      </c>
      <c r="J1584" s="42" t="str">
        <f>"Customer"</f>
        <v>Customer</v>
      </c>
      <c r="K1584" s="42" t="str">
        <f>"C100128"</f>
        <v>C100128</v>
      </c>
      <c r="L1584" s="42" t="str">
        <f>IF($J1584="Customer",_xll.NL("first",$J1584,"Name","No.","@@"&amp;$K1584),"")</f>
        <v>Solar Tech</v>
      </c>
      <c r="M1584" s="42" t="str">
        <f>""</f>
        <v/>
      </c>
      <c r="N1584" s="42" t="str">
        <f>IF($J1584="Item",_xll.NL("first",$J1584,"Description","No.","@@"&amp;$K1584),"")</f>
        <v/>
      </c>
      <c r="O1584" s="43">
        <v>0</v>
      </c>
      <c r="P1584" s="43">
        <v>-24</v>
      </c>
      <c r="Q1584" s="43">
        <v>0</v>
      </c>
      <c r="R1584" s="43">
        <v>0</v>
      </c>
      <c r="S1584" s="43">
        <v>0</v>
      </c>
      <c r="T1584" s="43">
        <v>0</v>
      </c>
      <c r="U1584" s="56"/>
    </row>
    <row r="1585" spans="1:21" ht="17.25" customHeight="1" x14ac:dyDescent="0.3">
      <c r="A1585" s="15" t="s">
        <v>30</v>
      </c>
      <c r="C1585" s="19"/>
      <c r="D1585" s="33"/>
      <c r="E1585" s="33"/>
      <c r="F1585" s="34"/>
      <c r="G1585" s="34"/>
      <c r="H1585" s="34"/>
      <c r="I1585" s="34"/>
      <c r="J1585" s="34"/>
      <c r="K1585" s="34"/>
      <c r="L1585" s="34"/>
      <c r="M1585" s="34"/>
      <c r="N1585" s="34"/>
      <c r="O1585" s="44"/>
      <c r="P1585" s="44"/>
      <c r="Q1585" s="44"/>
      <c r="R1585" s="44"/>
      <c r="S1585" s="44"/>
      <c r="T1585" s="44"/>
      <c r="U1585" s="57"/>
    </row>
    <row r="1586" spans="1:21" ht="17.25" customHeight="1" x14ac:dyDescent="0.3">
      <c r="A1586" s="15" t="s">
        <v>30</v>
      </c>
      <c r="C1586" s="19"/>
      <c r="D1586" s="33"/>
      <c r="E1586" s="33" t="s">
        <v>31</v>
      </c>
      <c r="F1586" s="34" t="s">
        <v>31</v>
      </c>
      <c r="G1586" s="34" t="s">
        <v>31</v>
      </c>
      <c r="H1586" s="34"/>
      <c r="I1586" s="34"/>
      <c r="J1586" s="34" t="s">
        <v>31</v>
      </c>
      <c r="K1586" s="34" t="s">
        <v>31</v>
      </c>
      <c r="L1586" s="34" t="s">
        <v>31</v>
      </c>
      <c r="M1586" s="34" t="s">
        <v>31</v>
      </c>
      <c r="N1586" s="34"/>
      <c r="U1586" s="58"/>
    </row>
    <row r="1587" spans="1:21" ht="20.25" customHeight="1" x14ac:dyDescent="0.35">
      <c r="A1587" s="15" t="s">
        <v>30</v>
      </c>
      <c r="C1587" s="19"/>
      <c r="D1587" s="35" t="str">
        <f t="shared" ref="D1587" si="397">E1587</f>
        <v>E100047</v>
      </c>
      <c r="E1587" s="36" t="str">
        <f>"E100047"</f>
        <v>E100047</v>
      </c>
      <c r="F1587" s="37" t="str">
        <f>"Chardonnay Glass"</f>
        <v>Chardonnay Glass</v>
      </c>
      <c r="G1587" s="37"/>
      <c r="H1587" s="38" t="str">
        <f>"EA"</f>
        <v>EA</v>
      </c>
      <c r="I1587" s="37"/>
      <c r="J1587" s="37"/>
      <c r="K1587" s="37"/>
      <c r="L1587" s="37"/>
      <c r="M1587" s="37"/>
      <c r="N1587" s="37"/>
      <c r="O1587" s="39">
        <f>(SUBTOTAL(9,O1588:O1601))</f>
        <v>4750</v>
      </c>
      <c r="P1587" s="39">
        <f>(SUBTOTAL(9,P1588:P1601))</f>
        <v>-1298</v>
      </c>
      <c r="Q1587" s="39">
        <f>(SUBTOTAL(9,Q1588:Q1601))</f>
        <v>0</v>
      </c>
      <c r="R1587" s="39">
        <f>(SUBTOTAL(9,R1588:R1601))</f>
        <v>0</v>
      </c>
      <c r="S1587" s="39">
        <f>(SUBTOTAL(9,S1588:S1601))</f>
        <v>0</v>
      </c>
      <c r="T1587" s="39">
        <f>(SUBTOTAL(9,T1588:T1601))</f>
        <v>0</v>
      </c>
      <c r="U1587" s="55">
        <f t="shared" ref="U1587" si="398">SUBTOTAL(9,O1588:T1601)</f>
        <v>3452</v>
      </c>
    </row>
    <row r="1588" spans="1:21" ht="17.25" customHeight="1" x14ac:dyDescent="0.3">
      <c r="A1588" s="15" t="s">
        <v>30</v>
      </c>
      <c r="C1588" s="19"/>
      <c r="D1588" s="33" t="str">
        <f t="shared" ref="D1588" si="399">D1587</f>
        <v>E100047</v>
      </c>
      <c r="E1588" s="33"/>
      <c r="F1588" s="34"/>
      <c r="G1588" s="34" t="str">
        <f>"""NAV Direct"",""CRONUS JetCorp USA"",""32"",""1"",""168604"""</f>
        <v>"NAV Direct","CRONUS JetCorp USA","32","1","168604"</v>
      </c>
      <c r="H1588" s="40">
        <v>43466</v>
      </c>
      <c r="I1588" s="41">
        <v>168604</v>
      </c>
      <c r="J1588" s="42" t="str">
        <f>"Vendor"</f>
        <v>Vendor</v>
      </c>
      <c r="K1588" s="42" t="str">
        <f>"V100025"</f>
        <v>V100025</v>
      </c>
      <c r="L1588" s="42" t="str">
        <f>IF($J1588="Customer",_xll.NL("first",$J1588,"Name","No.","@@"&amp;$K1588),"")</f>
        <v/>
      </c>
      <c r="M1588" s="42" t="str">
        <f>"Club Euroamis"</f>
        <v>Club Euroamis</v>
      </c>
      <c r="N1588" s="42" t="str">
        <f>IF($J1588="Item",_xll.NL("first",$J1588,"Description","No.","@@"&amp;$K1588),"")</f>
        <v/>
      </c>
      <c r="O1588" s="43">
        <v>249.99999999999997</v>
      </c>
      <c r="P1588" s="43">
        <v>0</v>
      </c>
      <c r="Q1588" s="43">
        <v>0</v>
      </c>
      <c r="R1588" s="43">
        <v>0</v>
      </c>
      <c r="S1588" s="43">
        <v>0</v>
      </c>
      <c r="T1588" s="43">
        <v>0</v>
      </c>
      <c r="U1588" s="56"/>
    </row>
    <row r="1589" spans="1:21" ht="17.25" customHeight="1" x14ac:dyDescent="0.3">
      <c r="A1589" s="15" t="s">
        <v>30</v>
      </c>
      <c r="C1589" s="19"/>
      <c r="D1589" s="33" t="str">
        <f t="shared" ref="D1589:D1600" si="400">D1588</f>
        <v>E100047</v>
      </c>
      <c r="E1589" s="33"/>
      <c r="F1589" s="34"/>
      <c r="G1589" s="34" t="str">
        <f>"""NAV Direct"",""CRONUS JetCorp USA"",""32"",""1"",""168611"""</f>
        <v>"NAV Direct","CRONUS JetCorp USA","32","1","168611"</v>
      </c>
      <c r="H1589" s="40">
        <v>43466</v>
      </c>
      <c r="I1589" s="41">
        <v>168611</v>
      </c>
      <c r="J1589" s="42" t="str">
        <f>"Vendor"</f>
        <v>Vendor</v>
      </c>
      <c r="K1589" s="42" t="str">
        <f>"V100040"</f>
        <v>V100040</v>
      </c>
      <c r="L1589" s="42" t="str">
        <f>IF($J1589="Customer",_xll.NL("first",$J1589,"Name","No.","@@"&amp;$K1589),"")</f>
        <v/>
      </c>
      <c r="M1589" s="42" t="str">
        <f>"Technische Betriebe Rotkreuz"</f>
        <v>Technische Betriebe Rotkreuz</v>
      </c>
      <c r="N1589" s="42" t="str">
        <f>IF($J1589="Item",_xll.NL("first",$J1589,"Description","No.","@@"&amp;$K1589),"")</f>
        <v/>
      </c>
      <c r="O1589" s="43">
        <v>999.99999999999989</v>
      </c>
      <c r="P1589" s="43">
        <v>0</v>
      </c>
      <c r="Q1589" s="43">
        <v>0</v>
      </c>
      <c r="R1589" s="43">
        <v>0</v>
      </c>
      <c r="S1589" s="43">
        <v>0</v>
      </c>
      <c r="T1589" s="43">
        <v>0</v>
      </c>
      <c r="U1589" s="56"/>
    </row>
    <row r="1590" spans="1:21" ht="17.25" customHeight="1" x14ac:dyDescent="0.3">
      <c r="A1590" s="15" t="s">
        <v>30</v>
      </c>
      <c r="C1590" s="19"/>
      <c r="D1590" s="33" t="str">
        <f t="shared" si="400"/>
        <v>E100047</v>
      </c>
      <c r="E1590" s="33"/>
      <c r="F1590" s="34"/>
      <c r="G1590" s="34" t="str">
        <f>"""NAV Direct"",""CRONUS JetCorp USA"",""32"",""1"",""168633"""</f>
        <v>"NAV Direct","CRONUS JetCorp USA","32","1","168633"</v>
      </c>
      <c r="H1590" s="40">
        <v>43466</v>
      </c>
      <c r="I1590" s="41">
        <v>168633</v>
      </c>
      <c r="J1590" s="42" t="str">
        <f>"Vendor"</f>
        <v>Vendor</v>
      </c>
      <c r="K1590" s="42" t="str">
        <f>"V100001"</f>
        <v>V100001</v>
      </c>
      <c r="L1590" s="42" t="str">
        <f>IF($J1590="Customer",_xll.NL("first",$J1590,"Name","No.","@@"&amp;$K1590),"")</f>
        <v/>
      </c>
      <c r="M1590" s="42" t="str">
        <f>"Greigner, Inc."</f>
        <v>Greigner, Inc.</v>
      </c>
      <c r="N1590" s="42" t="str">
        <f>IF($J1590="Item",_xll.NL("first",$J1590,"Description","No.","@@"&amp;$K1590),"")</f>
        <v/>
      </c>
      <c r="O1590" s="43">
        <v>2250</v>
      </c>
      <c r="P1590" s="43">
        <v>0</v>
      </c>
      <c r="Q1590" s="43">
        <v>0</v>
      </c>
      <c r="R1590" s="43">
        <v>0</v>
      </c>
      <c r="S1590" s="43">
        <v>0</v>
      </c>
      <c r="T1590" s="43">
        <v>0</v>
      </c>
      <c r="U1590" s="56"/>
    </row>
    <row r="1591" spans="1:21" ht="17.25" customHeight="1" x14ac:dyDescent="0.3">
      <c r="A1591" s="15" t="s">
        <v>30</v>
      </c>
      <c r="C1591" s="19"/>
      <c r="D1591" s="33" t="str">
        <f t="shared" si="400"/>
        <v>E100047</v>
      </c>
      <c r="E1591" s="33"/>
      <c r="F1591" s="34"/>
      <c r="G1591" s="34" t="str">
        <f>"""NAV Direct"",""CRONUS JetCorp USA"",""32"",""1"",""168657"""</f>
        <v>"NAV Direct","CRONUS JetCorp USA","32","1","168657"</v>
      </c>
      <c r="H1591" s="40">
        <v>43466</v>
      </c>
      <c r="I1591" s="41">
        <v>168657</v>
      </c>
      <c r="J1591" s="42" t="str">
        <f>"Vendor"</f>
        <v>Vendor</v>
      </c>
      <c r="K1591" s="42" t="str">
        <f>"V100003"</f>
        <v>V100003</v>
      </c>
      <c r="L1591" s="42" t="str">
        <f>IF($J1591="Customer",_xll.NL("first",$J1591,"Name","No.","@@"&amp;$K1591),"")</f>
        <v/>
      </c>
      <c r="M1591" s="42" t="str">
        <f>"LogoMasters"</f>
        <v>LogoMasters</v>
      </c>
      <c r="N1591" s="42" t="str">
        <f>IF($J1591="Item",_xll.NL("first",$J1591,"Description","No.","@@"&amp;$K1591),"")</f>
        <v/>
      </c>
      <c r="O1591" s="43">
        <v>1250</v>
      </c>
      <c r="P1591" s="43">
        <v>0</v>
      </c>
      <c r="Q1591" s="43">
        <v>0</v>
      </c>
      <c r="R1591" s="43">
        <v>0</v>
      </c>
      <c r="S1591" s="43">
        <v>0</v>
      </c>
      <c r="T1591" s="43">
        <v>0</v>
      </c>
      <c r="U1591" s="56"/>
    </row>
    <row r="1592" spans="1:21" ht="17.25" customHeight="1" x14ac:dyDescent="0.3">
      <c r="A1592" s="15" t="s">
        <v>30</v>
      </c>
      <c r="C1592" s="19"/>
      <c r="D1592" s="33" t="str">
        <f t="shared" si="400"/>
        <v>E100047</v>
      </c>
      <c r="E1592" s="33"/>
      <c r="F1592" s="34"/>
      <c r="G1592" s="34" t="str">
        <f>"""NAV Direct"",""CRONUS JetCorp USA"",""32"",""1"",""153194"""</f>
        <v>"NAV Direct","CRONUS JetCorp USA","32","1","153194"</v>
      </c>
      <c r="H1592" s="40">
        <v>43469</v>
      </c>
      <c r="I1592" s="41">
        <v>153194</v>
      </c>
      <c r="J1592" s="42" t="str">
        <f>"Customer"</f>
        <v>Customer</v>
      </c>
      <c r="K1592" s="42" t="str">
        <f>"C100136"</f>
        <v>C100136</v>
      </c>
      <c r="L1592" s="42" t="str">
        <f>IF($J1592="Customer",_xll.NL("first",$J1592,"Name","No.","@@"&amp;$K1592),"")</f>
        <v>First Bank</v>
      </c>
      <c r="M1592" s="42" t="str">
        <f>""</f>
        <v/>
      </c>
      <c r="N1592" s="42" t="str">
        <f>IF($J1592="Item",_xll.NL("first",$J1592,"Description","No.","@@"&amp;$K1592),"")</f>
        <v/>
      </c>
      <c r="O1592" s="43">
        <v>0</v>
      </c>
      <c r="P1592" s="43">
        <v>-144</v>
      </c>
      <c r="Q1592" s="43">
        <v>0</v>
      </c>
      <c r="R1592" s="43">
        <v>0</v>
      </c>
      <c r="S1592" s="43">
        <v>0</v>
      </c>
      <c r="T1592" s="43">
        <v>0</v>
      </c>
      <c r="U1592" s="56"/>
    </row>
    <row r="1593" spans="1:21" ht="17.25" customHeight="1" x14ac:dyDescent="0.3">
      <c r="A1593" s="15" t="s">
        <v>30</v>
      </c>
      <c r="C1593" s="19"/>
      <c r="D1593" s="33" t="str">
        <f t="shared" si="400"/>
        <v>E100047</v>
      </c>
      <c r="E1593" s="33"/>
      <c r="F1593" s="34"/>
      <c r="G1593" s="34" t="str">
        <f>"""NAV Direct"",""CRONUS JetCorp USA"",""32"",""1"",""72518"""</f>
        <v>"NAV Direct","CRONUS JetCorp USA","32","1","72518"</v>
      </c>
      <c r="H1593" s="40">
        <v>43471</v>
      </c>
      <c r="I1593" s="41">
        <v>72518</v>
      </c>
      <c r="J1593" s="42" t="str">
        <f>"Customer"</f>
        <v>Customer</v>
      </c>
      <c r="K1593" s="42" t="str">
        <f>"C100107"</f>
        <v>C100107</v>
      </c>
      <c r="L1593" s="42" t="str">
        <f>IF($J1593="Customer",_xll.NL("first",$J1593,"Name","No.","@@"&amp;$K1593),"")</f>
        <v>Lexitechnology</v>
      </c>
      <c r="M1593" s="42" t="str">
        <f>""</f>
        <v/>
      </c>
      <c r="N1593" s="42" t="str">
        <f>IF($J1593="Item",_xll.NL("first",$J1593,"Description","No.","@@"&amp;$K1593),"")</f>
        <v/>
      </c>
      <c r="O1593" s="43">
        <v>0</v>
      </c>
      <c r="P1593" s="43">
        <v>-144</v>
      </c>
      <c r="Q1593" s="43">
        <v>0</v>
      </c>
      <c r="R1593" s="43">
        <v>0</v>
      </c>
      <c r="S1593" s="43">
        <v>0</v>
      </c>
      <c r="T1593" s="43">
        <v>0</v>
      </c>
      <c r="U1593" s="56"/>
    </row>
    <row r="1594" spans="1:21" ht="17.25" customHeight="1" x14ac:dyDescent="0.3">
      <c r="A1594" s="15" t="s">
        <v>30</v>
      </c>
      <c r="C1594" s="19"/>
      <c r="D1594" s="33" t="str">
        <f t="shared" si="400"/>
        <v>E100047</v>
      </c>
      <c r="E1594" s="33"/>
      <c r="F1594" s="34"/>
      <c r="G1594" s="34" t="str">
        <f>"""NAV Direct"",""CRONUS JetCorp USA"",""32"",""1"",""78883"""</f>
        <v>"NAV Direct","CRONUS JetCorp USA","32","1","78883"</v>
      </c>
      <c r="H1594" s="40">
        <v>43471</v>
      </c>
      <c r="I1594" s="41">
        <v>78883</v>
      </c>
      <c r="J1594" s="42" t="str">
        <f>"Customer"</f>
        <v>Customer</v>
      </c>
      <c r="K1594" s="42" t="str">
        <f>"C100124"</f>
        <v>C100124</v>
      </c>
      <c r="L1594" s="42" t="str">
        <f>IF($J1594="Customer",_xll.NL("first",$J1594,"Name","No.","@@"&amp;$K1594),"")</f>
        <v>Ontocane Outdoors</v>
      </c>
      <c r="M1594" s="42" t="str">
        <f>""</f>
        <v/>
      </c>
      <c r="N1594" s="42" t="str">
        <f>IF($J1594="Item",_xll.NL("first",$J1594,"Description","No.","@@"&amp;$K1594),"")</f>
        <v/>
      </c>
      <c r="O1594" s="43">
        <v>0</v>
      </c>
      <c r="P1594" s="43">
        <v>-1</v>
      </c>
      <c r="Q1594" s="43">
        <v>0</v>
      </c>
      <c r="R1594" s="43">
        <v>0</v>
      </c>
      <c r="S1594" s="43">
        <v>0</v>
      </c>
      <c r="T1594" s="43">
        <v>0</v>
      </c>
      <c r="U1594" s="56"/>
    </row>
    <row r="1595" spans="1:21" ht="17.25" customHeight="1" x14ac:dyDescent="0.3">
      <c r="A1595" s="15" t="s">
        <v>30</v>
      </c>
      <c r="C1595" s="19"/>
      <c r="D1595" s="33" t="str">
        <f t="shared" si="400"/>
        <v>E100047</v>
      </c>
      <c r="E1595" s="33"/>
      <c r="F1595" s="34"/>
      <c r="G1595" s="34" t="str">
        <f>"""NAV Direct"",""CRONUS JetCorp USA"",""32"",""1"",""44473"""</f>
        <v>"NAV Direct","CRONUS JetCorp USA","32","1","44473"</v>
      </c>
      <c r="H1595" s="40">
        <v>43472</v>
      </c>
      <c r="I1595" s="41">
        <v>44473</v>
      </c>
      <c r="J1595" s="42" t="str">
        <f>"Customer"</f>
        <v>Customer</v>
      </c>
      <c r="K1595" s="42" t="str">
        <f>"C100141"</f>
        <v>C100141</v>
      </c>
      <c r="L1595" s="42" t="str">
        <f>IF($J1595="Customer",_xll.NL("first",$J1595,"Name","No.","@@"&amp;$K1595),"")</f>
        <v>Bargottis</v>
      </c>
      <c r="M1595" s="42" t="str">
        <f>""</f>
        <v/>
      </c>
      <c r="N1595" s="42" t="str">
        <f>IF($J1595="Item",_xll.NL("first",$J1595,"Description","No.","@@"&amp;$K1595),"")</f>
        <v/>
      </c>
      <c r="O1595" s="43">
        <v>0</v>
      </c>
      <c r="P1595" s="43">
        <v>-144</v>
      </c>
      <c r="Q1595" s="43">
        <v>0</v>
      </c>
      <c r="R1595" s="43">
        <v>0</v>
      </c>
      <c r="S1595" s="43">
        <v>0</v>
      </c>
      <c r="T1595" s="43">
        <v>0</v>
      </c>
      <c r="U1595" s="56"/>
    </row>
    <row r="1596" spans="1:21" ht="17.25" customHeight="1" x14ac:dyDescent="0.3">
      <c r="A1596" s="15" t="s">
        <v>30</v>
      </c>
      <c r="C1596" s="19"/>
      <c r="D1596" s="33" t="str">
        <f t="shared" si="400"/>
        <v>E100047</v>
      </c>
      <c r="E1596" s="33"/>
      <c r="F1596" s="34"/>
      <c r="G1596" s="34" t="str">
        <f>"""NAV Direct"",""CRONUS JetCorp USA"",""32"",""1"",""54732"""</f>
        <v>"NAV Direct","CRONUS JetCorp USA","32","1","54732"</v>
      </c>
      <c r="H1596" s="40">
        <v>43472</v>
      </c>
      <c r="I1596" s="41">
        <v>54732</v>
      </c>
      <c r="J1596" s="42" t="str">
        <f>"Customer"</f>
        <v>Customer</v>
      </c>
      <c r="K1596" s="42" t="str">
        <f>"C100084"</f>
        <v>C100084</v>
      </c>
      <c r="L1596" s="42" t="str">
        <f>IF($J1596="Customer",_xll.NL("first",$J1596,"Name","No.","@@"&amp;$K1596),"")</f>
        <v>The Cannon Group PLC</v>
      </c>
      <c r="M1596" s="42" t="str">
        <f>""</f>
        <v/>
      </c>
      <c r="N1596" s="42" t="str">
        <f>IF($J1596="Item",_xll.NL("first",$J1596,"Description","No.","@@"&amp;$K1596),"")</f>
        <v/>
      </c>
      <c r="O1596" s="43">
        <v>0</v>
      </c>
      <c r="P1596" s="43">
        <v>-144</v>
      </c>
      <c r="Q1596" s="43">
        <v>0</v>
      </c>
      <c r="R1596" s="43">
        <v>0</v>
      </c>
      <c r="S1596" s="43">
        <v>0</v>
      </c>
      <c r="T1596" s="43">
        <v>0</v>
      </c>
      <c r="U1596" s="56"/>
    </row>
    <row r="1597" spans="1:21" ht="17.25" customHeight="1" x14ac:dyDescent="0.3">
      <c r="A1597" s="15" t="s">
        <v>30</v>
      </c>
      <c r="C1597" s="19"/>
      <c r="D1597" s="33" t="str">
        <f t="shared" si="400"/>
        <v>E100047</v>
      </c>
      <c r="E1597" s="33"/>
      <c r="F1597" s="34"/>
      <c r="G1597" s="34" t="str">
        <f>"""NAV Direct"",""CRONUS JetCorp USA"",""32"",""1"",""64596"""</f>
        <v>"NAV Direct","CRONUS JetCorp USA","32","1","64596"</v>
      </c>
      <c r="H1597" s="40">
        <v>43472</v>
      </c>
      <c r="I1597" s="41">
        <v>64596</v>
      </c>
      <c r="J1597" s="42" t="str">
        <f>"Customer"</f>
        <v>Customer</v>
      </c>
      <c r="K1597" s="42" t="str">
        <f>"C100140"</f>
        <v>C100140</v>
      </c>
      <c r="L1597" s="42" t="str">
        <f>IF($J1597="Customer",_xll.NL("first",$J1597,"Name","No.","@@"&amp;$K1597),"")</f>
        <v>Super Daves</v>
      </c>
      <c r="M1597" s="42" t="str">
        <f>""</f>
        <v/>
      </c>
      <c r="N1597" s="42" t="str">
        <f>IF($J1597="Item",_xll.NL("first",$J1597,"Description","No.","@@"&amp;$K1597),"")</f>
        <v/>
      </c>
      <c r="O1597" s="43">
        <v>0</v>
      </c>
      <c r="P1597" s="43">
        <v>-288</v>
      </c>
      <c r="Q1597" s="43">
        <v>0</v>
      </c>
      <c r="R1597" s="43">
        <v>0</v>
      </c>
      <c r="S1597" s="43">
        <v>0</v>
      </c>
      <c r="T1597" s="43">
        <v>0</v>
      </c>
      <c r="U1597" s="56"/>
    </row>
    <row r="1598" spans="1:21" ht="17.25" customHeight="1" x14ac:dyDescent="0.3">
      <c r="A1598" s="15" t="s">
        <v>30</v>
      </c>
      <c r="C1598" s="19"/>
      <c r="D1598" s="33" t="str">
        <f t="shared" si="400"/>
        <v>E100047</v>
      </c>
      <c r="E1598" s="33"/>
      <c r="F1598" s="34"/>
      <c r="G1598" s="34" t="str">
        <f>"""NAV Direct"",""CRONUS JetCorp USA"",""32"",""1"",""44528"""</f>
        <v>"NAV Direct","CRONUS JetCorp USA","32","1","44528"</v>
      </c>
      <c r="H1598" s="40">
        <v>43473</v>
      </c>
      <c r="I1598" s="41">
        <v>44528</v>
      </c>
      <c r="J1598" s="42" t="str">
        <f>"Customer"</f>
        <v>Customer</v>
      </c>
      <c r="K1598" s="42" t="str">
        <f>"C100139"</f>
        <v>C100139</v>
      </c>
      <c r="L1598" s="42" t="str">
        <f>IF($J1598="Customer",_xll.NL("first",$J1598,"Name","No.","@@"&amp;$K1598),"")</f>
        <v>Gamma Ray's</v>
      </c>
      <c r="M1598" s="42" t="str">
        <f>""</f>
        <v/>
      </c>
      <c r="N1598" s="42" t="str">
        <f>IF($J1598="Item",_xll.NL("first",$J1598,"Description","No.","@@"&amp;$K1598),"")</f>
        <v/>
      </c>
      <c r="O1598" s="43">
        <v>0</v>
      </c>
      <c r="P1598" s="43">
        <v>-144</v>
      </c>
      <c r="Q1598" s="43">
        <v>0</v>
      </c>
      <c r="R1598" s="43">
        <v>0</v>
      </c>
      <c r="S1598" s="43">
        <v>0</v>
      </c>
      <c r="T1598" s="43">
        <v>0</v>
      </c>
      <c r="U1598" s="56"/>
    </row>
    <row r="1599" spans="1:21" ht="17.25" customHeight="1" x14ac:dyDescent="0.3">
      <c r="A1599" s="15" t="s">
        <v>30</v>
      </c>
      <c r="C1599" s="19"/>
      <c r="D1599" s="33" t="str">
        <f t="shared" si="400"/>
        <v>E100047</v>
      </c>
      <c r="E1599" s="33"/>
      <c r="F1599" s="34"/>
      <c r="G1599" s="34" t="str">
        <f>"""NAV Direct"",""CRONUS JetCorp USA"",""32"",""1"",""78900"""</f>
        <v>"NAV Direct","CRONUS JetCorp USA","32","1","78900"</v>
      </c>
      <c r="H1599" s="40">
        <v>43475</v>
      </c>
      <c r="I1599" s="41">
        <v>78900</v>
      </c>
      <c r="J1599" s="42" t="str">
        <f>"Customer"</f>
        <v>Customer</v>
      </c>
      <c r="K1599" s="42" t="str">
        <f>"C100128"</f>
        <v>C100128</v>
      </c>
      <c r="L1599" s="42" t="str">
        <f>IF($J1599="Customer",_xll.NL("first",$J1599,"Name","No.","@@"&amp;$K1599),"")</f>
        <v>Solar Tech</v>
      </c>
      <c r="M1599" s="42" t="str">
        <f>""</f>
        <v/>
      </c>
      <c r="N1599" s="42" t="str">
        <f>IF($J1599="Item",_xll.NL("first",$J1599,"Description","No.","@@"&amp;$K1599),"")</f>
        <v/>
      </c>
      <c r="O1599" s="43">
        <v>0</v>
      </c>
      <c r="P1599" s="43">
        <v>-144</v>
      </c>
      <c r="Q1599" s="43">
        <v>0</v>
      </c>
      <c r="R1599" s="43">
        <v>0</v>
      </c>
      <c r="S1599" s="43">
        <v>0</v>
      </c>
      <c r="T1599" s="43">
        <v>0</v>
      </c>
      <c r="U1599" s="56"/>
    </row>
    <row r="1600" spans="1:21" ht="17.25" customHeight="1" x14ac:dyDescent="0.3">
      <c r="A1600" s="15" t="s">
        <v>30</v>
      </c>
      <c r="C1600" s="19"/>
      <c r="D1600" s="33" t="str">
        <f t="shared" si="400"/>
        <v>E100047</v>
      </c>
      <c r="E1600" s="33"/>
      <c r="F1600" s="34"/>
      <c r="G1600" s="34" t="str">
        <f>"""NAV Direct"",""CRONUS JetCorp USA"",""32"",""1"",""78862"""</f>
        <v>"NAV Direct","CRONUS JetCorp USA","32","1","78862"</v>
      </c>
      <c r="H1600" s="40">
        <v>43476</v>
      </c>
      <c r="I1600" s="41">
        <v>78862</v>
      </c>
      <c r="J1600" s="42" t="str">
        <f>"Customer"</f>
        <v>Customer</v>
      </c>
      <c r="K1600" s="42" t="str">
        <f>"C100117"</f>
        <v>C100117</v>
      </c>
      <c r="L1600" s="42" t="str">
        <f>IF($J1600="Customer",_xll.NL("first",$J1600,"Name","No.","@@"&amp;$K1600),"")</f>
        <v xml:space="preserve">Tintax </v>
      </c>
      <c r="M1600" s="42" t="str">
        <f>""</f>
        <v/>
      </c>
      <c r="N1600" s="42" t="str">
        <f>IF($J1600="Item",_xll.NL("first",$J1600,"Description","No.","@@"&amp;$K1600),"")</f>
        <v/>
      </c>
      <c r="O1600" s="43">
        <v>0</v>
      </c>
      <c r="P1600" s="43">
        <v>-145</v>
      </c>
      <c r="Q1600" s="43">
        <v>0</v>
      </c>
      <c r="R1600" s="43">
        <v>0</v>
      </c>
      <c r="S1600" s="43">
        <v>0</v>
      </c>
      <c r="T1600" s="43">
        <v>0</v>
      </c>
      <c r="U1600" s="56"/>
    </row>
    <row r="1601" spans="1:21" ht="17.25" customHeight="1" x14ac:dyDescent="0.3">
      <c r="A1601" s="15" t="s">
        <v>30</v>
      </c>
      <c r="C1601" s="19"/>
      <c r="D1601" s="33"/>
      <c r="E1601" s="33"/>
      <c r="F1601" s="34"/>
      <c r="G1601" s="34"/>
      <c r="H1601" s="34"/>
      <c r="I1601" s="34"/>
      <c r="J1601" s="34"/>
      <c r="K1601" s="34"/>
      <c r="L1601" s="34"/>
      <c r="M1601" s="34"/>
      <c r="N1601" s="34"/>
      <c r="O1601" s="44"/>
      <c r="P1601" s="44"/>
      <c r="Q1601" s="44"/>
      <c r="R1601" s="44"/>
      <c r="S1601" s="44"/>
      <c r="T1601" s="44"/>
      <c r="U1601" s="57"/>
    </row>
    <row r="1602" spans="1:21" ht="17.25" customHeight="1" x14ac:dyDescent="0.3">
      <c r="A1602" s="15" t="s">
        <v>30</v>
      </c>
      <c r="C1602" s="19"/>
      <c r="D1602" s="33"/>
      <c r="E1602" s="33" t="s">
        <v>31</v>
      </c>
      <c r="F1602" s="34" t="s">
        <v>31</v>
      </c>
      <c r="G1602" s="34" t="s">
        <v>31</v>
      </c>
      <c r="H1602" s="34"/>
      <c r="I1602" s="34"/>
      <c r="J1602" s="34" t="s">
        <v>31</v>
      </c>
      <c r="K1602" s="34" t="s">
        <v>31</v>
      </c>
      <c r="L1602" s="34" t="s">
        <v>31</v>
      </c>
      <c r="M1602" s="34" t="s">
        <v>31</v>
      </c>
      <c r="N1602" s="34"/>
      <c r="U1602" s="58"/>
    </row>
    <row r="1603" spans="1:21" ht="20.25" customHeight="1" x14ac:dyDescent="0.35">
      <c r="A1603" s="15" t="s">
        <v>30</v>
      </c>
      <c r="C1603" s="19"/>
      <c r="D1603" s="35" t="str">
        <f t="shared" ref="D1603" si="401">E1603</f>
        <v>S100001</v>
      </c>
      <c r="E1603" s="36" t="str">
        <f>"S100001"</f>
        <v>S100001</v>
      </c>
      <c r="F1603" s="37" t="str">
        <f>"Basketball Graphic Plaque"</f>
        <v>Basketball Graphic Plaque</v>
      </c>
      <c r="G1603" s="37"/>
      <c r="H1603" s="38" t="str">
        <f>"EA"</f>
        <v>EA</v>
      </c>
      <c r="I1603" s="37"/>
      <c r="J1603" s="37"/>
      <c r="K1603" s="37"/>
      <c r="L1603" s="37"/>
      <c r="M1603" s="37"/>
      <c r="N1603" s="37"/>
      <c r="O1603" s="39">
        <f>(SUBTOTAL(9,O1604:O1617))</f>
        <v>2700</v>
      </c>
      <c r="P1603" s="39">
        <f>(SUBTOTAL(9,P1604:P1617))</f>
        <v>-722</v>
      </c>
      <c r="Q1603" s="39">
        <f>(SUBTOTAL(9,Q1604:Q1617))</f>
        <v>0</v>
      </c>
      <c r="R1603" s="39">
        <f>(SUBTOTAL(9,R1604:R1617))</f>
        <v>0</v>
      </c>
      <c r="S1603" s="39">
        <f>(SUBTOTAL(9,S1604:S1617))</f>
        <v>0</v>
      </c>
      <c r="T1603" s="39">
        <f>(SUBTOTAL(9,T1604:T1617))</f>
        <v>0</v>
      </c>
      <c r="U1603" s="55">
        <f t="shared" ref="U1603" si="402">SUBTOTAL(9,O1604:T1617)</f>
        <v>1978</v>
      </c>
    </row>
    <row r="1604" spans="1:21" ht="17.25" customHeight="1" x14ac:dyDescent="0.3">
      <c r="A1604" s="15" t="s">
        <v>30</v>
      </c>
      <c r="C1604" s="19"/>
      <c r="D1604" s="33" t="str">
        <f t="shared" ref="D1604" si="403">D1603</f>
        <v>S100001</v>
      </c>
      <c r="E1604" s="33"/>
      <c r="F1604" s="34"/>
      <c r="G1604" s="34" t="str">
        <f>"""NAV Direct"",""CRONUS JetCorp USA"",""32"",""1"",""166327"""</f>
        <v>"NAV Direct","CRONUS JetCorp USA","32","1","166327"</v>
      </c>
      <c r="H1604" s="40">
        <v>43466</v>
      </c>
      <c r="I1604" s="41">
        <v>166327</v>
      </c>
      <c r="J1604" s="42" t="str">
        <f>"Vendor"</f>
        <v>Vendor</v>
      </c>
      <c r="K1604" s="42" t="str">
        <f>"V100009"</f>
        <v>V100009</v>
      </c>
      <c r="L1604" s="42" t="str">
        <f>IF($J1604="Customer",_xll.NL("first",$J1604,"Name","No.","@@"&amp;$K1604),"")</f>
        <v/>
      </c>
      <c r="M1604" s="42" t="str">
        <f>"Malay-Dan Export Unit Sdn Bhd"</f>
        <v>Malay-Dan Export Unit Sdn Bhd</v>
      </c>
      <c r="N1604" s="42" t="str">
        <f>IF($J1604="Item",_xll.NL("first",$J1604,"Description","No.","@@"&amp;$K1604),"")</f>
        <v/>
      </c>
      <c r="O1604" s="43">
        <v>100</v>
      </c>
      <c r="P1604" s="43">
        <v>0</v>
      </c>
      <c r="Q1604" s="43">
        <v>0</v>
      </c>
      <c r="R1604" s="43">
        <v>0</v>
      </c>
      <c r="S1604" s="43">
        <v>0</v>
      </c>
      <c r="T1604" s="43">
        <v>0</v>
      </c>
      <c r="U1604" s="56"/>
    </row>
    <row r="1605" spans="1:21" ht="17.25" customHeight="1" x14ac:dyDescent="0.3">
      <c r="A1605" s="15" t="s">
        <v>30</v>
      </c>
      <c r="C1605" s="19"/>
      <c r="D1605" s="33" t="str">
        <f t="shared" ref="D1605:D1616" si="404">D1604</f>
        <v>S100001</v>
      </c>
      <c r="E1605" s="33"/>
      <c r="F1605" s="34"/>
      <c r="G1605" s="34" t="str">
        <f>"""NAV Direct"",""CRONUS JetCorp USA"",""32"",""1"",""166343"""</f>
        <v>"NAV Direct","CRONUS JetCorp USA","32","1","166343"</v>
      </c>
      <c r="H1605" s="40">
        <v>43466</v>
      </c>
      <c r="I1605" s="41">
        <v>166343</v>
      </c>
      <c r="J1605" s="42" t="str">
        <f>"Vendor"</f>
        <v>Vendor</v>
      </c>
      <c r="K1605" s="42" t="str">
        <f>"V100040"</f>
        <v>V100040</v>
      </c>
      <c r="L1605" s="42" t="str">
        <f>IF($J1605="Customer",_xll.NL("first",$J1605,"Name","No.","@@"&amp;$K1605),"")</f>
        <v/>
      </c>
      <c r="M1605" s="42" t="str">
        <f>"Technische Betriebe Rotkreuz"</f>
        <v>Technische Betriebe Rotkreuz</v>
      </c>
      <c r="N1605" s="42" t="str">
        <f>IF($J1605="Item",_xll.NL("first",$J1605,"Description","No.","@@"&amp;$K1605),"")</f>
        <v/>
      </c>
      <c r="O1605" s="43">
        <v>100</v>
      </c>
      <c r="P1605" s="43">
        <v>0</v>
      </c>
      <c r="Q1605" s="43">
        <v>0</v>
      </c>
      <c r="R1605" s="43">
        <v>0</v>
      </c>
      <c r="S1605" s="43">
        <v>0</v>
      </c>
      <c r="T1605" s="43">
        <v>0</v>
      </c>
      <c r="U1605" s="56"/>
    </row>
    <row r="1606" spans="1:21" ht="17.25" customHeight="1" x14ac:dyDescent="0.3">
      <c r="A1606" s="15" t="s">
        <v>30</v>
      </c>
      <c r="C1606" s="19"/>
      <c r="D1606" s="33" t="str">
        <f t="shared" si="404"/>
        <v>S100001</v>
      </c>
      <c r="E1606" s="33"/>
      <c r="F1606" s="34"/>
      <c r="G1606" s="34" t="str">
        <f>"""NAV Direct"",""CRONUS JetCorp USA"",""32"",""1"",""166362"""</f>
        <v>"NAV Direct","CRONUS JetCorp USA","32","1","166362"</v>
      </c>
      <c r="H1606" s="40">
        <v>43466</v>
      </c>
      <c r="I1606" s="41">
        <v>166362</v>
      </c>
      <c r="J1606" s="42" t="str">
        <f>"Vendor"</f>
        <v>Vendor</v>
      </c>
      <c r="K1606" s="42" t="str">
        <f>"V100007"</f>
        <v>V100007</v>
      </c>
      <c r="L1606" s="42" t="str">
        <f>IF($J1606="Customer",_xll.NL("first",$J1606,"Name","No.","@@"&amp;$K1606),"")</f>
        <v/>
      </c>
      <c r="M1606" s="42" t="str">
        <f>"TrendTech"</f>
        <v>TrendTech</v>
      </c>
      <c r="N1606" s="42" t="str">
        <f>IF($J1606="Item",_xll.NL("first",$J1606,"Description","No.","@@"&amp;$K1606),"")</f>
        <v/>
      </c>
      <c r="O1606" s="43">
        <v>600</v>
      </c>
      <c r="P1606" s="43">
        <v>0</v>
      </c>
      <c r="Q1606" s="43">
        <v>0</v>
      </c>
      <c r="R1606" s="43">
        <v>0</v>
      </c>
      <c r="S1606" s="43">
        <v>0</v>
      </c>
      <c r="T1606" s="43">
        <v>0</v>
      </c>
      <c r="U1606" s="56"/>
    </row>
    <row r="1607" spans="1:21" ht="17.25" customHeight="1" x14ac:dyDescent="0.3">
      <c r="A1607" s="15" t="s">
        <v>30</v>
      </c>
      <c r="C1607" s="19"/>
      <c r="D1607" s="33" t="str">
        <f t="shared" si="404"/>
        <v>S100001</v>
      </c>
      <c r="E1607" s="33"/>
      <c r="F1607" s="34"/>
      <c r="G1607" s="34" t="str">
        <f>"""NAV Direct"",""CRONUS JetCorp USA"",""32"",""1"",""166381"""</f>
        <v>"NAV Direct","CRONUS JetCorp USA","32","1","166381"</v>
      </c>
      <c r="H1607" s="40">
        <v>43466</v>
      </c>
      <c r="I1607" s="41">
        <v>166381</v>
      </c>
      <c r="J1607" s="42" t="str">
        <f>"Vendor"</f>
        <v>Vendor</v>
      </c>
      <c r="K1607" s="42" t="str">
        <f>"V100001"</f>
        <v>V100001</v>
      </c>
      <c r="L1607" s="42" t="str">
        <f>IF($J1607="Customer",_xll.NL("first",$J1607,"Name","No.","@@"&amp;$K1607),"")</f>
        <v/>
      </c>
      <c r="M1607" s="42" t="str">
        <f>"Greigner, Inc."</f>
        <v>Greigner, Inc.</v>
      </c>
      <c r="N1607" s="42" t="str">
        <f>IF($J1607="Item",_xll.NL("first",$J1607,"Description","No.","@@"&amp;$K1607),"")</f>
        <v/>
      </c>
      <c r="O1607" s="43">
        <v>1400</v>
      </c>
      <c r="P1607" s="43">
        <v>0</v>
      </c>
      <c r="Q1607" s="43">
        <v>0</v>
      </c>
      <c r="R1607" s="43">
        <v>0</v>
      </c>
      <c r="S1607" s="43">
        <v>0</v>
      </c>
      <c r="T1607" s="43">
        <v>0</v>
      </c>
      <c r="U1607" s="56"/>
    </row>
    <row r="1608" spans="1:21" ht="17.25" customHeight="1" x14ac:dyDescent="0.3">
      <c r="A1608" s="15" t="s">
        <v>30</v>
      </c>
      <c r="C1608" s="19"/>
      <c r="D1608" s="33" t="str">
        <f t="shared" si="404"/>
        <v>S100001</v>
      </c>
      <c r="E1608" s="33"/>
      <c r="F1608" s="34"/>
      <c r="G1608" s="34" t="str">
        <f>"""NAV Direct"",""CRONUS JetCorp USA"",""32"",""1"",""166397"""</f>
        <v>"NAV Direct","CRONUS JetCorp USA","32","1","166397"</v>
      </c>
      <c r="H1608" s="40">
        <v>43466</v>
      </c>
      <c r="I1608" s="41">
        <v>166397</v>
      </c>
      <c r="J1608" s="42" t="str">
        <f>"Vendor"</f>
        <v>Vendor</v>
      </c>
      <c r="K1608" s="42" t="str">
        <f>"V100047"</f>
        <v>V100047</v>
      </c>
      <c r="L1608" s="42" t="str">
        <f>IF($J1608="Customer",_xll.NL("first",$J1608,"Name","No.","@@"&amp;$K1608),"")</f>
        <v/>
      </c>
      <c r="M1608" s="42" t="str">
        <f>"WoodMart Supply Co."</f>
        <v>WoodMart Supply Co.</v>
      </c>
      <c r="N1608" s="42" t="str">
        <f>IF($J1608="Item",_xll.NL("first",$J1608,"Description","No.","@@"&amp;$K1608),"")</f>
        <v/>
      </c>
      <c r="O1608" s="43">
        <v>300</v>
      </c>
      <c r="P1608" s="43">
        <v>0</v>
      </c>
      <c r="Q1608" s="43">
        <v>0</v>
      </c>
      <c r="R1608" s="43">
        <v>0</v>
      </c>
      <c r="S1608" s="43">
        <v>0</v>
      </c>
      <c r="T1608" s="43">
        <v>0</v>
      </c>
      <c r="U1608" s="56"/>
    </row>
    <row r="1609" spans="1:21" ht="17.25" customHeight="1" x14ac:dyDescent="0.3">
      <c r="A1609" s="15" t="s">
        <v>30</v>
      </c>
      <c r="C1609" s="19"/>
      <c r="D1609" s="33" t="str">
        <f t="shared" si="404"/>
        <v>S100001</v>
      </c>
      <c r="E1609" s="33"/>
      <c r="F1609" s="34"/>
      <c r="G1609" s="34" t="str">
        <f>"""NAV Direct"",""CRONUS JetCorp USA"",""32"",""1"",""166410"""</f>
        <v>"NAV Direct","CRONUS JetCorp USA","32","1","166410"</v>
      </c>
      <c r="H1609" s="40">
        <v>43466</v>
      </c>
      <c r="I1609" s="41">
        <v>166410</v>
      </c>
      <c r="J1609" s="42" t="str">
        <f>"Vendor"</f>
        <v>Vendor</v>
      </c>
      <c r="K1609" s="42" t="str">
        <f>"V100003"</f>
        <v>V100003</v>
      </c>
      <c r="L1609" s="42" t="str">
        <f>IF($J1609="Customer",_xll.NL("first",$J1609,"Name","No.","@@"&amp;$K1609),"")</f>
        <v/>
      </c>
      <c r="M1609" s="42" t="str">
        <f>"LogoMasters"</f>
        <v>LogoMasters</v>
      </c>
      <c r="N1609" s="42" t="str">
        <f>IF($J1609="Item",_xll.NL("first",$J1609,"Description","No.","@@"&amp;$K1609),"")</f>
        <v/>
      </c>
      <c r="O1609" s="43">
        <v>100</v>
      </c>
      <c r="P1609" s="43">
        <v>0</v>
      </c>
      <c r="Q1609" s="43">
        <v>0</v>
      </c>
      <c r="R1609" s="43">
        <v>0</v>
      </c>
      <c r="S1609" s="43">
        <v>0</v>
      </c>
      <c r="T1609" s="43">
        <v>0</v>
      </c>
      <c r="U1609" s="56"/>
    </row>
    <row r="1610" spans="1:21" ht="17.25" customHeight="1" x14ac:dyDescent="0.3">
      <c r="A1610" s="15" t="s">
        <v>30</v>
      </c>
      <c r="C1610" s="19"/>
      <c r="D1610" s="33" t="str">
        <f t="shared" si="404"/>
        <v>S100001</v>
      </c>
      <c r="E1610" s="33"/>
      <c r="F1610" s="34"/>
      <c r="G1610" s="34" t="str">
        <f>"""NAV Direct"",""CRONUS JetCorp USA"",""32"",""1"",""166426"""</f>
        <v>"NAV Direct","CRONUS JetCorp USA","32","1","166426"</v>
      </c>
      <c r="H1610" s="40">
        <v>43466</v>
      </c>
      <c r="I1610" s="41">
        <v>166426</v>
      </c>
      <c r="J1610" s="42" t="str">
        <f>"Vendor"</f>
        <v>Vendor</v>
      </c>
      <c r="K1610" s="42" t="str">
        <f>"V100001"</f>
        <v>V100001</v>
      </c>
      <c r="L1610" s="42" t="str">
        <f>IF($J1610="Customer",_xll.NL("first",$J1610,"Name","No.","@@"&amp;$K1610),"")</f>
        <v/>
      </c>
      <c r="M1610" s="42" t="str">
        <f>"Greigner, Inc."</f>
        <v>Greigner, Inc.</v>
      </c>
      <c r="N1610" s="42" t="str">
        <f>IF($J1610="Item",_xll.NL("first",$J1610,"Description","No.","@@"&amp;$K1610),"")</f>
        <v/>
      </c>
      <c r="O1610" s="43">
        <v>100</v>
      </c>
      <c r="P1610" s="43">
        <v>0</v>
      </c>
      <c r="Q1610" s="43">
        <v>0</v>
      </c>
      <c r="R1610" s="43">
        <v>0</v>
      </c>
      <c r="S1610" s="43">
        <v>0</v>
      </c>
      <c r="T1610" s="43">
        <v>0</v>
      </c>
      <c r="U1610" s="56"/>
    </row>
    <row r="1611" spans="1:21" ht="17.25" customHeight="1" x14ac:dyDescent="0.3">
      <c r="A1611" s="15" t="s">
        <v>30</v>
      </c>
      <c r="C1611" s="19"/>
      <c r="D1611" s="33" t="str">
        <f t="shared" si="404"/>
        <v>S100001</v>
      </c>
      <c r="E1611" s="33"/>
      <c r="F1611" s="34"/>
      <c r="G1611" s="34" t="str">
        <f>"""NAV Direct"",""CRONUS JetCorp USA"",""32"",""1"",""25246"""</f>
        <v>"NAV Direct","CRONUS JetCorp USA","32","1","25246"</v>
      </c>
      <c r="H1611" s="40">
        <v>43471</v>
      </c>
      <c r="I1611" s="41">
        <v>25246</v>
      </c>
      <c r="J1611" s="42" t="str">
        <f>"Customer"</f>
        <v>Customer</v>
      </c>
      <c r="K1611" s="42" t="str">
        <f>"C100102"</f>
        <v>C100102</v>
      </c>
      <c r="L1611" s="42" t="str">
        <f>IF($J1611="Customer",_xll.NL("first",$J1611,"Name","No.","@@"&amp;$K1611),"")</f>
        <v xml:space="preserve">BEI Outfitters </v>
      </c>
      <c r="M1611" s="42" t="str">
        <f>""</f>
        <v/>
      </c>
      <c r="N1611" s="42" t="str">
        <f>IF($J1611="Item",_xll.NL("first",$J1611,"Description","No.","@@"&amp;$K1611),"")</f>
        <v/>
      </c>
      <c r="O1611" s="43">
        <v>0</v>
      </c>
      <c r="P1611" s="43">
        <v>-2</v>
      </c>
      <c r="Q1611" s="43">
        <v>0</v>
      </c>
      <c r="R1611" s="43">
        <v>0</v>
      </c>
      <c r="S1611" s="43">
        <v>0</v>
      </c>
      <c r="T1611" s="43">
        <v>0</v>
      </c>
      <c r="U1611" s="56"/>
    </row>
    <row r="1612" spans="1:21" ht="17.25" customHeight="1" x14ac:dyDescent="0.3">
      <c r="A1612" s="15" t="s">
        <v>30</v>
      </c>
      <c r="C1612" s="19"/>
      <c r="D1612" s="33" t="str">
        <f t="shared" si="404"/>
        <v>S100001</v>
      </c>
      <c r="E1612" s="33"/>
      <c r="F1612" s="34"/>
      <c r="G1612" s="34" t="str">
        <f>"""NAV Direct"",""CRONUS JetCorp USA"",""32"",""1"",""30030"""</f>
        <v>"NAV Direct","CRONUS JetCorp USA","32","1","30030"</v>
      </c>
      <c r="H1612" s="40">
        <v>43471</v>
      </c>
      <c r="I1612" s="41">
        <v>30030</v>
      </c>
      <c r="J1612" s="42" t="str">
        <f>"Customer"</f>
        <v>Customer</v>
      </c>
      <c r="K1612" s="42" t="str">
        <f>"C100012"</f>
        <v>C100012</v>
      </c>
      <c r="L1612" s="42" t="str">
        <f>IF($J1612="Customer",_xll.NL("first",$J1612,"Name","No.","@@"&amp;$K1612),"")</f>
        <v>Bainbridges</v>
      </c>
      <c r="M1612" s="42" t="str">
        <f>""</f>
        <v/>
      </c>
      <c r="N1612" s="42" t="str">
        <f>IF($J1612="Item",_xll.NL("first",$J1612,"Description","No.","@@"&amp;$K1612),"")</f>
        <v/>
      </c>
      <c r="O1612" s="43">
        <v>0</v>
      </c>
      <c r="P1612" s="43">
        <v>-144</v>
      </c>
      <c r="Q1612" s="43">
        <v>0</v>
      </c>
      <c r="R1612" s="43">
        <v>0</v>
      </c>
      <c r="S1612" s="43">
        <v>0</v>
      </c>
      <c r="T1612" s="43">
        <v>0</v>
      </c>
      <c r="U1612" s="56"/>
    </row>
    <row r="1613" spans="1:21" ht="17.25" customHeight="1" x14ac:dyDescent="0.3">
      <c r="A1613" s="15" t="s">
        <v>30</v>
      </c>
      <c r="C1613" s="19"/>
      <c r="D1613" s="33" t="str">
        <f t="shared" si="404"/>
        <v>S100001</v>
      </c>
      <c r="E1613" s="33"/>
      <c r="F1613" s="34"/>
      <c r="G1613" s="34" t="str">
        <f>"""NAV Direct"",""CRONUS JetCorp USA"",""32"",""1"",""20378"""</f>
        <v>"NAV Direct","CRONUS JetCorp USA","32","1","20378"</v>
      </c>
      <c r="H1613" s="40">
        <v>43473</v>
      </c>
      <c r="I1613" s="41">
        <v>20378</v>
      </c>
      <c r="J1613" s="42" t="str">
        <f>"Customer"</f>
        <v>Customer</v>
      </c>
      <c r="K1613" s="42" t="str">
        <f>"C100130"</f>
        <v>C100130</v>
      </c>
      <c r="L1613" s="42" t="str">
        <f>IF($J1613="Customer",_xll.NL("first",$J1613,"Name","No.","@@"&amp;$K1613),"")</f>
        <v>Hotspot Systems</v>
      </c>
      <c r="M1613" s="42" t="str">
        <f>""</f>
        <v/>
      </c>
      <c r="N1613" s="42" t="str">
        <f>IF($J1613="Item",_xll.NL("first",$J1613,"Description","No.","@@"&amp;$K1613),"")</f>
        <v/>
      </c>
      <c r="O1613" s="43">
        <v>0</v>
      </c>
      <c r="P1613" s="43">
        <v>-144</v>
      </c>
      <c r="Q1613" s="43">
        <v>0</v>
      </c>
      <c r="R1613" s="43">
        <v>0</v>
      </c>
      <c r="S1613" s="43">
        <v>0</v>
      </c>
      <c r="T1613" s="43">
        <v>0</v>
      </c>
      <c r="U1613" s="56"/>
    </row>
    <row r="1614" spans="1:21" ht="17.25" customHeight="1" x14ac:dyDescent="0.3">
      <c r="A1614" s="15" t="s">
        <v>30</v>
      </c>
      <c r="C1614" s="19"/>
      <c r="D1614" s="33" t="str">
        <f t="shared" si="404"/>
        <v>S100001</v>
      </c>
      <c r="E1614" s="33"/>
      <c r="F1614" s="34"/>
      <c r="G1614" s="34" t="str">
        <f>"""NAV Direct"",""CRONUS JetCorp USA"",""32"",""1"",""34308"""</f>
        <v>"NAV Direct","CRONUS JetCorp USA","32","1","34308"</v>
      </c>
      <c r="H1614" s="40">
        <v>43473</v>
      </c>
      <c r="I1614" s="41">
        <v>34308</v>
      </c>
      <c r="J1614" s="42" t="str">
        <f>"Customer"</f>
        <v>Customer</v>
      </c>
      <c r="K1614" s="42" t="str">
        <f>"C100059"</f>
        <v>C100059</v>
      </c>
      <c r="L1614" s="42" t="str">
        <f>IF($J1614="Customer",_xll.NL("first",$J1614,"Name","No.","@@"&amp;$K1614),"")</f>
        <v>Meersen Meubelen</v>
      </c>
      <c r="M1614" s="42" t="str">
        <f>""</f>
        <v/>
      </c>
      <c r="N1614" s="42" t="str">
        <f>IF($J1614="Item",_xll.NL("first",$J1614,"Description","No.","@@"&amp;$K1614),"")</f>
        <v/>
      </c>
      <c r="O1614" s="43">
        <v>0</v>
      </c>
      <c r="P1614" s="43">
        <v>-144</v>
      </c>
      <c r="Q1614" s="43">
        <v>0</v>
      </c>
      <c r="R1614" s="43">
        <v>0</v>
      </c>
      <c r="S1614" s="43">
        <v>0</v>
      </c>
      <c r="T1614" s="43">
        <v>0</v>
      </c>
      <c r="U1614" s="56"/>
    </row>
    <row r="1615" spans="1:21" ht="17.25" customHeight="1" x14ac:dyDescent="0.3">
      <c r="A1615" s="15" t="s">
        <v>30</v>
      </c>
      <c r="C1615" s="19"/>
      <c r="D1615" s="33" t="str">
        <f t="shared" si="404"/>
        <v>S100001</v>
      </c>
      <c r="E1615" s="33"/>
      <c r="F1615" s="34"/>
      <c r="G1615" s="34" t="str">
        <f>"""NAV Direct"",""CRONUS JetCorp USA"",""32"",""1"",""30057"""</f>
        <v>"NAV Direct","CRONUS JetCorp USA","32","1","30057"</v>
      </c>
      <c r="H1615" s="40">
        <v>43474</v>
      </c>
      <c r="I1615" s="41">
        <v>30057</v>
      </c>
      <c r="J1615" s="42" t="str">
        <f>"Customer"</f>
        <v>Customer</v>
      </c>
      <c r="K1615" s="42" t="str">
        <f>"C100086"</f>
        <v>C100086</v>
      </c>
      <c r="L1615" s="42" t="str">
        <f>IF($J1615="Customer",_xll.NL("first",$J1615,"Name","No.","@@"&amp;$K1615),"")</f>
        <v>Top Action Sports</v>
      </c>
      <c r="M1615" s="42" t="str">
        <f>""</f>
        <v/>
      </c>
      <c r="N1615" s="42" t="str">
        <f>IF($J1615="Item",_xll.NL("first",$J1615,"Description","No.","@@"&amp;$K1615),"")</f>
        <v/>
      </c>
      <c r="O1615" s="43">
        <v>0</v>
      </c>
      <c r="P1615" s="43">
        <v>-144</v>
      </c>
      <c r="Q1615" s="43">
        <v>0</v>
      </c>
      <c r="R1615" s="43">
        <v>0</v>
      </c>
      <c r="S1615" s="43">
        <v>0</v>
      </c>
      <c r="T1615" s="43">
        <v>0</v>
      </c>
      <c r="U1615" s="56"/>
    </row>
    <row r="1616" spans="1:21" ht="17.25" customHeight="1" x14ac:dyDescent="0.3">
      <c r="A1616" s="15" t="s">
        <v>30</v>
      </c>
      <c r="C1616" s="19"/>
      <c r="D1616" s="33" t="str">
        <f t="shared" si="404"/>
        <v>S100001</v>
      </c>
      <c r="E1616" s="33"/>
      <c r="F1616" s="34"/>
      <c r="G1616" s="34" t="str">
        <f>"""NAV Direct"",""CRONUS JetCorp USA"",""32"",""1"",""25261"""</f>
        <v>"NAV Direct","CRONUS JetCorp USA","32","1","25261"</v>
      </c>
      <c r="H1616" s="40">
        <v>43476</v>
      </c>
      <c r="I1616" s="41">
        <v>25261</v>
      </c>
      <c r="J1616" s="42" t="str">
        <f>"Customer"</f>
        <v>Customer</v>
      </c>
      <c r="K1616" s="42" t="str">
        <f>"C100102"</f>
        <v>C100102</v>
      </c>
      <c r="L1616" s="42" t="str">
        <f>IF($J1616="Customer",_xll.NL("first",$J1616,"Name","No.","@@"&amp;$K1616),"")</f>
        <v xml:space="preserve">BEI Outfitters </v>
      </c>
      <c r="M1616" s="42" t="str">
        <f>""</f>
        <v/>
      </c>
      <c r="N1616" s="42" t="str">
        <f>IF($J1616="Item",_xll.NL("first",$J1616,"Description","No.","@@"&amp;$K1616),"")</f>
        <v/>
      </c>
      <c r="O1616" s="43">
        <v>0</v>
      </c>
      <c r="P1616" s="43">
        <v>-144</v>
      </c>
      <c r="Q1616" s="43">
        <v>0</v>
      </c>
      <c r="R1616" s="43">
        <v>0</v>
      </c>
      <c r="S1616" s="43">
        <v>0</v>
      </c>
      <c r="T1616" s="43">
        <v>0</v>
      </c>
      <c r="U1616" s="56"/>
    </row>
    <row r="1617" spans="1:21" ht="17.25" customHeight="1" x14ac:dyDescent="0.3">
      <c r="A1617" s="15" t="s">
        <v>30</v>
      </c>
      <c r="C1617" s="19"/>
      <c r="D1617" s="33"/>
      <c r="E1617" s="33"/>
      <c r="F1617" s="34"/>
      <c r="G1617" s="34"/>
      <c r="H1617" s="34"/>
      <c r="I1617" s="34"/>
      <c r="J1617" s="34"/>
      <c r="K1617" s="34"/>
      <c r="L1617" s="34"/>
      <c r="M1617" s="34"/>
      <c r="N1617" s="34"/>
      <c r="O1617" s="44"/>
      <c r="P1617" s="44"/>
      <c r="Q1617" s="44"/>
      <c r="R1617" s="44"/>
      <c r="S1617" s="44"/>
      <c r="T1617" s="44"/>
      <c r="U1617" s="57"/>
    </row>
    <row r="1618" spans="1:21" ht="17.25" customHeight="1" x14ac:dyDescent="0.3">
      <c r="A1618" s="15" t="s">
        <v>30</v>
      </c>
      <c r="C1618" s="19"/>
      <c r="D1618" s="33"/>
      <c r="E1618" s="33" t="s">
        <v>31</v>
      </c>
      <c r="F1618" s="34" t="s">
        <v>31</v>
      </c>
      <c r="G1618" s="34" t="s">
        <v>31</v>
      </c>
      <c r="H1618" s="34"/>
      <c r="I1618" s="34"/>
      <c r="J1618" s="34" t="s">
        <v>31</v>
      </c>
      <c r="K1618" s="34" t="s">
        <v>31</v>
      </c>
      <c r="L1618" s="34" t="s">
        <v>31</v>
      </c>
      <c r="M1618" s="34" t="s">
        <v>31</v>
      </c>
      <c r="N1618" s="34"/>
      <c r="U1618" s="58"/>
    </row>
    <row r="1619" spans="1:21" ht="20.25" customHeight="1" x14ac:dyDescent="0.35">
      <c r="A1619" s="15" t="s">
        <v>30</v>
      </c>
      <c r="C1619" s="19"/>
      <c r="D1619" s="35" t="str">
        <f t="shared" ref="D1619" si="405">E1619</f>
        <v>S100002</v>
      </c>
      <c r="E1619" s="36" t="str">
        <f>"S100002"</f>
        <v>S100002</v>
      </c>
      <c r="F1619" s="37" t="str">
        <f>"Football Graphic Plaque"</f>
        <v>Football Graphic Plaque</v>
      </c>
      <c r="G1619" s="37"/>
      <c r="H1619" s="38" t="str">
        <f>"EA"</f>
        <v>EA</v>
      </c>
      <c r="I1619" s="37"/>
      <c r="J1619" s="37"/>
      <c r="K1619" s="37"/>
      <c r="L1619" s="37"/>
      <c r="M1619" s="37"/>
      <c r="N1619" s="37"/>
      <c r="O1619" s="39">
        <f>(SUBTOTAL(9,O1620:O1627))</f>
        <v>3100</v>
      </c>
      <c r="P1619" s="39">
        <f>(SUBTOTAL(9,P1620:P1627))</f>
        <v>-192</v>
      </c>
      <c r="Q1619" s="39">
        <f>(SUBTOTAL(9,Q1620:Q1627))</f>
        <v>0</v>
      </c>
      <c r="R1619" s="39">
        <f>(SUBTOTAL(9,R1620:R1627))</f>
        <v>0</v>
      </c>
      <c r="S1619" s="39">
        <f>(SUBTOTAL(9,S1620:S1627))</f>
        <v>0</v>
      </c>
      <c r="T1619" s="39">
        <f>(SUBTOTAL(9,T1620:T1627))</f>
        <v>0</v>
      </c>
      <c r="U1619" s="55">
        <f t="shared" ref="U1619" si="406">SUBTOTAL(9,O1620:T1627)</f>
        <v>2908</v>
      </c>
    </row>
    <row r="1620" spans="1:21" ht="17.25" customHeight="1" x14ac:dyDescent="0.3">
      <c r="A1620" s="15" t="s">
        <v>30</v>
      </c>
      <c r="C1620" s="19"/>
      <c r="D1620" s="33" t="str">
        <f t="shared" ref="D1620" si="407">D1619</f>
        <v>S100002</v>
      </c>
      <c r="E1620" s="33"/>
      <c r="F1620" s="34"/>
      <c r="G1620" s="34" t="str">
        <f>"""NAV Direct"",""CRONUS JetCorp USA"",""32"",""1"",""166326"""</f>
        <v>"NAV Direct","CRONUS JetCorp USA","32","1","166326"</v>
      </c>
      <c r="H1620" s="40">
        <v>43466</v>
      </c>
      <c r="I1620" s="41">
        <v>166326</v>
      </c>
      <c r="J1620" s="42" t="str">
        <f>"Vendor"</f>
        <v>Vendor</v>
      </c>
      <c r="K1620" s="42" t="str">
        <f>"V100009"</f>
        <v>V100009</v>
      </c>
      <c r="L1620" s="42" t="str">
        <f>IF($J1620="Customer",_xll.NL("first",$J1620,"Name","No.","@@"&amp;$K1620),"")</f>
        <v/>
      </c>
      <c r="M1620" s="42" t="str">
        <f>"Malay-Dan Export Unit Sdn Bhd"</f>
        <v>Malay-Dan Export Unit Sdn Bhd</v>
      </c>
      <c r="N1620" s="42" t="str">
        <f>IF($J1620="Item",_xll.NL("first",$J1620,"Description","No.","@@"&amp;$K1620),"")</f>
        <v/>
      </c>
      <c r="O1620" s="43">
        <v>499.99999999999994</v>
      </c>
      <c r="P1620" s="43">
        <v>0</v>
      </c>
      <c r="Q1620" s="43">
        <v>0</v>
      </c>
      <c r="R1620" s="43">
        <v>0</v>
      </c>
      <c r="S1620" s="43">
        <v>0</v>
      </c>
      <c r="T1620" s="43">
        <v>0</v>
      </c>
      <c r="U1620" s="56"/>
    </row>
    <row r="1621" spans="1:21" ht="17.25" customHeight="1" x14ac:dyDescent="0.3">
      <c r="A1621" s="15" t="s">
        <v>30</v>
      </c>
      <c r="C1621" s="19"/>
      <c r="D1621" s="33" t="str">
        <f t="shared" ref="D1621:D1626" si="408">D1620</f>
        <v>S100002</v>
      </c>
      <c r="E1621" s="33"/>
      <c r="F1621" s="34"/>
      <c r="G1621" s="34" t="str">
        <f>"""NAV Direct"",""CRONUS JetCorp USA"",""32"",""1"",""166342"""</f>
        <v>"NAV Direct","CRONUS JetCorp USA","32","1","166342"</v>
      </c>
      <c r="H1621" s="40">
        <v>43466</v>
      </c>
      <c r="I1621" s="41">
        <v>166342</v>
      </c>
      <c r="J1621" s="42" t="str">
        <f>"Vendor"</f>
        <v>Vendor</v>
      </c>
      <c r="K1621" s="42" t="str">
        <f>"V100040"</f>
        <v>V100040</v>
      </c>
      <c r="L1621" s="42" t="str">
        <f>IF($J1621="Customer",_xll.NL("first",$J1621,"Name","No.","@@"&amp;$K1621),"")</f>
        <v/>
      </c>
      <c r="M1621" s="42" t="str">
        <f>"Technische Betriebe Rotkreuz"</f>
        <v>Technische Betriebe Rotkreuz</v>
      </c>
      <c r="N1621" s="42" t="str">
        <f>IF($J1621="Item",_xll.NL("first",$J1621,"Description","No.","@@"&amp;$K1621),"")</f>
        <v/>
      </c>
      <c r="O1621" s="43">
        <v>300</v>
      </c>
      <c r="P1621" s="43">
        <v>0</v>
      </c>
      <c r="Q1621" s="43">
        <v>0</v>
      </c>
      <c r="R1621" s="43">
        <v>0</v>
      </c>
      <c r="S1621" s="43">
        <v>0</v>
      </c>
      <c r="T1621" s="43">
        <v>0</v>
      </c>
      <c r="U1621" s="56"/>
    </row>
    <row r="1622" spans="1:21" ht="17.25" customHeight="1" x14ac:dyDescent="0.3">
      <c r="A1622" s="15" t="s">
        <v>30</v>
      </c>
      <c r="C1622" s="19"/>
      <c r="D1622" s="33" t="str">
        <f t="shared" si="408"/>
        <v>S100002</v>
      </c>
      <c r="E1622" s="33"/>
      <c r="F1622" s="34"/>
      <c r="G1622" s="34" t="str">
        <f>"""NAV Direct"",""CRONUS JetCorp USA"",""32"",""1"",""166361"""</f>
        <v>"NAV Direct","CRONUS JetCorp USA","32","1","166361"</v>
      </c>
      <c r="H1622" s="40">
        <v>43466</v>
      </c>
      <c r="I1622" s="41">
        <v>166361</v>
      </c>
      <c r="J1622" s="42" t="str">
        <f>"Vendor"</f>
        <v>Vendor</v>
      </c>
      <c r="K1622" s="42" t="str">
        <f>"V100007"</f>
        <v>V100007</v>
      </c>
      <c r="L1622" s="42" t="str">
        <f>IF($J1622="Customer",_xll.NL("first",$J1622,"Name","No.","@@"&amp;$K1622),"")</f>
        <v/>
      </c>
      <c r="M1622" s="42" t="str">
        <f>"TrendTech"</f>
        <v>TrendTech</v>
      </c>
      <c r="N1622" s="42" t="str">
        <f>IF($J1622="Item",_xll.NL("first",$J1622,"Description","No.","@@"&amp;$K1622),"")</f>
        <v/>
      </c>
      <c r="O1622" s="43">
        <v>100</v>
      </c>
      <c r="P1622" s="43">
        <v>0</v>
      </c>
      <c r="Q1622" s="43">
        <v>0</v>
      </c>
      <c r="R1622" s="43">
        <v>0</v>
      </c>
      <c r="S1622" s="43">
        <v>0</v>
      </c>
      <c r="T1622" s="43">
        <v>0</v>
      </c>
      <c r="U1622" s="56"/>
    </row>
    <row r="1623" spans="1:21" ht="17.25" customHeight="1" x14ac:dyDescent="0.3">
      <c r="A1623" s="15" t="s">
        <v>30</v>
      </c>
      <c r="C1623" s="19"/>
      <c r="D1623" s="33" t="str">
        <f t="shared" si="408"/>
        <v>S100002</v>
      </c>
      <c r="E1623" s="33"/>
      <c r="F1623" s="34"/>
      <c r="G1623" s="34" t="str">
        <f>"""NAV Direct"",""CRONUS JetCorp USA"",""32"",""1"",""166380"""</f>
        <v>"NAV Direct","CRONUS JetCorp USA","32","1","166380"</v>
      </c>
      <c r="H1623" s="40">
        <v>43466</v>
      </c>
      <c r="I1623" s="41">
        <v>166380</v>
      </c>
      <c r="J1623" s="42" t="str">
        <f>"Vendor"</f>
        <v>Vendor</v>
      </c>
      <c r="K1623" s="42" t="str">
        <f>"V100001"</f>
        <v>V100001</v>
      </c>
      <c r="L1623" s="42" t="str">
        <f>IF($J1623="Customer",_xll.NL("first",$J1623,"Name","No.","@@"&amp;$K1623),"")</f>
        <v/>
      </c>
      <c r="M1623" s="42" t="str">
        <f>"Greigner, Inc."</f>
        <v>Greigner, Inc.</v>
      </c>
      <c r="N1623" s="42" t="str">
        <f>IF($J1623="Item",_xll.NL("first",$J1623,"Description","No.","@@"&amp;$K1623),"")</f>
        <v/>
      </c>
      <c r="O1623" s="43">
        <v>1999.9999999999998</v>
      </c>
      <c r="P1623" s="43">
        <v>0</v>
      </c>
      <c r="Q1623" s="43">
        <v>0</v>
      </c>
      <c r="R1623" s="43">
        <v>0</v>
      </c>
      <c r="S1623" s="43">
        <v>0</v>
      </c>
      <c r="T1623" s="43">
        <v>0</v>
      </c>
      <c r="U1623" s="56"/>
    </row>
    <row r="1624" spans="1:21" ht="17.25" customHeight="1" x14ac:dyDescent="0.3">
      <c r="A1624" s="15" t="s">
        <v>30</v>
      </c>
      <c r="C1624" s="19"/>
      <c r="D1624" s="33" t="str">
        <f t="shared" si="408"/>
        <v>S100002</v>
      </c>
      <c r="E1624" s="33"/>
      <c r="F1624" s="34"/>
      <c r="G1624" s="34" t="str">
        <f>"""NAV Direct"",""CRONUS JetCorp USA"",""32"",""1"",""166409"""</f>
        <v>"NAV Direct","CRONUS JetCorp USA","32","1","166409"</v>
      </c>
      <c r="H1624" s="40">
        <v>43466</v>
      </c>
      <c r="I1624" s="41">
        <v>166409</v>
      </c>
      <c r="J1624" s="42" t="str">
        <f>"Vendor"</f>
        <v>Vendor</v>
      </c>
      <c r="K1624" s="42" t="str">
        <f>"V100003"</f>
        <v>V100003</v>
      </c>
      <c r="L1624" s="42" t="str">
        <f>IF($J1624="Customer",_xll.NL("first",$J1624,"Name","No.","@@"&amp;$K1624),"")</f>
        <v/>
      </c>
      <c r="M1624" s="42" t="str">
        <f>"LogoMasters"</f>
        <v>LogoMasters</v>
      </c>
      <c r="N1624" s="42" t="str">
        <f>IF($J1624="Item",_xll.NL("first",$J1624,"Description","No.","@@"&amp;$K1624),"")</f>
        <v/>
      </c>
      <c r="O1624" s="43">
        <v>200</v>
      </c>
      <c r="P1624" s="43">
        <v>0</v>
      </c>
      <c r="Q1624" s="43">
        <v>0</v>
      </c>
      <c r="R1624" s="43">
        <v>0</v>
      </c>
      <c r="S1624" s="43">
        <v>0</v>
      </c>
      <c r="T1624" s="43">
        <v>0</v>
      </c>
      <c r="U1624" s="56"/>
    </row>
    <row r="1625" spans="1:21" ht="17.25" customHeight="1" x14ac:dyDescent="0.3">
      <c r="A1625" s="15" t="s">
        <v>30</v>
      </c>
      <c r="C1625" s="19"/>
      <c r="D1625" s="33" t="str">
        <f t="shared" si="408"/>
        <v>S100002</v>
      </c>
      <c r="E1625" s="33"/>
      <c r="F1625" s="34"/>
      <c r="G1625" s="34" t="str">
        <f>"""NAV Direct"",""CRONUS JetCorp USA"",""32"",""1"",""25237"""</f>
        <v>"NAV Direct","CRONUS JetCorp USA","32","1","25237"</v>
      </c>
      <c r="H1625" s="40">
        <v>43471</v>
      </c>
      <c r="I1625" s="41">
        <v>25237</v>
      </c>
      <c r="J1625" s="42" t="str">
        <f>"Customer"</f>
        <v>Customer</v>
      </c>
      <c r="K1625" s="42" t="str">
        <f>"C100102"</f>
        <v>C100102</v>
      </c>
      <c r="L1625" s="42" t="str">
        <f>IF($J1625="Customer",_xll.NL("first",$J1625,"Name","No.","@@"&amp;$K1625),"")</f>
        <v xml:space="preserve">BEI Outfitters </v>
      </c>
      <c r="M1625" s="42" t="str">
        <f>""</f>
        <v/>
      </c>
      <c r="N1625" s="42" t="str">
        <f>IF($J1625="Item",_xll.NL("first",$J1625,"Description","No.","@@"&amp;$K1625),"")</f>
        <v/>
      </c>
      <c r="O1625" s="43">
        <v>0</v>
      </c>
      <c r="P1625" s="43">
        <v>-48</v>
      </c>
      <c r="Q1625" s="43">
        <v>0</v>
      </c>
      <c r="R1625" s="43">
        <v>0</v>
      </c>
      <c r="S1625" s="43">
        <v>0</v>
      </c>
      <c r="T1625" s="43">
        <v>0</v>
      </c>
      <c r="U1625" s="56"/>
    </row>
    <row r="1626" spans="1:21" ht="17.25" customHeight="1" x14ac:dyDescent="0.3">
      <c r="A1626" s="15" t="s">
        <v>30</v>
      </c>
      <c r="C1626" s="19"/>
      <c r="D1626" s="33" t="str">
        <f t="shared" si="408"/>
        <v>S100002</v>
      </c>
      <c r="E1626" s="33"/>
      <c r="F1626" s="34"/>
      <c r="G1626" s="34" t="str">
        <f>"""NAV Direct"",""CRONUS JetCorp USA"",""32"",""1"",""30028"""</f>
        <v>"NAV Direct","CRONUS JetCorp USA","32","1","30028"</v>
      </c>
      <c r="H1626" s="40">
        <v>43471</v>
      </c>
      <c r="I1626" s="41">
        <v>30028</v>
      </c>
      <c r="J1626" s="42" t="str">
        <f>"Customer"</f>
        <v>Customer</v>
      </c>
      <c r="K1626" s="42" t="str">
        <f>"C100012"</f>
        <v>C100012</v>
      </c>
      <c r="L1626" s="42" t="str">
        <f>IF($J1626="Customer",_xll.NL("first",$J1626,"Name","No.","@@"&amp;$K1626),"")</f>
        <v>Bainbridges</v>
      </c>
      <c r="M1626" s="42" t="str">
        <f>""</f>
        <v/>
      </c>
      <c r="N1626" s="42" t="str">
        <f>IF($J1626="Item",_xll.NL("first",$J1626,"Description","No.","@@"&amp;$K1626),"")</f>
        <v/>
      </c>
      <c r="O1626" s="43">
        <v>0</v>
      </c>
      <c r="P1626" s="43">
        <v>-144</v>
      </c>
      <c r="Q1626" s="43">
        <v>0</v>
      </c>
      <c r="R1626" s="43">
        <v>0</v>
      </c>
      <c r="S1626" s="43">
        <v>0</v>
      </c>
      <c r="T1626" s="43">
        <v>0</v>
      </c>
      <c r="U1626" s="56"/>
    </row>
    <row r="1627" spans="1:21" ht="17.25" customHeight="1" x14ac:dyDescent="0.3">
      <c r="A1627" s="15" t="s">
        <v>30</v>
      </c>
      <c r="C1627" s="19"/>
      <c r="D1627" s="33"/>
      <c r="E1627" s="33"/>
      <c r="F1627" s="34"/>
      <c r="G1627" s="34"/>
      <c r="H1627" s="34"/>
      <c r="I1627" s="34"/>
      <c r="J1627" s="34"/>
      <c r="K1627" s="34"/>
      <c r="L1627" s="34"/>
      <c r="M1627" s="34"/>
      <c r="N1627" s="34"/>
      <c r="O1627" s="44"/>
      <c r="P1627" s="44"/>
      <c r="Q1627" s="44"/>
      <c r="R1627" s="44"/>
      <c r="S1627" s="44"/>
      <c r="T1627" s="44"/>
      <c r="U1627" s="57"/>
    </row>
    <row r="1628" spans="1:21" ht="17.25" customHeight="1" x14ac:dyDescent="0.3">
      <c r="A1628" s="15" t="s">
        <v>30</v>
      </c>
      <c r="C1628" s="19"/>
      <c r="D1628" s="33"/>
      <c r="E1628" s="33" t="s">
        <v>31</v>
      </c>
      <c r="F1628" s="34" t="s">
        <v>31</v>
      </c>
      <c r="G1628" s="34" t="s">
        <v>31</v>
      </c>
      <c r="H1628" s="34"/>
      <c r="I1628" s="34"/>
      <c r="J1628" s="34" t="s">
        <v>31</v>
      </c>
      <c r="K1628" s="34" t="s">
        <v>31</v>
      </c>
      <c r="L1628" s="34" t="s">
        <v>31</v>
      </c>
      <c r="M1628" s="34" t="s">
        <v>31</v>
      </c>
      <c r="N1628" s="34"/>
      <c r="U1628" s="58"/>
    </row>
    <row r="1629" spans="1:21" ht="20.25" customHeight="1" x14ac:dyDescent="0.35">
      <c r="A1629" s="15" t="s">
        <v>30</v>
      </c>
      <c r="C1629" s="19"/>
      <c r="D1629" s="35" t="str">
        <f t="shared" ref="D1629" si="409">E1629</f>
        <v>S100003</v>
      </c>
      <c r="E1629" s="36" t="str">
        <f>"S100003"</f>
        <v>S100003</v>
      </c>
      <c r="F1629" s="37" t="str">
        <f>"Soccer #1 Pin"</f>
        <v>Soccer #1 Pin</v>
      </c>
      <c r="G1629" s="37"/>
      <c r="H1629" s="38" t="str">
        <f>"EA"</f>
        <v>EA</v>
      </c>
      <c r="I1629" s="37"/>
      <c r="J1629" s="37"/>
      <c r="K1629" s="37"/>
      <c r="L1629" s="37"/>
      <c r="M1629" s="37"/>
      <c r="N1629" s="37"/>
      <c r="O1629" s="39">
        <f>(SUBTOTAL(9,O1630:O1655))</f>
        <v>7900</v>
      </c>
      <c r="P1629" s="39">
        <f>(SUBTOTAL(9,P1630:P1655))</f>
        <v>-1907</v>
      </c>
      <c r="Q1629" s="39">
        <f>(SUBTOTAL(9,Q1630:Q1655))</f>
        <v>0</v>
      </c>
      <c r="R1629" s="39">
        <f>(SUBTOTAL(9,R1630:R1655))</f>
        <v>0</v>
      </c>
      <c r="S1629" s="39">
        <f>(SUBTOTAL(9,S1630:S1655))</f>
        <v>0</v>
      </c>
      <c r="T1629" s="39">
        <f>(SUBTOTAL(9,T1630:T1655))</f>
        <v>0</v>
      </c>
      <c r="U1629" s="55">
        <f t="shared" ref="U1629" si="410">SUBTOTAL(9,O1630:T1655)</f>
        <v>5993</v>
      </c>
    </row>
    <row r="1630" spans="1:21" ht="17.25" customHeight="1" x14ac:dyDescent="0.3">
      <c r="A1630" s="15" t="s">
        <v>30</v>
      </c>
      <c r="C1630" s="19"/>
      <c r="D1630" s="33" t="str">
        <f t="shared" ref="D1630" si="411">D1629</f>
        <v>S100003</v>
      </c>
      <c r="E1630" s="33"/>
      <c r="F1630" s="34"/>
      <c r="G1630" s="34" t="str">
        <f>"""NAV Direct"",""CRONUS JetCorp USA"",""32"",""1"",""132503"""</f>
        <v>"NAV Direct","CRONUS JetCorp USA","32","1","132503"</v>
      </c>
      <c r="H1630" s="40">
        <v>43466</v>
      </c>
      <c r="I1630" s="41">
        <v>132503</v>
      </c>
      <c r="J1630" s="42" t="str">
        <f>"Customer"</f>
        <v>Customer</v>
      </c>
      <c r="K1630" s="42" t="str">
        <f>"C100040"</f>
        <v>C100040</v>
      </c>
      <c r="L1630" s="42" t="str">
        <f>IF($J1630="Customer",_xll.NL("first",$J1630,"Name","No.","@@"&amp;$K1630),"")</f>
        <v>Guildford Water Department</v>
      </c>
      <c r="M1630" s="42" t="str">
        <f>""</f>
        <v/>
      </c>
      <c r="N1630" s="42" t="str">
        <f>IF($J1630="Item",_xll.NL("first",$J1630,"Description","No.","@@"&amp;$K1630),"")</f>
        <v/>
      </c>
      <c r="O1630" s="43">
        <v>0</v>
      </c>
      <c r="P1630" s="43">
        <v>-145</v>
      </c>
      <c r="Q1630" s="43">
        <v>0</v>
      </c>
      <c r="R1630" s="43">
        <v>0</v>
      </c>
      <c r="S1630" s="43">
        <v>0</v>
      </c>
      <c r="T1630" s="43">
        <v>0</v>
      </c>
      <c r="U1630" s="56"/>
    </row>
    <row r="1631" spans="1:21" ht="17.25" customHeight="1" x14ac:dyDescent="0.3">
      <c r="A1631" s="15" t="s">
        <v>30</v>
      </c>
      <c r="C1631" s="19"/>
      <c r="D1631" s="33" t="str">
        <f t="shared" ref="D1631:D1654" si="412">D1630</f>
        <v>S100003</v>
      </c>
      <c r="E1631" s="33"/>
      <c r="F1631" s="34"/>
      <c r="G1631" s="34" t="str">
        <f>"""NAV Direct"",""CRONUS JetCorp USA"",""32"",""1"",""166325"""</f>
        <v>"NAV Direct","CRONUS JetCorp USA","32","1","166325"</v>
      </c>
      <c r="H1631" s="40">
        <v>43466</v>
      </c>
      <c r="I1631" s="41">
        <v>166325</v>
      </c>
      <c r="J1631" s="42" t="str">
        <f>"Vendor"</f>
        <v>Vendor</v>
      </c>
      <c r="K1631" s="42" t="str">
        <f>"V100009"</f>
        <v>V100009</v>
      </c>
      <c r="L1631" s="42" t="str">
        <f>IF($J1631="Customer",_xll.NL("first",$J1631,"Name","No.","@@"&amp;$K1631),"")</f>
        <v/>
      </c>
      <c r="M1631" s="42" t="str">
        <f>"Malay-Dan Export Unit Sdn Bhd"</f>
        <v>Malay-Dan Export Unit Sdn Bhd</v>
      </c>
      <c r="N1631" s="42" t="str">
        <f>IF($J1631="Item",_xll.NL("first",$J1631,"Description","No.","@@"&amp;$K1631),"")</f>
        <v/>
      </c>
      <c r="O1631" s="43">
        <v>700</v>
      </c>
      <c r="P1631" s="43">
        <v>0</v>
      </c>
      <c r="Q1631" s="43">
        <v>0</v>
      </c>
      <c r="R1631" s="43">
        <v>0</v>
      </c>
      <c r="S1631" s="43">
        <v>0</v>
      </c>
      <c r="T1631" s="43">
        <v>0</v>
      </c>
      <c r="U1631" s="56"/>
    </row>
    <row r="1632" spans="1:21" ht="17.25" customHeight="1" x14ac:dyDescent="0.3">
      <c r="A1632" s="15" t="s">
        <v>30</v>
      </c>
      <c r="C1632" s="19"/>
      <c r="D1632" s="33" t="str">
        <f t="shared" si="412"/>
        <v>S100003</v>
      </c>
      <c r="E1632" s="33"/>
      <c r="F1632" s="34"/>
      <c r="G1632" s="34" t="str">
        <f>"""NAV Direct"",""CRONUS JetCorp USA"",""32"",""1"",""166341"""</f>
        <v>"NAV Direct","CRONUS JetCorp USA","32","1","166341"</v>
      </c>
      <c r="H1632" s="40">
        <v>43466</v>
      </c>
      <c r="I1632" s="41">
        <v>166341</v>
      </c>
      <c r="J1632" s="42" t="str">
        <f>"Vendor"</f>
        <v>Vendor</v>
      </c>
      <c r="K1632" s="42" t="str">
        <f>"V100040"</f>
        <v>V100040</v>
      </c>
      <c r="L1632" s="42" t="str">
        <f>IF($J1632="Customer",_xll.NL("first",$J1632,"Name","No.","@@"&amp;$K1632),"")</f>
        <v/>
      </c>
      <c r="M1632" s="42" t="str">
        <f>"Technische Betriebe Rotkreuz"</f>
        <v>Technische Betriebe Rotkreuz</v>
      </c>
      <c r="N1632" s="42" t="str">
        <f>IF($J1632="Item",_xll.NL("first",$J1632,"Description","No.","@@"&amp;$K1632),"")</f>
        <v/>
      </c>
      <c r="O1632" s="43">
        <v>300</v>
      </c>
      <c r="P1632" s="43">
        <v>0</v>
      </c>
      <c r="Q1632" s="43">
        <v>0</v>
      </c>
      <c r="R1632" s="43">
        <v>0</v>
      </c>
      <c r="S1632" s="43">
        <v>0</v>
      </c>
      <c r="T1632" s="43">
        <v>0</v>
      </c>
      <c r="U1632" s="56"/>
    </row>
    <row r="1633" spans="1:21" ht="17.25" customHeight="1" x14ac:dyDescent="0.3">
      <c r="A1633" s="15" t="s">
        <v>30</v>
      </c>
      <c r="C1633" s="19"/>
      <c r="D1633" s="33" t="str">
        <f t="shared" si="412"/>
        <v>S100003</v>
      </c>
      <c r="E1633" s="33"/>
      <c r="F1633" s="34"/>
      <c r="G1633" s="34" t="str">
        <f>"""NAV Direct"",""CRONUS JetCorp USA"",""32"",""1"",""166354"""</f>
        <v>"NAV Direct","CRONUS JetCorp USA","32","1","166354"</v>
      </c>
      <c r="H1633" s="40">
        <v>43466</v>
      </c>
      <c r="I1633" s="41">
        <v>166354</v>
      </c>
      <c r="J1633" s="42" t="str">
        <f>"Vendor"</f>
        <v>Vendor</v>
      </c>
      <c r="K1633" s="42" t="str">
        <f>"V100002"</f>
        <v>V100002</v>
      </c>
      <c r="L1633" s="42" t="str">
        <f>IF($J1633="Customer",_xll.NL("first",$J1633,"Name","No.","@@"&amp;$K1633),"")</f>
        <v/>
      </c>
      <c r="M1633" s="42" t="str">
        <f>"Marley Printing, Inc"</f>
        <v>Marley Printing, Inc</v>
      </c>
      <c r="N1633" s="42" t="str">
        <f>IF($J1633="Item",_xll.NL("first",$J1633,"Description","No.","@@"&amp;$K1633),"")</f>
        <v/>
      </c>
      <c r="O1633" s="43">
        <v>200</v>
      </c>
      <c r="P1633" s="43">
        <v>0</v>
      </c>
      <c r="Q1633" s="43">
        <v>0</v>
      </c>
      <c r="R1633" s="43">
        <v>0</v>
      </c>
      <c r="S1633" s="43">
        <v>0</v>
      </c>
      <c r="T1633" s="43">
        <v>0</v>
      </c>
      <c r="U1633" s="56"/>
    </row>
    <row r="1634" spans="1:21" ht="17.25" customHeight="1" x14ac:dyDescent="0.3">
      <c r="A1634" s="15" t="s">
        <v>30</v>
      </c>
      <c r="C1634" s="19"/>
      <c r="D1634" s="33" t="str">
        <f t="shared" si="412"/>
        <v>S100003</v>
      </c>
      <c r="E1634" s="33"/>
      <c r="F1634" s="34"/>
      <c r="G1634" s="34" t="str">
        <f>"""NAV Direct"",""CRONUS JetCorp USA"",""32"",""1"",""166360"""</f>
        <v>"NAV Direct","CRONUS JetCorp USA","32","1","166360"</v>
      </c>
      <c r="H1634" s="40">
        <v>43466</v>
      </c>
      <c r="I1634" s="41">
        <v>166360</v>
      </c>
      <c r="J1634" s="42" t="str">
        <f>"Vendor"</f>
        <v>Vendor</v>
      </c>
      <c r="K1634" s="42" t="str">
        <f>"V100007"</f>
        <v>V100007</v>
      </c>
      <c r="L1634" s="42" t="str">
        <f>IF($J1634="Customer",_xll.NL("first",$J1634,"Name","No.","@@"&amp;$K1634),"")</f>
        <v/>
      </c>
      <c r="M1634" s="42" t="str">
        <f>"TrendTech"</f>
        <v>TrendTech</v>
      </c>
      <c r="N1634" s="42" t="str">
        <f>IF($J1634="Item",_xll.NL("first",$J1634,"Description","No.","@@"&amp;$K1634),"")</f>
        <v/>
      </c>
      <c r="O1634" s="43">
        <v>600</v>
      </c>
      <c r="P1634" s="43">
        <v>0</v>
      </c>
      <c r="Q1634" s="43">
        <v>0</v>
      </c>
      <c r="R1634" s="43">
        <v>0</v>
      </c>
      <c r="S1634" s="43">
        <v>0</v>
      </c>
      <c r="T1634" s="43">
        <v>0</v>
      </c>
      <c r="U1634" s="56"/>
    </row>
    <row r="1635" spans="1:21" ht="17.25" customHeight="1" x14ac:dyDescent="0.3">
      <c r="A1635" s="15" t="s">
        <v>30</v>
      </c>
      <c r="C1635" s="19"/>
      <c r="D1635" s="33" t="str">
        <f t="shared" si="412"/>
        <v>S100003</v>
      </c>
      <c r="E1635" s="33"/>
      <c r="F1635" s="34"/>
      <c r="G1635" s="34" t="str">
        <f>"""NAV Direct"",""CRONUS JetCorp USA"",""32"",""1"",""166379"""</f>
        <v>"NAV Direct","CRONUS JetCorp USA","32","1","166379"</v>
      </c>
      <c r="H1635" s="40">
        <v>43466</v>
      </c>
      <c r="I1635" s="41">
        <v>166379</v>
      </c>
      <c r="J1635" s="42" t="str">
        <f>"Vendor"</f>
        <v>Vendor</v>
      </c>
      <c r="K1635" s="42" t="str">
        <f>"V100001"</f>
        <v>V100001</v>
      </c>
      <c r="L1635" s="42" t="str">
        <f>IF($J1635="Customer",_xll.NL("first",$J1635,"Name","No.","@@"&amp;$K1635),"")</f>
        <v/>
      </c>
      <c r="M1635" s="42" t="str">
        <f>"Greigner, Inc."</f>
        <v>Greigner, Inc.</v>
      </c>
      <c r="N1635" s="42" t="str">
        <f>IF($J1635="Item",_xll.NL("first",$J1635,"Description","No.","@@"&amp;$K1635),"")</f>
        <v/>
      </c>
      <c r="O1635" s="43">
        <v>3700</v>
      </c>
      <c r="P1635" s="43">
        <v>0</v>
      </c>
      <c r="Q1635" s="43">
        <v>0</v>
      </c>
      <c r="R1635" s="43">
        <v>0</v>
      </c>
      <c r="S1635" s="43">
        <v>0</v>
      </c>
      <c r="T1635" s="43">
        <v>0</v>
      </c>
      <c r="U1635" s="56"/>
    </row>
    <row r="1636" spans="1:21" ht="17.25" customHeight="1" x14ac:dyDescent="0.3">
      <c r="A1636" s="15" t="s">
        <v>30</v>
      </c>
      <c r="C1636" s="19"/>
      <c r="D1636" s="33" t="str">
        <f t="shared" si="412"/>
        <v>S100003</v>
      </c>
      <c r="E1636" s="33"/>
      <c r="F1636" s="34"/>
      <c r="G1636" s="34" t="str">
        <f>"""NAV Direct"",""CRONUS JetCorp USA"",""32"",""1"",""166396"""</f>
        <v>"NAV Direct","CRONUS JetCorp USA","32","1","166396"</v>
      </c>
      <c r="H1636" s="40">
        <v>43466</v>
      </c>
      <c r="I1636" s="41">
        <v>166396</v>
      </c>
      <c r="J1636" s="42" t="str">
        <f>"Vendor"</f>
        <v>Vendor</v>
      </c>
      <c r="K1636" s="42" t="str">
        <f>"V100047"</f>
        <v>V100047</v>
      </c>
      <c r="L1636" s="42" t="str">
        <f>IF($J1636="Customer",_xll.NL("first",$J1636,"Name","No.","@@"&amp;$K1636),"")</f>
        <v/>
      </c>
      <c r="M1636" s="42" t="str">
        <f>"WoodMart Supply Co."</f>
        <v>WoodMart Supply Co.</v>
      </c>
      <c r="N1636" s="42" t="str">
        <f>IF($J1636="Item",_xll.NL("first",$J1636,"Description","No.","@@"&amp;$K1636),"")</f>
        <v/>
      </c>
      <c r="O1636" s="43">
        <v>200</v>
      </c>
      <c r="P1636" s="43">
        <v>0</v>
      </c>
      <c r="Q1636" s="43">
        <v>0</v>
      </c>
      <c r="R1636" s="43">
        <v>0</v>
      </c>
      <c r="S1636" s="43">
        <v>0</v>
      </c>
      <c r="T1636" s="43">
        <v>0</v>
      </c>
      <c r="U1636" s="56"/>
    </row>
    <row r="1637" spans="1:21" ht="17.25" customHeight="1" x14ac:dyDescent="0.3">
      <c r="A1637" s="15" t="s">
        <v>30</v>
      </c>
      <c r="C1637" s="19"/>
      <c r="D1637" s="33" t="str">
        <f t="shared" si="412"/>
        <v>S100003</v>
      </c>
      <c r="E1637" s="33"/>
      <c r="F1637" s="34"/>
      <c r="G1637" s="34" t="str">
        <f>"""NAV Direct"",""CRONUS JetCorp USA"",""32"",""1"",""166408"""</f>
        <v>"NAV Direct","CRONUS JetCorp USA","32","1","166408"</v>
      </c>
      <c r="H1637" s="40">
        <v>43466</v>
      </c>
      <c r="I1637" s="41">
        <v>166408</v>
      </c>
      <c r="J1637" s="42" t="str">
        <f>"Vendor"</f>
        <v>Vendor</v>
      </c>
      <c r="K1637" s="42" t="str">
        <f>"V100003"</f>
        <v>V100003</v>
      </c>
      <c r="L1637" s="42" t="str">
        <f>IF($J1637="Customer",_xll.NL("first",$J1637,"Name","No.","@@"&amp;$K1637),"")</f>
        <v/>
      </c>
      <c r="M1637" s="42" t="str">
        <f>"LogoMasters"</f>
        <v>LogoMasters</v>
      </c>
      <c r="N1637" s="42" t="str">
        <f>IF($J1637="Item",_xll.NL("first",$J1637,"Description","No.","@@"&amp;$K1637),"")</f>
        <v/>
      </c>
      <c r="O1637" s="43">
        <v>1500</v>
      </c>
      <c r="P1637" s="43">
        <v>0</v>
      </c>
      <c r="Q1637" s="43">
        <v>0</v>
      </c>
      <c r="R1637" s="43">
        <v>0</v>
      </c>
      <c r="S1637" s="43">
        <v>0</v>
      </c>
      <c r="T1637" s="43">
        <v>0</v>
      </c>
      <c r="U1637" s="56"/>
    </row>
    <row r="1638" spans="1:21" ht="17.25" customHeight="1" x14ac:dyDescent="0.3">
      <c r="A1638" s="15" t="s">
        <v>30</v>
      </c>
      <c r="C1638" s="19"/>
      <c r="D1638" s="33" t="str">
        <f t="shared" si="412"/>
        <v>S100003</v>
      </c>
      <c r="E1638" s="33"/>
      <c r="F1638" s="34"/>
      <c r="G1638" s="34" t="str">
        <f>"""NAV Direct"",""CRONUS JetCorp USA"",""32"",""1"",""166425"""</f>
        <v>"NAV Direct","CRONUS JetCorp USA","32","1","166425"</v>
      </c>
      <c r="H1638" s="40">
        <v>43466</v>
      </c>
      <c r="I1638" s="41">
        <v>166425</v>
      </c>
      <c r="J1638" s="42" t="str">
        <f>"Vendor"</f>
        <v>Vendor</v>
      </c>
      <c r="K1638" s="42" t="str">
        <f>"V100001"</f>
        <v>V100001</v>
      </c>
      <c r="L1638" s="42" t="str">
        <f>IF($J1638="Customer",_xll.NL("first",$J1638,"Name","No.","@@"&amp;$K1638),"")</f>
        <v/>
      </c>
      <c r="M1638" s="42" t="str">
        <f>"Greigner, Inc."</f>
        <v>Greigner, Inc.</v>
      </c>
      <c r="N1638" s="42" t="str">
        <f>IF($J1638="Item",_xll.NL("first",$J1638,"Description","No.","@@"&amp;$K1638),"")</f>
        <v/>
      </c>
      <c r="O1638" s="43">
        <v>700</v>
      </c>
      <c r="P1638" s="43">
        <v>0</v>
      </c>
      <c r="Q1638" s="43">
        <v>0</v>
      </c>
      <c r="R1638" s="43">
        <v>0</v>
      </c>
      <c r="S1638" s="43">
        <v>0</v>
      </c>
      <c r="T1638" s="43">
        <v>0</v>
      </c>
      <c r="U1638" s="56"/>
    </row>
    <row r="1639" spans="1:21" ht="17.25" customHeight="1" x14ac:dyDescent="0.3">
      <c r="A1639" s="15" t="s">
        <v>30</v>
      </c>
      <c r="C1639" s="19"/>
      <c r="D1639" s="33" t="str">
        <f t="shared" si="412"/>
        <v>S100003</v>
      </c>
      <c r="E1639" s="33"/>
      <c r="F1639" s="34"/>
      <c r="G1639" s="34" t="str">
        <f>"""NAV Direct"",""CRONUS JetCorp USA"",""32"",""1"",""34326"""</f>
        <v>"NAV Direct","CRONUS JetCorp USA","32","1","34326"</v>
      </c>
      <c r="H1639" s="40">
        <v>43470</v>
      </c>
      <c r="I1639" s="41">
        <v>34326</v>
      </c>
      <c r="J1639" s="42" t="str">
        <f>"Customer"</f>
        <v>Customer</v>
      </c>
      <c r="K1639" s="42" t="str">
        <f>"C100050"</f>
        <v>C100050</v>
      </c>
      <c r="L1639" s="42" t="str">
        <f>IF($J1639="Customer",_xll.NL("first",$J1639,"Name","No.","@@"&amp;$K1639),"")</f>
        <v>Lauritzen Kontorm¢bler A/S</v>
      </c>
      <c r="M1639" s="42" t="str">
        <f>""</f>
        <v/>
      </c>
      <c r="N1639" s="42" t="str">
        <f>IF($J1639="Item",_xll.NL("first",$J1639,"Description","No.","@@"&amp;$K1639),"")</f>
        <v/>
      </c>
      <c r="O1639" s="43">
        <v>0</v>
      </c>
      <c r="P1639" s="43">
        <v>-2</v>
      </c>
      <c r="Q1639" s="43">
        <v>0</v>
      </c>
      <c r="R1639" s="43">
        <v>0</v>
      </c>
      <c r="S1639" s="43">
        <v>0</v>
      </c>
      <c r="T1639" s="43">
        <v>0</v>
      </c>
      <c r="U1639" s="56"/>
    </row>
    <row r="1640" spans="1:21" ht="17.25" customHeight="1" x14ac:dyDescent="0.3">
      <c r="A1640" s="15" t="s">
        <v>30</v>
      </c>
      <c r="C1640" s="19"/>
      <c r="D1640" s="33" t="str">
        <f t="shared" si="412"/>
        <v>S100003</v>
      </c>
      <c r="E1640" s="33"/>
      <c r="F1640" s="34"/>
      <c r="G1640" s="34" t="str">
        <f>"""NAV Direct"",""CRONUS JetCorp USA"",""32"",""1"",""25244"""</f>
        <v>"NAV Direct","CRONUS JetCorp USA","32","1","25244"</v>
      </c>
      <c r="H1640" s="40">
        <v>43471</v>
      </c>
      <c r="I1640" s="41">
        <v>25244</v>
      </c>
      <c r="J1640" s="42" t="str">
        <f>"Customer"</f>
        <v>Customer</v>
      </c>
      <c r="K1640" s="42" t="str">
        <f>"C100102"</f>
        <v>C100102</v>
      </c>
      <c r="L1640" s="42" t="str">
        <f>IF($J1640="Customer",_xll.NL("first",$J1640,"Name","No.","@@"&amp;$K1640),"")</f>
        <v xml:space="preserve">BEI Outfitters </v>
      </c>
      <c r="M1640" s="42" t="str">
        <f>""</f>
        <v/>
      </c>
      <c r="N1640" s="42" t="str">
        <f>IF($J1640="Item",_xll.NL("first",$J1640,"Description","No.","@@"&amp;$K1640),"")</f>
        <v/>
      </c>
      <c r="O1640" s="43">
        <v>0</v>
      </c>
      <c r="P1640" s="43">
        <v>-144</v>
      </c>
      <c r="Q1640" s="43">
        <v>0</v>
      </c>
      <c r="R1640" s="43">
        <v>0</v>
      </c>
      <c r="S1640" s="43">
        <v>0</v>
      </c>
      <c r="T1640" s="43">
        <v>0</v>
      </c>
      <c r="U1640" s="56"/>
    </row>
    <row r="1641" spans="1:21" ht="17.25" customHeight="1" x14ac:dyDescent="0.3">
      <c r="A1641" s="15" t="s">
        <v>30</v>
      </c>
      <c r="C1641" s="19"/>
      <c r="D1641" s="33" t="str">
        <f t="shared" si="412"/>
        <v>S100003</v>
      </c>
      <c r="E1641" s="33"/>
      <c r="F1641" s="34"/>
      <c r="G1641" s="34" t="str">
        <f>"""NAV Direct"",""CRONUS JetCorp USA"",""32"",""1"",""128857"""</f>
        <v>"NAV Direct","CRONUS JetCorp USA","32","1","128857"</v>
      </c>
      <c r="H1641" s="40">
        <v>43471</v>
      </c>
      <c r="I1641" s="41">
        <v>128857</v>
      </c>
      <c r="J1641" s="42" t="str">
        <f>"Customer"</f>
        <v>Customer</v>
      </c>
      <c r="K1641" s="42" t="str">
        <f>"C100138"</f>
        <v>C100138</v>
      </c>
      <c r="L1641" s="42" t="str">
        <f>IF($J1641="Customer",_xll.NL("first",$J1641,"Name","No.","@@"&amp;$K1641),"")</f>
        <v>Dantons</v>
      </c>
      <c r="M1641" s="42" t="str">
        <f>""</f>
        <v/>
      </c>
      <c r="N1641" s="42" t="str">
        <f>IF($J1641="Item",_xll.NL("first",$J1641,"Description","No.","@@"&amp;$K1641),"")</f>
        <v/>
      </c>
      <c r="O1641" s="43">
        <v>0</v>
      </c>
      <c r="P1641" s="43">
        <v>-150</v>
      </c>
      <c r="Q1641" s="43">
        <v>0</v>
      </c>
      <c r="R1641" s="43">
        <v>0</v>
      </c>
      <c r="S1641" s="43">
        <v>0</v>
      </c>
      <c r="T1641" s="43">
        <v>0</v>
      </c>
      <c r="U1641" s="56"/>
    </row>
    <row r="1642" spans="1:21" ht="17.25" customHeight="1" x14ac:dyDescent="0.3">
      <c r="A1642" s="15" t="s">
        <v>30</v>
      </c>
      <c r="C1642" s="19"/>
      <c r="D1642" s="33" t="str">
        <f t="shared" si="412"/>
        <v>S100003</v>
      </c>
      <c r="E1642" s="33"/>
      <c r="F1642" s="34"/>
      <c r="G1642" s="34" t="str">
        <f>"""NAV Direct"",""CRONUS JetCorp USA"",""32"",""1"",""20341"""</f>
        <v>"NAV Direct","CRONUS JetCorp USA","32","1","20341"</v>
      </c>
      <c r="H1642" s="40">
        <v>43472</v>
      </c>
      <c r="I1642" s="41">
        <v>20341</v>
      </c>
      <c r="J1642" s="42" t="str">
        <f>"Customer"</f>
        <v>Customer</v>
      </c>
      <c r="K1642" s="42" t="str">
        <f>"C100145"</f>
        <v>C100145</v>
      </c>
      <c r="L1642" s="42" t="str">
        <f>IF($J1642="Customer",_xll.NL("first",$J1642,"Name","No.","@@"&amp;$K1642),"")</f>
        <v>Dicon Industries</v>
      </c>
      <c r="M1642" s="42" t="str">
        <f>""</f>
        <v/>
      </c>
      <c r="N1642" s="42" t="str">
        <f>IF($J1642="Item",_xll.NL("first",$J1642,"Description","No.","@@"&amp;$K1642),"")</f>
        <v/>
      </c>
      <c r="O1642" s="43">
        <v>0</v>
      </c>
      <c r="P1642" s="43">
        <v>-144</v>
      </c>
      <c r="Q1642" s="43">
        <v>0</v>
      </c>
      <c r="R1642" s="43">
        <v>0</v>
      </c>
      <c r="S1642" s="43">
        <v>0</v>
      </c>
      <c r="T1642" s="43">
        <v>0</v>
      </c>
      <c r="U1642" s="56"/>
    </row>
    <row r="1643" spans="1:21" ht="17.25" customHeight="1" x14ac:dyDescent="0.3">
      <c r="A1643" s="15" t="s">
        <v>30</v>
      </c>
      <c r="C1643" s="19"/>
      <c r="D1643" s="33" t="str">
        <f t="shared" si="412"/>
        <v>S100003</v>
      </c>
      <c r="E1643" s="33"/>
      <c r="F1643" s="34"/>
      <c r="G1643" s="34" t="str">
        <f>"""NAV Direct"",""CRONUS JetCorp USA"",""32"",""1"",""44476"""</f>
        <v>"NAV Direct","CRONUS JetCorp USA","32","1","44476"</v>
      </c>
      <c r="H1643" s="40">
        <v>43472</v>
      </c>
      <c r="I1643" s="41">
        <v>44476</v>
      </c>
      <c r="J1643" s="42" t="str">
        <f>"Customer"</f>
        <v>Customer</v>
      </c>
      <c r="K1643" s="42" t="str">
        <f>"C100141"</f>
        <v>C100141</v>
      </c>
      <c r="L1643" s="42" t="str">
        <f>IF($J1643="Customer",_xll.NL("first",$J1643,"Name","No.","@@"&amp;$K1643),"")</f>
        <v>Bargottis</v>
      </c>
      <c r="M1643" s="42" t="str">
        <f>""</f>
        <v/>
      </c>
      <c r="N1643" s="42" t="str">
        <f>IF($J1643="Item",_xll.NL("first",$J1643,"Description","No.","@@"&amp;$K1643),"")</f>
        <v/>
      </c>
      <c r="O1643" s="43">
        <v>0</v>
      </c>
      <c r="P1643" s="43">
        <v>-144</v>
      </c>
      <c r="Q1643" s="43">
        <v>0</v>
      </c>
      <c r="R1643" s="43">
        <v>0</v>
      </c>
      <c r="S1643" s="43">
        <v>0</v>
      </c>
      <c r="T1643" s="43">
        <v>0</v>
      </c>
      <c r="U1643" s="56"/>
    </row>
    <row r="1644" spans="1:21" ht="17.25" customHeight="1" x14ac:dyDescent="0.3">
      <c r="A1644" s="15" t="s">
        <v>30</v>
      </c>
      <c r="C1644" s="19"/>
      <c r="D1644" s="33" t="str">
        <f t="shared" si="412"/>
        <v>S100003</v>
      </c>
      <c r="E1644" s="33"/>
      <c r="F1644" s="34"/>
      <c r="G1644" s="34" t="str">
        <f>"""NAV Direct"",""CRONUS JetCorp USA"",""32"",""1"",""54734"""</f>
        <v>"NAV Direct","CRONUS JetCorp USA","32","1","54734"</v>
      </c>
      <c r="H1644" s="40">
        <v>43472</v>
      </c>
      <c r="I1644" s="41">
        <v>54734</v>
      </c>
      <c r="J1644" s="42" t="str">
        <f>"Customer"</f>
        <v>Customer</v>
      </c>
      <c r="K1644" s="42" t="str">
        <f>"C100084"</f>
        <v>C100084</v>
      </c>
      <c r="L1644" s="42" t="str">
        <f>IF($J1644="Customer",_xll.NL("first",$J1644,"Name","No.","@@"&amp;$K1644),"")</f>
        <v>The Cannon Group PLC</v>
      </c>
      <c r="M1644" s="42" t="str">
        <f>""</f>
        <v/>
      </c>
      <c r="N1644" s="42" t="str">
        <f>IF($J1644="Item",_xll.NL("first",$J1644,"Description","No.","@@"&amp;$K1644),"")</f>
        <v/>
      </c>
      <c r="O1644" s="43">
        <v>0</v>
      </c>
      <c r="P1644" s="43">
        <v>-144</v>
      </c>
      <c r="Q1644" s="43">
        <v>0</v>
      </c>
      <c r="R1644" s="43">
        <v>0</v>
      </c>
      <c r="S1644" s="43">
        <v>0</v>
      </c>
      <c r="T1644" s="43">
        <v>0</v>
      </c>
      <c r="U1644" s="56"/>
    </row>
    <row r="1645" spans="1:21" ht="17.25" customHeight="1" x14ac:dyDescent="0.3">
      <c r="A1645" s="15" t="s">
        <v>30</v>
      </c>
      <c r="C1645" s="19"/>
      <c r="D1645" s="33" t="str">
        <f t="shared" si="412"/>
        <v>S100003</v>
      </c>
      <c r="E1645" s="33"/>
      <c r="F1645" s="34"/>
      <c r="G1645" s="34" t="str">
        <f>"""NAV Direct"",""CRONUS JetCorp USA"",""32"",""1"",""128880"""</f>
        <v>"NAV Direct","CRONUS JetCorp USA","32","1","128880"</v>
      </c>
      <c r="H1645" s="40">
        <v>43472</v>
      </c>
      <c r="I1645" s="41">
        <v>128880</v>
      </c>
      <c r="J1645" s="42" t="str">
        <f>"Customer"</f>
        <v>Customer</v>
      </c>
      <c r="K1645" s="42" t="str">
        <f>"C100105"</f>
        <v>C100105</v>
      </c>
      <c r="L1645" s="42" t="str">
        <f>IF($J1645="Customer",_xll.NL("first",$J1645,"Name","No.","@@"&amp;$K1645),"")</f>
        <v>Esystems</v>
      </c>
      <c r="M1645" s="42" t="str">
        <f>""</f>
        <v/>
      </c>
      <c r="N1645" s="42" t="str">
        <f>IF($J1645="Item",_xll.NL("first",$J1645,"Description","No.","@@"&amp;$K1645),"")</f>
        <v/>
      </c>
      <c r="O1645" s="43">
        <v>0</v>
      </c>
      <c r="P1645" s="43">
        <v>-1</v>
      </c>
      <c r="Q1645" s="43">
        <v>0</v>
      </c>
      <c r="R1645" s="43">
        <v>0</v>
      </c>
      <c r="S1645" s="43">
        <v>0</v>
      </c>
      <c r="T1645" s="43">
        <v>0</v>
      </c>
      <c r="U1645" s="56"/>
    </row>
    <row r="1646" spans="1:21" ht="17.25" customHeight="1" x14ac:dyDescent="0.3">
      <c r="A1646" s="15" t="s">
        <v>30</v>
      </c>
      <c r="C1646" s="19"/>
      <c r="D1646" s="33" t="str">
        <f t="shared" si="412"/>
        <v>S100003</v>
      </c>
      <c r="E1646" s="33"/>
      <c r="F1646" s="34"/>
      <c r="G1646" s="34" t="str">
        <f>"""NAV Direct"",""CRONUS JetCorp USA"",""32"",""1"",""34317"""</f>
        <v>"NAV Direct","CRONUS JetCorp USA","32","1","34317"</v>
      </c>
      <c r="H1646" s="40">
        <v>43473</v>
      </c>
      <c r="I1646" s="41">
        <v>34317</v>
      </c>
      <c r="J1646" s="42" t="str">
        <f>"Customer"</f>
        <v>Customer</v>
      </c>
      <c r="K1646" s="42" t="str">
        <f>"C100059"</f>
        <v>C100059</v>
      </c>
      <c r="L1646" s="42" t="str">
        <f>IF($J1646="Customer",_xll.NL("first",$J1646,"Name","No.","@@"&amp;$K1646),"")</f>
        <v>Meersen Meubelen</v>
      </c>
      <c r="M1646" s="42" t="str">
        <f>""</f>
        <v/>
      </c>
      <c r="N1646" s="42" t="str">
        <f>IF($J1646="Item",_xll.NL("first",$J1646,"Description","No.","@@"&amp;$K1646),"")</f>
        <v/>
      </c>
      <c r="O1646" s="43">
        <v>0</v>
      </c>
      <c r="P1646" s="43">
        <v>-12</v>
      </c>
      <c r="Q1646" s="43">
        <v>0</v>
      </c>
      <c r="R1646" s="43">
        <v>0</v>
      </c>
      <c r="S1646" s="43">
        <v>0</v>
      </c>
      <c r="T1646" s="43">
        <v>0</v>
      </c>
      <c r="U1646" s="56"/>
    </row>
    <row r="1647" spans="1:21" ht="17.25" customHeight="1" x14ac:dyDescent="0.3">
      <c r="A1647" s="15" t="s">
        <v>30</v>
      </c>
      <c r="C1647" s="19"/>
      <c r="D1647" s="33" t="str">
        <f t="shared" si="412"/>
        <v>S100003</v>
      </c>
      <c r="E1647" s="33"/>
      <c r="F1647" s="34"/>
      <c r="G1647" s="34" t="str">
        <f>"""NAV Direct"",""CRONUS JetCorp USA"",""32"",""1"",""124551"""</f>
        <v>"NAV Direct","CRONUS JetCorp USA","32","1","124551"</v>
      </c>
      <c r="H1647" s="40">
        <v>43473</v>
      </c>
      <c r="I1647" s="41">
        <v>124551</v>
      </c>
      <c r="J1647" s="42" t="str">
        <f>"Customer"</f>
        <v>Customer</v>
      </c>
      <c r="K1647" s="42" t="str">
        <f>"C100035"</f>
        <v>C100035</v>
      </c>
      <c r="L1647" s="42" t="str">
        <f>IF($J1647="Customer",_xll.NL("first",$J1647,"Name","No.","@@"&amp;$K1647),"")</f>
        <v>First Touch Marketing</v>
      </c>
      <c r="M1647" s="42" t="str">
        <f>""</f>
        <v/>
      </c>
      <c r="N1647" s="42" t="str">
        <f>IF($J1647="Item",_xll.NL("first",$J1647,"Description","No.","@@"&amp;$K1647),"")</f>
        <v/>
      </c>
      <c r="O1647" s="43">
        <v>0</v>
      </c>
      <c r="P1647" s="43">
        <v>-288</v>
      </c>
      <c r="Q1647" s="43">
        <v>0</v>
      </c>
      <c r="R1647" s="43">
        <v>0</v>
      </c>
      <c r="S1647" s="43">
        <v>0</v>
      </c>
      <c r="T1647" s="43">
        <v>0</v>
      </c>
      <c r="U1647" s="56"/>
    </row>
    <row r="1648" spans="1:21" ht="17.25" customHeight="1" x14ac:dyDescent="0.3">
      <c r="A1648" s="15" t="s">
        <v>30</v>
      </c>
      <c r="C1648" s="19"/>
      <c r="D1648" s="33" t="str">
        <f t="shared" si="412"/>
        <v>S100003</v>
      </c>
      <c r="E1648" s="33"/>
      <c r="F1648" s="34"/>
      <c r="G1648" s="34" t="str">
        <f>"""NAV Direct"",""CRONUS JetCorp USA"",""32"",""1"",""54708"""</f>
        <v>"NAV Direct","CRONUS JetCorp USA","32","1","54708"</v>
      </c>
      <c r="H1648" s="40">
        <v>43474</v>
      </c>
      <c r="I1648" s="41">
        <v>54708</v>
      </c>
      <c r="J1648" s="42" t="str">
        <f>"Customer"</f>
        <v>Customer</v>
      </c>
      <c r="K1648" s="42" t="str">
        <f>"C100096"</f>
        <v>C100096</v>
      </c>
      <c r="L1648" s="42" t="str">
        <f>IF($J1648="Customer",_xll.NL("first",$J1648,"Name","No.","@@"&amp;$K1648),"")</f>
        <v>D-Com Industries</v>
      </c>
      <c r="M1648" s="42" t="str">
        <f>""</f>
        <v/>
      </c>
      <c r="N1648" s="42" t="str">
        <f>IF($J1648="Item",_xll.NL("first",$J1648,"Description","No.","@@"&amp;$K1648),"")</f>
        <v/>
      </c>
      <c r="O1648" s="43">
        <v>0</v>
      </c>
      <c r="P1648" s="43">
        <v>-144</v>
      </c>
      <c r="Q1648" s="43">
        <v>0</v>
      </c>
      <c r="R1648" s="43">
        <v>0</v>
      </c>
      <c r="S1648" s="43">
        <v>0</v>
      </c>
      <c r="T1648" s="43">
        <v>0</v>
      </c>
      <c r="U1648" s="56"/>
    </row>
    <row r="1649" spans="1:21" ht="17.25" customHeight="1" x14ac:dyDescent="0.3">
      <c r="A1649" s="15" t="s">
        <v>30</v>
      </c>
      <c r="C1649" s="19"/>
      <c r="D1649" s="33" t="str">
        <f t="shared" si="412"/>
        <v>S100003</v>
      </c>
      <c r="E1649" s="33"/>
      <c r="F1649" s="34"/>
      <c r="G1649" s="34" t="str">
        <f>"""NAV Direct"",""CRONUS JetCorp USA"",""32"",""1"",""135820"""</f>
        <v>"NAV Direct","CRONUS JetCorp USA","32","1","135820"</v>
      </c>
      <c r="H1649" s="40">
        <v>43474</v>
      </c>
      <c r="I1649" s="41">
        <v>135820</v>
      </c>
      <c r="J1649" s="42" t="str">
        <f>"Customer"</f>
        <v>Customer</v>
      </c>
      <c r="K1649" s="42" t="str">
        <f>"C100050"</f>
        <v>C100050</v>
      </c>
      <c r="L1649" s="42" t="str">
        <f>IF($J1649="Customer",_xll.NL("first",$J1649,"Name","No.","@@"&amp;$K1649),"")</f>
        <v>Lauritzen Kontorm¢bler A/S</v>
      </c>
      <c r="M1649" s="42" t="str">
        <f>""</f>
        <v/>
      </c>
      <c r="N1649" s="42" t="str">
        <f>IF($J1649="Item",_xll.NL("first",$J1649,"Description","No.","@@"&amp;$K1649),"")</f>
        <v/>
      </c>
      <c r="O1649" s="43">
        <v>0</v>
      </c>
      <c r="P1649" s="43">
        <v>-12</v>
      </c>
      <c r="Q1649" s="43">
        <v>0</v>
      </c>
      <c r="R1649" s="43">
        <v>0</v>
      </c>
      <c r="S1649" s="43">
        <v>0</v>
      </c>
      <c r="T1649" s="43">
        <v>0</v>
      </c>
      <c r="U1649" s="56"/>
    </row>
    <row r="1650" spans="1:21" ht="17.25" customHeight="1" x14ac:dyDescent="0.3">
      <c r="A1650" s="15" t="s">
        <v>30</v>
      </c>
      <c r="C1650" s="19"/>
      <c r="D1650" s="33" t="str">
        <f t="shared" si="412"/>
        <v>S100003</v>
      </c>
      <c r="E1650" s="33"/>
      <c r="F1650" s="34"/>
      <c r="G1650" s="34" t="str">
        <f>"""NAV Direct"",""CRONUS JetCorp USA"",""32"",""1"",""20410"""</f>
        <v>"NAV Direct","CRONUS JetCorp USA","32","1","20410"</v>
      </c>
      <c r="H1650" s="40">
        <v>43475</v>
      </c>
      <c r="I1650" s="41">
        <v>20410</v>
      </c>
      <c r="J1650" s="42" t="str">
        <f>"Customer"</f>
        <v>Customer</v>
      </c>
      <c r="K1650" s="42" t="str">
        <f>"C100130"</f>
        <v>C100130</v>
      </c>
      <c r="L1650" s="42" t="str">
        <f>IF($J1650="Customer",_xll.NL("first",$J1650,"Name","No.","@@"&amp;$K1650),"")</f>
        <v>Hotspot Systems</v>
      </c>
      <c r="M1650" s="42" t="str">
        <f>""</f>
        <v/>
      </c>
      <c r="N1650" s="42" t="str">
        <f>IF($J1650="Item",_xll.NL("first",$J1650,"Description","No.","@@"&amp;$K1650),"")</f>
        <v/>
      </c>
      <c r="O1650" s="43">
        <v>0</v>
      </c>
      <c r="P1650" s="43">
        <v>-144</v>
      </c>
      <c r="Q1650" s="43">
        <v>0</v>
      </c>
      <c r="R1650" s="43">
        <v>0</v>
      </c>
      <c r="S1650" s="43">
        <v>0</v>
      </c>
      <c r="T1650" s="43">
        <v>0</v>
      </c>
      <c r="U1650" s="56"/>
    </row>
    <row r="1651" spans="1:21" ht="17.25" customHeight="1" x14ac:dyDescent="0.3">
      <c r="A1651" s="15" t="s">
        <v>30</v>
      </c>
      <c r="C1651" s="19"/>
      <c r="D1651" s="33" t="str">
        <f t="shared" si="412"/>
        <v>S100003</v>
      </c>
      <c r="E1651" s="33"/>
      <c r="F1651" s="34"/>
      <c r="G1651" s="34" t="str">
        <f>"""NAV Direct"",""CRONUS JetCorp USA"",""32"",""1"",""64625"""</f>
        <v>"NAV Direct","CRONUS JetCorp USA","32","1","64625"</v>
      </c>
      <c r="H1651" s="40">
        <v>43475</v>
      </c>
      <c r="I1651" s="41">
        <v>64625</v>
      </c>
      <c r="J1651" s="42" t="str">
        <f>"Customer"</f>
        <v>Customer</v>
      </c>
      <c r="K1651" s="42" t="str">
        <f>"C100136"</f>
        <v>C100136</v>
      </c>
      <c r="L1651" s="42" t="str">
        <f>IF($J1651="Customer",_xll.NL("first",$J1651,"Name","No.","@@"&amp;$K1651),"")</f>
        <v>First Bank</v>
      </c>
      <c r="M1651" s="42" t="str">
        <f>""</f>
        <v/>
      </c>
      <c r="N1651" s="42" t="str">
        <f>IF($J1651="Item",_xll.NL("first",$J1651,"Description","No.","@@"&amp;$K1651),"")</f>
        <v/>
      </c>
      <c r="O1651" s="43">
        <v>0</v>
      </c>
      <c r="P1651" s="43">
        <v>-144</v>
      </c>
      <c r="Q1651" s="43">
        <v>0</v>
      </c>
      <c r="R1651" s="43">
        <v>0</v>
      </c>
      <c r="S1651" s="43">
        <v>0</v>
      </c>
      <c r="T1651" s="43">
        <v>0</v>
      </c>
      <c r="U1651" s="56"/>
    </row>
    <row r="1652" spans="1:21" ht="17.25" customHeight="1" x14ac:dyDescent="0.3">
      <c r="A1652" s="15" t="s">
        <v>30</v>
      </c>
      <c r="C1652" s="19"/>
      <c r="D1652" s="33" t="str">
        <f t="shared" si="412"/>
        <v>S100003</v>
      </c>
      <c r="E1652" s="33"/>
      <c r="F1652" s="34"/>
      <c r="G1652" s="34" t="str">
        <f>"""NAV Direct"",""CRONUS JetCorp USA"",""32"",""1"",""78910"""</f>
        <v>"NAV Direct","CRONUS JetCorp USA","32","1","78910"</v>
      </c>
      <c r="H1652" s="40">
        <v>43475</v>
      </c>
      <c r="I1652" s="41">
        <v>78910</v>
      </c>
      <c r="J1652" s="42" t="str">
        <f>"Customer"</f>
        <v>Customer</v>
      </c>
      <c r="K1652" s="42" t="str">
        <f>"C100128"</f>
        <v>C100128</v>
      </c>
      <c r="L1652" s="42" t="str">
        <f>IF($J1652="Customer",_xll.NL("first",$J1652,"Name","No.","@@"&amp;$K1652),"")</f>
        <v>Solar Tech</v>
      </c>
      <c r="M1652" s="42" t="str">
        <f>""</f>
        <v/>
      </c>
      <c r="N1652" s="42" t="str">
        <f>IF($J1652="Item",_xll.NL("first",$J1652,"Description","No.","@@"&amp;$K1652),"")</f>
        <v/>
      </c>
      <c r="O1652" s="43">
        <v>0</v>
      </c>
      <c r="P1652" s="43">
        <v>-1</v>
      </c>
      <c r="Q1652" s="43">
        <v>0</v>
      </c>
      <c r="R1652" s="43">
        <v>0</v>
      </c>
      <c r="S1652" s="43">
        <v>0</v>
      </c>
      <c r="T1652" s="43">
        <v>0</v>
      </c>
      <c r="U1652" s="56"/>
    </row>
    <row r="1653" spans="1:21" ht="17.25" customHeight="1" x14ac:dyDescent="0.3">
      <c r="A1653" s="15" t="s">
        <v>30</v>
      </c>
      <c r="C1653" s="19"/>
      <c r="D1653" s="33" t="str">
        <f t="shared" si="412"/>
        <v>S100003</v>
      </c>
      <c r="E1653" s="33"/>
      <c r="F1653" s="34"/>
      <c r="G1653" s="34" t="str">
        <f>"""NAV Direct"",""CRONUS JetCorp USA"",""32"",""1"",""38090"""</f>
        <v>"NAV Direct","CRONUS JetCorp USA","32","1","38090"</v>
      </c>
      <c r="H1653" s="40">
        <v>43477</v>
      </c>
      <c r="I1653" s="41">
        <v>38090</v>
      </c>
      <c r="J1653" s="42" t="str">
        <f>"Customer"</f>
        <v>Customer</v>
      </c>
      <c r="K1653" s="42" t="str">
        <f>"C100038"</f>
        <v>C100038</v>
      </c>
      <c r="L1653" s="42" t="str">
        <f>IF($J1653="Customer",_xll.NL("first",$J1653,"Name","No.","@@"&amp;$K1653),"")</f>
        <v>Gagn &amp; Gaman</v>
      </c>
      <c r="M1653" s="42" t="str">
        <f>""</f>
        <v/>
      </c>
      <c r="N1653" s="42" t="str">
        <f>IF($J1653="Item",_xll.NL("first",$J1653,"Description","No.","@@"&amp;$K1653),"")</f>
        <v/>
      </c>
      <c r="O1653" s="43">
        <v>0</v>
      </c>
      <c r="P1653" s="43">
        <v>-144</v>
      </c>
      <c r="Q1653" s="43">
        <v>0</v>
      </c>
      <c r="R1653" s="43">
        <v>0</v>
      </c>
      <c r="S1653" s="43">
        <v>0</v>
      </c>
      <c r="T1653" s="43">
        <v>0</v>
      </c>
      <c r="U1653" s="56"/>
    </row>
    <row r="1654" spans="1:21" ht="17.25" customHeight="1" x14ac:dyDescent="0.3">
      <c r="A1654" s="15" t="s">
        <v>30</v>
      </c>
      <c r="C1654" s="19"/>
      <c r="D1654" s="33" t="str">
        <f t="shared" si="412"/>
        <v>S100003</v>
      </c>
      <c r="E1654" s="33"/>
      <c r="F1654" s="34"/>
      <c r="G1654" s="34" t="str">
        <f>"""NAV Direct"",""CRONUS JetCorp USA"",""32"",""1"",""138731"""</f>
        <v>"NAV Direct","CRONUS JetCorp USA","32","1","138731"</v>
      </c>
      <c r="H1654" s="40">
        <v>43477</v>
      </c>
      <c r="I1654" s="41">
        <v>138731</v>
      </c>
      <c r="J1654" s="42" t="str">
        <f>"Customer"</f>
        <v>Customer</v>
      </c>
      <c r="K1654" s="42" t="str">
        <f>"C100021"</f>
        <v>C100021</v>
      </c>
      <c r="L1654" s="42" t="str">
        <f>IF($J1654="Customer",_xll.NL("first",$J1654,"Name","No.","@@"&amp;$K1654),"")</f>
        <v>Cronus Cardoxy Sales</v>
      </c>
      <c r="M1654" s="42" t="str">
        <f>""</f>
        <v/>
      </c>
      <c r="N1654" s="42" t="str">
        <f>IF($J1654="Item",_xll.NL("first",$J1654,"Description","No.","@@"&amp;$K1654),"")</f>
        <v/>
      </c>
      <c r="O1654" s="43">
        <v>0</v>
      </c>
      <c r="P1654" s="43">
        <v>-144</v>
      </c>
      <c r="Q1654" s="43">
        <v>0</v>
      </c>
      <c r="R1654" s="43">
        <v>0</v>
      </c>
      <c r="S1654" s="43">
        <v>0</v>
      </c>
      <c r="T1654" s="43">
        <v>0</v>
      </c>
      <c r="U1654" s="56"/>
    </row>
    <row r="1655" spans="1:21" ht="17.25" customHeight="1" x14ac:dyDescent="0.3">
      <c r="A1655" s="15" t="s">
        <v>30</v>
      </c>
      <c r="C1655" s="19"/>
      <c r="D1655" s="33"/>
      <c r="E1655" s="33"/>
      <c r="F1655" s="34"/>
      <c r="G1655" s="34"/>
      <c r="H1655" s="34"/>
      <c r="I1655" s="34"/>
      <c r="J1655" s="34"/>
      <c r="K1655" s="34"/>
      <c r="L1655" s="34"/>
      <c r="M1655" s="34"/>
      <c r="N1655" s="34"/>
      <c r="O1655" s="44"/>
      <c r="P1655" s="44"/>
      <c r="Q1655" s="44"/>
      <c r="R1655" s="44"/>
      <c r="S1655" s="44"/>
      <c r="T1655" s="44"/>
      <c r="U1655" s="57"/>
    </row>
    <row r="1656" spans="1:21" ht="17.25" customHeight="1" x14ac:dyDescent="0.3">
      <c r="A1656" s="15" t="s">
        <v>30</v>
      </c>
      <c r="C1656" s="19"/>
      <c r="D1656" s="33"/>
      <c r="E1656" s="33" t="s">
        <v>31</v>
      </c>
      <c r="F1656" s="34" t="s">
        <v>31</v>
      </c>
      <c r="G1656" s="34" t="s">
        <v>31</v>
      </c>
      <c r="H1656" s="34"/>
      <c r="I1656" s="34"/>
      <c r="J1656" s="34" t="s">
        <v>31</v>
      </c>
      <c r="K1656" s="34" t="s">
        <v>31</v>
      </c>
      <c r="L1656" s="34" t="s">
        <v>31</v>
      </c>
      <c r="M1656" s="34" t="s">
        <v>31</v>
      </c>
      <c r="N1656" s="34"/>
      <c r="U1656" s="58"/>
    </row>
    <row r="1657" spans="1:21" ht="20.25" customHeight="1" x14ac:dyDescent="0.35">
      <c r="A1657" s="15" t="s">
        <v>30</v>
      </c>
      <c r="C1657" s="19"/>
      <c r="D1657" s="35" t="str">
        <f t="shared" ref="D1657" si="413">E1657</f>
        <v>S100004</v>
      </c>
      <c r="E1657" s="36" t="str">
        <f>"S100004"</f>
        <v>S100004</v>
      </c>
      <c r="F1657" s="37" t="str">
        <f>"Award Medallian - 2''"</f>
        <v>Award Medallian - 2''</v>
      </c>
      <c r="G1657" s="37"/>
      <c r="H1657" s="38" t="str">
        <f>"EA"</f>
        <v>EA</v>
      </c>
      <c r="I1657" s="37"/>
      <c r="J1657" s="37"/>
      <c r="K1657" s="37"/>
      <c r="L1657" s="37"/>
      <c r="M1657" s="37"/>
      <c r="N1657" s="37"/>
      <c r="O1657" s="39">
        <f>(SUBTOTAL(9,O1658:O1673))</f>
        <v>3300</v>
      </c>
      <c r="P1657" s="39">
        <f>(SUBTOTAL(9,P1658:P1673))</f>
        <v>-1011</v>
      </c>
      <c r="Q1657" s="39">
        <f>(SUBTOTAL(9,Q1658:Q1673))</f>
        <v>0</v>
      </c>
      <c r="R1657" s="39">
        <f>(SUBTOTAL(9,R1658:R1673))</f>
        <v>0</v>
      </c>
      <c r="S1657" s="39">
        <f>(SUBTOTAL(9,S1658:S1673))</f>
        <v>0</v>
      </c>
      <c r="T1657" s="39">
        <f>(SUBTOTAL(9,T1658:T1673))</f>
        <v>0</v>
      </c>
      <c r="U1657" s="55">
        <f t="shared" ref="U1657" si="414">SUBTOTAL(9,O1658:T1673)</f>
        <v>2289</v>
      </c>
    </row>
    <row r="1658" spans="1:21" ht="17.25" customHeight="1" x14ac:dyDescent="0.3">
      <c r="A1658" s="15" t="s">
        <v>30</v>
      </c>
      <c r="C1658" s="19"/>
      <c r="D1658" s="33" t="str">
        <f t="shared" ref="D1658" si="415">D1657</f>
        <v>S100004</v>
      </c>
      <c r="E1658" s="33"/>
      <c r="F1658" s="34"/>
      <c r="G1658" s="34" t="str">
        <f>"""NAV Direct"",""CRONUS JetCorp USA"",""32"",""1"",""166324"""</f>
        <v>"NAV Direct","CRONUS JetCorp USA","32","1","166324"</v>
      </c>
      <c r="H1658" s="40">
        <v>43466</v>
      </c>
      <c r="I1658" s="41">
        <v>166324</v>
      </c>
      <c r="J1658" s="42" t="str">
        <f>"Vendor"</f>
        <v>Vendor</v>
      </c>
      <c r="K1658" s="42" t="str">
        <f>"V100009"</f>
        <v>V100009</v>
      </c>
      <c r="L1658" s="42" t="str">
        <f>IF($J1658="Customer",_xll.NL("first",$J1658,"Name","No.","@@"&amp;$K1658),"")</f>
        <v/>
      </c>
      <c r="M1658" s="42" t="str">
        <f>"Malay-Dan Export Unit Sdn Bhd"</f>
        <v>Malay-Dan Export Unit Sdn Bhd</v>
      </c>
      <c r="N1658" s="42" t="str">
        <f>IF($J1658="Item",_xll.NL("first",$J1658,"Description","No.","@@"&amp;$K1658),"")</f>
        <v/>
      </c>
      <c r="O1658" s="43">
        <v>200</v>
      </c>
      <c r="P1658" s="43">
        <v>0</v>
      </c>
      <c r="Q1658" s="43">
        <v>0</v>
      </c>
      <c r="R1658" s="43">
        <v>0</v>
      </c>
      <c r="S1658" s="43">
        <v>0</v>
      </c>
      <c r="T1658" s="43">
        <v>0</v>
      </c>
      <c r="U1658" s="56"/>
    </row>
    <row r="1659" spans="1:21" ht="17.25" customHeight="1" x14ac:dyDescent="0.3">
      <c r="A1659" s="15" t="s">
        <v>30</v>
      </c>
      <c r="C1659" s="19"/>
      <c r="D1659" s="33" t="str">
        <f t="shared" ref="D1659:D1672" si="416">D1658</f>
        <v>S100004</v>
      </c>
      <c r="E1659" s="33"/>
      <c r="F1659" s="34"/>
      <c r="G1659" s="34" t="str">
        <f>"""NAV Direct"",""CRONUS JetCorp USA"",""32"",""1"",""166340"""</f>
        <v>"NAV Direct","CRONUS JetCorp USA","32","1","166340"</v>
      </c>
      <c r="H1659" s="40">
        <v>43466</v>
      </c>
      <c r="I1659" s="41">
        <v>166340</v>
      </c>
      <c r="J1659" s="42" t="str">
        <f>"Vendor"</f>
        <v>Vendor</v>
      </c>
      <c r="K1659" s="42" t="str">
        <f>"V100040"</f>
        <v>V100040</v>
      </c>
      <c r="L1659" s="42" t="str">
        <f>IF($J1659="Customer",_xll.NL("first",$J1659,"Name","No.","@@"&amp;$K1659),"")</f>
        <v/>
      </c>
      <c r="M1659" s="42" t="str">
        <f>"Technische Betriebe Rotkreuz"</f>
        <v>Technische Betriebe Rotkreuz</v>
      </c>
      <c r="N1659" s="42" t="str">
        <f>IF($J1659="Item",_xll.NL("first",$J1659,"Description","No.","@@"&amp;$K1659),"")</f>
        <v/>
      </c>
      <c r="O1659" s="43">
        <v>100</v>
      </c>
      <c r="P1659" s="43">
        <v>0</v>
      </c>
      <c r="Q1659" s="43">
        <v>0</v>
      </c>
      <c r="R1659" s="43">
        <v>0</v>
      </c>
      <c r="S1659" s="43">
        <v>0</v>
      </c>
      <c r="T1659" s="43">
        <v>0</v>
      </c>
      <c r="U1659" s="56"/>
    </row>
    <row r="1660" spans="1:21" ht="17.25" customHeight="1" x14ac:dyDescent="0.3">
      <c r="A1660" s="15" t="s">
        <v>30</v>
      </c>
      <c r="C1660" s="19"/>
      <c r="D1660" s="33" t="str">
        <f t="shared" si="416"/>
        <v>S100004</v>
      </c>
      <c r="E1660" s="33"/>
      <c r="F1660" s="34"/>
      <c r="G1660" s="34" t="str">
        <f>"""NAV Direct"",""CRONUS JetCorp USA"",""32"",""1"",""166359"""</f>
        <v>"NAV Direct","CRONUS JetCorp USA","32","1","166359"</v>
      </c>
      <c r="H1660" s="40">
        <v>43466</v>
      </c>
      <c r="I1660" s="41">
        <v>166359</v>
      </c>
      <c r="J1660" s="42" t="str">
        <f>"Vendor"</f>
        <v>Vendor</v>
      </c>
      <c r="K1660" s="42" t="str">
        <f>"V100007"</f>
        <v>V100007</v>
      </c>
      <c r="L1660" s="42" t="str">
        <f>IF($J1660="Customer",_xll.NL("first",$J1660,"Name","No.","@@"&amp;$K1660),"")</f>
        <v/>
      </c>
      <c r="M1660" s="42" t="str">
        <f>"TrendTech"</f>
        <v>TrendTech</v>
      </c>
      <c r="N1660" s="42" t="str">
        <f>IF($J1660="Item",_xll.NL("first",$J1660,"Description","No.","@@"&amp;$K1660),"")</f>
        <v/>
      </c>
      <c r="O1660" s="43">
        <v>300</v>
      </c>
      <c r="P1660" s="43">
        <v>0</v>
      </c>
      <c r="Q1660" s="43">
        <v>0</v>
      </c>
      <c r="R1660" s="43">
        <v>0</v>
      </c>
      <c r="S1660" s="43">
        <v>0</v>
      </c>
      <c r="T1660" s="43">
        <v>0</v>
      </c>
      <c r="U1660" s="56"/>
    </row>
    <row r="1661" spans="1:21" ht="17.25" customHeight="1" x14ac:dyDescent="0.3">
      <c r="A1661" s="15" t="s">
        <v>30</v>
      </c>
      <c r="C1661" s="19"/>
      <c r="D1661" s="33" t="str">
        <f t="shared" si="416"/>
        <v>S100004</v>
      </c>
      <c r="E1661" s="33"/>
      <c r="F1661" s="34"/>
      <c r="G1661" s="34" t="str">
        <f>"""NAV Direct"",""CRONUS JetCorp USA"",""32"",""1"",""166378"""</f>
        <v>"NAV Direct","CRONUS JetCorp USA","32","1","166378"</v>
      </c>
      <c r="H1661" s="40">
        <v>43466</v>
      </c>
      <c r="I1661" s="41">
        <v>166378</v>
      </c>
      <c r="J1661" s="42" t="str">
        <f>"Vendor"</f>
        <v>Vendor</v>
      </c>
      <c r="K1661" s="42" t="str">
        <f>"V100001"</f>
        <v>V100001</v>
      </c>
      <c r="L1661" s="42" t="str">
        <f>IF($J1661="Customer",_xll.NL("first",$J1661,"Name","No.","@@"&amp;$K1661),"")</f>
        <v/>
      </c>
      <c r="M1661" s="42" t="str">
        <f>"Greigner, Inc."</f>
        <v>Greigner, Inc.</v>
      </c>
      <c r="N1661" s="42" t="str">
        <f>IF($J1661="Item",_xll.NL("first",$J1661,"Description","No.","@@"&amp;$K1661),"")</f>
        <v/>
      </c>
      <c r="O1661" s="43">
        <v>1700</v>
      </c>
      <c r="P1661" s="43">
        <v>0</v>
      </c>
      <c r="Q1661" s="43">
        <v>0</v>
      </c>
      <c r="R1661" s="43">
        <v>0</v>
      </c>
      <c r="S1661" s="43">
        <v>0</v>
      </c>
      <c r="T1661" s="43">
        <v>0</v>
      </c>
      <c r="U1661" s="56"/>
    </row>
    <row r="1662" spans="1:21" ht="17.25" customHeight="1" x14ac:dyDescent="0.3">
      <c r="A1662" s="15" t="s">
        <v>30</v>
      </c>
      <c r="C1662" s="19"/>
      <c r="D1662" s="33" t="str">
        <f t="shared" si="416"/>
        <v>S100004</v>
      </c>
      <c r="E1662" s="33"/>
      <c r="F1662" s="34"/>
      <c r="G1662" s="34" t="str">
        <f>"""NAV Direct"",""CRONUS JetCorp USA"",""32"",""1"",""166395"""</f>
        <v>"NAV Direct","CRONUS JetCorp USA","32","1","166395"</v>
      </c>
      <c r="H1662" s="40">
        <v>43466</v>
      </c>
      <c r="I1662" s="41">
        <v>166395</v>
      </c>
      <c r="J1662" s="42" t="str">
        <f>"Vendor"</f>
        <v>Vendor</v>
      </c>
      <c r="K1662" s="42" t="str">
        <f>"V100047"</f>
        <v>V100047</v>
      </c>
      <c r="L1662" s="42" t="str">
        <f>IF($J1662="Customer",_xll.NL("first",$J1662,"Name","No.","@@"&amp;$K1662),"")</f>
        <v/>
      </c>
      <c r="M1662" s="42" t="str">
        <f>"WoodMart Supply Co."</f>
        <v>WoodMart Supply Co.</v>
      </c>
      <c r="N1662" s="42" t="str">
        <f>IF($J1662="Item",_xll.NL("first",$J1662,"Description","No.","@@"&amp;$K1662),"")</f>
        <v/>
      </c>
      <c r="O1662" s="43">
        <v>100</v>
      </c>
      <c r="P1662" s="43">
        <v>0</v>
      </c>
      <c r="Q1662" s="43">
        <v>0</v>
      </c>
      <c r="R1662" s="43">
        <v>0</v>
      </c>
      <c r="S1662" s="43">
        <v>0</v>
      </c>
      <c r="T1662" s="43">
        <v>0</v>
      </c>
      <c r="U1662" s="56"/>
    </row>
    <row r="1663" spans="1:21" ht="17.25" customHeight="1" x14ac:dyDescent="0.3">
      <c r="A1663" s="15" t="s">
        <v>30</v>
      </c>
      <c r="C1663" s="19"/>
      <c r="D1663" s="33" t="str">
        <f t="shared" si="416"/>
        <v>S100004</v>
      </c>
      <c r="E1663" s="33"/>
      <c r="F1663" s="34"/>
      <c r="G1663" s="34" t="str">
        <f>"""NAV Direct"",""CRONUS JetCorp USA"",""32"",""1"",""166407"""</f>
        <v>"NAV Direct","CRONUS JetCorp USA","32","1","166407"</v>
      </c>
      <c r="H1663" s="40">
        <v>43466</v>
      </c>
      <c r="I1663" s="41">
        <v>166407</v>
      </c>
      <c r="J1663" s="42" t="str">
        <f>"Vendor"</f>
        <v>Vendor</v>
      </c>
      <c r="K1663" s="42" t="str">
        <f>"V100003"</f>
        <v>V100003</v>
      </c>
      <c r="L1663" s="42" t="str">
        <f>IF($J1663="Customer",_xll.NL("first",$J1663,"Name","No.","@@"&amp;$K1663),"")</f>
        <v/>
      </c>
      <c r="M1663" s="42" t="str">
        <f>"LogoMasters"</f>
        <v>LogoMasters</v>
      </c>
      <c r="N1663" s="42" t="str">
        <f>IF($J1663="Item",_xll.NL("first",$J1663,"Description","No.","@@"&amp;$K1663),"")</f>
        <v/>
      </c>
      <c r="O1663" s="43">
        <v>600</v>
      </c>
      <c r="P1663" s="43">
        <v>0</v>
      </c>
      <c r="Q1663" s="43">
        <v>0</v>
      </c>
      <c r="R1663" s="43">
        <v>0</v>
      </c>
      <c r="S1663" s="43">
        <v>0</v>
      </c>
      <c r="T1663" s="43">
        <v>0</v>
      </c>
      <c r="U1663" s="56"/>
    </row>
    <row r="1664" spans="1:21" ht="17.25" customHeight="1" x14ac:dyDescent="0.3">
      <c r="A1664" s="15" t="s">
        <v>30</v>
      </c>
      <c r="C1664" s="19"/>
      <c r="D1664" s="33" t="str">
        <f t="shared" si="416"/>
        <v>S100004</v>
      </c>
      <c r="E1664" s="33"/>
      <c r="F1664" s="34"/>
      <c r="G1664" s="34" t="str">
        <f>"""NAV Direct"",""CRONUS JetCorp USA"",""32"",""1"",""166424"""</f>
        <v>"NAV Direct","CRONUS JetCorp USA","32","1","166424"</v>
      </c>
      <c r="H1664" s="40">
        <v>43466</v>
      </c>
      <c r="I1664" s="41">
        <v>166424</v>
      </c>
      <c r="J1664" s="42" t="str">
        <f>"Vendor"</f>
        <v>Vendor</v>
      </c>
      <c r="K1664" s="42" t="str">
        <f>"V100001"</f>
        <v>V100001</v>
      </c>
      <c r="L1664" s="42" t="str">
        <f>IF($J1664="Customer",_xll.NL("first",$J1664,"Name","No.","@@"&amp;$K1664),"")</f>
        <v/>
      </c>
      <c r="M1664" s="42" t="str">
        <f>"Greigner, Inc."</f>
        <v>Greigner, Inc.</v>
      </c>
      <c r="N1664" s="42" t="str">
        <f>IF($J1664="Item",_xll.NL("first",$J1664,"Description","No.","@@"&amp;$K1664),"")</f>
        <v/>
      </c>
      <c r="O1664" s="43">
        <v>300</v>
      </c>
      <c r="P1664" s="43">
        <v>0</v>
      </c>
      <c r="Q1664" s="43">
        <v>0</v>
      </c>
      <c r="R1664" s="43">
        <v>0</v>
      </c>
      <c r="S1664" s="43">
        <v>0</v>
      </c>
      <c r="T1664" s="43">
        <v>0</v>
      </c>
      <c r="U1664" s="56"/>
    </row>
    <row r="1665" spans="1:21" ht="17.25" customHeight="1" x14ac:dyDescent="0.3">
      <c r="A1665" s="15" t="s">
        <v>30</v>
      </c>
      <c r="C1665" s="19"/>
      <c r="D1665" s="33" t="str">
        <f t="shared" si="416"/>
        <v>S100004</v>
      </c>
      <c r="E1665" s="33"/>
      <c r="F1665" s="34"/>
      <c r="G1665" s="34" t="str">
        <f>"""NAV Direct"",""CRONUS JetCorp USA"",""32"",""1"",""20365"""</f>
        <v>"NAV Direct","CRONUS JetCorp USA","32","1","20365"</v>
      </c>
      <c r="H1665" s="40">
        <v>43468</v>
      </c>
      <c r="I1665" s="41">
        <v>20365</v>
      </c>
      <c r="J1665" s="42" t="str">
        <f>"Customer"</f>
        <v>Customer</v>
      </c>
      <c r="K1665" s="42" t="str">
        <f>"C100145"</f>
        <v>C100145</v>
      </c>
      <c r="L1665" s="42" t="str">
        <f>IF($J1665="Customer",_xll.NL("first",$J1665,"Name","No.","@@"&amp;$K1665),"")</f>
        <v>Dicon Industries</v>
      </c>
      <c r="M1665" s="42" t="str">
        <f>""</f>
        <v/>
      </c>
      <c r="N1665" s="42" t="str">
        <f>IF($J1665="Item",_xll.NL("first",$J1665,"Description","No.","@@"&amp;$K1665),"")</f>
        <v/>
      </c>
      <c r="O1665" s="43">
        <v>0</v>
      </c>
      <c r="P1665" s="43">
        <v>-145</v>
      </c>
      <c r="Q1665" s="43">
        <v>0</v>
      </c>
      <c r="R1665" s="43">
        <v>0</v>
      </c>
      <c r="S1665" s="43">
        <v>0</v>
      </c>
      <c r="T1665" s="43">
        <v>0</v>
      </c>
      <c r="U1665" s="56"/>
    </row>
    <row r="1666" spans="1:21" ht="17.25" customHeight="1" x14ac:dyDescent="0.3">
      <c r="A1666" s="15" t="s">
        <v>30</v>
      </c>
      <c r="C1666" s="19"/>
      <c r="D1666" s="33" t="str">
        <f t="shared" si="416"/>
        <v>S100004</v>
      </c>
      <c r="E1666" s="33"/>
      <c r="F1666" s="34"/>
      <c r="G1666" s="34" t="str">
        <f>"""NAV Direct"",""CRONUS JetCorp USA"",""32"",""1"",""25235"""</f>
        <v>"NAV Direct","CRONUS JetCorp USA","32","1","25235"</v>
      </c>
      <c r="H1666" s="40">
        <v>43471</v>
      </c>
      <c r="I1666" s="41">
        <v>25235</v>
      </c>
      <c r="J1666" s="42" t="str">
        <f>"Customer"</f>
        <v>Customer</v>
      </c>
      <c r="K1666" s="42" t="str">
        <f>"C100102"</f>
        <v>C100102</v>
      </c>
      <c r="L1666" s="42" t="str">
        <f>IF($J1666="Customer",_xll.NL("first",$J1666,"Name","No.","@@"&amp;$K1666),"")</f>
        <v xml:space="preserve">BEI Outfitters </v>
      </c>
      <c r="M1666" s="42" t="str">
        <f>""</f>
        <v/>
      </c>
      <c r="N1666" s="42" t="str">
        <f>IF($J1666="Item",_xll.NL("first",$J1666,"Description","No.","@@"&amp;$K1666),"")</f>
        <v/>
      </c>
      <c r="O1666" s="43">
        <v>0</v>
      </c>
      <c r="P1666" s="43">
        <v>-144</v>
      </c>
      <c r="Q1666" s="43">
        <v>0</v>
      </c>
      <c r="R1666" s="43">
        <v>0</v>
      </c>
      <c r="S1666" s="43">
        <v>0</v>
      </c>
      <c r="T1666" s="43">
        <v>0</v>
      </c>
      <c r="U1666" s="56"/>
    </row>
    <row r="1667" spans="1:21" ht="17.25" customHeight="1" x14ac:dyDescent="0.3">
      <c r="A1667" s="15" t="s">
        <v>30</v>
      </c>
      <c r="C1667" s="19"/>
      <c r="D1667" s="33" t="str">
        <f t="shared" si="416"/>
        <v>S100004</v>
      </c>
      <c r="E1667" s="33"/>
      <c r="F1667" s="34"/>
      <c r="G1667" s="34" t="str">
        <f>"""NAV Direct"",""CRONUS JetCorp USA"",""32"",""1"",""30031"""</f>
        <v>"NAV Direct","CRONUS JetCorp USA","32","1","30031"</v>
      </c>
      <c r="H1667" s="40">
        <v>43471</v>
      </c>
      <c r="I1667" s="41">
        <v>30031</v>
      </c>
      <c r="J1667" s="42" t="str">
        <f>"Customer"</f>
        <v>Customer</v>
      </c>
      <c r="K1667" s="42" t="str">
        <f>"C100012"</f>
        <v>C100012</v>
      </c>
      <c r="L1667" s="42" t="str">
        <f>IF($J1667="Customer",_xll.NL("first",$J1667,"Name","No.","@@"&amp;$K1667),"")</f>
        <v>Bainbridges</v>
      </c>
      <c r="M1667" s="42" t="str">
        <f>""</f>
        <v/>
      </c>
      <c r="N1667" s="42" t="str">
        <f>IF($J1667="Item",_xll.NL("first",$J1667,"Description","No.","@@"&amp;$K1667),"")</f>
        <v/>
      </c>
      <c r="O1667" s="43">
        <v>0</v>
      </c>
      <c r="P1667" s="43">
        <v>-145</v>
      </c>
      <c r="Q1667" s="43">
        <v>0</v>
      </c>
      <c r="R1667" s="43">
        <v>0</v>
      </c>
      <c r="S1667" s="43">
        <v>0</v>
      </c>
      <c r="T1667" s="43">
        <v>0</v>
      </c>
      <c r="U1667" s="56"/>
    </row>
    <row r="1668" spans="1:21" ht="17.25" customHeight="1" x14ac:dyDescent="0.3">
      <c r="A1668" s="15" t="s">
        <v>30</v>
      </c>
      <c r="C1668" s="19"/>
      <c r="D1668" s="33" t="str">
        <f t="shared" si="416"/>
        <v>S100004</v>
      </c>
      <c r="E1668" s="33"/>
      <c r="F1668" s="34"/>
      <c r="G1668" s="34" t="str">
        <f>"""NAV Direct"",""CRONUS JetCorp USA"",""32"",""1"",""128864"""</f>
        <v>"NAV Direct","CRONUS JetCorp USA","32","1","128864"</v>
      </c>
      <c r="H1668" s="40">
        <v>43472</v>
      </c>
      <c r="I1668" s="41">
        <v>128864</v>
      </c>
      <c r="J1668" s="42" t="str">
        <f>"Customer"</f>
        <v>Customer</v>
      </c>
      <c r="K1668" s="42" t="str">
        <f>"C100105"</f>
        <v>C100105</v>
      </c>
      <c r="L1668" s="42" t="str">
        <f>IF($J1668="Customer",_xll.NL("first",$J1668,"Name","No.","@@"&amp;$K1668),"")</f>
        <v>Esystems</v>
      </c>
      <c r="M1668" s="42" t="str">
        <f>""</f>
        <v/>
      </c>
      <c r="N1668" s="42" t="str">
        <f>IF($J1668="Item",_xll.NL("first",$J1668,"Description","No.","@@"&amp;$K1668),"")</f>
        <v/>
      </c>
      <c r="O1668" s="43">
        <v>0</v>
      </c>
      <c r="P1668" s="43">
        <v>-144</v>
      </c>
      <c r="Q1668" s="43">
        <v>0</v>
      </c>
      <c r="R1668" s="43">
        <v>0</v>
      </c>
      <c r="S1668" s="43">
        <v>0</v>
      </c>
      <c r="T1668" s="43">
        <v>0</v>
      </c>
      <c r="U1668" s="56"/>
    </row>
    <row r="1669" spans="1:21" ht="17.25" customHeight="1" x14ac:dyDescent="0.3">
      <c r="A1669" s="15" t="s">
        <v>30</v>
      </c>
      <c r="C1669" s="19"/>
      <c r="D1669" s="33" t="str">
        <f t="shared" si="416"/>
        <v>S100004</v>
      </c>
      <c r="E1669" s="33"/>
      <c r="F1669" s="34"/>
      <c r="G1669" s="34" t="str">
        <f>"""NAV Direct"",""CRONUS JetCorp USA"",""32"",""1"",""20379"""</f>
        <v>"NAV Direct","CRONUS JetCorp USA","32","1","20379"</v>
      </c>
      <c r="H1669" s="40">
        <v>43473</v>
      </c>
      <c r="I1669" s="41">
        <v>20379</v>
      </c>
      <c r="J1669" s="42" t="str">
        <f>"Customer"</f>
        <v>Customer</v>
      </c>
      <c r="K1669" s="42" t="str">
        <f>"C100130"</f>
        <v>C100130</v>
      </c>
      <c r="L1669" s="42" t="str">
        <f>IF($J1669="Customer",_xll.NL("first",$J1669,"Name","No.","@@"&amp;$K1669),"")</f>
        <v>Hotspot Systems</v>
      </c>
      <c r="M1669" s="42" t="str">
        <f>""</f>
        <v/>
      </c>
      <c r="N1669" s="42" t="str">
        <f>IF($J1669="Item",_xll.NL("first",$J1669,"Description","No.","@@"&amp;$K1669),"")</f>
        <v/>
      </c>
      <c r="O1669" s="43">
        <v>0</v>
      </c>
      <c r="P1669" s="43">
        <v>-144</v>
      </c>
      <c r="Q1669" s="43">
        <v>0</v>
      </c>
      <c r="R1669" s="43">
        <v>0</v>
      </c>
      <c r="S1669" s="43">
        <v>0</v>
      </c>
      <c r="T1669" s="43">
        <v>0</v>
      </c>
      <c r="U1669" s="56"/>
    </row>
    <row r="1670" spans="1:21" ht="17.25" customHeight="1" x14ac:dyDescent="0.3">
      <c r="A1670" s="15" t="s">
        <v>30</v>
      </c>
      <c r="C1670" s="19"/>
      <c r="D1670" s="33" t="str">
        <f t="shared" si="416"/>
        <v>S100004</v>
      </c>
      <c r="E1670" s="33"/>
      <c r="F1670" s="34"/>
      <c r="G1670" s="34" t="str">
        <f>"""NAV Direct"",""CRONUS JetCorp USA"",""32"",""1"",""30045"""</f>
        <v>"NAV Direct","CRONUS JetCorp USA","32","1","30045"</v>
      </c>
      <c r="H1670" s="40">
        <v>43474</v>
      </c>
      <c r="I1670" s="41">
        <v>30045</v>
      </c>
      <c r="J1670" s="42" t="str">
        <f>"Customer"</f>
        <v>Customer</v>
      </c>
      <c r="K1670" s="42" t="str">
        <f>"C100086"</f>
        <v>C100086</v>
      </c>
      <c r="L1670" s="42" t="str">
        <f>IF($J1670="Customer",_xll.NL("first",$J1670,"Name","No.","@@"&amp;$K1670),"")</f>
        <v>Top Action Sports</v>
      </c>
      <c r="M1670" s="42" t="str">
        <f>""</f>
        <v/>
      </c>
      <c r="N1670" s="42" t="str">
        <f>IF($J1670="Item",_xll.NL("first",$J1670,"Description","No.","@@"&amp;$K1670),"")</f>
        <v/>
      </c>
      <c r="O1670" s="43">
        <v>0</v>
      </c>
      <c r="P1670" s="43">
        <v>-144</v>
      </c>
      <c r="Q1670" s="43">
        <v>0</v>
      </c>
      <c r="R1670" s="43">
        <v>0</v>
      </c>
      <c r="S1670" s="43">
        <v>0</v>
      </c>
      <c r="T1670" s="43">
        <v>0</v>
      </c>
      <c r="U1670" s="56"/>
    </row>
    <row r="1671" spans="1:21" ht="17.25" customHeight="1" x14ac:dyDescent="0.3">
      <c r="A1671" s="15" t="s">
        <v>30</v>
      </c>
      <c r="C1671" s="19"/>
      <c r="D1671" s="33" t="str">
        <f t="shared" si="416"/>
        <v>S100004</v>
      </c>
      <c r="E1671" s="33"/>
      <c r="F1671" s="34"/>
      <c r="G1671" s="34" t="str">
        <f>"""NAV Direct"",""CRONUS JetCorp USA"",""32"",""1"",""20349"""</f>
        <v>"NAV Direct","CRONUS JetCorp USA","32","1","20349"</v>
      </c>
      <c r="H1671" s="40">
        <v>43475</v>
      </c>
      <c r="I1671" s="41">
        <v>20349</v>
      </c>
      <c r="J1671" s="42" t="str">
        <f>"Customer"</f>
        <v>Customer</v>
      </c>
      <c r="K1671" s="42" t="str">
        <f>"C100097"</f>
        <v>C100097</v>
      </c>
      <c r="L1671" s="42" t="str">
        <f>IF($J1671="Customer",_xll.NL("first",$J1671,"Name","No.","@@"&amp;$K1671),"")</f>
        <v>Solotech</v>
      </c>
      <c r="M1671" s="42" t="str">
        <f>""</f>
        <v/>
      </c>
      <c r="N1671" s="42" t="str">
        <f>IF($J1671="Item",_xll.NL("first",$J1671,"Description","No.","@@"&amp;$K1671),"")</f>
        <v/>
      </c>
      <c r="O1671" s="43">
        <v>0</v>
      </c>
      <c r="P1671" s="43">
        <v>-144</v>
      </c>
      <c r="Q1671" s="43">
        <v>0</v>
      </c>
      <c r="R1671" s="43">
        <v>0</v>
      </c>
      <c r="S1671" s="43">
        <v>0</v>
      </c>
      <c r="T1671" s="43">
        <v>0</v>
      </c>
      <c r="U1671" s="56"/>
    </row>
    <row r="1672" spans="1:21" ht="17.25" customHeight="1" x14ac:dyDescent="0.3">
      <c r="A1672" s="15" t="s">
        <v>30</v>
      </c>
      <c r="C1672" s="19"/>
      <c r="D1672" s="33" t="str">
        <f t="shared" si="416"/>
        <v>S100004</v>
      </c>
      <c r="E1672" s="33"/>
      <c r="F1672" s="34"/>
      <c r="G1672" s="34" t="str">
        <f>"""NAV Direct"",""CRONUS JetCorp USA"",""32"",""1"",""25275"""</f>
        <v>"NAV Direct","CRONUS JetCorp USA","32","1","25275"</v>
      </c>
      <c r="H1672" s="40">
        <v>43476</v>
      </c>
      <c r="I1672" s="41">
        <v>25275</v>
      </c>
      <c r="J1672" s="42" t="str">
        <f>"Customer"</f>
        <v>Customer</v>
      </c>
      <c r="K1672" s="42" t="str">
        <f>"C100102"</f>
        <v>C100102</v>
      </c>
      <c r="L1672" s="42" t="str">
        <f>IF($J1672="Customer",_xll.NL("first",$J1672,"Name","No.","@@"&amp;$K1672),"")</f>
        <v xml:space="preserve">BEI Outfitters </v>
      </c>
      <c r="M1672" s="42" t="str">
        <f>""</f>
        <v/>
      </c>
      <c r="N1672" s="42" t="str">
        <f>IF($J1672="Item",_xll.NL("first",$J1672,"Description","No.","@@"&amp;$K1672),"")</f>
        <v/>
      </c>
      <c r="O1672" s="43">
        <v>0</v>
      </c>
      <c r="P1672" s="43">
        <v>-1</v>
      </c>
      <c r="Q1672" s="43">
        <v>0</v>
      </c>
      <c r="R1672" s="43">
        <v>0</v>
      </c>
      <c r="S1672" s="43">
        <v>0</v>
      </c>
      <c r="T1672" s="43">
        <v>0</v>
      </c>
      <c r="U1672" s="56"/>
    </row>
    <row r="1673" spans="1:21" ht="17.25" customHeight="1" x14ac:dyDescent="0.3">
      <c r="A1673" s="15" t="s">
        <v>30</v>
      </c>
      <c r="C1673" s="19"/>
      <c r="D1673" s="33"/>
      <c r="E1673" s="33"/>
      <c r="F1673" s="34"/>
      <c r="G1673" s="34"/>
      <c r="H1673" s="34"/>
      <c r="I1673" s="34"/>
      <c r="J1673" s="34"/>
      <c r="K1673" s="34"/>
      <c r="L1673" s="34"/>
      <c r="M1673" s="34"/>
      <c r="N1673" s="34"/>
      <c r="O1673" s="44"/>
      <c r="P1673" s="44"/>
      <c r="Q1673" s="44"/>
      <c r="R1673" s="44"/>
      <c r="S1673" s="44"/>
      <c r="T1673" s="44"/>
      <c r="U1673" s="57"/>
    </row>
    <row r="1674" spans="1:21" ht="17.25" customHeight="1" x14ac:dyDescent="0.3">
      <c r="A1674" s="15" t="s">
        <v>30</v>
      </c>
      <c r="C1674" s="19"/>
      <c r="D1674" s="33"/>
      <c r="E1674" s="33" t="s">
        <v>31</v>
      </c>
      <c r="F1674" s="34" t="s">
        <v>31</v>
      </c>
      <c r="G1674" s="34" t="s">
        <v>31</v>
      </c>
      <c r="H1674" s="34"/>
      <c r="I1674" s="34"/>
      <c r="J1674" s="34" t="s">
        <v>31</v>
      </c>
      <c r="K1674" s="34" t="s">
        <v>31</v>
      </c>
      <c r="L1674" s="34" t="s">
        <v>31</v>
      </c>
      <c r="M1674" s="34" t="s">
        <v>31</v>
      </c>
      <c r="N1674" s="34"/>
      <c r="U1674" s="58"/>
    </row>
    <row r="1675" spans="1:21" ht="20.25" customHeight="1" x14ac:dyDescent="0.35">
      <c r="A1675" s="15" t="s">
        <v>30</v>
      </c>
      <c r="C1675" s="19"/>
      <c r="D1675" s="35" t="str">
        <f t="shared" ref="D1675" si="417">E1675</f>
        <v>S100005</v>
      </c>
      <c r="E1675" s="36" t="str">
        <f>"S100005"</f>
        <v>S100005</v>
      </c>
      <c r="F1675" s="37" t="str">
        <f>"Award Medallian - 2.5''"</f>
        <v>Award Medallian - 2.5''</v>
      </c>
      <c r="G1675" s="37"/>
      <c r="H1675" s="38" t="str">
        <f>"EA"</f>
        <v>EA</v>
      </c>
      <c r="I1675" s="37"/>
      <c r="J1675" s="37"/>
      <c r="K1675" s="37"/>
      <c r="L1675" s="37"/>
      <c r="M1675" s="37"/>
      <c r="N1675" s="37"/>
      <c r="O1675" s="39">
        <f>(SUBTOTAL(9,O1676:O1690))</f>
        <v>3200</v>
      </c>
      <c r="P1675" s="39">
        <f>(SUBTOTAL(9,P1676:P1690))</f>
        <v>-1248</v>
      </c>
      <c r="Q1675" s="39">
        <f>(SUBTOTAL(9,Q1676:Q1690))</f>
        <v>0</v>
      </c>
      <c r="R1675" s="39">
        <f>(SUBTOTAL(9,R1676:R1690))</f>
        <v>0</v>
      </c>
      <c r="S1675" s="39">
        <f>(SUBTOTAL(9,S1676:S1690))</f>
        <v>0</v>
      </c>
      <c r="T1675" s="39">
        <f>(SUBTOTAL(9,T1676:T1690))</f>
        <v>0</v>
      </c>
      <c r="U1675" s="55">
        <f t="shared" ref="U1675" si="418">SUBTOTAL(9,O1676:T1690)</f>
        <v>1952</v>
      </c>
    </row>
    <row r="1676" spans="1:21" ht="17.25" customHeight="1" x14ac:dyDescent="0.3">
      <c r="A1676" s="15" t="s">
        <v>30</v>
      </c>
      <c r="C1676" s="19"/>
      <c r="D1676" s="33" t="str">
        <f t="shared" ref="D1676" si="419">D1675</f>
        <v>S100005</v>
      </c>
      <c r="E1676" s="33"/>
      <c r="F1676" s="34"/>
      <c r="G1676" s="34" t="str">
        <f>"""NAV Direct"",""CRONUS JetCorp USA"",""32"",""1"",""166339"""</f>
        <v>"NAV Direct","CRONUS JetCorp USA","32","1","166339"</v>
      </c>
      <c r="H1676" s="40">
        <v>43466</v>
      </c>
      <c r="I1676" s="41">
        <v>166339</v>
      </c>
      <c r="J1676" s="42" t="str">
        <f>"Vendor"</f>
        <v>Vendor</v>
      </c>
      <c r="K1676" s="42" t="str">
        <f>"V100040"</f>
        <v>V100040</v>
      </c>
      <c r="L1676" s="42" t="str">
        <f>IF($J1676="Customer",_xll.NL("first",$J1676,"Name","No.","@@"&amp;$K1676),"")</f>
        <v/>
      </c>
      <c r="M1676" s="42" t="str">
        <f>"Technische Betriebe Rotkreuz"</f>
        <v>Technische Betriebe Rotkreuz</v>
      </c>
      <c r="N1676" s="42" t="str">
        <f>IF($J1676="Item",_xll.NL("first",$J1676,"Description","No.","@@"&amp;$K1676),"")</f>
        <v/>
      </c>
      <c r="O1676" s="43">
        <v>100</v>
      </c>
      <c r="P1676" s="43">
        <v>0</v>
      </c>
      <c r="Q1676" s="43">
        <v>0</v>
      </c>
      <c r="R1676" s="43">
        <v>0</v>
      </c>
      <c r="S1676" s="43">
        <v>0</v>
      </c>
      <c r="T1676" s="43">
        <v>0</v>
      </c>
      <c r="U1676" s="56"/>
    </row>
    <row r="1677" spans="1:21" ht="17.25" customHeight="1" x14ac:dyDescent="0.3">
      <c r="A1677" s="15" t="s">
        <v>30</v>
      </c>
      <c r="C1677" s="19"/>
      <c r="D1677" s="33" t="str">
        <f t="shared" ref="D1677:D1689" si="420">D1676</f>
        <v>S100005</v>
      </c>
      <c r="E1677" s="33"/>
      <c r="F1677" s="34"/>
      <c r="G1677" s="34" t="str">
        <f>"""NAV Direct"",""CRONUS JetCorp USA"",""32"",""1"",""166358"""</f>
        <v>"NAV Direct","CRONUS JetCorp USA","32","1","166358"</v>
      </c>
      <c r="H1677" s="40">
        <v>43466</v>
      </c>
      <c r="I1677" s="41">
        <v>166358</v>
      </c>
      <c r="J1677" s="42" t="str">
        <f>"Vendor"</f>
        <v>Vendor</v>
      </c>
      <c r="K1677" s="42" t="str">
        <f>"V100007"</f>
        <v>V100007</v>
      </c>
      <c r="L1677" s="42" t="str">
        <f>IF($J1677="Customer",_xll.NL("first",$J1677,"Name","No.","@@"&amp;$K1677),"")</f>
        <v/>
      </c>
      <c r="M1677" s="42" t="str">
        <f>"TrendTech"</f>
        <v>TrendTech</v>
      </c>
      <c r="N1677" s="42" t="str">
        <f>IF($J1677="Item",_xll.NL("first",$J1677,"Description","No.","@@"&amp;$K1677),"")</f>
        <v/>
      </c>
      <c r="O1677" s="43">
        <v>600</v>
      </c>
      <c r="P1677" s="43">
        <v>0</v>
      </c>
      <c r="Q1677" s="43">
        <v>0</v>
      </c>
      <c r="R1677" s="43">
        <v>0</v>
      </c>
      <c r="S1677" s="43">
        <v>0</v>
      </c>
      <c r="T1677" s="43">
        <v>0</v>
      </c>
      <c r="U1677" s="56"/>
    </row>
    <row r="1678" spans="1:21" ht="17.25" customHeight="1" x14ac:dyDescent="0.3">
      <c r="A1678" s="15" t="s">
        <v>30</v>
      </c>
      <c r="C1678" s="19"/>
      <c r="D1678" s="33" t="str">
        <f t="shared" si="420"/>
        <v>S100005</v>
      </c>
      <c r="E1678" s="33"/>
      <c r="F1678" s="34"/>
      <c r="G1678" s="34" t="str">
        <f>"""NAV Direct"",""CRONUS JetCorp USA"",""32"",""1"",""166377"""</f>
        <v>"NAV Direct","CRONUS JetCorp USA","32","1","166377"</v>
      </c>
      <c r="H1678" s="40">
        <v>43466</v>
      </c>
      <c r="I1678" s="41">
        <v>166377</v>
      </c>
      <c r="J1678" s="42" t="str">
        <f>"Vendor"</f>
        <v>Vendor</v>
      </c>
      <c r="K1678" s="42" t="str">
        <f>"V100001"</f>
        <v>V100001</v>
      </c>
      <c r="L1678" s="42" t="str">
        <f>IF($J1678="Customer",_xll.NL("first",$J1678,"Name","No.","@@"&amp;$K1678),"")</f>
        <v/>
      </c>
      <c r="M1678" s="42" t="str">
        <f>"Greigner, Inc."</f>
        <v>Greigner, Inc.</v>
      </c>
      <c r="N1678" s="42" t="str">
        <f>IF($J1678="Item",_xll.NL("first",$J1678,"Description","No.","@@"&amp;$K1678),"")</f>
        <v/>
      </c>
      <c r="O1678" s="43">
        <v>1600</v>
      </c>
      <c r="P1678" s="43">
        <v>0</v>
      </c>
      <c r="Q1678" s="43">
        <v>0</v>
      </c>
      <c r="R1678" s="43">
        <v>0</v>
      </c>
      <c r="S1678" s="43">
        <v>0</v>
      </c>
      <c r="T1678" s="43">
        <v>0</v>
      </c>
      <c r="U1678" s="56"/>
    </row>
    <row r="1679" spans="1:21" ht="17.25" customHeight="1" x14ac:dyDescent="0.3">
      <c r="A1679" s="15" t="s">
        <v>30</v>
      </c>
      <c r="C1679" s="19"/>
      <c r="D1679" s="33" t="str">
        <f t="shared" si="420"/>
        <v>S100005</v>
      </c>
      <c r="E1679" s="33"/>
      <c r="F1679" s="34"/>
      <c r="G1679" s="34" t="str">
        <f>"""NAV Direct"",""CRONUS JetCorp USA"",""32"",""1"",""166394"""</f>
        <v>"NAV Direct","CRONUS JetCorp USA","32","1","166394"</v>
      </c>
      <c r="H1679" s="40">
        <v>43466</v>
      </c>
      <c r="I1679" s="41">
        <v>166394</v>
      </c>
      <c r="J1679" s="42" t="str">
        <f>"Vendor"</f>
        <v>Vendor</v>
      </c>
      <c r="K1679" s="42" t="str">
        <f>"V100047"</f>
        <v>V100047</v>
      </c>
      <c r="L1679" s="42" t="str">
        <f>IF($J1679="Customer",_xll.NL("first",$J1679,"Name","No.","@@"&amp;$K1679),"")</f>
        <v/>
      </c>
      <c r="M1679" s="42" t="str">
        <f>"WoodMart Supply Co."</f>
        <v>WoodMart Supply Co.</v>
      </c>
      <c r="N1679" s="42" t="str">
        <f>IF($J1679="Item",_xll.NL("first",$J1679,"Description","No.","@@"&amp;$K1679),"")</f>
        <v/>
      </c>
      <c r="O1679" s="43">
        <v>400</v>
      </c>
      <c r="P1679" s="43">
        <v>0</v>
      </c>
      <c r="Q1679" s="43">
        <v>0</v>
      </c>
      <c r="R1679" s="43">
        <v>0</v>
      </c>
      <c r="S1679" s="43">
        <v>0</v>
      </c>
      <c r="T1679" s="43">
        <v>0</v>
      </c>
      <c r="U1679" s="56"/>
    </row>
    <row r="1680" spans="1:21" ht="17.25" customHeight="1" x14ac:dyDescent="0.3">
      <c r="A1680" s="15" t="s">
        <v>30</v>
      </c>
      <c r="C1680" s="19"/>
      <c r="D1680" s="33" t="str">
        <f t="shared" si="420"/>
        <v>S100005</v>
      </c>
      <c r="E1680" s="33"/>
      <c r="F1680" s="34"/>
      <c r="G1680" s="34" t="str">
        <f>"""NAV Direct"",""CRONUS JetCorp USA"",""32"",""1"",""166406"""</f>
        <v>"NAV Direct","CRONUS JetCorp USA","32","1","166406"</v>
      </c>
      <c r="H1680" s="40">
        <v>43466</v>
      </c>
      <c r="I1680" s="41">
        <v>166406</v>
      </c>
      <c r="J1680" s="42" t="str">
        <f>"Vendor"</f>
        <v>Vendor</v>
      </c>
      <c r="K1680" s="42" t="str">
        <f>"V100003"</f>
        <v>V100003</v>
      </c>
      <c r="L1680" s="42" t="str">
        <f>IF($J1680="Customer",_xll.NL("first",$J1680,"Name","No.","@@"&amp;$K1680),"")</f>
        <v/>
      </c>
      <c r="M1680" s="42" t="str">
        <f>"LogoMasters"</f>
        <v>LogoMasters</v>
      </c>
      <c r="N1680" s="42" t="str">
        <f>IF($J1680="Item",_xll.NL("first",$J1680,"Description","No.","@@"&amp;$K1680),"")</f>
        <v/>
      </c>
      <c r="O1680" s="43">
        <v>300</v>
      </c>
      <c r="P1680" s="43">
        <v>0</v>
      </c>
      <c r="Q1680" s="43">
        <v>0</v>
      </c>
      <c r="R1680" s="43">
        <v>0</v>
      </c>
      <c r="S1680" s="43">
        <v>0</v>
      </c>
      <c r="T1680" s="43">
        <v>0</v>
      </c>
      <c r="U1680" s="56"/>
    </row>
    <row r="1681" spans="1:21" ht="17.25" customHeight="1" x14ac:dyDescent="0.3">
      <c r="A1681" s="15" t="s">
        <v>30</v>
      </c>
      <c r="C1681" s="19"/>
      <c r="D1681" s="33" t="str">
        <f t="shared" si="420"/>
        <v>S100005</v>
      </c>
      <c r="E1681" s="33"/>
      <c r="F1681" s="34"/>
      <c r="G1681" s="34" t="str">
        <f>"""NAV Direct"",""CRONUS JetCorp USA"",""32"",""1"",""166423"""</f>
        <v>"NAV Direct","CRONUS JetCorp USA","32","1","166423"</v>
      </c>
      <c r="H1681" s="40">
        <v>43466</v>
      </c>
      <c r="I1681" s="41">
        <v>166423</v>
      </c>
      <c r="J1681" s="42" t="str">
        <f>"Vendor"</f>
        <v>Vendor</v>
      </c>
      <c r="K1681" s="42" t="str">
        <f>"V100001"</f>
        <v>V100001</v>
      </c>
      <c r="L1681" s="42" t="str">
        <f>IF($J1681="Customer",_xll.NL("first",$J1681,"Name","No.","@@"&amp;$K1681),"")</f>
        <v/>
      </c>
      <c r="M1681" s="42" t="str">
        <f>"Greigner, Inc."</f>
        <v>Greigner, Inc.</v>
      </c>
      <c r="N1681" s="42" t="str">
        <f>IF($J1681="Item",_xll.NL("first",$J1681,"Description","No.","@@"&amp;$K1681),"")</f>
        <v/>
      </c>
      <c r="O1681" s="43">
        <v>200</v>
      </c>
      <c r="P1681" s="43">
        <v>0</v>
      </c>
      <c r="Q1681" s="43">
        <v>0</v>
      </c>
      <c r="R1681" s="43">
        <v>0</v>
      </c>
      <c r="S1681" s="43">
        <v>0</v>
      </c>
      <c r="T1681" s="43">
        <v>0</v>
      </c>
      <c r="U1681" s="56"/>
    </row>
    <row r="1682" spans="1:21" ht="17.25" customHeight="1" x14ac:dyDescent="0.3">
      <c r="A1682" s="15" t="s">
        <v>30</v>
      </c>
      <c r="C1682" s="19"/>
      <c r="D1682" s="33" t="str">
        <f t="shared" si="420"/>
        <v>S100005</v>
      </c>
      <c r="E1682" s="33"/>
      <c r="F1682" s="34"/>
      <c r="G1682" s="34" t="str">
        <f>"""NAV Direct"",""CRONUS JetCorp USA"",""32"",""1"",""124511"""</f>
        <v>"NAV Direct","CRONUS JetCorp USA","32","1","124511"</v>
      </c>
      <c r="H1682" s="40">
        <v>43470</v>
      </c>
      <c r="I1682" s="41">
        <v>124511</v>
      </c>
      <c r="J1682" s="42" t="str">
        <f>"Customer"</f>
        <v>Customer</v>
      </c>
      <c r="K1682" s="42" t="str">
        <f>"C100025"</f>
        <v>C100025</v>
      </c>
      <c r="L1682" s="42" t="str">
        <f>IF($J1682="Customer",_xll.NL("first",$J1682,"Name","No.","@@"&amp;$K1682),"")</f>
        <v>Derringers Resturants</v>
      </c>
      <c r="M1682" s="42" t="str">
        <f>""</f>
        <v/>
      </c>
      <c r="N1682" s="42" t="str">
        <f>IF($J1682="Item",_xll.NL("first",$J1682,"Description","No.","@@"&amp;$K1682),"")</f>
        <v/>
      </c>
      <c r="O1682" s="43">
        <v>0</v>
      </c>
      <c r="P1682" s="43">
        <v>-288</v>
      </c>
      <c r="Q1682" s="43">
        <v>0</v>
      </c>
      <c r="R1682" s="43">
        <v>0</v>
      </c>
      <c r="S1682" s="43">
        <v>0</v>
      </c>
      <c r="T1682" s="43">
        <v>0</v>
      </c>
      <c r="U1682" s="56"/>
    </row>
    <row r="1683" spans="1:21" ht="17.25" customHeight="1" x14ac:dyDescent="0.3">
      <c r="A1683" s="15" t="s">
        <v>30</v>
      </c>
      <c r="C1683" s="19"/>
      <c r="D1683" s="33" t="str">
        <f t="shared" si="420"/>
        <v>S100005</v>
      </c>
      <c r="E1683" s="33"/>
      <c r="F1683" s="34"/>
      <c r="G1683" s="34" t="str">
        <f>"""NAV Direct"",""CRONUS JetCorp USA"",""32"",""1"",""38076"""</f>
        <v>"NAV Direct","CRONUS JetCorp USA","32","1","38076"</v>
      </c>
      <c r="H1683" s="40">
        <v>43471</v>
      </c>
      <c r="I1683" s="41">
        <v>38076</v>
      </c>
      <c r="J1683" s="42" t="str">
        <f>"Customer"</f>
        <v>Customer</v>
      </c>
      <c r="K1683" s="42" t="str">
        <f>"C100013"</f>
        <v>C100013</v>
      </c>
      <c r="L1683" s="42" t="str">
        <f>IF($J1683="Customer",_xll.NL("first",$J1683,"Name","No.","@@"&amp;$K1683),"")</f>
        <v>Candoxy Kontor A/S</v>
      </c>
      <c r="M1683" s="42" t="str">
        <f>""</f>
        <v/>
      </c>
      <c r="N1683" s="42" t="str">
        <f>IF($J1683="Item",_xll.NL("first",$J1683,"Description","No.","@@"&amp;$K1683),"")</f>
        <v/>
      </c>
      <c r="O1683" s="43">
        <v>0</v>
      </c>
      <c r="P1683" s="43">
        <v>-48</v>
      </c>
      <c r="Q1683" s="43">
        <v>0</v>
      </c>
      <c r="R1683" s="43">
        <v>0</v>
      </c>
      <c r="S1683" s="43">
        <v>0</v>
      </c>
      <c r="T1683" s="43">
        <v>0</v>
      </c>
      <c r="U1683" s="56"/>
    </row>
    <row r="1684" spans="1:21" ht="17.25" customHeight="1" x14ac:dyDescent="0.3">
      <c r="A1684" s="15" t="s">
        <v>30</v>
      </c>
      <c r="C1684" s="19"/>
      <c r="D1684" s="33" t="str">
        <f t="shared" si="420"/>
        <v>S100005</v>
      </c>
      <c r="E1684" s="33"/>
      <c r="F1684" s="34"/>
      <c r="G1684" s="34" t="str">
        <f>"""NAV Direct"",""CRONUS JetCorp USA"",""32"",""1"",""124542"""</f>
        <v>"NAV Direct","CRONUS JetCorp USA","32","1","124542"</v>
      </c>
      <c r="H1684" s="40">
        <v>43473</v>
      </c>
      <c r="I1684" s="41">
        <v>124542</v>
      </c>
      <c r="J1684" s="42" t="str">
        <f>"Customer"</f>
        <v>Customer</v>
      </c>
      <c r="K1684" s="42" t="str">
        <f>"C100035"</f>
        <v>C100035</v>
      </c>
      <c r="L1684" s="42" t="str">
        <f>IF($J1684="Customer",_xll.NL("first",$J1684,"Name","No.","@@"&amp;$K1684),"")</f>
        <v>First Touch Marketing</v>
      </c>
      <c r="M1684" s="42" t="str">
        <f>""</f>
        <v/>
      </c>
      <c r="N1684" s="42" t="str">
        <f>IF($J1684="Item",_xll.NL("first",$J1684,"Description","No.","@@"&amp;$K1684),"")</f>
        <v/>
      </c>
      <c r="O1684" s="43">
        <v>0</v>
      </c>
      <c r="P1684" s="43">
        <v>-144</v>
      </c>
      <c r="Q1684" s="43">
        <v>0</v>
      </c>
      <c r="R1684" s="43">
        <v>0</v>
      </c>
      <c r="S1684" s="43">
        <v>0</v>
      </c>
      <c r="T1684" s="43">
        <v>0</v>
      </c>
      <c r="U1684" s="56"/>
    </row>
    <row r="1685" spans="1:21" ht="17.25" customHeight="1" x14ac:dyDescent="0.3">
      <c r="A1685" s="15" t="s">
        <v>30</v>
      </c>
      <c r="C1685" s="19"/>
      <c r="D1685" s="33" t="str">
        <f t="shared" si="420"/>
        <v>S100005</v>
      </c>
      <c r="E1685" s="33"/>
      <c r="F1685" s="34"/>
      <c r="G1685" s="34" t="str">
        <f>"""NAV Direct"",""CRONUS JetCorp USA"",""32"",""1"",""36491"""</f>
        <v>"NAV Direct","CRONUS JetCorp USA","32","1","36491"</v>
      </c>
      <c r="H1685" s="40">
        <v>43474</v>
      </c>
      <c r="I1685" s="41">
        <v>36491</v>
      </c>
      <c r="J1685" s="42" t="str">
        <f>"Customer"</f>
        <v>Customer</v>
      </c>
      <c r="K1685" s="42" t="str">
        <f>"C100092"</f>
        <v>C100092</v>
      </c>
      <c r="L1685" s="42" t="str">
        <f>IF($J1685="Customer",_xll.NL("first",$J1685,"Name","No.","@@"&amp;$K1685),"")</f>
        <v>Zuni Home Crafts Ltd.</v>
      </c>
      <c r="M1685" s="42" t="str">
        <f>""</f>
        <v/>
      </c>
      <c r="N1685" s="42" t="str">
        <f>IF($J1685="Item",_xll.NL("first",$J1685,"Description","No.","@@"&amp;$K1685),"")</f>
        <v/>
      </c>
      <c r="O1685" s="43">
        <v>0</v>
      </c>
      <c r="P1685" s="43">
        <v>-288</v>
      </c>
      <c r="Q1685" s="43">
        <v>0</v>
      </c>
      <c r="R1685" s="43">
        <v>0</v>
      </c>
      <c r="S1685" s="43">
        <v>0</v>
      </c>
      <c r="T1685" s="43">
        <v>0</v>
      </c>
      <c r="U1685" s="56"/>
    </row>
    <row r="1686" spans="1:21" ht="17.25" customHeight="1" x14ac:dyDescent="0.3">
      <c r="A1686" s="15" t="s">
        <v>30</v>
      </c>
      <c r="C1686" s="19"/>
      <c r="D1686" s="33" t="str">
        <f t="shared" si="420"/>
        <v>S100005</v>
      </c>
      <c r="E1686" s="33"/>
      <c r="F1686" s="34"/>
      <c r="G1686" s="34" t="str">
        <f>"""NAV Direct"",""CRONUS JetCorp USA"",""32"",""1"",""124524"""</f>
        <v>"NAV Direct","CRONUS JetCorp USA","32","1","124524"</v>
      </c>
      <c r="H1686" s="40">
        <v>43474</v>
      </c>
      <c r="I1686" s="41">
        <v>124524</v>
      </c>
      <c r="J1686" s="42" t="str">
        <f>"Customer"</f>
        <v>Customer</v>
      </c>
      <c r="K1686" s="42" t="str">
        <f>"C100145"</f>
        <v>C100145</v>
      </c>
      <c r="L1686" s="42" t="str">
        <f>IF($J1686="Customer",_xll.NL("first",$J1686,"Name","No.","@@"&amp;$K1686),"")</f>
        <v>Dicon Industries</v>
      </c>
      <c r="M1686" s="42" t="str">
        <f>""</f>
        <v/>
      </c>
      <c r="N1686" s="42" t="str">
        <f>IF($J1686="Item",_xll.NL("first",$J1686,"Description","No.","@@"&amp;$K1686),"")</f>
        <v/>
      </c>
      <c r="O1686" s="43">
        <v>0</v>
      </c>
      <c r="P1686" s="43">
        <v>-144</v>
      </c>
      <c r="Q1686" s="43">
        <v>0</v>
      </c>
      <c r="R1686" s="43">
        <v>0</v>
      </c>
      <c r="S1686" s="43">
        <v>0</v>
      </c>
      <c r="T1686" s="43">
        <v>0</v>
      </c>
      <c r="U1686" s="56"/>
    </row>
    <row r="1687" spans="1:21" ht="17.25" customHeight="1" x14ac:dyDescent="0.3">
      <c r="A1687" s="15" t="s">
        <v>30</v>
      </c>
      <c r="C1687" s="19"/>
      <c r="D1687" s="33" t="str">
        <f t="shared" si="420"/>
        <v>S100005</v>
      </c>
      <c r="E1687" s="33"/>
      <c r="F1687" s="34"/>
      <c r="G1687" s="34" t="str">
        <f>"""NAV Direct"",""CRONUS JetCorp USA"",""32"",""1"",""20352"""</f>
        <v>"NAV Direct","CRONUS JetCorp USA","32","1","20352"</v>
      </c>
      <c r="H1687" s="40">
        <v>43475</v>
      </c>
      <c r="I1687" s="41">
        <v>20352</v>
      </c>
      <c r="J1687" s="42" t="str">
        <f>"Customer"</f>
        <v>Customer</v>
      </c>
      <c r="K1687" s="42" t="str">
        <f>"C100097"</f>
        <v>C100097</v>
      </c>
      <c r="L1687" s="42" t="str">
        <f>IF($J1687="Customer",_xll.NL("first",$J1687,"Name","No.","@@"&amp;$K1687),"")</f>
        <v>Solotech</v>
      </c>
      <c r="M1687" s="42" t="str">
        <f>""</f>
        <v/>
      </c>
      <c r="N1687" s="42" t="str">
        <f>IF($J1687="Item",_xll.NL("first",$J1687,"Description","No.","@@"&amp;$K1687),"")</f>
        <v/>
      </c>
      <c r="O1687" s="43">
        <v>0</v>
      </c>
      <c r="P1687" s="43">
        <v>-144</v>
      </c>
      <c r="Q1687" s="43">
        <v>0</v>
      </c>
      <c r="R1687" s="43">
        <v>0</v>
      </c>
      <c r="S1687" s="43">
        <v>0</v>
      </c>
      <c r="T1687" s="43">
        <v>0</v>
      </c>
      <c r="U1687" s="56"/>
    </row>
    <row r="1688" spans="1:21" ht="17.25" customHeight="1" x14ac:dyDescent="0.3">
      <c r="A1688" s="15" t="s">
        <v>30</v>
      </c>
      <c r="C1688" s="19"/>
      <c r="D1688" s="33" t="str">
        <f t="shared" si="420"/>
        <v>S100005</v>
      </c>
      <c r="E1688" s="33"/>
      <c r="F1688" s="34"/>
      <c r="G1688" s="34" t="str">
        <f>"""NAV Direct"",""CRONUS JetCorp USA"",""32"",""1"",""30107"""</f>
        <v>"NAV Direct","CRONUS JetCorp USA","32","1","30107"</v>
      </c>
      <c r="H1688" s="40">
        <v>43475</v>
      </c>
      <c r="I1688" s="41">
        <v>30107</v>
      </c>
      <c r="J1688" s="42" t="str">
        <f>"Customer"</f>
        <v>Customer</v>
      </c>
      <c r="K1688" s="42" t="str">
        <f>"C100012"</f>
        <v>C100012</v>
      </c>
      <c r="L1688" s="42" t="str">
        <f>IF($J1688="Customer",_xll.NL("first",$J1688,"Name","No.","@@"&amp;$K1688),"")</f>
        <v>Bainbridges</v>
      </c>
      <c r="M1688" s="42" t="str">
        <f>""</f>
        <v/>
      </c>
      <c r="N1688" s="42" t="str">
        <f>IF($J1688="Item",_xll.NL("first",$J1688,"Description","No.","@@"&amp;$K1688),"")</f>
        <v/>
      </c>
      <c r="O1688" s="43">
        <v>0</v>
      </c>
      <c r="P1688" s="43">
        <v>-144</v>
      </c>
      <c r="Q1688" s="43">
        <v>0</v>
      </c>
      <c r="R1688" s="43">
        <v>0</v>
      </c>
      <c r="S1688" s="43">
        <v>0</v>
      </c>
      <c r="T1688" s="43">
        <v>0</v>
      </c>
      <c r="U1688" s="56"/>
    </row>
    <row r="1689" spans="1:21" ht="17.25" customHeight="1" x14ac:dyDescent="0.3">
      <c r="A1689" s="15" t="s">
        <v>30</v>
      </c>
      <c r="C1689" s="19"/>
      <c r="D1689" s="33" t="str">
        <f t="shared" si="420"/>
        <v>S100005</v>
      </c>
      <c r="E1689" s="33"/>
      <c r="F1689" s="34"/>
      <c r="G1689" s="34" t="str">
        <f>"""NAV Direct"",""CRONUS JetCorp USA"",""32"",""1"",""20404"""</f>
        <v>"NAV Direct","CRONUS JetCorp USA","32","1","20404"</v>
      </c>
      <c r="H1689" s="40">
        <v>43477</v>
      </c>
      <c r="I1689" s="41">
        <v>20404</v>
      </c>
      <c r="J1689" s="42" t="str">
        <f>"Customer"</f>
        <v>Customer</v>
      </c>
      <c r="K1689" s="42" t="str">
        <f>"C100039"</f>
        <v>C100039</v>
      </c>
      <c r="L1689" s="42" t="str">
        <f>IF($J1689="Customer",_xll.NL("first",$J1689,"Name","No.","@@"&amp;$K1689),"")</f>
        <v>Gary's Sports</v>
      </c>
      <c r="M1689" s="42" t="str">
        <f>""</f>
        <v/>
      </c>
      <c r="N1689" s="42" t="str">
        <f>IF($J1689="Item",_xll.NL("first",$J1689,"Description","No.","@@"&amp;$K1689),"")</f>
        <v/>
      </c>
      <c r="O1689" s="43">
        <v>0</v>
      </c>
      <c r="P1689" s="43">
        <v>-48</v>
      </c>
      <c r="Q1689" s="43">
        <v>0</v>
      </c>
      <c r="R1689" s="43">
        <v>0</v>
      </c>
      <c r="S1689" s="43">
        <v>0</v>
      </c>
      <c r="T1689" s="43">
        <v>0</v>
      </c>
      <c r="U1689" s="56"/>
    </row>
    <row r="1690" spans="1:21" ht="17.25" customHeight="1" x14ac:dyDescent="0.3">
      <c r="A1690" s="15" t="s">
        <v>30</v>
      </c>
      <c r="C1690" s="19"/>
      <c r="D1690" s="33"/>
      <c r="E1690" s="33"/>
      <c r="F1690" s="34"/>
      <c r="G1690" s="34"/>
      <c r="H1690" s="34"/>
      <c r="I1690" s="34"/>
      <c r="J1690" s="34"/>
      <c r="K1690" s="34"/>
      <c r="L1690" s="34"/>
      <c r="M1690" s="34"/>
      <c r="N1690" s="34"/>
      <c r="O1690" s="44"/>
      <c r="P1690" s="44"/>
      <c r="Q1690" s="44"/>
      <c r="R1690" s="44"/>
      <c r="S1690" s="44"/>
      <c r="T1690" s="44"/>
      <c r="U1690" s="57"/>
    </row>
    <row r="1691" spans="1:21" ht="17.25" customHeight="1" x14ac:dyDescent="0.3">
      <c r="A1691" s="15" t="s">
        <v>30</v>
      </c>
      <c r="C1691" s="19"/>
      <c r="D1691" s="33"/>
      <c r="E1691" s="33" t="s">
        <v>31</v>
      </c>
      <c r="F1691" s="34" t="s">
        <v>31</v>
      </c>
      <c r="G1691" s="34" t="s">
        <v>31</v>
      </c>
      <c r="H1691" s="34"/>
      <c r="I1691" s="34"/>
      <c r="J1691" s="34" t="s">
        <v>31</v>
      </c>
      <c r="K1691" s="34" t="s">
        <v>31</v>
      </c>
      <c r="L1691" s="34" t="s">
        <v>31</v>
      </c>
      <c r="M1691" s="34" t="s">
        <v>31</v>
      </c>
      <c r="N1691" s="34"/>
      <c r="U1691" s="58"/>
    </row>
    <row r="1692" spans="1:21" ht="20.25" customHeight="1" x14ac:dyDescent="0.35">
      <c r="A1692" s="15" t="s">
        <v>30</v>
      </c>
      <c r="C1692" s="19"/>
      <c r="D1692" s="35" t="str">
        <f t="shared" ref="D1692" si="421">E1692</f>
        <v>S100006</v>
      </c>
      <c r="E1692" s="36" t="str">
        <f>"S100006"</f>
        <v>S100006</v>
      </c>
      <c r="F1692" s="37" t="str">
        <f>"Award Medallian - 3''"</f>
        <v>Award Medallian - 3''</v>
      </c>
      <c r="G1692" s="37"/>
      <c r="H1692" s="38" t="str">
        <f>"EA"</f>
        <v>EA</v>
      </c>
      <c r="I1692" s="37"/>
      <c r="J1692" s="37"/>
      <c r="K1692" s="37"/>
      <c r="L1692" s="37"/>
      <c r="M1692" s="37"/>
      <c r="N1692" s="37"/>
      <c r="O1692" s="39">
        <f>(SUBTOTAL(9,O1693:O1705))</f>
        <v>4500</v>
      </c>
      <c r="P1692" s="39">
        <f>(SUBTOTAL(9,P1693:P1705))</f>
        <v>-1207</v>
      </c>
      <c r="Q1692" s="39">
        <f>(SUBTOTAL(9,Q1693:Q1705))</f>
        <v>0</v>
      </c>
      <c r="R1692" s="39">
        <f>(SUBTOTAL(9,R1693:R1705))</f>
        <v>0</v>
      </c>
      <c r="S1692" s="39">
        <f>(SUBTOTAL(9,S1693:S1705))</f>
        <v>0</v>
      </c>
      <c r="T1692" s="39">
        <f>(SUBTOTAL(9,T1693:T1705))</f>
        <v>0</v>
      </c>
      <c r="U1692" s="55">
        <f t="shared" ref="U1692" si="422">SUBTOTAL(9,O1693:T1705)</f>
        <v>3293</v>
      </c>
    </row>
    <row r="1693" spans="1:21" ht="17.25" customHeight="1" x14ac:dyDescent="0.3">
      <c r="A1693" s="15" t="s">
        <v>30</v>
      </c>
      <c r="C1693" s="19"/>
      <c r="D1693" s="33" t="str">
        <f t="shared" ref="D1693" si="423">D1692</f>
        <v>S100006</v>
      </c>
      <c r="E1693" s="33"/>
      <c r="F1693" s="34"/>
      <c r="G1693" s="34" t="str">
        <f>"""NAV Direct"",""CRONUS JetCorp USA"",""32"",""1"",""166323"""</f>
        <v>"NAV Direct","CRONUS JetCorp USA","32","1","166323"</v>
      </c>
      <c r="H1693" s="40">
        <v>43466</v>
      </c>
      <c r="I1693" s="41">
        <v>166323</v>
      </c>
      <c r="J1693" s="42" t="str">
        <f>"Vendor"</f>
        <v>Vendor</v>
      </c>
      <c r="K1693" s="42" t="str">
        <f>"V100009"</f>
        <v>V100009</v>
      </c>
      <c r="L1693" s="42" t="str">
        <f>IF($J1693="Customer",_xll.NL("first",$J1693,"Name","No.","@@"&amp;$K1693),"")</f>
        <v/>
      </c>
      <c r="M1693" s="42" t="str">
        <f>"Malay-Dan Export Unit Sdn Bhd"</f>
        <v>Malay-Dan Export Unit Sdn Bhd</v>
      </c>
      <c r="N1693" s="42" t="str">
        <f>IF($J1693="Item",_xll.NL("first",$J1693,"Description","No.","@@"&amp;$K1693),"")</f>
        <v/>
      </c>
      <c r="O1693" s="43">
        <v>400</v>
      </c>
      <c r="P1693" s="43">
        <v>0</v>
      </c>
      <c r="Q1693" s="43">
        <v>0</v>
      </c>
      <c r="R1693" s="43">
        <v>0</v>
      </c>
      <c r="S1693" s="43">
        <v>0</v>
      </c>
      <c r="T1693" s="43">
        <v>0</v>
      </c>
      <c r="U1693" s="56"/>
    </row>
    <row r="1694" spans="1:21" ht="17.25" customHeight="1" x14ac:dyDescent="0.3">
      <c r="A1694" s="15" t="s">
        <v>30</v>
      </c>
      <c r="C1694" s="19"/>
      <c r="D1694" s="33" t="str">
        <f t="shared" ref="D1694:D1704" si="424">D1693</f>
        <v>S100006</v>
      </c>
      <c r="E1694" s="33"/>
      <c r="F1694" s="34"/>
      <c r="G1694" s="34" t="str">
        <f>"""NAV Direct"",""CRONUS JetCorp USA"",""32"",""1"",""166338"""</f>
        <v>"NAV Direct","CRONUS JetCorp USA","32","1","166338"</v>
      </c>
      <c r="H1694" s="40">
        <v>43466</v>
      </c>
      <c r="I1694" s="41">
        <v>166338</v>
      </c>
      <c r="J1694" s="42" t="str">
        <f>"Vendor"</f>
        <v>Vendor</v>
      </c>
      <c r="K1694" s="42" t="str">
        <f>"V100040"</f>
        <v>V100040</v>
      </c>
      <c r="L1694" s="42" t="str">
        <f>IF($J1694="Customer",_xll.NL("first",$J1694,"Name","No.","@@"&amp;$K1694),"")</f>
        <v/>
      </c>
      <c r="M1694" s="42" t="str">
        <f>"Technische Betriebe Rotkreuz"</f>
        <v>Technische Betriebe Rotkreuz</v>
      </c>
      <c r="N1694" s="42" t="str">
        <f>IF($J1694="Item",_xll.NL("first",$J1694,"Description","No.","@@"&amp;$K1694),"")</f>
        <v/>
      </c>
      <c r="O1694" s="43">
        <v>300</v>
      </c>
      <c r="P1694" s="43">
        <v>0</v>
      </c>
      <c r="Q1694" s="43">
        <v>0</v>
      </c>
      <c r="R1694" s="43">
        <v>0</v>
      </c>
      <c r="S1694" s="43">
        <v>0</v>
      </c>
      <c r="T1694" s="43">
        <v>0</v>
      </c>
      <c r="U1694" s="56"/>
    </row>
    <row r="1695" spans="1:21" ht="17.25" customHeight="1" x14ac:dyDescent="0.3">
      <c r="A1695" s="15" t="s">
        <v>30</v>
      </c>
      <c r="C1695" s="19"/>
      <c r="D1695" s="33" t="str">
        <f t="shared" si="424"/>
        <v>S100006</v>
      </c>
      <c r="E1695" s="33"/>
      <c r="F1695" s="34"/>
      <c r="G1695" s="34" t="str">
        <f>"""NAV Direct"",""CRONUS JetCorp USA"",""32"",""1"",""166357"""</f>
        <v>"NAV Direct","CRONUS JetCorp USA","32","1","166357"</v>
      </c>
      <c r="H1695" s="40">
        <v>43466</v>
      </c>
      <c r="I1695" s="41">
        <v>166357</v>
      </c>
      <c r="J1695" s="42" t="str">
        <f>"Vendor"</f>
        <v>Vendor</v>
      </c>
      <c r="K1695" s="42" t="str">
        <f>"V100007"</f>
        <v>V100007</v>
      </c>
      <c r="L1695" s="42" t="str">
        <f>IF($J1695="Customer",_xll.NL("first",$J1695,"Name","No.","@@"&amp;$K1695),"")</f>
        <v/>
      </c>
      <c r="M1695" s="42" t="str">
        <f>"TrendTech"</f>
        <v>TrendTech</v>
      </c>
      <c r="N1695" s="42" t="str">
        <f>IF($J1695="Item",_xll.NL("first",$J1695,"Description","No.","@@"&amp;$K1695),"")</f>
        <v/>
      </c>
      <c r="O1695" s="43">
        <v>499.99999999999994</v>
      </c>
      <c r="P1695" s="43">
        <v>0</v>
      </c>
      <c r="Q1695" s="43">
        <v>0</v>
      </c>
      <c r="R1695" s="43">
        <v>0</v>
      </c>
      <c r="S1695" s="43">
        <v>0</v>
      </c>
      <c r="T1695" s="43">
        <v>0</v>
      </c>
      <c r="U1695" s="56"/>
    </row>
    <row r="1696" spans="1:21" ht="17.25" customHeight="1" x14ac:dyDescent="0.3">
      <c r="A1696" s="15" t="s">
        <v>30</v>
      </c>
      <c r="C1696" s="19"/>
      <c r="D1696" s="33" t="str">
        <f t="shared" si="424"/>
        <v>S100006</v>
      </c>
      <c r="E1696" s="33"/>
      <c r="F1696" s="34"/>
      <c r="G1696" s="34" t="str">
        <f>"""NAV Direct"",""CRONUS JetCorp USA"",""32"",""1"",""166376"""</f>
        <v>"NAV Direct","CRONUS JetCorp USA","32","1","166376"</v>
      </c>
      <c r="H1696" s="40">
        <v>43466</v>
      </c>
      <c r="I1696" s="41">
        <v>166376</v>
      </c>
      <c r="J1696" s="42" t="str">
        <f>"Vendor"</f>
        <v>Vendor</v>
      </c>
      <c r="K1696" s="42" t="str">
        <f>"V100001"</f>
        <v>V100001</v>
      </c>
      <c r="L1696" s="42" t="str">
        <f>IF($J1696="Customer",_xll.NL("first",$J1696,"Name","No.","@@"&amp;$K1696),"")</f>
        <v/>
      </c>
      <c r="M1696" s="42" t="str">
        <f>"Greigner, Inc."</f>
        <v>Greigner, Inc.</v>
      </c>
      <c r="N1696" s="42" t="str">
        <f>IF($J1696="Item",_xll.NL("first",$J1696,"Description","No.","@@"&amp;$K1696),"")</f>
        <v/>
      </c>
      <c r="O1696" s="43">
        <v>2800</v>
      </c>
      <c r="P1696" s="43">
        <v>0</v>
      </c>
      <c r="Q1696" s="43">
        <v>0</v>
      </c>
      <c r="R1696" s="43">
        <v>0</v>
      </c>
      <c r="S1696" s="43">
        <v>0</v>
      </c>
      <c r="T1696" s="43">
        <v>0</v>
      </c>
      <c r="U1696" s="56"/>
    </row>
    <row r="1697" spans="1:21" ht="17.25" customHeight="1" x14ac:dyDescent="0.3">
      <c r="A1697" s="15" t="s">
        <v>30</v>
      </c>
      <c r="C1697" s="19"/>
      <c r="D1697" s="33" t="str">
        <f t="shared" si="424"/>
        <v>S100006</v>
      </c>
      <c r="E1697" s="33"/>
      <c r="F1697" s="34"/>
      <c r="G1697" s="34" t="str">
        <f>"""NAV Direct"",""CRONUS JetCorp USA"",""32"",""1"",""166393"""</f>
        <v>"NAV Direct","CRONUS JetCorp USA","32","1","166393"</v>
      </c>
      <c r="H1697" s="40">
        <v>43466</v>
      </c>
      <c r="I1697" s="41">
        <v>166393</v>
      </c>
      <c r="J1697" s="42" t="str">
        <f>"Vendor"</f>
        <v>Vendor</v>
      </c>
      <c r="K1697" s="42" t="str">
        <f>"V100047"</f>
        <v>V100047</v>
      </c>
      <c r="L1697" s="42" t="str">
        <f>IF($J1697="Customer",_xll.NL("first",$J1697,"Name","No.","@@"&amp;$K1697),"")</f>
        <v/>
      </c>
      <c r="M1697" s="42" t="str">
        <f>"WoodMart Supply Co."</f>
        <v>WoodMart Supply Co.</v>
      </c>
      <c r="N1697" s="42" t="str">
        <f>IF($J1697="Item",_xll.NL("first",$J1697,"Description","No.","@@"&amp;$K1697),"")</f>
        <v/>
      </c>
      <c r="O1697" s="43">
        <v>100</v>
      </c>
      <c r="P1697" s="43">
        <v>0</v>
      </c>
      <c r="Q1697" s="43">
        <v>0</v>
      </c>
      <c r="R1697" s="43">
        <v>0</v>
      </c>
      <c r="S1697" s="43">
        <v>0</v>
      </c>
      <c r="T1697" s="43">
        <v>0</v>
      </c>
      <c r="U1697" s="56"/>
    </row>
    <row r="1698" spans="1:21" ht="17.25" customHeight="1" x14ac:dyDescent="0.3">
      <c r="A1698" s="15" t="s">
        <v>30</v>
      </c>
      <c r="C1698" s="19"/>
      <c r="D1698" s="33" t="str">
        <f t="shared" si="424"/>
        <v>S100006</v>
      </c>
      <c r="E1698" s="33"/>
      <c r="F1698" s="34"/>
      <c r="G1698" s="34" t="str">
        <f>"""NAV Direct"",""CRONUS JetCorp USA"",""32"",""1"",""166405"""</f>
        <v>"NAV Direct","CRONUS JetCorp USA","32","1","166405"</v>
      </c>
      <c r="H1698" s="40">
        <v>43466</v>
      </c>
      <c r="I1698" s="41">
        <v>166405</v>
      </c>
      <c r="J1698" s="42" t="str">
        <f>"Vendor"</f>
        <v>Vendor</v>
      </c>
      <c r="K1698" s="42" t="str">
        <f>"V100003"</f>
        <v>V100003</v>
      </c>
      <c r="L1698" s="42" t="str">
        <f>IF($J1698="Customer",_xll.NL("first",$J1698,"Name","No.","@@"&amp;$K1698),"")</f>
        <v/>
      </c>
      <c r="M1698" s="42" t="str">
        <f>"LogoMasters"</f>
        <v>LogoMasters</v>
      </c>
      <c r="N1698" s="42" t="str">
        <f>IF($J1698="Item",_xll.NL("first",$J1698,"Description","No.","@@"&amp;$K1698),"")</f>
        <v/>
      </c>
      <c r="O1698" s="43">
        <v>400</v>
      </c>
      <c r="P1698" s="43">
        <v>0</v>
      </c>
      <c r="Q1698" s="43">
        <v>0</v>
      </c>
      <c r="R1698" s="43">
        <v>0</v>
      </c>
      <c r="S1698" s="43">
        <v>0</v>
      </c>
      <c r="T1698" s="43">
        <v>0</v>
      </c>
      <c r="U1698" s="56"/>
    </row>
    <row r="1699" spans="1:21" ht="17.25" customHeight="1" x14ac:dyDescent="0.3">
      <c r="A1699" s="15" t="s">
        <v>30</v>
      </c>
      <c r="C1699" s="19"/>
      <c r="D1699" s="33" t="str">
        <f t="shared" si="424"/>
        <v>S100006</v>
      </c>
      <c r="E1699" s="33"/>
      <c r="F1699" s="34"/>
      <c r="G1699" s="34" t="str">
        <f>"""NAV Direct"",""CRONUS JetCorp USA"",""32"",""1"",""124510"""</f>
        <v>"NAV Direct","CRONUS JetCorp USA","32","1","124510"</v>
      </c>
      <c r="H1699" s="40">
        <v>43470</v>
      </c>
      <c r="I1699" s="41">
        <v>124510</v>
      </c>
      <c r="J1699" s="42" t="str">
        <f>"Customer"</f>
        <v>Customer</v>
      </c>
      <c r="K1699" s="42" t="str">
        <f>"C100025"</f>
        <v>C100025</v>
      </c>
      <c r="L1699" s="42" t="str">
        <f>IF($J1699="Customer",_xll.NL("first",$J1699,"Name","No.","@@"&amp;$K1699),"")</f>
        <v>Derringers Resturants</v>
      </c>
      <c r="M1699" s="42" t="str">
        <f>""</f>
        <v/>
      </c>
      <c r="N1699" s="42" t="str">
        <f>IF($J1699="Item",_xll.NL("first",$J1699,"Description","No.","@@"&amp;$K1699),"")</f>
        <v/>
      </c>
      <c r="O1699" s="43">
        <v>0</v>
      </c>
      <c r="P1699" s="43">
        <v>-288</v>
      </c>
      <c r="Q1699" s="43">
        <v>0</v>
      </c>
      <c r="R1699" s="43">
        <v>0</v>
      </c>
      <c r="S1699" s="43">
        <v>0</v>
      </c>
      <c r="T1699" s="43">
        <v>0</v>
      </c>
      <c r="U1699" s="56"/>
    </row>
    <row r="1700" spans="1:21" ht="17.25" customHeight="1" x14ac:dyDescent="0.3">
      <c r="A1700" s="15" t="s">
        <v>30</v>
      </c>
      <c r="C1700" s="19"/>
      <c r="D1700" s="33" t="str">
        <f t="shared" si="424"/>
        <v>S100006</v>
      </c>
      <c r="E1700" s="33"/>
      <c r="F1700" s="34"/>
      <c r="G1700" s="34" t="str">
        <f>"""NAV Direct"",""CRONUS JetCorp USA"",""32"",""1"",""20345"""</f>
        <v>"NAV Direct","CRONUS JetCorp USA","32","1","20345"</v>
      </c>
      <c r="H1700" s="40">
        <v>43475</v>
      </c>
      <c r="I1700" s="41">
        <v>20345</v>
      </c>
      <c r="J1700" s="42" t="str">
        <f>"Customer"</f>
        <v>Customer</v>
      </c>
      <c r="K1700" s="42" t="str">
        <f>"C100097"</f>
        <v>C100097</v>
      </c>
      <c r="L1700" s="42" t="str">
        <f>IF($J1700="Customer",_xll.NL("first",$J1700,"Name","No.","@@"&amp;$K1700),"")</f>
        <v>Solotech</v>
      </c>
      <c r="M1700" s="42" t="str">
        <f>""</f>
        <v/>
      </c>
      <c r="N1700" s="42" t="str">
        <f>IF($J1700="Item",_xll.NL("first",$J1700,"Description","No.","@@"&amp;$K1700),"")</f>
        <v/>
      </c>
      <c r="O1700" s="43">
        <v>0</v>
      </c>
      <c r="P1700" s="43">
        <v>-288</v>
      </c>
      <c r="Q1700" s="43">
        <v>0</v>
      </c>
      <c r="R1700" s="43">
        <v>0</v>
      </c>
      <c r="S1700" s="43">
        <v>0</v>
      </c>
      <c r="T1700" s="43">
        <v>0</v>
      </c>
      <c r="U1700" s="56"/>
    </row>
    <row r="1701" spans="1:21" ht="17.25" customHeight="1" x14ac:dyDescent="0.3">
      <c r="A1701" s="15" t="s">
        <v>30</v>
      </c>
      <c r="C1701" s="19"/>
      <c r="D1701" s="33" t="str">
        <f t="shared" si="424"/>
        <v>S100006</v>
      </c>
      <c r="E1701" s="33"/>
      <c r="F1701" s="34"/>
      <c r="G1701" s="34" t="str">
        <f>"""NAV Direct"",""CRONUS JetCorp USA"",""32"",""1"",""128886"""</f>
        <v>"NAV Direct","CRONUS JetCorp USA","32","1","128886"</v>
      </c>
      <c r="H1701" s="40">
        <v>43475</v>
      </c>
      <c r="I1701" s="41">
        <v>128886</v>
      </c>
      <c r="J1701" s="42" t="str">
        <f>"Customer"</f>
        <v>Customer</v>
      </c>
      <c r="K1701" s="42" t="str">
        <f>"C100095"</f>
        <v>C100095</v>
      </c>
      <c r="L1701" s="42" t="str">
        <f>IF($J1701="Customer",_xll.NL("first",$J1701,"Name","No.","@@"&amp;$K1701),"")</f>
        <v>Randotax Outfitters</v>
      </c>
      <c r="M1701" s="42" t="str">
        <f>""</f>
        <v/>
      </c>
      <c r="N1701" s="42" t="str">
        <f>IF($J1701="Item",_xll.NL("first",$J1701,"Description","No.","@@"&amp;$K1701),"")</f>
        <v/>
      </c>
      <c r="O1701" s="43">
        <v>0</v>
      </c>
      <c r="P1701" s="43">
        <v>-49</v>
      </c>
      <c r="Q1701" s="43">
        <v>0</v>
      </c>
      <c r="R1701" s="43">
        <v>0</v>
      </c>
      <c r="S1701" s="43">
        <v>0</v>
      </c>
      <c r="T1701" s="43">
        <v>0</v>
      </c>
      <c r="U1701" s="56"/>
    </row>
    <row r="1702" spans="1:21" ht="17.25" customHeight="1" x14ac:dyDescent="0.3">
      <c r="A1702" s="15" t="s">
        <v>30</v>
      </c>
      <c r="C1702" s="19"/>
      <c r="D1702" s="33" t="str">
        <f t="shared" si="424"/>
        <v>S100006</v>
      </c>
      <c r="E1702" s="33"/>
      <c r="F1702" s="34"/>
      <c r="G1702" s="34" t="str">
        <f>"""NAV Direct"",""CRONUS JetCorp USA"",""32"",""1"",""25264"""</f>
        <v>"NAV Direct","CRONUS JetCorp USA","32","1","25264"</v>
      </c>
      <c r="H1702" s="40">
        <v>43476</v>
      </c>
      <c r="I1702" s="41">
        <v>25264</v>
      </c>
      <c r="J1702" s="42" t="str">
        <f>"Customer"</f>
        <v>Customer</v>
      </c>
      <c r="K1702" s="42" t="str">
        <f>"C100102"</f>
        <v>C100102</v>
      </c>
      <c r="L1702" s="42" t="str">
        <f>IF($J1702="Customer",_xll.NL("first",$J1702,"Name","No.","@@"&amp;$K1702),"")</f>
        <v xml:space="preserve">BEI Outfitters </v>
      </c>
      <c r="M1702" s="42" t="str">
        <f>""</f>
        <v/>
      </c>
      <c r="N1702" s="42" t="str">
        <f>IF($J1702="Item",_xll.NL("first",$J1702,"Description","No.","@@"&amp;$K1702),"")</f>
        <v/>
      </c>
      <c r="O1702" s="43">
        <v>0</v>
      </c>
      <c r="P1702" s="43">
        <v>-144</v>
      </c>
      <c r="Q1702" s="43">
        <v>0</v>
      </c>
      <c r="R1702" s="43">
        <v>0</v>
      </c>
      <c r="S1702" s="43">
        <v>0</v>
      </c>
      <c r="T1702" s="43">
        <v>0</v>
      </c>
      <c r="U1702" s="56"/>
    </row>
    <row r="1703" spans="1:21" ht="17.25" customHeight="1" x14ac:dyDescent="0.3">
      <c r="A1703" s="15" t="s">
        <v>30</v>
      </c>
      <c r="C1703" s="19"/>
      <c r="D1703" s="33" t="str">
        <f t="shared" si="424"/>
        <v>S100006</v>
      </c>
      <c r="E1703" s="33"/>
      <c r="F1703" s="34"/>
      <c r="G1703" s="34" t="str">
        <f>"""NAV Direct"",""CRONUS JetCorp USA"",""32"",""1"",""20398"""</f>
        <v>"NAV Direct","CRONUS JetCorp USA","32","1","20398"</v>
      </c>
      <c r="H1703" s="40">
        <v>43477</v>
      </c>
      <c r="I1703" s="41">
        <v>20398</v>
      </c>
      <c r="J1703" s="42" t="str">
        <f>"Customer"</f>
        <v>Customer</v>
      </c>
      <c r="K1703" s="42" t="str">
        <f>"C100039"</f>
        <v>C100039</v>
      </c>
      <c r="L1703" s="42" t="str">
        <f>IF($J1703="Customer",_xll.NL("first",$J1703,"Name","No.","@@"&amp;$K1703),"")</f>
        <v>Gary's Sports</v>
      </c>
      <c r="M1703" s="42" t="str">
        <f>""</f>
        <v/>
      </c>
      <c r="N1703" s="42" t="str">
        <f>IF($J1703="Item",_xll.NL("first",$J1703,"Description","No.","@@"&amp;$K1703),"")</f>
        <v/>
      </c>
      <c r="O1703" s="43">
        <v>0</v>
      </c>
      <c r="P1703" s="43">
        <v>-150</v>
      </c>
      <c r="Q1703" s="43">
        <v>0</v>
      </c>
      <c r="R1703" s="43">
        <v>0</v>
      </c>
      <c r="S1703" s="43">
        <v>0</v>
      </c>
      <c r="T1703" s="43">
        <v>0</v>
      </c>
      <c r="U1703" s="56"/>
    </row>
    <row r="1704" spans="1:21" ht="17.25" customHeight="1" x14ac:dyDescent="0.3">
      <c r="A1704" s="15" t="s">
        <v>30</v>
      </c>
      <c r="C1704" s="19"/>
      <c r="D1704" s="33" t="str">
        <f t="shared" si="424"/>
        <v>S100006</v>
      </c>
      <c r="E1704" s="33"/>
      <c r="F1704" s="34"/>
      <c r="G1704" s="34" t="str">
        <f>"""NAV Direct"",""CRONUS JetCorp USA"",""32"",""1"",""25279"""</f>
        <v>"NAV Direct","CRONUS JetCorp USA","32","1","25279"</v>
      </c>
      <c r="H1704" s="40">
        <v>43477</v>
      </c>
      <c r="I1704" s="41">
        <v>25279</v>
      </c>
      <c r="J1704" s="42" t="str">
        <f>"Customer"</f>
        <v>Customer</v>
      </c>
      <c r="K1704" s="42" t="str">
        <f>"C100138"</f>
        <v>C100138</v>
      </c>
      <c r="L1704" s="42" t="str">
        <f>IF($J1704="Customer",_xll.NL("first",$J1704,"Name","No.","@@"&amp;$K1704),"")</f>
        <v>Dantons</v>
      </c>
      <c r="M1704" s="42" t="str">
        <f>""</f>
        <v/>
      </c>
      <c r="N1704" s="42" t="str">
        <f>IF($J1704="Item",_xll.NL("first",$J1704,"Description","No.","@@"&amp;$K1704),"")</f>
        <v/>
      </c>
      <c r="O1704" s="43">
        <v>0</v>
      </c>
      <c r="P1704" s="43">
        <v>-288</v>
      </c>
      <c r="Q1704" s="43">
        <v>0</v>
      </c>
      <c r="R1704" s="43">
        <v>0</v>
      </c>
      <c r="S1704" s="43">
        <v>0</v>
      </c>
      <c r="T1704" s="43">
        <v>0</v>
      </c>
      <c r="U1704" s="56"/>
    </row>
    <row r="1705" spans="1:21" ht="17.25" customHeight="1" x14ac:dyDescent="0.3">
      <c r="A1705" s="15" t="s">
        <v>30</v>
      </c>
      <c r="C1705" s="19"/>
      <c r="D1705" s="33"/>
      <c r="E1705" s="33"/>
      <c r="F1705" s="34"/>
      <c r="G1705" s="34"/>
      <c r="H1705" s="34"/>
      <c r="I1705" s="34"/>
      <c r="J1705" s="34"/>
      <c r="K1705" s="34"/>
      <c r="L1705" s="34"/>
      <c r="M1705" s="34"/>
      <c r="N1705" s="34"/>
      <c r="O1705" s="44"/>
      <c r="P1705" s="44"/>
      <c r="Q1705" s="44"/>
      <c r="R1705" s="44"/>
      <c r="S1705" s="44"/>
      <c r="T1705" s="44"/>
      <c r="U1705" s="57"/>
    </row>
    <row r="1706" spans="1:21" ht="17.25" customHeight="1" x14ac:dyDescent="0.3">
      <c r="A1706" s="15" t="s">
        <v>30</v>
      </c>
      <c r="C1706" s="19"/>
      <c r="D1706" s="33"/>
      <c r="E1706" s="33" t="s">
        <v>31</v>
      </c>
      <c r="F1706" s="34" t="s">
        <v>31</v>
      </c>
      <c r="G1706" s="34" t="s">
        <v>31</v>
      </c>
      <c r="H1706" s="34"/>
      <c r="I1706" s="34"/>
      <c r="J1706" s="34" t="s">
        <v>31</v>
      </c>
      <c r="K1706" s="34" t="s">
        <v>31</v>
      </c>
      <c r="L1706" s="34" t="s">
        <v>31</v>
      </c>
      <c r="M1706" s="34" t="s">
        <v>31</v>
      </c>
      <c r="N1706" s="34"/>
      <c r="U1706" s="58"/>
    </row>
    <row r="1707" spans="1:21" ht="20.25" customHeight="1" x14ac:dyDescent="0.35">
      <c r="A1707" s="15" t="s">
        <v>30</v>
      </c>
      <c r="C1707" s="19"/>
      <c r="D1707" s="35" t="str">
        <f t="shared" ref="D1707" si="425">E1707</f>
        <v>S100007</v>
      </c>
      <c r="E1707" s="36" t="str">
        <f>"S100007"</f>
        <v>S100007</v>
      </c>
      <c r="F1707" s="37" t="str">
        <f>"Baseball Figure Trophy"</f>
        <v>Baseball Figure Trophy</v>
      </c>
      <c r="G1707" s="37"/>
      <c r="H1707" s="38" t="str">
        <f>"EA"</f>
        <v>EA</v>
      </c>
      <c r="I1707" s="37"/>
      <c r="J1707" s="37"/>
      <c r="K1707" s="37"/>
      <c r="L1707" s="37"/>
      <c r="M1707" s="37"/>
      <c r="N1707" s="37"/>
      <c r="O1707" s="39">
        <f>(SUBTOTAL(9,O1708:O1724))</f>
        <v>2700</v>
      </c>
      <c r="P1707" s="39">
        <f>(SUBTOTAL(9,P1708:P1724))</f>
        <v>-1070</v>
      </c>
      <c r="Q1707" s="39">
        <f>(SUBTOTAL(9,Q1708:Q1724))</f>
        <v>0</v>
      </c>
      <c r="R1707" s="39">
        <f>(SUBTOTAL(9,R1708:R1724))</f>
        <v>0</v>
      </c>
      <c r="S1707" s="39">
        <f>(SUBTOTAL(9,S1708:S1724))</f>
        <v>0</v>
      </c>
      <c r="T1707" s="39">
        <f>(SUBTOTAL(9,T1708:T1724))</f>
        <v>0</v>
      </c>
      <c r="U1707" s="55">
        <f t="shared" ref="U1707" si="426">SUBTOTAL(9,O1708:T1724)</f>
        <v>1630</v>
      </c>
    </row>
    <row r="1708" spans="1:21" ht="17.25" customHeight="1" x14ac:dyDescent="0.3">
      <c r="A1708" s="15" t="s">
        <v>30</v>
      </c>
      <c r="C1708" s="19"/>
      <c r="D1708" s="33" t="str">
        <f t="shared" ref="D1708" si="427">D1707</f>
        <v>S100007</v>
      </c>
      <c r="E1708" s="33"/>
      <c r="F1708" s="34"/>
      <c r="G1708" s="34" t="str">
        <f>"""NAV Direct"",""CRONUS JetCorp USA"",""32"",""1"",""132501"""</f>
        <v>"NAV Direct","CRONUS JetCorp USA","32","1","132501"</v>
      </c>
      <c r="H1708" s="40">
        <v>43466</v>
      </c>
      <c r="I1708" s="41">
        <v>132501</v>
      </c>
      <c r="J1708" s="42" t="str">
        <f>"Customer"</f>
        <v>Customer</v>
      </c>
      <c r="K1708" s="42" t="str">
        <f>"C100040"</f>
        <v>C100040</v>
      </c>
      <c r="L1708" s="42" t="str">
        <f>IF($J1708="Customer",_xll.NL("first",$J1708,"Name","No.","@@"&amp;$K1708),"")</f>
        <v>Guildford Water Department</v>
      </c>
      <c r="M1708" s="42" t="str">
        <f>""</f>
        <v/>
      </c>
      <c r="N1708" s="42" t="str">
        <f>IF($J1708="Item",_xll.NL("first",$J1708,"Description","No.","@@"&amp;$K1708),"")</f>
        <v/>
      </c>
      <c r="O1708" s="43">
        <v>0</v>
      </c>
      <c r="P1708" s="43">
        <v>-48</v>
      </c>
      <c r="Q1708" s="43">
        <v>0</v>
      </c>
      <c r="R1708" s="43">
        <v>0</v>
      </c>
      <c r="S1708" s="43">
        <v>0</v>
      </c>
      <c r="T1708" s="43">
        <v>0</v>
      </c>
      <c r="U1708" s="56"/>
    </row>
    <row r="1709" spans="1:21" ht="17.25" customHeight="1" x14ac:dyDescent="0.3">
      <c r="A1709" s="15" t="s">
        <v>30</v>
      </c>
      <c r="C1709" s="19"/>
      <c r="D1709" s="33" t="str">
        <f t="shared" ref="D1709:D1723" si="428">D1708</f>
        <v>S100007</v>
      </c>
      <c r="E1709" s="33"/>
      <c r="F1709" s="34"/>
      <c r="G1709" s="34" t="str">
        <f>"""NAV Direct"",""CRONUS JetCorp USA"",""32"",""1"",""166322"""</f>
        <v>"NAV Direct","CRONUS JetCorp USA","32","1","166322"</v>
      </c>
      <c r="H1709" s="40">
        <v>43466</v>
      </c>
      <c r="I1709" s="41">
        <v>166322</v>
      </c>
      <c r="J1709" s="42" t="str">
        <f>"Vendor"</f>
        <v>Vendor</v>
      </c>
      <c r="K1709" s="42" t="str">
        <f>"V100009"</f>
        <v>V100009</v>
      </c>
      <c r="L1709" s="42" t="str">
        <f>IF($J1709="Customer",_xll.NL("first",$J1709,"Name","No.","@@"&amp;$K1709),"")</f>
        <v/>
      </c>
      <c r="M1709" s="42" t="str">
        <f>"Malay-Dan Export Unit Sdn Bhd"</f>
        <v>Malay-Dan Export Unit Sdn Bhd</v>
      </c>
      <c r="N1709" s="42" t="str">
        <f>IF($J1709="Item",_xll.NL("first",$J1709,"Description","No.","@@"&amp;$K1709),"")</f>
        <v/>
      </c>
      <c r="O1709" s="43">
        <v>300</v>
      </c>
      <c r="P1709" s="43">
        <v>0</v>
      </c>
      <c r="Q1709" s="43">
        <v>0</v>
      </c>
      <c r="R1709" s="43">
        <v>0</v>
      </c>
      <c r="S1709" s="43">
        <v>0</v>
      </c>
      <c r="T1709" s="43">
        <v>0</v>
      </c>
      <c r="U1709" s="56"/>
    </row>
    <row r="1710" spans="1:21" ht="17.25" customHeight="1" x14ac:dyDescent="0.3">
      <c r="A1710" s="15" t="s">
        <v>30</v>
      </c>
      <c r="C1710" s="19"/>
      <c r="D1710" s="33" t="str">
        <f t="shared" si="428"/>
        <v>S100007</v>
      </c>
      <c r="E1710" s="33"/>
      <c r="F1710" s="34"/>
      <c r="G1710" s="34" t="str">
        <f>"""NAV Direct"",""CRONUS JetCorp USA"",""32"",""1"",""166337"""</f>
        <v>"NAV Direct","CRONUS JetCorp USA","32","1","166337"</v>
      </c>
      <c r="H1710" s="40">
        <v>43466</v>
      </c>
      <c r="I1710" s="41">
        <v>166337</v>
      </c>
      <c r="J1710" s="42" t="str">
        <f>"Vendor"</f>
        <v>Vendor</v>
      </c>
      <c r="K1710" s="42" t="str">
        <f>"V100040"</f>
        <v>V100040</v>
      </c>
      <c r="L1710" s="42" t="str">
        <f>IF($J1710="Customer",_xll.NL("first",$J1710,"Name","No.","@@"&amp;$K1710),"")</f>
        <v/>
      </c>
      <c r="M1710" s="42" t="str">
        <f>"Technische Betriebe Rotkreuz"</f>
        <v>Technische Betriebe Rotkreuz</v>
      </c>
      <c r="N1710" s="42" t="str">
        <f>IF($J1710="Item",_xll.NL("first",$J1710,"Description","No.","@@"&amp;$K1710),"")</f>
        <v/>
      </c>
      <c r="O1710" s="43">
        <v>700</v>
      </c>
      <c r="P1710" s="43">
        <v>0</v>
      </c>
      <c r="Q1710" s="43">
        <v>0</v>
      </c>
      <c r="R1710" s="43">
        <v>0</v>
      </c>
      <c r="S1710" s="43">
        <v>0</v>
      </c>
      <c r="T1710" s="43">
        <v>0</v>
      </c>
      <c r="U1710" s="56"/>
    </row>
    <row r="1711" spans="1:21" ht="17.25" customHeight="1" x14ac:dyDescent="0.3">
      <c r="A1711" s="15" t="s">
        <v>30</v>
      </c>
      <c r="C1711" s="19"/>
      <c r="D1711" s="33" t="str">
        <f t="shared" si="428"/>
        <v>S100007</v>
      </c>
      <c r="E1711" s="33"/>
      <c r="F1711" s="34"/>
      <c r="G1711" s="34" t="str">
        <f>"""NAV Direct"",""CRONUS JetCorp USA"",""32"",""1"",""166375"""</f>
        <v>"NAV Direct","CRONUS JetCorp USA","32","1","166375"</v>
      </c>
      <c r="H1711" s="40">
        <v>43466</v>
      </c>
      <c r="I1711" s="41">
        <v>166375</v>
      </c>
      <c r="J1711" s="42" t="str">
        <f>"Vendor"</f>
        <v>Vendor</v>
      </c>
      <c r="K1711" s="42" t="str">
        <f>"V100001"</f>
        <v>V100001</v>
      </c>
      <c r="L1711" s="42" t="str">
        <f>IF($J1711="Customer",_xll.NL("first",$J1711,"Name","No.","@@"&amp;$K1711),"")</f>
        <v/>
      </c>
      <c r="M1711" s="42" t="str">
        <f>"Greigner, Inc."</f>
        <v>Greigner, Inc.</v>
      </c>
      <c r="N1711" s="42" t="str">
        <f>IF($J1711="Item",_xll.NL("first",$J1711,"Description","No.","@@"&amp;$K1711),"")</f>
        <v/>
      </c>
      <c r="O1711" s="43">
        <v>1400</v>
      </c>
      <c r="P1711" s="43">
        <v>0</v>
      </c>
      <c r="Q1711" s="43">
        <v>0</v>
      </c>
      <c r="R1711" s="43">
        <v>0</v>
      </c>
      <c r="S1711" s="43">
        <v>0</v>
      </c>
      <c r="T1711" s="43">
        <v>0</v>
      </c>
      <c r="U1711" s="56"/>
    </row>
    <row r="1712" spans="1:21" ht="17.25" customHeight="1" x14ac:dyDescent="0.3">
      <c r="A1712" s="15" t="s">
        <v>30</v>
      </c>
      <c r="C1712" s="19"/>
      <c r="D1712" s="33" t="str">
        <f t="shared" si="428"/>
        <v>S100007</v>
      </c>
      <c r="E1712" s="33"/>
      <c r="F1712" s="34"/>
      <c r="G1712" s="34" t="str">
        <f>"""NAV Direct"",""CRONUS JetCorp USA"",""32"",""1"",""166392"""</f>
        <v>"NAV Direct","CRONUS JetCorp USA","32","1","166392"</v>
      </c>
      <c r="H1712" s="40">
        <v>43466</v>
      </c>
      <c r="I1712" s="41">
        <v>166392</v>
      </c>
      <c r="J1712" s="42" t="str">
        <f>"Vendor"</f>
        <v>Vendor</v>
      </c>
      <c r="K1712" s="42" t="str">
        <f>"V100047"</f>
        <v>V100047</v>
      </c>
      <c r="L1712" s="42" t="str">
        <f>IF($J1712="Customer",_xll.NL("first",$J1712,"Name","No.","@@"&amp;$K1712),"")</f>
        <v/>
      </c>
      <c r="M1712" s="42" t="str">
        <f>"WoodMart Supply Co."</f>
        <v>WoodMart Supply Co.</v>
      </c>
      <c r="N1712" s="42" t="str">
        <f>IF($J1712="Item",_xll.NL("first",$J1712,"Description","No.","@@"&amp;$K1712),"")</f>
        <v/>
      </c>
      <c r="O1712" s="43">
        <v>100</v>
      </c>
      <c r="P1712" s="43">
        <v>0</v>
      </c>
      <c r="Q1712" s="43">
        <v>0</v>
      </c>
      <c r="R1712" s="43">
        <v>0</v>
      </c>
      <c r="S1712" s="43">
        <v>0</v>
      </c>
      <c r="T1712" s="43">
        <v>0</v>
      </c>
      <c r="U1712" s="56"/>
    </row>
    <row r="1713" spans="1:21" ht="17.25" customHeight="1" x14ac:dyDescent="0.3">
      <c r="A1713" s="15" t="s">
        <v>30</v>
      </c>
      <c r="C1713" s="19"/>
      <c r="D1713" s="33" t="str">
        <f t="shared" si="428"/>
        <v>S100007</v>
      </c>
      <c r="E1713" s="33"/>
      <c r="F1713" s="34"/>
      <c r="G1713" s="34" t="str">
        <f>"""NAV Direct"",""CRONUS JetCorp USA"",""32"",""1"",""166404"""</f>
        <v>"NAV Direct","CRONUS JetCorp USA","32","1","166404"</v>
      </c>
      <c r="H1713" s="40">
        <v>43466</v>
      </c>
      <c r="I1713" s="41">
        <v>166404</v>
      </c>
      <c r="J1713" s="42" t="str">
        <f>"Vendor"</f>
        <v>Vendor</v>
      </c>
      <c r="K1713" s="42" t="str">
        <f>"V100003"</f>
        <v>V100003</v>
      </c>
      <c r="L1713" s="42" t="str">
        <f>IF($J1713="Customer",_xll.NL("first",$J1713,"Name","No.","@@"&amp;$K1713),"")</f>
        <v/>
      </c>
      <c r="M1713" s="42" t="str">
        <f>"LogoMasters"</f>
        <v>LogoMasters</v>
      </c>
      <c r="N1713" s="42" t="str">
        <f>IF($J1713="Item",_xll.NL("first",$J1713,"Description","No.","@@"&amp;$K1713),"")</f>
        <v/>
      </c>
      <c r="O1713" s="43">
        <v>100</v>
      </c>
      <c r="P1713" s="43">
        <v>0</v>
      </c>
      <c r="Q1713" s="43">
        <v>0</v>
      </c>
      <c r="R1713" s="43">
        <v>0</v>
      </c>
      <c r="S1713" s="43">
        <v>0</v>
      </c>
      <c r="T1713" s="43">
        <v>0</v>
      </c>
      <c r="U1713" s="56"/>
    </row>
    <row r="1714" spans="1:21" ht="17.25" customHeight="1" x14ac:dyDescent="0.3">
      <c r="A1714" s="15" t="s">
        <v>30</v>
      </c>
      <c r="C1714" s="19"/>
      <c r="D1714" s="33" t="str">
        <f t="shared" si="428"/>
        <v>S100007</v>
      </c>
      <c r="E1714" s="33"/>
      <c r="F1714" s="34"/>
      <c r="G1714" s="34" t="str">
        <f>"""NAV Direct"",""CRONUS JetCorp USA"",""32"",""1"",""166422"""</f>
        <v>"NAV Direct","CRONUS JetCorp USA","32","1","166422"</v>
      </c>
      <c r="H1714" s="40">
        <v>43466</v>
      </c>
      <c r="I1714" s="41">
        <v>166422</v>
      </c>
      <c r="J1714" s="42" t="str">
        <f>"Vendor"</f>
        <v>Vendor</v>
      </c>
      <c r="K1714" s="42" t="str">
        <f>"V100001"</f>
        <v>V100001</v>
      </c>
      <c r="L1714" s="42" t="str">
        <f>IF($J1714="Customer",_xll.NL("first",$J1714,"Name","No.","@@"&amp;$K1714),"")</f>
        <v/>
      </c>
      <c r="M1714" s="42" t="str">
        <f>"Greigner, Inc."</f>
        <v>Greigner, Inc.</v>
      </c>
      <c r="N1714" s="42" t="str">
        <f>IF($J1714="Item",_xll.NL("first",$J1714,"Description","No.","@@"&amp;$K1714),"")</f>
        <v/>
      </c>
      <c r="O1714" s="43">
        <v>100</v>
      </c>
      <c r="P1714" s="43">
        <v>0</v>
      </c>
      <c r="Q1714" s="43">
        <v>0</v>
      </c>
      <c r="R1714" s="43">
        <v>0</v>
      </c>
      <c r="S1714" s="43">
        <v>0</v>
      </c>
      <c r="T1714" s="43">
        <v>0</v>
      </c>
      <c r="U1714" s="56"/>
    </row>
    <row r="1715" spans="1:21" ht="17.25" customHeight="1" x14ac:dyDescent="0.3">
      <c r="A1715" s="15" t="s">
        <v>30</v>
      </c>
      <c r="C1715" s="19"/>
      <c r="D1715" s="33" t="str">
        <f t="shared" si="428"/>
        <v>S100007</v>
      </c>
      <c r="E1715" s="33"/>
      <c r="F1715" s="34"/>
      <c r="G1715" s="34" t="str">
        <f>"""NAV Direct"",""CRONUS JetCorp USA"",""32"",""1"",""20368"""</f>
        <v>"NAV Direct","CRONUS JetCorp USA","32","1","20368"</v>
      </c>
      <c r="H1715" s="40">
        <v>43468</v>
      </c>
      <c r="I1715" s="41">
        <v>20368</v>
      </c>
      <c r="J1715" s="42" t="str">
        <f>"Customer"</f>
        <v>Customer</v>
      </c>
      <c r="K1715" s="42" t="str">
        <f>"C100145"</f>
        <v>C100145</v>
      </c>
      <c r="L1715" s="42" t="str">
        <f>IF($J1715="Customer",_xll.NL("first",$J1715,"Name","No.","@@"&amp;$K1715),"")</f>
        <v>Dicon Industries</v>
      </c>
      <c r="M1715" s="42" t="str">
        <f>""</f>
        <v/>
      </c>
      <c r="N1715" s="42" t="str">
        <f>IF($J1715="Item",_xll.NL("first",$J1715,"Description","No.","@@"&amp;$K1715),"")</f>
        <v/>
      </c>
      <c r="O1715" s="43">
        <v>0</v>
      </c>
      <c r="P1715" s="43">
        <v>-144</v>
      </c>
      <c r="Q1715" s="43">
        <v>0</v>
      </c>
      <c r="R1715" s="43">
        <v>0</v>
      </c>
      <c r="S1715" s="43">
        <v>0</v>
      </c>
      <c r="T1715" s="43">
        <v>0</v>
      </c>
      <c r="U1715" s="56"/>
    </row>
    <row r="1716" spans="1:21" ht="17.25" customHeight="1" x14ac:dyDescent="0.3">
      <c r="A1716" s="15" t="s">
        <v>30</v>
      </c>
      <c r="C1716" s="19"/>
      <c r="D1716" s="33" t="str">
        <f t="shared" si="428"/>
        <v>S100007</v>
      </c>
      <c r="E1716" s="33"/>
      <c r="F1716" s="34"/>
      <c r="G1716" s="34" t="str">
        <f>"""NAV Direct"",""CRONUS JetCorp USA"",""32"",""1"",""128859"""</f>
        <v>"NAV Direct","CRONUS JetCorp USA","32","1","128859"</v>
      </c>
      <c r="H1716" s="40">
        <v>43471</v>
      </c>
      <c r="I1716" s="41">
        <v>128859</v>
      </c>
      <c r="J1716" s="42" t="str">
        <f>"Customer"</f>
        <v>Customer</v>
      </c>
      <c r="K1716" s="42" t="str">
        <f>"C100138"</f>
        <v>C100138</v>
      </c>
      <c r="L1716" s="42" t="str">
        <f>IF($J1716="Customer",_xll.NL("first",$J1716,"Name","No.","@@"&amp;$K1716),"")</f>
        <v>Dantons</v>
      </c>
      <c r="M1716" s="42" t="str">
        <f>""</f>
        <v/>
      </c>
      <c r="N1716" s="42" t="str">
        <f>IF($J1716="Item",_xll.NL("first",$J1716,"Description","No.","@@"&amp;$K1716),"")</f>
        <v/>
      </c>
      <c r="O1716" s="43">
        <v>0</v>
      </c>
      <c r="P1716" s="43">
        <v>-12</v>
      </c>
      <c r="Q1716" s="43">
        <v>0</v>
      </c>
      <c r="R1716" s="43">
        <v>0</v>
      </c>
      <c r="S1716" s="43">
        <v>0</v>
      </c>
      <c r="T1716" s="43">
        <v>0</v>
      </c>
      <c r="U1716" s="56"/>
    </row>
    <row r="1717" spans="1:21" ht="17.25" customHeight="1" x14ac:dyDescent="0.3">
      <c r="A1717" s="15" t="s">
        <v>30</v>
      </c>
      <c r="C1717" s="19"/>
      <c r="D1717" s="33" t="str">
        <f t="shared" si="428"/>
        <v>S100007</v>
      </c>
      <c r="E1717" s="33"/>
      <c r="F1717" s="34"/>
      <c r="G1717" s="34" t="str">
        <f>"""NAV Direct"",""CRONUS JetCorp USA"",""32"",""1"",""128869"""</f>
        <v>"NAV Direct","CRONUS JetCorp USA","32","1","128869"</v>
      </c>
      <c r="H1717" s="40">
        <v>43472</v>
      </c>
      <c r="I1717" s="41">
        <v>128869</v>
      </c>
      <c r="J1717" s="42" t="str">
        <f>"Customer"</f>
        <v>Customer</v>
      </c>
      <c r="K1717" s="42" t="str">
        <f>"C100105"</f>
        <v>C100105</v>
      </c>
      <c r="L1717" s="42" t="str">
        <f>IF($J1717="Customer",_xll.NL("first",$J1717,"Name","No.","@@"&amp;$K1717),"")</f>
        <v>Esystems</v>
      </c>
      <c r="M1717" s="42" t="str">
        <f>""</f>
        <v/>
      </c>
      <c r="N1717" s="42" t="str">
        <f>IF($J1717="Item",_xll.NL("first",$J1717,"Description","No.","@@"&amp;$K1717),"")</f>
        <v/>
      </c>
      <c r="O1717" s="43">
        <v>0</v>
      </c>
      <c r="P1717" s="43">
        <v>-144</v>
      </c>
      <c r="Q1717" s="43">
        <v>0</v>
      </c>
      <c r="R1717" s="43">
        <v>0</v>
      </c>
      <c r="S1717" s="43">
        <v>0</v>
      </c>
      <c r="T1717" s="43">
        <v>0</v>
      </c>
      <c r="U1717" s="56"/>
    </row>
    <row r="1718" spans="1:21" ht="17.25" customHeight="1" x14ac:dyDescent="0.3">
      <c r="A1718" s="15" t="s">
        <v>30</v>
      </c>
      <c r="C1718" s="19"/>
      <c r="D1718" s="33" t="str">
        <f t="shared" si="428"/>
        <v>S100007</v>
      </c>
      <c r="E1718" s="33"/>
      <c r="F1718" s="34"/>
      <c r="G1718" s="34" t="str">
        <f>"""NAV Direct"",""CRONUS JetCorp USA"",""32"",""1"",""20383"""</f>
        <v>"NAV Direct","CRONUS JetCorp USA","32","1","20383"</v>
      </c>
      <c r="H1718" s="40">
        <v>43473</v>
      </c>
      <c r="I1718" s="41">
        <v>20383</v>
      </c>
      <c r="J1718" s="42" t="str">
        <f>"Customer"</f>
        <v>Customer</v>
      </c>
      <c r="K1718" s="42" t="str">
        <f>"C100130"</f>
        <v>C100130</v>
      </c>
      <c r="L1718" s="42" t="str">
        <f>IF($J1718="Customer",_xll.NL("first",$J1718,"Name","No.","@@"&amp;$K1718),"")</f>
        <v>Hotspot Systems</v>
      </c>
      <c r="M1718" s="42" t="str">
        <f>""</f>
        <v/>
      </c>
      <c r="N1718" s="42" t="str">
        <f>IF($J1718="Item",_xll.NL("first",$J1718,"Description","No.","@@"&amp;$K1718),"")</f>
        <v/>
      </c>
      <c r="O1718" s="43">
        <v>0</v>
      </c>
      <c r="P1718" s="43">
        <v>-144</v>
      </c>
      <c r="Q1718" s="43">
        <v>0</v>
      </c>
      <c r="R1718" s="43">
        <v>0</v>
      </c>
      <c r="S1718" s="43">
        <v>0</v>
      </c>
      <c r="T1718" s="43">
        <v>0</v>
      </c>
      <c r="U1718" s="56"/>
    </row>
    <row r="1719" spans="1:21" ht="17.25" customHeight="1" x14ac:dyDescent="0.3">
      <c r="A1719" s="15" t="s">
        <v>30</v>
      </c>
      <c r="C1719" s="19"/>
      <c r="D1719" s="33" t="str">
        <f t="shared" si="428"/>
        <v>S100007</v>
      </c>
      <c r="E1719" s="33"/>
      <c r="F1719" s="34"/>
      <c r="G1719" s="34" t="str">
        <f>"""NAV Direct"",""CRONUS JetCorp USA"",""32"",""1"",""34309"""</f>
        <v>"NAV Direct","CRONUS JetCorp USA","32","1","34309"</v>
      </c>
      <c r="H1719" s="40">
        <v>43473</v>
      </c>
      <c r="I1719" s="41">
        <v>34309</v>
      </c>
      <c r="J1719" s="42" t="str">
        <f>"Customer"</f>
        <v>Customer</v>
      </c>
      <c r="K1719" s="42" t="str">
        <f>"C100059"</f>
        <v>C100059</v>
      </c>
      <c r="L1719" s="42" t="str">
        <f>IF($J1719="Customer",_xll.NL("first",$J1719,"Name","No.","@@"&amp;$K1719),"")</f>
        <v>Meersen Meubelen</v>
      </c>
      <c r="M1719" s="42" t="str">
        <f>""</f>
        <v/>
      </c>
      <c r="N1719" s="42" t="str">
        <f>IF($J1719="Item",_xll.NL("first",$J1719,"Description","No.","@@"&amp;$K1719),"")</f>
        <v/>
      </c>
      <c r="O1719" s="43">
        <v>0</v>
      </c>
      <c r="P1719" s="43">
        <v>-288</v>
      </c>
      <c r="Q1719" s="43">
        <v>0</v>
      </c>
      <c r="R1719" s="43">
        <v>0</v>
      </c>
      <c r="S1719" s="43">
        <v>0</v>
      </c>
      <c r="T1719" s="43">
        <v>0</v>
      </c>
      <c r="U1719" s="56"/>
    </row>
    <row r="1720" spans="1:21" ht="17.25" customHeight="1" x14ac:dyDescent="0.3">
      <c r="A1720" s="15" t="s">
        <v>30</v>
      </c>
      <c r="C1720" s="19"/>
      <c r="D1720" s="33" t="str">
        <f t="shared" si="428"/>
        <v>S100007</v>
      </c>
      <c r="E1720" s="33"/>
      <c r="F1720" s="34"/>
      <c r="G1720" s="34" t="str">
        <f>"""NAV Direct"",""CRONUS JetCorp USA"",""32"",""1"",""20353"""</f>
        <v>"NAV Direct","CRONUS JetCorp USA","32","1","20353"</v>
      </c>
      <c r="H1720" s="40">
        <v>43475</v>
      </c>
      <c r="I1720" s="41">
        <v>20353</v>
      </c>
      <c r="J1720" s="42" t="str">
        <f>"Customer"</f>
        <v>Customer</v>
      </c>
      <c r="K1720" s="42" t="str">
        <f>"C100097"</f>
        <v>C100097</v>
      </c>
      <c r="L1720" s="42" t="str">
        <f>IF($J1720="Customer",_xll.NL("first",$J1720,"Name","No.","@@"&amp;$K1720),"")</f>
        <v>Solotech</v>
      </c>
      <c r="M1720" s="42" t="str">
        <f>""</f>
        <v/>
      </c>
      <c r="N1720" s="42" t="str">
        <f>IF($J1720="Item",_xll.NL("first",$J1720,"Description","No.","@@"&amp;$K1720),"")</f>
        <v/>
      </c>
      <c r="O1720" s="43">
        <v>0</v>
      </c>
      <c r="P1720" s="43">
        <v>-144</v>
      </c>
      <c r="Q1720" s="43">
        <v>0</v>
      </c>
      <c r="R1720" s="43">
        <v>0</v>
      </c>
      <c r="S1720" s="43">
        <v>0</v>
      </c>
      <c r="T1720" s="43">
        <v>0</v>
      </c>
      <c r="U1720" s="56"/>
    </row>
    <row r="1721" spans="1:21" ht="17.25" customHeight="1" x14ac:dyDescent="0.3">
      <c r="A1721" s="15" t="s">
        <v>30</v>
      </c>
      <c r="C1721" s="19"/>
      <c r="D1721" s="33" t="str">
        <f t="shared" si="428"/>
        <v>S100007</v>
      </c>
      <c r="E1721" s="33"/>
      <c r="F1721" s="34"/>
      <c r="G1721" s="34" t="str">
        <f>"""NAV Direct"",""CRONUS JetCorp USA"",""32"",""1"",""34339"""</f>
        <v>"NAV Direct","CRONUS JetCorp USA","32","1","34339"</v>
      </c>
      <c r="H1721" s="40">
        <v>43475</v>
      </c>
      <c r="I1721" s="41">
        <v>34339</v>
      </c>
      <c r="J1721" s="42" t="str">
        <f>"Customer"</f>
        <v>Customer</v>
      </c>
      <c r="K1721" s="42" t="str">
        <f>"C100008"</f>
        <v>C100008</v>
      </c>
      <c r="L1721" s="42" t="str">
        <f>IF($J1721="Customer",_xll.NL("first",$J1721,"Name","No.","@@"&amp;$K1721),"")</f>
        <v>Blanemark Hifi Shop</v>
      </c>
      <c r="M1721" s="42" t="str">
        <f>""</f>
        <v/>
      </c>
      <c r="N1721" s="42" t="str">
        <f>IF($J1721="Item",_xll.NL("first",$J1721,"Description","No.","@@"&amp;$K1721),"")</f>
        <v/>
      </c>
      <c r="O1721" s="43">
        <v>0</v>
      </c>
      <c r="P1721" s="43">
        <v>-1</v>
      </c>
      <c r="Q1721" s="43">
        <v>0</v>
      </c>
      <c r="R1721" s="43">
        <v>0</v>
      </c>
      <c r="S1721" s="43">
        <v>0</v>
      </c>
      <c r="T1721" s="43">
        <v>0</v>
      </c>
      <c r="U1721" s="56"/>
    </row>
    <row r="1722" spans="1:21" ht="17.25" customHeight="1" x14ac:dyDescent="0.3">
      <c r="A1722" s="15" t="s">
        <v>30</v>
      </c>
      <c r="C1722" s="19"/>
      <c r="D1722" s="33" t="str">
        <f t="shared" si="428"/>
        <v>S100007</v>
      </c>
      <c r="E1722" s="33"/>
      <c r="F1722" s="34"/>
      <c r="G1722" s="34" t="str">
        <f>"""NAV Direct"",""CRONUS JetCorp USA"",""32"",""1"",""25277"""</f>
        <v>"NAV Direct","CRONUS JetCorp USA","32","1","25277"</v>
      </c>
      <c r="H1722" s="40">
        <v>43476</v>
      </c>
      <c r="I1722" s="41">
        <v>25277</v>
      </c>
      <c r="J1722" s="42" t="str">
        <f>"Customer"</f>
        <v>Customer</v>
      </c>
      <c r="K1722" s="42" t="str">
        <f>"C100102"</f>
        <v>C100102</v>
      </c>
      <c r="L1722" s="42" t="str">
        <f>IF($J1722="Customer",_xll.NL("first",$J1722,"Name","No.","@@"&amp;$K1722),"")</f>
        <v xml:space="preserve">BEI Outfitters </v>
      </c>
      <c r="M1722" s="42" t="str">
        <f>""</f>
        <v/>
      </c>
      <c r="N1722" s="42" t="str">
        <f>IF($J1722="Item",_xll.NL("first",$J1722,"Description","No.","@@"&amp;$K1722),"")</f>
        <v/>
      </c>
      <c r="O1722" s="43">
        <v>0</v>
      </c>
      <c r="P1722" s="43">
        <v>-1</v>
      </c>
      <c r="Q1722" s="43">
        <v>0</v>
      </c>
      <c r="R1722" s="43">
        <v>0</v>
      </c>
      <c r="S1722" s="43">
        <v>0</v>
      </c>
      <c r="T1722" s="43">
        <v>0</v>
      </c>
      <c r="U1722" s="56"/>
    </row>
    <row r="1723" spans="1:21" ht="17.25" customHeight="1" x14ac:dyDescent="0.3">
      <c r="A1723" s="15" t="s">
        <v>30</v>
      </c>
      <c r="C1723" s="19"/>
      <c r="D1723" s="33" t="str">
        <f t="shared" si="428"/>
        <v>S100007</v>
      </c>
      <c r="E1723" s="33"/>
      <c r="F1723" s="34"/>
      <c r="G1723" s="34" t="str">
        <f>"""NAV Direct"",""CRONUS JetCorp USA"",""32"",""1"",""25285"""</f>
        <v>"NAV Direct","CRONUS JetCorp USA","32","1","25285"</v>
      </c>
      <c r="H1723" s="40">
        <v>43477</v>
      </c>
      <c r="I1723" s="41">
        <v>25285</v>
      </c>
      <c r="J1723" s="42" t="str">
        <f>"Customer"</f>
        <v>Customer</v>
      </c>
      <c r="K1723" s="42" t="str">
        <f>"C100138"</f>
        <v>C100138</v>
      </c>
      <c r="L1723" s="42" t="str">
        <f>IF($J1723="Customer",_xll.NL("first",$J1723,"Name","No.","@@"&amp;$K1723),"")</f>
        <v>Dantons</v>
      </c>
      <c r="M1723" s="42" t="str">
        <f>""</f>
        <v/>
      </c>
      <c r="N1723" s="42" t="str">
        <f>IF($J1723="Item",_xll.NL("first",$J1723,"Description","No.","@@"&amp;$K1723),"")</f>
        <v/>
      </c>
      <c r="O1723" s="43">
        <v>0</v>
      </c>
      <c r="P1723" s="43">
        <v>-144</v>
      </c>
      <c r="Q1723" s="43">
        <v>0</v>
      </c>
      <c r="R1723" s="43">
        <v>0</v>
      </c>
      <c r="S1723" s="43">
        <v>0</v>
      </c>
      <c r="T1723" s="43">
        <v>0</v>
      </c>
      <c r="U1723" s="56"/>
    </row>
    <row r="1724" spans="1:21" ht="17.25" customHeight="1" x14ac:dyDescent="0.3">
      <c r="A1724" s="15" t="s">
        <v>30</v>
      </c>
      <c r="C1724" s="19"/>
      <c r="D1724" s="33"/>
      <c r="E1724" s="33"/>
      <c r="F1724" s="34"/>
      <c r="G1724" s="34"/>
      <c r="H1724" s="34"/>
      <c r="I1724" s="34"/>
      <c r="J1724" s="34"/>
      <c r="K1724" s="34"/>
      <c r="L1724" s="34"/>
      <c r="M1724" s="34"/>
      <c r="N1724" s="34"/>
      <c r="O1724" s="44"/>
      <c r="P1724" s="44"/>
      <c r="Q1724" s="44"/>
      <c r="R1724" s="44"/>
      <c r="S1724" s="44"/>
      <c r="T1724" s="44"/>
      <c r="U1724" s="57"/>
    </row>
    <row r="1725" spans="1:21" ht="17.25" customHeight="1" x14ac:dyDescent="0.3">
      <c r="A1725" s="15" t="s">
        <v>30</v>
      </c>
      <c r="C1725" s="19"/>
      <c r="D1725" s="33"/>
      <c r="E1725" s="33" t="s">
        <v>31</v>
      </c>
      <c r="F1725" s="34" t="s">
        <v>31</v>
      </c>
      <c r="G1725" s="34" t="s">
        <v>31</v>
      </c>
      <c r="H1725" s="34"/>
      <c r="I1725" s="34"/>
      <c r="J1725" s="34" t="s">
        <v>31</v>
      </c>
      <c r="K1725" s="34" t="s">
        <v>31</v>
      </c>
      <c r="L1725" s="34" t="s">
        <v>31</v>
      </c>
      <c r="M1725" s="34" t="s">
        <v>31</v>
      </c>
      <c r="N1725" s="34"/>
      <c r="U1725" s="58"/>
    </row>
    <row r="1726" spans="1:21" ht="20.25" customHeight="1" x14ac:dyDescent="0.35">
      <c r="A1726" s="15" t="s">
        <v>30</v>
      </c>
      <c r="C1726" s="19"/>
      <c r="D1726" s="35" t="str">
        <f t="shared" ref="D1726" si="429">E1726</f>
        <v>S100008</v>
      </c>
      <c r="E1726" s="36" t="str">
        <f>"S100008"</f>
        <v>S100008</v>
      </c>
      <c r="F1726" s="37" t="str">
        <f>"Soccer Figure Trophy"</f>
        <v>Soccer Figure Trophy</v>
      </c>
      <c r="G1726" s="37"/>
      <c r="H1726" s="38" t="str">
        <f>"EA"</f>
        <v>EA</v>
      </c>
      <c r="I1726" s="37"/>
      <c r="J1726" s="37"/>
      <c r="K1726" s="37"/>
      <c r="L1726" s="37"/>
      <c r="M1726" s="37"/>
      <c r="N1726" s="37"/>
      <c r="O1726" s="39">
        <f>(SUBTOTAL(9,O1727:O1746))</f>
        <v>4200</v>
      </c>
      <c r="P1726" s="39">
        <f>(SUBTOTAL(9,P1727:P1746))</f>
        <v>-1353</v>
      </c>
      <c r="Q1726" s="39">
        <f>(SUBTOTAL(9,Q1727:Q1746))</f>
        <v>0</v>
      </c>
      <c r="R1726" s="39">
        <f>(SUBTOTAL(9,R1727:R1746))</f>
        <v>0</v>
      </c>
      <c r="S1726" s="39">
        <f>(SUBTOTAL(9,S1727:S1746))</f>
        <v>0</v>
      </c>
      <c r="T1726" s="39">
        <f>(SUBTOTAL(9,T1727:T1746))</f>
        <v>0</v>
      </c>
      <c r="U1726" s="55">
        <f t="shared" ref="U1726" si="430">SUBTOTAL(9,O1727:T1746)</f>
        <v>2847</v>
      </c>
    </row>
    <row r="1727" spans="1:21" ht="17.25" customHeight="1" x14ac:dyDescent="0.3">
      <c r="A1727" s="15" t="s">
        <v>30</v>
      </c>
      <c r="C1727" s="19"/>
      <c r="D1727" s="33" t="str">
        <f t="shared" ref="D1727" si="431">D1726</f>
        <v>S100008</v>
      </c>
      <c r="E1727" s="33"/>
      <c r="F1727" s="34"/>
      <c r="G1727" s="34" t="str">
        <f>"""NAV Direct"",""CRONUS JetCorp USA"",""32"",""1"",""166336"""</f>
        <v>"NAV Direct","CRONUS JetCorp USA","32","1","166336"</v>
      </c>
      <c r="H1727" s="40">
        <v>43466</v>
      </c>
      <c r="I1727" s="41">
        <v>166336</v>
      </c>
      <c r="J1727" s="42" t="str">
        <f>"Vendor"</f>
        <v>Vendor</v>
      </c>
      <c r="K1727" s="42" t="str">
        <f>"V100040"</f>
        <v>V100040</v>
      </c>
      <c r="L1727" s="42" t="str">
        <f>IF($J1727="Customer",_xll.NL("first",$J1727,"Name","No.","@@"&amp;$K1727),"")</f>
        <v/>
      </c>
      <c r="M1727" s="42" t="str">
        <f>"Technische Betriebe Rotkreuz"</f>
        <v>Technische Betriebe Rotkreuz</v>
      </c>
      <c r="N1727" s="42" t="str">
        <f>IF($J1727="Item",_xll.NL("first",$J1727,"Description","No.","@@"&amp;$K1727),"")</f>
        <v/>
      </c>
      <c r="O1727" s="43">
        <v>900</v>
      </c>
      <c r="P1727" s="43">
        <v>0</v>
      </c>
      <c r="Q1727" s="43">
        <v>0</v>
      </c>
      <c r="R1727" s="43">
        <v>0</v>
      </c>
      <c r="S1727" s="43">
        <v>0</v>
      </c>
      <c r="T1727" s="43">
        <v>0</v>
      </c>
      <c r="U1727" s="56"/>
    </row>
    <row r="1728" spans="1:21" ht="17.25" customHeight="1" x14ac:dyDescent="0.3">
      <c r="A1728" s="15" t="s">
        <v>30</v>
      </c>
      <c r="C1728" s="19"/>
      <c r="D1728" s="33" t="str">
        <f t="shared" ref="D1728:D1745" si="432">D1727</f>
        <v>S100008</v>
      </c>
      <c r="E1728" s="33"/>
      <c r="F1728" s="34"/>
      <c r="G1728" s="34" t="str">
        <f>"""NAV Direct"",""CRONUS JetCorp USA"",""32"",""1"",""166356"""</f>
        <v>"NAV Direct","CRONUS JetCorp USA","32","1","166356"</v>
      </c>
      <c r="H1728" s="40">
        <v>43466</v>
      </c>
      <c r="I1728" s="41">
        <v>166356</v>
      </c>
      <c r="J1728" s="42" t="str">
        <f>"Vendor"</f>
        <v>Vendor</v>
      </c>
      <c r="K1728" s="42" t="str">
        <f>"V100007"</f>
        <v>V100007</v>
      </c>
      <c r="L1728" s="42" t="str">
        <f>IF($J1728="Customer",_xll.NL("first",$J1728,"Name","No.","@@"&amp;$K1728),"")</f>
        <v/>
      </c>
      <c r="M1728" s="42" t="str">
        <f>"TrendTech"</f>
        <v>TrendTech</v>
      </c>
      <c r="N1728" s="42" t="str">
        <f>IF($J1728="Item",_xll.NL("first",$J1728,"Description","No.","@@"&amp;$K1728),"")</f>
        <v/>
      </c>
      <c r="O1728" s="43">
        <v>300</v>
      </c>
      <c r="P1728" s="43">
        <v>0</v>
      </c>
      <c r="Q1728" s="43">
        <v>0</v>
      </c>
      <c r="R1728" s="43">
        <v>0</v>
      </c>
      <c r="S1728" s="43">
        <v>0</v>
      </c>
      <c r="T1728" s="43">
        <v>0</v>
      </c>
      <c r="U1728" s="56"/>
    </row>
    <row r="1729" spans="1:21" ht="17.25" customHeight="1" x14ac:dyDescent="0.3">
      <c r="A1729" s="15" t="s">
        <v>30</v>
      </c>
      <c r="C1729" s="19"/>
      <c r="D1729" s="33" t="str">
        <f t="shared" si="432"/>
        <v>S100008</v>
      </c>
      <c r="E1729" s="33"/>
      <c r="F1729" s="34"/>
      <c r="G1729" s="34" t="str">
        <f>"""NAV Direct"",""CRONUS JetCorp USA"",""32"",""1"",""166374"""</f>
        <v>"NAV Direct","CRONUS JetCorp USA","32","1","166374"</v>
      </c>
      <c r="H1729" s="40">
        <v>43466</v>
      </c>
      <c r="I1729" s="41">
        <v>166374</v>
      </c>
      <c r="J1729" s="42" t="str">
        <f>"Vendor"</f>
        <v>Vendor</v>
      </c>
      <c r="K1729" s="42" t="str">
        <f>"V100001"</f>
        <v>V100001</v>
      </c>
      <c r="L1729" s="42" t="str">
        <f>IF($J1729="Customer",_xll.NL("first",$J1729,"Name","No.","@@"&amp;$K1729),"")</f>
        <v/>
      </c>
      <c r="M1729" s="42" t="str">
        <f>"Greigner, Inc."</f>
        <v>Greigner, Inc.</v>
      </c>
      <c r="N1729" s="42" t="str">
        <f>IF($J1729="Item",_xll.NL("first",$J1729,"Description","No.","@@"&amp;$K1729),"")</f>
        <v/>
      </c>
      <c r="O1729" s="43">
        <v>2300</v>
      </c>
      <c r="P1729" s="43">
        <v>0</v>
      </c>
      <c r="Q1729" s="43">
        <v>0</v>
      </c>
      <c r="R1729" s="43">
        <v>0</v>
      </c>
      <c r="S1729" s="43">
        <v>0</v>
      </c>
      <c r="T1729" s="43">
        <v>0</v>
      </c>
      <c r="U1729" s="56"/>
    </row>
    <row r="1730" spans="1:21" ht="17.25" customHeight="1" x14ac:dyDescent="0.3">
      <c r="A1730" s="15" t="s">
        <v>30</v>
      </c>
      <c r="C1730" s="19"/>
      <c r="D1730" s="33" t="str">
        <f t="shared" si="432"/>
        <v>S100008</v>
      </c>
      <c r="E1730" s="33"/>
      <c r="F1730" s="34"/>
      <c r="G1730" s="34" t="str">
        <f>"""NAV Direct"",""CRONUS JetCorp USA"",""32"",""1"",""166391"""</f>
        <v>"NAV Direct","CRONUS JetCorp USA","32","1","166391"</v>
      </c>
      <c r="H1730" s="40">
        <v>43466</v>
      </c>
      <c r="I1730" s="41">
        <v>166391</v>
      </c>
      <c r="J1730" s="42" t="str">
        <f>"Vendor"</f>
        <v>Vendor</v>
      </c>
      <c r="K1730" s="42" t="str">
        <f>"V100047"</f>
        <v>V100047</v>
      </c>
      <c r="L1730" s="42" t="str">
        <f>IF($J1730="Customer",_xll.NL("first",$J1730,"Name","No.","@@"&amp;$K1730),"")</f>
        <v/>
      </c>
      <c r="M1730" s="42" t="str">
        <f>"WoodMart Supply Co."</f>
        <v>WoodMart Supply Co.</v>
      </c>
      <c r="N1730" s="42" t="str">
        <f>IF($J1730="Item",_xll.NL("first",$J1730,"Description","No.","@@"&amp;$K1730),"")</f>
        <v/>
      </c>
      <c r="O1730" s="43">
        <v>200</v>
      </c>
      <c r="P1730" s="43">
        <v>0</v>
      </c>
      <c r="Q1730" s="43">
        <v>0</v>
      </c>
      <c r="R1730" s="43">
        <v>0</v>
      </c>
      <c r="S1730" s="43">
        <v>0</v>
      </c>
      <c r="T1730" s="43">
        <v>0</v>
      </c>
      <c r="U1730" s="56"/>
    </row>
    <row r="1731" spans="1:21" ht="17.25" customHeight="1" x14ac:dyDescent="0.3">
      <c r="A1731" s="15" t="s">
        <v>30</v>
      </c>
      <c r="C1731" s="19"/>
      <c r="D1731" s="33" t="str">
        <f t="shared" si="432"/>
        <v>S100008</v>
      </c>
      <c r="E1731" s="33"/>
      <c r="F1731" s="34"/>
      <c r="G1731" s="34" t="str">
        <f>"""NAV Direct"",""CRONUS JetCorp USA"",""32"",""1"",""166403"""</f>
        <v>"NAV Direct","CRONUS JetCorp USA","32","1","166403"</v>
      </c>
      <c r="H1731" s="40">
        <v>43466</v>
      </c>
      <c r="I1731" s="41">
        <v>166403</v>
      </c>
      <c r="J1731" s="42" t="str">
        <f>"Vendor"</f>
        <v>Vendor</v>
      </c>
      <c r="K1731" s="42" t="str">
        <f>"V100003"</f>
        <v>V100003</v>
      </c>
      <c r="L1731" s="42" t="str">
        <f>IF($J1731="Customer",_xll.NL("first",$J1731,"Name","No.","@@"&amp;$K1731),"")</f>
        <v/>
      </c>
      <c r="M1731" s="42" t="str">
        <f>"LogoMasters"</f>
        <v>LogoMasters</v>
      </c>
      <c r="N1731" s="42" t="str">
        <f>IF($J1731="Item",_xll.NL("first",$J1731,"Description","No.","@@"&amp;$K1731),"")</f>
        <v/>
      </c>
      <c r="O1731" s="43">
        <v>300</v>
      </c>
      <c r="P1731" s="43">
        <v>0</v>
      </c>
      <c r="Q1731" s="43">
        <v>0</v>
      </c>
      <c r="R1731" s="43">
        <v>0</v>
      </c>
      <c r="S1731" s="43">
        <v>0</v>
      </c>
      <c r="T1731" s="43">
        <v>0</v>
      </c>
      <c r="U1731" s="56"/>
    </row>
    <row r="1732" spans="1:21" ht="17.25" customHeight="1" x14ac:dyDescent="0.3">
      <c r="A1732" s="15" t="s">
        <v>30</v>
      </c>
      <c r="C1732" s="19"/>
      <c r="D1732" s="33" t="str">
        <f t="shared" si="432"/>
        <v>S100008</v>
      </c>
      <c r="E1732" s="33"/>
      <c r="F1732" s="34"/>
      <c r="G1732" s="34" t="str">
        <f>"""NAV Direct"",""CRONUS JetCorp USA"",""32"",""1"",""166421"""</f>
        <v>"NAV Direct","CRONUS JetCorp USA","32","1","166421"</v>
      </c>
      <c r="H1732" s="40">
        <v>43466</v>
      </c>
      <c r="I1732" s="41">
        <v>166421</v>
      </c>
      <c r="J1732" s="42" t="str">
        <f>"Vendor"</f>
        <v>Vendor</v>
      </c>
      <c r="K1732" s="42" t="str">
        <f>"V100001"</f>
        <v>V100001</v>
      </c>
      <c r="L1732" s="42" t="str">
        <f>IF($J1732="Customer",_xll.NL("first",$J1732,"Name","No.","@@"&amp;$K1732),"")</f>
        <v/>
      </c>
      <c r="M1732" s="42" t="str">
        <f>"Greigner, Inc."</f>
        <v>Greigner, Inc.</v>
      </c>
      <c r="N1732" s="42" t="str">
        <f>IF($J1732="Item",_xll.NL("first",$J1732,"Description","No.","@@"&amp;$K1732),"")</f>
        <v/>
      </c>
      <c r="O1732" s="43">
        <v>200</v>
      </c>
      <c r="P1732" s="43">
        <v>0</v>
      </c>
      <c r="Q1732" s="43">
        <v>0</v>
      </c>
      <c r="R1732" s="43">
        <v>0</v>
      </c>
      <c r="S1732" s="43">
        <v>0</v>
      </c>
      <c r="T1732" s="43">
        <v>0</v>
      </c>
      <c r="U1732" s="56"/>
    </row>
    <row r="1733" spans="1:21" ht="17.25" customHeight="1" x14ac:dyDescent="0.3">
      <c r="A1733" s="15" t="s">
        <v>30</v>
      </c>
      <c r="C1733" s="19"/>
      <c r="D1733" s="33" t="str">
        <f t="shared" si="432"/>
        <v>S100008</v>
      </c>
      <c r="E1733" s="33"/>
      <c r="F1733" s="34"/>
      <c r="G1733" s="34" t="str">
        <f>"""NAV Direct"",""CRONUS JetCorp USA"",""32"",""1"",""124512"""</f>
        <v>"NAV Direct","CRONUS JetCorp USA","32","1","124512"</v>
      </c>
      <c r="H1733" s="40">
        <v>43470</v>
      </c>
      <c r="I1733" s="41">
        <v>124512</v>
      </c>
      <c r="J1733" s="42" t="str">
        <f>"Customer"</f>
        <v>Customer</v>
      </c>
      <c r="K1733" s="42" t="str">
        <f>"C100025"</f>
        <v>C100025</v>
      </c>
      <c r="L1733" s="42" t="str">
        <f>IF($J1733="Customer",_xll.NL("first",$J1733,"Name","No.","@@"&amp;$K1733),"")</f>
        <v>Derringers Resturants</v>
      </c>
      <c r="M1733" s="42" t="str">
        <f>""</f>
        <v/>
      </c>
      <c r="N1733" s="42" t="str">
        <f>IF($J1733="Item",_xll.NL("first",$J1733,"Description","No.","@@"&amp;$K1733),"")</f>
        <v/>
      </c>
      <c r="O1733" s="43">
        <v>0</v>
      </c>
      <c r="P1733" s="43">
        <v>-144</v>
      </c>
      <c r="Q1733" s="43">
        <v>0</v>
      </c>
      <c r="R1733" s="43">
        <v>0</v>
      </c>
      <c r="S1733" s="43">
        <v>0</v>
      </c>
      <c r="T1733" s="43">
        <v>0</v>
      </c>
      <c r="U1733" s="56"/>
    </row>
    <row r="1734" spans="1:21" ht="17.25" customHeight="1" x14ac:dyDescent="0.3">
      <c r="A1734" s="15" t="s">
        <v>30</v>
      </c>
      <c r="C1734" s="19"/>
      <c r="D1734" s="33" t="str">
        <f t="shared" si="432"/>
        <v>S100008</v>
      </c>
      <c r="E1734" s="33"/>
      <c r="F1734" s="34"/>
      <c r="G1734" s="34" t="str">
        <f>"""NAV Direct"",""CRONUS JetCorp USA"",""32"",""1"",""132517"""</f>
        <v>"NAV Direct","CRONUS JetCorp USA","32","1","132517"</v>
      </c>
      <c r="H1734" s="40">
        <v>43470</v>
      </c>
      <c r="I1734" s="41">
        <v>132517</v>
      </c>
      <c r="J1734" s="42" t="str">
        <f>"Customer"</f>
        <v>Customer</v>
      </c>
      <c r="K1734" s="42" t="str">
        <f>"C100029"</f>
        <v>C100029</v>
      </c>
      <c r="L1734" s="42" t="str">
        <f>IF($J1734="Customer",_xll.NL("first",$J1734,"Name","No.","@@"&amp;$K1734),"")</f>
        <v>Elkhorn Airport</v>
      </c>
      <c r="M1734" s="42" t="str">
        <f>""</f>
        <v/>
      </c>
      <c r="N1734" s="42" t="str">
        <f>IF($J1734="Item",_xll.NL("first",$J1734,"Description","No.","@@"&amp;$K1734),"")</f>
        <v/>
      </c>
      <c r="O1734" s="43">
        <v>0</v>
      </c>
      <c r="P1734" s="43">
        <v>-1</v>
      </c>
      <c r="Q1734" s="43">
        <v>0</v>
      </c>
      <c r="R1734" s="43">
        <v>0</v>
      </c>
      <c r="S1734" s="43">
        <v>0</v>
      </c>
      <c r="T1734" s="43">
        <v>0</v>
      </c>
      <c r="U1734" s="56"/>
    </row>
    <row r="1735" spans="1:21" ht="17.25" customHeight="1" x14ac:dyDescent="0.3">
      <c r="A1735" s="15" t="s">
        <v>30</v>
      </c>
      <c r="C1735" s="19"/>
      <c r="D1735" s="33" t="str">
        <f t="shared" si="432"/>
        <v>S100008</v>
      </c>
      <c r="E1735" s="33"/>
      <c r="F1735" s="34"/>
      <c r="G1735" s="34" t="str">
        <f>"""NAV Direct"",""CRONUS JetCorp USA"",""32"",""1"",""30033"""</f>
        <v>"NAV Direct","CRONUS JetCorp USA","32","1","30033"</v>
      </c>
      <c r="H1735" s="40">
        <v>43471</v>
      </c>
      <c r="I1735" s="41">
        <v>30033</v>
      </c>
      <c r="J1735" s="42" t="str">
        <f>"Customer"</f>
        <v>Customer</v>
      </c>
      <c r="K1735" s="42" t="str">
        <f>"C100012"</f>
        <v>C100012</v>
      </c>
      <c r="L1735" s="42" t="str">
        <f>IF($J1735="Customer",_xll.NL("first",$J1735,"Name","No.","@@"&amp;$K1735),"")</f>
        <v>Bainbridges</v>
      </c>
      <c r="M1735" s="42" t="str">
        <f>""</f>
        <v/>
      </c>
      <c r="N1735" s="42" t="str">
        <f>IF($J1735="Item",_xll.NL("first",$J1735,"Description","No.","@@"&amp;$K1735),"")</f>
        <v/>
      </c>
      <c r="O1735" s="43">
        <v>0</v>
      </c>
      <c r="P1735" s="43">
        <v>-144</v>
      </c>
      <c r="Q1735" s="43">
        <v>0</v>
      </c>
      <c r="R1735" s="43">
        <v>0</v>
      </c>
      <c r="S1735" s="43">
        <v>0</v>
      </c>
      <c r="T1735" s="43">
        <v>0</v>
      </c>
      <c r="U1735" s="56"/>
    </row>
    <row r="1736" spans="1:21" ht="17.25" customHeight="1" x14ac:dyDescent="0.3">
      <c r="A1736" s="15" t="s">
        <v>30</v>
      </c>
      <c r="C1736" s="19"/>
      <c r="D1736" s="33" t="str">
        <f t="shared" si="432"/>
        <v>S100008</v>
      </c>
      <c r="E1736" s="33"/>
      <c r="F1736" s="34"/>
      <c r="G1736" s="34" t="str">
        <f>"""NAV Direct"",""CRONUS JetCorp USA"",""32"",""1"",""38074"""</f>
        <v>"NAV Direct","CRONUS JetCorp USA","32","1","38074"</v>
      </c>
      <c r="H1736" s="40">
        <v>43471</v>
      </c>
      <c r="I1736" s="41">
        <v>38074</v>
      </c>
      <c r="J1736" s="42" t="str">
        <f>"Customer"</f>
        <v>Customer</v>
      </c>
      <c r="K1736" s="42" t="str">
        <f>"C100013"</f>
        <v>C100013</v>
      </c>
      <c r="L1736" s="42" t="str">
        <f>IF($J1736="Customer",_xll.NL("first",$J1736,"Name","No.","@@"&amp;$K1736),"")</f>
        <v>Candoxy Kontor A/S</v>
      </c>
      <c r="M1736" s="42" t="str">
        <f>""</f>
        <v/>
      </c>
      <c r="N1736" s="42" t="str">
        <f>IF($J1736="Item",_xll.NL("first",$J1736,"Description","No.","@@"&amp;$K1736),"")</f>
        <v/>
      </c>
      <c r="O1736" s="43">
        <v>0</v>
      </c>
      <c r="P1736" s="43">
        <v>-144</v>
      </c>
      <c r="Q1736" s="43">
        <v>0</v>
      </c>
      <c r="R1736" s="43">
        <v>0</v>
      </c>
      <c r="S1736" s="43">
        <v>0</v>
      </c>
      <c r="T1736" s="43">
        <v>0</v>
      </c>
      <c r="U1736" s="56"/>
    </row>
    <row r="1737" spans="1:21" ht="17.25" customHeight="1" x14ac:dyDescent="0.3">
      <c r="A1737" s="15" t="s">
        <v>30</v>
      </c>
      <c r="C1737" s="19"/>
      <c r="D1737" s="33" t="str">
        <f t="shared" si="432"/>
        <v>S100008</v>
      </c>
      <c r="E1737" s="33"/>
      <c r="F1737" s="34"/>
      <c r="G1737" s="34" t="str">
        <f>"""NAV Direct"",""CRONUS JetCorp USA"",""32"",""1"",""128852"""</f>
        <v>"NAV Direct","CRONUS JetCorp USA","32","1","128852"</v>
      </c>
      <c r="H1737" s="40">
        <v>43471</v>
      </c>
      <c r="I1737" s="41">
        <v>128852</v>
      </c>
      <c r="J1737" s="42" t="str">
        <f>"Customer"</f>
        <v>Customer</v>
      </c>
      <c r="K1737" s="42" t="str">
        <f>"C100138"</f>
        <v>C100138</v>
      </c>
      <c r="L1737" s="42" t="str">
        <f>IF($J1737="Customer",_xll.NL("first",$J1737,"Name","No.","@@"&amp;$K1737),"")</f>
        <v>Dantons</v>
      </c>
      <c r="M1737" s="42" t="str">
        <f>""</f>
        <v/>
      </c>
      <c r="N1737" s="42" t="str">
        <f>IF($J1737="Item",_xll.NL("first",$J1737,"Description","No.","@@"&amp;$K1737),"")</f>
        <v/>
      </c>
      <c r="O1737" s="43">
        <v>0</v>
      </c>
      <c r="P1737" s="43">
        <v>-150</v>
      </c>
      <c r="Q1737" s="43">
        <v>0</v>
      </c>
      <c r="R1737" s="43">
        <v>0</v>
      </c>
      <c r="S1737" s="43">
        <v>0</v>
      </c>
      <c r="T1737" s="43">
        <v>0</v>
      </c>
      <c r="U1737" s="56"/>
    </row>
    <row r="1738" spans="1:21" ht="17.25" customHeight="1" x14ac:dyDescent="0.3">
      <c r="A1738" s="15" t="s">
        <v>30</v>
      </c>
      <c r="C1738" s="19"/>
      <c r="D1738" s="33" t="str">
        <f t="shared" si="432"/>
        <v>S100008</v>
      </c>
      <c r="E1738" s="33"/>
      <c r="F1738" s="34"/>
      <c r="G1738" s="34" t="str">
        <f>"""NAV Direct"",""CRONUS JetCorp USA"",""32"",""1"",""128870"""</f>
        <v>"NAV Direct","CRONUS JetCorp USA","32","1","128870"</v>
      </c>
      <c r="H1738" s="40">
        <v>43472</v>
      </c>
      <c r="I1738" s="41">
        <v>128870</v>
      </c>
      <c r="J1738" s="42" t="str">
        <f>"Customer"</f>
        <v>Customer</v>
      </c>
      <c r="K1738" s="42" t="str">
        <f>"C100105"</f>
        <v>C100105</v>
      </c>
      <c r="L1738" s="42" t="str">
        <f>IF($J1738="Customer",_xll.NL("first",$J1738,"Name","No.","@@"&amp;$K1738),"")</f>
        <v>Esystems</v>
      </c>
      <c r="M1738" s="42" t="str">
        <f>""</f>
        <v/>
      </c>
      <c r="N1738" s="42" t="str">
        <f>IF($J1738="Item",_xll.NL("first",$J1738,"Description","No.","@@"&amp;$K1738),"")</f>
        <v/>
      </c>
      <c r="O1738" s="43">
        <v>0</v>
      </c>
      <c r="P1738" s="43">
        <v>-144</v>
      </c>
      <c r="Q1738" s="43">
        <v>0</v>
      </c>
      <c r="R1738" s="43">
        <v>0</v>
      </c>
      <c r="S1738" s="43">
        <v>0</v>
      </c>
      <c r="T1738" s="43">
        <v>0</v>
      </c>
      <c r="U1738" s="56"/>
    </row>
    <row r="1739" spans="1:21" ht="17.25" customHeight="1" x14ac:dyDescent="0.3">
      <c r="A1739" s="15" t="s">
        <v>30</v>
      </c>
      <c r="C1739" s="19"/>
      <c r="D1739" s="33" t="str">
        <f t="shared" si="432"/>
        <v>S100008</v>
      </c>
      <c r="E1739" s="33"/>
      <c r="F1739" s="34"/>
      <c r="G1739" s="34" t="str">
        <f>"""NAV Direct"",""CRONUS JetCorp USA"",""32"",""1"",""36494"""</f>
        <v>"NAV Direct","CRONUS JetCorp USA","32","1","36494"</v>
      </c>
      <c r="H1739" s="40">
        <v>43474</v>
      </c>
      <c r="I1739" s="41">
        <v>36494</v>
      </c>
      <c r="J1739" s="42" t="str">
        <f>"Customer"</f>
        <v>Customer</v>
      </c>
      <c r="K1739" s="42" t="str">
        <f>"C100092"</f>
        <v>C100092</v>
      </c>
      <c r="L1739" s="42" t="str">
        <f>IF($J1739="Customer",_xll.NL("first",$J1739,"Name","No.","@@"&amp;$K1739),"")</f>
        <v>Zuni Home Crafts Ltd.</v>
      </c>
      <c r="M1739" s="42" t="str">
        <f>""</f>
        <v/>
      </c>
      <c r="N1739" s="42" t="str">
        <f>IF($J1739="Item",_xll.NL("first",$J1739,"Description","No.","@@"&amp;$K1739),"")</f>
        <v/>
      </c>
      <c r="O1739" s="43">
        <v>0</v>
      </c>
      <c r="P1739" s="43">
        <v>-144</v>
      </c>
      <c r="Q1739" s="43">
        <v>0</v>
      </c>
      <c r="R1739" s="43">
        <v>0</v>
      </c>
      <c r="S1739" s="43">
        <v>0</v>
      </c>
      <c r="T1739" s="43">
        <v>0</v>
      </c>
      <c r="U1739" s="56"/>
    </row>
    <row r="1740" spans="1:21" ht="17.25" customHeight="1" x14ac:dyDescent="0.3">
      <c r="A1740" s="15" t="s">
        <v>30</v>
      </c>
      <c r="C1740" s="19"/>
      <c r="D1740" s="33" t="str">
        <f t="shared" si="432"/>
        <v>S100008</v>
      </c>
      <c r="E1740" s="33"/>
      <c r="F1740" s="34"/>
      <c r="G1740" s="34" t="str">
        <f>"""NAV Direct"",""CRONUS JetCorp USA"",""32"",""1"",""20355"""</f>
        <v>"NAV Direct","CRONUS JetCorp USA","32","1","20355"</v>
      </c>
      <c r="H1740" s="40">
        <v>43475</v>
      </c>
      <c r="I1740" s="41">
        <v>20355</v>
      </c>
      <c r="J1740" s="42" t="str">
        <f>"Customer"</f>
        <v>Customer</v>
      </c>
      <c r="K1740" s="42" t="str">
        <f>"C100097"</f>
        <v>C100097</v>
      </c>
      <c r="L1740" s="42" t="str">
        <f>IF($J1740="Customer",_xll.NL("first",$J1740,"Name","No.","@@"&amp;$K1740),"")</f>
        <v>Solotech</v>
      </c>
      <c r="M1740" s="42" t="str">
        <f>""</f>
        <v/>
      </c>
      <c r="N1740" s="42" t="str">
        <f>IF($J1740="Item",_xll.NL("first",$J1740,"Description","No.","@@"&amp;$K1740),"")</f>
        <v/>
      </c>
      <c r="O1740" s="43">
        <v>0</v>
      </c>
      <c r="P1740" s="43">
        <v>-144</v>
      </c>
      <c r="Q1740" s="43">
        <v>0</v>
      </c>
      <c r="R1740" s="43">
        <v>0</v>
      </c>
      <c r="S1740" s="43">
        <v>0</v>
      </c>
      <c r="T1740" s="43">
        <v>0</v>
      </c>
      <c r="U1740" s="56"/>
    </row>
    <row r="1741" spans="1:21" ht="17.25" customHeight="1" x14ac:dyDescent="0.3">
      <c r="A1741" s="15" t="s">
        <v>30</v>
      </c>
      <c r="C1741" s="19"/>
      <c r="D1741" s="33" t="str">
        <f t="shared" si="432"/>
        <v>S100008</v>
      </c>
      <c r="E1741" s="33"/>
      <c r="F1741" s="34"/>
      <c r="G1741" s="34" t="str">
        <f>"""NAV Direct"",""CRONUS JetCorp USA"",""32"",""1"",""124589"""</f>
        <v>"NAV Direct","CRONUS JetCorp USA","32","1","124589"</v>
      </c>
      <c r="H1741" s="40">
        <v>43475</v>
      </c>
      <c r="I1741" s="41">
        <v>124589</v>
      </c>
      <c r="J1741" s="42" t="str">
        <f>"Customer"</f>
        <v>Customer</v>
      </c>
      <c r="K1741" s="42" t="str">
        <f>"C100035"</f>
        <v>C100035</v>
      </c>
      <c r="L1741" s="42" t="str">
        <f>IF($J1741="Customer",_xll.NL("first",$J1741,"Name","No.","@@"&amp;$K1741),"")</f>
        <v>First Touch Marketing</v>
      </c>
      <c r="M1741" s="42" t="str">
        <f>""</f>
        <v/>
      </c>
      <c r="N1741" s="42" t="str">
        <f>IF($J1741="Item",_xll.NL("first",$J1741,"Description","No.","@@"&amp;$K1741),"")</f>
        <v/>
      </c>
      <c r="O1741" s="43">
        <v>0</v>
      </c>
      <c r="P1741" s="43">
        <v>-144</v>
      </c>
      <c r="Q1741" s="43">
        <v>0</v>
      </c>
      <c r="R1741" s="43">
        <v>0</v>
      </c>
      <c r="S1741" s="43">
        <v>0</v>
      </c>
      <c r="T1741" s="43">
        <v>0</v>
      </c>
      <c r="U1741" s="56"/>
    </row>
    <row r="1742" spans="1:21" ht="17.25" customHeight="1" x14ac:dyDescent="0.3">
      <c r="A1742" s="15" t="s">
        <v>30</v>
      </c>
      <c r="C1742" s="19"/>
      <c r="D1742" s="33" t="str">
        <f t="shared" si="432"/>
        <v>S100008</v>
      </c>
      <c r="E1742" s="33"/>
      <c r="F1742" s="34"/>
      <c r="G1742" s="34" t="str">
        <f>"""NAV Direct"",""CRONUS JetCorp USA"",""32"",""1"",""128888"""</f>
        <v>"NAV Direct","CRONUS JetCorp USA","32","1","128888"</v>
      </c>
      <c r="H1742" s="40">
        <v>43475</v>
      </c>
      <c r="I1742" s="41">
        <v>128888</v>
      </c>
      <c r="J1742" s="42" t="str">
        <f>"Customer"</f>
        <v>Customer</v>
      </c>
      <c r="K1742" s="42" t="str">
        <f>"C100095"</f>
        <v>C100095</v>
      </c>
      <c r="L1742" s="42" t="str">
        <f>IF($J1742="Customer",_xll.NL("first",$J1742,"Name","No.","@@"&amp;$K1742),"")</f>
        <v>Randotax Outfitters</v>
      </c>
      <c r="M1742" s="42" t="str">
        <f>""</f>
        <v/>
      </c>
      <c r="N1742" s="42" t="str">
        <f>IF($J1742="Item",_xll.NL("first",$J1742,"Description","No.","@@"&amp;$K1742),"")</f>
        <v/>
      </c>
      <c r="O1742" s="43">
        <v>0</v>
      </c>
      <c r="P1742" s="43">
        <v>-1</v>
      </c>
      <c r="Q1742" s="43">
        <v>0</v>
      </c>
      <c r="R1742" s="43">
        <v>0</v>
      </c>
      <c r="S1742" s="43">
        <v>0</v>
      </c>
      <c r="T1742" s="43">
        <v>0</v>
      </c>
      <c r="U1742" s="56"/>
    </row>
    <row r="1743" spans="1:21" ht="17.25" customHeight="1" x14ac:dyDescent="0.3">
      <c r="A1743" s="15" t="s">
        <v>30</v>
      </c>
      <c r="C1743" s="19"/>
      <c r="D1743" s="33" t="str">
        <f t="shared" si="432"/>
        <v>S100008</v>
      </c>
      <c r="E1743" s="33"/>
      <c r="F1743" s="34"/>
      <c r="G1743" s="34" t="str">
        <f>"""NAV Direct"",""CRONUS JetCorp USA"",""32"",""1"",""20402"""</f>
        <v>"NAV Direct","CRONUS JetCorp USA","32","1","20402"</v>
      </c>
      <c r="H1743" s="40">
        <v>43477</v>
      </c>
      <c r="I1743" s="41">
        <v>20402</v>
      </c>
      <c r="J1743" s="42" t="str">
        <f>"Customer"</f>
        <v>Customer</v>
      </c>
      <c r="K1743" s="42" t="str">
        <f>"C100039"</f>
        <v>C100039</v>
      </c>
      <c r="L1743" s="42" t="str">
        <f>IF($J1743="Customer",_xll.NL("first",$J1743,"Name","No.","@@"&amp;$K1743),"")</f>
        <v>Gary's Sports</v>
      </c>
      <c r="M1743" s="42" t="str">
        <f>""</f>
        <v/>
      </c>
      <c r="N1743" s="42" t="str">
        <f>IF($J1743="Item",_xll.NL("first",$J1743,"Description","No.","@@"&amp;$K1743),"")</f>
        <v/>
      </c>
      <c r="O1743" s="43">
        <v>0</v>
      </c>
      <c r="P1743" s="43">
        <v>-144</v>
      </c>
      <c r="Q1743" s="43">
        <v>0</v>
      </c>
      <c r="R1743" s="43">
        <v>0</v>
      </c>
      <c r="S1743" s="43">
        <v>0</v>
      </c>
      <c r="T1743" s="43">
        <v>0</v>
      </c>
      <c r="U1743" s="56"/>
    </row>
    <row r="1744" spans="1:21" ht="17.25" customHeight="1" x14ac:dyDescent="0.3">
      <c r="A1744" s="15" t="s">
        <v>30</v>
      </c>
      <c r="C1744" s="19"/>
      <c r="D1744" s="33" t="str">
        <f t="shared" si="432"/>
        <v>S100008</v>
      </c>
      <c r="E1744" s="33"/>
      <c r="F1744" s="34"/>
      <c r="G1744" s="34" t="str">
        <f>"""NAV Direct"",""CRONUS JetCorp USA"",""32"",""1"",""25295"""</f>
        <v>"NAV Direct","CRONUS JetCorp USA","32","1","25295"</v>
      </c>
      <c r="H1744" s="40">
        <v>43477</v>
      </c>
      <c r="I1744" s="41">
        <v>25295</v>
      </c>
      <c r="J1744" s="42" t="str">
        <f>"Customer"</f>
        <v>Customer</v>
      </c>
      <c r="K1744" s="42" t="str">
        <f>"C100138"</f>
        <v>C100138</v>
      </c>
      <c r="L1744" s="42" t="str">
        <f>IF($J1744="Customer",_xll.NL("first",$J1744,"Name","No.","@@"&amp;$K1744),"")</f>
        <v>Dantons</v>
      </c>
      <c r="M1744" s="42" t="str">
        <f>""</f>
        <v/>
      </c>
      <c r="N1744" s="42" t="str">
        <f>IF($J1744="Item",_xll.NL("first",$J1744,"Description","No.","@@"&amp;$K1744),"")</f>
        <v/>
      </c>
      <c r="O1744" s="43">
        <v>0</v>
      </c>
      <c r="P1744" s="43">
        <v>-48</v>
      </c>
      <c r="Q1744" s="43">
        <v>0</v>
      </c>
      <c r="R1744" s="43">
        <v>0</v>
      </c>
      <c r="S1744" s="43">
        <v>0</v>
      </c>
      <c r="T1744" s="43">
        <v>0</v>
      </c>
      <c r="U1744" s="56"/>
    </row>
    <row r="1745" spans="1:21" ht="17.25" customHeight="1" x14ac:dyDescent="0.3">
      <c r="A1745" s="15" t="s">
        <v>30</v>
      </c>
      <c r="C1745" s="19"/>
      <c r="D1745" s="33" t="str">
        <f t="shared" si="432"/>
        <v>S100008</v>
      </c>
      <c r="E1745" s="33"/>
      <c r="F1745" s="34"/>
      <c r="G1745" s="34" t="str">
        <f>"""NAV Direct"",""CRONUS JetCorp USA"",""32"",""1"",""132531"""</f>
        <v>"NAV Direct","CRONUS JetCorp USA","32","1","132531"</v>
      </c>
      <c r="H1745" s="40">
        <v>43477</v>
      </c>
      <c r="I1745" s="41">
        <v>132531</v>
      </c>
      <c r="J1745" s="42" t="str">
        <f>"Customer"</f>
        <v>Customer</v>
      </c>
      <c r="K1745" s="42" t="str">
        <f>"C100082"</f>
        <v>C100082</v>
      </c>
      <c r="L1745" s="42" t="str">
        <f>IF($J1745="Customer",_xll.NL("first",$J1745,"Name","No.","@@"&amp;$K1745),"")</f>
        <v>Sporting Goods Emporium</v>
      </c>
      <c r="M1745" s="42" t="str">
        <f>""</f>
        <v/>
      </c>
      <c r="N1745" s="42" t="str">
        <f>IF($J1745="Item",_xll.NL("first",$J1745,"Description","No.","@@"&amp;$K1745),"")</f>
        <v/>
      </c>
      <c r="O1745" s="43">
        <v>0</v>
      </c>
      <c r="P1745" s="43">
        <v>-1</v>
      </c>
      <c r="Q1745" s="43">
        <v>0</v>
      </c>
      <c r="R1745" s="43">
        <v>0</v>
      </c>
      <c r="S1745" s="43">
        <v>0</v>
      </c>
      <c r="T1745" s="43">
        <v>0</v>
      </c>
      <c r="U1745" s="56"/>
    </row>
    <row r="1746" spans="1:21" ht="17.25" customHeight="1" x14ac:dyDescent="0.3">
      <c r="A1746" s="15" t="s">
        <v>30</v>
      </c>
      <c r="C1746" s="19"/>
      <c r="D1746" s="33"/>
      <c r="E1746" s="33"/>
      <c r="F1746" s="34"/>
      <c r="G1746" s="34"/>
      <c r="H1746" s="34"/>
      <c r="I1746" s="34"/>
      <c r="J1746" s="34"/>
      <c r="K1746" s="34"/>
      <c r="L1746" s="34"/>
      <c r="M1746" s="34"/>
      <c r="N1746" s="34"/>
      <c r="O1746" s="44"/>
      <c r="P1746" s="44"/>
      <c r="Q1746" s="44"/>
      <c r="R1746" s="44"/>
      <c r="S1746" s="44"/>
      <c r="T1746" s="44"/>
      <c r="U1746" s="57"/>
    </row>
    <row r="1747" spans="1:21" ht="17.25" customHeight="1" x14ac:dyDescent="0.3">
      <c r="A1747" s="15" t="s">
        <v>30</v>
      </c>
      <c r="C1747" s="19"/>
      <c r="D1747" s="33"/>
      <c r="E1747" s="33" t="s">
        <v>31</v>
      </c>
      <c r="F1747" s="34" t="s">
        <v>31</v>
      </c>
      <c r="G1747" s="34" t="s">
        <v>31</v>
      </c>
      <c r="H1747" s="34"/>
      <c r="I1747" s="34"/>
      <c r="J1747" s="34" t="s">
        <v>31</v>
      </c>
      <c r="K1747" s="34" t="s">
        <v>31</v>
      </c>
      <c r="L1747" s="34" t="s">
        <v>31</v>
      </c>
      <c r="M1747" s="34" t="s">
        <v>31</v>
      </c>
      <c r="N1747" s="34"/>
      <c r="U1747" s="58"/>
    </row>
    <row r="1748" spans="1:21" ht="20.25" customHeight="1" x14ac:dyDescent="0.35">
      <c r="A1748" s="15" t="s">
        <v>30</v>
      </c>
      <c r="C1748" s="19"/>
      <c r="D1748" s="35" t="str">
        <f t="shared" ref="D1748" si="433">E1748</f>
        <v>S100009</v>
      </c>
      <c r="E1748" s="36" t="str">
        <f>"S100009"</f>
        <v>S100009</v>
      </c>
      <c r="F1748" s="37" t="str">
        <f>"Engraved Basketball Award"</f>
        <v>Engraved Basketball Award</v>
      </c>
      <c r="G1748" s="37"/>
      <c r="H1748" s="38" t="str">
        <f>"EA"</f>
        <v>EA</v>
      </c>
      <c r="I1748" s="37"/>
      <c r="J1748" s="37"/>
      <c r="K1748" s="37"/>
      <c r="L1748" s="37"/>
      <c r="M1748" s="37"/>
      <c r="N1748" s="37"/>
      <c r="O1748" s="39">
        <f>(SUBTOTAL(9,O1749:O1764))</f>
        <v>2800</v>
      </c>
      <c r="P1748" s="39">
        <f>(SUBTOTAL(9,P1749:P1764))</f>
        <v>-1440</v>
      </c>
      <c r="Q1748" s="39">
        <f>(SUBTOTAL(9,Q1749:Q1764))</f>
        <v>0</v>
      </c>
      <c r="R1748" s="39">
        <f>(SUBTOTAL(9,R1749:R1764))</f>
        <v>0</v>
      </c>
      <c r="S1748" s="39">
        <f>(SUBTOTAL(9,S1749:S1764))</f>
        <v>0</v>
      </c>
      <c r="T1748" s="39">
        <f>(SUBTOTAL(9,T1749:T1764))</f>
        <v>0</v>
      </c>
      <c r="U1748" s="55">
        <f t="shared" ref="U1748" si="434">SUBTOTAL(9,O1749:T1764)</f>
        <v>1360</v>
      </c>
    </row>
    <row r="1749" spans="1:21" ht="17.25" customHeight="1" x14ac:dyDescent="0.3">
      <c r="A1749" s="15" t="s">
        <v>30</v>
      </c>
      <c r="C1749" s="19"/>
      <c r="D1749" s="33" t="str">
        <f t="shared" ref="D1749" si="435">D1748</f>
        <v>S100009</v>
      </c>
      <c r="E1749" s="33"/>
      <c r="F1749" s="34"/>
      <c r="G1749" s="34" t="str">
        <f>"""NAV Direct"",""CRONUS JetCorp USA"",""32"",""1"",""166321"""</f>
        <v>"NAV Direct","CRONUS JetCorp USA","32","1","166321"</v>
      </c>
      <c r="H1749" s="40">
        <v>43466</v>
      </c>
      <c r="I1749" s="41">
        <v>166321</v>
      </c>
      <c r="J1749" s="42" t="str">
        <f>"Vendor"</f>
        <v>Vendor</v>
      </c>
      <c r="K1749" s="42" t="str">
        <f>"V100009"</f>
        <v>V100009</v>
      </c>
      <c r="L1749" s="42" t="str">
        <f>IF($J1749="Customer",_xll.NL("first",$J1749,"Name","No.","@@"&amp;$K1749),"")</f>
        <v/>
      </c>
      <c r="M1749" s="42" t="str">
        <f>"Malay-Dan Export Unit Sdn Bhd"</f>
        <v>Malay-Dan Export Unit Sdn Bhd</v>
      </c>
      <c r="N1749" s="42" t="str">
        <f>IF($J1749="Item",_xll.NL("first",$J1749,"Description","No.","@@"&amp;$K1749),"")</f>
        <v/>
      </c>
      <c r="O1749" s="43">
        <v>400</v>
      </c>
      <c r="P1749" s="43">
        <v>0</v>
      </c>
      <c r="Q1749" s="43">
        <v>0</v>
      </c>
      <c r="R1749" s="43">
        <v>0</v>
      </c>
      <c r="S1749" s="43">
        <v>0</v>
      </c>
      <c r="T1749" s="43">
        <v>0</v>
      </c>
      <c r="U1749" s="56"/>
    </row>
    <row r="1750" spans="1:21" ht="17.25" customHeight="1" x14ac:dyDescent="0.3">
      <c r="A1750" s="15" t="s">
        <v>30</v>
      </c>
      <c r="C1750" s="19"/>
      <c r="D1750" s="33" t="str">
        <f t="shared" ref="D1750:D1763" si="436">D1749</f>
        <v>S100009</v>
      </c>
      <c r="E1750" s="33"/>
      <c r="F1750" s="34"/>
      <c r="G1750" s="34" t="str">
        <f>"""NAV Direct"",""CRONUS JetCorp USA"",""32"",""1"",""166355"""</f>
        <v>"NAV Direct","CRONUS JetCorp USA","32","1","166355"</v>
      </c>
      <c r="H1750" s="40">
        <v>43466</v>
      </c>
      <c r="I1750" s="41">
        <v>166355</v>
      </c>
      <c r="J1750" s="42" t="str">
        <f>"Vendor"</f>
        <v>Vendor</v>
      </c>
      <c r="K1750" s="42" t="str">
        <f>"V100007"</f>
        <v>V100007</v>
      </c>
      <c r="L1750" s="42" t="str">
        <f>IF($J1750="Customer",_xll.NL("first",$J1750,"Name","No.","@@"&amp;$K1750),"")</f>
        <v/>
      </c>
      <c r="M1750" s="42" t="str">
        <f>"TrendTech"</f>
        <v>TrendTech</v>
      </c>
      <c r="N1750" s="42" t="str">
        <f>IF($J1750="Item",_xll.NL("first",$J1750,"Description","No.","@@"&amp;$K1750),"")</f>
        <v/>
      </c>
      <c r="O1750" s="43">
        <v>400</v>
      </c>
      <c r="P1750" s="43">
        <v>0</v>
      </c>
      <c r="Q1750" s="43">
        <v>0</v>
      </c>
      <c r="R1750" s="43">
        <v>0</v>
      </c>
      <c r="S1750" s="43">
        <v>0</v>
      </c>
      <c r="T1750" s="43">
        <v>0</v>
      </c>
      <c r="U1750" s="56"/>
    </row>
    <row r="1751" spans="1:21" ht="17.25" customHeight="1" x14ac:dyDescent="0.3">
      <c r="A1751" s="15" t="s">
        <v>30</v>
      </c>
      <c r="C1751" s="19"/>
      <c r="D1751" s="33" t="str">
        <f t="shared" si="436"/>
        <v>S100009</v>
      </c>
      <c r="E1751" s="33"/>
      <c r="F1751" s="34"/>
      <c r="G1751" s="34" t="str">
        <f>"""NAV Direct"",""CRONUS JetCorp USA"",""32"",""1"",""166373"""</f>
        <v>"NAV Direct","CRONUS JetCorp USA","32","1","166373"</v>
      </c>
      <c r="H1751" s="40">
        <v>43466</v>
      </c>
      <c r="I1751" s="41">
        <v>166373</v>
      </c>
      <c r="J1751" s="42" t="str">
        <f>"Vendor"</f>
        <v>Vendor</v>
      </c>
      <c r="K1751" s="42" t="str">
        <f>"V100001"</f>
        <v>V100001</v>
      </c>
      <c r="L1751" s="42" t="str">
        <f>IF($J1751="Customer",_xll.NL("first",$J1751,"Name","No.","@@"&amp;$K1751),"")</f>
        <v/>
      </c>
      <c r="M1751" s="42" t="str">
        <f>"Greigner, Inc."</f>
        <v>Greigner, Inc.</v>
      </c>
      <c r="N1751" s="42" t="str">
        <f>IF($J1751="Item",_xll.NL("first",$J1751,"Description","No.","@@"&amp;$K1751),"")</f>
        <v/>
      </c>
      <c r="O1751" s="43">
        <v>1500</v>
      </c>
      <c r="P1751" s="43">
        <v>0</v>
      </c>
      <c r="Q1751" s="43">
        <v>0</v>
      </c>
      <c r="R1751" s="43">
        <v>0</v>
      </c>
      <c r="S1751" s="43">
        <v>0</v>
      </c>
      <c r="T1751" s="43">
        <v>0</v>
      </c>
      <c r="U1751" s="56"/>
    </row>
    <row r="1752" spans="1:21" ht="17.25" customHeight="1" x14ac:dyDescent="0.3">
      <c r="A1752" s="15" t="s">
        <v>30</v>
      </c>
      <c r="C1752" s="19"/>
      <c r="D1752" s="33" t="str">
        <f t="shared" si="436"/>
        <v>S100009</v>
      </c>
      <c r="E1752" s="33"/>
      <c r="F1752" s="34"/>
      <c r="G1752" s="34" t="str">
        <f>"""NAV Direct"",""CRONUS JetCorp USA"",""32"",""1"",""166390"""</f>
        <v>"NAV Direct","CRONUS JetCorp USA","32","1","166390"</v>
      </c>
      <c r="H1752" s="40">
        <v>43466</v>
      </c>
      <c r="I1752" s="41">
        <v>166390</v>
      </c>
      <c r="J1752" s="42" t="str">
        <f>"Vendor"</f>
        <v>Vendor</v>
      </c>
      <c r="K1752" s="42" t="str">
        <f>"V100047"</f>
        <v>V100047</v>
      </c>
      <c r="L1752" s="42" t="str">
        <f>IF($J1752="Customer",_xll.NL("first",$J1752,"Name","No.","@@"&amp;$K1752),"")</f>
        <v/>
      </c>
      <c r="M1752" s="42" t="str">
        <f>"WoodMart Supply Co."</f>
        <v>WoodMart Supply Co.</v>
      </c>
      <c r="N1752" s="42" t="str">
        <f>IF($J1752="Item",_xll.NL("first",$J1752,"Description","No.","@@"&amp;$K1752),"")</f>
        <v/>
      </c>
      <c r="O1752" s="43">
        <v>200</v>
      </c>
      <c r="P1752" s="43">
        <v>0</v>
      </c>
      <c r="Q1752" s="43">
        <v>0</v>
      </c>
      <c r="R1752" s="43">
        <v>0</v>
      </c>
      <c r="S1752" s="43">
        <v>0</v>
      </c>
      <c r="T1752" s="43">
        <v>0</v>
      </c>
      <c r="U1752" s="56"/>
    </row>
    <row r="1753" spans="1:21" ht="17.25" customHeight="1" x14ac:dyDescent="0.3">
      <c r="A1753" s="15" t="s">
        <v>30</v>
      </c>
      <c r="C1753" s="19"/>
      <c r="D1753" s="33" t="str">
        <f t="shared" si="436"/>
        <v>S100009</v>
      </c>
      <c r="E1753" s="33"/>
      <c r="F1753" s="34"/>
      <c r="G1753" s="34" t="str">
        <f>"""NAV Direct"",""CRONUS JetCorp USA"",""32"",""1"",""166402"""</f>
        <v>"NAV Direct","CRONUS JetCorp USA","32","1","166402"</v>
      </c>
      <c r="H1753" s="40">
        <v>43466</v>
      </c>
      <c r="I1753" s="41">
        <v>166402</v>
      </c>
      <c r="J1753" s="42" t="str">
        <f>"Vendor"</f>
        <v>Vendor</v>
      </c>
      <c r="K1753" s="42" t="str">
        <f>"V100003"</f>
        <v>V100003</v>
      </c>
      <c r="L1753" s="42" t="str">
        <f>IF($J1753="Customer",_xll.NL("first",$J1753,"Name","No.","@@"&amp;$K1753),"")</f>
        <v/>
      </c>
      <c r="M1753" s="42" t="str">
        <f>"LogoMasters"</f>
        <v>LogoMasters</v>
      </c>
      <c r="N1753" s="42" t="str">
        <f>IF($J1753="Item",_xll.NL("first",$J1753,"Description","No.","@@"&amp;$K1753),"")</f>
        <v/>
      </c>
      <c r="O1753" s="43">
        <v>100</v>
      </c>
      <c r="P1753" s="43">
        <v>0</v>
      </c>
      <c r="Q1753" s="43">
        <v>0</v>
      </c>
      <c r="R1753" s="43">
        <v>0</v>
      </c>
      <c r="S1753" s="43">
        <v>0</v>
      </c>
      <c r="T1753" s="43">
        <v>0</v>
      </c>
      <c r="U1753" s="56"/>
    </row>
    <row r="1754" spans="1:21" ht="17.25" customHeight="1" x14ac:dyDescent="0.3">
      <c r="A1754" s="15" t="s">
        <v>30</v>
      </c>
      <c r="C1754" s="19"/>
      <c r="D1754" s="33" t="str">
        <f t="shared" si="436"/>
        <v>S100009</v>
      </c>
      <c r="E1754" s="33"/>
      <c r="F1754" s="34"/>
      <c r="G1754" s="34" t="str">
        <f>"""NAV Direct"",""CRONUS JetCorp USA"",""32"",""1"",""166420"""</f>
        <v>"NAV Direct","CRONUS JetCorp USA","32","1","166420"</v>
      </c>
      <c r="H1754" s="40">
        <v>43466</v>
      </c>
      <c r="I1754" s="41">
        <v>166420</v>
      </c>
      <c r="J1754" s="42" t="str">
        <f>"Vendor"</f>
        <v>Vendor</v>
      </c>
      <c r="K1754" s="42" t="str">
        <f>"V100001"</f>
        <v>V100001</v>
      </c>
      <c r="L1754" s="42" t="str">
        <f>IF($J1754="Customer",_xll.NL("first",$J1754,"Name","No.","@@"&amp;$K1754),"")</f>
        <v/>
      </c>
      <c r="M1754" s="42" t="str">
        <f>"Greigner, Inc."</f>
        <v>Greigner, Inc.</v>
      </c>
      <c r="N1754" s="42" t="str">
        <f>IF($J1754="Item",_xll.NL("first",$J1754,"Description","No.","@@"&amp;$K1754),"")</f>
        <v/>
      </c>
      <c r="O1754" s="43">
        <v>200</v>
      </c>
      <c r="P1754" s="43">
        <v>0</v>
      </c>
      <c r="Q1754" s="43">
        <v>0</v>
      </c>
      <c r="R1754" s="43">
        <v>0</v>
      </c>
      <c r="S1754" s="43">
        <v>0</v>
      </c>
      <c r="T1754" s="43">
        <v>0</v>
      </c>
      <c r="U1754" s="56"/>
    </row>
    <row r="1755" spans="1:21" ht="17.25" customHeight="1" x14ac:dyDescent="0.3">
      <c r="A1755" s="15" t="s">
        <v>30</v>
      </c>
      <c r="C1755" s="19"/>
      <c r="D1755" s="33" t="str">
        <f t="shared" si="436"/>
        <v>S100009</v>
      </c>
      <c r="E1755" s="33"/>
      <c r="F1755" s="34"/>
      <c r="G1755" s="34" t="str">
        <f>"""NAV Direct"",""CRONUS JetCorp USA"",""32"",""1"",""124509"""</f>
        <v>"NAV Direct","CRONUS JetCorp USA","32","1","124509"</v>
      </c>
      <c r="H1755" s="40">
        <v>43470</v>
      </c>
      <c r="I1755" s="41">
        <v>124509</v>
      </c>
      <c r="J1755" s="42" t="str">
        <f>"Customer"</f>
        <v>Customer</v>
      </c>
      <c r="K1755" s="42" t="str">
        <f>"C100025"</f>
        <v>C100025</v>
      </c>
      <c r="L1755" s="42" t="str">
        <f>IF($J1755="Customer",_xll.NL("first",$J1755,"Name","No.","@@"&amp;$K1755),"")</f>
        <v>Derringers Resturants</v>
      </c>
      <c r="M1755" s="42" t="str">
        <f>""</f>
        <v/>
      </c>
      <c r="N1755" s="42" t="str">
        <f>IF($J1755="Item",_xll.NL("first",$J1755,"Description","No.","@@"&amp;$K1755),"")</f>
        <v/>
      </c>
      <c r="O1755" s="43">
        <v>0</v>
      </c>
      <c r="P1755" s="43">
        <v>-288</v>
      </c>
      <c r="Q1755" s="43">
        <v>0</v>
      </c>
      <c r="R1755" s="43">
        <v>0</v>
      </c>
      <c r="S1755" s="43">
        <v>0</v>
      </c>
      <c r="T1755" s="43">
        <v>0</v>
      </c>
      <c r="U1755" s="56"/>
    </row>
    <row r="1756" spans="1:21" ht="17.25" customHeight="1" x14ac:dyDescent="0.3">
      <c r="A1756" s="15" t="s">
        <v>30</v>
      </c>
      <c r="C1756" s="19"/>
      <c r="D1756" s="33" t="str">
        <f t="shared" si="436"/>
        <v>S100009</v>
      </c>
      <c r="E1756" s="33"/>
      <c r="F1756" s="34"/>
      <c r="G1756" s="34" t="str">
        <f>"""NAV Direct"",""CRONUS JetCorp USA"",""32"",""1"",""25234"""</f>
        <v>"NAV Direct","CRONUS JetCorp USA","32","1","25234"</v>
      </c>
      <c r="H1756" s="40">
        <v>43471</v>
      </c>
      <c r="I1756" s="41">
        <v>25234</v>
      </c>
      <c r="J1756" s="42" t="str">
        <f>"Customer"</f>
        <v>Customer</v>
      </c>
      <c r="K1756" s="42" t="str">
        <f>"C100102"</f>
        <v>C100102</v>
      </c>
      <c r="L1756" s="42" t="str">
        <f>IF($J1756="Customer",_xll.NL("first",$J1756,"Name","No.","@@"&amp;$K1756),"")</f>
        <v xml:space="preserve">BEI Outfitters </v>
      </c>
      <c r="M1756" s="42" t="str">
        <f>""</f>
        <v/>
      </c>
      <c r="N1756" s="42" t="str">
        <f>IF($J1756="Item",_xll.NL("first",$J1756,"Description","No.","@@"&amp;$K1756),"")</f>
        <v/>
      </c>
      <c r="O1756" s="43">
        <v>0</v>
      </c>
      <c r="P1756" s="43">
        <v>-144</v>
      </c>
      <c r="Q1756" s="43">
        <v>0</v>
      </c>
      <c r="R1756" s="43">
        <v>0</v>
      </c>
      <c r="S1756" s="43">
        <v>0</v>
      </c>
      <c r="T1756" s="43">
        <v>0</v>
      </c>
      <c r="U1756" s="56"/>
    </row>
    <row r="1757" spans="1:21" ht="17.25" customHeight="1" x14ac:dyDescent="0.3">
      <c r="A1757" s="15" t="s">
        <v>30</v>
      </c>
      <c r="C1757" s="19"/>
      <c r="D1757" s="33" t="str">
        <f t="shared" si="436"/>
        <v>S100009</v>
      </c>
      <c r="E1757" s="33"/>
      <c r="F1757" s="34"/>
      <c r="G1757" s="34" t="str">
        <f>"""NAV Direct"",""CRONUS JetCorp USA"",""32"",""1"",""128861"""</f>
        <v>"NAV Direct","CRONUS JetCorp USA","32","1","128861"</v>
      </c>
      <c r="H1757" s="40">
        <v>43472</v>
      </c>
      <c r="I1757" s="41">
        <v>128861</v>
      </c>
      <c r="J1757" s="42" t="str">
        <f>"Customer"</f>
        <v>Customer</v>
      </c>
      <c r="K1757" s="42" t="str">
        <f>"C100105"</f>
        <v>C100105</v>
      </c>
      <c r="L1757" s="42" t="str">
        <f>IF($J1757="Customer",_xll.NL("first",$J1757,"Name","No.","@@"&amp;$K1757),"")</f>
        <v>Esystems</v>
      </c>
      <c r="M1757" s="42" t="str">
        <f>""</f>
        <v/>
      </c>
      <c r="N1757" s="42" t="str">
        <f>IF($J1757="Item",_xll.NL("first",$J1757,"Description","No.","@@"&amp;$K1757),"")</f>
        <v/>
      </c>
      <c r="O1757" s="43">
        <v>0</v>
      </c>
      <c r="P1757" s="43">
        <v>-144</v>
      </c>
      <c r="Q1757" s="43">
        <v>0</v>
      </c>
      <c r="R1757" s="43">
        <v>0</v>
      </c>
      <c r="S1757" s="43">
        <v>0</v>
      </c>
      <c r="T1757" s="43">
        <v>0</v>
      </c>
      <c r="U1757" s="56"/>
    </row>
    <row r="1758" spans="1:21" ht="17.25" customHeight="1" x14ac:dyDescent="0.3">
      <c r="A1758" s="15" t="s">
        <v>30</v>
      </c>
      <c r="C1758" s="19"/>
      <c r="D1758" s="33" t="str">
        <f t="shared" si="436"/>
        <v>S100009</v>
      </c>
      <c r="E1758" s="33"/>
      <c r="F1758" s="34"/>
      <c r="G1758" s="34" t="str">
        <f>"""NAV Direct"",""CRONUS JetCorp USA"",""32"",""1"",""124536"""</f>
        <v>"NAV Direct","CRONUS JetCorp USA","32","1","124536"</v>
      </c>
      <c r="H1758" s="40">
        <v>43473</v>
      </c>
      <c r="I1758" s="41">
        <v>124536</v>
      </c>
      <c r="J1758" s="42" t="str">
        <f>"Customer"</f>
        <v>Customer</v>
      </c>
      <c r="K1758" s="42" t="str">
        <f>"C100035"</f>
        <v>C100035</v>
      </c>
      <c r="L1758" s="42" t="str">
        <f>IF($J1758="Customer",_xll.NL("first",$J1758,"Name","No.","@@"&amp;$K1758),"")</f>
        <v>First Touch Marketing</v>
      </c>
      <c r="M1758" s="42" t="str">
        <f>""</f>
        <v/>
      </c>
      <c r="N1758" s="42" t="str">
        <f>IF($J1758="Item",_xll.NL("first",$J1758,"Description","No.","@@"&amp;$K1758),"")</f>
        <v/>
      </c>
      <c r="O1758" s="43">
        <v>0</v>
      </c>
      <c r="P1758" s="43">
        <v>-144</v>
      </c>
      <c r="Q1758" s="43">
        <v>0</v>
      </c>
      <c r="R1758" s="43">
        <v>0</v>
      </c>
      <c r="S1758" s="43">
        <v>0</v>
      </c>
      <c r="T1758" s="43">
        <v>0</v>
      </c>
      <c r="U1758" s="56"/>
    </row>
    <row r="1759" spans="1:21" ht="17.25" customHeight="1" x14ac:dyDescent="0.3">
      <c r="A1759" s="15" t="s">
        <v>30</v>
      </c>
      <c r="C1759" s="19"/>
      <c r="D1759" s="33" t="str">
        <f t="shared" si="436"/>
        <v>S100009</v>
      </c>
      <c r="E1759" s="33"/>
      <c r="F1759" s="34"/>
      <c r="G1759" s="34" t="str">
        <f>"""NAV Direct"",""CRONUS JetCorp USA"",""32"",""1"",""36490"""</f>
        <v>"NAV Direct","CRONUS JetCorp USA","32","1","36490"</v>
      </c>
      <c r="H1759" s="40">
        <v>43474</v>
      </c>
      <c r="I1759" s="41">
        <v>36490</v>
      </c>
      <c r="J1759" s="42" t="str">
        <f>"Customer"</f>
        <v>Customer</v>
      </c>
      <c r="K1759" s="42" t="str">
        <f>"C100092"</f>
        <v>C100092</v>
      </c>
      <c r="L1759" s="42" t="str">
        <f>IF($J1759="Customer",_xll.NL("first",$J1759,"Name","No.","@@"&amp;$K1759),"")</f>
        <v>Zuni Home Crafts Ltd.</v>
      </c>
      <c r="M1759" s="42" t="str">
        <f>""</f>
        <v/>
      </c>
      <c r="N1759" s="42" t="str">
        <f>IF($J1759="Item",_xll.NL("first",$J1759,"Description","No.","@@"&amp;$K1759),"")</f>
        <v/>
      </c>
      <c r="O1759" s="43">
        <v>0</v>
      </c>
      <c r="P1759" s="43">
        <v>-144</v>
      </c>
      <c r="Q1759" s="43">
        <v>0</v>
      </c>
      <c r="R1759" s="43">
        <v>0</v>
      </c>
      <c r="S1759" s="43">
        <v>0</v>
      </c>
      <c r="T1759" s="43">
        <v>0</v>
      </c>
      <c r="U1759" s="56"/>
    </row>
    <row r="1760" spans="1:21" ht="17.25" customHeight="1" x14ac:dyDescent="0.3">
      <c r="A1760" s="15" t="s">
        <v>30</v>
      </c>
      <c r="C1760" s="19"/>
      <c r="D1760" s="33" t="str">
        <f t="shared" si="436"/>
        <v>S100009</v>
      </c>
      <c r="E1760" s="33"/>
      <c r="F1760" s="34"/>
      <c r="G1760" s="34" t="str">
        <f>"""NAV Direct"",""CRONUS JetCorp USA"",""32"",""1"",""124522"""</f>
        <v>"NAV Direct","CRONUS JetCorp USA","32","1","124522"</v>
      </c>
      <c r="H1760" s="40">
        <v>43474</v>
      </c>
      <c r="I1760" s="41">
        <v>124522</v>
      </c>
      <c r="J1760" s="42" t="str">
        <f>"Customer"</f>
        <v>Customer</v>
      </c>
      <c r="K1760" s="42" t="str">
        <f>"C100145"</f>
        <v>C100145</v>
      </c>
      <c r="L1760" s="42" t="str">
        <f>IF($J1760="Customer",_xll.NL("first",$J1760,"Name","No.","@@"&amp;$K1760),"")</f>
        <v>Dicon Industries</v>
      </c>
      <c r="M1760" s="42" t="str">
        <f>""</f>
        <v/>
      </c>
      <c r="N1760" s="42" t="str">
        <f>IF($J1760="Item",_xll.NL("first",$J1760,"Description","No.","@@"&amp;$K1760),"")</f>
        <v/>
      </c>
      <c r="O1760" s="43">
        <v>0</v>
      </c>
      <c r="P1760" s="43">
        <v>-144</v>
      </c>
      <c r="Q1760" s="43">
        <v>0</v>
      </c>
      <c r="R1760" s="43">
        <v>0</v>
      </c>
      <c r="S1760" s="43">
        <v>0</v>
      </c>
      <c r="T1760" s="43">
        <v>0</v>
      </c>
      <c r="U1760" s="56"/>
    </row>
    <row r="1761" spans="1:21" ht="17.25" customHeight="1" x14ac:dyDescent="0.3">
      <c r="A1761" s="15" t="s">
        <v>30</v>
      </c>
      <c r="C1761" s="19"/>
      <c r="D1761" s="33" t="str">
        <f t="shared" si="436"/>
        <v>S100009</v>
      </c>
      <c r="E1761" s="33"/>
      <c r="F1761" s="34"/>
      <c r="G1761" s="34" t="str">
        <f>"""NAV Direct"",""CRONUS JetCorp USA"",""32"",""1"",""34328"""</f>
        <v>"NAV Direct","CRONUS JetCorp USA","32","1","34328"</v>
      </c>
      <c r="H1761" s="40">
        <v>43475</v>
      </c>
      <c r="I1761" s="41">
        <v>34328</v>
      </c>
      <c r="J1761" s="42" t="str">
        <f>"Customer"</f>
        <v>Customer</v>
      </c>
      <c r="K1761" s="42" t="str">
        <f>"C100008"</f>
        <v>C100008</v>
      </c>
      <c r="L1761" s="42" t="str">
        <f>IF($J1761="Customer",_xll.NL("first",$J1761,"Name","No.","@@"&amp;$K1761),"")</f>
        <v>Blanemark Hifi Shop</v>
      </c>
      <c r="M1761" s="42" t="str">
        <f>""</f>
        <v/>
      </c>
      <c r="N1761" s="42" t="str">
        <f>IF($J1761="Item",_xll.NL("first",$J1761,"Description","No.","@@"&amp;$K1761),"")</f>
        <v/>
      </c>
      <c r="O1761" s="43">
        <v>0</v>
      </c>
      <c r="P1761" s="43">
        <v>-144</v>
      </c>
      <c r="Q1761" s="43">
        <v>0</v>
      </c>
      <c r="R1761" s="43">
        <v>0</v>
      </c>
      <c r="S1761" s="43">
        <v>0</v>
      </c>
      <c r="T1761" s="43">
        <v>0</v>
      </c>
      <c r="U1761" s="56"/>
    </row>
    <row r="1762" spans="1:21" ht="17.25" customHeight="1" x14ac:dyDescent="0.3">
      <c r="A1762" s="15" t="s">
        <v>30</v>
      </c>
      <c r="C1762" s="19"/>
      <c r="D1762" s="33" t="str">
        <f t="shared" si="436"/>
        <v>S100009</v>
      </c>
      <c r="E1762" s="33"/>
      <c r="F1762" s="34"/>
      <c r="G1762" s="34" t="str">
        <f>"""NAV Direct"",""CRONUS JetCorp USA"",""32"",""1"",""20397"""</f>
        <v>"NAV Direct","CRONUS JetCorp USA","32","1","20397"</v>
      </c>
      <c r="H1762" s="40">
        <v>43477</v>
      </c>
      <c r="I1762" s="41">
        <v>20397</v>
      </c>
      <c r="J1762" s="42" t="str">
        <f>"Customer"</f>
        <v>Customer</v>
      </c>
      <c r="K1762" s="42" t="str">
        <f>"C100039"</f>
        <v>C100039</v>
      </c>
      <c r="L1762" s="42" t="str">
        <f>IF($J1762="Customer",_xll.NL("first",$J1762,"Name","No.","@@"&amp;$K1762),"")</f>
        <v>Gary's Sports</v>
      </c>
      <c r="M1762" s="42" t="str">
        <f>""</f>
        <v/>
      </c>
      <c r="N1762" s="42" t="str">
        <f>IF($J1762="Item",_xll.NL("first",$J1762,"Description","No.","@@"&amp;$K1762),"")</f>
        <v/>
      </c>
      <c r="O1762" s="43">
        <v>0</v>
      </c>
      <c r="P1762" s="43">
        <v>-144</v>
      </c>
      <c r="Q1762" s="43">
        <v>0</v>
      </c>
      <c r="R1762" s="43">
        <v>0</v>
      </c>
      <c r="S1762" s="43">
        <v>0</v>
      </c>
      <c r="T1762" s="43">
        <v>0</v>
      </c>
      <c r="U1762" s="56"/>
    </row>
    <row r="1763" spans="1:21" ht="17.25" customHeight="1" x14ac:dyDescent="0.3">
      <c r="A1763" s="15" t="s">
        <v>30</v>
      </c>
      <c r="C1763" s="19"/>
      <c r="D1763" s="33" t="str">
        <f t="shared" si="436"/>
        <v>S100009</v>
      </c>
      <c r="E1763" s="33"/>
      <c r="F1763" s="34"/>
      <c r="G1763" s="34" t="str">
        <f>"""NAV Direct"",""CRONUS JetCorp USA"",""32"",""1"",""25280"""</f>
        <v>"NAV Direct","CRONUS JetCorp USA","32","1","25280"</v>
      </c>
      <c r="H1763" s="40">
        <v>43477</v>
      </c>
      <c r="I1763" s="41">
        <v>25280</v>
      </c>
      <c r="J1763" s="42" t="str">
        <f>"Customer"</f>
        <v>Customer</v>
      </c>
      <c r="K1763" s="42" t="str">
        <f>"C100138"</f>
        <v>C100138</v>
      </c>
      <c r="L1763" s="42" t="str">
        <f>IF($J1763="Customer",_xll.NL("first",$J1763,"Name","No.","@@"&amp;$K1763),"")</f>
        <v>Dantons</v>
      </c>
      <c r="M1763" s="42" t="str">
        <f>""</f>
        <v/>
      </c>
      <c r="N1763" s="42" t="str">
        <f>IF($J1763="Item",_xll.NL("first",$J1763,"Description","No.","@@"&amp;$K1763),"")</f>
        <v/>
      </c>
      <c r="O1763" s="43">
        <v>0</v>
      </c>
      <c r="P1763" s="43">
        <v>-144</v>
      </c>
      <c r="Q1763" s="43">
        <v>0</v>
      </c>
      <c r="R1763" s="43">
        <v>0</v>
      </c>
      <c r="S1763" s="43">
        <v>0</v>
      </c>
      <c r="T1763" s="43">
        <v>0</v>
      </c>
      <c r="U1763" s="56"/>
    </row>
    <row r="1764" spans="1:21" ht="17.25" customHeight="1" x14ac:dyDescent="0.3">
      <c r="A1764" s="15" t="s">
        <v>30</v>
      </c>
      <c r="C1764" s="19"/>
      <c r="D1764" s="33"/>
      <c r="E1764" s="33"/>
      <c r="F1764" s="34"/>
      <c r="G1764" s="34"/>
      <c r="H1764" s="34"/>
      <c r="I1764" s="34"/>
      <c r="J1764" s="34"/>
      <c r="K1764" s="34"/>
      <c r="L1764" s="34"/>
      <c r="M1764" s="34"/>
      <c r="N1764" s="34"/>
      <c r="O1764" s="44"/>
      <c r="P1764" s="44"/>
      <c r="Q1764" s="44"/>
      <c r="R1764" s="44"/>
      <c r="S1764" s="44"/>
      <c r="T1764" s="44"/>
      <c r="U1764" s="57"/>
    </row>
    <row r="1765" spans="1:21" ht="17.25" customHeight="1" x14ac:dyDescent="0.3">
      <c r="A1765" s="15" t="s">
        <v>30</v>
      </c>
      <c r="C1765" s="19"/>
      <c r="D1765" s="33"/>
      <c r="E1765" s="33" t="s">
        <v>31</v>
      </c>
      <c r="F1765" s="34" t="s">
        <v>31</v>
      </c>
      <c r="G1765" s="34" t="s">
        <v>31</v>
      </c>
      <c r="H1765" s="34"/>
      <c r="I1765" s="34"/>
      <c r="J1765" s="34" t="s">
        <v>31</v>
      </c>
      <c r="K1765" s="34" t="s">
        <v>31</v>
      </c>
      <c r="L1765" s="34" t="s">
        <v>31</v>
      </c>
      <c r="M1765" s="34" t="s">
        <v>31</v>
      </c>
      <c r="N1765" s="34"/>
      <c r="U1765" s="58"/>
    </row>
    <row r="1766" spans="1:21" ht="20.25" customHeight="1" x14ac:dyDescent="0.35">
      <c r="A1766" s="15" t="s">
        <v>30</v>
      </c>
      <c r="C1766" s="19"/>
      <c r="D1766" s="35" t="str">
        <f t="shared" ref="D1766" si="437">E1766</f>
        <v>S100010</v>
      </c>
      <c r="E1766" s="36" t="str">
        <f>"S100010"</f>
        <v>S100010</v>
      </c>
      <c r="F1766" s="37" t="str">
        <f>"Golf Relaxed Cap"</f>
        <v>Golf Relaxed Cap</v>
      </c>
      <c r="G1766" s="37"/>
      <c r="H1766" s="38" t="str">
        <f>"EA"</f>
        <v>EA</v>
      </c>
      <c r="I1766" s="37"/>
      <c r="J1766" s="37"/>
      <c r="K1766" s="37"/>
      <c r="L1766" s="37"/>
      <c r="M1766" s="37"/>
      <c r="N1766" s="37"/>
      <c r="O1766" s="39">
        <f>(SUBTOTAL(9,O1767:O1786))</f>
        <v>5200</v>
      </c>
      <c r="P1766" s="39">
        <f>(SUBTOTAL(9,P1767:P1786))</f>
        <v>-1706</v>
      </c>
      <c r="Q1766" s="39">
        <f>(SUBTOTAL(9,Q1767:Q1786))</f>
        <v>0</v>
      </c>
      <c r="R1766" s="39">
        <f>(SUBTOTAL(9,R1767:R1786))</f>
        <v>0</v>
      </c>
      <c r="S1766" s="39">
        <f>(SUBTOTAL(9,S1767:S1786))</f>
        <v>0</v>
      </c>
      <c r="T1766" s="39">
        <f>(SUBTOTAL(9,T1767:T1786))</f>
        <v>0</v>
      </c>
      <c r="U1766" s="55">
        <f t="shared" ref="U1766" si="438">SUBTOTAL(9,O1767:T1786)</f>
        <v>3494</v>
      </c>
    </row>
    <row r="1767" spans="1:21" ht="17.25" customHeight="1" x14ac:dyDescent="0.3">
      <c r="A1767" s="15" t="s">
        <v>30</v>
      </c>
      <c r="C1767" s="19"/>
      <c r="D1767" s="33" t="str">
        <f t="shared" ref="D1767" si="439">D1766</f>
        <v>S100010</v>
      </c>
      <c r="E1767" s="33"/>
      <c r="F1767" s="34"/>
      <c r="G1767" s="34" t="str">
        <f>"""NAV Direct"",""CRONUS JetCorp USA"",""32"",""1"",""132493"""</f>
        <v>"NAV Direct","CRONUS JetCorp USA","32","1","132493"</v>
      </c>
      <c r="H1767" s="40">
        <v>43466</v>
      </c>
      <c r="I1767" s="41">
        <v>132493</v>
      </c>
      <c r="J1767" s="42" t="str">
        <f>"Customer"</f>
        <v>Customer</v>
      </c>
      <c r="K1767" s="42" t="str">
        <f>"C100040"</f>
        <v>C100040</v>
      </c>
      <c r="L1767" s="42" t="str">
        <f>IF($J1767="Customer",_xll.NL("first",$J1767,"Name","No.","@@"&amp;$K1767),"")</f>
        <v>Guildford Water Department</v>
      </c>
      <c r="M1767" s="42" t="str">
        <f>""</f>
        <v/>
      </c>
      <c r="N1767" s="42" t="str">
        <f>IF($J1767="Item",_xll.NL("first",$J1767,"Description","No.","@@"&amp;$K1767),"")</f>
        <v/>
      </c>
      <c r="O1767" s="43">
        <v>0</v>
      </c>
      <c r="P1767" s="43">
        <v>-192</v>
      </c>
      <c r="Q1767" s="43">
        <v>0</v>
      </c>
      <c r="R1767" s="43">
        <v>0</v>
      </c>
      <c r="S1767" s="43">
        <v>0</v>
      </c>
      <c r="T1767" s="43">
        <v>0</v>
      </c>
      <c r="U1767" s="56"/>
    </row>
    <row r="1768" spans="1:21" ht="17.25" customHeight="1" x14ac:dyDescent="0.3">
      <c r="A1768" s="15" t="s">
        <v>30</v>
      </c>
      <c r="C1768" s="19"/>
      <c r="D1768" s="33" t="str">
        <f t="shared" ref="D1768:D1785" si="440">D1767</f>
        <v>S100010</v>
      </c>
      <c r="E1768" s="33"/>
      <c r="F1768" s="34"/>
      <c r="G1768" s="34" t="str">
        <f>"""NAV Direct"",""CRONUS JetCorp USA"",""32"",""1"",""167079"""</f>
        <v>"NAV Direct","CRONUS JetCorp USA","32","1","167079"</v>
      </c>
      <c r="H1768" s="40">
        <v>43466</v>
      </c>
      <c r="I1768" s="41">
        <v>167079</v>
      </c>
      <c r="J1768" s="42" t="str">
        <f>"Vendor"</f>
        <v>Vendor</v>
      </c>
      <c r="K1768" s="42" t="str">
        <f>"V100009"</f>
        <v>V100009</v>
      </c>
      <c r="L1768" s="42" t="str">
        <f>IF($J1768="Customer",_xll.NL("first",$J1768,"Name","No.","@@"&amp;$K1768),"")</f>
        <v/>
      </c>
      <c r="M1768" s="42" t="str">
        <f>"Malay-Dan Export Unit Sdn Bhd"</f>
        <v>Malay-Dan Export Unit Sdn Bhd</v>
      </c>
      <c r="N1768" s="42" t="str">
        <f>IF($J1768="Item",_xll.NL("first",$J1768,"Description","No.","@@"&amp;$K1768),"")</f>
        <v/>
      </c>
      <c r="O1768" s="43">
        <v>400</v>
      </c>
      <c r="P1768" s="43">
        <v>0</v>
      </c>
      <c r="Q1768" s="43">
        <v>0</v>
      </c>
      <c r="R1768" s="43">
        <v>0</v>
      </c>
      <c r="S1768" s="43">
        <v>0</v>
      </c>
      <c r="T1768" s="43">
        <v>0</v>
      </c>
      <c r="U1768" s="56"/>
    </row>
    <row r="1769" spans="1:21" ht="17.25" customHeight="1" x14ac:dyDescent="0.3">
      <c r="A1769" s="15" t="s">
        <v>30</v>
      </c>
      <c r="C1769" s="19"/>
      <c r="D1769" s="33" t="str">
        <f t="shared" si="440"/>
        <v>S100010</v>
      </c>
      <c r="E1769" s="33"/>
      <c r="F1769" s="34"/>
      <c r="G1769" s="34" t="str">
        <f>"""NAV Direct"",""CRONUS JetCorp USA"",""32"",""1"",""167096"""</f>
        <v>"NAV Direct","CRONUS JetCorp USA","32","1","167096"</v>
      </c>
      <c r="H1769" s="40">
        <v>43466</v>
      </c>
      <c r="I1769" s="41">
        <v>167096</v>
      </c>
      <c r="J1769" s="42" t="str">
        <f>"Vendor"</f>
        <v>Vendor</v>
      </c>
      <c r="K1769" s="42" t="str">
        <f>"V100040"</f>
        <v>V100040</v>
      </c>
      <c r="L1769" s="42" t="str">
        <f>IF($J1769="Customer",_xll.NL("first",$J1769,"Name","No.","@@"&amp;$K1769),"")</f>
        <v/>
      </c>
      <c r="M1769" s="42" t="str">
        <f>"Technische Betriebe Rotkreuz"</f>
        <v>Technische Betriebe Rotkreuz</v>
      </c>
      <c r="N1769" s="42" t="str">
        <f>IF($J1769="Item",_xll.NL("first",$J1769,"Description","No.","@@"&amp;$K1769),"")</f>
        <v/>
      </c>
      <c r="O1769" s="43">
        <v>400</v>
      </c>
      <c r="P1769" s="43">
        <v>0</v>
      </c>
      <c r="Q1769" s="43">
        <v>0</v>
      </c>
      <c r="R1769" s="43">
        <v>0</v>
      </c>
      <c r="S1769" s="43">
        <v>0</v>
      </c>
      <c r="T1769" s="43">
        <v>0</v>
      </c>
      <c r="U1769" s="56"/>
    </row>
    <row r="1770" spans="1:21" ht="17.25" customHeight="1" x14ac:dyDescent="0.3">
      <c r="A1770" s="15" t="s">
        <v>30</v>
      </c>
      <c r="C1770" s="19"/>
      <c r="D1770" s="33" t="str">
        <f t="shared" si="440"/>
        <v>S100010</v>
      </c>
      <c r="E1770" s="33"/>
      <c r="F1770" s="34"/>
      <c r="G1770" s="34" t="str">
        <f>"""NAV Direct"",""CRONUS JetCorp USA"",""32"",""1"",""167117"""</f>
        <v>"NAV Direct","CRONUS JetCorp USA","32","1","167117"</v>
      </c>
      <c r="H1770" s="40">
        <v>43466</v>
      </c>
      <c r="I1770" s="41">
        <v>167117</v>
      </c>
      <c r="J1770" s="42" t="str">
        <f>"Vendor"</f>
        <v>Vendor</v>
      </c>
      <c r="K1770" s="42" t="str">
        <f>"V100007"</f>
        <v>V100007</v>
      </c>
      <c r="L1770" s="42" t="str">
        <f>IF($J1770="Customer",_xll.NL("first",$J1770,"Name","No.","@@"&amp;$K1770),"")</f>
        <v/>
      </c>
      <c r="M1770" s="42" t="str">
        <f>"TrendTech"</f>
        <v>TrendTech</v>
      </c>
      <c r="N1770" s="42" t="str">
        <f>IF($J1770="Item",_xll.NL("first",$J1770,"Description","No.","@@"&amp;$K1770),"")</f>
        <v/>
      </c>
      <c r="O1770" s="43">
        <v>800</v>
      </c>
      <c r="P1770" s="43">
        <v>0</v>
      </c>
      <c r="Q1770" s="43">
        <v>0</v>
      </c>
      <c r="R1770" s="43">
        <v>0</v>
      </c>
      <c r="S1770" s="43">
        <v>0</v>
      </c>
      <c r="T1770" s="43">
        <v>0</v>
      </c>
      <c r="U1770" s="56"/>
    </row>
    <row r="1771" spans="1:21" ht="17.25" customHeight="1" x14ac:dyDescent="0.3">
      <c r="A1771" s="15" t="s">
        <v>30</v>
      </c>
      <c r="C1771" s="19"/>
      <c r="D1771" s="33" t="str">
        <f t="shared" si="440"/>
        <v>S100010</v>
      </c>
      <c r="E1771" s="33"/>
      <c r="F1771" s="34"/>
      <c r="G1771" s="34" t="str">
        <f>"""NAV Direct"",""CRONUS JetCorp USA"",""32"",""1"",""167135"""</f>
        <v>"NAV Direct","CRONUS JetCorp USA","32","1","167135"</v>
      </c>
      <c r="H1771" s="40">
        <v>43466</v>
      </c>
      <c r="I1771" s="41">
        <v>167135</v>
      </c>
      <c r="J1771" s="42" t="str">
        <f>"Vendor"</f>
        <v>Vendor</v>
      </c>
      <c r="K1771" s="42" t="str">
        <f>"V100001"</f>
        <v>V100001</v>
      </c>
      <c r="L1771" s="42" t="str">
        <f>IF($J1771="Customer",_xll.NL("first",$J1771,"Name","No.","@@"&amp;$K1771),"")</f>
        <v/>
      </c>
      <c r="M1771" s="42" t="str">
        <f>"Greigner, Inc."</f>
        <v>Greigner, Inc.</v>
      </c>
      <c r="N1771" s="42" t="str">
        <f>IF($J1771="Item",_xll.NL("first",$J1771,"Description","No.","@@"&amp;$K1771),"")</f>
        <v/>
      </c>
      <c r="O1771" s="43">
        <v>2400</v>
      </c>
      <c r="P1771" s="43">
        <v>0</v>
      </c>
      <c r="Q1771" s="43">
        <v>0</v>
      </c>
      <c r="R1771" s="43">
        <v>0</v>
      </c>
      <c r="S1771" s="43">
        <v>0</v>
      </c>
      <c r="T1771" s="43">
        <v>0</v>
      </c>
      <c r="U1771" s="56"/>
    </row>
    <row r="1772" spans="1:21" ht="17.25" customHeight="1" x14ac:dyDescent="0.3">
      <c r="A1772" s="15" t="s">
        <v>30</v>
      </c>
      <c r="C1772" s="19"/>
      <c r="D1772" s="33" t="str">
        <f t="shared" si="440"/>
        <v>S100010</v>
      </c>
      <c r="E1772" s="33"/>
      <c r="F1772" s="34"/>
      <c r="G1772" s="34" t="str">
        <f>"""NAV Direct"",""CRONUS JetCorp USA"",""32"",""1"",""167148"""</f>
        <v>"NAV Direct","CRONUS JetCorp USA","32","1","167148"</v>
      </c>
      <c r="H1772" s="40">
        <v>43466</v>
      </c>
      <c r="I1772" s="41">
        <v>167148</v>
      </c>
      <c r="J1772" s="42" t="str">
        <f>"Vendor"</f>
        <v>Vendor</v>
      </c>
      <c r="K1772" s="42" t="str">
        <f>"V100047"</f>
        <v>V100047</v>
      </c>
      <c r="L1772" s="42" t="str">
        <f>IF($J1772="Customer",_xll.NL("first",$J1772,"Name","No.","@@"&amp;$K1772),"")</f>
        <v/>
      </c>
      <c r="M1772" s="42" t="str">
        <f>"WoodMart Supply Co."</f>
        <v>WoodMart Supply Co.</v>
      </c>
      <c r="N1772" s="42" t="str">
        <f>IF($J1772="Item",_xll.NL("first",$J1772,"Description","No.","@@"&amp;$K1772),"")</f>
        <v/>
      </c>
      <c r="O1772" s="43">
        <v>800</v>
      </c>
      <c r="P1772" s="43">
        <v>0</v>
      </c>
      <c r="Q1772" s="43">
        <v>0</v>
      </c>
      <c r="R1772" s="43">
        <v>0</v>
      </c>
      <c r="S1772" s="43">
        <v>0</v>
      </c>
      <c r="T1772" s="43">
        <v>0</v>
      </c>
      <c r="U1772" s="56"/>
    </row>
    <row r="1773" spans="1:21" ht="17.25" customHeight="1" x14ac:dyDescent="0.3">
      <c r="A1773" s="15" t="s">
        <v>30</v>
      </c>
      <c r="C1773" s="19"/>
      <c r="D1773" s="33" t="str">
        <f t="shared" si="440"/>
        <v>S100010</v>
      </c>
      <c r="E1773" s="33"/>
      <c r="F1773" s="34"/>
      <c r="G1773" s="34" t="str">
        <f>"""NAV Direct"",""CRONUS JetCorp USA"",""32"",""1"",""167159"""</f>
        <v>"NAV Direct","CRONUS JetCorp USA","32","1","167159"</v>
      </c>
      <c r="H1773" s="40">
        <v>43466</v>
      </c>
      <c r="I1773" s="41">
        <v>167159</v>
      </c>
      <c r="J1773" s="42" t="str">
        <f>"Vendor"</f>
        <v>Vendor</v>
      </c>
      <c r="K1773" s="42" t="str">
        <f>"V100003"</f>
        <v>V100003</v>
      </c>
      <c r="L1773" s="42" t="str">
        <f>IF($J1773="Customer",_xll.NL("first",$J1773,"Name","No.","@@"&amp;$K1773),"")</f>
        <v/>
      </c>
      <c r="M1773" s="42" t="str">
        <f>"LogoMasters"</f>
        <v>LogoMasters</v>
      </c>
      <c r="N1773" s="42" t="str">
        <f>IF($J1773="Item",_xll.NL("first",$J1773,"Description","No.","@@"&amp;$K1773),"")</f>
        <v/>
      </c>
      <c r="O1773" s="43">
        <v>400</v>
      </c>
      <c r="P1773" s="43">
        <v>0</v>
      </c>
      <c r="Q1773" s="43">
        <v>0</v>
      </c>
      <c r="R1773" s="43">
        <v>0</v>
      </c>
      <c r="S1773" s="43">
        <v>0</v>
      </c>
      <c r="T1773" s="43">
        <v>0</v>
      </c>
      <c r="U1773" s="56"/>
    </row>
    <row r="1774" spans="1:21" ht="17.25" customHeight="1" x14ac:dyDescent="0.3">
      <c r="A1774" s="15" t="s">
        <v>30</v>
      </c>
      <c r="C1774" s="19"/>
      <c r="D1774" s="33" t="str">
        <f t="shared" si="440"/>
        <v>S100010</v>
      </c>
      <c r="E1774" s="33"/>
      <c r="F1774" s="34"/>
      <c r="G1774" s="34" t="str">
        <f>"""NAV Direct"",""CRONUS JetCorp USA"",""32"",""1"",""34320"""</f>
        <v>"NAV Direct","CRONUS JetCorp USA","32","1","34320"</v>
      </c>
      <c r="H1774" s="40">
        <v>43470</v>
      </c>
      <c r="I1774" s="41">
        <v>34320</v>
      </c>
      <c r="J1774" s="42" t="str">
        <f>"Customer"</f>
        <v>Customer</v>
      </c>
      <c r="K1774" s="42" t="str">
        <f>"C100050"</f>
        <v>C100050</v>
      </c>
      <c r="L1774" s="42" t="str">
        <f>IF($J1774="Customer",_xll.NL("first",$J1774,"Name","No.","@@"&amp;$K1774),"")</f>
        <v>Lauritzen Kontorm¢bler A/S</v>
      </c>
      <c r="M1774" s="42" t="str">
        <f>""</f>
        <v/>
      </c>
      <c r="N1774" s="42" t="str">
        <f>IF($J1774="Item",_xll.NL("first",$J1774,"Description","No.","@@"&amp;$K1774),"")</f>
        <v/>
      </c>
      <c r="O1774" s="43">
        <v>0</v>
      </c>
      <c r="P1774" s="43">
        <v>-144</v>
      </c>
      <c r="Q1774" s="43">
        <v>0</v>
      </c>
      <c r="R1774" s="43">
        <v>0</v>
      </c>
      <c r="S1774" s="43">
        <v>0</v>
      </c>
      <c r="T1774" s="43">
        <v>0</v>
      </c>
      <c r="U1774" s="56"/>
    </row>
    <row r="1775" spans="1:21" ht="17.25" customHeight="1" x14ac:dyDescent="0.3">
      <c r="A1775" s="15" t="s">
        <v>30</v>
      </c>
      <c r="C1775" s="19"/>
      <c r="D1775" s="33" t="str">
        <f t="shared" si="440"/>
        <v>S100010</v>
      </c>
      <c r="E1775" s="33"/>
      <c r="F1775" s="34"/>
      <c r="G1775" s="34" t="str">
        <f>"""NAV Direct"",""CRONUS JetCorp USA"",""32"",""1"",""132515"""</f>
        <v>"NAV Direct","CRONUS JetCorp USA","32","1","132515"</v>
      </c>
      <c r="H1775" s="40">
        <v>43470</v>
      </c>
      <c r="I1775" s="41">
        <v>132515</v>
      </c>
      <c r="J1775" s="42" t="str">
        <f>"Customer"</f>
        <v>Customer</v>
      </c>
      <c r="K1775" s="42" t="str">
        <f>"C100029"</f>
        <v>C100029</v>
      </c>
      <c r="L1775" s="42" t="str">
        <f>IF($J1775="Customer",_xll.NL("first",$J1775,"Name","No.","@@"&amp;$K1775),"")</f>
        <v>Elkhorn Airport</v>
      </c>
      <c r="M1775" s="42" t="str">
        <f>""</f>
        <v/>
      </c>
      <c r="N1775" s="42" t="str">
        <f>IF($J1775="Item",_xll.NL("first",$J1775,"Description","No.","@@"&amp;$K1775),"")</f>
        <v/>
      </c>
      <c r="O1775" s="43">
        <v>0</v>
      </c>
      <c r="P1775" s="43">
        <v>-24</v>
      </c>
      <c r="Q1775" s="43">
        <v>0</v>
      </c>
      <c r="R1775" s="43">
        <v>0</v>
      </c>
      <c r="S1775" s="43">
        <v>0</v>
      </c>
      <c r="T1775" s="43">
        <v>0</v>
      </c>
      <c r="U1775" s="56"/>
    </row>
    <row r="1776" spans="1:21" ht="17.25" customHeight="1" x14ac:dyDescent="0.3">
      <c r="A1776" s="15" t="s">
        <v>30</v>
      </c>
      <c r="C1776" s="19"/>
      <c r="D1776" s="33" t="str">
        <f t="shared" si="440"/>
        <v>S100010</v>
      </c>
      <c r="E1776" s="33"/>
      <c r="F1776" s="34"/>
      <c r="G1776" s="34" t="str">
        <f>"""NAV Direct"",""CRONUS JetCorp USA"",""32"",""1"",""25236"""</f>
        <v>"NAV Direct","CRONUS JetCorp USA","32","1","25236"</v>
      </c>
      <c r="H1776" s="40">
        <v>43471</v>
      </c>
      <c r="I1776" s="41">
        <v>25236</v>
      </c>
      <c r="J1776" s="42" t="str">
        <f>"Customer"</f>
        <v>Customer</v>
      </c>
      <c r="K1776" s="42" t="str">
        <f>"C100102"</f>
        <v>C100102</v>
      </c>
      <c r="L1776" s="42" t="str">
        <f>IF($J1776="Customer",_xll.NL("first",$J1776,"Name","No.","@@"&amp;$K1776),"")</f>
        <v xml:space="preserve">BEI Outfitters </v>
      </c>
      <c r="M1776" s="42" t="str">
        <f>""</f>
        <v/>
      </c>
      <c r="N1776" s="42" t="str">
        <f>IF($J1776="Item",_xll.NL("first",$J1776,"Description","No.","@@"&amp;$K1776),"")</f>
        <v/>
      </c>
      <c r="O1776" s="43">
        <v>0</v>
      </c>
      <c r="P1776" s="43">
        <v>-144</v>
      </c>
      <c r="Q1776" s="43">
        <v>0</v>
      </c>
      <c r="R1776" s="43">
        <v>0</v>
      </c>
      <c r="S1776" s="43">
        <v>0</v>
      </c>
      <c r="T1776" s="43">
        <v>0</v>
      </c>
      <c r="U1776" s="56"/>
    </row>
    <row r="1777" spans="1:21" ht="17.25" customHeight="1" x14ac:dyDescent="0.3">
      <c r="A1777" s="15" t="s">
        <v>30</v>
      </c>
      <c r="C1777" s="19"/>
      <c r="D1777" s="33" t="str">
        <f t="shared" si="440"/>
        <v>S100010</v>
      </c>
      <c r="E1777" s="33"/>
      <c r="F1777" s="34"/>
      <c r="G1777" s="34" t="str">
        <f>"""NAV Direct"",""CRONUS JetCorp USA"",""32"",""1"",""20333"""</f>
        <v>"NAV Direct","CRONUS JetCorp USA","32","1","20333"</v>
      </c>
      <c r="H1777" s="40">
        <v>43472</v>
      </c>
      <c r="I1777" s="41">
        <v>20333</v>
      </c>
      <c r="J1777" s="42" t="str">
        <f>"Customer"</f>
        <v>Customer</v>
      </c>
      <c r="K1777" s="42" t="str">
        <f>"C100145"</f>
        <v>C100145</v>
      </c>
      <c r="L1777" s="42" t="str">
        <f>IF($J1777="Customer",_xll.NL("first",$J1777,"Name","No.","@@"&amp;$K1777),"")</f>
        <v>Dicon Industries</v>
      </c>
      <c r="M1777" s="42" t="str">
        <f>""</f>
        <v/>
      </c>
      <c r="N1777" s="42" t="str">
        <f>IF($J1777="Item",_xll.NL("first",$J1777,"Description","No.","@@"&amp;$K1777),"")</f>
        <v/>
      </c>
      <c r="O1777" s="43">
        <v>0</v>
      </c>
      <c r="P1777" s="43">
        <v>-144</v>
      </c>
      <c r="Q1777" s="43">
        <v>0</v>
      </c>
      <c r="R1777" s="43">
        <v>0</v>
      </c>
      <c r="S1777" s="43">
        <v>0</v>
      </c>
      <c r="T1777" s="43">
        <v>0</v>
      </c>
      <c r="U1777" s="56"/>
    </row>
    <row r="1778" spans="1:21" ht="17.25" customHeight="1" x14ac:dyDescent="0.3">
      <c r="A1778" s="15" t="s">
        <v>30</v>
      </c>
      <c r="C1778" s="19"/>
      <c r="D1778" s="33" t="str">
        <f t="shared" si="440"/>
        <v>S100010</v>
      </c>
      <c r="E1778" s="33"/>
      <c r="F1778" s="34"/>
      <c r="G1778" s="34" t="str">
        <f>"""NAV Direct"",""CRONUS JetCorp USA"",""32"",""1"",""25253"""</f>
        <v>"NAV Direct","CRONUS JetCorp USA","32","1","25253"</v>
      </c>
      <c r="H1778" s="40">
        <v>43472</v>
      </c>
      <c r="I1778" s="41">
        <v>25253</v>
      </c>
      <c r="J1778" s="42" t="str">
        <f>"Customer"</f>
        <v>Customer</v>
      </c>
      <c r="K1778" s="42" t="str">
        <f>"C100098"</f>
        <v>C100098</v>
      </c>
      <c r="L1778" s="42" t="str">
        <f>IF($J1778="Customer",_xll.NL("first",$J1778,"Name","No.","@@"&amp;$K1778),"")</f>
        <v>BlackCane Motor Works</v>
      </c>
      <c r="M1778" s="42" t="str">
        <f>""</f>
        <v/>
      </c>
      <c r="N1778" s="42" t="str">
        <f>IF($J1778="Item",_xll.NL("first",$J1778,"Description","No.","@@"&amp;$K1778),"")</f>
        <v/>
      </c>
      <c r="O1778" s="43">
        <v>0</v>
      </c>
      <c r="P1778" s="43">
        <v>-192</v>
      </c>
      <c r="Q1778" s="43">
        <v>0</v>
      </c>
      <c r="R1778" s="43">
        <v>0</v>
      </c>
      <c r="S1778" s="43">
        <v>0</v>
      </c>
      <c r="T1778" s="43">
        <v>0</v>
      </c>
      <c r="U1778" s="56"/>
    </row>
    <row r="1779" spans="1:21" ht="17.25" customHeight="1" x14ac:dyDescent="0.3">
      <c r="A1779" s="15" t="s">
        <v>30</v>
      </c>
      <c r="C1779" s="19"/>
      <c r="D1779" s="33" t="str">
        <f t="shared" si="440"/>
        <v>S100010</v>
      </c>
      <c r="E1779" s="33"/>
      <c r="F1779" s="34"/>
      <c r="G1779" s="34" t="str">
        <f>"""NAV Direct"",""CRONUS JetCorp USA"",""32"",""1"",""124540"""</f>
        <v>"NAV Direct","CRONUS JetCorp USA","32","1","124540"</v>
      </c>
      <c r="H1779" s="40">
        <v>43473</v>
      </c>
      <c r="I1779" s="41">
        <v>124540</v>
      </c>
      <c r="J1779" s="42" t="str">
        <f>"Customer"</f>
        <v>Customer</v>
      </c>
      <c r="K1779" s="42" t="str">
        <f>"C100035"</f>
        <v>C100035</v>
      </c>
      <c r="L1779" s="42" t="str">
        <f>IF($J1779="Customer",_xll.NL("first",$J1779,"Name","No.","@@"&amp;$K1779),"")</f>
        <v>First Touch Marketing</v>
      </c>
      <c r="M1779" s="42" t="str">
        <f>""</f>
        <v/>
      </c>
      <c r="N1779" s="42" t="str">
        <f>IF($J1779="Item",_xll.NL("first",$J1779,"Description","No.","@@"&amp;$K1779),"")</f>
        <v/>
      </c>
      <c r="O1779" s="43">
        <v>0</v>
      </c>
      <c r="P1779" s="43">
        <v>-144</v>
      </c>
      <c r="Q1779" s="43">
        <v>0</v>
      </c>
      <c r="R1779" s="43">
        <v>0</v>
      </c>
      <c r="S1779" s="43">
        <v>0</v>
      </c>
      <c r="T1779" s="43">
        <v>0</v>
      </c>
      <c r="U1779" s="56"/>
    </row>
    <row r="1780" spans="1:21" ht="17.25" customHeight="1" x14ac:dyDescent="0.3">
      <c r="A1780" s="15" t="s">
        <v>30</v>
      </c>
      <c r="C1780" s="19"/>
      <c r="D1780" s="33" t="str">
        <f t="shared" si="440"/>
        <v>S100010</v>
      </c>
      <c r="E1780" s="33"/>
      <c r="F1780" s="34"/>
      <c r="G1780" s="34" t="str">
        <f>"""NAV Direct"",""CRONUS JetCorp USA"",""32"",""1"",""20350"""</f>
        <v>"NAV Direct","CRONUS JetCorp USA","32","1","20350"</v>
      </c>
      <c r="H1780" s="40">
        <v>43475</v>
      </c>
      <c r="I1780" s="41">
        <v>20350</v>
      </c>
      <c r="J1780" s="42" t="str">
        <f>"Customer"</f>
        <v>Customer</v>
      </c>
      <c r="K1780" s="42" t="str">
        <f>"C100097"</f>
        <v>C100097</v>
      </c>
      <c r="L1780" s="42" t="str">
        <f>IF($J1780="Customer",_xll.NL("first",$J1780,"Name","No.","@@"&amp;$K1780),"")</f>
        <v>Solotech</v>
      </c>
      <c r="M1780" s="42" t="str">
        <f>""</f>
        <v/>
      </c>
      <c r="N1780" s="42" t="str">
        <f>IF($J1780="Item",_xll.NL("first",$J1780,"Description","No.","@@"&amp;$K1780),"")</f>
        <v/>
      </c>
      <c r="O1780" s="43">
        <v>0</v>
      </c>
      <c r="P1780" s="43">
        <v>-144</v>
      </c>
      <c r="Q1780" s="43">
        <v>0</v>
      </c>
      <c r="R1780" s="43">
        <v>0</v>
      </c>
      <c r="S1780" s="43">
        <v>0</v>
      </c>
      <c r="T1780" s="43">
        <v>0</v>
      </c>
      <c r="U1780" s="56"/>
    </row>
    <row r="1781" spans="1:21" ht="17.25" customHeight="1" x14ac:dyDescent="0.3">
      <c r="A1781" s="15" t="s">
        <v>30</v>
      </c>
      <c r="C1781" s="19"/>
      <c r="D1781" s="33" t="str">
        <f t="shared" si="440"/>
        <v>S100010</v>
      </c>
      <c r="E1781" s="33"/>
      <c r="F1781" s="34"/>
      <c r="G1781" s="34" t="str">
        <f>"""NAV Direct"",""CRONUS JetCorp USA"",""32"",""1"",""30118"""</f>
        <v>"NAV Direct","CRONUS JetCorp USA","32","1","30118"</v>
      </c>
      <c r="H1781" s="40">
        <v>43475</v>
      </c>
      <c r="I1781" s="41">
        <v>30118</v>
      </c>
      <c r="J1781" s="42" t="str">
        <f>"Customer"</f>
        <v>Customer</v>
      </c>
      <c r="K1781" s="42" t="str">
        <f>"C100012"</f>
        <v>C100012</v>
      </c>
      <c r="L1781" s="42" t="str">
        <f>IF($J1781="Customer",_xll.NL("first",$J1781,"Name","No.","@@"&amp;$K1781),"")</f>
        <v>Bainbridges</v>
      </c>
      <c r="M1781" s="42" t="str">
        <f>""</f>
        <v/>
      </c>
      <c r="N1781" s="42" t="str">
        <f>IF($J1781="Item",_xll.NL("first",$J1781,"Description","No.","@@"&amp;$K1781),"")</f>
        <v/>
      </c>
      <c r="O1781" s="43">
        <v>0</v>
      </c>
      <c r="P1781" s="43">
        <v>-1</v>
      </c>
      <c r="Q1781" s="43">
        <v>0</v>
      </c>
      <c r="R1781" s="43">
        <v>0</v>
      </c>
      <c r="S1781" s="43">
        <v>0</v>
      </c>
      <c r="T1781" s="43">
        <v>0</v>
      </c>
      <c r="U1781" s="56"/>
    </row>
    <row r="1782" spans="1:21" ht="17.25" customHeight="1" x14ac:dyDescent="0.3">
      <c r="A1782" s="15" t="s">
        <v>30</v>
      </c>
      <c r="C1782" s="19"/>
      <c r="D1782" s="33" t="str">
        <f t="shared" si="440"/>
        <v>S100010</v>
      </c>
      <c r="E1782" s="33"/>
      <c r="F1782" s="34"/>
      <c r="G1782" s="34" t="str">
        <f>"""NAV Direct"",""CRONUS JetCorp USA"",""32"",""1"",""34330"""</f>
        <v>"NAV Direct","CRONUS JetCorp USA","32","1","34330"</v>
      </c>
      <c r="H1782" s="40">
        <v>43475</v>
      </c>
      <c r="I1782" s="41">
        <v>34330</v>
      </c>
      <c r="J1782" s="42" t="str">
        <f>"Customer"</f>
        <v>Customer</v>
      </c>
      <c r="K1782" s="42" t="str">
        <f>"C100008"</f>
        <v>C100008</v>
      </c>
      <c r="L1782" s="42" t="str">
        <f>IF($J1782="Customer",_xll.NL("first",$J1782,"Name","No.","@@"&amp;$K1782),"")</f>
        <v>Blanemark Hifi Shop</v>
      </c>
      <c r="M1782" s="42" t="str">
        <f>""</f>
        <v/>
      </c>
      <c r="N1782" s="42" t="str">
        <f>IF($J1782="Item",_xll.NL("first",$J1782,"Description","No.","@@"&amp;$K1782),"")</f>
        <v/>
      </c>
      <c r="O1782" s="43">
        <v>0</v>
      </c>
      <c r="P1782" s="43">
        <v>-144</v>
      </c>
      <c r="Q1782" s="43">
        <v>0</v>
      </c>
      <c r="R1782" s="43">
        <v>0</v>
      </c>
      <c r="S1782" s="43">
        <v>0</v>
      </c>
      <c r="T1782" s="43">
        <v>0</v>
      </c>
      <c r="U1782" s="56"/>
    </row>
    <row r="1783" spans="1:21" ht="17.25" customHeight="1" x14ac:dyDescent="0.3">
      <c r="A1783" s="15" t="s">
        <v>30</v>
      </c>
      <c r="C1783" s="19"/>
      <c r="D1783" s="33" t="str">
        <f t="shared" si="440"/>
        <v>S100010</v>
      </c>
      <c r="E1783" s="33"/>
      <c r="F1783" s="34"/>
      <c r="G1783" s="34" t="str">
        <f>"""NAV Direct"",""CRONUS JetCorp USA"",""32"",""1"",""36478"""</f>
        <v>"NAV Direct","CRONUS JetCorp USA","32","1","36478"</v>
      </c>
      <c r="H1783" s="40">
        <v>43475</v>
      </c>
      <c r="I1783" s="41">
        <v>36478</v>
      </c>
      <c r="J1783" s="42" t="str">
        <f>"Customer"</f>
        <v>Customer</v>
      </c>
      <c r="K1783" s="42" t="str">
        <f>"C100063"</f>
        <v>C100063</v>
      </c>
      <c r="L1783" s="42" t="str">
        <f>IF($J1783="Customer",_xll.NL("first",$J1783,"Name","No.","@@"&amp;$K1783),"")</f>
        <v>Möbel Scherrer AG</v>
      </c>
      <c r="M1783" s="42" t="str">
        <f>""</f>
        <v/>
      </c>
      <c r="N1783" s="42" t="str">
        <f>IF($J1783="Item",_xll.NL("first",$J1783,"Description","No.","@@"&amp;$K1783),"")</f>
        <v/>
      </c>
      <c r="O1783" s="43">
        <v>0</v>
      </c>
      <c r="P1783" s="43">
        <v>-144</v>
      </c>
      <c r="Q1783" s="43">
        <v>0</v>
      </c>
      <c r="R1783" s="43">
        <v>0</v>
      </c>
      <c r="S1783" s="43">
        <v>0</v>
      </c>
      <c r="T1783" s="43">
        <v>0</v>
      </c>
      <c r="U1783" s="56"/>
    </row>
    <row r="1784" spans="1:21" ht="17.25" customHeight="1" x14ac:dyDescent="0.3">
      <c r="A1784" s="15" t="s">
        <v>30</v>
      </c>
      <c r="C1784" s="19"/>
      <c r="D1784" s="33" t="str">
        <f t="shared" si="440"/>
        <v>S100010</v>
      </c>
      <c r="E1784" s="33"/>
      <c r="F1784" s="34"/>
      <c r="G1784" s="34" t="str">
        <f>"""NAV Direct"",""CRONUS JetCorp USA"",""32"",""1"",""20399"""</f>
        <v>"NAV Direct","CRONUS JetCorp USA","32","1","20399"</v>
      </c>
      <c r="H1784" s="40">
        <v>43477</v>
      </c>
      <c r="I1784" s="41">
        <v>20399</v>
      </c>
      <c r="J1784" s="42" t="str">
        <f>"Customer"</f>
        <v>Customer</v>
      </c>
      <c r="K1784" s="42" t="str">
        <f>"C100039"</f>
        <v>C100039</v>
      </c>
      <c r="L1784" s="42" t="str">
        <f>IF($J1784="Customer",_xll.NL("first",$J1784,"Name","No.","@@"&amp;$K1784),"")</f>
        <v>Gary's Sports</v>
      </c>
      <c r="M1784" s="42" t="str">
        <f>""</f>
        <v/>
      </c>
      <c r="N1784" s="42" t="str">
        <f>IF($J1784="Item",_xll.NL("first",$J1784,"Description","No.","@@"&amp;$K1784),"")</f>
        <v/>
      </c>
      <c r="O1784" s="43">
        <v>0</v>
      </c>
      <c r="P1784" s="43">
        <v>-144</v>
      </c>
      <c r="Q1784" s="43">
        <v>0</v>
      </c>
      <c r="R1784" s="43">
        <v>0</v>
      </c>
      <c r="S1784" s="43">
        <v>0</v>
      </c>
      <c r="T1784" s="43">
        <v>0</v>
      </c>
      <c r="U1784" s="56"/>
    </row>
    <row r="1785" spans="1:21" ht="17.25" customHeight="1" x14ac:dyDescent="0.3">
      <c r="A1785" s="15" t="s">
        <v>30</v>
      </c>
      <c r="C1785" s="19"/>
      <c r="D1785" s="33" t="str">
        <f t="shared" si="440"/>
        <v>S100010</v>
      </c>
      <c r="E1785" s="33"/>
      <c r="F1785" s="34"/>
      <c r="G1785" s="34" t="str">
        <f>"""NAV Direct"",""CRONUS JetCorp USA"",""32"",""1"",""25283"""</f>
        <v>"NAV Direct","CRONUS JetCorp USA","32","1","25283"</v>
      </c>
      <c r="H1785" s="40">
        <v>43477</v>
      </c>
      <c r="I1785" s="41">
        <v>25283</v>
      </c>
      <c r="J1785" s="42" t="str">
        <f>"Customer"</f>
        <v>Customer</v>
      </c>
      <c r="K1785" s="42" t="str">
        <f>"C100138"</f>
        <v>C100138</v>
      </c>
      <c r="L1785" s="42" t="str">
        <f>IF($J1785="Customer",_xll.NL("first",$J1785,"Name","No.","@@"&amp;$K1785),"")</f>
        <v>Dantons</v>
      </c>
      <c r="M1785" s="42" t="str">
        <f>""</f>
        <v/>
      </c>
      <c r="N1785" s="42" t="str">
        <f>IF($J1785="Item",_xll.NL("first",$J1785,"Description","No.","@@"&amp;$K1785),"")</f>
        <v/>
      </c>
      <c r="O1785" s="43">
        <v>0</v>
      </c>
      <c r="P1785" s="43">
        <v>-145</v>
      </c>
      <c r="Q1785" s="43">
        <v>0</v>
      </c>
      <c r="R1785" s="43">
        <v>0</v>
      </c>
      <c r="S1785" s="43">
        <v>0</v>
      </c>
      <c r="T1785" s="43">
        <v>0</v>
      </c>
      <c r="U1785" s="56"/>
    </row>
    <row r="1786" spans="1:21" ht="17.25" customHeight="1" x14ac:dyDescent="0.3">
      <c r="A1786" s="15" t="s">
        <v>30</v>
      </c>
      <c r="C1786" s="19"/>
      <c r="D1786" s="33"/>
      <c r="E1786" s="33"/>
      <c r="F1786" s="34"/>
      <c r="G1786" s="34"/>
      <c r="H1786" s="34"/>
      <c r="I1786" s="34"/>
      <c r="J1786" s="34"/>
      <c r="K1786" s="34"/>
      <c r="L1786" s="34"/>
      <c r="M1786" s="34"/>
      <c r="N1786" s="34"/>
      <c r="O1786" s="44"/>
      <c r="P1786" s="44"/>
      <c r="Q1786" s="44"/>
      <c r="R1786" s="44"/>
      <c r="S1786" s="44"/>
      <c r="T1786" s="44"/>
      <c r="U1786" s="57"/>
    </row>
    <row r="1787" spans="1:21" ht="17.25" customHeight="1" x14ac:dyDescent="0.3">
      <c r="A1787" s="15" t="s">
        <v>30</v>
      </c>
      <c r="C1787" s="19"/>
      <c r="D1787" s="33"/>
      <c r="E1787" s="33" t="s">
        <v>31</v>
      </c>
      <c r="F1787" s="34" t="s">
        <v>31</v>
      </c>
      <c r="G1787" s="34" t="s">
        <v>31</v>
      </c>
      <c r="H1787" s="34"/>
      <c r="I1787" s="34"/>
      <c r="J1787" s="34" t="s">
        <v>31</v>
      </c>
      <c r="K1787" s="34" t="s">
        <v>31</v>
      </c>
      <c r="L1787" s="34" t="s">
        <v>31</v>
      </c>
      <c r="M1787" s="34" t="s">
        <v>31</v>
      </c>
      <c r="N1787" s="34"/>
      <c r="U1787" s="58"/>
    </row>
    <row r="1788" spans="1:21" ht="20.25" customHeight="1" x14ac:dyDescent="0.35">
      <c r="A1788" s="15" t="s">
        <v>30</v>
      </c>
      <c r="C1788" s="19"/>
      <c r="D1788" s="35" t="str">
        <f t="shared" ref="D1788" si="441">E1788</f>
        <v>S100011</v>
      </c>
      <c r="E1788" s="36" t="str">
        <f>"S100011"</f>
        <v>S100011</v>
      </c>
      <c r="F1788" s="37" t="str">
        <f>"All Star Cap"</f>
        <v>All Star Cap</v>
      </c>
      <c r="G1788" s="37"/>
      <c r="H1788" s="38" t="str">
        <f>"EA"</f>
        <v>EA</v>
      </c>
      <c r="I1788" s="37"/>
      <c r="J1788" s="37"/>
      <c r="K1788" s="37"/>
      <c r="L1788" s="37"/>
      <c r="M1788" s="37"/>
      <c r="N1788" s="37"/>
      <c r="O1788" s="39">
        <f>(SUBTOTAL(9,O1789:O1814))</f>
        <v>6800</v>
      </c>
      <c r="P1788" s="39">
        <f>(SUBTOTAL(9,P1789:P1814))</f>
        <v>-1299</v>
      </c>
      <c r="Q1788" s="39">
        <f>(SUBTOTAL(9,Q1789:Q1814))</f>
        <v>0</v>
      </c>
      <c r="R1788" s="39">
        <f>(SUBTOTAL(9,R1789:R1814))</f>
        <v>0</v>
      </c>
      <c r="S1788" s="39">
        <f>(SUBTOTAL(9,S1789:S1814))</f>
        <v>0</v>
      </c>
      <c r="T1788" s="39">
        <f>(SUBTOTAL(9,T1789:T1814))</f>
        <v>0</v>
      </c>
      <c r="U1788" s="55">
        <f t="shared" ref="U1788" si="442">SUBTOTAL(9,O1789:T1814)</f>
        <v>5501</v>
      </c>
    </row>
    <row r="1789" spans="1:21" ht="17.25" customHeight="1" x14ac:dyDescent="0.3">
      <c r="A1789" s="15" t="s">
        <v>30</v>
      </c>
      <c r="C1789" s="19"/>
      <c r="D1789" s="33" t="str">
        <f t="shared" ref="D1789" si="443">D1788</f>
        <v>S100011</v>
      </c>
      <c r="E1789" s="33"/>
      <c r="F1789" s="34"/>
      <c r="G1789" s="34" t="str">
        <f>"""NAV Direct"",""CRONUS JetCorp USA"",""32"",""1"",""167078"""</f>
        <v>"NAV Direct","CRONUS JetCorp USA","32","1","167078"</v>
      </c>
      <c r="H1789" s="40">
        <v>43466</v>
      </c>
      <c r="I1789" s="41">
        <v>167078</v>
      </c>
      <c r="J1789" s="42" t="str">
        <f>"Vendor"</f>
        <v>Vendor</v>
      </c>
      <c r="K1789" s="42" t="str">
        <f>"V100009"</f>
        <v>V100009</v>
      </c>
      <c r="L1789" s="42" t="str">
        <f>IF($J1789="Customer",_xll.NL("first",$J1789,"Name","No.","@@"&amp;$K1789),"")</f>
        <v/>
      </c>
      <c r="M1789" s="42" t="str">
        <f>"Malay-Dan Export Unit Sdn Bhd"</f>
        <v>Malay-Dan Export Unit Sdn Bhd</v>
      </c>
      <c r="N1789" s="42" t="str">
        <f>IF($J1789="Item",_xll.NL("first",$J1789,"Description","No.","@@"&amp;$K1789),"")</f>
        <v/>
      </c>
      <c r="O1789" s="43">
        <v>400</v>
      </c>
      <c r="P1789" s="43">
        <v>0</v>
      </c>
      <c r="Q1789" s="43">
        <v>0</v>
      </c>
      <c r="R1789" s="43">
        <v>0</v>
      </c>
      <c r="S1789" s="43">
        <v>0</v>
      </c>
      <c r="T1789" s="43">
        <v>0</v>
      </c>
      <c r="U1789" s="56"/>
    </row>
    <row r="1790" spans="1:21" ht="17.25" customHeight="1" x14ac:dyDescent="0.3">
      <c r="A1790" s="15" t="s">
        <v>30</v>
      </c>
      <c r="C1790" s="19"/>
      <c r="D1790" s="33" t="str">
        <f t="shared" ref="D1790:D1813" si="444">D1789</f>
        <v>S100011</v>
      </c>
      <c r="E1790" s="33"/>
      <c r="F1790" s="34"/>
      <c r="G1790" s="34" t="str">
        <f>"""NAV Direct"",""CRONUS JetCorp USA"",""32"",""1"",""167095"""</f>
        <v>"NAV Direct","CRONUS JetCorp USA","32","1","167095"</v>
      </c>
      <c r="H1790" s="40">
        <v>43466</v>
      </c>
      <c r="I1790" s="41">
        <v>167095</v>
      </c>
      <c r="J1790" s="42" t="str">
        <f>"Vendor"</f>
        <v>Vendor</v>
      </c>
      <c r="K1790" s="42" t="str">
        <f>"V100040"</f>
        <v>V100040</v>
      </c>
      <c r="L1790" s="42" t="str">
        <f>IF($J1790="Customer",_xll.NL("first",$J1790,"Name","No.","@@"&amp;$K1790),"")</f>
        <v/>
      </c>
      <c r="M1790" s="42" t="str">
        <f>"Technische Betriebe Rotkreuz"</f>
        <v>Technische Betriebe Rotkreuz</v>
      </c>
      <c r="N1790" s="42" t="str">
        <f>IF($J1790="Item",_xll.NL("first",$J1790,"Description","No.","@@"&amp;$K1790),"")</f>
        <v/>
      </c>
      <c r="O1790" s="43">
        <v>400</v>
      </c>
      <c r="P1790" s="43">
        <v>0</v>
      </c>
      <c r="Q1790" s="43">
        <v>0</v>
      </c>
      <c r="R1790" s="43">
        <v>0</v>
      </c>
      <c r="S1790" s="43">
        <v>0</v>
      </c>
      <c r="T1790" s="43">
        <v>0</v>
      </c>
      <c r="U1790" s="56"/>
    </row>
    <row r="1791" spans="1:21" ht="17.25" customHeight="1" x14ac:dyDescent="0.3">
      <c r="A1791" s="15" t="s">
        <v>30</v>
      </c>
      <c r="C1791" s="19"/>
      <c r="D1791" s="33" t="str">
        <f t="shared" si="444"/>
        <v>S100011</v>
      </c>
      <c r="E1791" s="33"/>
      <c r="F1791" s="34"/>
      <c r="G1791" s="34" t="str">
        <f>"""NAV Direct"",""CRONUS JetCorp USA"",""32"",""1"",""167107"""</f>
        <v>"NAV Direct","CRONUS JetCorp USA","32","1","167107"</v>
      </c>
      <c r="H1791" s="40">
        <v>43466</v>
      </c>
      <c r="I1791" s="41">
        <v>167107</v>
      </c>
      <c r="J1791" s="42" t="str">
        <f>"Vendor"</f>
        <v>Vendor</v>
      </c>
      <c r="K1791" s="42" t="str">
        <f>"V100001"</f>
        <v>V100001</v>
      </c>
      <c r="L1791" s="42" t="str">
        <f>IF($J1791="Customer",_xll.NL("first",$J1791,"Name","No.","@@"&amp;$K1791),"")</f>
        <v/>
      </c>
      <c r="M1791" s="42" t="str">
        <f>"Greigner, Inc."</f>
        <v>Greigner, Inc.</v>
      </c>
      <c r="N1791" s="42" t="str">
        <f>IF($J1791="Item",_xll.NL("first",$J1791,"Description","No.","@@"&amp;$K1791),"")</f>
        <v/>
      </c>
      <c r="O1791" s="43">
        <v>400</v>
      </c>
      <c r="P1791" s="43">
        <v>0</v>
      </c>
      <c r="Q1791" s="43">
        <v>0</v>
      </c>
      <c r="R1791" s="43">
        <v>0</v>
      </c>
      <c r="S1791" s="43">
        <v>0</v>
      </c>
      <c r="T1791" s="43">
        <v>0</v>
      </c>
      <c r="U1791" s="56"/>
    </row>
    <row r="1792" spans="1:21" ht="17.25" customHeight="1" x14ac:dyDescent="0.3">
      <c r="A1792" s="15" t="s">
        <v>30</v>
      </c>
      <c r="C1792" s="19"/>
      <c r="D1792" s="33" t="str">
        <f t="shared" si="444"/>
        <v>S100011</v>
      </c>
      <c r="E1792" s="33"/>
      <c r="F1792" s="34"/>
      <c r="G1792" s="34" t="str">
        <f>"""NAV Direct"",""CRONUS JetCorp USA"",""32"",""1"",""167116"""</f>
        <v>"NAV Direct","CRONUS JetCorp USA","32","1","167116"</v>
      </c>
      <c r="H1792" s="40">
        <v>43466</v>
      </c>
      <c r="I1792" s="41">
        <v>167116</v>
      </c>
      <c r="J1792" s="42" t="str">
        <f>"Vendor"</f>
        <v>Vendor</v>
      </c>
      <c r="K1792" s="42" t="str">
        <f>"V100007"</f>
        <v>V100007</v>
      </c>
      <c r="L1792" s="42" t="str">
        <f>IF($J1792="Customer",_xll.NL("first",$J1792,"Name","No.","@@"&amp;$K1792),"")</f>
        <v/>
      </c>
      <c r="M1792" s="42" t="str">
        <f>"TrendTech"</f>
        <v>TrendTech</v>
      </c>
      <c r="N1792" s="42" t="str">
        <f>IF($J1792="Item",_xll.NL("first",$J1792,"Description","No.","@@"&amp;$K1792),"")</f>
        <v/>
      </c>
      <c r="O1792" s="43">
        <v>800</v>
      </c>
      <c r="P1792" s="43">
        <v>0</v>
      </c>
      <c r="Q1792" s="43">
        <v>0</v>
      </c>
      <c r="R1792" s="43">
        <v>0</v>
      </c>
      <c r="S1792" s="43">
        <v>0</v>
      </c>
      <c r="T1792" s="43">
        <v>0</v>
      </c>
      <c r="U1792" s="56"/>
    </row>
    <row r="1793" spans="1:21" ht="17.25" customHeight="1" x14ac:dyDescent="0.3">
      <c r="A1793" s="15" t="s">
        <v>30</v>
      </c>
      <c r="C1793" s="19"/>
      <c r="D1793" s="33" t="str">
        <f t="shared" si="444"/>
        <v>S100011</v>
      </c>
      <c r="E1793" s="33"/>
      <c r="F1793" s="34"/>
      <c r="G1793" s="34" t="str">
        <f>"""NAV Direct"",""CRONUS JetCorp USA"",""32"",""1"",""167134"""</f>
        <v>"NAV Direct","CRONUS JetCorp USA","32","1","167134"</v>
      </c>
      <c r="H1793" s="40">
        <v>43466</v>
      </c>
      <c r="I1793" s="41">
        <v>167134</v>
      </c>
      <c r="J1793" s="42" t="str">
        <f>"Vendor"</f>
        <v>Vendor</v>
      </c>
      <c r="K1793" s="42" t="str">
        <f>"V100001"</f>
        <v>V100001</v>
      </c>
      <c r="L1793" s="42" t="str">
        <f>IF($J1793="Customer",_xll.NL("first",$J1793,"Name","No.","@@"&amp;$K1793),"")</f>
        <v/>
      </c>
      <c r="M1793" s="42" t="str">
        <f>"Greigner, Inc."</f>
        <v>Greigner, Inc.</v>
      </c>
      <c r="N1793" s="42" t="str">
        <f>IF($J1793="Item",_xll.NL("first",$J1793,"Description","No.","@@"&amp;$K1793),"")</f>
        <v/>
      </c>
      <c r="O1793" s="43">
        <v>2800</v>
      </c>
      <c r="P1793" s="43">
        <v>0</v>
      </c>
      <c r="Q1793" s="43">
        <v>0</v>
      </c>
      <c r="R1793" s="43">
        <v>0</v>
      </c>
      <c r="S1793" s="43">
        <v>0</v>
      </c>
      <c r="T1793" s="43">
        <v>0</v>
      </c>
      <c r="U1793" s="56"/>
    </row>
    <row r="1794" spans="1:21" ht="17.25" customHeight="1" x14ac:dyDescent="0.3">
      <c r="A1794" s="15" t="s">
        <v>30</v>
      </c>
      <c r="C1794" s="19"/>
      <c r="D1794" s="33" t="str">
        <f t="shared" si="444"/>
        <v>S100011</v>
      </c>
      <c r="E1794" s="33"/>
      <c r="F1794" s="34"/>
      <c r="G1794" s="34" t="str">
        <f>"""NAV Direct"",""CRONUS JetCorp USA"",""32"",""1"",""167158"""</f>
        <v>"NAV Direct","CRONUS JetCorp USA","32","1","167158"</v>
      </c>
      <c r="H1794" s="40">
        <v>43466</v>
      </c>
      <c r="I1794" s="41">
        <v>167158</v>
      </c>
      <c r="J1794" s="42" t="str">
        <f>"Vendor"</f>
        <v>Vendor</v>
      </c>
      <c r="K1794" s="42" t="str">
        <f>"V100003"</f>
        <v>V100003</v>
      </c>
      <c r="L1794" s="42" t="str">
        <f>IF($J1794="Customer",_xll.NL("first",$J1794,"Name","No.","@@"&amp;$K1794),"")</f>
        <v/>
      </c>
      <c r="M1794" s="42" t="str">
        <f>"LogoMasters"</f>
        <v>LogoMasters</v>
      </c>
      <c r="N1794" s="42" t="str">
        <f>IF($J1794="Item",_xll.NL("first",$J1794,"Description","No.","@@"&amp;$K1794),"")</f>
        <v/>
      </c>
      <c r="O1794" s="43">
        <v>1600</v>
      </c>
      <c r="P1794" s="43">
        <v>0</v>
      </c>
      <c r="Q1794" s="43">
        <v>0</v>
      </c>
      <c r="R1794" s="43">
        <v>0</v>
      </c>
      <c r="S1794" s="43">
        <v>0</v>
      </c>
      <c r="T1794" s="43">
        <v>0</v>
      </c>
      <c r="U1794" s="56"/>
    </row>
    <row r="1795" spans="1:21" ht="17.25" customHeight="1" x14ac:dyDescent="0.3">
      <c r="A1795" s="15" t="s">
        <v>30</v>
      </c>
      <c r="C1795" s="19"/>
      <c r="D1795" s="33" t="str">
        <f t="shared" si="444"/>
        <v>S100011</v>
      </c>
      <c r="E1795" s="33"/>
      <c r="F1795" s="34"/>
      <c r="G1795" s="34" t="str">
        <f>"""NAV Direct"",""CRONUS JetCorp USA"",""32"",""1"",""167169"""</f>
        <v>"NAV Direct","CRONUS JetCorp USA","32","1","167169"</v>
      </c>
      <c r="H1795" s="40">
        <v>43466</v>
      </c>
      <c r="I1795" s="41">
        <v>167169</v>
      </c>
      <c r="J1795" s="42" t="str">
        <f>"Vendor"</f>
        <v>Vendor</v>
      </c>
      <c r="K1795" s="42" t="str">
        <f>"V100001"</f>
        <v>V100001</v>
      </c>
      <c r="L1795" s="42" t="str">
        <f>IF($J1795="Customer",_xll.NL("first",$J1795,"Name","No.","@@"&amp;$K1795),"")</f>
        <v/>
      </c>
      <c r="M1795" s="42" t="str">
        <f>"Greigner, Inc."</f>
        <v>Greigner, Inc.</v>
      </c>
      <c r="N1795" s="42" t="str">
        <f>IF($J1795="Item",_xll.NL("first",$J1795,"Description","No.","@@"&amp;$K1795),"")</f>
        <v/>
      </c>
      <c r="O1795" s="43">
        <v>400</v>
      </c>
      <c r="P1795" s="43">
        <v>0</v>
      </c>
      <c r="Q1795" s="43">
        <v>0</v>
      </c>
      <c r="R1795" s="43">
        <v>0</v>
      </c>
      <c r="S1795" s="43">
        <v>0</v>
      </c>
      <c r="T1795" s="43">
        <v>0</v>
      </c>
      <c r="U1795" s="56"/>
    </row>
    <row r="1796" spans="1:21" ht="17.25" customHeight="1" x14ac:dyDescent="0.3">
      <c r="A1796" s="15" t="s">
        <v>30</v>
      </c>
      <c r="C1796" s="19"/>
      <c r="D1796" s="33" t="str">
        <f t="shared" si="444"/>
        <v>S100011</v>
      </c>
      <c r="E1796" s="33"/>
      <c r="F1796" s="34"/>
      <c r="G1796" s="34" t="str">
        <f>"""NAV Direct"",""CRONUS JetCorp USA"",""32"",""1"",""20376"""</f>
        <v>"NAV Direct","CRONUS JetCorp USA","32","1","20376"</v>
      </c>
      <c r="H1796" s="40">
        <v>43468</v>
      </c>
      <c r="I1796" s="41">
        <v>20376</v>
      </c>
      <c r="J1796" s="42" t="str">
        <f>"Customer"</f>
        <v>Customer</v>
      </c>
      <c r="K1796" s="42" t="str">
        <f>"C100145"</f>
        <v>C100145</v>
      </c>
      <c r="L1796" s="42" t="str">
        <f>IF($J1796="Customer",_xll.NL("first",$J1796,"Name","No.","@@"&amp;$K1796),"")</f>
        <v>Dicon Industries</v>
      </c>
      <c r="M1796" s="42" t="str">
        <f>""</f>
        <v/>
      </c>
      <c r="N1796" s="42" t="str">
        <f>IF($J1796="Item",_xll.NL("first",$J1796,"Description","No.","@@"&amp;$K1796),"")</f>
        <v/>
      </c>
      <c r="O1796" s="43">
        <v>0</v>
      </c>
      <c r="P1796" s="43">
        <v>-1</v>
      </c>
      <c r="Q1796" s="43">
        <v>0</v>
      </c>
      <c r="R1796" s="43">
        <v>0</v>
      </c>
      <c r="S1796" s="43">
        <v>0</v>
      </c>
      <c r="T1796" s="43">
        <v>0</v>
      </c>
      <c r="U1796" s="56"/>
    </row>
    <row r="1797" spans="1:21" ht="17.25" customHeight="1" x14ac:dyDescent="0.3">
      <c r="A1797" s="15" t="s">
        <v>30</v>
      </c>
      <c r="C1797" s="19"/>
      <c r="D1797" s="33" t="str">
        <f t="shared" si="444"/>
        <v>S100011</v>
      </c>
      <c r="E1797" s="33"/>
      <c r="F1797" s="34"/>
      <c r="G1797" s="34" t="str">
        <f>"""NAV Direct"",""CRONUS JetCorp USA"",""32"",""1"",""25247"""</f>
        <v>"NAV Direct","CRONUS JetCorp USA","32","1","25247"</v>
      </c>
      <c r="H1797" s="40">
        <v>43471</v>
      </c>
      <c r="I1797" s="41">
        <v>25247</v>
      </c>
      <c r="J1797" s="42" t="str">
        <f>"Customer"</f>
        <v>Customer</v>
      </c>
      <c r="K1797" s="42" t="str">
        <f>"C100102"</f>
        <v>C100102</v>
      </c>
      <c r="L1797" s="42" t="str">
        <f>IF($J1797="Customer",_xll.NL("first",$J1797,"Name","No.","@@"&amp;$K1797),"")</f>
        <v xml:space="preserve">BEI Outfitters </v>
      </c>
      <c r="M1797" s="42" t="str">
        <f>""</f>
        <v/>
      </c>
      <c r="N1797" s="42" t="str">
        <f>IF($J1797="Item",_xll.NL("first",$J1797,"Description","No.","@@"&amp;$K1797),"")</f>
        <v/>
      </c>
      <c r="O1797" s="43">
        <v>0</v>
      </c>
      <c r="P1797" s="43">
        <v>-12</v>
      </c>
      <c r="Q1797" s="43">
        <v>0</v>
      </c>
      <c r="R1797" s="43">
        <v>0</v>
      </c>
      <c r="S1797" s="43">
        <v>0</v>
      </c>
      <c r="T1797" s="43">
        <v>0</v>
      </c>
      <c r="U1797" s="56"/>
    </row>
    <row r="1798" spans="1:21" ht="17.25" customHeight="1" x14ac:dyDescent="0.3">
      <c r="A1798" s="15" t="s">
        <v>30</v>
      </c>
      <c r="C1798" s="19"/>
      <c r="D1798" s="33" t="str">
        <f t="shared" si="444"/>
        <v>S100011</v>
      </c>
      <c r="E1798" s="33"/>
      <c r="F1798" s="34"/>
      <c r="G1798" s="34" t="str">
        <f>"""NAV Direct"",""CRONUS JetCorp USA"",""32"",""1"",""72525"""</f>
        <v>"NAV Direct","CRONUS JetCorp USA","32","1","72525"</v>
      </c>
      <c r="H1798" s="40">
        <v>43471</v>
      </c>
      <c r="I1798" s="41">
        <v>72525</v>
      </c>
      <c r="J1798" s="42" t="str">
        <f>"Customer"</f>
        <v>Customer</v>
      </c>
      <c r="K1798" s="42" t="str">
        <f>"C100107"</f>
        <v>C100107</v>
      </c>
      <c r="L1798" s="42" t="str">
        <f>IF($J1798="Customer",_xll.NL("first",$J1798,"Name","No.","@@"&amp;$K1798),"")</f>
        <v>Lexitechnology</v>
      </c>
      <c r="M1798" s="42" t="str">
        <f>""</f>
        <v/>
      </c>
      <c r="N1798" s="42" t="str">
        <f>IF($J1798="Item",_xll.NL("first",$J1798,"Description","No.","@@"&amp;$K1798),"")</f>
        <v/>
      </c>
      <c r="O1798" s="43">
        <v>0</v>
      </c>
      <c r="P1798" s="43">
        <v>-12</v>
      </c>
      <c r="Q1798" s="43">
        <v>0</v>
      </c>
      <c r="R1798" s="43">
        <v>0</v>
      </c>
      <c r="S1798" s="43">
        <v>0</v>
      </c>
      <c r="T1798" s="43">
        <v>0</v>
      </c>
      <c r="U1798" s="56"/>
    </row>
    <row r="1799" spans="1:21" ht="17.25" customHeight="1" x14ac:dyDescent="0.3">
      <c r="A1799" s="15" t="s">
        <v>30</v>
      </c>
      <c r="C1799" s="19"/>
      <c r="D1799" s="33" t="str">
        <f t="shared" si="444"/>
        <v>S100011</v>
      </c>
      <c r="E1799" s="33"/>
      <c r="F1799" s="34"/>
      <c r="G1799" s="34" t="str">
        <f>"""NAV Direct"",""CRONUS JetCorp USA"",""32"",""1"",""25259"""</f>
        <v>"NAV Direct","CRONUS JetCorp USA","32","1","25259"</v>
      </c>
      <c r="H1799" s="40">
        <v>43472</v>
      </c>
      <c r="I1799" s="41">
        <v>25259</v>
      </c>
      <c r="J1799" s="42" t="str">
        <f>"Customer"</f>
        <v>Customer</v>
      </c>
      <c r="K1799" s="42" t="str">
        <f>"C100098"</f>
        <v>C100098</v>
      </c>
      <c r="L1799" s="42" t="str">
        <f>IF($J1799="Customer",_xll.NL("first",$J1799,"Name","No.","@@"&amp;$K1799),"")</f>
        <v>BlackCane Motor Works</v>
      </c>
      <c r="M1799" s="42" t="str">
        <f>""</f>
        <v/>
      </c>
      <c r="N1799" s="42" t="str">
        <f>IF($J1799="Item",_xll.NL("first",$J1799,"Description","No.","@@"&amp;$K1799),"")</f>
        <v/>
      </c>
      <c r="O1799" s="43">
        <v>0</v>
      </c>
      <c r="P1799" s="43">
        <v>-48</v>
      </c>
      <c r="Q1799" s="43">
        <v>0</v>
      </c>
      <c r="R1799" s="43">
        <v>0</v>
      </c>
      <c r="S1799" s="43">
        <v>0</v>
      </c>
      <c r="T1799" s="43">
        <v>0</v>
      </c>
      <c r="U1799" s="56"/>
    </row>
    <row r="1800" spans="1:21" ht="17.25" customHeight="1" x14ac:dyDescent="0.3">
      <c r="A1800" s="15" t="s">
        <v>30</v>
      </c>
      <c r="C1800" s="19"/>
      <c r="D1800" s="33" t="str">
        <f t="shared" si="444"/>
        <v>S100011</v>
      </c>
      <c r="E1800" s="33"/>
      <c r="F1800" s="34"/>
      <c r="G1800" s="34" t="str">
        <f>"""NAV Direct"",""CRONUS JetCorp USA"",""32"",""1"",""44477"""</f>
        <v>"NAV Direct","CRONUS JetCorp USA","32","1","44477"</v>
      </c>
      <c r="H1800" s="40">
        <v>43472</v>
      </c>
      <c r="I1800" s="41">
        <v>44477</v>
      </c>
      <c r="J1800" s="42" t="str">
        <f>"Customer"</f>
        <v>Customer</v>
      </c>
      <c r="K1800" s="42" t="str">
        <f>"C100141"</f>
        <v>C100141</v>
      </c>
      <c r="L1800" s="42" t="str">
        <f>IF($J1800="Customer",_xll.NL("first",$J1800,"Name","No.","@@"&amp;$K1800),"")</f>
        <v>Bargottis</v>
      </c>
      <c r="M1800" s="42" t="str">
        <f>""</f>
        <v/>
      </c>
      <c r="N1800" s="42" t="str">
        <f>IF($J1800="Item",_xll.NL("first",$J1800,"Description","No.","@@"&amp;$K1800),"")</f>
        <v/>
      </c>
      <c r="O1800" s="43">
        <v>0</v>
      </c>
      <c r="P1800" s="43">
        <v>-144</v>
      </c>
      <c r="Q1800" s="43">
        <v>0</v>
      </c>
      <c r="R1800" s="43">
        <v>0</v>
      </c>
      <c r="S1800" s="43">
        <v>0</v>
      </c>
      <c r="T1800" s="43">
        <v>0</v>
      </c>
      <c r="U1800" s="56"/>
    </row>
    <row r="1801" spans="1:21" ht="17.25" customHeight="1" x14ac:dyDescent="0.3">
      <c r="A1801" s="15" t="s">
        <v>30</v>
      </c>
      <c r="C1801" s="19"/>
      <c r="D1801" s="33" t="str">
        <f t="shared" si="444"/>
        <v>S100011</v>
      </c>
      <c r="E1801" s="33"/>
      <c r="F1801" s="34"/>
      <c r="G1801" s="34" t="str">
        <f>"""NAV Direct"",""CRONUS JetCorp USA"",""32"",""1"",""54735"""</f>
        <v>"NAV Direct","CRONUS JetCorp USA","32","1","54735"</v>
      </c>
      <c r="H1801" s="40">
        <v>43472</v>
      </c>
      <c r="I1801" s="41">
        <v>54735</v>
      </c>
      <c r="J1801" s="42" t="str">
        <f>"Customer"</f>
        <v>Customer</v>
      </c>
      <c r="K1801" s="42" t="str">
        <f>"C100084"</f>
        <v>C100084</v>
      </c>
      <c r="L1801" s="42" t="str">
        <f>IF($J1801="Customer",_xll.NL("first",$J1801,"Name","No.","@@"&amp;$K1801),"")</f>
        <v>The Cannon Group PLC</v>
      </c>
      <c r="M1801" s="42" t="str">
        <f>""</f>
        <v/>
      </c>
      <c r="N1801" s="42" t="str">
        <f>IF($J1801="Item",_xll.NL("first",$J1801,"Description","No.","@@"&amp;$K1801),"")</f>
        <v/>
      </c>
      <c r="O1801" s="43">
        <v>0</v>
      </c>
      <c r="P1801" s="43">
        <v>-144</v>
      </c>
      <c r="Q1801" s="43">
        <v>0</v>
      </c>
      <c r="R1801" s="43">
        <v>0</v>
      </c>
      <c r="S1801" s="43">
        <v>0</v>
      </c>
      <c r="T1801" s="43">
        <v>0</v>
      </c>
      <c r="U1801" s="56"/>
    </row>
    <row r="1802" spans="1:21" ht="17.25" customHeight="1" x14ac:dyDescent="0.3">
      <c r="A1802" s="15" t="s">
        <v>30</v>
      </c>
      <c r="C1802" s="19"/>
      <c r="D1802" s="33" t="str">
        <f t="shared" si="444"/>
        <v>S100011</v>
      </c>
      <c r="E1802" s="33"/>
      <c r="F1802" s="34"/>
      <c r="G1802" s="34" t="str">
        <f>"""NAV Direct"",""CRONUS JetCorp USA"",""32"",""1"",""64601"""</f>
        <v>"NAV Direct","CRONUS JetCorp USA","32","1","64601"</v>
      </c>
      <c r="H1802" s="40">
        <v>43472</v>
      </c>
      <c r="I1802" s="41">
        <v>64601</v>
      </c>
      <c r="J1802" s="42" t="str">
        <f>"Customer"</f>
        <v>Customer</v>
      </c>
      <c r="K1802" s="42" t="str">
        <f>"C100140"</f>
        <v>C100140</v>
      </c>
      <c r="L1802" s="42" t="str">
        <f>IF($J1802="Customer",_xll.NL("first",$J1802,"Name","No.","@@"&amp;$K1802),"")</f>
        <v>Super Daves</v>
      </c>
      <c r="M1802" s="42" t="str">
        <f>""</f>
        <v/>
      </c>
      <c r="N1802" s="42" t="str">
        <f>IF($J1802="Item",_xll.NL("first",$J1802,"Description","No.","@@"&amp;$K1802),"")</f>
        <v/>
      </c>
      <c r="O1802" s="43">
        <v>0</v>
      </c>
      <c r="P1802" s="43">
        <v>-144</v>
      </c>
      <c r="Q1802" s="43">
        <v>0</v>
      </c>
      <c r="R1802" s="43">
        <v>0</v>
      </c>
      <c r="S1802" s="43">
        <v>0</v>
      </c>
      <c r="T1802" s="43">
        <v>0</v>
      </c>
      <c r="U1802" s="56"/>
    </row>
    <row r="1803" spans="1:21" ht="17.25" customHeight="1" x14ac:dyDescent="0.3">
      <c r="A1803" s="15" t="s">
        <v>30</v>
      </c>
      <c r="C1803" s="19"/>
      <c r="D1803" s="33" t="str">
        <f t="shared" si="444"/>
        <v>S100011</v>
      </c>
      <c r="E1803" s="33"/>
      <c r="F1803" s="34"/>
      <c r="G1803" s="34" t="str">
        <f>"""NAV Direct"",""CRONUS JetCorp USA"",""32"",""1"",""20394"""</f>
        <v>"NAV Direct","CRONUS JetCorp USA","32","1","20394"</v>
      </c>
      <c r="H1803" s="40">
        <v>43473</v>
      </c>
      <c r="I1803" s="41">
        <v>20394</v>
      </c>
      <c r="J1803" s="42" t="str">
        <f>"Customer"</f>
        <v>Customer</v>
      </c>
      <c r="K1803" s="42" t="str">
        <f>"C100130"</f>
        <v>C100130</v>
      </c>
      <c r="L1803" s="42" t="str">
        <f>IF($J1803="Customer",_xll.NL("first",$J1803,"Name","No.","@@"&amp;$K1803),"")</f>
        <v>Hotspot Systems</v>
      </c>
      <c r="M1803" s="42" t="str">
        <f>""</f>
        <v/>
      </c>
      <c r="N1803" s="42" t="str">
        <f>IF($J1803="Item",_xll.NL("first",$J1803,"Description","No.","@@"&amp;$K1803),"")</f>
        <v/>
      </c>
      <c r="O1803" s="43">
        <v>0</v>
      </c>
      <c r="P1803" s="43">
        <v>-1</v>
      </c>
      <c r="Q1803" s="43">
        <v>0</v>
      </c>
      <c r="R1803" s="43">
        <v>0</v>
      </c>
      <c r="S1803" s="43">
        <v>0</v>
      </c>
      <c r="T1803" s="43">
        <v>0</v>
      </c>
      <c r="U1803" s="56"/>
    </row>
    <row r="1804" spans="1:21" ht="17.25" customHeight="1" x14ac:dyDescent="0.3">
      <c r="A1804" s="15" t="s">
        <v>30</v>
      </c>
      <c r="C1804" s="19"/>
      <c r="D1804" s="33" t="str">
        <f t="shared" si="444"/>
        <v>S100011</v>
      </c>
      <c r="E1804" s="33"/>
      <c r="F1804" s="34"/>
      <c r="G1804" s="34" t="str">
        <f>"""NAV Direct"",""CRONUS JetCorp USA"",""32"",""1"",""34314"""</f>
        <v>"NAV Direct","CRONUS JetCorp USA","32","1","34314"</v>
      </c>
      <c r="H1804" s="40">
        <v>43473</v>
      </c>
      <c r="I1804" s="41">
        <v>34314</v>
      </c>
      <c r="J1804" s="42" t="str">
        <f>"Customer"</f>
        <v>Customer</v>
      </c>
      <c r="K1804" s="42" t="str">
        <f>"C100059"</f>
        <v>C100059</v>
      </c>
      <c r="L1804" s="42" t="str">
        <f>IF($J1804="Customer",_xll.NL("first",$J1804,"Name","No.","@@"&amp;$K1804),"")</f>
        <v>Meersen Meubelen</v>
      </c>
      <c r="M1804" s="42" t="str">
        <f>""</f>
        <v/>
      </c>
      <c r="N1804" s="42" t="str">
        <f>IF($J1804="Item",_xll.NL("first",$J1804,"Description","No.","@@"&amp;$K1804),"")</f>
        <v/>
      </c>
      <c r="O1804" s="43">
        <v>0</v>
      </c>
      <c r="P1804" s="43">
        <v>-144</v>
      </c>
      <c r="Q1804" s="43">
        <v>0</v>
      </c>
      <c r="R1804" s="43">
        <v>0</v>
      </c>
      <c r="S1804" s="43">
        <v>0</v>
      </c>
      <c r="T1804" s="43">
        <v>0</v>
      </c>
      <c r="U1804" s="56"/>
    </row>
    <row r="1805" spans="1:21" ht="17.25" customHeight="1" x14ac:dyDescent="0.3">
      <c r="A1805" s="15" t="s">
        <v>30</v>
      </c>
      <c r="C1805" s="19"/>
      <c r="D1805" s="33" t="str">
        <f t="shared" si="444"/>
        <v>S100011</v>
      </c>
      <c r="E1805" s="33"/>
      <c r="F1805" s="34"/>
      <c r="G1805" s="34" t="str">
        <f>"""NAV Direct"",""CRONUS JetCorp USA"",""32"",""1"",""44529"""</f>
        <v>"NAV Direct","CRONUS JetCorp USA","32","1","44529"</v>
      </c>
      <c r="H1805" s="40">
        <v>43473</v>
      </c>
      <c r="I1805" s="41">
        <v>44529</v>
      </c>
      <c r="J1805" s="42" t="str">
        <f>"Customer"</f>
        <v>Customer</v>
      </c>
      <c r="K1805" s="42" t="str">
        <f>"C100139"</f>
        <v>C100139</v>
      </c>
      <c r="L1805" s="42" t="str">
        <f>IF($J1805="Customer",_xll.NL("first",$J1805,"Name","No.","@@"&amp;$K1805),"")</f>
        <v>Gamma Ray's</v>
      </c>
      <c r="M1805" s="42" t="str">
        <f>""</f>
        <v/>
      </c>
      <c r="N1805" s="42" t="str">
        <f>IF($J1805="Item",_xll.NL("first",$J1805,"Description","No.","@@"&amp;$K1805),"")</f>
        <v/>
      </c>
      <c r="O1805" s="43">
        <v>0</v>
      </c>
      <c r="P1805" s="43">
        <v>-168</v>
      </c>
      <c r="Q1805" s="43">
        <v>0</v>
      </c>
      <c r="R1805" s="43">
        <v>0</v>
      </c>
      <c r="S1805" s="43">
        <v>0</v>
      </c>
      <c r="T1805" s="43">
        <v>0</v>
      </c>
      <c r="U1805" s="56"/>
    </row>
    <row r="1806" spans="1:21" ht="17.25" customHeight="1" x14ac:dyDescent="0.3">
      <c r="A1806" s="15" t="s">
        <v>30</v>
      </c>
      <c r="C1806" s="19"/>
      <c r="D1806" s="33" t="str">
        <f t="shared" si="444"/>
        <v>S100011</v>
      </c>
      <c r="E1806" s="33"/>
      <c r="F1806" s="34"/>
      <c r="G1806" s="34" t="str">
        <f>"""NAV Direct"",""CRONUS JetCorp USA"",""32"",""1"",""124557"""</f>
        <v>"NAV Direct","CRONUS JetCorp USA","32","1","124557"</v>
      </c>
      <c r="H1806" s="40">
        <v>43473</v>
      </c>
      <c r="I1806" s="41">
        <v>124557</v>
      </c>
      <c r="J1806" s="42" t="str">
        <f>"Customer"</f>
        <v>Customer</v>
      </c>
      <c r="K1806" s="42" t="str">
        <f>"C100035"</f>
        <v>C100035</v>
      </c>
      <c r="L1806" s="42" t="str">
        <f>IF($J1806="Customer",_xll.NL("first",$J1806,"Name","No.","@@"&amp;$K1806),"")</f>
        <v>First Touch Marketing</v>
      </c>
      <c r="M1806" s="42" t="str">
        <f>""</f>
        <v/>
      </c>
      <c r="N1806" s="42" t="str">
        <f>IF($J1806="Item",_xll.NL("first",$J1806,"Description","No.","@@"&amp;$K1806),"")</f>
        <v/>
      </c>
      <c r="O1806" s="43">
        <v>0</v>
      </c>
      <c r="P1806" s="43">
        <v>-6</v>
      </c>
      <c r="Q1806" s="43">
        <v>0</v>
      </c>
      <c r="R1806" s="43">
        <v>0</v>
      </c>
      <c r="S1806" s="43">
        <v>0</v>
      </c>
      <c r="T1806" s="43">
        <v>0</v>
      </c>
      <c r="U1806" s="56"/>
    </row>
    <row r="1807" spans="1:21" ht="17.25" customHeight="1" x14ac:dyDescent="0.3">
      <c r="A1807" s="15" t="s">
        <v>30</v>
      </c>
      <c r="C1807" s="19"/>
      <c r="D1807" s="33" t="str">
        <f t="shared" si="444"/>
        <v>S100011</v>
      </c>
      <c r="E1807" s="33"/>
      <c r="F1807" s="34"/>
      <c r="G1807" s="34" t="str">
        <f>"""NAV Direct"",""CRONUS JetCorp USA"",""32"",""1"",""30066"""</f>
        <v>"NAV Direct","CRONUS JetCorp USA","32","1","30066"</v>
      </c>
      <c r="H1807" s="40">
        <v>43474</v>
      </c>
      <c r="I1807" s="41">
        <v>30066</v>
      </c>
      <c r="J1807" s="42" t="str">
        <f>"Customer"</f>
        <v>Customer</v>
      </c>
      <c r="K1807" s="42" t="str">
        <f>"C100086"</f>
        <v>C100086</v>
      </c>
      <c r="L1807" s="42" t="str">
        <f>IF($J1807="Customer",_xll.NL("first",$J1807,"Name","No.","@@"&amp;$K1807),"")</f>
        <v>Top Action Sports</v>
      </c>
      <c r="M1807" s="42" t="str">
        <f>""</f>
        <v/>
      </c>
      <c r="N1807" s="42" t="str">
        <f>IF($J1807="Item",_xll.NL("first",$J1807,"Description","No.","@@"&amp;$K1807),"")</f>
        <v/>
      </c>
      <c r="O1807" s="43">
        <v>0</v>
      </c>
      <c r="P1807" s="43">
        <v>-6</v>
      </c>
      <c r="Q1807" s="43">
        <v>0</v>
      </c>
      <c r="R1807" s="43">
        <v>0</v>
      </c>
      <c r="S1807" s="43">
        <v>0</v>
      </c>
      <c r="T1807" s="43">
        <v>0</v>
      </c>
      <c r="U1807" s="56"/>
    </row>
    <row r="1808" spans="1:21" ht="17.25" customHeight="1" x14ac:dyDescent="0.3">
      <c r="A1808" s="15" t="s">
        <v>30</v>
      </c>
      <c r="C1808" s="19"/>
      <c r="D1808" s="33" t="str">
        <f t="shared" si="444"/>
        <v>S100011</v>
      </c>
      <c r="E1808" s="33"/>
      <c r="F1808" s="34"/>
      <c r="G1808" s="34" t="str">
        <f>"""NAV Direct"",""CRONUS JetCorp USA"",""32"",""1"",""20359"""</f>
        <v>"NAV Direct","CRONUS JetCorp USA","32","1","20359"</v>
      </c>
      <c r="H1808" s="40">
        <v>43475</v>
      </c>
      <c r="I1808" s="41">
        <v>20359</v>
      </c>
      <c r="J1808" s="42" t="str">
        <f>"Customer"</f>
        <v>Customer</v>
      </c>
      <c r="K1808" s="42" t="str">
        <f>"C100097"</f>
        <v>C100097</v>
      </c>
      <c r="L1808" s="42" t="str">
        <f>IF($J1808="Customer",_xll.NL("first",$J1808,"Name","No.","@@"&amp;$K1808),"")</f>
        <v>Solotech</v>
      </c>
      <c r="M1808" s="42" t="str">
        <f>""</f>
        <v/>
      </c>
      <c r="N1808" s="42" t="str">
        <f>IF($J1808="Item",_xll.NL("first",$J1808,"Description","No.","@@"&amp;$K1808),"")</f>
        <v/>
      </c>
      <c r="O1808" s="43">
        <v>0</v>
      </c>
      <c r="P1808" s="43">
        <v>-144</v>
      </c>
      <c r="Q1808" s="43">
        <v>0</v>
      </c>
      <c r="R1808" s="43">
        <v>0</v>
      </c>
      <c r="S1808" s="43">
        <v>0</v>
      </c>
      <c r="T1808" s="43">
        <v>0</v>
      </c>
      <c r="U1808" s="56"/>
    </row>
    <row r="1809" spans="1:21" ht="17.25" customHeight="1" x14ac:dyDescent="0.3">
      <c r="A1809" s="15" t="s">
        <v>30</v>
      </c>
      <c r="C1809" s="19"/>
      <c r="D1809" s="33" t="str">
        <f t="shared" si="444"/>
        <v>S100011</v>
      </c>
      <c r="E1809" s="33"/>
      <c r="F1809" s="34"/>
      <c r="G1809" s="34" t="str">
        <f>"""NAV Direct"",""CRONUS JetCorp USA"",""32"",""1"",""36488"""</f>
        <v>"NAV Direct","CRONUS JetCorp USA","32","1","36488"</v>
      </c>
      <c r="H1809" s="40">
        <v>43475</v>
      </c>
      <c r="I1809" s="41">
        <v>36488</v>
      </c>
      <c r="J1809" s="42" t="str">
        <f>"Customer"</f>
        <v>Customer</v>
      </c>
      <c r="K1809" s="42" t="str">
        <f>"C100063"</f>
        <v>C100063</v>
      </c>
      <c r="L1809" s="42" t="str">
        <f>IF($J1809="Customer",_xll.NL("first",$J1809,"Name","No.","@@"&amp;$K1809),"")</f>
        <v>Möbel Scherrer AG</v>
      </c>
      <c r="M1809" s="42" t="str">
        <f>""</f>
        <v/>
      </c>
      <c r="N1809" s="42" t="str">
        <f>IF($J1809="Item",_xll.NL("first",$J1809,"Description","No.","@@"&amp;$K1809),"")</f>
        <v/>
      </c>
      <c r="O1809" s="43">
        <v>0</v>
      </c>
      <c r="P1809" s="43">
        <v>-1</v>
      </c>
      <c r="Q1809" s="43">
        <v>0</v>
      </c>
      <c r="R1809" s="43">
        <v>0</v>
      </c>
      <c r="S1809" s="43">
        <v>0</v>
      </c>
      <c r="T1809" s="43">
        <v>0</v>
      </c>
      <c r="U1809" s="56"/>
    </row>
    <row r="1810" spans="1:21" ht="17.25" customHeight="1" x14ac:dyDescent="0.3">
      <c r="A1810" s="15" t="s">
        <v>30</v>
      </c>
      <c r="C1810" s="19"/>
      <c r="D1810" s="33" t="str">
        <f t="shared" si="444"/>
        <v>S100011</v>
      </c>
      <c r="E1810" s="33"/>
      <c r="F1810" s="34"/>
      <c r="G1810" s="34" t="str">
        <f>"""NAV Direct"",""CRONUS JetCorp USA"",""32"",""1"",""124594"""</f>
        <v>"NAV Direct","CRONUS JetCorp USA","32","1","124594"</v>
      </c>
      <c r="H1810" s="40">
        <v>43475</v>
      </c>
      <c r="I1810" s="41">
        <v>124594</v>
      </c>
      <c r="J1810" s="42" t="str">
        <f>"Customer"</f>
        <v>Customer</v>
      </c>
      <c r="K1810" s="42" t="str">
        <f>"C100035"</f>
        <v>C100035</v>
      </c>
      <c r="L1810" s="42" t="str">
        <f>IF($J1810="Customer",_xll.NL("first",$J1810,"Name","No.","@@"&amp;$K1810),"")</f>
        <v>First Touch Marketing</v>
      </c>
      <c r="M1810" s="42" t="str">
        <f>""</f>
        <v/>
      </c>
      <c r="N1810" s="42" t="str">
        <f>IF($J1810="Item",_xll.NL("first",$J1810,"Description","No.","@@"&amp;$K1810),"")</f>
        <v/>
      </c>
      <c r="O1810" s="43">
        <v>0</v>
      </c>
      <c r="P1810" s="43">
        <v>-144</v>
      </c>
      <c r="Q1810" s="43">
        <v>0</v>
      </c>
      <c r="R1810" s="43">
        <v>0</v>
      </c>
      <c r="S1810" s="43">
        <v>0</v>
      </c>
      <c r="T1810" s="43">
        <v>0</v>
      </c>
      <c r="U1810" s="56"/>
    </row>
    <row r="1811" spans="1:21" ht="17.25" customHeight="1" x14ac:dyDescent="0.3">
      <c r="A1811" s="15" t="s">
        <v>30</v>
      </c>
      <c r="C1811" s="19"/>
      <c r="D1811" s="33" t="str">
        <f t="shared" si="444"/>
        <v>S100011</v>
      </c>
      <c r="E1811" s="33"/>
      <c r="F1811" s="34"/>
      <c r="G1811" s="34" t="str">
        <f>"""NAV Direct"",""CRONUS JetCorp USA"",""32"",""1"",""25274"""</f>
        <v>"NAV Direct","CRONUS JetCorp USA","32","1","25274"</v>
      </c>
      <c r="H1811" s="40">
        <v>43476</v>
      </c>
      <c r="I1811" s="41">
        <v>25274</v>
      </c>
      <c r="J1811" s="42" t="str">
        <f>"Customer"</f>
        <v>Customer</v>
      </c>
      <c r="K1811" s="42" t="str">
        <f>"C100102"</f>
        <v>C100102</v>
      </c>
      <c r="L1811" s="42" t="str">
        <f>IF($J1811="Customer",_xll.NL("first",$J1811,"Name","No.","@@"&amp;$K1811),"")</f>
        <v xml:space="preserve">BEI Outfitters </v>
      </c>
      <c r="M1811" s="42" t="str">
        <f>""</f>
        <v/>
      </c>
      <c r="N1811" s="42" t="str">
        <f>IF($J1811="Item",_xll.NL("first",$J1811,"Description","No.","@@"&amp;$K1811),"")</f>
        <v/>
      </c>
      <c r="O1811" s="43">
        <v>0</v>
      </c>
      <c r="P1811" s="43">
        <v>-12</v>
      </c>
      <c r="Q1811" s="43">
        <v>0</v>
      </c>
      <c r="R1811" s="43">
        <v>0</v>
      </c>
      <c r="S1811" s="43">
        <v>0</v>
      </c>
      <c r="T1811" s="43">
        <v>0</v>
      </c>
      <c r="U1811" s="56"/>
    </row>
    <row r="1812" spans="1:21" ht="17.25" customHeight="1" x14ac:dyDescent="0.3">
      <c r="A1812" s="15" t="s">
        <v>30</v>
      </c>
      <c r="C1812" s="19"/>
      <c r="D1812" s="33" t="str">
        <f t="shared" si="444"/>
        <v>S100011</v>
      </c>
      <c r="E1812" s="33"/>
      <c r="F1812" s="34"/>
      <c r="G1812" s="34" t="str">
        <f>"""NAV Direct"",""CRONUS JetCorp USA"",""32"",""1"",""20406"""</f>
        <v>"NAV Direct","CRONUS JetCorp USA","32","1","20406"</v>
      </c>
      <c r="H1812" s="40">
        <v>43477</v>
      </c>
      <c r="I1812" s="41">
        <v>20406</v>
      </c>
      <c r="J1812" s="42" t="str">
        <f>"Customer"</f>
        <v>Customer</v>
      </c>
      <c r="K1812" s="42" t="str">
        <f>"C100039"</f>
        <v>C100039</v>
      </c>
      <c r="L1812" s="42" t="str">
        <f>IF($J1812="Customer",_xll.NL("first",$J1812,"Name","No.","@@"&amp;$K1812),"")</f>
        <v>Gary's Sports</v>
      </c>
      <c r="M1812" s="42" t="str">
        <f>""</f>
        <v/>
      </c>
      <c r="N1812" s="42" t="str">
        <f>IF($J1812="Item",_xll.NL("first",$J1812,"Description","No.","@@"&amp;$K1812),"")</f>
        <v/>
      </c>
      <c r="O1812" s="43">
        <v>0</v>
      </c>
      <c r="P1812" s="43">
        <v>-24</v>
      </c>
      <c r="Q1812" s="43">
        <v>0</v>
      </c>
      <c r="R1812" s="43">
        <v>0</v>
      </c>
      <c r="S1812" s="43">
        <v>0</v>
      </c>
      <c r="T1812" s="43">
        <v>0</v>
      </c>
      <c r="U1812" s="56"/>
    </row>
    <row r="1813" spans="1:21" ht="17.25" customHeight="1" x14ac:dyDescent="0.3">
      <c r="A1813" s="15" t="s">
        <v>30</v>
      </c>
      <c r="C1813" s="19"/>
      <c r="D1813" s="33" t="str">
        <f t="shared" si="444"/>
        <v>S100011</v>
      </c>
      <c r="E1813" s="33"/>
      <c r="F1813" s="34"/>
      <c r="G1813" s="34" t="str">
        <f>"""NAV Direct"",""CRONUS JetCorp USA"",""32"",""1"",""38091"""</f>
        <v>"NAV Direct","CRONUS JetCorp USA","32","1","38091"</v>
      </c>
      <c r="H1813" s="40">
        <v>43477</v>
      </c>
      <c r="I1813" s="41">
        <v>38091</v>
      </c>
      <c r="J1813" s="42" t="str">
        <f>"Customer"</f>
        <v>Customer</v>
      </c>
      <c r="K1813" s="42" t="str">
        <f>"C100038"</f>
        <v>C100038</v>
      </c>
      <c r="L1813" s="42" t="str">
        <f>IF($J1813="Customer",_xll.NL("first",$J1813,"Name","No.","@@"&amp;$K1813),"")</f>
        <v>Gagn &amp; Gaman</v>
      </c>
      <c r="M1813" s="42" t="str">
        <f>""</f>
        <v/>
      </c>
      <c r="N1813" s="42" t="str">
        <f>IF($J1813="Item",_xll.NL("first",$J1813,"Description","No.","@@"&amp;$K1813),"")</f>
        <v/>
      </c>
      <c r="O1813" s="43">
        <v>0</v>
      </c>
      <c r="P1813" s="43">
        <v>-144</v>
      </c>
      <c r="Q1813" s="43">
        <v>0</v>
      </c>
      <c r="R1813" s="43">
        <v>0</v>
      </c>
      <c r="S1813" s="43">
        <v>0</v>
      </c>
      <c r="T1813" s="43">
        <v>0</v>
      </c>
      <c r="U1813" s="56"/>
    </row>
    <row r="1814" spans="1:21" ht="17.25" customHeight="1" x14ac:dyDescent="0.3">
      <c r="A1814" s="15" t="s">
        <v>30</v>
      </c>
      <c r="C1814" s="19"/>
      <c r="D1814" s="33"/>
      <c r="E1814" s="33"/>
      <c r="F1814" s="34"/>
      <c r="G1814" s="34"/>
      <c r="H1814" s="34"/>
      <c r="I1814" s="34"/>
      <c r="J1814" s="34"/>
      <c r="K1814" s="34"/>
      <c r="L1814" s="34"/>
      <c r="M1814" s="34"/>
      <c r="N1814" s="34"/>
      <c r="O1814" s="44"/>
      <c r="P1814" s="44"/>
      <c r="Q1814" s="44"/>
      <c r="R1814" s="44"/>
      <c r="S1814" s="44"/>
      <c r="T1814" s="44"/>
      <c r="U1814" s="57"/>
    </row>
    <row r="1815" spans="1:21" ht="17.25" customHeight="1" x14ac:dyDescent="0.3">
      <c r="A1815" s="15" t="s">
        <v>30</v>
      </c>
      <c r="C1815" s="19"/>
      <c r="D1815" s="33"/>
      <c r="E1815" s="33" t="s">
        <v>31</v>
      </c>
      <c r="F1815" s="34" t="s">
        <v>31</v>
      </c>
      <c r="G1815" s="34" t="s">
        <v>31</v>
      </c>
      <c r="H1815" s="34"/>
      <c r="I1815" s="34"/>
      <c r="J1815" s="34" t="s">
        <v>31</v>
      </c>
      <c r="K1815" s="34" t="s">
        <v>31</v>
      </c>
      <c r="L1815" s="34" t="s">
        <v>31</v>
      </c>
      <c r="M1815" s="34" t="s">
        <v>31</v>
      </c>
      <c r="N1815" s="34"/>
      <c r="U1815" s="58"/>
    </row>
    <row r="1816" spans="1:21" ht="20.25" customHeight="1" x14ac:dyDescent="0.35">
      <c r="A1816" s="15" t="s">
        <v>30</v>
      </c>
      <c r="C1816" s="19"/>
      <c r="D1816" s="35" t="str">
        <f t="shared" ref="D1816" si="445">E1816</f>
        <v>S100012</v>
      </c>
      <c r="E1816" s="36" t="str">
        <f>"S100012"</f>
        <v>S100012</v>
      </c>
      <c r="F1816" s="37" t="str">
        <f>"Raw-Edge Patch BALL CAP"</f>
        <v>Raw-Edge Patch BALL CAP</v>
      </c>
      <c r="G1816" s="37"/>
      <c r="H1816" s="38" t="str">
        <f>"EA"</f>
        <v>EA</v>
      </c>
      <c r="I1816" s="37"/>
      <c r="J1816" s="37"/>
      <c r="K1816" s="37"/>
      <c r="L1816" s="37"/>
      <c r="M1816" s="37"/>
      <c r="N1816" s="37"/>
      <c r="O1816" s="39">
        <f>(SUBTOTAL(9,O1817:O1825))</f>
        <v>2800</v>
      </c>
      <c r="P1816" s="39">
        <f>(SUBTOTAL(9,P1817:P1825))</f>
        <v>-721</v>
      </c>
      <c r="Q1816" s="39">
        <f>(SUBTOTAL(9,Q1817:Q1825))</f>
        <v>0</v>
      </c>
      <c r="R1816" s="39">
        <f>(SUBTOTAL(9,R1817:R1825))</f>
        <v>0</v>
      </c>
      <c r="S1816" s="39">
        <f>(SUBTOTAL(9,S1817:S1825))</f>
        <v>0</v>
      </c>
      <c r="T1816" s="39">
        <f>(SUBTOTAL(9,T1817:T1825))</f>
        <v>0</v>
      </c>
      <c r="U1816" s="55">
        <f t="shared" ref="U1816" si="446">SUBTOTAL(9,O1817:T1825)</f>
        <v>2079</v>
      </c>
    </row>
    <row r="1817" spans="1:21" ht="17.25" customHeight="1" x14ac:dyDescent="0.3">
      <c r="A1817" s="15" t="s">
        <v>30</v>
      </c>
      <c r="C1817" s="19"/>
      <c r="D1817" s="33" t="str">
        <f t="shared" ref="D1817" si="447">D1816</f>
        <v>S100012</v>
      </c>
      <c r="E1817" s="33"/>
      <c r="F1817" s="34"/>
      <c r="G1817" s="34" t="str">
        <f>"""NAV Direct"",""CRONUS JetCorp USA"",""32"",""1"",""167094"""</f>
        <v>"NAV Direct","CRONUS JetCorp USA","32","1","167094"</v>
      </c>
      <c r="H1817" s="40">
        <v>43466</v>
      </c>
      <c r="I1817" s="41">
        <v>167094</v>
      </c>
      <c r="J1817" s="42" t="str">
        <f>"Vendor"</f>
        <v>Vendor</v>
      </c>
      <c r="K1817" s="42" t="str">
        <f>"V100040"</f>
        <v>V100040</v>
      </c>
      <c r="L1817" s="42" t="str">
        <f>IF($J1817="Customer",_xll.NL("first",$J1817,"Name","No.","@@"&amp;$K1817),"")</f>
        <v/>
      </c>
      <c r="M1817" s="42" t="str">
        <f>"Technische Betriebe Rotkreuz"</f>
        <v>Technische Betriebe Rotkreuz</v>
      </c>
      <c r="N1817" s="42" t="str">
        <f>IF($J1817="Item",_xll.NL("first",$J1817,"Description","No.","@@"&amp;$K1817),"")</f>
        <v/>
      </c>
      <c r="O1817" s="43">
        <v>800</v>
      </c>
      <c r="P1817" s="43">
        <v>0</v>
      </c>
      <c r="Q1817" s="43">
        <v>0</v>
      </c>
      <c r="R1817" s="43">
        <v>0</v>
      </c>
      <c r="S1817" s="43">
        <v>0</v>
      </c>
      <c r="T1817" s="43">
        <v>0</v>
      </c>
      <c r="U1817" s="56"/>
    </row>
    <row r="1818" spans="1:21" ht="17.25" customHeight="1" x14ac:dyDescent="0.3">
      <c r="A1818" s="15" t="s">
        <v>30</v>
      </c>
      <c r="C1818" s="19"/>
      <c r="D1818" s="33" t="str">
        <f t="shared" ref="D1818:D1824" si="448">D1817</f>
        <v>S100012</v>
      </c>
      <c r="E1818" s="33"/>
      <c r="F1818" s="34"/>
      <c r="G1818" s="34" t="str">
        <f>"""NAV Direct"",""CRONUS JetCorp USA"",""32"",""1"",""167115"""</f>
        <v>"NAV Direct","CRONUS JetCorp USA","32","1","167115"</v>
      </c>
      <c r="H1818" s="40">
        <v>43466</v>
      </c>
      <c r="I1818" s="41">
        <v>167115</v>
      </c>
      <c r="J1818" s="42" t="str">
        <f>"Vendor"</f>
        <v>Vendor</v>
      </c>
      <c r="K1818" s="42" t="str">
        <f>"V100007"</f>
        <v>V100007</v>
      </c>
      <c r="L1818" s="42" t="str">
        <f>IF($J1818="Customer",_xll.NL("first",$J1818,"Name","No.","@@"&amp;$K1818),"")</f>
        <v/>
      </c>
      <c r="M1818" s="42" t="str">
        <f>"TrendTech"</f>
        <v>TrendTech</v>
      </c>
      <c r="N1818" s="42" t="str">
        <f>IF($J1818="Item",_xll.NL("first",$J1818,"Description","No.","@@"&amp;$K1818),"")</f>
        <v/>
      </c>
      <c r="O1818" s="43">
        <v>400</v>
      </c>
      <c r="P1818" s="43">
        <v>0</v>
      </c>
      <c r="Q1818" s="43">
        <v>0</v>
      </c>
      <c r="R1818" s="43">
        <v>0</v>
      </c>
      <c r="S1818" s="43">
        <v>0</v>
      </c>
      <c r="T1818" s="43">
        <v>0</v>
      </c>
      <c r="U1818" s="56"/>
    </row>
    <row r="1819" spans="1:21" ht="17.25" customHeight="1" x14ac:dyDescent="0.3">
      <c r="A1819" s="15" t="s">
        <v>30</v>
      </c>
      <c r="C1819" s="19"/>
      <c r="D1819" s="33" t="str">
        <f t="shared" si="448"/>
        <v>S100012</v>
      </c>
      <c r="E1819" s="33"/>
      <c r="F1819" s="34"/>
      <c r="G1819" s="34" t="str">
        <f>"""NAV Direct"",""CRONUS JetCorp USA"",""32"",""1"",""167133"""</f>
        <v>"NAV Direct","CRONUS JetCorp USA","32","1","167133"</v>
      </c>
      <c r="H1819" s="40">
        <v>43466</v>
      </c>
      <c r="I1819" s="41">
        <v>167133</v>
      </c>
      <c r="J1819" s="42" t="str">
        <f>"Vendor"</f>
        <v>Vendor</v>
      </c>
      <c r="K1819" s="42" t="str">
        <f>"V100001"</f>
        <v>V100001</v>
      </c>
      <c r="L1819" s="42" t="str">
        <f>IF($J1819="Customer",_xll.NL("first",$J1819,"Name","No.","@@"&amp;$K1819),"")</f>
        <v/>
      </c>
      <c r="M1819" s="42" t="str">
        <f>"Greigner, Inc."</f>
        <v>Greigner, Inc.</v>
      </c>
      <c r="N1819" s="42" t="str">
        <f>IF($J1819="Item",_xll.NL("first",$J1819,"Description","No.","@@"&amp;$K1819),"")</f>
        <v/>
      </c>
      <c r="O1819" s="43">
        <v>1200</v>
      </c>
      <c r="P1819" s="43">
        <v>0</v>
      </c>
      <c r="Q1819" s="43">
        <v>0</v>
      </c>
      <c r="R1819" s="43">
        <v>0</v>
      </c>
      <c r="S1819" s="43">
        <v>0</v>
      </c>
      <c r="T1819" s="43">
        <v>0</v>
      </c>
      <c r="U1819" s="56"/>
    </row>
    <row r="1820" spans="1:21" ht="17.25" customHeight="1" x14ac:dyDescent="0.3">
      <c r="A1820" s="15" t="s">
        <v>30</v>
      </c>
      <c r="C1820" s="19"/>
      <c r="D1820" s="33" t="str">
        <f t="shared" si="448"/>
        <v>S100012</v>
      </c>
      <c r="E1820" s="33"/>
      <c r="F1820" s="34"/>
      <c r="G1820" s="34" t="str">
        <f>"""NAV Direct"",""CRONUS JetCorp USA"",""32"",""1"",""167157"""</f>
        <v>"NAV Direct","CRONUS JetCorp USA","32","1","167157"</v>
      </c>
      <c r="H1820" s="40">
        <v>43466</v>
      </c>
      <c r="I1820" s="41">
        <v>167157</v>
      </c>
      <c r="J1820" s="42" t="str">
        <f>"Vendor"</f>
        <v>Vendor</v>
      </c>
      <c r="K1820" s="42" t="str">
        <f>"V100003"</f>
        <v>V100003</v>
      </c>
      <c r="L1820" s="42" t="str">
        <f>IF($J1820="Customer",_xll.NL("first",$J1820,"Name","No.","@@"&amp;$K1820),"")</f>
        <v/>
      </c>
      <c r="M1820" s="42" t="str">
        <f>"LogoMasters"</f>
        <v>LogoMasters</v>
      </c>
      <c r="N1820" s="42" t="str">
        <f>IF($J1820="Item",_xll.NL("first",$J1820,"Description","No.","@@"&amp;$K1820),"")</f>
        <v/>
      </c>
      <c r="O1820" s="43">
        <v>400</v>
      </c>
      <c r="P1820" s="43">
        <v>0</v>
      </c>
      <c r="Q1820" s="43">
        <v>0</v>
      </c>
      <c r="R1820" s="43">
        <v>0</v>
      </c>
      <c r="S1820" s="43">
        <v>0</v>
      </c>
      <c r="T1820" s="43">
        <v>0</v>
      </c>
      <c r="U1820" s="56"/>
    </row>
    <row r="1821" spans="1:21" ht="17.25" customHeight="1" x14ac:dyDescent="0.3">
      <c r="A1821" s="15" t="s">
        <v>30</v>
      </c>
      <c r="C1821" s="19"/>
      <c r="D1821" s="33" t="str">
        <f t="shared" si="448"/>
        <v>S100012</v>
      </c>
      <c r="E1821" s="33"/>
      <c r="F1821" s="34"/>
      <c r="G1821" s="34" t="str">
        <f>"""NAV Direct"",""CRONUS JetCorp USA"",""32"",""1"",""124539"""</f>
        <v>"NAV Direct","CRONUS JetCorp USA","32","1","124539"</v>
      </c>
      <c r="H1821" s="40">
        <v>43473</v>
      </c>
      <c r="I1821" s="41">
        <v>124539</v>
      </c>
      <c r="J1821" s="42" t="str">
        <f>"Customer"</f>
        <v>Customer</v>
      </c>
      <c r="K1821" s="42" t="str">
        <f>"C100035"</f>
        <v>C100035</v>
      </c>
      <c r="L1821" s="42" t="str">
        <f>IF($J1821="Customer",_xll.NL("first",$J1821,"Name","No.","@@"&amp;$K1821),"")</f>
        <v>First Touch Marketing</v>
      </c>
      <c r="M1821" s="42" t="str">
        <f>""</f>
        <v/>
      </c>
      <c r="N1821" s="42" t="str">
        <f>IF($J1821="Item",_xll.NL("first",$J1821,"Description","No.","@@"&amp;$K1821),"")</f>
        <v/>
      </c>
      <c r="O1821" s="43">
        <v>0</v>
      </c>
      <c r="P1821" s="43">
        <v>-144</v>
      </c>
      <c r="Q1821" s="43">
        <v>0</v>
      </c>
      <c r="R1821" s="43">
        <v>0</v>
      </c>
      <c r="S1821" s="43">
        <v>0</v>
      </c>
      <c r="T1821" s="43">
        <v>0</v>
      </c>
      <c r="U1821" s="56"/>
    </row>
    <row r="1822" spans="1:21" ht="17.25" customHeight="1" x14ac:dyDescent="0.3">
      <c r="A1822" s="15" t="s">
        <v>30</v>
      </c>
      <c r="C1822" s="19"/>
      <c r="D1822" s="33" t="str">
        <f t="shared" si="448"/>
        <v>S100012</v>
      </c>
      <c r="E1822" s="33"/>
      <c r="F1822" s="34"/>
      <c r="G1822" s="34" t="str">
        <f>"""NAV Direct"",""CRONUS JetCorp USA"",""32"",""1"",""30102"""</f>
        <v>"NAV Direct","CRONUS JetCorp USA","32","1","30102"</v>
      </c>
      <c r="H1822" s="40">
        <v>43475</v>
      </c>
      <c r="I1822" s="41">
        <v>30102</v>
      </c>
      <c r="J1822" s="42" t="str">
        <f>"Customer"</f>
        <v>Customer</v>
      </c>
      <c r="K1822" s="42" t="str">
        <f>"C100012"</f>
        <v>C100012</v>
      </c>
      <c r="L1822" s="42" t="str">
        <f>IF($J1822="Customer",_xll.NL("first",$J1822,"Name","No.","@@"&amp;$K1822),"")</f>
        <v>Bainbridges</v>
      </c>
      <c r="M1822" s="42" t="str">
        <f>""</f>
        <v/>
      </c>
      <c r="N1822" s="42" t="str">
        <f>IF($J1822="Item",_xll.NL("first",$J1822,"Description","No.","@@"&amp;$K1822),"")</f>
        <v/>
      </c>
      <c r="O1822" s="43">
        <v>0</v>
      </c>
      <c r="P1822" s="43">
        <v>-288</v>
      </c>
      <c r="Q1822" s="43">
        <v>0</v>
      </c>
      <c r="R1822" s="43">
        <v>0</v>
      </c>
      <c r="S1822" s="43">
        <v>0</v>
      </c>
      <c r="T1822" s="43">
        <v>0</v>
      </c>
      <c r="U1822" s="56"/>
    </row>
    <row r="1823" spans="1:21" ht="17.25" customHeight="1" x14ac:dyDescent="0.3">
      <c r="A1823" s="15" t="s">
        <v>30</v>
      </c>
      <c r="C1823" s="19"/>
      <c r="D1823" s="33" t="str">
        <f t="shared" si="448"/>
        <v>S100012</v>
      </c>
      <c r="E1823" s="33"/>
      <c r="F1823" s="34"/>
      <c r="G1823" s="34" t="str">
        <f>"""NAV Direct"",""CRONUS JetCorp USA"",""32"",""1"",""34329"""</f>
        <v>"NAV Direct","CRONUS JetCorp USA","32","1","34329"</v>
      </c>
      <c r="H1823" s="40">
        <v>43475</v>
      </c>
      <c r="I1823" s="41">
        <v>34329</v>
      </c>
      <c r="J1823" s="42" t="str">
        <f>"Customer"</f>
        <v>Customer</v>
      </c>
      <c r="K1823" s="42" t="str">
        <f>"C100008"</f>
        <v>C100008</v>
      </c>
      <c r="L1823" s="42" t="str">
        <f>IF($J1823="Customer",_xll.NL("first",$J1823,"Name","No.","@@"&amp;$K1823),"")</f>
        <v>Blanemark Hifi Shop</v>
      </c>
      <c r="M1823" s="42" t="str">
        <f>""</f>
        <v/>
      </c>
      <c r="N1823" s="42" t="str">
        <f>IF($J1823="Item",_xll.NL("first",$J1823,"Description","No.","@@"&amp;$K1823),"")</f>
        <v/>
      </c>
      <c r="O1823" s="43">
        <v>0</v>
      </c>
      <c r="P1823" s="43">
        <v>-145</v>
      </c>
      <c r="Q1823" s="43">
        <v>0</v>
      </c>
      <c r="R1823" s="43">
        <v>0</v>
      </c>
      <c r="S1823" s="43">
        <v>0</v>
      </c>
      <c r="T1823" s="43">
        <v>0</v>
      </c>
      <c r="U1823" s="56"/>
    </row>
    <row r="1824" spans="1:21" ht="17.25" customHeight="1" x14ac:dyDescent="0.3">
      <c r="A1824" s="15" t="s">
        <v>30</v>
      </c>
      <c r="C1824" s="19"/>
      <c r="D1824" s="33" t="str">
        <f t="shared" si="448"/>
        <v>S100012</v>
      </c>
      <c r="E1824" s="33"/>
      <c r="F1824" s="34"/>
      <c r="G1824" s="34" t="str">
        <f>"""NAV Direct"",""CRONUS JetCorp USA"",""32"",""1"",""25282"""</f>
        <v>"NAV Direct","CRONUS JetCorp USA","32","1","25282"</v>
      </c>
      <c r="H1824" s="40">
        <v>43477</v>
      </c>
      <c r="I1824" s="41">
        <v>25282</v>
      </c>
      <c r="J1824" s="42" t="str">
        <f>"Customer"</f>
        <v>Customer</v>
      </c>
      <c r="K1824" s="42" t="str">
        <f>"C100138"</f>
        <v>C100138</v>
      </c>
      <c r="L1824" s="42" t="str">
        <f>IF($J1824="Customer",_xll.NL("first",$J1824,"Name","No.","@@"&amp;$K1824),"")</f>
        <v>Dantons</v>
      </c>
      <c r="M1824" s="42" t="str">
        <f>""</f>
        <v/>
      </c>
      <c r="N1824" s="42" t="str">
        <f>IF($J1824="Item",_xll.NL("first",$J1824,"Description","No.","@@"&amp;$K1824),"")</f>
        <v/>
      </c>
      <c r="O1824" s="43">
        <v>0</v>
      </c>
      <c r="P1824" s="43">
        <v>-144</v>
      </c>
      <c r="Q1824" s="43">
        <v>0</v>
      </c>
      <c r="R1824" s="43">
        <v>0</v>
      </c>
      <c r="S1824" s="43">
        <v>0</v>
      </c>
      <c r="T1824" s="43">
        <v>0</v>
      </c>
      <c r="U1824" s="56"/>
    </row>
    <row r="1825" spans="1:21" ht="17.25" customHeight="1" x14ac:dyDescent="0.3">
      <c r="A1825" s="15" t="s">
        <v>30</v>
      </c>
      <c r="C1825" s="19"/>
      <c r="D1825" s="33"/>
      <c r="E1825" s="33"/>
      <c r="F1825" s="34"/>
      <c r="G1825" s="34"/>
      <c r="H1825" s="34"/>
      <c r="I1825" s="34"/>
      <c r="J1825" s="34"/>
      <c r="K1825" s="34"/>
      <c r="L1825" s="34"/>
      <c r="M1825" s="34"/>
      <c r="N1825" s="34"/>
      <c r="O1825" s="44"/>
      <c r="P1825" s="44"/>
      <c r="Q1825" s="44"/>
      <c r="R1825" s="44"/>
      <c r="S1825" s="44"/>
      <c r="T1825" s="44"/>
      <c r="U1825" s="57"/>
    </row>
    <row r="1826" spans="1:21" ht="17.25" customHeight="1" x14ac:dyDescent="0.3">
      <c r="A1826" s="15" t="s">
        <v>30</v>
      </c>
      <c r="C1826" s="19"/>
      <c r="D1826" s="33"/>
      <c r="E1826" s="33" t="s">
        <v>31</v>
      </c>
      <c r="F1826" s="34" t="s">
        <v>31</v>
      </c>
      <c r="G1826" s="34" t="s">
        <v>31</v>
      </c>
      <c r="H1826" s="34"/>
      <c r="I1826" s="34"/>
      <c r="J1826" s="34" t="s">
        <v>31</v>
      </c>
      <c r="K1826" s="34" t="s">
        <v>31</v>
      </c>
      <c r="L1826" s="34" t="s">
        <v>31</v>
      </c>
      <c r="M1826" s="34" t="s">
        <v>31</v>
      </c>
      <c r="N1826" s="34"/>
      <c r="U1826" s="58"/>
    </row>
    <row r="1827" spans="1:21" ht="20.25" customHeight="1" x14ac:dyDescent="0.35">
      <c r="A1827" s="15" t="s">
        <v>30</v>
      </c>
      <c r="C1827" s="19"/>
      <c r="D1827" s="35" t="str">
        <f t="shared" ref="D1827" si="449">E1827</f>
        <v>S100013</v>
      </c>
      <c r="E1827" s="36" t="str">
        <f>"S100013"</f>
        <v>S100013</v>
      </c>
      <c r="F1827" s="37" t="str">
        <f>"Mesh BALL CAP"</f>
        <v>Mesh BALL CAP</v>
      </c>
      <c r="G1827" s="37"/>
      <c r="H1827" s="38" t="str">
        <f>"EA"</f>
        <v>EA</v>
      </c>
      <c r="I1827" s="37"/>
      <c r="J1827" s="37"/>
      <c r="K1827" s="37"/>
      <c r="L1827" s="37"/>
      <c r="M1827" s="37"/>
      <c r="N1827" s="37"/>
      <c r="O1827" s="39">
        <f>(SUBTOTAL(9,O1828:O1839))</f>
        <v>3200</v>
      </c>
      <c r="P1827" s="39">
        <f>(SUBTOTAL(9,P1828:P1839))</f>
        <v>-776</v>
      </c>
      <c r="Q1827" s="39">
        <f>(SUBTOTAL(9,Q1828:Q1839))</f>
        <v>0</v>
      </c>
      <c r="R1827" s="39">
        <f>(SUBTOTAL(9,R1828:R1839))</f>
        <v>0</v>
      </c>
      <c r="S1827" s="39">
        <f>(SUBTOTAL(9,S1828:S1839))</f>
        <v>0</v>
      </c>
      <c r="T1827" s="39">
        <f>(SUBTOTAL(9,T1828:T1839))</f>
        <v>0</v>
      </c>
      <c r="U1827" s="55">
        <f t="shared" ref="U1827" si="450">SUBTOTAL(9,O1828:T1839)</f>
        <v>2424</v>
      </c>
    </row>
    <row r="1828" spans="1:21" ht="17.25" customHeight="1" x14ac:dyDescent="0.3">
      <c r="A1828" s="15" t="s">
        <v>30</v>
      </c>
      <c r="C1828" s="19"/>
      <c r="D1828" s="33" t="str">
        <f t="shared" ref="D1828" si="451">D1827</f>
        <v>S100013</v>
      </c>
      <c r="E1828" s="33"/>
      <c r="F1828" s="34"/>
      <c r="G1828" s="34" t="str">
        <f>"""NAV Direct"",""CRONUS JetCorp USA"",""32"",""1"",""132506"""</f>
        <v>"NAV Direct","CRONUS JetCorp USA","32","1","132506"</v>
      </c>
      <c r="H1828" s="40">
        <v>43466</v>
      </c>
      <c r="I1828" s="41">
        <v>132506</v>
      </c>
      <c r="J1828" s="42" t="str">
        <f>"Customer"</f>
        <v>Customer</v>
      </c>
      <c r="K1828" s="42" t="str">
        <f>"C100040"</f>
        <v>C100040</v>
      </c>
      <c r="L1828" s="42" t="str">
        <f>IF($J1828="Customer",_xll.NL("first",$J1828,"Name","No.","@@"&amp;$K1828),"")</f>
        <v>Guildford Water Department</v>
      </c>
      <c r="M1828" s="42" t="str">
        <f>""</f>
        <v/>
      </c>
      <c r="N1828" s="42" t="str">
        <f>IF($J1828="Item",_xll.NL("first",$J1828,"Description","No.","@@"&amp;$K1828),"")</f>
        <v/>
      </c>
      <c r="O1828" s="43">
        <v>0</v>
      </c>
      <c r="P1828" s="43">
        <v>-1</v>
      </c>
      <c r="Q1828" s="43">
        <v>0</v>
      </c>
      <c r="R1828" s="43">
        <v>0</v>
      </c>
      <c r="S1828" s="43">
        <v>0</v>
      </c>
      <c r="T1828" s="43">
        <v>0</v>
      </c>
      <c r="U1828" s="56"/>
    </row>
    <row r="1829" spans="1:21" ht="17.25" customHeight="1" x14ac:dyDescent="0.3">
      <c r="A1829" s="15" t="s">
        <v>30</v>
      </c>
      <c r="C1829" s="19"/>
      <c r="D1829" s="33" t="str">
        <f t="shared" ref="D1829:D1838" si="452">D1828</f>
        <v>S100013</v>
      </c>
      <c r="E1829" s="33"/>
      <c r="F1829" s="34"/>
      <c r="G1829" s="34" t="str">
        <f>"""NAV Direct"",""CRONUS JetCorp USA"",""32"",""1"",""167093"""</f>
        <v>"NAV Direct","CRONUS JetCorp USA","32","1","167093"</v>
      </c>
      <c r="H1829" s="40">
        <v>43466</v>
      </c>
      <c r="I1829" s="41">
        <v>167093</v>
      </c>
      <c r="J1829" s="42" t="str">
        <f>"Vendor"</f>
        <v>Vendor</v>
      </c>
      <c r="K1829" s="42" t="str">
        <f>"V100040"</f>
        <v>V100040</v>
      </c>
      <c r="L1829" s="42" t="str">
        <f>IF($J1829="Customer",_xll.NL("first",$J1829,"Name","No.","@@"&amp;$K1829),"")</f>
        <v/>
      </c>
      <c r="M1829" s="42" t="str">
        <f>"Technische Betriebe Rotkreuz"</f>
        <v>Technische Betriebe Rotkreuz</v>
      </c>
      <c r="N1829" s="42" t="str">
        <f>IF($J1829="Item",_xll.NL("first",$J1829,"Description","No.","@@"&amp;$K1829),"")</f>
        <v/>
      </c>
      <c r="O1829" s="43">
        <v>400</v>
      </c>
      <c r="P1829" s="43">
        <v>0</v>
      </c>
      <c r="Q1829" s="43">
        <v>0</v>
      </c>
      <c r="R1829" s="43">
        <v>0</v>
      </c>
      <c r="S1829" s="43">
        <v>0</v>
      </c>
      <c r="T1829" s="43">
        <v>0</v>
      </c>
      <c r="U1829" s="56"/>
    </row>
    <row r="1830" spans="1:21" ht="17.25" customHeight="1" x14ac:dyDescent="0.3">
      <c r="A1830" s="15" t="s">
        <v>30</v>
      </c>
      <c r="C1830" s="19"/>
      <c r="D1830" s="33" t="str">
        <f t="shared" si="452"/>
        <v>S100013</v>
      </c>
      <c r="E1830" s="33"/>
      <c r="F1830" s="34"/>
      <c r="G1830" s="34" t="str">
        <f>"""NAV Direct"",""CRONUS JetCorp USA"",""32"",""1"",""167114"""</f>
        <v>"NAV Direct","CRONUS JetCorp USA","32","1","167114"</v>
      </c>
      <c r="H1830" s="40">
        <v>43466</v>
      </c>
      <c r="I1830" s="41">
        <v>167114</v>
      </c>
      <c r="J1830" s="42" t="str">
        <f>"Vendor"</f>
        <v>Vendor</v>
      </c>
      <c r="K1830" s="42" t="str">
        <f>"V100007"</f>
        <v>V100007</v>
      </c>
      <c r="L1830" s="42" t="str">
        <f>IF($J1830="Customer",_xll.NL("first",$J1830,"Name","No.","@@"&amp;$K1830),"")</f>
        <v/>
      </c>
      <c r="M1830" s="42" t="str">
        <f>"TrendTech"</f>
        <v>TrendTech</v>
      </c>
      <c r="N1830" s="42" t="str">
        <f>IF($J1830="Item",_xll.NL("first",$J1830,"Description","No.","@@"&amp;$K1830),"")</f>
        <v/>
      </c>
      <c r="O1830" s="43">
        <v>400</v>
      </c>
      <c r="P1830" s="43">
        <v>0</v>
      </c>
      <c r="Q1830" s="43">
        <v>0</v>
      </c>
      <c r="R1830" s="43">
        <v>0</v>
      </c>
      <c r="S1830" s="43">
        <v>0</v>
      </c>
      <c r="T1830" s="43">
        <v>0</v>
      </c>
      <c r="U1830" s="56"/>
    </row>
    <row r="1831" spans="1:21" ht="17.25" customHeight="1" x14ac:dyDescent="0.3">
      <c r="A1831" s="15" t="s">
        <v>30</v>
      </c>
      <c r="C1831" s="19"/>
      <c r="D1831" s="33" t="str">
        <f t="shared" si="452"/>
        <v>S100013</v>
      </c>
      <c r="E1831" s="33"/>
      <c r="F1831" s="34"/>
      <c r="G1831" s="34" t="str">
        <f>"""NAV Direct"",""CRONUS JetCorp USA"",""32"",""1"",""167132"""</f>
        <v>"NAV Direct","CRONUS JetCorp USA","32","1","167132"</v>
      </c>
      <c r="H1831" s="40">
        <v>43466</v>
      </c>
      <c r="I1831" s="41">
        <v>167132</v>
      </c>
      <c r="J1831" s="42" t="str">
        <f>"Vendor"</f>
        <v>Vendor</v>
      </c>
      <c r="K1831" s="42" t="str">
        <f>"V100001"</f>
        <v>V100001</v>
      </c>
      <c r="L1831" s="42" t="str">
        <f>IF($J1831="Customer",_xll.NL("first",$J1831,"Name","No.","@@"&amp;$K1831),"")</f>
        <v/>
      </c>
      <c r="M1831" s="42" t="str">
        <f>"Greigner, Inc."</f>
        <v>Greigner, Inc.</v>
      </c>
      <c r="N1831" s="42" t="str">
        <f>IF($J1831="Item",_xll.NL("first",$J1831,"Description","No.","@@"&amp;$K1831),"")</f>
        <v/>
      </c>
      <c r="O1831" s="43">
        <v>1999.9999999999998</v>
      </c>
      <c r="P1831" s="43">
        <v>0</v>
      </c>
      <c r="Q1831" s="43">
        <v>0</v>
      </c>
      <c r="R1831" s="43">
        <v>0</v>
      </c>
      <c r="S1831" s="43">
        <v>0</v>
      </c>
      <c r="T1831" s="43">
        <v>0</v>
      </c>
      <c r="U1831" s="56"/>
    </row>
    <row r="1832" spans="1:21" ht="17.25" customHeight="1" x14ac:dyDescent="0.3">
      <c r="A1832" s="15" t="s">
        <v>30</v>
      </c>
      <c r="C1832" s="19"/>
      <c r="D1832" s="33" t="str">
        <f t="shared" si="452"/>
        <v>S100013</v>
      </c>
      <c r="E1832" s="33"/>
      <c r="F1832" s="34"/>
      <c r="G1832" s="34" t="str">
        <f>"""NAV Direct"",""CRONUS JetCorp USA"",""32"",""1"",""167147"""</f>
        <v>"NAV Direct","CRONUS JetCorp USA","32","1","167147"</v>
      </c>
      <c r="H1832" s="40">
        <v>43466</v>
      </c>
      <c r="I1832" s="41">
        <v>167147</v>
      </c>
      <c r="J1832" s="42" t="str">
        <f>"Vendor"</f>
        <v>Vendor</v>
      </c>
      <c r="K1832" s="42" t="str">
        <f>"V100047"</f>
        <v>V100047</v>
      </c>
      <c r="L1832" s="42" t="str">
        <f>IF($J1832="Customer",_xll.NL("first",$J1832,"Name","No.","@@"&amp;$K1832),"")</f>
        <v/>
      </c>
      <c r="M1832" s="42" t="str">
        <f>"WoodMart Supply Co."</f>
        <v>WoodMart Supply Co.</v>
      </c>
      <c r="N1832" s="42" t="str">
        <f>IF($J1832="Item",_xll.NL("first",$J1832,"Description","No.","@@"&amp;$K1832),"")</f>
        <v/>
      </c>
      <c r="O1832" s="43">
        <v>400</v>
      </c>
      <c r="P1832" s="43">
        <v>0</v>
      </c>
      <c r="Q1832" s="43">
        <v>0</v>
      </c>
      <c r="R1832" s="43">
        <v>0</v>
      </c>
      <c r="S1832" s="43">
        <v>0</v>
      </c>
      <c r="T1832" s="43">
        <v>0</v>
      </c>
      <c r="U1832" s="56"/>
    </row>
    <row r="1833" spans="1:21" ht="17.25" customHeight="1" x14ac:dyDescent="0.3">
      <c r="A1833" s="15" t="s">
        <v>30</v>
      </c>
      <c r="C1833" s="19"/>
      <c r="D1833" s="33" t="str">
        <f t="shared" si="452"/>
        <v>S100013</v>
      </c>
      <c r="E1833" s="33"/>
      <c r="F1833" s="34"/>
      <c r="G1833" s="34" t="str">
        <f>"""NAV Direct"",""CRONUS JetCorp USA"",""32"",""1"",""38077"""</f>
        <v>"NAV Direct","CRONUS JetCorp USA","32","1","38077"</v>
      </c>
      <c r="H1833" s="40">
        <v>43471</v>
      </c>
      <c r="I1833" s="41">
        <v>38077</v>
      </c>
      <c r="J1833" s="42" t="str">
        <f>"Customer"</f>
        <v>Customer</v>
      </c>
      <c r="K1833" s="42" t="str">
        <f>"C100013"</f>
        <v>C100013</v>
      </c>
      <c r="L1833" s="42" t="str">
        <f>IF($J1833="Customer",_xll.NL("first",$J1833,"Name","No.","@@"&amp;$K1833),"")</f>
        <v>Candoxy Kontor A/S</v>
      </c>
      <c r="M1833" s="42" t="str">
        <f>""</f>
        <v/>
      </c>
      <c r="N1833" s="42" t="str">
        <f>IF($J1833="Item",_xll.NL("first",$J1833,"Description","No.","@@"&amp;$K1833),"")</f>
        <v/>
      </c>
      <c r="O1833" s="43">
        <v>0</v>
      </c>
      <c r="P1833" s="43">
        <v>-48</v>
      </c>
      <c r="Q1833" s="43">
        <v>0</v>
      </c>
      <c r="R1833" s="43">
        <v>0</v>
      </c>
      <c r="S1833" s="43">
        <v>0</v>
      </c>
      <c r="T1833" s="43">
        <v>0</v>
      </c>
      <c r="U1833" s="56"/>
    </row>
    <row r="1834" spans="1:21" ht="17.25" customHeight="1" x14ac:dyDescent="0.3">
      <c r="A1834" s="15" t="s">
        <v>30</v>
      </c>
      <c r="C1834" s="19"/>
      <c r="D1834" s="33" t="str">
        <f t="shared" si="452"/>
        <v>S100013</v>
      </c>
      <c r="E1834" s="33"/>
      <c r="F1834" s="34"/>
      <c r="G1834" s="34" t="str">
        <f>"""NAV Direct"",""CRONUS JetCorp USA"",""32"",""1"",""20343"""</f>
        <v>"NAV Direct","CRONUS JetCorp USA","32","1","20343"</v>
      </c>
      <c r="H1834" s="40">
        <v>43472</v>
      </c>
      <c r="I1834" s="41">
        <v>20343</v>
      </c>
      <c r="J1834" s="42" t="str">
        <f>"Customer"</f>
        <v>Customer</v>
      </c>
      <c r="K1834" s="42" t="str">
        <f>"C100145"</f>
        <v>C100145</v>
      </c>
      <c r="L1834" s="42" t="str">
        <f>IF($J1834="Customer",_xll.NL("first",$J1834,"Name","No.","@@"&amp;$K1834),"")</f>
        <v>Dicon Industries</v>
      </c>
      <c r="M1834" s="42" t="str">
        <f>""</f>
        <v/>
      </c>
      <c r="N1834" s="42" t="str">
        <f>IF($J1834="Item",_xll.NL("first",$J1834,"Description","No.","@@"&amp;$K1834),"")</f>
        <v/>
      </c>
      <c r="O1834" s="43">
        <v>0</v>
      </c>
      <c r="P1834" s="43">
        <v>-6</v>
      </c>
      <c r="Q1834" s="43">
        <v>0</v>
      </c>
      <c r="R1834" s="43">
        <v>0</v>
      </c>
      <c r="S1834" s="43">
        <v>0</v>
      </c>
      <c r="T1834" s="43">
        <v>0</v>
      </c>
      <c r="U1834" s="56"/>
    </row>
    <row r="1835" spans="1:21" ht="17.25" customHeight="1" x14ac:dyDescent="0.3">
      <c r="A1835" s="15" t="s">
        <v>30</v>
      </c>
      <c r="C1835" s="19"/>
      <c r="D1835" s="33" t="str">
        <f t="shared" si="452"/>
        <v>S100013</v>
      </c>
      <c r="E1835" s="33"/>
      <c r="F1835" s="34"/>
      <c r="G1835" s="34" t="str">
        <f>"""NAV Direct"",""CRONUS JetCorp USA"",""32"",""1"",""124537"""</f>
        <v>"NAV Direct","CRONUS JetCorp USA","32","1","124537"</v>
      </c>
      <c r="H1835" s="40">
        <v>43473</v>
      </c>
      <c r="I1835" s="41">
        <v>124537</v>
      </c>
      <c r="J1835" s="42" t="str">
        <f>"Customer"</f>
        <v>Customer</v>
      </c>
      <c r="K1835" s="42" t="str">
        <f>"C100035"</f>
        <v>C100035</v>
      </c>
      <c r="L1835" s="42" t="str">
        <f>IF($J1835="Customer",_xll.NL("first",$J1835,"Name","No.","@@"&amp;$K1835),"")</f>
        <v>First Touch Marketing</v>
      </c>
      <c r="M1835" s="42" t="str">
        <f>""</f>
        <v/>
      </c>
      <c r="N1835" s="42" t="str">
        <f>IF($J1835="Item",_xll.NL("first",$J1835,"Description","No.","@@"&amp;$K1835),"")</f>
        <v/>
      </c>
      <c r="O1835" s="43">
        <v>0</v>
      </c>
      <c r="P1835" s="43">
        <v>-288</v>
      </c>
      <c r="Q1835" s="43">
        <v>0</v>
      </c>
      <c r="R1835" s="43">
        <v>0</v>
      </c>
      <c r="S1835" s="43">
        <v>0</v>
      </c>
      <c r="T1835" s="43">
        <v>0</v>
      </c>
      <c r="U1835" s="56"/>
    </row>
    <row r="1836" spans="1:21" ht="17.25" customHeight="1" x14ac:dyDescent="0.3">
      <c r="A1836" s="15" t="s">
        <v>30</v>
      </c>
      <c r="C1836" s="19"/>
      <c r="D1836" s="33" t="str">
        <f t="shared" si="452"/>
        <v>S100013</v>
      </c>
      <c r="E1836" s="33"/>
      <c r="F1836" s="34"/>
      <c r="G1836" s="34" t="str">
        <f>"""NAV Direct"",""CRONUS JetCorp USA"",""32"",""1"",""30054"""</f>
        <v>"NAV Direct","CRONUS JetCorp USA","32","1","30054"</v>
      </c>
      <c r="H1836" s="40">
        <v>43474</v>
      </c>
      <c r="I1836" s="41">
        <v>30054</v>
      </c>
      <c r="J1836" s="42" t="str">
        <f>"Customer"</f>
        <v>Customer</v>
      </c>
      <c r="K1836" s="42" t="str">
        <f>"C100086"</f>
        <v>C100086</v>
      </c>
      <c r="L1836" s="42" t="str">
        <f>IF($J1836="Customer",_xll.NL("first",$J1836,"Name","No.","@@"&amp;$K1836),"")</f>
        <v>Top Action Sports</v>
      </c>
      <c r="M1836" s="42" t="str">
        <f>""</f>
        <v/>
      </c>
      <c r="N1836" s="42" t="str">
        <f>IF($J1836="Item",_xll.NL("first",$J1836,"Description","No.","@@"&amp;$K1836),"")</f>
        <v/>
      </c>
      <c r="O1836" s="43">
        <v>0</v>
      </c>
      <c r="P1836" s="43">
        <v>-1</v>
      </c>
      <c r="Q1836" s="43">
        <v>0</v>
      </c>
      <c r="R1836" s="43">
        <v>0</v>
      </c>
      <c r="S1836" s="43">
        <v>0</v>
      </c>
      <c r="T1836" s="43">
        <v>0</v>
      </c>
      <c r="U1836" s="56"/>
    </row>
    <row r="1837" spans="1:21" ht="17.25" customHeight="1" x14ac:dyDescent="0.3">
      <c r="A1837" s="15" t="s">
        <v>30</v>
      </c>
      <c r="C1837" s="19"/>
      <c r="D1837" s="33" t="str">
        <f t="shared" si="452"/>
        <v>S100013</v>
      </c>
      <c r="E1837" s="33"/>
      <c r="F1837" s="34"/>
      <c r="G1837" s="34" t="str">
        <f>"""NAV Direct"",""CRONUS JetCorp USA"",""32"",""1"",""34333"""</f>
        <v>"NAV Direct","CRONUS JetCorp USA","32","1","34333"</v>
      </c>
      <c r="H1837" s="40">
        <v>43475</v>
      </c>
      <c r="I1837" s="41">
        <v>34333</v>
      </c>
      <c r="J1837" s="42" t="str">
        <f>"Customer"</f>
        <v>Customer</v>
      </c>
      <c r="K1837" s="42" t="str">
        <f>"C100008"</f>
        <v>C100008</v>
      </c>
      <c r="L1837" s="42" t="str">
        <f>IF($J1837="Customer",_xll.NL("first",$J1837,"Name","No.","@@"&amp;$K1837),"")</f>
        <v>Blanemark Hifi Shop</v>
      </c>
      <c r="M1837" s="42" t="str">
        <f>""</f>
        <v/>
      </c>
      <c r="N1837" s="42" t="str">
        <f>IF($J1837="Item",_xll.NL("first",$J1837,"Description","No.","@@"&amp;$K1837),"")</f>
        <v/>
      </c>
      <c r="O1837" s="43">
        <v>0</v>
      </c>
      <c r="P1837" s="43">
        <v>-144</v>
      </c>
      <c r="Q1837" s="43">
        <v>0</v>
      </c>
      <c r="R1837" s="43">
        <v>0</v>
      </c>
      <c r="S1837" s="43">
        <v>0</v>
      </c>
      <c r="T1837" s="43">
        <v>0</v>
      </c>
      <c r="U1837" s="56"/>
    </row>
    <row r="1838" spans="1:21" ht="17.25" customHeight="1" x14ac:dyDescent="0.3">
      <c r="A1838" s="15" t="s">
        <v>30</v>
      </c>
      <c r="C1838" s="19"/>
      <c r="D1838" s="33" t="str">
        <f t="shared" si="452"/>
        <v>S100013</v>
      </c>
      <c r="E1838" s="33"/>
      <c r="F1838" s="34"/>
      <c r="G1838" s="34" t="str">
        <f>"""NAV Direct"",""CRONUS JetCorp USA"",""32"",""1"",""132520"""</f>
        <v>"NAV Direct","CRONUS JetCorp USA","32","1","132520"</v>
      </c>
      <c r="H1838" s="40">
        <v>43477</v>
      </c>
      <c r="I1838" s="41">
        <v>132520</v>
      </c>
      <c r="J1838" s="42" t="str">
        <f>"Customer"</f>
        <v>Customer</v>
      </c>
      <c r="K1838" s="42" t="str">
        <f>"C100082"</f>
        <v>C100082</v>
      </c>
      <c r="L1838" s="42" t="str">
        <f>IF($J1838="Customer",_xll.NL("first",$J1838,"Name","No.","@@"&amp;$K1838),"")</f>
        <v>Sporting Goods Emporium</v>
      </c>
      <c r="M1838" s="42" t="str">
        <f>""</f>
        <v/>
      </c>
      <c r="N1838" s="42" t="str">
        <f>IF($J1838="Item",_xll.NL("first",$J1838,"Description","No.","@@"&amp;$K1838),"")</f>
        <v/>
      </c>
      <c r="O1838" s="43">
        <v>0</v>
      </c>
      <c r="P1838" s="43">
        <v>-288</v>
      </c>
      <c r="Q1838" s="43">
        <v>0</v>
      </c>
      <c r="R1838" s="43">
        <v>0</v>
      </c>
      <c r="S1838" s="43">
        <v>0</v>
      </c>
      <c r="T1838" s="43">
        <v>0</v>
      </c>
      <c r="U1838" s="56"/>
    </row>
    <row r="1839" spans="1:21" ht="17.25" customHeight="1" x14ac:dyDescent="0.3">
      <c r="A1839" s="15" t="s">
        <v>30</v>
      </c>
      <c r="C1839" s="19"/>
      <c r="D1839" s="33"/>
      <c r="E1839" s="33"/>
      <c r="F1839" s="34"/>
      <c r="G1839" s="34"/>
      <c r="H1839" s="34"/>
      <c r="I1839" s="34"/>
      <c r="J1839" s="34"/>
      <c r="K1839" s="34"/>
      <c r="L1839" s="34"/>
      <c r="M1839" s="34"/>
      <c r="N1839" s="34"/>
      <c r="O1839" s="44"/>
      <c r="P1839" s="44"/>
      <c r="Q1839" s="44"/>
      <c r="R1839" s="44"/>
      <c r="S1839" s="44"/>
      <c r="T1839" s="44"/>
      <c r="U1839" s="57"/>
    </row>
    <row r="1840" spans="1:21" ht="17.25" customHeight="1" x14ac:dyDescent="0.3">
      <c r="A1840" s="15" t="s">
        <v>30</v>
      </c>
      <c r="C1840" s="19"/>
      <c r="D1840" s="33"/>
      <c r="E1840" s="33" t="s">
        <v>31</v>
      </c>
      <c r="F1840" s="34" t="s">
        <v>31</v>
      </c>
      <c r="G1840" s="34" t="s">
        <v>31</v>
      </c>
      <c r="H1840" s="34"/>
      <c r="I1840" s="34"/>
      <c r="J1840" s="34" t="s">
        <v>31</v>
      </c>
      <c r="K1840" s="34" t="s">
        <v>31</v>
      </c>
      <c r="L1840" s="34" t="s">
        <v>31</v>
      </c>
      <c r="M1840" s="34" t="s">
        <v>31</v>
      </c>
      <c r="N1840" s="34"/>
      <c r="U1840" s="58"/>
    </row>
    <row r="1841" spans="1:21" ht="20.25" customHeight="1" x14ac:dyDescent="0.35">
      <c r="A1841" s="15" t="s">
        <v>30</v>
      </c>
      <c r="C1841" s="19"/>
      <c r="D1841" s="35" t="str">
        <f t="shared" ref="D1841" si="453">E1841</f>
        <v>S100014</v>
      </c>
      <c r="E1841" s="36" t="str">
        <f>"S100014"</f>
        <v>S100014</v>
      </c>
      <c r="F1841" s="37" t="str">
        <f>"Chunky Knit Hat"</f>
        <v>Chunky Knit Hat</v>
      </c>
      <c r="G1841" s="37"/>
      <c r="H1841" s="38" t="str">
        <f>"EA"</f>
        <v>EA</v>
      </c>
      <c r="I1841" s="37"/>
      <c r="J1841" s="37"/>
      <c r="K1841" s="37"/>
      <c r="L1841" s="37"/>
      <c r="M1841" s="37"/>
      <c r="N1841" s="37"/>
      <c r="O1841" s="39">
        <f>(SUBTOTAL(9,O1842:O1854))</f>
        <v>2400</v>
      </c>
      <c r="P1841" s="39">
        <f>(SUBTOTAL(9,P1842:P1854))</f>
        <v>-909</v>
      </c>
      <c r="Q1841" s="39">
        <f>(SUBTOTAL(9,Q1842:Q1854))</f>
        <v>0</v>
      </c>
      <c r="R1841" s="39">
        <f>(SUBTOTAL(9,R1842:R1854))</f>
        <v>0</v>
      </c>
      <c r="S1841" s="39">
        <f>(SUBTOTAL(9,S1842:S1854))</f>
        <v>0</v>
      </c>
      <c r="T1841" s="39">
        <f>(SUBTOTAL(9,T1842:T1854))</f>
        <v>0</v>
      </c>
      <c r="U1841" s="55">
        <f t="shared" ref="U1841" si="454">SUBTOTAL(9,O1842:T1854)</f>
        <v>1491</v>
      </c>
    </row>
    <row r="1842" spans="1:21" ht="17.25" customHeight="1" x14ac:dyDescent="0.3">
      <c r="A1842" s="15" t="s">
        <v>30</v>
      </c>
      <c r="C1842" s="19"/>
      <c r="D1842" s="33" t="str">
        <f t="shared" ref="D1842" si="455">D1841</f>
        <v>S100014</v>
      </c>
      <c r="E1842" s="33"/>
      <c r="F1842" s="34"/>
      <c r="G1842" s="34" t="str">
        <f>"""NAV Direct"",""CRONUS JetCorp USA"",""32"",""1"",""132504"""</f>
        <v>"NAV Direct","CRONUS JetCorp USA","32","1","132504"</v>
      </c>
      <c r="H1842" s="40">
        <v>43466</v>
      </c>
      <c r="I1842" s="41">
        <v>132504</v>
      </c>
      <c r="J1842" s="42" t="str">
        <f>"Customer"</f>
        <v>Customer</v>
      </c>
      <c r="K1842" s="42" t="str">
        <f>"C100040"</f>
        <v>C100040</v>
      </c>
      <c r="L1842" s="42" t="str">
        <f>IF($J1842="Customer",_xll.NL("first",$J1842,"Name","No.","@@"&amp;$K1842),"")</f>
        <v>Guildford Water Department</v>
      </c>
      <c r="M1842" s="42" t="str">
        <f>""</f>
        <v/>
      </c>
      <c r="N1842" s="42" t="str">
        <f>IF($J1842="Item",_xll.NL("first",$J1842,"Description","No.","@@"&amp;$K1842),"")</f>
        <v/>
      </c>
      <c r="O1842" s="43">
        <v>0</v>
      </c>
      <c r="P1842" s="43">
        <v>-12</v>
      </c>
      <c r="Q1842" s="43">
        <v>0</v>
      </c>
      <c r="R1842" s="43">
        <v>0</v>
      </c>
      <c r="S1842" s="43">
        <v>0</v>
      </c>
      <c r="T1842" s="43">
        <v>0</v>
      </c>
      <c r="U1842" s="56"/>
    </row>
    <row r="1843" spans="1:21" ht="17.25" customHeight="1" x14ac:dyDescent="0.3">
      <c r="A1843" s="15" t="s">
        <v>30</v>
      </c>
      <c r="C1843" s="19"/>
      <c r="D1843" s="33" t="str">
        <f t="shared" ref="D1843:D1853" si="456">D1842</f>
        <v>S100014</v>
      </c>
      <c r="E1843" s="33"/>
      <c r="F1843" s="34"/>
      <c r="G1843" s="34" t="str">
        <f>"""NAV Direct"",""CRONUS JetCorp USA"",""32"",""1"",""167113"""</f>
        <v>"NAV Direct","CRONUS JetCorp USA","32","1","167113"</v>
      </c>
      <c r="H1843" s="40">
        <v>43466</v>
      </c>
      <c r="I1843" s="41">
        <v>167113</v>
      </c>
      <c r="J1843" s="42" t="str">
        <f>"Vendor"</f>
        <v>Vendor</v>
      </c>
      <c r="K1843" s="42" t="str">
        <f>"V100007"</f>
        <v>V100007</v>
      </c>
      <c r="L1843" s="42" t="str">
        <f>IF($J1843="Customer",_xll.NL("first",$J1843,"Name","No.","@@"&amp;$K1843),"")</f>
        <v/>
      </c>
      <c r="M1843" s="42" t="str">
        <f>"TrendTech"</f>
        <v>TrendTech</v>
      </c>
      <c r="N1843" s="42" t="str">
        <f>IF($J1843="Item",_xll.NL("first",$J1843,"Description","No.","@@"&amp;$K1843),"")</f>
        <v/>
      </c>
      <c r="O1843" s="43">
        <v>800</v>
      </c>
      <c r="P1843" s="43">
        <v>0</v>
      </c>
      <c r="Q1843" s="43">
        <v>0</v>
      </c>
      <c r="R1843" s="43">
        <v>0</v>
      </c>
      <c r="S1843" s="43">
        <v>0</v>
      </c>
      <c r="T1843" s="43">
        <v>0</v>
      </c>
      <c r="U1843" s="56"/>
    </row>
    <row r="1844" spans="1:21" ht="17.25" customHeight="1" x14ac:dyDescent="0.3">
      <c r="A1844" s="15" t="s">
        <v>30</v>
      </c>
      <c r="C1844" s="19"/>
      <c r="D1844" s="33" t="str">
        <f t="shared" si="456"/>
        <v>S100014</v>
      </c>
      <c r="E1844" s="33"/>
      <c r="F1844" s="34"/>
      <c r="G1844" s="34" t="str">
        <f>"""NAV Direct"",""CRONUS JetCorp USA"",""32"",""1"",""167131"""</f>
        <v>"NAV Direct","CRONUS JetCorp USA","32","1","167131"</v>
      </c>
      <c r="H1844" s="40">
        <v>43466</v>
      </c>
      <c r="I1844" s="41">
        <v>167131</v>
      </c>
      <c r="J1844" s="42" t="str">
        <f>"Vendor"</f>
        <v>Vendor</v>
      </c>
      <c r="K1844" s="42" t="str">
        <f>"V100001"</f>
        <v>V100001</v>
      </c>
      <c r="L1844" s="42" t="str">
        <f>IF($J1844="Customer",_xll.NL("first",$J1844,"Name","No.","@@"&amp;$K1844),"")</f>
        <v/>
      </c>
      <c r="M1844" s="42" t="str">
        <f>"Greigner, Inc."</f>
        <v>Greigner, Inc.</v>
      </c>
      <c r="N1844" s="42" t="str">
        <f>IF($J1844="Item",_xll.NL("first",$J1844,"Description","No.","@@"&amp;$K1844),"")</f>
        <v/>
      </c>
      <c r="O1844" s="43">
        <v>1600</v>
      </c>
      <c r="P1844" s="43">
        <v>0</v>
      </c>
      <c r="Q1844" s="43">
        <v>0</v>
      </c>
      <c r="R1844" s="43">
        <v>0</v>
      </c>
      <c r="S1844" s="43">
        <v>0</v>
      </c>
      <c r="T1844" s="43">
        <v>0</v>
      </c>
      <c r="U1844" s="56"/>
    </row>
    <row r="1845" spans="1:21" ht="17.25" customHeight="1" x14ac:dyDescent="0.3">
      <c r="A1845" s="15" t="s">
        <v>30</v>
      </c>
      <c r="C1845" s="19"/>
      <c r="D1845" s="33" t="str">
        <f t="shared" si="456"/>
        <v>S100014</v>
      </c>
      <c r="E1845" s="33"/>
      <c r="F1845" s="34"/>
      <c r="G1845" s="34" t="str">
        <f>"""NAV Direct"",""CRONUS JetCorp USA"",""32"",""1"",""20367"""</f>
        <v>"NAV Direct","CRONUS JetCorp USA","32","1","20367"</v>
      </c>
      <c r="H1845" s="40">
        <v>43468</v>
      </c>
      <c r="I1845" s="41">
        <v>20367</v>
      </c>
      <c r="J1845" s="42" t="str">
        <f>"Customer"</f>
        <v>Customer</v>
      </c>
      <c r="K1845" s="42" t="str">
        <f>"C100145"</f>
        <v>C100145</v>
      </c>
      <c r="L1845" s="42" t="str">
        <f>IF($J1845="Customer",_xll.NL("first",$J1845,"Name","No.","@@"&amp;$K1845),"")</f>
        <v>Dicon Industries</v>
      </c>
      <c r="M1845" s="42" t="str">
        <f>""</f>
        <v/>
      </c>
      <c r="N1845" s="42" t="str">
        <f>IF($J1845="Item",_xll.NL("first",$J1845,"Description","No.","@@"&amp;$K1845),"")</f>
        <v/>
      </c>
      <c r="O1845" s="43">
        <v>0</v>
      </c>
      <c r="P1845" s="43">
        <v>-144</v>
      </c>
      <c r="Q1845" s="43">
        <v>0</v>
      </c>
      <c r="R1845" s="43">
        <v>0</v>
      </c>
      <c r="S1845" s="43">
        <v>0</v>
      </c>
      <c r="T1845" s="43">
        <v>0</v>
      </c>
      <c r="U1845" s="56"/>
    </row>
    <row r="1846" spans="1:21" ht="17.25" customHeight="1" x14ac:dyDescent="0.3">
      <c r="A1846" s="15" t="s">
        <v>30</v>
      </c>
      <c r="C1846" s="19"/>
      <c r="D1846" s="33" t="str">
        <f t="shared" si="456"/>
        <v>S100014</v>
      </c>
      <c r="E1846" s="33"/>
      <c r="F1846" s="34"/>
      <c r="G1846" s="34" t="str">
        <f>"""NAV Direct"",""CRONUS JetCorp USA"",""32"",""1"",""128878"""</f>
        <v>"NAV Direct","CRONUS JetCorp USA","32","1","128878"</v>
      </c>
      <c r="H1846" s="40">
        <v>43472</v>
      </c>
      <c r="I1846" s="41">
        <v>128878</v>
      </c>
      <c r="J1846" s="42" t="str">
        <f>"Customer"</f>
        <v>Customer</v>
      </c>
      <c r="K1846" s="42" t="str">
        <f>"C100105"</f>
        <v>C100105</v>
      </c>
      <c r="L1846" s="42" t="str">
        <f>IF($J1846="Customer",_xll.NL("first",$J1846,"Name","No.","@@"&amp;$K1846),"")</f>
        <v>Esystems</v>
      </c>
      <c r="M1846" s="42" t="str">
        <f>""</f>
        <v/>
      </c>
      <c r="N1846" s="42" t="str">
        <f>IF($J1846="Item",_xll.NL("first",$J1846,"Description","No.","@@"&amp;$K1846),"")</f>
        <v/>
      </c>
      <c r="O1846" s="43">
        <v>0</v>
      </c>
      <c r="P1846" s="43">
        <v>-1</v>
      </c>
      <c r="Q1846" s="43">
        <v>0</v>
      </c>
      <c r="R1846" s="43">
        <v>0</v>
      </c>
      <c r="S1846" s="43">
        <v>0</v>
      </c>
      <c r="T1846" s="43">
        <v>0</v>
      </c>
      <c r="U1846" s="56"/>
    </row>
    <row r="1847" spans="1:21" ht="17.25" customHeight="1" x14ac:dyDescent="0.3">
      <c r="A1847" s="15" t="s">
        <v>30</v>
      </c>
      <c r="C1847" s="19"/>
      <c r="D1847" s="33" t="str">
        <f t="shared" si="456"/>
        <v>S100014</v>
      </c>
      <c r="E1847" s="33"/>
      <c r="F1847" s="34"/>
      <c r="G1847" s="34" t="str">
        <f>"""NAV Direct"",""CRONUS JetCorp USA"",""32"",""1"",""124553"""</f>
        <v>"NAV Direct","CRONUS JetCorp USA","32","1","124553"</v>
      </c>
      <c r="H1847" s="40">
        <v>43473</v>
      </c>
      <c r="I1847" s="41">
        <v>124553</v>
      </c>
      <c r="J1847" s="42" t="str">
        <f>"Customer"</f>
        <v>Customer</v>
      </c>
      <c r="K1847" s="42" t="str">
        <f>"C100035"</f>
        <v>C100035</v>
      </c>
      <c r="L1847" s="42" t="str">
        <f>IF($J1847="Customer",_xll.NL("first",$J1847,"Name","No.","@@"&amp;$K1847),"")</f>
        <v>First Touch Marketing</v>
      </c>
      <c r="M1847" s="42" t="str">
        <f>""</f>
        <v/>
      </c>
      <c r="N1847" s="42" t="str">
        <f>IF($J1847="Item",_xll.NL("first",$J1847,"Description","No.","@@"&amp;$K1847),"")</f>
        <v/>
      </c>
      <c r="O1847" s="43">
        <v>0</v>
      </c>
      <c r="P1847" s="43">
        <v>-24</v>
      </c>
      <c r="Q1847" s="43">
        <v>0</v>
      </c>
      <c r="R1847" s="43">
        <v>0</v>
      </c>
      <c r="S1847" s="43">
        <v>0</v>
      </c>
      <c r="T1847" s="43">
        <v>0</v>
      </c>
      <c r="U1847" s="56"/>
    </row>
    <row r="1848" spans="1:21" ht="17.25" customHeight="1" x14ac:dyDescent="0.3">
      <c r="A1848" s="15" t="s">
        <v>30</v>
      </c>
      <c r="C1848" s="19"/>
      <c r="D1848" s="33" t="str">
        <f t="shared" si="456"/>
        <v>S100014</v>
      </c>
      <c r="E1848" s="33"/>
      <c r="F1848" s="34"/>
      <c r="G1848" s="34" t="str">
        <f>"""NAV Direct"",""CRONUS JetCorp USA"",""32"",""1"",""30058"""</f>
        <v>"NAV Direct","CRONUS JetCorp USA","32","1","30058"</v>
      </c>
      <c r="H1848" s="40">
        <v>43474</v>
      </c>
      <c r="I1848" s="41">
        <v>30058</v>
      </c>
      <c r="J1848" s="42" t="str">
        <f>"Customer"</f>
        <v>Customer</v>
      </c>
      <c r="K1848" s="42" t="str">
        <f>"C100086"</f>
        <v>C100086</v>
      </c>
      <c r="L1848" s="42" t="str">
        <f>IF($J1848="Customer",_xll.NL("first",$J1848,"Name","No.","@@"&amp;$K1848),"")</f>
        <v>Top Action Sports</v>
      </c>
      <c r="M1848" s="42" t="str">
        <f>""</f>
        <v/>
      </c>
      <c r="N1848" s="42" t="str">
        <f>IF($J1848="Item",_xll.NL("first",$J1848,"Description","No.","@@"&amp;$K1848),"")</f>
        <v/>
      </c>
      <c r="O1848" s="43">
        <v>0</v>
      </c>
      <c r="P1848" s="43">
        <v>-144</v>
      </c>
      <c r="Q1848" s="43">
        <v>0</v>
      </c>
      <c r="R1848" s="43">
        <v>0</v>
      </c>
      <c r="S1848" s="43">
        <v>0</v>
      </c>
      <c r="T1848" s="43">
        <v>0</v>
      </c>
      <c r="U1848" s="56"/>
    </row>
    <row r="1849" spans="1:21" ht="17.25" customHeight="1" x14ac:dyDescent="0.3">
      <c r="A1849" s="15" t="s">
        <v>30</v>
      </c>
      <c r="C1849" s="19"/>
      <c r="D1849" s="33" t="str">
        <f t="shared" si="456"/>
        <v>S100014</v>
      </c>
      <c r="E1849" s="33"/>
      <c r="F1849" s="34"/>
      <c r="G1849" s="34" t="str">
        <f>"""NAV Direct"",""CRONUS JetCorp USA"",""32"",""1"",""36492"""</f>
        <v>"NAV Direct","CRONUS JetCorp USA","32","1","36492"</v>
      </c>
      <c r="H1849" s="40">
        <v>43474</v>
      </c>
      <c r="I1849" s="41">
        <v>36492</v>
      </c>
      <c r="J1849" s="42" t="str">
        <f>"Customer"</f>
        <v>Customer</v>
      </c>
      <c r="K1849" s="42" t="str">
        <f>"C100092"</f>
        <v>C100092</v>
      </c>
      <c r="L1849" s="42" t="str">
        <f>IF($J1849="Customer",_xll.NL("first",$J1849,"Name","No.","@@"&amp;$K1849),"")</f>
        <v>Zuni Home Crafts Ltd.</v>
      </c>
      <c r="M1849" s="42" t="str">
        <f>""</f>
        <v/>
      </c>
      <c r="N1849" s="42" t="str">
        <f>IF($J1849="Item",_xll.NL("first",$J1849,"Description","No.","@@"&amp;$K1849),"")</f>
        <v/>
      </c>
      <c r="O1849" s="43">
        <v>0</v>
      </c>
      <c r="P1849" s="43">
        <v>-150</v>
      </c>
      <c r="Q1849" s="43">
        <v>0</v>
      </c>
      <c r="R1849" s="43">
        <v>0</v>
      </c>
      <c r="S1849" s="43">
        <v>0</v>
      </c>
      <c r="T1849" s="43">
        <v>0</v>
      </c>
      <c r="U1849" s="56"/>
    </row>
    <row r="1850" spans="1:21" ht="17.25" customHeight="1" x14ac:dyDescent="0.3">
      <c r="A1850" s="15" t="s">
        <v>30</v>
      </c>
      <c r="C1850" s="19"/>
      <c r="D1850" s="33" t="str">
        <f t="shared" si="456"/>
        <v>S100014</v>
      </c>
      <c r="E1850" s="33"/>
      <c r="F1850" s="34"/>
      <c r="G1850" s="34" t="str">
        <f>"""NAV Direct"",""CRONUS JetCorp USA"",""32"",""1"",""20351"""</f>
        <v>"NAV Direct","CRONUS JetCorp USA","32","1","20351"</v>
      </c>
      <c r="H1850" s="40">
        <v>43475</v>
      </c>
      <c r="I1850" s="41">
        <v>20351</v>
      </c>
      <c r="J1850" s="42" t="str">
        <f>"Customer"</f>
        <v>Customer</v>
      </c>
      <c r="K1850" s="42" t="str">
        <f>"C100097"</f>
        <v>C100097</v>
      </c>
      <c r="L1850" s="42" t="str">
        <f>IF($J1850="Customer",_xll.NL("first",$J1850,"Name","No.","@@"&amp;$K1850),"")</f>
        <v>Solotech</v>
      </c>
      <c r="M1850" s="42" t="str">
        <f>""</f>
        <v/>
      </c>
      <c r="N1850" s="42" t="str">
        <f>IF($J1850="Item",_xll.NL("first",$J1850,"Description","No.","@@"&amp;$K1850),"")</f>
        <v/>
      </c>
      <c r="O1850" s="43">
        <v>0</v>
      </c>
      <c r="P1850" s="43">
        <v>-144</v>
      </c>
      <c r="Q1850" s="43">
        <v>0</v>
      </c>
      <c r="R1850" s="43">
        <v>0</v>
      </c>
      <c r="S1850" s="43">
        <v>0</v>
      </c>
      <c r="T1850" s="43">
        <v>0</v>
      </c>
      <c r="U1850" s="56"/>
    </row>
    <row r="1851" spans="1:21" ht="17.25" customHeight="1" x14ac:dyDescent="0.3">
      <c r="A1851" s="15" t="s">
        <v>30</v>
      </c>
      <c r="C1851" s="19"/>
      <c r="D1851" s="33" t="str">
        <f t="shared" si="456"/>
        <v>S100014</v>
      </c>
      <c r="E1851" s="33"/>
      <c r="F1851" s="34"/>
      <c r="G1851" s="34" t="str">
        <f>"""NAV Direct"",""CRONUS JetCorp USA"",""32"",""1"",""124586"""</f>
        <v>"NAV Direct","CRONUS JetCorp USA","32","1","124586"</v>
      </c>
      <c r="H1851" s="40">
        <v>43475</v>
      </c>
      <c r="I1851" s="41">
        <v>124586</v>
      </c>
      <c r="J1851" s="42" t="str">
        <f>"Customer"</f>
        <v>Customer</v>
      </c>
      <c r="K1851" s="42" t="str">
        <f>"C100035"</f>
        <v>C100035</v>
      </c>
      <c r="L1851" s="42" t="str">
        <f>IF($J1851="Customer",_xll.NL("first",$J1851,"Name","No.","@@"&amp;$K1851),"")</f>
        <v>First Touch Marketing</v>
      </c>
      <c r="M1851" s="42" t="str">
        <f>""</f>
        <v/>
      </c>
      <c r="N1851" s="42" t="str">
        <f>IF($J1851="Item",_xll.NL("first",$J1851,"Description","No.","@@"&amp;$K1851),"")</f>
        <v/>
      </c>
      <c r="O1851" s="43">
        <v>0</v>
      </c>
      <c r="P1851" s="43">
        <v>-145</v>
      </c>
      <c r="Q1851" s="43">
        <v>0</v>
      </c>
      <c r="R1851" s="43">
        <v>0</v>
      </c>
      <c r="S1851" s="43">
        <v>0</v>
      </c>
      <c r="T1851" s="43">
        <v>0</v>
      </c>
      <c r="U1851" s="56"/>
    </row>
    <row r="1852" spans="1:21" ht="17.25" customHeight="1" x14ac:dyDescent="0.3">
      <c r="A1852" s="15" t="s">
        <v>30</v>
      </c>
      <c r="C1852" s="19"/>
      <c r="D1852" s="33" t="str">
        <f t="shared" si="456"/>
        <v>S100014</v>
      </c>
      <c r="E1852" s="33"/>
      <c r="F1852" s="34"/>
      <c r="G1852" s="34" t="str">
        <f>"""NAV Direct"",""CRONUS JetCorp USA"",""32"",""1"",""25276"""</f>
        <v>"NAV Direct","CRONUS JetCorp USA","32","1","25276"</v>
      </c>
      <c r="H1852" s="40">
        <v>43476</v>
      </c>
      <c r="I1852" s="41">
        <v>25276</v>
      </c>
      <c r="J1852" s="42" t="str">
        <f>"Customer"</f>
        <v>Customer</v>
      </c>
      <c r="K1852" s="42" t="str">
        <f>"C100102"</f>
        <v>C100102</v>
      </c>
      <c r="L1852" s="42" t="str">
        <f>IF($J1852="Customer",_xll.NL("first",$J1852,"Name","No.","@@"&amp;$K1852),"")</f>
        <v xml:space="preserve">BEI Outfitters </v>
      </c>
      <c r="M1852" s="42" t="str">
        <f>""</f>
        <v/>
      </c>
      <c r="N1852" s="42" t="str">
        <f>IF($J1852="Item",_xll.NL("first",$J1852,"Description","No.","@@"&amp;$K1852),"")</f>
        <v/>
      </c>
      <c r="O1852" s="43">
        <v>0</v>
      </c>
      <c r="P1852" s="43">
        <v>-1</v>
      </c>
      <c r="Q1852" s="43">
        <v>0</v>
      </c>
      <c r="R1852" s="43">
        <v>0</v>
      </c>
      <c r="S1852" s="43">
        <v>0</v>
      </c>
      <c r="T1852" s="43">
        <v>0</v>
      </c>
      <c r="U1852" s="56"/>
    </row>
    <row r="1853" spans="1:21" ht="17.25" customHeight="1" x14ac:dyDescent="0.3">
      <c r="A1853" s="15" t="s">
        <v>30</v>
      </c>
      <c r="C1853" s="19"/>
      <c r="D1853" s="33" t="str">
        <f t="shared" si="456"/>
        <v>S100014</v>
      </c>
      <c r="E1853" s="33"/>
      <c r="F1853" s="34"/>
      <c r="G1853" s="34" t="str">
        <f>"""NAV Direct"",""CRONUS JetCorp USA"",""32"",""1"",""25284"""</f>
        <v>"NAV Direct","CRONUS JetCorp USA","32","1","25284"</v>
      </c>
      <c r="H1853" s="40">
        <v>43477</v>
      </c>
      <c r="I1853" s="41">
        <v>25284</v>
      </c>
      <c r="J1853" s="42" t="str">
        <f>"Customer"</f>
        <v>Customer</v>
      </c>
      <c r="K1853" s="42" t="str">
        <f>"C100138"</f>
        <v>C100138</v>
      </c>
      <c r="L1853" s="42" t="str">
        <f>IF($J1853="Customer",_xll.NL("first",$J1853,"Name","No.","@@"&amp;$K1853),"")</f>
        <v>Dantons</v>
      </c>
      <c r="M1853" s="42" t="str">
        <f>""</f>
        <v/>
      </c>
      <c r="N1853" s="42" t="str">
        <f>IF($J1853="Item",_xll.NL("first",$J1853,"Description","No.","@@"&amp;$K1853),"")</f>
        <v/>
      </c>
      <c r="O1853" s="43">
        <v>0</v>
      </c>
      <c r="P1853" s="43">
        <v>-144</v>
      </c>
      <c r="Q1853" s="43">
        <v>0</v>
      </c>
      <c r="R1853" s="43">
        <v>0</v>
      </c>
      <c r="S1853" s="43">
        <v>0</v>
      </c>
      <c r="T1853" s="43">
        <v>0</v>
      </c>
      <c r="U1853" s="56"/>
    </row>
    <row r="1854" spans="1:21" ht="17.25" customHeight="1" x14ac:dyDescent="0.3">
      <c r="A1854" s="15" t="s">
        <v>30</v>
      </c>
      <c r="C1854" s="19"/>
      <c r="D1854" s="33"/>
      <c r="E1854" s="33"/>
      <c r="F1854" s="34"/>
      <c r="G1854" s="34"/>
      <c r="H1854" s="34"/>
      <c r="I1854" s="34"/>
      <c r="J1854" s="34"/>
      <c r="K1854" s="34"/>
      <c r="L1854" s="34"/>
      <c r="M1854" s="34"/>
      <c r="N1854" s="34"/>
      <c r="O1854" s="44"/>
      <c r="P1854" s="44"/>
      <c r="Q1854" s="44"/>
      <c r="R1854" s="44"/>
      <c r="S1854" s="44"/>
      <c r="T1854" s="44"/>
      <c r="U1854" s="57"/>
    </row>
    <row r="1855" spans="1:21" ht="17.25" customHeight="1" x14ac:dyDescent="0.3">
      <c r="A1855" s="15" t="s">
        <v>30</v>
      </c>
      <c r="C1855" s="19"/>
      <c r="D1855" s="33"/>
      <c r="E1855" s="33" t="s">
        <v>31</v>
      </c>
      <c r="F1855" s="34" t="s">
        <v>31</v>
      </c>
      <c r="G1855" s="34" t="s">
        <v>31</v>
      </c>
      <c r="H1855" s="34"/>
      <c r="I1855" s="34"/>
      <c r="J1855" s="34" t="s">
        <v>31</v>
      </c>
      <c r="K1855" s="34" t="s">
        <v>31</v>
      </c>
      <c r="L1855" s="34" t="s">
        <v>31</v>
      </c>
      <c r="M1855" s="34" t="s">
        <v>31</v>
      </c>
      <c r="N1855" s="34"/>
      <c r="U1855" s="58"/>
    </row>
    <row r="1856" spans="1:21" ht="20.25" customHeight="1" x14ac:dyDescent="0.35">
      <c r="A1856" s="15" t="s">
        <v>30</v>
      </c>
      <c r="C1856" s="19"/>
      <c r="D1856" s="35" t="str">
        <f t="shared" ref="D1856" si="457">E1856</f>
        <v>S100015</v>
      </c>
      <c r="E1856" s="36" t="str">
        <f>"S100015"</f>
        <v>S100015</v>
      </c>
      <c r="F1856" s="37" t="str">
        <f>"Raw-Edge Bucket Hat"</f>
        <v>Raw-Edge Bucket Hat</v>
      </c>
      <c r="G1856" s="37"/>
      <c r="H1856" s="38" t="str">
        <f>"EA"</f>
        <v>EA</v>
      </c>
      <c r="I1856" s="37"/>
      <c r="J1856" s="37"/>
      <c r="K1856" s="37"/>
      <c r="L1856" s="37"/>
      <c r="M1856" s="37"/>
      <c r="N1856" s="37"/>
      <c r="O1856" s="39">
        <f>(SUBTOTAL(9,O1857:O1870))</f>
        <v>4400</v>
      </c>
      <c r="P1856" s="39">
        <f>(SUBTOTAL(9,P1857:P1870))</f>
        <v>-890</v>
      </c>
      <c r="Q1856" s="39">
        <f>(SUBTOTAL(9,Q1857:Q1870))</f>
        <v>0</v>
      </c>
      <c r="R1856" s="39">
        <f>(SUBTOTAL(9,R1857:R1870))</f>
        <v>0</v>
      </c>
      <c r="S1856" s="39">
        <f>(SUBTOTAL(9,S1857:S1870))</f>
        <v>0</v>
      </c>
      <c r="T1856" s="39">
        <f>(SUBTOTAL(9,T1857:T1870))</f>
        <v>0</v>
      </c>
      <c r="U1856" s="55">
        <f t="shared" ref="U1856" si="458">SUBTOTAL(9,O1857:T1870)</f>
        <v>3510</v>
      </c>
    </row>
    <row r="1857" spans="1:21" ht="17.25" customHeight="1" x14ac:dyDescent="0.3">
      <c r="A1857" s="15" t="s">
        <v>30</v>
      </c>
      <c r="C1857" s="19"/>
      <c r="D1857" s="33" t="str">
        <f t="shared" ref="D1857" si="459">D1856</f>
        <v>S100015</v>
      </c>
      <c r="E1857" s="33"/>
      <c r="F1857" s="34"/>
      <c r="G1857" s="34" t="str">
        <f>"""NAV Direct"",""CRONUS JetCorp USA"",""32"",""1"",""167077"""</f>
        <v>"NAV Direct","CRONUS JetCorp USA","32","1","167077"</v>
      </c>
      <c r="H1857" s="40">
        <v>43466</v>
      </c>
      <c r="I1857" s="41">
        <v>167077</v>
      </c>
      <c r="J1857" s="42" t="str">
        <f>"Vendor"</f>
        <v>Vendor</v>
      </c>
      <c r="K1857" s="42" t="str">
        <f>"V100009"</f>
        <v>V100009</v>
      </c>
      <c r="L1857" s="42" t="str">
        <f>IF($J1857="Customer",_xll.NL("first",$J1857,"Name","No.","@@"&amp;$K1857),"")</f>
        <v/>
      </c>
      <c r="M1857" s="42" t="str">
        <f>"Malay-Dan Export Unit Sdn Bhd"</f>
        <v>Malay-Dan Export Unit Sdn Bhd</v>
      </c>
      <c r="N1857" s="42" t="str">
        <f>IF($J1857="Item",_xll.NL("first",$J1857,"Description","No.","@@"&amp;$K1857),"")</f>
        <v/>
      </c>
      <c r="O1857" s="43">
        <v>400</v>
      </c>
      <c r="P1857" s="43">
        <v>0</v>
      </c>
      <c r="Q1857" s="43">
        <v>0</v>
      </c>
      <c r="R1857" s="43">
        <v>0</v>
      </c>
      <c r="S1857" s="43">
        <v>0</v>
      </c>
      <c r="T1857" s="43">
        <v>0</v>
      </c>
      <c r="U1857" s="56"/>
    </row>
    <row r="1858" spans="1:21" ht="17.25" customHeight="1" x14ac:dyDescent="0.3">
      <c r="A1858" s="15" t="s">
        <v>30</v>
      </c>
      <c r="C1858" s="19"/>
      <c r="D1858" s="33" t="str">
        <f t="shared" ref="D1858:D1869" si="460">D1857</f>
        <v>S100015</v>
      </c>
      <c r="E1858" s="33"/>
      <c r="F1858" s="34"/>
      <c r="G1858" s="34" t="str">
        <f>"""NAV Direct"",""CRONUS JetCorp USA"",""32"",""1"",""167092"""</f>
        <v>"NAV Direct","CRONUS JetCorp USA","32","1","167092"</v>
      </c>
      <c r="H1858" s="40">
        <v>43466</v>
      </c>
      <c r="I1858" s="41">
        <v>167092</v>
      </c>
      <c r="J1858" s="42" t="str">
        <f>"Vendor"</f>
        <v>Vendor</v>
      </c>
      <c r="K1858" s="42" t="str">
        <f>"V100040"</f>
        <v>V100040</v>
      </c>
      <c r="L1858" s="42" t="str">
        <f>IF($J1858="Customer",_xll.NL("first",$J1858,"Name","No.","@@"&amp;$K1858),"")</f>
        <v/>
      </c>
      <c r="M1858" s="42" t="str">
        <f>"Technische Betriebe Rotkreuz"</f>
        <v>Technische Betriebe Rotkreuz</v>
      </c>
      <c r="N1858" s="42" t="str">
        <f>IF($J1858="Item",_xll.NL("first",$J1858,"Description","No.","@@"&amp;$K1858),"")</f>
        <v/>
      </c>
      <c r="O1858" s="43">
        <v>800</v>
      </c>
      <c r="P1858" s="43">
        <v>0</v>
      </c>
      <c r="Q1858" s="43">
        <v>0</v>
      </c>
      <c r="R1858" s="43">
        <v>0</v>
      </c>
      <c r="S1858" s="43">
        <v>0</v>
      </c>
      <c r="T1858" s="43">
        <v>0</v>
      </c>
      <c r="U1858" s="56"/>
    </row>
    <row r="1859" spans="1:21" ht="17.25" customHeight="1" x14ac:dyDescent="0.3">
      <c r="A1859" s="15" t="s">
        <v>30</v>
      </c>
      <c r="C1859" s="19"/>
      <c r="D1859" s="33" t="str">
        <f t="shared" si="460"/>
        <v>S100015</v>
      </c>
      <c r="E1859" s="33"/>
      <c r="F1859" s="34"/>
      <c r="G1859" s="34" t="str">
        <f>"""NAV Direct"",""CRONUS JetCorp USA"",""32"",""1"",""167130"""</f>
        <v>"NAV Direct","CRONUS JetCorp USA","32","1","167130"</v>
      </c>
      <c r="H1859" s="40">
        <v>43466</v>
      </c>
      <c r="I1859" s="41">
        <v>167130</v>
      </c>
      <c r="J1859" s="42" t="str">
        <f>"Vendor"</f>
        <v>Vendor</v>
      </c>
      <c r="K1859" s="42" t="str">
        <f>"V100001"</f>
        <v>V100001</v>
      </c>
      <c r="L1859" s="42" t="str">
        <f>IF($J1859="Customer",_xll.NL("first",$J1859,"Name","No.","@@"&amp;$K1859),"")</f>
        <v/>
      </c>
      <c r="M1859" s="42" t="str">
        <f>"Greigner, Inc."</f>
        <v>Greigner, Inc.</v>
      </c>
      <c r="N1859" s="42" t="str">
        <f>IF($J1859="Item",_xll.NL("first",$J1859,"Description","No.","@@"&amp;$K1859),"")</f>
        <v/>
      </c>
      <c r="O1859" s="43">
        <v>2800</v>
      </c>
      <c r="P1859" s="43">
        <v>0</v>
      </c>
      <c r="Q1859" s="43">
        <v>0</v>
      </c>
      <c r="R1859" s="43">
        <v>0</v>
      </c>
      <c r="S1859" s="43">
        <v>0</v>
      </c>
      <c r="T1859" s="43">
        <v>0</v>
      </c>
      <c r="U1859" s="56"/>
    </row>
    <row r="1860" spans="1:21" ht="17.25" customHeight="1" x14ac:dyDescent="0.3">
      <c r="A1860" s="15" t="s">
        <v>30</v>
      </c>
      <c r="C1860" s="19"/>
      <c r="D1860" s="33" t="str">
        <f t="shared" si="460"/>
        <v>S100015</v>
      </c>
      <c r="E1860" s="33"/>
      <c r="F1860" s="34"/>
      <c r="G1860" s="34" t="str">
        <f>"""NAV Direct"",""CRONUS JetCorp USA"",""32"",""1"",""167156"""</f>
        <v>"NAV Direct","CRONUS JetCorp USA","32","1","167156"</v>
      </c>
      <c r="H1860" s="40">
        <v>43466</v>
      </c>
      <c r="I1860" s="41">
        <v>167156</v>
      </c>
      <c r="J1860" s="42" t="str">
        <f>"Vendor"</f>
        <v>Vendor</v>
      </c>
      <c r="K1860" s="42" t="str">
        <f>"V100003"</f>
        <v>V100003</v>
      </c>
      <c r="L1860" s="42" t="str">
        <f>IF($J1860="Customer",_xll.NL("first",$J1860,"Name","No.","@@"&amp;$K1860),"")</f>
        <v/>
      </c>
      <c r="M1860" s="42" t="str">
        <f>"LogoMasters"</f>
        <v>LogoMasters</v>
      </c>
      <c r="N1860" s="42" t="str">
        <f>IF($J1860="Item",_xll.NL("first",$J1860,"Description","No.","@@"&amp;$K1860),"")</f>
        <v/>
      </c>
      <c r="O1860" s="43">
        <v>400</v>
      </c>
      <c r="P1860" s="43">
        <v>0</v>
      </c>
      <c r="Q1860" s="43">
        <v>0</v>
      </c>
      <c r="R1860" s="43">
        <v>0</v>
      </c>
      <c r="S1860" s="43">
        <v>0</v>
      </c>
      <c r="T1860" s="43">
        <v>0</v>
      </c>
      <c r="U1860" s="56"/>
    </row>
    <row r="1861" spans="1:21" ht="17.25" customHeight="1" x14ac:dyDescent="0.3">
      <c r="A1861" s="15" t="s">
        <v>30</v>
      </c>
      <c r="C1861" s="19"/>
      <c r="D1861" s="33" t="str">
        <f t="shared" si="460"/>
        <v>S100015</v>
      </c>
      <c r="E1861" s="33"/>
      <c r="F1861" s="34"/>
      <c r="G1861" s="34" t="str">
        <f>"""NAV Direct"",""CRONUS JetCorp USA"",""32"",""1"",""20369"""</f>
        <v>"NAV Direct","CRONUS JetCorp USA","32","1","20369"</v>
      </c>
      <c r="H1861" s="40">
        <v>43468</v>
      </c>
      <c r="I1861" s="41">
        <v>20369</v>
      </c>
      <c r="J1861" s="42" t="str">
        <f>"Customer"</f>
        <v>Customer</v>
      </c>
      <c r="K1861" s="42" t="str">
        <f>"C100145"</f>
        <v>C100145</v>
      </c>
      <c r="L1861" s="42" t="str">
        <f>IF($J1861="Customer",_xll.NL("first",$J1861,"Name","No.","@@"&amp;$K1861),"")</f>
        <v>Dicon Industries</v>
      </c>
      <c r="M1861" s="42" t="str">
        <f>""</f>
        <v/>
      </c>
      <c r="N1861" s="42" t="str">
        <f>IF($J1861="Item",_xll.NL("first",$J1861,"Description","No.","@@"&amp;$K1861),"")</f>
        <v/>
      </c>
      <c r="O1861" s="43">
        <v>0</v>
      </c>
      <c r="P1861" s="43">
        <v>-144</v>
      </c>
      <c r="Q1861" s="43">
        <v>0</v>
      </c>
      <c r="R1861" s="43">
        <v>0</v>
      </c>
      <c r="S1861" s="43">
        <v>0</v>
      </c>
      <c r="T1861" s="43">
        <v>0</v>
      </c>
      <c r="U1861" s="56"/>
    </row>
    <row r="1862" spans="1:21" ht="17.25" customHeight="1" x14ac:dyDescent="0.3">
      <c r="A1862" s="15" t="s">
        <v>30</v>
      </c>
      <c r="C1862" s="19"/>
      <c r="D1862" s="33" t="str">
        <f t="shared" si="460"/>
        <v>S100015</v>
      </c>
      <c r="E1862" s="33"/>
      <c r="F1862" s="34"/>
      <c r="G1862" s="34" t="str">
        <f>"""NAV Direct"",""CRONUS JetCorp USA"",""32"",""1"",""124520"""</f>
        <v>"NAV Direct","CRONUS JetCorp USA","32","1","124520"</v>
      </c>
      <c r="H1862" s="40">
        <v>43470</v>
      </c>
      <c r="I1862" s="41">
        <v>124520</v>
      </c>
      <c r="J1862" s="42" t="str">
        <f>"Customer"</f>
        <v>Customer</v>
      </c>
      <c r="K1862" s="42" t="str">
        <f>"C100025"</f>
        <v>C100025</v>
      </c>
      <c r="L1862" s="42" t="str">
        <f>IF($J1862="Customer",_xll.NL("first",$J1862,"Name","No.","@@"&amp;$K1862),"")</f>
        <v>Derringers Resturants</v>
      </c>
      <c r="M1862" s="42" t="str">
        <f>""</f>
        <v/>
      </c>
      <c r="N1862" s="42" t="str">
        <f>IF($J1862="Item",_xll.NL("first",$J1862,"Description","No.","@@"&amp;$K1862),"")</f>
        <v/>
      </c>
      <c r="O1862" s="43">
        <v>0</v>
      </c>
      <c r="P1862" s="43">
        <v>-1</v>
      </c>
      <c r="Q1862" s="43">
        <v>0</v>
      </c>
      <c r="R1862" s="43">
        <v>0</v>
      </c>
      <c r="S1862" s="43">
        <v>0</v>
      </c>
      <c r="T1862" s="43">
        <v>0</v>
      </c>
      <c r="U1862" s="56"/>
    </row>
    <row r="1863" spans="1:21" ht="17.25" customHeight="1" x14ac:dyDescent="0.3">
      <c r="A1863" s="15" t="s">
        <v>30</v>
      </c>
      <c r="C1863" s="19"/>
      <c r="D1863" s="33" t="str">
        <f t="shared" si="460"/>
        <v>S100015</v>
      </c>
      <c r="E1863" s="33"/>
      <c r="F1863" s="34"/>
      <c r="G1863" s="34" t="str">
        <f>"""NAV Direct"",""CRONUS JetCorp USA"",""32"",""1"",""128851"""</f>
        <v>"NAV Direct","CRONUS JetCorp USA","32","1","128851"</v>
      </c>
      <c r="H1863" s="40">
        <v>43471</v>
      </c>
      <c r="I1863" s="41">
        <v>128851</v>
      </c>
      <c r="J1863" s="42" t="str">
        <f>"Customer"</f>
        <v>Customer</v>
      </c>
      <c r="K1863" s="42" t="str">
        <f>"C100138"</f>
        <v>C100138</v>
      </c>
      <c r="L1863" s="42" t="str">
        <f>IF($J1863="Customer",_xll.NL("first",$J1863,"Name","No.","@@"&amp;$K1863),"")</f>
        <v>Dantons</v>
      </c>
      <c r="M1863" s="42" t="str">
        <f>""</f>
        <v/>
      </c>
      <c r="N1863" s="42" t="str">
        <f>IF($J1863="Item",_xll.NL("first",$J1863,"Description","No.","@@"&amp;$K1863),"")</f>
        <v/>
      </c>
      <c r="O1863" s="43">
        <v>0</v>
      </c>
      <c r="P1863" s="43">
        <v>-144</v>
      </c>
      <c r="Q1863" s="43">
        <v>0</v>
      </c>
      <c r="R1863" s="43">
        <v>0</v>
      </c>
      <c r="S1863" s="43">
        <v>0</v>
      </c>
      <c r="T1863" s="43">
        <v>0</v>
      </c>
      <c r="U1863" s="56"/>
    </row>
    <row r="1864" spans="1:21" ht="17.25" customHeight="1" x14ac:dyDescent="0.3">
      <c r="A1864" s="15" t="s">
        <v>30</v>
      </c>
      <c r="C1864" s="19"/>
      <c r="D1864" s="33" t="str">
        <f t="shared" si="460"/>
        <v>S100015</v>
      </c>
      <c r="E1864" s="33"/>
      <c r="F1864" s="34"/>
      <c r="G1864" s="34" t="str">
        <f>"""NAV Direct"",""CRONUS JetCorp USA"",""32"",""1"",""34311"""</f>
        <v>"NAV Direct","CRONUS JetCorp USA","32","1","34311"</v>
      </c>
      <c r="H1864" s="40">
        <v>43473</v>
      </c>
      <c r="I1864" s="41">
        <v>34311</v>
      </c>
      <c r="J1864" s="42" t="str">
        <f>"Customer"</f>
        <v>Customer</v>
      </c>
      <c r="K1864" s="42" t="str">
        <f>"C100059"</f>
        <v>C100059</v>
      </c>
      <c r="L1864" s="42" t="str">
        <f>IF($J1864="Customer",_xll.NL("first",$J1864,"Name","No.","@@"&amp;$K1864),"")</f>
        <v>Meersen Meubelen</v>
      </c>
      <c r="M1864" s="42" t="str">
        <f>""</f>
        <v/>
      </c>
      <c r="N1864" s="42" t="str">
        <f>IF($J1864="Item",_xll.NL("first",$J1864,"Description","No.","@@"&amp;$K1864),"")</f>
        <v/>
      </c>
      <c r="O1864" s="43">
        <v>0</v>
      </c>
      <c r="P1864" s="43">
        <v>-144</v>
      </c>
      <c r="Q1864" s="43">
        <v>0</v>
      </c>
      <c r="R1864" s="43">
        <v>0</v>
      </c>
      <c r="S1864" s="43">
        <v>0</v>
      </c>
      <c r="T1864" s="43">
        <v>0</v>
      </c>
      <c r="U1864" s="56"/>
    </row>
    <row r="1865" spans="1:21" ht="17.25" customHeight="1" x14ac:dyDescent="0.3">
      <c r="A1865" s="15" t="s">
        <v>30</v>
      </c>
      <c r="C1865" s="19"/>
      <c r="D1865" s="33" t="str">
        <f t="shared" si="460"/>
        <v>S100015</v>
      </c>
      <c r="E1865" s="33"/>
      <c r="F1865" s="34"/>
      <c r="G1865" s="34" t="str">
        <f>"""NAV Direct"",""CRONUS JetCorp USA"",""32"",""1"",""30052"""</f>
        <v>"NAV Direct","CRONUS JetCorp USA","32","1","30052"</v>
      </c>
      <c r="H1865" s="40">
        <v>43474</v>
      </c>
      <c r="I1865" s="41">
        <v>30052</v>
      </c>
      <c r="J1865" s="42" t="str">
        <f>"Customer"</f>
        <v>Customer</v>
      </c>
      <c r="K1865" s="42" t="str">
        <f>"C100086"</f>
        <v>C100086</v>
      </c>
      <c r="L1865" s="42" t="str">
        <f>IF($J1865="Customer",_xll.NL("first",$J1865,"Name","No.","@@"&amp;$K1865),"")</f>
        <v>Top Action Sports</v>
      </c>
      <c r="M1865" s="42" t="str">
        <f>""</f>
        <v/>
      </c>
      <c r="N1865" s="42" t="str">
        <f>IF($J1865="Item",_xll.NL("first",$J1865,"Description","No.","@@"&amp;$K1865),"")</f>
        <v/>
      </c>
      <c r="O1865" s="43">
        <v>0</v>
      </c>
      <c r="P1865" s="43">
        <v>-1</v>
      </c>
      <c r="Q1865" s="43">
        <v>0</v>
      </c>
      <c r="R1865" s="43">
        <v>0</v>
      </c>
      <c r="S1865" s="43">
        <v>0</v>
      </c>
      <c r="T1865" s="43">
        <v>0</v>
      </c>
      <c r="U1865" s="56"/>
    </row>
    <row r="1866" spans="1:21" ht="17.25" customHeight="1" x14ac:dyDescent="0.3">
      <c r="A1866" s="15" t="s">
        <v>30</v>
      </c>
      <c r="C1866" s="19"/>
      <c r="D1866" s="33" t="str">
        <f t="shared" si="460"/>
        <v>S100015</v>
      </c>
      <c r="E1866" s="33"/>
      <c r="F1866" s="34"/>
      <c r="G1866" s="34" t="str">
        <f>"""NAV Direct"",""CRONUS JetCorp USA"",""32"",""1"",""30109"""</f>
        <v>"NAV Direct","CRONUS JetCorp USA","32","1","30109"</v>
      </c>
      <c r="H1866" s="40">
        <v>43475</v>
      </c>
      <c r="I1866" s="41">
        <v>30109</v>
      </c>
      <c r="J1866" s="42" t="str">
        <f>"Customer"</f>
        <v>Customer</v>
      </c>
      <c r="K1866" s="42" t="str">
        <f>"C100012"</f>
        <v>C100012</v>
      </c>
      <c r="L1866" s="42" t="str">
        <f>IF($J1866="Customer",_xll.NL("first",$J1866,"Name","No.","@@"&amp;$K1866),"")</f>
        <v>Bainbridges</v>
      </c>
      <c r="M1866" s="42" t="str">
        <f>""</f>
        <v/>
      </c>
      <c r="N1866" s="42" t="str">
        <f>IF($J1866="Item",_xll.NL("first",$J1866,"Description","No.","@@"&amp;$K1866),"")</f>
        <v/>
      </c>
      <c r="O1866" s="43">
        <v>0</v>
      </c>
      <c r="P1866" s="43">
        <v>-144</v>
      </c>
      <c r="Q1866" s="43">
        <v>0</v>
      </c>
      <c r="R1866" s="43">
        <v>0</v>
      </c>
      <c r="S1866" s="43">
        <v>0</v>
      </c>
      <c r="T1866" s="43">
        <v>0</v>
      </c>
      <c r="U1866" s="56"/>
    </row>
    <row r="1867" spans="1:21" ht="17.25" customHeight="1" x14ac:dyDescent="0.3">
      <c r="A1867" s="15" t="s">
        <v>30</v>
      </c>
      <c r="C1867" s="19"/>
      <c r="D1867" s="33" t="str">
        <f t="shared" si="460"/>
        <v>S100015</v>
      </c>
      <c r="E1867" s="33"/>
      <c r="F1867" s="34"/>
      <c r="G1867" s="34" t="str">
        <f>"""NAV Direct"",""CRONUS JetCorp USA"",""32"",""1"",""25265"""</f>
        <v>"NAV Direct","CRONUS JetCorp USA","32","1","25265"</v>
      </c>
      <c r="H1867" s="40">
        <v>43476</v>
      </c>
      <c r="I1867" s="41">
        <v>25265</v>
      </c>
      <c r="J1867" s="42" t="str">
        <f>"Customer"</f>
        <v>Customer</v>
      </c>
      <c r="K1867" s="42" t="str">
        <f>"C100102"</f>
        <v>C100102</v>
      </c>
      <c r="L1867" s="42" t="str">
        <f>IF($J1867="Customer",_xll.NL("first",$J1867,"Name","No.","@@"&amp;$K1867),"")</f>
        <v xml:space="preserve">BEI Outfitters </v>
      </c>
      <c r="M1867" s="42" t="str">
        <f>""</f>
        <v/>
      </c>
      <c r="N1867" s="42" t="str">
        <f>IF($J1867="Item",_xll.NL("first",$J1867,"Description","No.","@@"&amp;$K1867),"")</f>
        <v/>
      </c>
      <c r="O1867" s="43">
        <v>0</v>
      </c>
      <c r="P1867" s="43">
        <v>-144</v>
      </c>
      <c r="Q1867" s="43">
        <v>0</v>
      </c>
      <c r="R1867" s="43">
        <v>0</v>
      </c>
      <c r="S1867" s="43">
        <v>0</v>
      </c>
      <c r="T1867" s="43">
        <v>0</v>
      </c>
      <c r="U1867" s="56"/>
    </row>
    <row r="1868" spans="1:21" ht="17.25" customHeight="1" x14ac:dyDescent="0.3">
      <c r="A1868" s="15" t="s">
        <v>30</v>
      </c>
      <c r="C1868" s="19"/>
      <c r="D1868" s="33" t="str">
        <f t="shared" si="460"/>
        <v>S100015</v>
      </c>
      <c r="E1868" s="33"/>
      <c r="F1868" s="34"/>
      <c r="G1868" s="34" t="str">
        <f>"""NAV Direct"",""CRONUS JetCorp USA"",""32"",""1"",""132521"""</f>
        <v>"NAV Direct","CRONUS JetCorp USA","32","1","132521"</v>
      </c>
      <c r="H1868" s="40">
        <v>43477</v>
      </c>
      <c r="I1868" s="41">
        <v>132521</v>
      </c>
      <c r="J1868" s="42" t="str">
        <f>"Customer"</f>
        <v>Customer</v>
      </c>
      <c r="K1868" s="42" t="str">
        <f>"C100082"</f>
        <v>C100082</v>
      </c>
      <c r="L1868" s="42" t="str">
        <f>IF($J1868="Customer",_xll.NL("first",$J1868,"Name","No.","@@"&amp;$K1868),"")</f>
        <v>Sporting Goods Emporium</v>
      </c>
      <c r="M1868" s="42" t="str">
        <f>""</f>
        <v/>
      </c>
      <c r="N1868" s="42" t="str">
        <f>IF($J1868="Item",_xll.NL("first",$J1868,"Description","No.","@@"&amp;$K1868),"")</f>
        <v/>
      </c>
      <c r="O1868" s="43">
        <v>0</v>
      </c>
      <c r="P1868" s="43">
        <v>-144</v>
      </c>
      <c r="Q1868" s="43">
        <v>0</v>
      </c>
      <c r="R1868" s="43">
        <v>0</v>
      </c>
      <c r="S1868" s="43">
        <v>0</v>
      </c>
      <c r="T1868" s="43">
        <v>0</v>
      </c>
      <c r="U1868" s="56"/>
    </row>
    <row r="1869" spans="1:21" ht="17.25" customHeight="1" x14ac:dyDescent="0.3">
      <c r="A1869" s="15" t="s">
        <v>30</v>
      </c>
      <c r="C1869" s="19"/>
      <c r="D1869" s="33" t="str">
        <f t="shared" si="460"/>
        <v>S100015</v>
      </c>
      <c r="E1869" s="33"/>
      <c r="F1869" s="34"/>
      <c r="G1869" s="34" t="str">
        <f>"""NAV Direct"",""CRONUS JetCorp USA"",""32"",""1"",""138732"""</f>
        <v>"NAV Direct","CRONUS JetCorp USA","32","1","138732"</v>
      </c>
      <c r="H1869" s="40">
        <v>43477</v>
      </c>
      <c r="I1869" s="41">
        <v>138732</v>
      </c>
      <c r="J1869" s="42" t="str">
        <f>"Customer"</f>
        <v>Customer</v>
      </c>
      <c r="K1869" s="42" t="str">
        <f>"C100021"</f>
        <v>C100021</v>
      </c>
      <c r="L1869" s="42" t="str">
        <f>IF($J1869="Customer",_xll.NL("first",$J1869,"Name","No.","@@"&amp;$K1869),"")</f>
        <v>Cronus Cardoxy Sales</v>
      </c>
      <c r="M1869" s="42" t="str">
        <f>""</f>
        <v/>
      </c>
      <c r="N1869" s="42" t="str">
        <f>IF($J1869="Item",_xll.NL("first",$J1869,"Description","No.","@@"&amp;$K1869),"")</f>
        <v/>
      </c>
      <c r="O1869" s="43">
        <v>0</v>
      </c>
      <c r="P1869" s="43">
        <v>-24</v>
      </c>
      <c r="Q1869" s="43">
        <v>0</v>
      </c>
      <c r="R1869" s="43">
        <v>0</v>
      </c>
      <c r="S1869" s="43">
        <v>0</v>
      </c>
      <c r="T1869" s="43">
        <v>0</v>
      </c>
      <c r="U1869" s="56"/>
    </row>
    <row r="1870" spans="1:21" ht="17.25" customHeight="1" x14ac:dyDescent="0.3">
      <c r="A1870" s="15" t="s">
        <v>30</v>
      </c>
      <c r="C1870" s="19"/>
      <c r="D1870" s="33"/>
      <c r="E1870" s="33"/>
      <c r="F1870" s="34"/>
      <c r="G1870" s="34"/>
      <c r="H1870" s="34"/>
      <c r="I1870" s="34"/>
      <c r="J1870" s="34"/>
      <c r="K1870" s="34"/>
      <c r="L1870" s="34"/>
      <c r="M1870" s="34"/>
      <c r="N1870" s="34"/>
      <c r="O1870" s="44"/>
      <c r="P1870" s="44"/>
      <c r="Q1870" s="44"/>
      <c r="R1870" s="44"/>
      <c r="S1870" s="44"/>
      <c r="T1870" s="44"/>
      <c r="U1870" s="57"/>
    </row>
    <row r="1871" spans="1:21" ht="17.25" customHeight="1" x14ac:dyDescent="0.3">
      <c r="A1871" s="15" t="s">
        <v>30</v>
      </c>
      <c r="C1871" s="19"/>
      <c r="D1871" s="33"/>
      <c r="E1871" s="33" t="s">
        <v>31</v>
      </c>
      <c r="F1871" s="34" t="s">
        <v>31</v>
      </c>
      <c r="G1871" s="34" t="s">
        <v>31</v>
      </c>
      <c r="H1871" s="34"/>
      <c r="I1871" s="34"/>
      <c r="J1871" s="34" t="s">
        <v>31</v>
      </c>
      <c r="K1871" s="34" t="s">
        <v>31</v>
      </c>
      <c r="L1871" s="34" t="s">
        <v>31</v>
      </c>
      <c r="M1871" s="34" t="s">
        <v>31</v>
      </c>
      <c r="N1871" s="34"/>
      <c r="U1871" s="58"/>
    </row>
    <row r="1872" spans="1:21" ht="20.25" customHeight="1" x14ac:dyDescent="0.35">
      <c r="A1872" s="15" t="s">
        <v>30</v>
      </c>
      <c r="C1872" s="19"/>
      <c r="D1872" s="35" t="str">
        <f t="shared" ref="D1872" si="461">E1872</f>
        <v>S100016</v>
      </c>
      <c r="E1872" s="36" t="str">
        <f>"S100016"</f>
        <v>S100016</v>
      </c>
      <c r="F1872" s="37" t="str">
        <f>"Mesh Bucket Hat"</f>
        <v>Mesh Bucket Hat</v>
      </c>
      <c r="G1872" s="37"/>
      <c r="H1872" s="38" t="str">
        <f>"EA"</f>
        <v>EA</v>
      </c>
      <c r="I1872" s="37"/>
      <c r="J1872" s="37"/>
      <c r="K1872" s="37"/>
      <c r="L1872" s="37"/>
      <c r="M1872" s="37"/>
      <c r="N1872" s="37"/>
      <c r="O1872" s="39">
        <f>(SUBTOTAL(9,O1873:O1896))</f>
        <v>8000</v>
      </c>
      <c r="P1872" s="39">
        <f>(SUBTOTAL(9,P1873:P1896))</f>
        <v>-2354</v>
      </c>
      <c r="Q1872" s="39">
        <f>(SUBTOTAL(9,Q1873:Q1896))</f>
        <v>0</v>
      </c>
      <c r="R1872" s="39">
        <f>(SUBTOTAL(9,R1873:R1896))</f>
        <v>0</v>
      </c>
      <c r="S1872" s="39">
        <f>(SUBTOTAL(9,S1873:S1896))</f>
        <v>0</v>
      </c>
      <c r="T1872" s="39">
        <f>(SUBTOTAL(9,T1873:T1896))</f>
        <v>0</v>
      </c>
      <c r="U1872" s="55">
        <f t="shared" ref="U1872" si="462">SUBTOTAL(9,O1873:T1896)</f>
        <v>5646</v>
      </c>
    </row>
    <row r="1873" spans="1:21" ht="17.25" customHeight="1" x14ac:dyDescent="0.3">
      <c r="A1873" s="15" t="s">
        <v>30</v>
      </c>
      <c r="C1873" s="19"/>
      <c r="D1873" s="33" t="str">
        <f t="shared" ref="D1873" si="463">D1872</f>
        <v>S100016</v>
      </c>
      <c r="E1873" s="33"/>
      <c r="F1873" s="34"/>
      <c r="G1873" s="34" t="str">
        <f>"""NAV Direct"",""CRONUS JetCorp USA"",""32"",""1"",""167076"""</f>
        <v>"NAV Direct","CRONUS JetCorp USA","32","1","167076"</v>
      </c>
      <c r="H1873" s="40">
        <v>43466</v>
      </c>
      <c r="I1873" s="41">
        <v>167076</v>
      </c>
      <c r="J1873" s="42" t="str">
        <f>"Vendor"</f>
        <v>Vendor</v>
      </c>
      <c r="K1873" s="42" t="str">
        <f>"V100009"</f>
        <v>V100009</v>
      </c>
      <c r="L1873" s="42" t="str">
        <f>IF($J1873="Customer",_xll.NL("first",$J1873,"Name","No.","@@"&amp;$K1873),"")</f>
        <v/>
      </c>
      <c r="M1873" s="42" t="str">
        <f>"Malay-Dan Export Unit Sdn Bhd"</f>
        <v>Malay-Dan Export Unit Sdn Bhd</v>
      </c>
      <c r="N1873" s="42" t="str">
        <f>IF($J1873="Item",_xll.NL("first",$J1873,"Description","No.","@@"&amp;$K1873),"")</f>
        <v/>
      </c>
      <c r="O1873" s="43">
        <v>800</v>
      </c>
      <c r="P1873" s="43">
        <v>0</v>
      </c>
      <c r="Q1873" s="43">
        <v>0</v>
      </c>
      <c r="R1873" s="43">
        <v>0</v>
      </c>
      <c r="S1873" s="43">
        <v>0</v>
      </c>
      <c r="T1873" s="43">
        <v>0</v>
      </c>
      <c r="U1873" s="56"/>
    </row>
    <row r="1874" spans="1:21" ht="17.25" customHeight="1" x14ac:dyDescent="0.3">
      <c r="A1874" s="15" t="s">
        <v>30</v>
      </c>
      <c r="C1874" s="19"/>
      <c r="D1874" s="33" t="str">
        <f t="shared" ref="D1874:D1895" si="464">D1873</f>
        <v>S100016</v>
      </c>
      <c r="E1874" s="33"/>
      <c r="F1874" s="34"/>
      <c r="G1874" s="34" t="str">
        <f>"""NAV Direct"",""CRONUS JetCorp USA"",""32"",""1"",""167091"""</f>
        <v>"NAV Direct","CRONUS JetCorp USA","32","1","167091"</v>
      </c>
      <c r="H1874" s="40">
        <v>43466</v>
      </c>
      <c r="I1874" s="41">
        <v>167091</v>
      </c>
      <c r="J1874" s="42" t="str">
        <f>"Vendor"</f>
        <v>Vendor</v>
      </c>
      <c r="K1874" s="42" t="str">
        <f>"V100040"</f>
        <v>V100040</v>
      </c>
      <c r="L1874" s="42" t="str">
        <f>IF($J1874="Customer",_xll.NL("first",$J1874,"Name","No.","@@"&amp;$K1874),"")</f>
        <v/>
      </c>
      <c r="M1874" s="42" t="str">
        <f>"Technische Betriebe Rotkreuz"</f>
        <v>Technische Betriebe Rotkreuz</v>
      </c>
      <c r="N1874" s="42" t="str">
        <f>IF($J1874="Item",_xll.NL("first",$J1874,"Description","No.","@@"&amp;$K1874),"")</f>
        <v/>
      </c>
      <c r="O1874" s="43">
        <v>800</v>
      </c>
      <c r="P1874" s="43">
        <v>0</v>
      </c>
      <c r="Q1874" s="43">
        <v>0</v>
      </c>
      <c r="R1874" s="43">
        <v>0</v>
      </c>
      <c r="S1874" s="43">
        <v>0</v>
      </c>
      <c r="T1874" s="43">
        <v>0</v>
      </c>
      <c r="U1874" s="56"/>
    </row>
    <row r="1875" spans="1:21" ht="17.25" customHeight="1" x14ac:dyDescent="0.3">
      <c r="A1875" s="15" t="s">
        <v>30</v>
      </c>
      <c r="C1875" s="19"/>
      <c r="D1875" s="33" t="str">
        <f t="shared" si="464"/>
        <v>S100016</v>
      </c>
      <c r="E1875" s="33"/>
      <c r="F1875" s="34"/>
      <c r="G1875" s="34" t="str">
        <f>"""NAV Direct"",""CRONUS JetCorp USA"",""32"",""1"",""167106"""</f>
        <v>"NAV Direct","CRONUS JetCorp USA","32","1","167106"</v>
      </c>
      <c r="H1875" s="40">
        <v>43466</v>
      </c>
      <c r="I1875" s="41">
        <v>167106</v>
      </c>
      <c r="J1875" s="42" t="str">
        <f>"Vendor"</f>
        <v>Vendor</v>
      </c>
      <c r="K1875" s="42" t="str">
        <f>"V100001"</f>
        <v>V100001</v>
      </c>
      <c r="L1875" s="42" t="str">
        <f>IF($J1875="Customer",_xll.NL("first",$J1875,"Name","No.","@@"&amp;$K1875),"")</f>
        <v/>
      </c>
      <c r="M1875" s="42" t="str">
        <f>"Greigner, Inc."</f>
        <v>Greigner, Inc.</v>
      </c>
      <c r="N1875" s="42" t="str">
        <f>IF($J1875="Item",_xll.NL("first",$J1875,"Description","No.","@@"&amp;$K1875),"")</f>
        <v/>
      </c>
      <c r="O1875" s="43">
        <v>400</v>
      </c>
      <c r="P1875" s="43">
        <v>0</v>
      </c>
      <c r="Q1875" s="43">
        <v>0</v>
      </c>
      <c r="R1875" s="43">
        <v>0</v>
      </c>
      <c r="S1875" s="43">
        <v>0</v>
      </c>
      <c r="T1875" s="43">
        <v>0</v>
      </c>
      <c r="U1875" s="56"/>
    </row>
    <row r="1876" spans="1:21" ht="17.25" customHeight="1" x14ac:dyDescent="0.3">
      <c r="A1876" s="15" t="s">
        <v>30</v>
      </c>
      <c r="C1876" s="19"/>
      <c r="D1876" s="33" t="str">
        <f t="shared" si="464"/>
        <v>S100016</v>
      </c>
      <c r="E1876" s="33"/>
      <c r="F1876" s="34"/>
      <c r="G1876" s="34" t="str">
        <f>"""NAV Direct"",""CRONUS JetCorp USA"",""32"",""1"",""167112"""</f>
        <v>"NAV Direct","CRONUS JetCorp USA","32","1","167112"</v>
      </c>
      <c r="H1876" s="40">
        <v>43466</v>
      </c>
      <c r="I1876" s="41">
        <v>167112</v>
      </c>
      <c r="J1876" s="42" t="str">
        <f>"Vendor"</f>
        <v>Vendor</v>
      </c>
      <c r="K1876" s="42" t="str">
        <f>"V100007"</f>
        <v>V100007</v>
      </c>
      <c r="L1876" s="42" t="str">
        <f>IF($J1876="Customer",_xll.NL("first",$J1876,"Name","No.","@@"&amp;$K1876),"")</f>
        <v/>
      </c>
      <c r="M1876" s="42" t="str">
        <f>"TrendTech"</f>
        <v>TrendTech</v>
      </c>
      <c r="N1876" s="42" t="str">
        <f>IF($J1876="Item",_xll.NL("first",$J1876,"Description","No.","@@"&amp;$K1876),"")</f>
        <v/>
      </c>
      <c r="O1876" s="43">
        <v>400</v>
      </c>
      <c r="P1876" s="43">
        <v>0</v>
      </c>
      <c r="Q1876" s="43">
        <v>0</v>
      </c>
      <c r="R1876" s="43">
        <v>0</v>
      </c>
      <c r="S1876" s="43">
        <v>0</v>
      </c>
      <c r="T1876" s="43">
        <v>0</v>
      </c>
      <c r="U1876" s="56"/>
    </row>
    <row r="1877" spans="1:21" ht="17.25" customHeight="1" x14ac:dyDescent="0.3">
      <c r="A1877" s="15" t="s">
        <v>30</v>
      </c>
      <c r="C1877" s="19"/>
      <c r="D1877" s="33" t="str">
        <f t="shared" si="464"/>
        <v>S100016</v>
      </c>
      <c r="E1877" s="33"/>
      <c r="F1877" s="34"/>
      <c r="G1877" s="34" t="str">
        <f>"""NAV Direct"",""CRONUS JetCorp USA"",""32"",""1"",""167129"""</f>
        <v>"NAV Direct","CRONUS JetCorp USA","32","1","167129"</v>
      </c>
      <c r="H1877" s="40">
        <v>43466</v>
      </c>
      <c r="I1877" s="41">
        <v>167129</v>
      </c>
      <c r="J1877" s="42" t="str">
        <f>"Vendor"</f>
        <v>Vendor</v>
      </c>
      <c r="K1877" s="42" t="str">
        <f>"V100001"</f>
        <v>V100001</v>
      </c>
      <c r="L1877" s="42" t="str">
        <f>IF($J1877="Customer",_xll.NL("first",$J1877,"Name","No.","@@"&amp;$K1877),"")</f>
        <v/>
      </c>
      <c r="M1877" s="42" t="str">
        <f>"Greigner, Inc."</f>
        <v>Greigner, Inc.</v>
      </c>
      <c r="N1877" s="42" t="str">
        <f>IF($J1877="Item",_xll.NL("first",$J1877,"Description","No.","@@"&amp;$K1877),"")</f>
        <v/>
      </c>
      <c r="O1877" s="43">
        <v>3999.9999999999995</v>
      </c>
      <c r="P1877" s="43">
        <v>0</v>
      </c>
      <c r="Q1877" s="43">
        <v>0</v>
      </c>
      <c r="R1877" s="43">
        <v>0</v>
      </c>
      <c r="S1877" s="43">
        <v>0</v>
      </c>
      <c r="T1877" s="43">
        <v>0</v>
      </c>
      <c r="U1877" s="56"/>
    </row>
    <row r="1878" spans="1:21" ht="17.25" customHeight="1" x14ac:dyDescent="0.3">
      <c r="A1878" s="15" t="s">
        <v>30</v>
      </c>
      <c r="C1878" s="19"/>
      <c r="D1878" s="33" t="str">
        <f t="shared" si="464"/>
        <v>S100016</v>
      </c>
      <c r="E1878" s="33"/>
      <c r="F1878" s="34"/>
      <c r="G1878" s="34" t="str">
        <f>"""NAV Direct"",""CRONUS JetCorp USA"",""32"",""1"",""167146"""</f>
        <v>"NAV Direct","CRONUS JetCorp USA","32","1","167146"</v>
      </c>
      <c r="H1878" s="40">
        <v>43466</v>
      </c>
      <c r="I1878" s="41">
        <v>167146</v>
      </c>
      <c r="J1878" s="42" t="str">
        <f>"Vendor"</f>
        <v>Vendor</v>
      </c>
      <c r="K1878" s="42" t="str">
        <f>"V100047"</f>
        <v>V100047</v>
      </c>
      <c r="L1878" s="42" t="str">
        <f>IF($J1878="Customer",_xll.NL("first",$J1878,"Name","No.","@@"&amp;$K1878),"")</f>
        <v/>
      </c>
      <c r="M1878" s="42" t="str">
        <f>"WoodMart Supply Co."</f>
        <v>WoodMart Supply Co.</v>
      </c>
      <c r="N1878" s="42" t="str">
        <f>IF($J1878="Item",_xll.NL("first",$J1878,"Description","No.","@@"&amp;$K1878),"")</f>
        <v/>
      </c>
      <c r="O1878" s="43">
        <v>800</v>
      </c>
      <c r="P1878" s="43">
        <v>0</v>
      </c>
      <c r="Q1878" s="43">
        <v>0</v>
      </c>
      <c r="R1878" s="43">
        <v>0</v>
      </c>
      <c r="S1878" s="43">
        <v>0</v>
      </c>
      <c r="T1878" s="43">
        <v>0</v>
      </c>
      <c r="U1878" s="56"/>
    </row>
    <row r="1879" spans="1:21" ht="17.25" customHeight="1" x14ac:dyDescent="0.3">
      <c r="A1879" s="15" t="s">
        <v>30</v>
      </c>
      <c r="C1879" s="19"/>
      <c r="D1879" s="33" t="str">
        <f t="shared" si="464"/>
        <v>S100016</v>
      </c>
      <c r="E1879" s="33"/>
      <c r="F1879" s="34"/>
      <c r="G1879" s="34" t="str">
        <f>"""NAV Direct"",""CRONUS JetCorp USA"",""32"",""1"",""167155"""</f>
        <v>"NAV Direct","CRONUS JetCorp USA","32","1","167155"</v>
      </c>
      <c r="H1879" s="40">
        <v>43466</v>
      </c>
      <c r="I1879" s="41">
        <v>167155</v>
      </c>
      <c r="J1879" s="42" t="str">
        <f>"Vendor"</f>
        <v>Vendor</v>
      </c>
      <c r="K1879" s="42" t="str">
        <f>"V100003"</f>
        <v>V100003</v>
      </c>
      <c r="L1879" s="42" t="str">
        <f>IF($J1879="Customer",_xll.NL("first",$J1879,"Name","No.","@@"&amp;$K1879),"")</f>
        <v/>
      </c>
      <c r="M1879" s="42" t="str">
        <f>"LogoMasters"</f>
        <v>LogoMasters</v>
      </c>
      <c r="N1879" s="42" t="str">
        <f>IF($J1879="Item",_xll.NL("first",$J1879,"Description","No.","@@"&amp;$K1879),"")</f>
        <v/>
      </c>
      <c r="O1879" s="43">
        <v>800</v>
      </c>
      <c r="P1879" s="43">
        <v>0</v>
      </c>
      <c r="Q1879" s="43">
        <v>0</v>
      </c>
      <c r="R1879" s="43">
        <v>0</v>
      </c>
      <c r="S1879" s="43">
        <v>0</v>
      </c>
      <c r="T1879" s="43">
        <v>0</v>
      </c>
      <c r="U1879" s="56"/>
    </row>
    <row r="1880" spans="1:21" ht="17.25" customHeight="1" x14ac:dyDescent="0.3">
      <c r="A1880" s="15" t="s">
        <v>30</v>
      </c>
      <c r="C1880" s="19"/>
      <c r="D1880" s="33" t="str">
        <f t="shared" si="464"/>
        <v>S100016</v>
      </c>
      <c r="E1880" s="33"/>
      <c r="F1880" s="34"/>
      <c r="G1880" s="34" t="str">
        <f>"""NAV Direct"",""CRONUS JetCorp USA"",""32"",""1"",""30034"""</f>
        <v>"NAV Direct","CRONUS JetCorp USA","32","1","30034"</v>
      </c>
      <c r="H1880" s="40">
        <v>43471</v>
      </c>
      <c r="I1880" s="41">
        <v>30034</v>
      </c>
      <c r="J1880" s="42" t="str">
        <f>"Customer"</f>
        <v>Customer</v>
      </c>
      <c r="K1880" s="42" t="str">
        <f>"C100012"</f>
        <v>C100012</v>
      </c>
      <c r="L1880" s="42" t="str">
        <f>IF($J1880="Customer",_xll.NL("first",$J1880,"Name","No.","@@"&amp;$K1880),"")</f>
        <v>Bainbridges</v>
      </c>
      <c r="M1880" s="42" t="str">
        <f>""</f>
        <v/>
      </c>
      <c r="N1880" s="42" t="str">
        <f>IF($J1880="Item",_xll.NL("first",$J1880,"Description","No.","@@"&amp;$K1880),"")</f>
        <v/>
      </c>
      <c r="O1880" s="43">
        <v>0</v>
      </c>
      <c r="P1880" s="43">
        <v>-144</v>
      </c>
      <c r="Q1880" s="43">
        <v>0</v>
      </c>
      <c r="R1880" s="43">
        <v>0</v>
      </c>
      <c r="S1880" s="43">
        <v>0</v>
      </c>
      <c r="T1880" s="43">
        <v>0</v>
      </c>
      <c r="U1880" s="56"/>
    </row>
    <row r="1881" spans="1:21" ht="17.25" customHeight="1" x14ac:dyDescent="0.3">
      <c r="A1881" s="15" t="s">
        <v>30</v>
      </c>
      <c r="C1881" s="19"/>
      <c r="D1881" s="33" t="str">
        <f t="shared" si="464"/>
        <v>S100016</v>
      </c>
      <c r="E1881" s="33"/>
      <c r="F1881" s="34"/>
      <c r="G1881" s="34" t="str">
        <f>"""NAV Direct"",""CRONUS JetCorp USA"",""32"",""1"",""158693"""</f>
        <v>"NAV Direct","CRONUS JetCorp USA","32","1","158693"</v>
      </c>
      <c r="H1881" s="40">
        <v>43471</v>
      </c>
      <c r="I1881" s="41">
        <v>158693</v>
      </c>
      <c r="J1881" s="42" t="str">
        <f>"Customer"</f>
        <v>Customer</v>
      </c>
      <c r="K1881" s="42" t="str">
        <f>"C100126"</f>
        <v>C100126</v>
      </c>
      <c r="L1881" s="42" t="str">
        <f>IF($J1881="Customer",_xll.NL("first",$J1881,"Name","No.","@@"&amp;$K1881),"")</f>
        <v>Moveex</v>
      </c>
      <c r="M1881" s="42" t="str">
        <f>""</f>
        <v/>
      </c>
      <c r="N1881" s="42" t="str">
        <f>IF($J1881="Item",_xll.NL("first",$J1881,"Description","No.","@@"&amp;$K1881),"")</f>
        <v/>
      </c>
      <c r="O1881" s="43">
        <v>0</v>
      </c>
      <c r="P1881" s="43">
        <v>1</v>
      </c>
      <c r="Q1881" s="43">
        <v>0</v>
      </c>
      <c r="R1881" s="43">
        <v>0</v>
      </c>
      <c r="S1881" s="43">
        <v>0</v>
      </c>
      <c r="T1881" s="43">
        <v>0</v>
      </c>
      <c r="U1881" s="56"/>
    </row>
    <row r="1882" spans="1:21" ht="17.25" customHeight="1" x14ac:dyDescent="0.3">
      <c r="A1882" s="15" t="s">
        <v>30</v>
      </c>
      <c r="C1882" s="19"/>
      <c r="D1882" s="33" t="str">
        <f t="shared" si="464"/>
        <v>S100016</v>
      </c>
      <c r="E1882" s="33"/>
      <c r="F1882" s="34"/>
      <c r="G1882" s="34" t="str">
        <f>"""NAV Direct"",""CRONUS JetCorp USA"",""32"",""1"",""20334"""</f>
        <v>"NAV Direct","CRONUS JetCorp USA","32","1","20334"</v>
      </c>
      <c r="H1882" s="40">
        <v>43472</v>
      </c>
      <c r="I1882" s="41">
        <v>20334</v>
      </c>
      <c r="J1882" s="42" t="str">
        <f>"Customer"</f>
        <v>Customer</v>
      </c>
      <c r="K1882" s="42" t="str">
        <f>"C100145"</f>
        <v>C100145</v>
      </c>
      <c r="L1882" s="42" t="str">
        <f>IF($J1882="Customer",_xll.NL("first",$J1882,"Name","No.","@@"&amp;$K1882),"")</f>
        <v>Dicon Industries</v>
      </c>
      <c r="M1882" s="42" t="str">
        <f>""</f>
        <v/>
      </c>
      <c r="N1882" s="42" t="str">
        <f>IF($J1882="Item",_xll.NL("first",$J1882,"Description","No.","@@"&amp;$K1882),"")</f>
        <v/>
      </c>
      <c r="O1882" s="43">
        <v>0</v>
      </c>
      <c r="P1882" s="43">
        <v>-288</v>
      </c>
      <c r="Q1882" s="43">
        <v>0</v>
      </c>
      <c r="R1882" s="43">
        <v>0</v>
      </c>
      <c r="S1882" s="43">
        <v>0</v>
      </c>
      <c r="T1882" s="43">
        <v>0</v>
      </c>
      <c r="U1882" s="56"/>
    </row>
    <row r="1883" spans="1:21" ht="17.25" customHeight="1" x14ac:dyDescent="0.3">
      <c r="A1883" s="15" t="s">
        <v>30</v>
      </c>
      <c r="C1883" s="19"/>
      <c r="D1883" s="33" t="str">
        <f t="shared" si="464"/>
        <v>S100016</v>
      </c>
      <c r="E1883" s="33"/>
      <c r="F1883" s="34"/>
      <c r="G1883" s="34" t="str">
        <f>"""NAV Direct"",""CRONUS JetCorp USA"",""32"",""1"",""128871"""</f>
        <v>"NAV Direct","CRONUS JetCorp USA","32","1","128871"</v>
      </c>
      <c r="H1883" s="40">
        <v>43472</v>
      </c>
      <c r="I1883" s="41">
        <v>128871</v>
      </c>
      <c r="J1883" s="42" t="str">
        <f>"Customer"</f>
        <v>Customer</v>
      </c>
      <c r="K1883" s="42" t="str">
        <f>"C100105"</f>
        <v>C100105</v>
      </c>
      <c r="L1883" s="42" t="str">
        <f>IF($J1883="Customer",_xll.NL("first",$J1883,"Name","No.","@@"&amp;$K1883),"")</f>
        <v>Esystems</v>
      </c>
      <c r="M1883" s="42" t="str">
        <f>""</f>
        <v/>
      </c>
      <c r="N1883" s="42" t="str">
        <f>IF($J1883="Item",_xll.NL("first",$J1883,"Description","No.","@@"&amp;$K1883),"")</f>
        <v/>
      </c>
      <c r="O1883" s="43">
        <v>0</v>
      </c>
      <c r="P1883" s="43">
        <v>-144</v>
      </c>
      <c r="Q1883" s="43">
        <v>0</v>
      </c>
      <c r="R1883" s="43">
        <v>0</v>
      </c>
      <c r="S1883" s="43">
        <v>0</v>
      </c>
      <c r="T1883" s="43">
        <v>0</v>
      </c>
      <c r="U1883" s="56"/>
    </row>
    <row r="1884" spans="1:21" ht="17.25" customHeight="1" x14ac:dyDescent="0.3">
      <c r="A1884" s="15" t="s">
        <v>30</v>
      </c>
      <c r="C1884" s="19"/>
      <c r="D1884" s="33" t="str">
        <f t="shared" si="464"/>
        <v>S100016</v>
      </c>
      <c r="E1884" s="33"/>
      <c r="F1884" s="34"/>
      <c r="G1884" s="34" t="str">
        <f>"""NAV Direct"",""CRONUS JetCorp USA"",""32"",""1"",""124541"""</f>
        <v>"NAV Direct","CRONUS JetCorp USA","32","1","124541"</v>
      </c>
      <c r="H1884" s="40">
        <v>43473</v>
      </c>
      <c r="I1884" s="41">
        <v>124541</v>
      </c>
      <c r="J1884" s="42" t="str">
        <f>"Customer"</f>
        <v>Customer</v>
      </c>
      <c r="K1884" s="42" t="str">
        <f>"C100035"</f>
        <v>C100035</v>
      </c>
      <c r="L1884" s="42" t="str">
        <f>IF($J1884="Customer",_xll.NL("first",$J1884,"Name","No.","@@"&amp;$K1884),"")</f>
        <v>First Touch Marketing</v>
      </c>
      <c r="M1884" s="42" t="str">
        <f>""</f>
        <v/>
      </c>
      <c r="N1884" s="42" t="str">
        <f>IF($J1884="Item",_xll.NL("first",$J1884,"Description","No.","@@"&amp;$K1884),"")</f>
        <v/>
      </c>
      <c r="O1884" s="43">
        <v>0</v>
      </c>
      <c r="P1884" s="43">
        <v>-288</v>
      </c>
      <c r="Q1884" s="43">
        <v>0</v>
      </c>
      <c r="R1884" s="43">
        <v>0</v>
      </c>
      <c r="S1884" s="43">
        <v>0</v>
      </c>
      <c r="T1884" s="43">
        <v>0</v>
      </c>
      <c r="U1884" s="56"/>
    </row>
    <row r="1885" spans="1:21" ht="17.25" customHeight="1" x14ac:dyDescent="0.3">
      <c r="A1885" s="15" t="s">
        <v>30</v>
      </c>
      <c r="C1885" s="19"/>
      <c r="D1885" s="33" t="str">
        <f t="shared" si="464"/>
        <v>S100016</v>
      </c>
      <c r="E1885" s="33"/>
      <c r="F1885" s="34"/>
      <c r="G1885" s="34" t="str">
        <f>"""NAV Direct"",""CRONUS JetCorp USA"",""32"",""1"",""36495"""</f>
        <v>"NAV Direct","CRONUS JetCorp USA","32","1","36495"</v>
      </c>
      <c r="H1885" s="40">
        <v>43474</v>
      </c>
      <c r="I1885" s="41">
        <v>36495</v>
      </c>
      <c r="J1885" s="42" t="str">
        <f>"Customer"</f>
        <v>Customer</v>
      </c>
      <c r="K1885" s="42" t="str">
        <f>"C100092"</f>
        <v>C100092</v>
      </c>
      <c r="L1885" s="42" t="str">
        <f>IF($J1885="Customer",_xll.NL("first",$J1885,"Name","No.","@@"&amp;$K1885),"")</f>
        <v>Zuni Home Crafts Ltd.</v>
      </c>
      <c r="M1885" s="42" t="str">
        <f>""</f>
        <v/>
      </c>
      <c r="N1885" s="42" t="str">
        <f>IF($J1885="Item",_xll.NL("first",$J1885,"Description","No.","@@"&amp;$K1885),"")</f>
        <v/>
      </c>
      <c r="O1885" s="43">
        <v>0</v>
      </c>
      <c r="P1885" s="43">
        <v>-146</v>
      </c>
      <c r="Q1885" s="43">
        <v>0</v>
      </c>
      <c r="R1885" s="43">
        <v>0</v>
      </c>
      <c r="S1885" s="43">
        <v>0</v>
      </c>
      <c r="T1885" s="43">
        <v>0</v>
      </c>
      <c r="U1885" s="56"/>
    </row>
    <row r="1886" spans="1:21" ht="17.25" customHeight="1" x14ac:dyDescent="0.3">
      <c r="A1886" s="15" t="s">
        <v>30</v>
      </c>
      <c r="C1886" s="19"/>
      <c r="D1886" s="33" t="str">
        <f t="shared" si="464"/>
        <v>S100016</v>
      </c>
      <c r="E1886" s="33"/>
      <c r="F1886" s="34"/>
      <c r="G1886" s="34" t="str">
        <f>"""NAV Direct"",""CRONUS JetCorp USA"",""32"",""1"",""124525"""</f>
        <v>"NAV Direct","CRONUS JetCorp USA","32","1","124525"</v>
      </c>
      <c r="H1886" s="40">
        <v>43474</v>
      </c>
      <c r="I1886" s="41">
        <v>124525</v>
      </c>
      <c r="J1886" s="42" t="str">
        <f>"Customer"</f>
        <v>Customer</v>
      </c>
      <c r="K1886" s="42" t="str">
        <f>"C100145"</f>
        <v>C100145</v>
      </c>
      <c r="L1886" s="42" t="str">
        <f>IF($J1886="Customer",_xll.NL("first",$J1886,"Name","No.","@@"&amp;$K1886),"")</f>
        <v>Dicon Industries</v>
      </c>
      <c r="M1886" s="42" t="str">
        <f>""</f>
        <v/>
      </c>
      <c r="N1886" s="42" t="str">
        <f>IF($J1886="Item",_xll.NL("first",$J1886,"Description","No.","@@"&amp;$K1886),"")</f>
        <v/>
      </c>
      <c r="O1886" s="43">
        <v>0</v>
      </c>
      <c r="P1886" s="43">
        <v>-192</v>
      </c>
      <c r="Q1886" s="43">
        <v>0</v>
      </c>
      <c r="R1886" s="43">
        <v>0</v>
      </c>
      <c r="S1886" s="43">
        <v>0</v>
      </c>
      <c r="T1886" s="43">
        <v>0</v>
      </c>
      <c r="U1886" s="56"/>
    </row>
    <row r="1887" spans="1:21" ht="17.25" customHeight="1" x14ac:dyDescent="0.3">
      <c r="A1887" s="15" t="s">
        <v>30</v>
      </c>
      <c r="C1887" s="19"/>
      <c r="D1887" s="33" t="str">
        <f t="shared" si="464"/>
        <v>S100016</v>
      </c>
      <c r="E1887" s="33"/>
      <c r="F1887" s="34"/>
      <c r="G1887" s="34" t="str">
        <f>"""NAV Direct"",""CRONUS JetCorp USA"",""32"",""1"",""135817"""</f>
        <v>"NAV Direct","CRONUS JetCorp USA","32","1","135817"</v>
      </c>
      <c r="H1887" s="40">
        <v>43474</v>
      </c>
      <c r="I1887" s="41">
        <v>135817</v>
      </c>
      <c r="J1887" s="42" t="str">
        <f>"Customer"</f>
        <v>Customer</v>
      </c>
      <c r="K1887" s="42" t="str">
        <f>"C100050"</f>
        <v>C100050</v>
      </c>
      <c r="L1887" s="42" t="str">
        <f>IF($J1887="Customer",_xll.NL("first",$J1887,"Name","No.","@@"&amp;$K1887),"")</f>
        <v>Lauritzen Kontorm¢bler A/S</v>
      </c>
      <c r="M1887" s="42" t="str">
        <f>""</f>
        <v/>
      </c>
      <c r="N1887" s="42" t="str">
        <f>IF($J1887="Item",_xll.NL("first",$J1887,"Description","No.","@@"&amp;$K1887),"")</f>
        <v/>
      </c>
      <c r="O1887" s="43">
        <v>0</v>
      </c>
      <c r="P1887" s="43">
        <v>-144</v>
      </c>
      <c r="Q1887" s="43">
        <v>0</v>
      </c>
      <c r="R1887" s="43">
        <v>0</v>
      </c>
      <c r="S1887" s="43">
        <v>0</v>
      </c>
      <c r="T1887" s="43">
        <v>0</v>
      </c>
      <c r="U1887" s="56"/>
    </row>
    <row r="1888" spans="1:21" ht="17.25" customHeight="1" x14ac:dyDescent="0.3">
      <c r="A1888" s="15" t="s">
        <v>30</v>
      </c>
      <c r="C1888" s="19"/>
      <c r="D1888" s="33" t="str">
        <f t="shared" si="464"/>
        <v>S100016</v>
      </c>
      <c r="E1888" s="33"/>
      <c r="F1888" s="34"/>
      <c r="G1888" s="34" t="str">
        <f>"""NAV Direct"",""CRONUS JetCorp USA"",""32"",""1"",""20415"""</f>
        <v>"NAV Direct","CRONUS JetCorp USA","32","1","20415"</v>
      </c>
      <c r="H1888" s="40">
        <v>43475</v>
      </c>
      <c r="I1888" s="41">
        <v>20415</v>
      </c>
      <c r="J1888" s="42" t="str">
        <f>"Customer"</f>
        <v>Customer</v>
      </c>
      <c r="K1888" s="42" t="str">
        <f>"C100130"</f>
        <v>C100130</v>
      </c>
      <c r="L1888" s="42" t="str">
        <f>IF($J1888="Customer",_xll.NL("first",$J1888,"Name","No.","@@"&amp;$K1888),"")</f>
        <v>Hotspot Systems</v>
      </c>
      <c r="M1888" s="42" t="str">
        <f>""</f>
        <v/>
      </c>
      <c r="N1888" s="42" t="str">
        <f>IF($J1888="Item",_xll.NL("first",$J1888,"Description","No.","@@"&amp;$K1888),"")</f>
        <v/>
      </c>
      <c r="O1888" s="43">
        <v>0</v>
      </c>
      <c r="P1888" s="43">
        <v>-1</v>
      </c>
      <c r="Q1888" s="43">
        <v>0</v>
      </c>
      <c r="R1888" s="43">
        <v>0</v>
      </c>
      <c r="S1888" s="43">
        <v>0</v>
      </c>
      <c r="T1888" s="43">
        <v>0</v>
      </c>
      <c r="U1888" s="56"/>
    </row>
    <row r="1889" spans="1:21" ht="17.25" customHeight="1" x14ac:dyDescent="0.3">
      <c r="A1889" s="15" t="s">
        <v>30</v>
      </c>
      <c r="C1889" s="19"/>
      <c r="D1889" s="33" t="str">
        <f t="shared" si="464"/>
        <v>S100016</v>
      </c>
      <c r="E1889" s="33"/>
      <c r="F1889" s="34"/>
      <c r="G1889" s="34" t="str">
        <f>"""NAV Direct"",""CRONUS JetCorp USA"",""32"",""1"",""36480"""</f>
        <v>"NAV Direct","CRONUS JetCorp USA","32","1","36480"</v>
      </c>
      <c r="H1889" s="40">
        <v>43475</v>
      </c>
      <c r="I1889" s="41">
        <v>36480</v>
      </c>
      <c r="J1889" s="42" t="str">
        <f>"Customer"</f>
        <v>Customer</v>
      </c>
      <c r="K1889" s="42" t="str">
        <f>"C100063"</f>
        <v>C100063</v>
      </c>
      <c r="L1889" s="42" t="str">
        <f>IF($J1889="Customer",_xll.NL("first",$J1889,"Name","No.","@@"&amp;$K1889),"")</f>
        <v>Möbel Scherrer AG</v>
      </c>
      <c r="M1889" s="42" t="str">
        <f>""</f>
        <v/>
      </c>
      <c r="N1889" s="42" t="str">
        <f>IF($J1889="Item",_xll.NL("first",$J1889,"Description","No.","@@"&amp;$K1889),"")</f>
        <v/>
      </c>
      <c r="O1889" s="43">
        <v>0</v>
      </c>
      <c r="P1889" s="43">
        <v>-144</v>
      </c>
      <c r="Q1889" s="43">
        <v>0</v>
      </c>
      <c r="R1889" s="43">
        <v>0</v>
      </c>
      <c r="S1889" s="43">
        <v>0</v>
      </c>
      <c r="T1889" s="43">
        <v>0</v>
      </c>
      <c r="U1889" s="56"/>
    </row>
    <row r="1890" spans="1:21" ht="17.25" customHeight="1" x14ac:dyDescent="0.3">
      <c r="A1890" s="15" t="s">
        <v>30</v>
      </c>
      <c r="C1890" s="19"/>
      <c r="D1890" s="33" t="str">
        <f t="shared" si="464"/>
        <v>S100016</v>
      </c>
      <c r="E1890" s="33"/>
      <c r="F1890" s="34"/>
      <c r="G1890" s="34" t="str">
        <f>"""NAV Direct"",""CRONUS JetCorp USA"",""32"",""1"",""64613"""</f>
        <v>"NAV Direct","CRONUS JetCorp USA","32","1","64613"</v>
      </c>
      <c r="H1890" s="40">
        <v>43475</v>
      </c>
      <c r="I1890" s="41">
        <v>64613</v>
      </c>
      <c r="J1890" s="42" t="str">
        <f>"Customer"</f>
        <v>Customer</v>
      </c>
      <c r="K1890" s="42" t="str">
        <f>"C100136"</f>
        <v>C100136</v>
      </c>
      <c r="L1890" s="42" t="str">
        <f>IF($J1890="Customer",_xll.NL("first",$J1890,"Name","No.","@@"&amp;$K1890),"")</f>
        <v>First Bank</v>
      </c>
      <c r="M1890" s="42" t="str">
        <f>""</f>
        <v/>
      </c>
      <c r="N1890" s="42" t="str">
        <f>IF($J1890="Item",_xll.NL("first",$J1890,"Description","No.","@@"&amp;$K1890),"")</f>
        <v/>
      </c>
      <c r="O1890" s="43">
        <v>0</v>
      </c>
      <c r="P1890" s="43">
        <v>-144</v>
      </c>
      <c r="Q1890" s="43">
        <v>0</v>
      </c>
      <c r="R1890" s="43">
        <v>0</v>
      </c>
      <c r="S1890" s="43">
        <v>0</v>
      </c>
      <c r="T1890" s="43">
        <v>0</v>
      </c>
      <c r="U1890" s="56"/>
    </row>
    <row r="1891" spans="1:21" ht="17.25" customHeight="1" x14ac:dyDescent="0.3">
      <c r="A1891" s="15" t="s">
        <v>30</v>
      </c>
      <c r="C1891" s="19"/>
      <c r="D1891" s="33" t="str">
        <f t="shared" si="464"/>
        <v>S100016</v>
      </c>
      <c r="E1891" s="33"/>
      <c r="F1891" s="34"/>
      <c r="G1891" s="34" t="str">
        <f>"""NAV Direct"",""CRONUS JetCorp USA"",""32"",""1"",""124590"""</f>
        <v>"NAV Direct","CRONUS JetCorp USA","32","1","124590"</v>
      </c>
      <c r="H1891" s="40">
        <v>43475</v>
      </c>
      <c r="I1891" s="41">
        <v>124590</v>
      </c>
      <c r="J1891" s="42" t="str">
        <f>"Customer"</f>
        <v>Customer</v>
      </c>
      <c r="K1891" s="42" t="str">
        <f>"C100035"</f>
        <v>C100035</v>
      </c>
      <c r="L1891" s="42" t="str">
        <f>IF($J1891="Customer",_xll.NL("first",$J1891,"Name","No.","@@"&amp;$K1891),"")</f>
        <v>First Touch Marketing</v>
      </c>
      <c r="M1891" s="42" t="str">
        <f>""</f>
        <v/>
      </c>
      <c r="N1891" s="42" t="str">
        <f>IF($J1891="Item",_xll.NL("first",$J1891,"Description","No.","@@"&amp;$K1891),"")</f>
        <v/>
      </c>
      <c r="O1891" s="43">
        <v>0</v>
      </c>
      <c r="P1891" s="43">
        <v>-144</v>
      </c>
      <c r="Q1891" s="43">
        <v>0</v>
      </c>
      <c r="R1891" s="43">
        <v>0</v>
      </c>
      <c r="S1891" s="43">
        <v>0</v>
      </c>
      <c r="T1891" s="43">
        <v>0</v>
      </c>
      <c r="U1891" s="56"/>
    </row>
    <row r="1892" spans="1:21" ht="17.25" customHeight="1" x14ac:dyDescent="0.3">
      <c r="A1892" s="15" t="s">
        <v>30</v>
      </c>
      <c r="C1892" s="19"/>
      <c r="D1892" s="33" t="str">
        <f t="shared" si="464"/>
        <v>S100016</v>
      </c>
      <c r="E1892" s="33"/>
      <c r="F1892" s="34"/>
      <c r="G1892" s="34" t="str">
        <f>"""NAV Direct"",""CRONUS JetCorp USA"",""32"",""1"",""25266"""</f>
        <v>"NAV Direct","CRONUS JetCorp USA","32","1","25266"</v>
      </c>
      <c r="H1892" s="40">
        <v>43476</v>
      </c>
      <c r="I1892" s="41">
        <v>25266</v>
      </c>
      <c r="J1892" s="42" t="str">
        <f>"Customer"</f>
        <v>Customer</v>
      </c>
      <c r="K1892" s="42" t="str">
        <f>"C100102"</f>
        <v>C100102</v>
      </c>
      <c r="L1892" s="42" t="str">
        <f>IF($J1892="Customer",_xll.NL("first",$J1892,"Name","No.","@@"&amp;$K1892),"")</f>
        <v xml:space="preserve">BEI Outfitters </v>
      </c>
      <c r="M1892" s="42" t="str">
        <f>""</f>
        <v/>
      </c>
      <c r="N1892" s="42" t="str">
        <f>IF($J1892="Item",_xll.NL("first",$J1892,"Description","No.","@@"&amp;$K1892),"")</f>
        <v/>
      </c>
      <c r="O1892" s="43">
        <v>0</v>
      </c>
      <c r="P1892" s="43">
        <v>-144</v>
      </c>
      <c r="Q1892" s="43">
        <v>0</v>
      </c>
      <c r="R1892" s="43">
        <v>0</v>
      </c>
      <c r="S1892" s="43">
        <v>0</v>
      </c>
      <c r="T1892" s="43">
        <v>0</v>
      </c>
      <c r="U1892" s="56"/>
    </row>
    <row r="1893" spans="1:21" ht="17.25" customHeight="1" x14ac:dyDescent="0.3">
      <c r="A1893" s="15" t="s">
        <v>30</v>
      </c>
      <c r="C1893" s="19"/>
      <c r="D1893" s="33" t="str">
        <f t="shared" si="464"/>
        <v>S100016</v>
      </c>
      <c r="E1893" s="33"/>
      <c r="F1893" s="34"/>
      <c r="G1893" s="34" t="str">
        <f>"""NAV Direct"",""CRONUS JetCorp USA"",""32"",""1"",""78860"""</f>
        <v>"NAV Direct","CRONUS JetCorp USA","32","1","78860"</v>
      </c>
      <c r="H1893" s="40">
        <v>43476</v>
      </c>
      <c r="I1893" s="41">
        <v>78860</v>
      </c>
      <c r="J1893" s="42" t="str">
        <f>"Customer"</f>
        <v>Customer</v>
      </c>
      <c r="K1893" s="42" t="str">
        <f>"C100117"</f>
        <v>C100117</v>
      </c>
      <c r="L1893" s="42" t="str">
        <f>IF($J1893="Customer",_xll.NL("first",$J1893,"Name","No.","@@"&amp;$K1893),"")</f>
        <v xml:space="preserve">Tintax </v>
      </c>
      <c r="M1893" s="42" t="str">
        <f>""</f>
        <v/>
      </c>
      <c r="N1893" s="42" t="str">
        <f>IF($J1893="Item",_xll.NL("first",$J1893,"Description","No.","@@"&amp;$K1893),"")</f>
        <v/>
      </c>
      <c r="O1893" s="43">
        <v>0</v>
      </c>
      <c r="P1893" s="43">
        <v>-144</v>
      </c>
      <c r="Q1893" s="43">
        <v>0</v>
      </c>
      <c r="R1893" s="43">
        <v>0</v>
      </c>
      <c r="S1893" s="43">
        <v>0</v>
      </c>
      <c r="T1893" s="43">
        <v>0</v>
      </c>
      <c r="U1893" s="56"/>
    </row>
    <row r="1894" spans="1:21" ht="17.25" customHeight="1" x14ac:dyDescent="0.3">
      <c r="A1894" s="15" t="s">
        <v>30</v>
      </c>
      <c r="C1894" s="19"/>
      <c r="D1894" s="33" t="str">
        <f t="shared" si="464"/>
        <v>S100016</v>
      </c>
      <c r="E1894" s="33"/>
      <c r="F1894" s="34"/>
      <c r="G1894" s="34" t="str">
        <f>"""NAV Direct"",""CRONUS JetCorp USA"",""32"",""1"",""25288"""</f>
        <v>"NAV Direct","CRONUS JetCorp USA","32","1","25288"</v>
      </c>
      <c r="H1894" s="40">
        <v>43477</v>
      </c>
      <c r="I1894" s="41">
        <v>25288</v>
      </c>
      <c r="J1894" s="42" t="str">
        <f>"Customer"</f>
        <v>Customer</v>
      </c>
      <c r="K1894" s="42" t="str">
        <f>"C100138"</f>
        <v>C100138</v>
      </c>
      <c r="L1894" s="42" t="str">
        <f>IF($J1894="Customer",_xll.NL("first",$J1894,"Name","No.","@@"&amp;$K1894),"")</f>
        <v>Dantons</v>
      </c>
      <c r="M1894" s="42" t="str">
        <f>""</f>
        <v/>
      </c>
      <c r="N1894" s="42" t="str">
        <f>IF($J1894="Item",_xll.NL("first",$J1894,"Description","No.","@@"&amp;$K1894),"")</f>
        <v/>
      </c>
      <c r="O1894" s="43">
        <v>0</v>
      </c>
      <c r="P1894" s="43">
        <v>-144</v>
      </c>
      <c r="Q1894" s="43">
        <v>0</v>
      </c>
      <c r="R1894" s="43">
        <v>0</v>
      </c>
      <c r="S1894" s="43">
        <v>0</v>
      </c>
      <c r="T1894" s="43">
        <v>0</v>
      </c>
      <c r="U1894" s="56"/>
    </row>
    <row r="1895" spans="1:21" ht="17.25" customHeight="1" x14ac:dyDescent="0.3">
      <c r="A1895" s="15" t="s">
        <v>30</v>
      </c>
      <c r="C1895" s="19"/>
      <c r="D1895" s="33" t="str">
        <f t="shared" si="464"/>
        <v>S100016</v>
      </c>
      <c r="E1895" s="33"/>
      <c r="F1895" s="34"/>
      <c r="G1895" s="34" t="str">
        <f>"""NAV Direct"",""CRONUS JetCorp USA"",""32"",""1"",""38087"""</f>
        <v>"NAV Direct","CRONUS JetCorp USA","32","1","38087"</v>
      </c>
      <c r="H1895" s="40">
        <v>43477</v>
      </c>
      <c r="I1895" s="41">
        <v>38087</v>
      </c>
      <c r="J1895" s="42" t="str">
        <f>"Customer"</f>
        <v>Customer</v>
      </c>
      <c r="K1895" s="42" t="str">
        <f>"C100038"</f>
        <v>C100038</v>
      </c>
      <c r="L1895" s="42" t="str">
        <f>IF($J1895="Customer",_xll.NL("first",$J1895,"Name","No.","@@"&amp;$K1895),"")</f>
        <v>Gagn &amp; Gaman</v>
      </c>
      <c r="M1895" s="42" t="str">
        <f>""</f>
        <v/>
      </c>
      <c r="N1895" s="42" t="str">
        <f>IF($J1895="Item",_xll.NL("first",$J1895,"Description","No.","@@"&amp;$K1895),"")</f>
        <v/>
      </c>
      <c r="O1895" s="43">
        <v>0</v>
      </c>
      <c r="P1895" s="43">
        <v>-144</v>
      </c>
      <c r="Q1895" s="43">
        <v>0</v>
      </c>
      <c r="R1895" s="43">
        <v>0</v>
      </c>
      <c r="S1895" s="43">
        <v>0</v>
      </c>
      <c r="T1895" s="43">
        <v>0</v>
      </c>
      <c r="U1895" s="56"/>
    </row>
    <row r="1896" spans="1:21" ht="17.25" customHeight="1" x14ac:dyDescent="0.3">
      <c r="A1896" s="15" t="s">
        <v>30</v>
      </c>
      <c r="C1896" s="19"/>
      <c r="D1896" s="33"/>
      <c r="E1896" s="33"/>
      <c r="F1896" s="34"/>
      <c r="G1896" s="34"/>
      <c r="H1896" s="34"/>
      <c r="I1896" s="34"/>
      <c r="J1896" s="34"/>
      <c r="K1896" s="34"/>
      <c r="L1896" s="34"/>
      <c r="M1896" s="34"/>
      <c r="N1896" s="34"/>
      <c r="O1896" s="44"/>
      <c r="P1896" s="44"/>
      <c r="Q1896" s="44"/>
      <c r="R1896" s="44"/>
      <c r="S1896" s="44"/>
      <c r="T1896" s="44"/>
      <c r="U1896" s="57"/>
    </row>
    <row r="1897" spans="1:21" ht="17.25" customHeight="1" x14ac:dyDescent="0.3">
      <c r="A1897" s="15" t="s">
        <v>30</v>
      </c>
      <c r="C1897" s="19"/>
      <c r="D1897" s="33"/>
      <c r="E1897" s="33" t="s">
        <v>31</v>
      </c>
      <c r="F1897" s="34" t="s">
        <v>31</v>
      </c>
      <c r="G1897" s="34" t="s">
        <v>31</v>
      </c>
      <c r="H1897" s="34"/>
      <c r="I1897" s="34"/>
      <c r="J1897" s="34" t="s">
        <v>31</v>
      </c>
      <c r="K1897" s="34" t="s">
        <v>31</v>
      </c>
      <c r="L1897" s="34" t="s">
        <v>31</v>
      </c>
      <c r="M1897" s="34" t="s">
        <v>31</v>
      </c>
      <c r="N1897" s="34"/>
      <c r="U1897" s="58"/>
    </row>
    <row r="1898" spans="1:21" ht="20.25" customHeight="1" x14ac:dyDescent="0.35">
      <c r="A1898" s="15" t="s">
        <v>30</v>
      </c>
      <c r="C1898" s="19"/>
      <c r="D1898" s="35" t="str">
        <f t="shared" ref="D1898" si="465">E1898</f>
        <v>S100017</v>
      </c>
      <c r="E1898" s="36" t="str">
        <f>"S100017"</f>
        <v>S100017</v>
      </c>
      <c r="F1898" s="37" t="str">
        <f>"Microfiber Bucket Hat"</f>
        <v>Microfiber Bucket Hat</v>
      </c>
      <c r="G1898" s="37"/>
      <c r="H1898" s="38" t="str">
        <f>"EA"</f>
        <v>EA</v>
      </c>
      <c r="I1898" s="37"/>
      <c r="J1898" s="37"/>
      <c r="K1898" s="37"/>
      <c r="L1898" s="37"/>
      <c r="M1898" s="37"/>
      <c r="N1898" s="37"/>
      <c r="O1898" s="39">
        <f>(SUBTOTAL(9,O1899:O1916))</f>
        <v>4400</v>
      </c>
      <c r="P1898" s="39">
        <f>(SUBTOTAL(9,P1899:P1916))</f>
        <v>-1306</v>
      </c>
      <c r="Q1898" s="39">
        <f>(SUBTOTAL(9,Q1899:Q1916))</f>
        <v>0</v>
      </c>
      <c r="R1898" s="39">
        <f>(SUBTOTAL(9,R1899:R1916))</f>
        <v>0</v>
      </c>
      <c r="S1898" s="39">
        <f>(SUBTOTAL(9,S1899:S1916))</f>
        <v>0</v>
      </c>
      <c r="T1898" s="39">
        <f>(SUBTOTAL(9,T1899:T1916))</f>
        <v>0</v>
      </c>
      <c r="U1898" s="55">
        <f t="shared" ref="U1898" si="466">SUBTOTAL(9,O1899:T1916)</f>
        <v>3094</v>
      </c>
    </row>
    <row r="1899" spans="1:21" ht="17.25" customHeight="1" x14ac:dyDescent="0.3">
      <c r="A1899" s="15" t="s">
        <v>30</v>
      </c>
      <c r="C1899" s="19"/>
      <c r="D1899" s="33" t="str">
        <f t="shared" ref="D1899" si="467">D1898</f>
        <v>S100017</v>
      </c>
      <c r="E1899" s="33"/>
      <c r="F1899" s="34"/>
      <c r="G1899" s="34" t="str">
        <f>"""NAV Direct"",""CRONUS JetCorp USA"",""32"",""1"",""167075"""</f>
        <v>"NAV Direct","CRONUS JetCorp USA","32","1","167075"</v>
      </c>
      <c r="H1899" s="40">
        <v>43466</v>
      </c>
      <c r="I1899" s="41">
        <v>167075</v>
      </c>
      <c r="J1899" s="42" t="str">
        <f>"Vendor"</f>
        <v>Vendor</v>
      </c>
      <c r="K1899" s="42" t="str">
        <f>"V100009"</f>
        <v>V100009</v>
      </c>
      <c r="L1899" s="42" t="str">
        <f>IF($J1899="Customer",_xll.NL("first",$J1899,"Name","No.","@@"&amp;$K1899),"")</f>
        <v/>
      </c>
      <c r="M1899" s="42" t="str">
        <f>"Malay-Dan Export Unit Sdn Bhd"</f>
        <v>Malay-Dan Export Unit Sdn Bhd</v>
      </c>
      <c r="N1899" s="42" t="str">
        <f>IF($J1899="Item",_xll.NL("first",$J1899,"Description","No.","@@"&amp;$K1899),"")</f>
        <v/>
      </c>
      <c r="O1899" s="43">
        <v>400</v>
      </c>
      <c r="P1899" s="43">
        <v>0</v>
      </c>
      <c r="Q1899" s="43">
        <v>0</v>
      </c>
      <c r="R1899" s="43">
        <v>0</v>
      </c>
      <c r="S1899" s="43">
        <v>0</v>
      </c>
      <c r="T1899" s="43">
        <v>0</v>
      </c>
      <c r="U1899" s="56"/>
    </row>
    <row r="1900" spans="1:21" ht="17.25" customHeight="1" x14ac:dyDescent="0.3">
      <c r="A1900" s="15" t="s">
        <v>30</v>
      </c>
      <c r="C1900" s="19"/>
      <c r="D1900" s="33" t="str">
        <f t="shared" ref="D1900:D1915" si="468">D1899</f>
        <v>S100017</v>
      </c>
      <c r="E1900" s="33"/>
      <c r="F1900" s="34"/>
      <c r="G1900" s="34" t="str">
        <f>"""NAV Direct"",""CRONUS JetCorp USA"",""32"",""1"",""167090"""</f>
        <v>"NAV Direct","CRONUS JetCorp USA","32","1","167090"</v>
      </c>
      <c r="H1900" s="40">
        <v>43466</v>
      </c>
      <c r="I1900" s="41">
        <v>167090</v>
      </c>
      <c r="J1900" s="42" t="str">
        <f>"Vendor"</f>
        <v>Vendor</v>
      </c>
      <c r="K1900" s="42" t="str">
        <f>"V100040"</f>
        <v>V100040</v>
      </c>
      <c r="L1900" s="42" t="str">
        <f>IF($J1900="Customer",_xll.NL("first",$J1900,"Name","No.","@@"&amp;$K1900),"")</f>
        <v/>
      </c>
      <c r="M1900" s="42" t="str">
        <f>"Technische Betriebe Rotkreuz"</f>
        <v>Technische Betriebe Rotkreuz</v>
      </c>
      <c r="N1900" s="42" t="str">
        <f>IF($J1900="Item",_xll.NL("first",$J1900,"Description","No.","@@"&amp;$K1900),"")</f>
        <v/>
      </c>
      <c r="O1900" s="43">
        <v>400</v>
      </c>
      <c r="P1900" s="43">
        <v>0</v>
      </c>
      <c r="Q1900" s="43">
        <v>0</v>
      </c>
      <c r="R1900" s="43">
        <v>0</v>
      </c>
      <c r="S1900" s="43">
        <v>0</v>
      </c>
      <c r="T1900" s="43">
        <v>0</v>
      </c>
      <c r="U1900" s="56"/>
    </row>
    <row r="1901" spans="1:21" ht="17.25" customHeight="1" x14ac:dyDescent="0.3">
      <c r="A1901" s="15" t="s">
        <v>30</v>
      </c>
      <c r="C1901" s="19"/>
      <c r="D1901" s="33" t="str">
        <f t="shared" si="468"/>
        <v>S100017</v>
      </c>
      <c r="E1901" s="33"/>
      <c r="F1901" s="34"/>
      <c r="G1901" s="34" t="str">
        <f>"""NAV Direct"",""CRONUS JetCorp USA"",""32"",""1"",""167128"""</f>
        <v>"NAV Direct","CRONUS JetCorp USA","32","1","167128"</v>
      </c>
      <c r="H1901" s="40">
        <v>43466</v>
      </c>
      <c r="I1901" s="41">
        <v>167128</v>
      </c>
      <c r="J1901" s="42" t="str">
        <f>"Vendor"</f>
        <v>Vendor</v>
      </c>
      <c r="K1901" s="42" t="str">
        <f>"V100001"</f>
        <v>V100001</v>
      </c>
      <c r="L1901" s="42" t="str">
        <f>IF($J1901="Customer",_xll.NL("first",$J1901,"Name","No.","@@"&amp;$K1901),"")</f>
        <v/>
      </c>
      <c r="M1901" s="42" t="str">
        <f>"Greigner, Inc."</f>
        <v>Greigner, Inc.</v>
      </c>
      <c r="N1901" s="42" t="str">
        <f>IF($J1901="Item",_xll.NL("first",$J1901,"Description","No.","@@"&amp;$K1901),"")</f>
        <v/>
      </c>
      <c r="O1901" s="43">
        <v>3200</v>
      </c>
      <c r="P1901" s="43">
        <v>0</v>
      </c>
      <c r="Q1901" s="43">
        <v>0</v>
      </c>
      <c r="R1901" s="43">
        <v>0</v>
      </c>
      <c r="S1901" s="43">
        <v>0</v>
      </c>
      <c r="T1901" s="43">
        <v>0</v>
      </c>
      <c r="U1901" s="56"/>
    </row>
    <row r="1902" spans="1:21" ht="17.25" customHeight="1" x14ac:dyDescent="0.3">
      <c r="A1902" s="15" t="s">
        <v>30</v>
      </c>
      <c r="C1902" s="19"/>
      <c r="D1902" s="33" t="str">
        <f t="shared" si="468"/>
        <v>S100017</v>
      </c>
      <c r="E1902" s="33"/>
      <c r="F1902" s="34"/>
      <c r="G1902" s="34" t="str">
        <f>"""NAV Direct"",""CRONUS JetCorp USA"",""32"",""1"",""167154"""</f>
        <v>"NAV Direct","CRONUS JetCorp USA","32","1","167154"</v>
      </c>
      <c r="H1902" s="40">
        <v>43466</v>
      </c>
      <c r="I1902" s="41">
        <v>167154</v>
      </c>
      <c r="J1902" s="42" t="str">
        <f>"Vendor"</f>
        <v>Vendor</v>
      </c>
      <c r="K1902" s="42" t="str">
        <f>"V100003"</f>
        <v>V100003</v>
      </c>
      <c r="L1902" s="42" t="str">
        <f>IF($J1902="Customer",_xll.NL("first",$J1902,"Name","No.","@@"&amp;$K1902),"")</f>
        <v/>
      </c>
      <c r="M1902" s="42" t="str">
        <f>"LogoMasters"</f>
        <v>LogoMasters</v>
      </c>
      <c r="N1902" s="42" t="str">
        <f>IF($J1902="Item",_xll.NL("first",$J1902,"Description","No.","@@"&amp;$K1902),"")</f>
        <v/>
      </c>
      <c r="O1902" s="43">
        <v>400</v>
      </c>
      <c r="P1902" s="43">
        <v>0</v>
      </c>
      <c r="Q1902" s="43">
        <v>0</v>
      </c>
      <c r="R1902" s="43">
        <v>0</v>
      </c>
      <c r="S1902" s="43">
        <v>0</v>
      </c>
      <c r="T1902" s="43">
        <v>0</v>
      </c>
      <c r="U1902" s="56"/>
    </row>
    <row r="1903" spans="1:21" ht="17.25" customHeight="1" x14ac:dyDescent="0.3">
      <c r="A1903" s="15" t="s">
        <v>30</v>
      </c>
      <c r="C1903" s="19"/>
      <c r="D1903" s="33" t="str">
        <f t="shared" si="468"/>
        <v>S100017</v>
      </c>
      <c r="E1903" s="33"/>
      <c r="F1903" s="34"/>
      <c r="G1903" s="34" t="str">
        <f>"""NAV Direct"",""CRONUS JetCorp USA"",""32"",""1"",""34322"""</f>
        <v>"NAV Direct","CRONUS JetCorp USA","32","1","34322"</v>
      </c>
      <c r="H1903" s="40">
        <v>43470</v>
      </c>
      <c r="I1903" s="41">
        <v>34322</v>
      </c>
      <c r="J1903" s="42" t="str">
        <f>"Customer"</f>
        <v>Customer</v>
      </c>
      <c r="K1903" s="42" t="str">
        <f>"C100050"</f>
        <v>C100050</v>
      </c>
      <c r="L1903" s="42" t="str">
        <f>IF($J1903="Customer",_xll.NL("first",$J1903,"Name","No.","@@"&amp;$K1903),"")</f>
        <v>Lauritzen Kontorm¢bler A/S</v>
      </c>
      <c r="M1903" s="42" t="str">
        <f>""</f>
        <v/>
      </c>
      <c r="N1903" s="42" t="str">
        <f>IF($J1903="Item",_xll.NL("first",$J1903,"Description","No.","@@"&amp;$K1903),"")</f>
        <v/>
      </c>
      <c r="O1903" s="43">
        <v>0</v>
      </c>
      <c r="P1903" s="43">
        <v>-144</v>
      </c>
      <c r="Q1903" s="43">
        <v>0</v>
      </c>
      <c r="R1903" s="43">
        <v>0</v>
      </c>
      <c r="S1903" s="43">
        <v>0</v>
      </c>
      <c r="T1903" s="43">
        <v>0</v>
      </c>
      <c r="U1903" s="56"/>
    </row>
    <row r="1904" spans="1:21" ht="17.25" customHeight="1" x14ac:dyDescent="0.3">
      <c r="A1904" s="15" t="s">
        <v>30</v>
      </c>
      <c r="C1904" s="19"/>
      <c r="D1904" s="33" t="str">
        <f t="shared" si="468"/>
        <v>S100017</v>
      </c>
      <c r="E1904" s="33"/>
      <c r="F1904" s="34"/>
      <c r="G1904" s="34" t="str">
        <f>"""NAV Direct"",""CRONUS JetCorp USA"",""32"",""1"",""25238"""</f>
        <v>"NAV Direct","CRONUS JetCorp USA","32","1","25238"</v>
      </c>
      <c r="H1904" s="40">
        <v>43471</v>
      </c>
      <c r="I1904" s="41">
        <v>25238</v>
      </c>
      <c r="J1904" s="42" t="str">
        <f>"Customer"</f>
        <v>Customer</v>
      </c>
      <c r="K1904" s="42" t="str">
        <f>"C100102"</f>
        <v>C100102</v>
      </c>
      <c r="L1904" s="42" t="str">
        <f>IF($J1904="Customer",_xll.NL("first",$J1904,"Name","No.","@@"&amp;$K1904),"")</f>
        <v xml:space="preserve">BEI Outfitters </v>
      </c>
      <c r="M1904" s="42" t="str">
        <f>""</f>
        <v/>
      </c>
      <c r="N1904" s="42" t="str">
        <f>IF($J1904="Item",_xll.NL("first",$J1904,"Description","No.","@@"&amp;$K1904),"")</f>
        <v/>
      </c>
      <c r="O1904" s="43">
        <v>0</v>
      </c>
      <c r="P1904" s="43">
        <v>-144</v>
      </c>
      <c r="Q1904" s="43">
        <v>0</v>
      </c>
      <c r="R1904" s="43">
        <v>0</v>
      </c>
      <c r="S1904" s="43">
        <v>0</v>
      </c>
      <c r="T1904" s="43">
        <v>0</v>
      </c>
      <c r="U1904" s="56"/>
    </row>
    <row r="1905" spans="1:21" ht="17.25" customHeight="1" x14ac:dyDescent="0.3">
      <c r="A1905" s="15" t="s">
        <v>30</v>
      </c>
      <c r="C1905" s="19"/>
      <c r="D1905" s="33" t="str">
        <f t="shared" si="468"/>
        <v>S100017</v>
      </c>
      <c r="E1905" s="33"/>
      <c r="F1905" s="34"/>
      <c r="G1905" s="34" t="str">
        <f>"""NAV Direct"",""CRONUS JetCorp USA"",""32"",""1"",""25254"""</f>
        <v>"NAV Direct","CRONUS JetCorp USA","32","1","25254"</v>
      </c>
      <c r="H1905" s="40">
        <v>43472</v>
      </c>
      <c r="I1905" s="41">
        <v>25254</v>
      </c>
      <c r="J1905" s="42" t="str">
        <f>"Customer"</f>
        <v>Customer</v>
      </c>
      <c r="K1905" s="42" t="str">
        <f>"C100098"</f>
        <v>C100098</v>
      </c>
      <c r="L1905" s="42" t="str">
        <f>IF($J1905="Customer",_xll.NL("first",$J1905,"Name","No.","@@"&amp;$K1905),"")</f>
        <v>BlackCane Motor Works</v>
      </c>
      <c r="M1905" s="42" t="str">
        <f>""</f>
        <v/>
      </c>
      <c r="N1905" s="42" t="str">
        <f>IF($J1905="Item",_xll.NL("first",$J1905,"Description","No.","@@"&amp;$K1905),"")</f>
        <v/>
      </c>
      <c r="O1905" s="43">
        <v>0</v>
      </c>
      <c r="P1905" s="43">
        <v>-144</v>
      </c>
      <c r="Q1905" s="43">
        <v>0</v>
      </c>
      <c r="R1905" s="43">
        <v>0</v>
      </c>
      <c r="S1905" s="43">
        <v>0</v>
      </c>
      <c r="T1905" s="43">
        <v>0</v>
      </c>
      <c r="U1905" s="56"/>
    </row>
    <row r="1906" spans="1:21" ht="17.25" customHeight="1" x14ac:dyDescent="0.3">
      <c r="A1906" s="15" t="s">
        <v>30</v>
      </c>
      <c r="C1906" s="19"/>
      <c r="D1906" s="33" t="str">
        <f t="shared" si="468"/>
        <v>S100017</v>
      </c>
      <c r="E1906" s="33"/>
      <c r="F1906" s="34"/>
      <c r="G1906" s="34" t="str">
        <f>"""NAV Direct"",""CRONUS JetCorp USA"",""32"",""1"",""20384"""</f>
        <v>"NAV Direct","CRONUS JetCorp USA","32","1","20384"</v>
      </c>
      <c r="H1906" s="40">
        <v>43473</v>
      </c>
      <c r="I1906" s="41">
        <v>20384</v>
      </c>
      <c r="J1906" s="42" t="str">
        <f>"Customer"</f>
        <v>Customer</v>
      </c>
      <c r="K1906" s="42" t="str">
        <f>"C100130"</f>
        <v>C100130</v>
      </c>
      <c r="L1906" s="42" t="str">
        <f>IF($J1906="Customer",_xll.NL("first",$J1906,"Name","No.","@@"&amp;$K1906),"")</f>
        <v>Hotspot Systems</v>
      </c>
      <c r="M1906" s="42" t="str">
        <f>""</f>
        <v/>
      </c>
      <c r="N1906" s="42" t="str">
        <f>IF($J1906="Item",_xll.NL("first",$J1906,"Description","No.","@@"&amp;$K1906),"")</f>
        <v/>
      </c>
      <c r="O1906" s="43">
        <v>0</v>
      </c>
      <c r="P1906" s="43">
        <v>-144</v>
      </c>
      <c r="Q1906" s="43">
        <v>0</v>
      </c>
      <c r="R1906" s="43">
        <v>0</v>
      </c>
      <c r="S1906" s="43">
        <v>0</v>
      </c>
      <c r="T1906" s="43">
        <v>0</v>
      </c>
      <c r="U1906" s="56"/>
    </row>
    <row r="1907" spans="1:21" ht="17.25" customHeight="1" x14ac:dyDescent="0.3">
      <c r="A1907" s="15" t="s">
        <v>30</v>
      </c>
      <c r="C1907" s="19"/>
      <c r="D1907" s="33" t="str">
        <f t="shared" si="468"/>
        <v>S100017</v>
      </c>
      <c r="E1907" s="33"/>
      <c r="F1907" s="34"/>
      <c r="G1907" s="34" t="str">
        <f>"""NAV Direct"",""CRONUS JetCorp USA"",""32"",""1"",""34316"""</f>
        <v>"NAV Direct","CRONUS JetCorp USA","32","1","34316"</v>
      </c>
      <c r="H1907" s="40">
        <v>43473</v>
      </c>
      <c r="I1907" s="41">
        <v>34316</v>
      </c>
      <c r="J1907" s="42" t="str">
        <f>"Customer"</f>
        <v>Customer</v>
      </c>
      <c r="K1907" s="42" t="str">
        <f>"C100059"</f>
        <v>C100059</v>
      </c>
      <c r="L1907" s="42" t="str">
        <f>IF($J1907="Customer",_xll.NL("first",$J1907,"Name","No.","@@"&amp;$K1907),"")</f>
        <v>Meersen Meubelen</v>
      </c>
      <c r="M1907" s="42" t="str">
        <f>""</f>
        <v/>
      </c>
      <c r="N1907" s="42" t="str">
        <f>IF($J1907="Item",_xll.NL("first",$J1907,"Description","No.","@@"&amp;$K1907),"")</f>
        <v/>
      </c>
      <c r="O1907" s="43">
        <v>0</v>
      </c>
      <c r="P1907" s="43">
        <v>-6</v>
      </c>
      <c r="Q1907" s="43">
        <v>0</v>
      </c>
      <c r="R1907" s="43">
        <v>0</v>
      </c>
      <c r="S1907" s="43">
        <v>0</v>
      </c>
      <c r="T1907" s="43">
        <v>0</v>
      </c>
      <c r="U1907" s="56"/>
    </row>
    <row r="1908" spans="1:21" ht="17.25" customHeight="1" x14ac:dyDescent="0.3">
      <c r="A1908" s="15" t="s">
        <v>30</v>
      </c>
      <c r="C1908" s="19"/>
      <c r="D1908" s="33" t="str">
        <f t="shared" si="468"/>
        <v>S100017</v>
      </c>
      <c r="E1908" s="33"/>
      <c r="F1908" s="34"/>
      <c r="G1908" s="34" t="str">
        <f>"""NAV Direct"",""CRONUS JetCorp USA"",""32"",""1"",""30053"""</f>
        <v>"NAV Direct","CRONUS JetCorp USA","32","1","30053"</v>
      </c>
      <c r="H1908" s="40">
        <v>43474</v>
      </c>
      <c r="I1908" s="41">
        <v>30053</v>
      </c>
      <c r="J1908" s="42" t="str">
        <f>"Customer"</f>
        <v>Customer</v>
      </c>
      <c r="K1908" s="42" t="str">
        <f>"C100086"</f>
        <v>C100086</v>
      </c>
      <c r="L1908" s="42" t="str">
        <f>IF($J1908="Customer",_xll.NL("first",$J1908,"Name","No.","@@"&amp;$K1908),"")</f>
        <v>Top Action Sports</v>
      </c>
      <c r="M1908" s="42" t="str">
        <f>""</f>
        <v/>
      </c>
      <c r="N1908" s="42" t="str">
        <f>IF($J1908="Item",_xll.NL("first",$J1908,"Description","No.","@@"&amp;$K1908),"")</f>
        <v/>
      </c>
      <c r="O1908" s="43">
        <v>0</v>
      </c>
      <c r="P1908" s="43">
        <v>-1</v>
      </c>
      <c r="Q1908" s="43">
        <v>0</v>
      </c>
      <c r="R1908" s="43">
        <v>0</v>
      </c>
      <c r="S1908" s="43">
        <v>0</v>
      </c>
      <c r="T1908" s="43">
        <v>0</v>
      </c>
      <c r="U1908" s="56"/>
    </row>
    <row r="1909" spans="1:21" ht="17.25" customHeight="1" x14ac:dyDescent="0.3">
      <c r="A1909" s="15" t="s">
        <v>30</v>
      </c>
      <c r="C1909" s="19"/>
      <c r="D1909" s="33" t="str">
        <f t="shared" si="468"/>
        <v>S100017</v>
      </c>
      <c r="E1909" s="33"/>
      <c r="F1909" s="34"/>
      <c r="G1909" s="34" t="str">
        <f>"""NAV Direct"",""CRONUS JetCorp USA"",""32"",""1"",""36493"""</f>
        <v>"NAV Direct","CRONUS JetCorp USA","32","1","36493"</v>
      </c>
      <c r="H1909" s="40">
        <v>43474</v>
      </c>
      <c r="I1909" s="41">
        <v>36493</v>
      </c>
      <c r="J1909" s="42" t="str">
        <f>"Customer"</f>
        <v>Customer</v>
      </c>
      <c r="K1909" s="42" t="str">
        <f>"C100092"</f>
        <v>C100092</v>
      </c>
      <c r="L1909" s="42" t="str">
        <f>IF($J1909="Customer",_xll.NL("first",$J1909,"Name","No.","@@"&amp;$K1909),"")</f>
        <v>Zuni Home Crafts Ltd.</v>
      </c>
      <c r="M1909" s="42" t="str">
        <f>""</f>
        <v/>
      </c>
      <c r="N1909" s="42" t="str">
        <f>IF($J1909="Item",_xll.NL("first",$J1909,"Description","No.","@@"&amp;$K1909),"")</f>
        <v/>
      </c>
      <c r="O1909" s="43">
        <v>0</v>
      </c>
      <c r="P1909" s="43">
        <v>-144</v>
      </c>
      <c r="Q1909" s="43">
        <v>0</v>
      </c>
      <c r="R1909" s="43">
        <v>0</v>
      </c>
      <c r="S1909" s="43">
        <v>0</v>
      </c>
      <c r="T1909" s="43">
        <v>0</v>
      </c>
      <c r="U1909" s="56"/>
    </row>
    <row r="1910" spans="1:21" ht="17.25" customHeight="1" x14ac:dyDescent="0.3">
      <c r="A1910" s="15" t="s">
        <v>30</v>
      </c>
      <c r="C1910" s="19"/>
      <c r="D1910" s="33" t="str">
        <f t="shared" si="468"/>
        <v>S100017</v>
      </c>
      <c r="E1910" s="33"/>
      <c r="F1910" s="34"/>
      <c r="G1910" s="34" t="str">
        <f>"""NAV Direct"",""CRONUS JetCorp USA"",""32"",""1"",""20348"""</f>
        <v>"NAV Direct","CRONUS JetCorp USA","32","1","20348"</v>
      </c>
      <c r="H1910" s="40">
        <v>43475</v>
      </c>
      <c r="I1910" s="41">
        <v>20348</v>
      </c>
      <c r="J1910" s="42" t="str">
        <f>"Customer"</f>
        <v>Customer</v>
      </c>
      <c r="K1910" s="42" t="str">
        <f>"C100097"</f>
        <v>C100097</v>
      </c>
      <c r="L1910" s="42" t="str">
        <f>IF($J1910="Customer",_xll.NL("first",$J1910,"Name","No.","@@"&amp;$K1910),"")</f>
        <v>Solotech</v>
      </c>
      <c r="M1910" s="42" t="str">
        <f>""</f>
        <v/>
      </c>
      <c r="N1910" s="42" t="str">
        <f>IF($J1910="Item",_xll.NL("first",$J1910,"Description","No.","@@"&amp;$K1910),"")</f>
        <v/>
      </c>
      <c r="O1910" s="43">
        <v>0</v>
      </c>
      <c r="P1910" s="43">
        <v>-288</v>
      </c>
      <c r="Q1910" s="43">
        <v>0</v>
      </c>
      <c r="R1910" s="43">
        <v>0</v>
      </c>
      <c r="S1910" s="43">
        <v>0</v>
      </c>
      <c r="T1910" s="43">
        <v>0</v>
      </c>
      <c r="U1910" s="56"/>
    </row>
    <row r="1911" spans="1:21" ht="17.25" customHeight="1" x14ac:dyDescent="0.3">
      <c r="A1911" s="15" t="s">
        <v>30</v>
      </c>
      <c r="C1911" s="19"/>
      <c r="D1911" s="33" t="str">
        <f t="shared" si="468"/>
        <v>S100017</v>
      </c>
      <c r="E1911" s="33"/>
      <c r="F1911" s="34"/>
      <c r="G1911" s="34" t="str">
        <f>"""NAV Direct"",""CRONUS JetCorp USA"",""32"",""1"",""34340"""</f>
        <v>"NAV Direct","CRONUS JetCorp USA","32","1","34340"</v>
      </c>
      <c r="H1911" s="40">
        <v>43475</v>
      </c>
      <c r="I1911" s="41">
        <v>34340</v>
      </c>
      <c r="J1911" s="42" t="str">
        <f>"Customer"</f>
        <v>Customer</v>
      </c>
      <c r="K1911" s="42" t="str">
        <f>"C100008"</f>
        <v>C100008</v>
      </c>
      <c r="L1911" s="42" t="str">
        <f>IF($J1911="Customer",_xll.NL("first",$J1911,"Name","No.","@@"&amp;$K1911),"")</f>
        <v>Blanemark Hifi Shop</v>
      </c>
      <c r="M1911" s="42" t="str">
        <f>""</f>
        <v/>
      </c>
      <c r="N1911" s="42" t="str">
        <f>IF($J1911="Item",_xll.NL("first",$J1911,"Description","No.","@@"&amp;$K1911),"")</f>
        <v/>
      </c>
      <c r="O1911" s="43">
        <v>0</v>
      </c>
      <c r="P1911" s="43">
        <v>-1</v>
      </c>
      <c r="Q1911" s="43">
        <v>0</v>
      </c>
      <c r="R1911" s="43">
        <v>0</v>
      </c>
      <c r="S1911" s="43">
        <v>0</v>
      </c>
      <c r="T1911" s="43">
        <v>0</v>
      </c>
      <c r="U1911" s="56"/>
    </row>
    <row r="1912" spans="1:21" ht="17.25" customHeight="1" x14ac:dyDescent="0.3">
      <c r="A1912" s="15" t="s">
        <v>30</v>
      </c>
      <c r="C1912" s="19"/>
      <c r="D1912" s="33" t="str">
        <f t="shared" si="468"/>
        <v>S100017</v>
      </c>
      <c r="E1912" s="33"/>
      <c r="F1912" s="34"/>
      <c r="G1912" s="34" t="str">
        <f>"""NAV Direct"",""CRONUS JetCorp USA"",""32"",""1"",""124597"""</f>
        <v>"NAV Direct","CRONUS JetCorp USA","32","1","124597"</v>
      </c>
      <c r="H1912" s="40">
        <v>43475</v>
      </c>
      <c r="I1912" s="41">
        <v>124597</v>
      </c>
      <c r="J1912" s="42" t="str">
        <f>"Customer"</f>
        <v>Customer</v>
      </c>
      <c r="K1912" s="42" t="str">
        <f>"C100035"</f>
        <v>C100035</v>
      </c>
      <c r="L1912" s="42" t="str">
        <f>IF($J1912="Customer",_xll.NL("first",$J1912,"Name","No.","@@"&amp;$K1912),"")</f>
        <v>First Touch Marketing</v>
      </c>
      <c r="M1912" s="42" t="str">
        <f>""</f>
        <v/>
      </c>
      <c r="N1912" s="42" t="str">
        <f>IF($J1912="Item",_xll.NL("first",$J1912,"Description","No.","@@"&amp;$K1912),"")</f>
        <v/>
      </c>
      <c r="O1912" s="43">
        <v>0</v>
      </c>
      <c r="P1912" s="43">
        <v>-1</v>
      </c>
      <c r="Q1912" s="43">
        <v>0</v>
      </c>
      <c r="R1912" s="43">
        <v>0</v>
      </c>
      <c r="S1912" s="43">
        <v>0</v>
      </c>
      <c r="T1912" s="43">
        <v>0</v>
      </c>
      <c r="U1912" s="56"/>
    </row>
    <row r="1913" spans="1:21" ht="17.25" customHeight="1" x14ac:dyDescent="0.3">
      <c r="A1913" s="15" t="s">
        <v>30</v>
      </c>
      <c r="C1913" s="19"/>
      <c r="D1913" s="33" t="str">
        <f t="shared" si="468"/>
        <v>S100017</v>
      </c>
      <c r="E1913" s="33"/>
      <c r="F1913" s="34"/>
      <c r="G1913" s="34" t="str">
        <f>"""NAV Direct"",""CRONUS JetCorp USA"",""32"",""1"",""20400"""</f>
        <v>"NAV Direct","CRONUS JetCorp USA","32","1","20400"</v>
      </c>
      <c r="H1913" s="40">
        <v>43477</v>
      </c>
      <c r="I1913" s="41">
        <v>20400</v>
      </c>
      <c r="J1913" s="42" t="str">
        <f>"Customer"</f>
        <v>Customer</v>
      </c>
      <c r="K1913" s="42" t="str">
        <f>"C100039"</f>
        <v>C100039</v>
      </c>
      <c r="L1913" s="42" t="str">
        <f>IF($J1913="Customer",_xll.NL("first",$J1913,"Name","No.","@@"&amp;$K1913),"")</f>
        <v>Gary's Sports</v>
      </c>
      <c r="M1913" s="42" t="str">
        <f>""</f>
        <v/>
      </c>
      <c r="N1913" s="42" t="str">
        <f>IF($J1913="Item",_xll.NL("first",$J1913,"Description","No.","@@"&amp;$K1913),"")</f>
        <v/>
      </c>
      <c r="O1913" s="43">
        <v>0</v>
      </c>
      <c r="P1913" s="43">
        <v>-144</v>
      </c>
      <c r="Q1913" s="43">
        <v>0</v>
      </c>
      <c r="R1913" s="43">
        <v>0</v>
      </c>
      <c r="S1913" s="43">
        <v>0</v>
      </c>
      <c r="T1913" s="43">
        <v>0</v>
      </c>
      <c r="U1913" s="56"/>
    </row>
    <row r="1914" spans="1:21" ht="17.25" customHeight="1" x14ac:dyDescent="0.3">
      <c r="A1914" s="15" t="s">
        <v>30</v>
      </c>
      <c r="C1914" s="19"/>
      <c r="D1914" s="33" t="str">
        <f t="shared" si="468"/>
        <v>S100017</v>
      </c>
      <c r="E1914" s="33"/>
      <c r="F1914" s="34"/>
      <c r="G1914" s="34" t="str">
        <f>"""NAV Direct"",""CRONUS JetCorp USA"",""32"",""1"",""38086"""</f>
        <v>"NAV Direct","CRONUS JetCorp USA","32","1","38086"</v>
      </c>
      <c r="H1914" s="40">
        <v>43477</v>
      </c>
      <c r="I1914" s="41">
        <v>38086</v>
      </c>
      <c r="J1914" s="42" t="str">
        <f>"Customer"</f>
        <v>Customer</v>
      </c>
      <c r="K1914" s="42" t="str">
        <f>"C100038"</f>
        <v>C100038</v>
      </c>
      <c r="L1914" s="42" t="str">
        <f>IF($J1914="Customer",_xll.NL("first",$J1914,"Name","No.","@@"&amp;$K1914),"")</f>
        <v>Gagn &amp; Gaman</v>
      </c>
      <c r="M1914" s="42" t="str">
        <f>""</f>
        <v/>
      </c>
      <c r="N1914" s="42" t="str">
        <f>IF($J1914="Item",_xll.NL("first",$J1914,"Description","No.","@@"&amp;$K1914),"")</f>
        <v/>
      </c>
      <c r="O1914" s="43">
        <v>0</v>
      </c>
      <c r="P1914" s="43">
        <v>-144</v>
      </c>
      <c r="Q1914" s="43">
        <v>0</v>
      </c>
      <c r="R1914" s="43">
        <v>0</v>
      </c>
      <c r="S1914" s="43">
        <v>0</v>
      </c>
      <c r="T1914" s="43">
        <v>0</v>
      </c>
      <c r="U1914" s="56"/>
    </row>
    <row r="1915" spans="1:21" ht="17.25" customHeight="1" x14ac:dyDescent="0.3">
      <c r="A1915" s="15" t="s">
        <v>30</v>
      </c>
      <c r="C1915" s="19"/>
      <c r="D1915" s="33" t="str">
        <f t="shared" si="468"/>
        <v>S100017</v>
      </c>
      <c r="E1915" s="33"/>
      <c r="F1915" s="34"/>
      <c r="G1915" s="34" t="str">
        <f>"""NAV Direct"",""CRONUS JetCorp USA"",""32"",""1"",""138734"""</f>
        <v>"NAV Direct","CRONUS JetCorp USA","32","1","138734"</v>
      </c>
      <c r="H1915" s="40">
        <v>43477</v>
      </c>
      <c r="I1915" s="41">
        <v>138734</v>
      </c>
      <c r="J1915" s="42" t="str">
        <f>"Customer"</f>
        <v>Customer</v>
      </c>
      <c r="K1915" s="42" t="str">
        <f>"C100021"</f>
        <v>C100021</v>
      </c>
      <c r="L1915" s="42" t="str">
        <f>IF($J1915="Customer",_xll.NL("first",$J1915,"Name","No.","@@"&amp;$K1915),"")</f>
        <v>Cronus Cardoxy Sales</v>
      </c>
      <c r="M1915" s="42" t="str">
        <f>""</f>
        <v/>
      </c>
      <c r="N1915" s="42" t="str">
        <f>IF($J1915="Item",_xll.NL("first",$J1915,"Description","No.","@@"&amp;$K1915),"")</f>
        <v/>
      </c>
      <c r="O1915" s="43">
        <v>0</v>
      </c>
      <c r="P1915" s="43">
        <v>-1</v>
      </c>
      <c r="Q1915" s="43">
        <v>0</v>
      </c>
      <c r="R1915" s="43">
        <v>0</v>
      </c>
      <c r="S1915" s="43">
        <v>0</v>
      </c>
      <c r="T1915" s="43">
        <v>0</v>
      </c>
      <c r="U1915" s="56"/>
    </row>
    <row r="1916" spans="1:21" ht="17.25" customHeight="1" x14ac:dyDescent="0.3">
      <c r="A1916" s="15" t="s">
        <v>30</v>
      </c>
      <c r="C1916" s="19"/>
      <c r="D1916" s="33"/>
      <c r="E1916" s="33"/>
      <c r="F1916" s="34"/>
      <c r="G1916" s="34"/>
      <c r="H1916" s="34"/>
      <c r="I1916" s="34"/>
      <c r="J1916" s="34"/>
      <c r="K1916" s="34"/>
      <c r="L1916" s="34"/>
      <c r="M1916" s="34"/>
      <c r="N1916" s="34"/>
      <c r="O1916" s="44"/>
      <c r="P1916" s="44"/>
      <c r="Q1916" s="44"/>
      <c r="R1916" s="44"/>
      <c r="S1916" s="44"/>
      <c r="T1916" s="44"/>
      <c r="U1916" s="57"/>
    </row>
    <row r="1917" spans="1:21" ht="17.25" customHeight="1" x14ac:dyDescent="0.3">
      <c r="A1917" s="15" t="s">
        <v>30</v>
      </c>
      <c r="C1917" s="19"/>
      <c r="D1917" s="33"/>
      <c r="E1917" s="33" t="s">
        <v>31</v>
      </c>
      <c r="F1917" s="34" t="s">
        <v>31</v>
      </c>
      <c r="G1917" s="34" t="s">
        <v>31</v>
      </c>
      <c r="H1917" s="34"/>
      <c r="I1917" s="34"/>
      <c r="J1917" s="34" t="s">
        <v>31</v>
      </c>
      <c r="K1917" s="34" t="s">
        <v>31</v>
      </c>
      <c r="L1917" s="34" t="s">
        <v>31</v>
      </c>
      <c r="M1917" s="34" t="s">
        <v>31</v>
      </c>
      <c r="N1917" s="34"/>
      <c r="U1917" s="58"/>
    </row>
    <row r="1918" spans="1:21" ht="20.25" customHeight="1" x14ac:dyDescent="0.35">
      <c r="A1918" s="15" t="s">
        <v>30</v>
      </c>
      <c r="C1918" s="19"/>
      <c r="D1918" s="35" t="str">
        <f t="shared" ref="D1918" si="469">E1918</f>
        <v>S100018</v>
      </c>
      <c r="E1918" s="36" t="str">
        <f>"S100018"</f>
        <v>S100018</v>
      </c>
      <c r="F1918" s="37" t="str">
        <f>"Crusher Bucket Hat"</f>
        <v>Crusher Bucket Hat</v>
      </c>
      <c r="G1918" s="37"/>
      <c r="H1918" s="38" t="str">
        <f>"EA"</f>
        <v>EA</v>
      </c>
      <c r="I1918" s="37"/>
      <c r="J1918" s="37"/>
      <c r="K1918" s="37"/>
      <c r="L1918" s="37"/>
      <c r="M1918" s="37"/>
      <c r="N1918" s="37"/>
      <c r="O1918" s="39">
        <f>(SUBTOTAL(9,O1919:O1930))</f>
        <v>3200</v>
      </c>
      <c r="P1918" s="39">
        <f>(SUBTOTAL(9,P1919:P1930))</f>
        <v>-1729</v>
      </c>
      <c r="Q1918" s="39">
        <f>(SUBTOTAL(9,Q1919:Q1930))</f>
        <v>0</v>
      </c>
      <c r="R1918" s="39">
        <f>(SUBTOTAL(9,R1919:R1930))</f>
        <v>0</v>
      </c>
      <c r="S1918" s="39">
        <f>(SUBTOTAL(9,S1919:S1930))</f>
        <v>0</v>
      </c>
      <c r="T1918" s="39">
        <f>(SUBTOTAL(9,T1919:T1930))</f>
        <v>0</v>
      </c>
      <c r="U1918" s="55">
        <f t="shared" ref="U1918" si="470">SUBTOTAL(9,O1919:T1930)</f>
        <v>1471</v>
      </c>
    </row>
    <row r="1919" spans="1:21" ht="17.25" customHeight="1" x14ac:dyDescent="0.3">
      <c r="A1919" s="15" t="s">
        <v>30</v>
      </c>
      <c r="C1919" s="19"/>
      <c r="D1919" s="33" t="str">
        <f t="shared" ref="D1919" si="471">D1918</f>
        <v>S100018</v>
      </c>
      <c r="E1919" s="33"/>
      <c r="F1919" s="34"/>
      <c r="G1919" s="34" t="str">
        <f>"""NAV Direct"",""CRONUS JetCorp USA"",""32"",""1"",""132495"""</f>
        <v>"NAV Direct","CRONUS JetCorp USA","32","1","132495"</v>
      </c>
      <c r="H1919" s="40">
        <v>43466</v>
      </c>
      <c r="I1919" s="41">
        <v>132495</v>
      </c>
      <c r="J1919" s="42" t="str">
        <f>"Customer"</f>
        <v>Customer</v>
      </c>
      <c r="K1919" s="42" t="str">
        <f>"C100040"</f>
        <v>C100040</v>
      </c>
      <c r="L1919" s="42" t="str">
        <f>IF($J1919="Customer",_xll.NL("first",$J1919,"Name","No.","@@"&amp;$K1919),"")</f>
        <v>Guildford Water Department</v>
      </c>
      <c r="M1919" s="42" t="str">
        <f>""</f>
        <v/>
      </c>
      <c r="N1919" s="42" t="str">
        <f>IF($J1919="Item",_xll.NL("first",$J1919,"Description","No.","@@"&amp;$K1919),"")</f>
        <v/>
      </c>
      <c r="O1919" s="43">
        <v>0</v>
      </c>
      <c r="P1919" s="43">
        <v>-144</v>
      </c>
      <c r="Q1919" s="43">
        <v>0</v>
      </c>
      <c r="R1919" s="43">
        <v>0</v>
      </c>
      <c r="S1919" s="43">
        <v>0</v>
      </c>
      <c r="T1919" s="43">
        <v>0</v>
      </c>
      <c r="U1919" s="56"/>
    </row>
    <row r="1920" spans="1:21" ht="17.25" customHeight="1" x14ac:dyDescent="0.3">
      <c r="A1920" s="15" t="s">
        <v>30</v>
      </c>
      <c r="C1920" s="19"/>
      <c r="D1920" s="33" t="str">
        <f t="shared" ref="D1920:D1929" si="472">D1919</f>
        <v>S100018</v>
      </c>
      <c r="E1920" s="33"/>
      <c r="F1920" s="34"/>
      <c r="G1920" s="34" t="str">
        <f>"""NAV Direct"",""CRONUS JetCorp USA"",""32"",""1"",""167111"""</f>
        <v>"NAV Direct","CRONUS JetCorp USA","32","1","167111"</v>
      </c>
      <c r="H1920" s="40">
        <v>43466</v>
      </c>
      <c r="I1920" s="41">
        <v>167111</v>
      </c>
      <c r="J1920" s="42" t="str">
        <f>"Vendor"</f>
        <v>Vendor</v>
      </c>
      <c r="K1920" s="42" t="str">
        <f>"V100007"</f>
        <v>V100007</v>
      </c>
      <c r="L1920" s="42" t="str">
        <f>IF($J1920="Customer",_xll.NL("first",$J1920,"Name","No.","@@"&amp;$K1920),"")</f>
        <v/>
      </c>
      <c r="M1920" s="42" t="str">
        <f>"TrendTech"</f>
        <v>TrendTech</v>
      </c>
      <c r="N1920" s="42" t="str">
        <f>IF($J1920="Item",_xll.NL("first",$J1920,"Description","No.","@@"&amp;$K1920),"")</f>
        <v/>
      </c>
      <c r="O1920" s="43">
        <v>1200</v>
      </c>
      <c r="P1920" s="43">
        <v>0</v>
      </c>
      <c r="Q1920" s="43">
        <v>0</v>
      </c>
      <c r="R1920" s="43">
        <v>0</v>
      </c>
      <c r="S1920" s="43">
        <v>0</v>
      </c>
      <c r="T1920" s="43">
        <v>0</v>
      </c>
      <c r="U1920" s="56"/>
    </row>
    <row r="1921" spans="1:21" ht="17.25" customHeight="1" x14ac:dyDescent="0.3">
      <c r="A1921" s="15" t="s">
        <v>30</v>
      </c>
      <c r="C1921" s="19"/>
      <c r="D1921" s="33" t="str">
        <f t="shared" si="472"/>
        <v>S100018</v>
      </c>
      <c r="E1921" s="33"/>
      <c r="F1921" s="34"/>
      <c r="G1921" s="34" t="str">
        <f>"""NAV Direct"",""CRONUS JetCorp USA"",""32"",""1"",""167127"""</f>
        <v>"NAV Direct","CRONUS JetCorp USA","32","1","167127"</v>
      </c>
      <c r="H1921" s="40">
        <v>43466</v>
      </c>
      <c r="I1921" s="41">
        <v>167127</v>
      </c>
      <c r="J1921" s="42" t="str">
        <f>"Vendor"</f>
        <v>Vendor</v>
      </c>
      <c r="K1921" s="42" t="str">
        <f>"V100001"</f>
        <v>V100001</v>
      </c>
      <c r="L1921" s="42" t="str">
        <f>IF($J1921="Customer",_xll.NL("first",$J1921,"Name","No.","@@"&amp;$K1921),"")</f>
        <v/>
      </c>
      <c r="M1921" s="42" t="str">
        <f>"Greigner, Inc."</f>
        <v>Greigner, Inc.</v>
      </c>
      <c r="N1921" s="42" t="str">
        <f>IF($J1921="Item",_xll.NL("first",$J1921,"Description","No.","@@"&amp;$K1921),"")</f>
        <v/>
      </c>
      <c r="O1921" s="43">
        <v>1999.9999999999998</v>
      </c>
      <c r="P1921" s="43">
        <v>0</v>
      </c>
      <c r="Q1921" s="43">
        <v>0</v>
      </c>
      <c r="R1921" s="43">
        <v>0</v>
      </c>
      <c r="S1921" s="43">
        <v>0</v>
      </c>
      <c r="T1921" s="43">
        <v>0</v>
      </c>
      <c r="U1921" s="56"/>
    </row>
    <row r="1922" spans="1:21" ht="17.25" customHeight="1" x14ac:dyDescent="0.3">
      <c r="A1922" s="15" t="s">
        <v>30</v>
      </c>
      <c r="C1922" s="19"/>
      <c r="D1922" s="33" t="str">
        <f t="shared" si="472"/>
        <v>S100018</v>
      </c>
      <c r="E1922" s="33"/>
      <c r="F1922" s="34"/>
      <c r="G1922" s="34" t="str">
        <f>"""NAV Direct"",""CRONUS JetCorp USA"",""32"",""1"",""20332"""</f>
        <v>"NAV Direct","CRONUS JetCorp USA","32","1","20332"</v>
      </c>
      <c r="H1922" s="40">
        <v>43472</v>
      </c>
      <c r="I1922" s="41">
        <v>20332</v>
      </c>
      <c r="J1922" s="42" t="str">
        <f>"Customer"</f>
        <v>Customer</v>
      </c>
      <c r="K1922" s="42" t="str">
        <f>"C100145"</f>
        <v>C100145</v>
      </c>
      <c r="L1922" s="42" t="str">
        <f>IF($J1922="Customer",_xll.NL("first",$J1922,"Name","No.","@@"&amp;$K1922),"")</f>
        <v>Dicon Industries</v>
      </c>
      <c r="M1922" s="42" t="str">
        <f>""</f>
        <v/>
      </c>
      <c r="N1922" s="42" t="str">
        <f>IF($J1922="Item",_xll.NL("first",$J1922,"Description","No.","@@"&amp;$K1922),"")</f>
        <v/>
      </c>
      <c r="O1922" s="43">
        <v>0</v>
      </c>
      <c r="P1922" s="43">
        <v>-288</v>
      </c>
      <c r="Q1922" s="43">
        <v>0</v>
      </c>
      <c r="R1922" s="43">
        <v>0</v>
      </c>
      <c r="S1922" s="43">
        <v>0</v>
      </c>
      <c r="T1922" s="43">
        <v>0</v>
      </c>
      <c r="U1922" s="56"/>
    </row>
    <row r="1923" spans="1:21" ht="17.25" customHeight="1" x14ac:dyDescent="0.3">
      <c r="A1923" s="15" t="s">
        <v>30</v>
      </c>
      <c r="C1923" s="19"/>
      <c r="D1923" s="33" t="str">
        <f t="shared" si="472"/>
        <v>S100018</v>
      </c>
      <c r="E1923" s="33"/>
      <c r="F1923" s="34"/>
      <c r="G1923" s="34" t="str">
        <f>"""NAV Direct"",""CRONUS JetCorp USA"",""32"",""1"",""25252"""</f>
        <v>"NAV Direct","CRONUS JetCorp USA","32","1","25252"</v>
      </c>
      <c r="H1923" s="40">
        <v>43472</v>
      </c>
      <c r="I1923" s="41">
        <v>25252</v>
      </c>
      <c r="J1923" s="42" t="str">
        <f>"Customer"</f>
        <v>Customer</v>
      </c>
      <c r="K1923" s="42" t="str">
        <f>"C100098"</f>
        <v>C100098</v>
      </c>
      <c r="L1923" s="42" t="str">
        <f>IF($J1923="Customer",_xll.NL("first",$J1923,"Name","No.","@@"&amp;$K1923),"")</f>
        <v>BlackCane Motor Works</v>
      </c>
      <c r="M1923" s="42" t="str">
        <f>""</f>
        <v/>
      </c>
      <c r="N1923" s="42" t="str">
        <f>IF($J1923="Item",_xll.NL("first",$J1923,"Description","No.","@@"&amp;$K1923),"")</f>
        <v/>
      </c>
      <c r="O1923" s="43">
        <v>0</v>
      </c>
      <c r="P1923" s="43">
        <v>-288</v>
      </c>
      <c r="Q1923" s="43">
        <v>0</v>
      </c>
      <c r="R1923" s="43">
        <v>0</v>
      </c>
      <c r="S1923" s="43">
        <v>0</v>
      </c>
      <c r="T1923" s="43">
        <v>0</v>
      </c>
      <c r="U1923" s="56"/>
    </row>
    <row r="1924" spans="1:21" ht="17.25" customHeight="1" x14ac:dyDescent="0.3">
      <c r="A1924" s="15" t="s">
        <v>30</v>
      </c>
      <c r="C1924" s="19"/>
      <c r="D1924" s="33" t="str">
        <f t="shared" si="472"/>
        <v>S100018</v>
      </c>
      <c r="E1924" s="33"/>
      <c r="F1924" s="34"/>
      <c r="G1924" s="34" t="str">
        <f>"""NAV Direct"",""CRONUS JetCorp USA"",""32"",""1"",""128863"""</f>
        <v>"NAV Direct","CRONUS JetCorp USA","32","1","128863"</v>
      </c>
      <c r="H1924" s="40">
        <v>43472</v>
      </c>
      <c r="I1924" s="41">
        <v>128863</v>
      </c>
      <c r="J1924" s="42" t="str">
        <f>"Customer"</f>
        <v>Customer</v>
      </c>
      <c r="K1924" s="42" t="str">
        <f>"C100105"</f>
        <v>C100105</v>
      </c>
      <c r="L1924" s="42" t="str">
        <f>IF($J1924="Customer",_xll.NL("first",$J1924,"Name","No.","@@"&amp;$K1924),"")</f>
        <v>Esystems</v>
      </c>
      <c r="M1924" s="42" t="str">
        <f>""</f>
        <v/>
      </c>
      <c r="N1924" s="42" t="str">
        <f>IF($J1924="Item",_xll.NL("first",$J1924,"Description","No.","@@"&amp;$K1924),"")</f>
        <v/>
      </c>
      <c r="O1924" s="43">
        <v>0</v>
      </c>
      <c r="P1924" s="43">
        <v>-288</v>
      </c>
      <c r="Q1924" s="43">
        <v>0</v>
      </c>
      <c r="R1924" s="43">
        <v>0</v>
      </c>
      <c r="S1924" s="43">
        <v>0</v>
      </c>
      <c r="T1924" s="43">
        <v>0</v>
      </c>
      <c r="U1924" s="56"/>
    </row>
    <row r="1925" spans="1:21" ht="17.25" customHeight="1" x14ac:dyDescent="0.3">
      <c r="A1925" s="15" t="s">
        <v>30</v>
      </c>
      <c r="C1925" s="19"/>
      <c r="D1925" s="33" t="str">
        <f t="shared" si="472"/>
        <v>S100018</v>
      </c>
      <c r="E1925" s="33"/>
      <c r="F1925" s="34"/>
      <c r="G1925" s="34" t="str">
        <f>"""NAV Direct"",""CRONUS JetCorp USA"",""32"",""1"",""124545"""</f>
        <v>"NAV Direct","CRONUS JetCorp USA","32","1","124545"</v>
      </c>
      <c r="H1925" s="40">
        <v>43473</v>
      </c>
      <c r="I1925" s="41">
        <v>124545</v>
      </c>
      <c r="J1925" s="42" t="str">
        <f>"Customer"</f>
        <v>Customer</v>
      </c>
      <c r="K1925" s="42" t="str">
        <f>"C100035"</f>
        <v>C100035</v>
      </c>
      <c r="L1925" s="42" t="str">
        <f>IF($J1925="Customer",_xll.NL("first",$J1925,"Name","No.","@@"&amp;$K1925),"")</f>
        <v>First Touch Marketing</v>
      </c>
      <c r="M1925" s="42" t="str">
        <f>""</f>
        <v/>
      </c>
      <c r="N1925" s="42" t="str">
        <f>IF($J1925="Item",_xll.NL("first",$J1925,"Description","No.","@@"&amp;$K1925),"")</f>
        <v/>
      </c>
      <c r="O1925" s="43">
        <v>0</v>
      </c>
      <c r="P1925" s="43">
        <v>-144</v>
      </c>
      <c r="Q1925" s="43">
        <v>0</v>
      </c>
      <c r="R1925" s="43">
        <v>0</v>
      </c>
      <c r="S1925" s="43">
        <v>0</v>
      </c>
      <c r="T1925" s="43">
        <v>0</v>
      </c>
      <c r="U1925" s="56"/>
    </row>
    <row r="1926" spans="1:21" ht="17.25" customHeight="1" x14ac:dyDescent="0.3">
      <c r="A1926" s="15" t="s">
        <v>30</v>
      </c>
      <c r="C1926" s="19"/>
      <c r="D1926" s="33" t="str">
        <f t="shared" si="472"/>
        <v>S100018</v>
      </c>
      <c r="E1926" s="33"/>
      <c r="F1926" s="34"/>
      <c r="G1926" s="34" t="str">
        <f>"""NAV Direct"",""CRONUS JetCorp USA"",""32"",""1"",""30047"""</f>
        <v>"NAV Direct","CRONUS JetCorp USA","32","1","30047"</v>
      </c>
      <c r="H1926" s="40">
        <v>43474</v>
      </c>
      <c r="I1926" s="41">
        <v>30047</v>
      </c>
      <c r="J1926" s="42" t="str">
        <f>"Customer"</f>
        <v>Customer</v>
      </c>
      <c r="K1926" s="42" t="str">
        <f>"C100086"</f>
        <v>C100086</v>
      </c>
      <c r="L1926" s="42" t="str">
        <f>IF($J1926="Customer",_xll.NL("first",$J1926,"Name","No.","@@"&amp;$K1926),"")</f>
        <v>Top Action Sports</v>
      </c>
      <c r="M1926" s="42" t="str">
        <f>""</f>
        <v/>
      </c>
      <c r="N1926" s="42" t="str">
        <f>IF($J1926="Item",_xll.NL("first",$J1926,"Description","No.","@@"&amp;$K1926),"")</f>
        <v/>
      </c>
      <c r="O1926" s="43">
        <v>0</v>
      </c>
      <c r="P1926" s="43">
        <v>-144</v>
      </c>
      <c r="Q1926" s="43">
        <v>0</v>
      </c>
      <c r="R1926" s="43">
        <v>0</v>
      </c>
      <c r="S1926" s="43">
        <v>0</v>
      </c>
      <c r="T1926" s="43">
        <v>0</v>
      </c>
      <c r="U1926" s="56"/>
    </row>
    <row r="1927" spans="1:21" ht="17.25" customHeight="1" x14ac:dyDescent="0.3">
      <c r="A1927" s="15" t="s">
        <v>30</v>
      </c>
      <c r="C1927" s="19"/>
      <c r="D1927" s="33" t="str">
        <f t="shared" si="472"/>
        <v>S100018</v>
      </c>
      <c r="E1927" s="33"/>
      <c r="F1927" s="34"/>
      <c r="G1927" s="34" t="str">
        <f>"""NAV Direct"",""CRONUS JetCorp USA"",""32"",""1"",""124588"""</f>
        <v>"NAV Direct","CRONUS JetCorp USA","32","1","124588"</v>
      </c>
      <c r="H1927" s="40">
        <v>43475</v>
      </c>
      <c r="I1927" s="41">
        <v>124588</v>
      </c>
      <c r="J1927" s="42" t="str">
        <f>"Customer"</f>
        <v>Customer</v>
      </c>
      <c r="K1927" s="42" t="str">
        <f>"C100035"</f>
        <v>C100035</v>
      </c>
      <c r="L1927" s="42" t="str">
        <f>IF($J1927="Customer",_xll.NL("first",$J1927,"Name","No.","@@"&amp;$K1927),"")</f>
        <v>First Touch Marketing</v>
      </c>
      <c r="M1927" s="42" t="str">
        <f>""</f>
        <v/>
      </c>
      <c r="N1927" s="42" t="str">
        <f>IF($J1927="Item",_xll.NL("first",$J1927,"Description","No.","@@"&amp;$K1927),"")</f>
        <v/>
      </c>
      <c r="O1927" s="43">
        <v>0</v>
      </c>
      <c r="P1927" s="43">
        <v>-144</v>
      </c>
      <c r="Q1927" s="43">
        <v>0</v>
      </c>
      <c r="R1927" s="43">
        <v>0</v>
      </c>
      <c r="S1927" s="43">
        <v>0</v>
      </c>
      <c r="T1927" s="43">
        <v>0</v>
      </c>
      <c r="U1927" s="56"/>
    </row>
    <row r="1928" spans="1:21" ht="17.25" customHeight="1" x14ac:dyDescent="0.3">
      <c r="A1928" s="15" t="s">
        <v>30</v>
      </c>
      <c r="C1928" s="19"/>
      <c r="D1928" s="33" t="str">
        <f t="shared" si="472"/>
        <v>S100018</v>
      </c>
      <c r="E1928" s="33"/>
      <c r="F1928" s="34"/>
      <c r="G1928" s="34" t="str">
        <f>"""NAV Direct"",""CRONUS JetCorp USA"",""32"",""1"",""25281"""</f>
        <v>"NAV Direct","CRONUS JetCorp USA","32","1","25281"</v>
      </c>
      <c r="H1928" s="40">
        <v>43477</v>
      </c>
      <c r="I1928" s="41">
        <v>25281</v>
      </c>
      <c r="J1928" s="42" t="str">
        <f>"Customer"</f>
        <v>Customer</v>
      </c>
      <c r="K1928" s="42" t="str">
        <f>"C100138"</f>
        <v>C100138</v>
      </c>
      <c r="L1928" s="42" t="str">
        <f>IF($J1928="Customer",_xll.NL("first",$J1928,"Name","No.","@@"&amp;$K1928),"")</f>
        <v>Dantons</v>
      </c>
      <c r="M1928" s="42" t="str">
        <f>""</f>
        <v/>
      </c>
      <c r="N1928" s="42" t="str">
        <f>IF($J1928="Item",_xll.NL("first",$J1928,"Description","No.","@@"&amp;$K1928),"")</f>
        <v/>
      </c>
      <c r="O1928" s="43">
        <v>0</v>
      </c>
      <c r="P1928" s="43">
        <v>-288</v>
      </c>
      <c r="Q1928" s="43">
        <v>0</v>
      </c>
      <c r="R1928" s="43">
        <v>0</v>
      </c>
      <c r="S1928" s="43">
        <v>0</v>
      </c>
      <c r="T1928" s="43">
        <v>0</v>
      </c>
      <c r="U1928" s="56"/>
    </row>
    <row r="1929" spans="1:21" ht="17.25" customHeight="1" x14ac:dyDescent="0.3">
      <c r="A1929" s="15" t="s">
        <v>30</v>
      </c>
      <c r="C1929" s="19"/>
      <c r="D1929" s="33" t="str">
        <f t="shared" si="472"/>
        <v>S100018</v>
      </c>
      <c r="E1929" s="33"/>
      <c r="F1929" s="34"/>
      <c r="G1929" s="34" t="str">
        <f>"""NAV Direct"",""CRONUS JetCorp USA"",""32"",""1"",""138733"""</f>
        <v>"NAV Direct","CRONUS JetCorp USA","32","1","138733"</v>
      </c>
      <c r="H1929" s="40">
        <v>43477</v>
      </c>
      <c r="I1929" s="41">
        <v>138733</v>
      </c>
      <c r="J1929" s="42" t="str">
        <f>"Customer"</f>
        <v>Customer</v>
      </c>
      <c r="K1929" s="42" t="str">
        <f>"C100021"</f>
        <v>C100021</v>
      </c>
      <c r="L1929" s="42" t="str">
        <f>IF($J1929="Customer",_xll.NL("first",$J1929,"Name","No.","@@"&amp;$K1929),"")</f>
        <v>Cronus Cardoxy Sales</v>
      </c>
      <c r="M1929" s="42" t="str">
        <f>""</f>
        <v/>
      </c>
      <c r="N1929" s="42" t="str">
        <f>IF($J1929="Item",_xll.NL("first",$J1929,"Description","No.","@@"&amp;$K1929),"")</f>
        <v/>
      </c>
      <c r="O1929" s="43">
        <v>0</v>
      </c>
      <c r="P1929" s="43">
        <v>-1</v>
      </c>
      <c r="Q1929" s="43">
        <v>0</v>
      </c>
      <c r="R1929" s="43">
        <v>0</v>
      </c>
      <c r="S1929" s="43">
        <v>0</v>
      </c>
      <c r="T1929" s="43">
        <v>0</v>
      </c>
      <c r="U1929" s="56"/>
    </row>
    <row r="1930" spans="1:21" ht="17.25" customHeight="1" x14ac:dyDescent="0.3">
      <c r="A1930" s="15" t="s">
        <v>30</v>
      </c>
      <c r="C1930" s="19"/>
      <c r="D1930" s="33"/>
      <c r="E1930" s="33"/>
      <c r="F1930" s="34"/>
      <c r="G1930" s="34"/>
      <c r="H1930" s="34"/>
      <c r="I1930" s="34"/>
      <c r="J1930" s="34"/>
      <c r="K1930" s="34"/>
      <c r="L1930" s="34"/>
      <c r="M1930" s="34"/>
      <c r="N1930" s="34"/>
      <c r="O1930" s="44"/>
      <c r="P1930" s="44"/>
      <c r="Q1930" s="44"/>
      <c r="R1930" s="44"/>
      <c r="S1930" s="44"/>
      <c r="T1930" s="44"/>
      <c r="U1930" s="57"/>
    </row>
    <row r="1931" spans="1:21" ht="17.25" customHeight="1" x14ac:dyDescent="0.3">
      <c r="A1931" s="15" t="s">
        <v>30</v>
      </c>
      <c r="C1931" s="19"/>
      <c r="D1931" s="33"/>
      <c r="E1931" s="33" t="s">
        <v>31</v>
      </c>
      <c r="F1931" s="34" t="s">
        <v>31</v>
      </c>
      <c r="G1931" s="34" t="s">
        <v>31</v>
      </c>
      <c r="H1931" s="34"/>
      <c r="I1931" s="34"/>
      <c r="J1931" s="34" t="s">
        <v>31</v>
      </c>
      <c r="K1931" s="34" t="s">
        <v>31</v>
      </c>
      <c r="L1931" s="34" t="s">
        <v>31</v>
      </c>
      <c r="M1931" s="34" t="s">
        <v>31</v>
      </c>
      <c r="N1931" s="34"/>
      <c r="U1931" s="58"/>
    </row>
    <row r="1932" spans="1:21" ht="20.25" customHeight="1" x14ac:dyDescent="0.35">
      <c r="A1932" s="15" t="s">
        <v>30</v>
      </c>
      <c r="C1932" s="19"/>
      <c r="D1932" s="35" t="str">
        <f t="shared" ref="D1932" si="473">E1932</f>
        <v>S100019</v>
      </c>
      <c r="E1932" s="36" t="str">
        <f>"S100019"</f>
        <v>S100019</v>
      </c>
      <c r="F1932" s="37" t="str">
        <f>"Sportsman Bucket Hat"</f>
        <v>Sportsman Bucket Hat</v>
      </c>
      <c r="G1932" s="37"/>
      <c r="H1932" s="38" t="str">
        <f>"EA"</f>
        <v>EA</v>
      </c>
      <c r="I1932" s="37"/>
      <c r="J1932" s="37"/>
      <c r="K1932" s="37"/>
      <c r="L1932" s="37"/>
      <c r="M1932" s="37"/>
      <c r="N1932" s="37"/>
      <c r="O1932" s="39">
        <f>(SUBTOTAL(9,O1933:O1952))</f>
        <v>6400</v>
      </c>
      <c r="P1932" s="39">
        <f>(SUBTOTAL(9,P1933:P1952))</f>
        <v>-1927</v>
      </c>
      <c r="Q1932" s="39">
        <f>(SUBTOTAL(9,Q1933:Q1952))</f>
        <v>0</v>
      </c>
      <c r="R1932" s="39">
        <f>(SUBTOTAL(9,R1933:R1952))</f>
        <v>0</v>
      </c>
      <c r="S1932" s="39">
        <f>(SUBTOTAL(9,S1933:S1952))</f>
        <v>0</v>
      </c>
      <c r="T1932" s="39">
        <f>(SUBTOTAL(9,T1933:T1952))</f>
        <v>0</v>
      </c>
      <c r="U1932" s="55">
        <f t="shared" ref="U1932" si="474">SUBTOTAL(9,O1933:T1952)</f>
        <v>4473</v>
      </c>
    </row>
    <row r="1933" spans="1:21" ht="17.25" customHeight="1" x14ac:dyDescent="0.3">
      <c r="A1933" s="15" t="s">
        <v>30</v>
      </c>
      <c r="C1933" s="19"/>
      <c r="D1933" s="33" t="str">
        <f t="shared" ref="D1933" si="475">D1932</f>
        <v>S100019</v>
      </c>
      <c r="E1933" s="33"/>
      <c r="F1933" s="34"/>
      <c r="G1933" s="34" t="str">
        <f>"""NAV Direct"",""CRONUS JetCorp USA"",""32"",""1"",""132496"""</f>
        <v>"NAV Direct","CRONUS JetCorp USA","32","1","132496"</v>
      </c>
      <c r="H1933" s="40">
        <v>43466</v>
      </c>
      <c r="I1933" s="41">
        <v>132496</v>
      </c>
      <c r="J1933" s="42" t="str">
        <f>"Customer"</f>
        <v>Customer</v>
      </c>
      <c r="K1933" s="42" t="str">
        <f>"C100040"</f>
        <v>C100040</v>
      </c>
      <c r="L1933" s="42" t="str">
        <f>IF($J1933="Customer",_xll.NL("first",$J1933,"Name","No.","@@"&amp;$K1933),"")</f>
        <v>Guildford Water Department</v>
      </c>
      <c r="M1933" s="42" t="str">
        <f>""</f>
        <v/>
      </c>
      <c r="N1933" s="42" t="str">
        <f>IF($J1933="Item",_xll.NL("first",$J1933,"Description","No.","@@"&amp;$K1933),"")</f>
        <v/>
      </c>
      <c r="O1933" s="43">
        <v>0</v>
      </c>
      <c r="P1933" s="43">
        <v>-144</v>
      </c>
      <c r="Q1933" s="43">
        <v>0</v>
      </c>
      <c r="R1933" s="43">
        <v>0</v>
      </c>
      <c r="S1933" s="43">
        <v>0</v>
      </c>
      <c r="T1933" s="43">
        <v>0</v>
      </c>
      <c r="U1933" s="56"/>
    </row>
    <row r="1934" spans="1:21" ht="17.25" customHeight="1" x14ac:dyDescent="0.3">
      <c r="A1934" s="15" t="s">
        <v>30</v>
      </c>
      <c r="C1934" s="19"/>
      <c r="D1934" s="33" t="str">
        <f t="shared" ref="D1934:D1951" si="476">D1933</f>
        <v>S100019</v>
      </c>
      <c r="E1934" s="33"/>
      <c r="F1934" s="34"/>
      <c r="G1934" s="34" t="str">
        <f>"""NAV Direct"",""CRONUS JetCorp USA"",""32"",""1"",""167074"""</f>
        <v>"NAV Direct","CRONUS JetCorp USA","32","1","167074"</v>
      </c>
      <c r="H1934" s="40">
        <v>43466</v>
      </c>
      <c r="I1934" s="41">
        <v>167074</v>
      </c>
      <c r="J1934" s="42" t="str">
        <f>"Vendor"</f>
        <v>Vendor</v>
      </c>
      <c r="K1934" s="42" t="str">
        <f>"V100009"</f>
        <v>V100009</v>
      </c>
      <c r="L1934" s="42" t="str">
        <f>IF($J1934="Customer",_xll.NL("first",$J1934,"Name","No.","@@"&amp;$K1934),"")</f>
        <v/>
      </c>
      <c r="M1934" s="42" t="str">
        <f>"Malay-Dan Export Unit Sdn Bhd"</f>
        <v>Malay-Dan Export Unit Sdn Bhd</v>
      </c>
      <c r="N1934" s="42" t="str">
        <f>IF($J1934="Item",_xll.NL("first",$J1934,"Description","No.","@@"&amp;$K1934),"")</f>
        <v/>
      </c>
      <c r="O1934" s="43">
        <v>800</v>
      </c>
      <c r="P1934" s="43">
        <v>0</v>
      </c>
      <c r="Q1934" s="43">
        <v>0</v>
      </c>
      <c r="R1934" s="43">
        <v>0</v>
      </c>
      <c r="S1934" s="43">
        <v>0</v>
      </c>
      <c r="T1934" s="43">
        <v>0</v>
      </c>
      <c r="U1934" s="56"/>
    </row>
    <row r="1935" spans="1:21" ht="17.25" customHeight="1" x14ac:dyDescent="0.3">
      <c r="A1935" s="15" t="s">
        <v>30</v>
      </c>
      <c r="C1935" s="19"/>
      <c r="D1935" s="33" t="str">
        <f t="shared" si="476"/>
        <v>S100019</v>
      </c>
      <c r="E1935" s="33"/>
      <c r="F1935" s="34"/>
      <c r="G1935" s="34" t="str">
        <f>"""NAV Direct"",""CRONUS JetCorp USA"",""32"",""1"",""167089"""</f>
        <v>"NAV Direct","CRONUS JetCorp USA","32","1","167089"</v>
      </c>
      <c r="H1935" s="40">
        <v>43466</v>
      </c>
      <c r="I1935" s="41">
        <v>167089</v>
      </c>
      <c r="J1935" s="42" t="str">
        <f>"Vendor"</f>
        <v>Vendor</v>
      </c>
      <c r="K1935" s="42" t="str">
        <f>"V100040"</f>
        <v>V100040</v>
      </c>
      <c r="L1935" s="42" t="str">
        <f>IF($J1935="Customer",_xll.NL("first",$J1935,"Name","No.","@@"&amp;$K1935),"")</f>
        <v/>
      </c>
      <c r="M1935" s="42" t="str">
        <f>"Technische Betriebe Rotkreuz"</f>
        <v>Technische Betriebe Rotkreuz</v>
      </c>
      <c r="N1935" s="42" t="str">
        <f>IF($J1935="Item",_xll.NL("first",$J1935,"Description","No.","@@"&amp;$K1935),"")</f>
        <v/>
      </c>
      <c r="O1935" s="43">
        <v>800</v>
      </c>
      <c r="P1935" s="43">
        <v>0</v>
      </c>
      <c r="Q1935" s="43">
        <v>0</v>
      </c>
      <c r="R1935" s="43">
        <v>0</v>
      </c>
      <c r="S1935" s="43">
        <v>0</v>
      </c>
      <c r="T1935" s="43">
        <v>0</v>
      </c>
      <c r="U1935" s="56"/>
    </row>
    <row r="1936" spans="1:21" ht="17.25" customHeight="1" x14ac:dyDescent="0.3">
      <c r="A1936" s="15" t="s">
        <v>30</v>
      </c>
      <c r="C1936" s="19"/>
      <c r="D1936" s="33" t="str">
        <f t="shared" si="476"/>
        <v>S100019</v>
      </c>
      <c r="E1936" s="33"/>
      <c r="F1936" s="34"/>
      <c r="G1936" s="34" t="str">
        <f>"""NAV Direct"",""CRONUS JetCorp USA"",""32"",""1"",""167110"""</f>
        <v>"NAV Direct","CRONUS JetCorp USA","32","1","167110"</v>
      </c>
      <c r="H1936" s="40">
        <v>43466</v>
      </c>
      <c r="I1936" s="41">
        <v>167110</v>
      </c>
      <c r="J1936" s="42" t="str">
        <f>"Vendor"</f>
        <v>Vendor</v>
      </c>
      <c r="K1936" s="42" t="str">
        <f>"V100007"</f>
        <v>V100007</v>
      </c>
      <c r="L1936" s="42" t="str">
        <f>IF($J1936="Customer",_xll.NL("first",$J1936,"Name","No.","@@"&amp;$K1936),"")</f>
        <v/>
      </c>
      <c r="M1936" s="42" t="str">
        <f>"TrendTech"</f>
        <v>TrendTech</v>
      </c>
      <c r="N1936" s="42" t="str">
        <f>IF($J1936="Item",_xll.NL("first",$J1936,"Description","No.","@@"&amp;$K1936),"")</f>
        <v/>
      </c>
      <c r="O1936" s="43">
        <v>400</v>
      </c>
      <c r="P1936" s="43">
        <v>0</v>
      </c>
      <c r="Q1936" s="43">
        <v>0</v>
      </c>
      <c r="R1936" s="43">
        <v>0</v>
      </c>
      <c r="S1936" s="43">
        <v>0</v>
      </c>
      <c r="T1936" s="43">
        <v>0</v>
      </c>
      <c r="U1936" s="56"/>
    </row>
    <row r="1937" spans="1:21" ht="17.25" customHeight="1" x14ac:dyDescent="0.3">
      <c r="A1937" s="15" t="s">
        <v>30</v>
      </c>
      <c r="C1937" s="19"/>
      <c r="D1937" s="33" t="str">
        <f t="shared" si="476"/>
        <v>S100019</v>
      </c>
      <c r="E1937" s="33"/>
      <c r="F1937" s="34"/>
      <c r="G1937" s="34" t="str">
        <f>"""NAV Direct"",""CRONUS JetCorp USA"",""32"",""1"",""167126"""</f>
        <v>"NAV Direct","CRONUS JetCorp USA","32","1","167126"</v>
      </c>
      <c r="H1937" s="40">
        <v>43466</v>
      </c>
      <c r="I1937" s="41">
        <v>167126</v>
      </c>
      <c r="J1937" s="42" t="str">
        <f>"Vendor"</f>
        <v>Vendor</v>
      </c>
      <c r="K1937" s="42" t="str">
        <f>"V100001"</f>
        <v>V100001</v>
      </c>
      <c r="L1937" s="42" t="str">
        <f>IF($J1937="Customer",_xll.NL("first",$J1937,"Name","No.","@@"&amp;$K1937),"")</f>
        <v/>
      </c>
      <c r="M1937" s="42" t="str">
        <f>"Greigner, Inc."</f>
        <v>Greigner, Inc.</v>
      </c>
      <c r="N1937" s="42" t="str">
        <f>IF($J1937="Item",_xll.NL("first",$J1937,"Description","No.","@@"&amp;$K1937),"")</f>
        <v/>
      </c>
      <c r="O1937" s="43">
        <v>3200</v>
      </c>
      <c r="P1937" s="43">
        <v>0</v>
      </c>
      <c r="Q1937" s="43">
        <v>0</v>
      </c>
      <c r="R1937" s="43">
        <v>0</v>
      </c>
      <c r="S1937" s="43">
        <v>0</v>
      </c>
      <c r="T1937" s="43">
        <v>0</v>
      </c>
      <c r="U1937" s="56"/>
    </row>
    <row r="1938" spans="1:21" ht="17.25" customHeight="1" x14ac:dyDescent="0.3">
      <c r="A1938" s="15" t="s">
        <v>30</v>
      </c>
      <c r="C1938" s="19"/>
      <c r="D1938" s="33" t="str">
        <f t="shared" si="476"/>
        <v>S100019</v>
      </c>
      <c r="E1938" s="33"/>
      <c r="F1938" s="34"/>
      <c r="G1938" s="34" t="str">
        <f>"""NAV Direct"",""CRONUS JetCorp USA"",""32"",""1"",""167153"""</f>
        <v>"NAV Direct","CRONUS JetCorp USA","32","1","167153"</v>
      </c>
      <c r="H1938" s="40">
        <v>43466</v>
      </c>
      <c r="I1938" s="41">
        <v>167153</v>
      </c>
      <c r="J1938" s="42" t="str">
        <f>"Vendor"</f>
        <v>Vendor</v>
      </c>
      <c r="K1938" s="42" t="str">
        <f>"V100003"</f>
        <v>V100003</v>
      </c>
      <c r="L1938" s="42" t="str">
        <f>IF($J1938="Customer",_xll.NL("first",$J1938,"Name","No.","@@"&amp;$K1938),"")</f>
        <v/>
      </c>
      <c r="M1938" s="42" t="str">
        <f>"LogoMasters"</f>
        <v>LogoMasters</v>
      </c>
      <c r="N1938" s="42" t="str">
        <f>IF($J1938="Item",_xll.NL("first",$J1938,"Description","No.","@@"&amp;$K1938),"")</f>
        <v/>
      </c>
      <c r="O1938" s="43">
        <v>1200</v>
      </c>
      <c r="P1938" s="43">
        <v>0</v>
      </c>
      <c r="Q1938" s="43">
        <v>0</v>
      </c>
      <c r="R1938" s="43">
        <v>0</v>
      </c>
      <c r="S1938" s="43">
        <v>0</v>
      </c>
      <c r="T1938" s="43">
        <v>0</v>
      </c>
      <c r="U1938" s="56"/>
    </row>
    <row r="1939" spans="1:21" ht="17.25" customHeight="1" x14ac:dyDescent="0.3">
      <c r="A1939" s="15" t="s">
        <v>30</v>
      </c>
      <c r="C1939" s="19"/>
      <c r="D1939" s="33" t="str">
        <f t="shared" si="476"/>
        <v>S100019</v>
      </c>
      <c r="E1939" s="33"/>
      <c r="F1939" s="34"/>
      <c r="G1939" s="34" t="str">
        <f>"""NAV Direct"",""CRONUS JetCorp USA"",""32"",""1"",""153170"""</f>
        <v>"NAV Direct","CRONUS JetCorp USA","32","1","153170"</v>
      </c>
      <c r="H1939" s="40">
        <v>43470</v>
      </c>
      <c r="I1939" s="41">
        <v>153170</v>
      </c>
      <c r="J1939" s="42" t="str">
        <f>"Customer"</f>
        <v>Customer</v>
      </c>
      <c r="K1939" s="42" t="str">
        <f>"C100136"</f>
        <v>C100136</v>
      </c>
      <c r="L1939" s="42" t="str">
        <f>IF($J1939="Customer",_xll.NL("first",$J1939,"Name","No.","@@"&amp;$K1939),"")</f>
        <v>First Bank</v>
      </c>
      <c r="M1939" s="42" t="str">
        <f>""</f>
        <v/>
      </c>
      <c r="N1939" s="42" t="str">
        <f>IF($J1939="Item",_xll.NL("first",$J1939,"Description","No.","@@"&amp;$K1939),"")</f>
        <v/>
      </c>
      <c r="O1939" s="43">
        <v>0</v>
      </c>
      <c r="P1939" s="43">
        <v>-48</v>
      </c>
      <c r="Q1939" s="43">
        <v>0</v>
      </c>
      <c r="R1939" s="43">
        <v>0</v>
      </c>
      <c r="S1939" s="43">
        <v>0</v>
      </c>
      <c r="T1939" s="43">
        <v>0</v>
      </c>
      <c r="U1939" s="56"/>
    </row>
    <row r="1940" spans="1:21" ht="17.25" customHeight="1" x14ac:dyDescent="0.3">
      <c r="A1940" s="15" t="s">
        <v>30</v>
      </c>
      <c r="C1940" s="19"/>
      <c r="D1940" s="33" t="str">
        <f t="shared" si="476"/>
        <v>S100019</v>
      </c>
      <c r="E1940" s="33"/>
      <c r="F1940" s="34"/>
      <c r="G1940" s="34" t="str">
        <f>"""NAV Direct"",""CRONUS JetCorp USA"",""32"",""1"",""30042"""</f>
        <v>"NAV Direct","CRONUS JetCorp USA","32","1","30042"</v>
      </c>
      <c r="H1940" s="40">
        <v>43471</v>
      </c>
      <c r="I1940" s="41">
        <v>30042</v>
      </c>
      <c r="J1940" s="42" t="str">
        <f>"Customer"</f>
        <v>Customer</v>
      </c>
      <c r="K1940" s="42" t="str">
        <f>"C100012"</f>
        <v>C100012</v>
      </c>
      <c r="L1940" s="42" t="str">
        <f>IF($J1940="Customer",_xll.NL("first",$J1940,"Name","No.","@@"&amp;$K1940),"")</f>
        <v>Bainbridges</v>
      </c>
      <c r="M1940" s="42" t="str">
        <f>""</f>
        <v/>
      </c>
      <c r="N1940" s="42" t="str">
        <f>IF($J1940="Item",_xll.NL("first",$J1940,"Description","No.","@@"&amp;$K1940),"")</f>
        <v/>
      </c>
      <c r="O1940" s="43">
        <v>0</v>
      </c>
      <c r="P1940" s="43">
        <v>-1</v>
      </c>
      <c r="Q1940" s="43">
        <v>0</v>
      </c>
      <c r="R1940" s="43">
        <v>0</v>
      </c>
      <c r="S1940" s="43">
        <v>0</v>
      </c>
      <c r="T1940" s="43">
        <v>0</v>
      </c>
      <c r="U1940" s="56"/>
    </row>
    <row r="1941" spans="1:21" ht="17.25" customHeight="1" x14ac:dyDescent="0.3">
      <c r="A1941" s="15" t="s">
        <v>30</v>
      </c>
      <c r="C1941" s="19"/>
      <c r="D1941" s="33" t="str">
        <f t="shared" si="476"/>
        <v>S100019</v>
      </c>
      <c r="E1941" s="33"/>
      <c r="F1941" s="34"/>
      <c r="G1941" s="34" t="str">
        <f>"""NAV Direct"",""CRONUS JetCorp USA"",""32"",""1"",""78873"""</f>
        <v>"NAV Direct","CRONUS JetCorp USA","32","1","78873"</v>
      </c>
      <c r="H1941" s="40">
        <v>43471</v>
      </c>
      <c r="I1941" s="41">
        <v>78873</v>
      </c>
      <c r="J1941" s="42" t="str">
        <f>"Customer"</f>
        <v>Customer</v>
      </c>
      <c r="K1941" s="42" t="str">
        <f>"C100124"</f>
        <v>C100124</v>
      </c>
      <c r="L1941" s="42" t="str">
        <f>IF($J1941="Customer",_xll.NL("first",$J1941,"Name","No.","@@"&amp;$K1941),"")</f>
        <v>Ontocane Outdoors</v>
      </c>
      <c r="M1941" s="42" t="str">
        <f>""</f>
        <v/>
      </c>
      <c r="N1941" s="42" t="str">
        <f>IF($J1941="Item",_xll.NL("first",$J1941,"Description","No.","@@"&amp;$K1941),"")</f>
        <v/>
      </c>
      <c r="O1941" s="43">
        <v>0</v>
      </c>
      <c r="P1941" s="43">
        <v>-144</v>
      </c>
      <c r="Q1941" s="43">
        <v>0</v>
      </c>
      <c r="R1941" s="43">
        <v>0</v>
      </c>
      <c r="S1941" s="43">
        <v>0</v>
      </c>
      <c r="T1941" s="43">
        <v>0</v>
      </c>
      <c r="U1941" s="56"/>
    </row>
    <row r="1942" spans="1:21" ht="17.25" customHeight="1" x14ac:dyDescent="0.3">
      <c r="A1942" s="15" t="s">
        <v>30</v>
      </c>
      <c r="C1942" s="19"/>
      <c r="D1942" s="33" t="str">
        <f t="shared" si="476"/>
        <v>S100019</v>
      </c>
      <c r="E1942" s="33"/>
      <c r="F1942" s="34"/>
      <c r="G1942" s="34" t="str">
        <f>"""NAV Direct"",""CRONUS JetCorp USA"",""32"",""1"",""20336"""</f>
        <v>"NAV Direct","CRONUS JetCorp USA","32","1","20336"</v>
      </c>
      <c r="H1942" s="40">
        <v>43472</v>
      </c>
      <c r="I1942" s="41">
        <v>20336</v>
      </c>
      <c r="J1942" s="42" t="str">
        <f>"Customer"</f>
        <v>Customer</v>
      </c>
      <c r="K1942" s="42" t="str">
        <f>"C100145"</f>
        <v>C100145</v>
      </c>
      <c r="L1942" s="42" t="str">
        <f>IF($J1942="Customer",_xll.NL("first",$J1942,"Name","No.","@@"&amp;$K1942),"")</f>
        <v>Dicon Industries</v>
      </c>
      <c r="M1942" s="42" t="str">
        <f>""</f>
        <v/>
      </c>
      <c r="N1942" s="42" t="str">
        <f>IF($J1942="Item",_xll.NL("first",$J1942,"Description","No.","@@"&amp;$K1942),"")</f>
        <v/>
      </c>
      <c r="O1942" s="43">
        <v>0</v>
      </c>
      <c r="P1942" s="43">
        <v>-144</v>
      </c>
      <c r="Q1942" s="43">
        <v>0</v>
      </c>
      <c r="R1942" s="43">
        <v>0</v>
      </c>
      <c r="S1942" s="43">
        <v>0</v>
      </c>
      <c r="T1942" s="43">
        <v>0</v>
      </c>
      <c r="U1942" s="56"/>
    </row>
    <row r="1943" spans="1:21" ht="17.25" customHeight="1" x14ac:dyDescent="0.3">
      <c r="A1943" s="15" t="s">
        <v>30</v>
      </c>
      <c r="C1943" s="19"/>
      <c r="D1943" s="33" t="str">
        <f t="shared" si="476"/>
        <v>S100019</v>
      </c>
      <c r="E1943" s="33"/>
      <c r="F1943" s="34"/>
      <c r="G1943" s="34" t="str">
        <f>"""NAV Direct"",""CRONUS JetCorp USA"",""32"",""1"",""44458"""</f>
        <v>"NAV Direct","CRONUS JetCorp USA","32","1","44458"</v>
      </c>
      <c r="H1943" s="40">
        <v>43472</v>
      </c>
      <c r="I1943" s="41">
        <v>44458</v>
      </c>
      <c r="J1943" s="42" t="str">
        <f>"Customer"</f>
        <v>Customer</v>
      </c>
      <c r="K1943" s="42" t="str">
        <f>"C100141"</f>
        <v>C100141</v>
      </c>
      <c r="L1943" s="42" t="str">
        <f>IF($J1943="Customer",_xll.NL("first",$J1943,"Name","No.","@@"&amp;$K1943),"")</f>
        <v>Bargottis</v>
      </c>
      <c r="M1943" s="42" t="str">
        <f>""</f>
        <v/>
      </c>
      <c r="N1943" s="42" t="str">
        <f>IF($J1943="Item",_xll.NL("first",$J1943,"Description","No.","@@"&amp;$K1943),"")</f>
        <v/>
      </c>
      <c r="O1943" s="43">
        <v>0</v>
      </c>
      <c r="P1943" s="43">
        <v>-288</v>
      </c>
      <c r="Q1943" s="43">
        <v>0</v>
      </c>
      <c r="R1943" s="43">
        <v>0</v>
      </c>
      <c r="S1943" s="43">
        <v>0</v>
      </c>
      <c r="T1943" s="43">
        <v>0</v>
      </c>
      <c r="U1943" s="56"/>
    </row>
    <row r="1944" spans="1:21" ht="17.25" customHeight="1" x14ac:dyDescent="0.3">
      <c r="A1944" s="15" t="s">
        <v>30</v>
      </c>
      <c r="C1944" s="19"/>
      <c r="D1944" s="33" t="str">
        <f t="shared" si="476"/>
        <v>S100019</v>
      </c>
      <c r="E1944" s="33"/>
      <c r="F1944" s="34"/>
      <c r="G1944" s="34" t="str">
        <f>"""NAV Direct"",""CRONUS JetCorp USA"",""32"",""1"",""54719"""</f>
        <v>"NAV Direct","CRONUS JetCorp USA","32","1","54719"</v>
      </c>
      <c r="H1944" s="40">
        <v>43472</v>
      </c>
      <c r="I1944" s="41">
        <v>54719</v>
      </c>
      <c r="J1944" s="42" t="str">
        <f>"Customer"</f>
        <v>Customer</v>
      </c>
      <c r="K1944" s="42" t="str">
        <f>"C100084"</f>
        <v>C100084</v>
      </c>
      <c r="L1944" s="42" t="str">
        <f>IF($J1944="Customer",_xll.NL("first",$J1944,"Name","No.","@@"&amp;$K1944),"")</f>
        <v>The Cannon Group PLC</v>
      </c>
      <c r="M1944" s="42" t="str">
        <f>""</f>
        <v/>
      </c>
      <c r="N1944" s="42" t="str">
        <f>IF($J1944="Item",_xll.NL("first",$J1944,"Description","No.","@@"&amp;$K1944),"")</f>
        <v/>
      </c>
      <c r="O1944" s="43">
        <v>0</v>
      </c>
      <c r="P1944" s="43">
        <v>-144</v>
      </c>
      <c r="Q1944" s="43">
        <v>0</v>
      </c>
      <c r="R1944" s="43">
        <v>0</v>
      </c>
      <c r="S1944" s="43">
        <v>0</v>
      </c>
      <c r="T1944" s="43">
        <v>0</v>
      </c>
      <c r="U1944" s="56"/>
    </row>
    <row r="1945" spans="1:21" ht="17.25" customHeight="1" x14ac:dyDescent="0.3">
      <c r="A1945" s="15" t="s">
        <v>30</v>
      </c>
      <c r="C1945" s="19"/>
      <c r="D1945" s="33" t="str">
        <f t="shared" si="476"/>
        <v>S100019</v>
      </c>
      <c r="E1945" s="33"/>
      <c r="F1945" s="34"/>
      <c r="G1945" s="34" t="str">
        <f>"""NAV Direct"",""CRONUS JetCorp USA"",""32"",""1"",""128873"""</f>
        <v>"NAV Direct","CRONUS JetCorp USA","32","1","128873"</v>
      </c>
      <c r="H1945" s="40">
        <v>43472</v>
      </c>
      <c r="I1945" s="41">
        <v>128873</v>
      </c>
      <c r="J1945" s="42" t="str">
        <f>"Customer"</f>
        <v>Customer</v>
      </c>
      <c r="K1945" s="42" t="str">
        <f>"C100105"</f>
        <v>C100105</v>
      </c>
      <c r="L1945" s="42" t="str">
        <f>IF($J1945="Customer",_xll.NL("first",$J1945,"Name","No.","@@"&amp;$K1945),"")</f>
        <v>Esystems</v>
      </c>
      <c r="M1945" s="42" t="str">
        <f>""</f>
        <v/>
      </c>
      <c r="N1945" s="42" t="str">
        <f>IF($J1945="Item",_xll.NL("first",$J1945,"Description","No.","@@"&amp;$K1945),"")</f>
        <v/>
      </c>
      <c r="O1945" s="43">
        <v>0</v>
      </c>
      <c r="P1945" s="43">
        <v>-144</v>
      </c>
      <c r="Q1945" s="43">
        <v>0</v>
      </c>
      <c r="R1945" s="43">
        <v>0</v>
      </c>
      <c r="S1945" s="43">
        <v>0</v>
      </c>
      <c r="T1945" s="43">
        <v>0</v>
      </c>
      <c r="U1945" s="56"/>
    </row>
    <row r="1946" spans="1:21" ht="17.25" customHeight="1" x14ac:dyDescent="0.3">
      <c r="A1946" s="15" t="s">
        <v>30</v>
      </c>
      <c r="C1946" s="19"/>
      <c r="D1946" s="33" t="str">
        <f t="shared" si="476"/>
        <v>S100019</v>
      </c>
      <c r="E1946" s="33"/>
      <c r="F1946" s="34"/>
      <c r="G1946" s="34" t="str">
        <f>"""NAV Direct"",""CRONUS JetCorp USA"",""32"",""1"",""20381"""</f>
        <v>"NAV Direct","CRONUS JetCorp USA","32","1","20381"</v>
      </c>
      <c r="H1946" s="40">
        <v>43473</v>
      </c>
      <c r="I1946" s="41">
        <v>20381</v>
      </c>
      <c r="J1946" s="42" t="str">
        <f>"Customer"</f>
        <v>Customer</v>
      </c>
      <c r="K1946" s="42" t="str">
        <f>"C100130"</f>
        <v>C100130</v>
      </c>
      <c r="L1946" s="42" t="str">
        <f>IF($J1946="Customer",_xll.NL("first",$J1946,"Name","No.","@@"&amp;$K1946),"")</f>
        <v>Hotspot Systems</v>
      </c>
      <c r="M1946" s="42" t="str">
        <f>""</f>
        <v/>
      </c>
      <c r="N1946" s="42" t="str">
        <f>IF($J1946="Item",_xll.NL("first",$J1946,"Description","No.","@@"&amp;$K1946),"")</f>
        <v/>
      </c>
      <c r="O1946" s="43">
        <v>0</v>
      </c>
      <c r="P1946" s="43">
        <v>-288</v>
      </c>
      <c r="Q1946" s="43">
        <v>0</v>
      </c>
      <c r="R1946" s="43">
        <v>0</v>
      </c>
      <c r="S1946" s="43">
        <v>0</v>
      </c>
      <c r="T1946" s="43">
        <v>0</v>
      </c>
      <c r="U1946" s="56"/>
    </row>
    <row r="1947" spans="1:21" ht="17.25" customHeight="1" x14ac:dyDescent="0.3">
      <c r="A1947" s="15" t="s">
        <v>30</v>
      </c>
      <c r="C1947" s="19"/>
      <c r="D1947" s="33" t="str">
        <f t="shared" si="476"/>
        <v>S100019</v>
      </c>
      <c r="E1947" s="33"/>
      <c r="F1947" s="34"/>
      <c r="G1947" s="34" t="str">
        <f>"""NAV Direct"",""CRONUS JetCorp USA"",""32"",""1"",""20413"""</f>
        <v>"NAV Direct","CRONUS JetCorp USA","32","1","20413"</v>
      </c>
      <c r="H1947" s="40">
        <v>43475</v>
      </c>
      <c r="I1947" s="41">
        <v>20413</v>
      </c>
      <c r="J1947" s="42" t="str">
        <f>"Customer"</f>
        <v>Customer</v>
      </c>
      <c r="K1947" s="42" t="str">
        <f>"C100130"</f>
        <v>C100130</v>
      </c>
      <c r="L1947" s="42" t="str">
        <f>IF($J1947="Customer",_xll.NL("first",$J1947,"Name","No.","@@"&amp;$K1947),"")</f>
        <v>Hotspot Systems</v>
      </c>
      <c r="M1947" s="42" t="str">
        <f>""</f>
        <v/>
      </c>
      <c r="N1947" s="42" t="str">
        <f>IF($J1947="Item",_xll.NL("first",$J1947,"Description","No.","@@"&amp;$K1947),"")</f>
        <v/>
      </c>
      <c r="O1947" s="43">
        <v>0</v>
      </c>
      <c r="P1947" s="43">
        <v>-6</v>
      </c>
      <c r="Q1947" s="43">
        <v>0</v>
      </c>
      <c r="R1947" s="43">
        <v>0</v>
      </c>
      <c r="S1947" s="43">
        <v>0</v>
      </c>
      <c r="T1947" s="43">
        <v>0</v>
      </c>
      <c r="U1947" s="56"/>
    </row>
    <row r="1948" spans="1:21" ht="17.25" customHeight="1" x14ac:dyDescent="0.3">
      <c r="A1948" s="15" t="s">
        <v>30</v>
      </c>
      <c r="C1948" s="19"/>
      <c r="D1948" s="33" t="str">
        <f t="shared" si="476"/>
        <v>S100019</v>
      </c>
      <c r="E1948" s="33"/>
      <c r="F1948" s="34"/>
      <c r="G1948" s="34" t="str">
        <f>"""NAV Direct"",""CRONUS JetCorp USA"",""32"",""1"",""30112"""</f>
        <v>"NAV Direct","CRONUS JetCorp USA","32","1","30112"</v>
      </c>
      <c r="H1948" s="40">
        <v>43475</v>
      </c>
      <c r="I1948" s="41">
        <v>30112</v>
      </c>
      <c r="J1948" s="42" t="str">
        <f>"Customer"</f>
        <v>Customer</v>
      </c>
      <c r="K1948" s="42" t="str">
        <f>"C100012"</f>
        <v>C100012</v>
      </c>
      <c r="L1948" s="42" t="str">
        <f>IF($J1948="Customer",_xll.NL("first",$J1948,"Name","No.","@@"&amp;$K1948),"")</f>
        <v>Bainbridges</v>
      </c>
      <c r="M1948" s="42" t="str">
        <f>""</f>
        <v/>
      </c>
      <c r="N1948" s="42" t="str">
        <f>IF($J1948="Item",_xll.NL("first",$J1948,"Description","No.","@@"&amp;$K1948),"")</f>
        <v/>
      </c>
      <c r="O1948" s="43">
        <v>0</v>
      </c>
      <c r="P1948" s="43">
        <v>-144</v>
      </c>
      <c r="Q1948" s="43">
        <v>0</v>
      </c>
      <c r="R1948" s="43">
        <v>0</v>
      </c>
      <c r="S1948" s="43">
        <v>0</v>
      </c>
      <c r="T1948" s="43">
        <v>0</v>
      </c>
      <c r="U1948" s="56"/>
    </row>
    <row r="1949" spans="1:21" ht="17.25" customHeight="1" x14ac:dyDescent="0.3">
      <c r="A1949" s="15" t="s">
        <v>30</v>
      </c>
      <c r="C1949" s="19"/>
      <c r="D1949" s="33" t="str">
        <f t="shared" si="476"/>
        <v>S100019</v>
      </c>
      <c r="E1949" s="33"/>
      <c r="F1949" s="34"/>
      <c r="G1949" s="34" t="str">
        <f>"""NAV Direct"",""CRONUS JetCorp USA"",""32"",""1"",""124591"""</f>
        <v>"NAV Direct","CRONUS JetCorp USA","32","1","124591"</v>
      </c>
      <c r="H1949" s="40">
        <v>43475</v>
      </c>
      <c r="I1949" s="41">
        <v>124591</v>
      </c>
      <c r="J1949" s="42" t="str">
        <f>"Customer"</f>
        <v>Customer</v>
      </c>
      <c r="K1949" s="42" t="str">
        <f>"C100035"</f>
        <v>C100035</v>
      </c>
      <c r="L1949" s="42" t="str">
        <f>IF($J1949="Customer",_xll.NL("first",$J1949,"Name","No.","@@"&amp;$K1949),"")</f>
        <v>First Touch Marketing</v>
      </c>
      <c r="M1949" s="42" t="str">
        <f>""</f>
        <v/>
      </c>
      <c r="N1949" s="42" t="str">
        <f>IF($J1949="Item",_xll.NL("first",$J1949,"Description","No.","@@"&amp;$K1949),"")</f>
        <v/>
      </c>
      <c r="O1949" s="43">
        <v>0</v>
      </c>
      <c r="P1949" s="43">
        <v>-144</v>
      </c>
      <c r="Q1949" s="43">
        <v>0</v>
      </c>
      <c r="R1949" s="43">
        <v>0</v>
      </c>
      <c r="S1949" s="43">
        <v>0</v>
      </c>
      <c r="T1949" s="43">
        <v>0</v>
      </c>
      <c r="U1949" s="56"/>
    </row>
    <row r="1950" spans="1:21" ht="17.25" customHeight="1" x14ac:dyDescent="0.3">
      <c r="A1950" s="15" t="s">
        <v>30</v>
      </c>
      <c r="C1950" s="19"/>
      <c r="D1950" s="33" t="str">
        <f t="shared" si="476"/>
        <v>S100019</v>
      </c>
      <c r="E1950" s="33"/>
      <c r="F1950" s="34"/>
      <c r="G1950" s="34" t="str">
        <f>"""NAV Direct"",""CRONUS JetCorp USA"",""32"",""1"",""25289"""</f>
        <v>"NAV Direct","CRONUS JetCorp USA","32","1","25289"</v>
      </c>
      <c r="H1950" s="40">
        <v>43477</v>
      </c>
      <c r="I1950" s="41">
        <v>25289</v>
      </c>
      <c r="J1950" s="42" t="str">
        <f>"Customer"</f>
        <v>Customer</v>
      </c>
      <c r="K1950" s="42" t="str">
        <f>"C100138"</f>
        <v>C100138</v>
      </c>
      <c r="L1950" s="42" t="str">
        <f>IF($J1950="Customer",_xll.NL("first",$J1950,"Name","No.","@@"&amp;$K1950),"")</f>
        <v>Dantons</v>
      </c>
      <c r="M1950" s="42" t="str">
        <f>""</f>
        <v/>
      </c>
      <c r="N1950" s="42" t="str">
        <f>IF($J1950="Item",_xll.NL("first",$J1950,"Description","No.","@@"&amp;$K1950),"")</f>
        <v/>
      </c>
      <c r="O1950" s="43">
        <v>0</v>
      </c>
      <c r="P1950" s="43">
        <v>-144</v>
      </c>
      <c r="Q1950" s="43">
        <v>0</v>
      </c>
      <c r="R1950" s="43">
        <v>0</v>
      </c>
      <c r="S1950" s="43">
        <v>0</v>
      </c>
      <c r="T1950" s="43">
        <v>0</v>
      </c>
      <c r="U1950" s="56"/>
    </row>
    <row r="1951" spans="1:21" ht="17.25" customHeight="1" x14ac:dyDescent="0.3">
      <c r="A1951" s="15" t="s">
        <v>30</v>
      </c>
      <c r="C1951" s="19"/>
      <c r="D1951" s="33" t="str">
        <f t="shared" si="476"/>
        <v>S100019</v>
      </c>
      <c r="E1951" s="33"/>
      <c r="F1951" s="34"/>
      <c r="G1951" s="34" t="str">
        <f>"""NAV Direct"",""CRONUS JetCorp USA"",""32"",""1"",""132524"""</f>
        <v>"NAV Direct","CRONUS JetCorp USA","32","1","132524"</v>
      </c>
      <c r="H1951" s="40">
        <v>43477</v>
      </c>
      <c r="I1951" s="41">
        <v>132524</v>
      </c>
      <c r="J1951" s="42" t="str">
        <f>"Customer"</f>
        <v>Customer</v>
      </c>
      <c r="K1951" s="42" t="str">
        <f>"C100082"</f>
        <v>C100082</v>
      </c>
      <c r="L1951" s="42" t="str">
        <f>IF($J1951="Customer",_xll.NL("first",$J1951,"Name","No.","@@"&amp;$K1951),"")</f>
        <v>Sporting Goods Emporium</v>
      </c>
      <c r="M1951" s="42" t="str">
        <f>""</f>
        <v/>
      </c>
      <c r="N1951" s="42" t="str">
        <f>IF($J1951="Item",_xll.NL("first",$J1951,"Description","No.","@@"&amp;$K1951),"")</f>
        <v/>
      </c>
      <c r="O1951" s="43">
        <v>0</v>
      </c>
      <c r="P1951" s="43">
        <v>-144</v>
      </c>
      <c r="Q1951" s="43">
        <v>0</v>
      </c>
      <c r="R1951" s="43">
        <v>0</v>
      </c>
      <c r="S1951" s="43">
        <v>0</v>
      </c>
      <c r="T1951" s="43">
        <v>0</v>
      </c>
      <c r="U1951" s="56"/>
    </row>
    <row r="1952" spans="1:21" ht="17.25" customHeight="1" x14ac:dyDescent="0.3">
      <c r="A1952" s="15" t="s">
        <v>30</v>
      </c>
      <c r="C1952" s="19"/>
      <c r="D1952" s="33"/>
      <c r="E1952" s="33"/>
      <c r="F1952" s="34"/>
      <c r="G1952" s="34"/>
      <c r="H1952" s="34"/>
      <c r="I1952" s="34"/>
      <c r="J1952" s="34"/>
      <c r="K1952" s="34"/>
      <c r="L1952" s="34"/>
      <c r="M1952" s="34"/>
      <c r="N1952" s="34"/>
      <c r="O1952" s="44"/>
      <c r="P1952" s="44"/>
      <c r="Q1952" s="44"/>
      <c r="R1952" s="44"/>
      <c r="S1952" s="44"/>
      <c r="T1952" s="44"/>
      <c r="U1952" s="57"/>
    </row>
    <row r="1953" spans="1:21" ht="17.25" customHeight="1" x14ac:dyDescent="0.3">
      <c r="A1953" s="15" t="s">
        <v>30</v>
      </c>
      <c r="C1953" s="19"/>
      <c r="D1953" s="33"/>
      <c r="E1953" s="33" t="s">
        <v>31</v>
      </c>
      <c r="F1953" s="34" t="s">
        <v>31</v>
      </c>
      <c r="G1953" s="34" t="s">
        <v>31</v>
      </c>
      <c r="H1953" s="34"/>
      <c r="I1953" s="34"/>
      <c r="J1953" s="34" t="s">
        <v>31</v>
      </c>
      <c r="K1953" s="34" t="s">
        <v>31</v>
      </c>
      <c r="L1953" s="34" t="s">
        <v>31</v>
      </c>
      <c r="M1953" s="34" t="s">
        <v>31</v>
      </c>
      <c r="N1953" s="34"/>
      <c r="U1953" s="58"/>
    </row>
    <row r="1954" spans="1:21" ht="20.25" customHeight="1" x14ac:dyDescent="0.35">
      <c r="A1954" s="15" t="s">
        <v>30</v>
      </c>
      <c r="C1954" s="19"/>
      <c r="D1954" s="35" t="str">
        <f t="shared" ref="D1954" si="477">E1954</f>
        <v>S100020</v>
      </c>
      <c r="E1954" s="36" t="str">
        <f>"S100020"</f>
        <v>S100020</v>
      </c>
      <c r="F1954" s="37" t="str">
        <f>"Super Sport Stopwatch"</f>
        <v>Super Sport Stopwatch</v>
      </c>
      <c r="G1954" s="37"/>
      <c r="H1954" s="38" t="str">
        <f>"EA"</f>
        <v>EA</v>
      </c>
      <c r="I1954" s="37"/>
      <c r="J1954" s="37"/>
      <c r="K1954" s="37"/>
      <c r="L1954" s="37"/>
      <c r="M1954" s="37"/>
      <c r="N1954" s="37"/>
      <c r="O1954" s="39">
        <f>(SUBTOTAL(9,O1955:O1981))</f>
        <v>8400</v>
      </c>
      <c r="P1954" s="39">
        <f>(SUBTOTAL(9,P1955:P1981))</f>
        <v>-2758</v>
      </c>
      <c r="Q1954" s="39">
        <f>(SUBTOTAL(9,Q1955:Q1981))</f>
        <v>0</v>
      </c>
      <c r="R1954" s="39">
        <f>(SUBTOTAL(9,R1955:R1981))</f>
        <v>0</v>
      </c>
      <c r="S1954" s="39">
        <f>(SUBTOTAL(9,S1955:S1981))</f>
        <v>0</v>
      </c>
      <c r="T1954" s="39">
        <f>(SUBTOTAL(9,T1955:T1981))</f>
        <v>0</v>
      </c>
      <c r="U1954" s="55">
        <f t="shared" ref="U1954" si="478">SUBTOTAL(9,O1955:T1981)</f>
        <v>5642</v>
      </c>
    </row>
    <row r="1955" spans="1:21" ht="17.25" customHeight="1" x14ac:dyDescent="0.3">
      <c r="A1955" s="15" t="s">
        <v>30</v>
      </c>
      <c r="C1955" s="19"/>
      <c r="D1955" s="33" t="str">
        <f t="shared" ref="D1955" si="479">D1954</f>
        <v>S100020</v>
      </c>
      <c r="E1955" s="33"/>
      <c r="F1955" s="34"/>
      <c r="G1955" s="34" t="str">
        <f>"""NAV Direct"",""CRONUS JetCorp USA"",""32"",""1"",""132505"""</f>
        <v>"NAV Direct","CRONUS JetCorp USA","32","1","132505"</v>
      </c>
      <c r="H1955" s="40">
        <v>43466</v>
      </c>
      <c r="I1955" s="41">
        <v>132505</v>
      </c>
      <c r="J1955" s="42" t="str">
        <f>"Customer"</f>
        <v>Customer</v>
      </c>
      <c r="K1955" s="42" t="str">
        <f>"C100040"</f>
        <v>C100040</v>
      </c>
      <c r="L1955" s="42" t="str">
        <f>IF($J1955="Customer",_xll.NL("first",$J1955,"Name","No.","@@"&amp;$K1955),"")</f>
        <v>Guildford Water Department</v>
      </c>
      <c r="M1955" s="42" t="str">
        <f>""</f>
        <v/>
      </c>
      <c r="N1955" s="42" t="str">
        <f>IF($J1955="Item",_xll.NL("first",$J1955,"Description","No.","@@"&amp;$K1955),"")</f>
        <v/>
      </c>
      <c r="O1955" s="43">
        <v>0</v>
      </c>
      <c r="P1955" s="43">
        <v>-12</v>
      </c>
      <c r="Q1955" s="43">
        <v>0</v>
      </c>
      <c r="R1955" s="43">
        <v>0</v>
      </c>
      <c r="S1955" s="43">
        <v>0</v>
      </c>
      <c r="T1955" s="43">
        <v>0</v>
      </c>
      <c r="U1955" s="56"/>
    </row>
    <row r="1956" spans="1:21" ht="17.25" customHeight="1" x14ac:dyDescent="0.3">
      <c r="A1956" s="15" t="s">
        <v>30</v>
      </c>
      <c r="C1956" s="19"/>
      <c r="D1956" s="33" t="str">
        <f t="shared" ref="D1956:D1980" si="480">D1955</f>
        <v>S100020</v>
      </c>
      <c r="E1956" s="33"/>
      <c r="F1956" s="34"/>
      <c r="G1956" s="34" t="str">
        <f>"""NAV Direct"",""CRONUS JetCorp USA"",""32"",""1"",""167508"""</f>
        <v>"NAV Direct","CRONUS JetCorp USA","32","1","167508"</v>
      </c>
      <c r="H1956" s="40">
        <v>43466</v>
      </c>
      <c r="I1956" s="41">
        <v>167508</v>
      </c>
      <c r="J1956" s="42" t="str">
        <f>"Vendor"</f>
        <v>Vendor</v>
      </c>
      <c r="K1956" s="42" t="str">
        <f>"V100009"</f>
        <v>V100009</v>
      </c>
      <c r="L1956" s="42" t="str">
        <f>IF($J1956="Customer",_xll.NL("first",$J1956,"Name","No.","@@"&amp;$K1956),"")</f>
        <v/>
      </c>
      <c r="M1956" s="42" t="str">
        <f>"Malay-Dan Export Unit Sdn Bhd"</f>
        <v>Malay-Dan Export Unit Sdn Bhd</v>
      </c>
      <c r="N1956" s="42" t="str">
        <f>IF($J1956="Item",_xll.NL("first",$J1956,"Description","No.","@@"&amp;$K1956),"")</f>
        <v/>
      </c>
      <c r="O1956" s="43">
        <v>400</v>
      </c>
      <c r="P1956" s="43">
        <v>0</v>
      </c>
      <c r="Q1956" s="43">
        <v>0</v>
      </c>
      <c r="R1956" s="43">
        <v>0</v>
      </c>
      <c r="S1956" s="43">
        <v>0</v>
      </c>
      <c r="T1956" s="43">
        <v>0</v>
      </c>
      <c r="U1956" s="56"/>
    </row>
    <row r="1957" spans="1:21" ht="17.25" customHeight="1" x14ac:dyDescent="0.3">
      <c r="A1957" s="15" t="s">
        <v>30</v>
      </c>
      <c r="C1957" s="19"/>
      <c r="D1957" s="33" t="str">
        <f t="shared" si="480"/>
        <v>S100020</v>
      </c>
      <c r="E1957" s="33"/>
      <c r="F1957" s="34"/>
      <c r="G1957" s="34" t="str">
        <f>"""NAV Direct"",""CRONUS JetCorp USA"",""32"",""1"",""167525"""</f>
        <v>"NAV Direct","CRONUS JetCorp USA","32","1","167525"</v>
      </c>
      <c r="H1957" s="40">
        <v>43466</v>
      </c>
      <c r="I1957" s="41">
        <v>167525</v>
      </c>
      <c r="J1957" s="42" t="str">
        <f>"Vendor"</f>
        <v>Vendor</v>
      </c>
      <c r="K1957" s="42" t="str">
        <f>"V100040"</f>
        <v>V100040</v>
      </c>
      <c r="L1957" s="42" t="str">
        <f>IF($J1957="Customer",_xll.NL("first",$J1957,"Name","No.","@@"&amp;$K1957),"")</f>
        <v/>
      </c>
      <c r="M1957" s="42" t="str">
        <f>"Technische Betriebe Rotkreuz"</f>
        <v>Technische Betriebe Rotkreuz</v>
      </c>
      <c r="N1957" s="42" t="str">
        <f>IF($J1957="Item",_xll.NL("first",$J1957,"Description","No.","@@"&amp;$K1957),"")</f>
        <v/>
      </c>
      <c r="O1957" s="43">
        <v>999.99999999999989</v>
      </c>
      <c r="P1957" s="43">
        <v>0</v>
      </c>
      <c r="Q1957" s="43">
        <v>0</v>
      </c>
      <c r="R1957" s="43">
        <v>0</v>
      </c>
      <c r="S1957" s="43">
        <v>0</v>
      </c>
      <c r="T1957" s="43">
        <v>0</v>
      </c>
      <c r="U1957" s="56"/>
    </row>
    <row r="1958" spans="1:21" ht="17.25" customHeight="1" x14ac:dyDescent="0.3">
      <c r="A1958" s="15" t="s">
        <v>30</v>
      </c>
      <c r="C1958" s="19"/>
      <c r="D1958" s="33" t="str">
        <f t="shared" si="480"/>
        <v>S100020</v>
      </c>
      <c r="E1958" s="33"/>
      <c r="F1958" s="34"/>
      <c r="G1958" s="34" t="str">
        <f>"""NAV Direct"",""CRONUS JetCorp USA"",""32"",""1"",""167542"""</f>
        <v>"NAV Direct","CRONUS JetCorp USA","32","1","167542"</v>
      </c>
      <c r="H1958" s="40">
        <v>43466</v>
      </c>
      <c r="I1958" s="41">
        <v>167542</v>
      </c>
      <c r="J1958" s="42" t="str">
        <f>"Vendor"</f>
        <v>Vendor</v>
      </c>
      <c r="K1958" s="42" t="str">
        <f>"V100001"</f>
        <v>V100001</v>
      </c>
      <c r="L1958" s="42" t="str">
        <f>IF($J1958="Customer",_xll.NL("first",$J1958,"Name","No.","@@"&amp;$K1958),"")</f>
        <v/>
      </c>
      <c r="M1958" s="42" t="str">
        <f>"Greigner, Inc."</f>
        <v>Greigner, Inc.</v>
      </c>
      <c r="N1958" s="42" t="str">
        <f>IF($J1958="Item",_xll.NL("first",$J1958,"Description","No.","@@"&amp;$K1958),"")</f>
        <v/>
      </c>
      <c r="O1958" s="43">
        <v>200</v>
      </c>
      <c r="P1958" s="43">
        <v>0</v>
      </c>
      <c r="Q1958" s="43">
        <v>0</v>
      </c>
      <c r="R1958" s="43">
        <v>0</v>
      </c>
      <c r="S1958" s="43">
        <v>0</v>
      </c>
      <c r="T1958" s="43">
        <v>0</v>
      </c>
      <c r="U1958" s="56"/>
    </row>
    <row r="1959" spans="1:21" ht="17.25" customHeight="1" x14ac:dyDescent="0.3">
      <c r="A1959" s="15" t="s">
        <v>30</v>
      </c>
      <c r="C1959" s="19"/>
      <c r="D1959" s="33" t="str">
        <f t="shared" si="480"/>
        <v>S100020</v>
      </c>
      <c r="E1959" s="33"/>
      <c r="F1959" s="34"/>
      <c r="G1959" s="34" t="str">
        <f>"""NAV Direct"",""CRONUS JetCorp USA"",""32"",""1"",""167550"""</f>
        <v>"NAV Direct","CRONUS JetCorp USA","32","1","167550"</v>
      </c>
      <c r="H1959" s="40">
        <v>43466</v>
      </c>
      <c r="I1959" s="41">
        <v>167550</v>
      </c>
      <c r="J1959" s="42" t="str">
        <f>"Vendor"</f>
        <v>Vendor</v>
      </c>
      <c r="K1959" s="42" t="str">
        <f>"V100007"</f>
        <v>V100007</v>
      </c>
      <c r="L1959" s="42" t="str">
        <f>IF($J1959="Customer",_xll.NL("first",$J1959,"Name","No.","@@"&amp;$K1959),"")</f>
        <v/>
      </c>
      <c r="M1959" s="42" t="str">
        <f>"TrendTech"</f>
        <v>TrendTech</v>
      </c>
      <c r="N1959" s="42" t="str">
        <f>IF($J1959="Item",_xll.NL("first",$J1959,"Description","No.","@@"&amp;$K1959),"")</f>
        <v/>
      </c>
      <c r="O1959" s="43">
        <v>600</v>
      </c>
      <c r="P1959" s="43">
        <v>0</v>
      </c>
      <c r="Q1959" s="43">
        <v>0</v>
      </c>
      <c r="R1959" s="43">
        <v>0</v>
      </c>
      <c r="S1959" s="43">
        <v>0</v>
      </c>
      <c r="T1959" s="43">
        <v>0</v>
      </c>
      <c r="U1959" s="56"/>
    </row>
    <row r="1960" spans="1:21" ht="17.25" customHeight="1" x14ac:dyDescent="0.3">
      <c r="A1960" s="15" t="s">
        <v>30</v>
      </c>
      <c r="C1960" s="19"/>
      <c r="D1960" s="33" t="str">
        <f t="shared" si="480"/>
        <v>S100020</v>
      </c>
      <c r="E1960" s="33"/>
      <c r="F1960" s="34"/>
      <c r="G1960" s="34" t="str">
        <f>"""NAV Direct"",""CRONUS JetCorp USA"",""32"",""1"",""167570"""</f>
        <v>"NAV Direct","CRONUS JetCorp USA","32","1","167570"</v>
      </c>
      <c r="H1960" s="40">
        <v>43466</v>
      </c>
      <c r="I1960" s="41">
        <v>167570</v>
      </c>
      <c r="J1960" s="42" t="str">
        <f>"Vendor"</f>
        <v>Vendor</v>
      </c>
      <c r="K1960" s="42" t="str">
        <f>"V100001"</f>
        <v>V100001</v>
      </c>
      <c r="L1960" s="42" t="str">
        <f>IF($J1960="Customer",_xll.NL("first",$J1960,"Name","No.","@@"&amp;$K1960),"")</f>
        <v/>
      </c>
      <c r="M1960" s="42" t="str">
        <f>"Greigner, Inc."</f>
        <v>Greigner, Inc.</v>
      </c>
      <c r="N1960" s="42" t="str">
        <f>IF($J1960="Item",_xll.NL("first",$J1960,"Description","No.","@@"&amp;$K1960),"")</f>
        <v/>
      </c>
      <c r="O1960" s="43">
        <v>3600</v>
      </c>
      <c r="P1960" s="43">
        <v>0</v>
      </c>
      <c r="Q1960" s="43">
        <v>0</v>
      </c>
      <c r="R1960" s="43">
        <v>0</v>
      </c>
      <c r="S1960" s="43">
        <v>0</v>
      </c>
      <c r="T1960" s="43">
        <v>0</v>
      </c>
      <c r="U1960" s="56"/>
    </row>
    <row r="1961" spans="1:21" ht="17.25" customHeight="1" x14ac:dyDescent="0.3">
      <c r="A1961" s="15" t="s">
        <v>30</v>
      </c>
      <c r="C1961" s="19"/>
      <c r="D1961" s="33" t="str">
        <f t="shared" si="480"/>
        <v>S100020</v>
      </c>
      <c r="E1961" s="33"/>
      <c r="F1961" s="34"/>
      <c r="G1961" s="34" t="str">
        <f>"""NAV Direct"",""CRONUS JetCorp USA"",""32"",""1"",""167588"""</f>
        <v>"NAV Direct","CRONUS JetCorp USA","32","1","167588"</v>
      </c>
      <c r="H1961" s="40">
        <v>43466</v>
      </c>
      <c r="I1961" s="41">
        <v>167588</v>
      </c>
      <c r="J1961" s="42" t="str">
        <f>"Vendor"</f>
        <v>Vendor</v>
      </c>
      <c r="K1961" s="42" t="str">
        <f>"V100047"</f>
        <v>V100047</v>
      </c>
      <c r="L1961" s="42" t="str">
        <f>IF($J1961="Customer",_xll.NL("first",$J1961,"Name","No.","@@"&amp;$K1961),"")</f>
        <v/>
      </c>
      <c r="M1961" s="42" t="str">
        <f>"WoodMart Supply Co."</f>
        <v>WoodMart Supply Co.</v>
      </c>
      <c r="N1961" s="42" t="str">
        <f>IF($J1961="Item",_xll.NL("first",$J1961,"Description","No.","@@"&amp;$K1961),"")</f>
        <v/>
      </c>
      <c r="O1961" s="43">
        <v>200</v>
      </c>
      <c r="P1961" s="43">
        <v>0</v>
      </c>
      <c r="Q1961" s="43">
        <v>0</v>
      </c>
      <c r="R1961" s="43">
        <v>0</v>
      </c>
      <c r="S1961" s="43">
        <v>0</v>
      </c>
      <c r="T1961" s="43">
        <v>0</v>
      </c>
      <c r="U1961" s="56"/>
    </row>
    <row r="1962" spans="1:21" ht="17.25" customHeight="1" x14ac:dyDescent="0.3">
      <c r="A1962" s="15" t="s">
        <v>30</v>
      </c>
      <c r="C1962" s="19"/>
      <c r="D1962" s="33" t="str">
        <f t="shared" si="480"/>
        <v>S100020</v>
      </c>
      <c r="E1962" s="33"/>
      <c r="F1962" s="34"/>
      <c r="G1962" s="34" t="str">
        <f>"""NAV Direct"",""CRONUS JetCorp USA"",""32"",""1"",""167598"""</f>
        <v>"NAV Direct","CRONUS JetCorp USA","32","1","167598"</v>
      </c>
      <c r="H1962" s="40">
        <v>43466</v>
      </c>
      <c r="I1962" s="41">
        <v>167598</v>
      </c>
      <c r="J1962" s="42" t="str">
        <f>"Vendor"</f>
        <v>Vendor</v>
      </c>
      <c r="K1962" s="42" t="str">
        <f>"V100003"</f>
        <v>V100003</v>
      </c>
      <c r="L1962" s="42" t="str">
        <f>IF($J1962="Customer",_xll.NL("first",$J1962,"Name","No.","@@"&amp;$K1962),"")</f>
        <v/>
      </c>
      <c r="M1962" s="42" t="str">
        <f>"LogoMasters"</f>
        <v>LogoMasters</v>
      </c>
      <c r="N1962" s="42" t="str">
        <f>IF($J1962="Item",_xll.NL("first",$J1962,"Description","No.","@@"&amp;$K1962),"")</f>
        <v/>
      </c>
      <c r="O1962" s="43">
        <v>1800</v>
      </c>
      <c r="P1962" s="43">
        <v>0</v>
      </c>
      <c r="Q1962" s="43">
        <v>0</v>
      </c>
      <c r="R1962" s="43">
        <v>0</v>
      </c>
      <c r="S1962" s="43">
        <v>0</v>
      </c>
      <c r="T1962" s="43">
        <v>0</v>
      </c>
      <c r="U1962" s="56"/>
    </row>
    <row r="1963" spans="1:21" ht="17.25" customHeight="1" x14ac:dyDescent="0.3">
      <c r="A1963" s="15" t="s">
        <v>30</v>
      </c>
      <c r="C1963" s="19"/>
      <c r="D1963" s="33" t="str">
        <f t="shared" si="480"/>
        <v>S100020</v>
      </c>
      <c r="E1963" s="33"/>
      <c r="F1963" s="34"/>
      <c r="G1963" s="34" t="str">
        <f>"""NAV Direct"",""CRONUS JetCorp USA"",""32"",""1"",""167618"""</f>
        <v>"NAV Direct","CRONUS JetCorp USA","32","1","167618"</v>
      </c>
      <c r="H1963" s="40">
        <v>43466</v>
      </c>
      <c r="I1963" s="41">
        <v>167618</v>
      </c>
      <c r="J1963" s="42" t="str">
        <f>"Vendor"</f>
        <v>Vendor</v>
      </c>
      <c r="K1963" s="42" t="str">
        <f>"V100001"</f>
        <v>V100001</v>
      </c>
      <c r="L1963" s="42" t="str">
        <f>IF($J1963="Customer",_xll.NL("first",$J1963,"Name","No.","@@"&amp;$K1963),"")</f>
        <v/>
      </c>
      <c r="M1963" s="42" t="str">
        <f>"Greigner, Inc."</f>
        <v>Greigner, Inc.</v>
      </c>
      <c r="N1963" s="42" t="str">
        <f>IF($J1963="Item",_xll.NL("first",$J1963,"Description","No.","@@"&amp;$K1963),"")</f>
        <v/>
      </c>
      <c r="O1963" s="43">
        <v>600</v>
      </c>
      <c r="P1963" s="43">
        <v>0</v>
      </c>
      <c r="Q1963" s="43">
        <v>0</v>
      </c>
      <c r="R1963" s="43">
        <v>0</v>
      </c>
      <c r="S1963" s="43">
        <v>0</v>
      </c>
      <c r="T1963" s="43">
        <v>0</v>
      </c>
      <c r="U1963" s="56"/>
    </row>
    <row r="1964" spans="1:21" ht="17.25" customHeight="1" x14ac:dyDescent="0.3">
      <c r="A1964" s="15" t="s">
        <v>30</v>
      </c>
      <c r="C1964" s="19"/>
      <c r="D1964" s="33" t="str">
        <f t="shared" si="480"/>
        <v>S100020</v>
      </c>
      <c r="E1964" s="33"/>
      <c r="F1964" s="34"/>
      <c r="G1964" s="34" t="str">
        <f>"""NAV Direct"",""CRONUS JetCorp USA"",""32"",""1"",""20373"""</f>
        <v>"NAV Direct","CRONUS JetCorp USA","32","1","20373"</v>
      </c>
      <c r="H1964" s="40">
        <v>43468</v>
      </c>
      <c r="I1964" s="41">
        <v>20373</v>
      </c>
      <c r="J1964" s="42" t="str">
        <f>"Customer"</f>
        <v>Customer</v>
      </c>
      <c r="K1964" s="42" t="str">
        <f>"C100145"</f>
        <v>C100145</v>
      </c>
      <c r="L1964" s="42" t="str">
        <f>IF($J1964="Customer",_xll.NL("first",$J1964,"Name","No.","@@"&amp;$K1964),"")</f>
        <v>Dicon Industries</v>
      </c>
      <c r="M1964" s="42" t="str">
        <f>""</f>
        <v/>
      </c>
      <c r="N1964" s="42" t="str">
        <f>IF($J1964="Item",_xll.NL("first",$J1964,"Description","No.","@@"&amp;$K1964),"")</f>
        <v/>
      </c>
      <c r="O1964" s="43">
        <v>0</v>
      </c>
      <c r="P1964" s="43">
        <v>-144</v>
      </c>
      <c r="Q1964" s="43">
        <v>0</v>
      </c>
      <c r="R1964" s="43">
        <v>0</v>
      </c>
      <c r="S1964" s="43">
        <v>0</v>
      </c>
      <c r="T1964" s="43">
        <v>0</v>
      </c>
      <c r="U1964" s="56"/>
    </row>
    <row r="1965" spans="1:21" ht="17.25" customHeight="1" x14ac:dyDescent="0.3">
      <c r="A1965" s="15" t="s">
        <v>30</v>
      </c>
      <c r="C1965" s="19"/>
      <c r="D1965" s="33" t="str">
        <f t="shared" si="480"/>
        <v>S100020</v>
      </c>
      <c r="E1965" s="33"/>
      <c r="F1965" s="34"/>
      <c r="G1965" s="34" t="str">
        <f>"""NAV Direct"",""CRONUS JetCorp USA"",""32"",""1"",""124516"""</f>
        <v>"NAV Direct","CRONUS JetCorp USA","32","1","124516"</v>
      </c>
      <c r="H1965" s="40">
        <v>43470</v>
      </c>
      <c r="I1965" s="41">
        <v>124516</v>
      </c>
      <c r="J1965" s="42" t="str">
        <f>"Customer"</f>
        <v>Customer</v>
      </c>
      <c r="K1965" s="42" t="str">
        <f>"C100025"</f>
        <v>C100025</v>
      </c>
      <c r="L1965" s="42" t="str">
        <f>IF($J1965="Customer",_xll.NL("first",$J1965,"Name","No.","@@"&amp;$K1965),"")</f>
        <v>Derringers Resturants</v>
      </c>
      <c r="M1965" s="42" t="str">
        <f>""</f>
        <v/>
      </c>
      <c r="N1965" s="42" t="str">
        <f>IF($J1965="Item",_xll.NL("first",$J1965,"Description","No.","@@"&amp;$K1965),"")</f>
        <v/>
      </c>
      <c r="O1965" s="43">
        <v>0</v>
      </c>
      <c r="P1965" s="43">
        <v>-144</v>
      </c>
      <c r="Q1965" s="43">
        <v>0</v>
      </c>
      <c r="R1965" s="43">
        <v>0</v>
      </c>
      <c r="S1965" s="43">
        <v>0</v>
      </c>
      <c r="T1965" s="43">
        <v>0</v>
      </c>
      <c r="U1965" s="56"/>
    </row>
    <row r="1966" spans="1:21" ht="17.25" customHeight="1" x14ac:dyDescent="0.3">
      <c r="A1966" s="15" t="s">
        <v>30</v>
      </c>
      <c r="C1966" s="19"/>
      <c r="D1966" s="33" t="str">
        <f t="shared" si="480"/>
        <v>S100020</v>
      </c>
      <c r="E1966" s="33"/>
      <c r="F1966" s="34"/>
      <c r="G1966" s="34" t="str">
        <f>"""NAV Direct"",""CRONUS JetCorp USA"",""32"",""1"",""132514"""</f>
        <v>"NAV Direct","CRONUS JetCorp USA","32","1","132514"</v>
      </c>
      <c r="H1966" s="40">
        <v>43470</v>
      </c>
      <c r="I1966" s="41">
        <v>132514</v>
      </c>
      <c r="J1966" s="42" t="str">
        <f>"Customer"</f>
        <v>Customer</v>
      </c>
      <c r="K1966" s="42" t="str">
        <f>"C100029"</f>
        <v>C100029</v>
      </c>
      <c r="L1966" s="42" t="str">
        <f>IF($J1966="Customer",_xll.NL("first",$J1966,"Name","No.","@@"&amp;$K1966),"")</f>
        <v>Elkhorn Airport</v>
      </c>
      <c r="M1966" s="42" t="str">
        <f>""</f>
        <v/>
      </c>
      <c r="N1966" s="42" t="str">
        <f>IF($J1966="Item",_xll.NL("first",$J1966,"Description","No.","@@"&amp;$K1966),"")</f>
        <v/>
      </c>
      <c r="O1966" s="43">
        <v>0</v>
      </c>
      <c r="P1966" s="43">
        <v>-145</v>
      </c>
      <c r="Q1966" s="43">
        <v>0</v>
      </c>
      <c r="R1966" s="43">
        <v>0</v>
      </c>
      <c r="S1966" s="43">
        <v>0</v>
      </c>
      <c r="T1966" s="43">
        <v>0</v>
      </c>
      <c r="U1966" s="56"/>
    </row>
    <row r="1967" spans="1:21" ht="17.25" customHeight="1" x14ac:dyDescent="0.3">
      <c r="A1967" s="15" t="s">
        <v>30</v>
      </c>
      <c r="C1967" s="19"/>
      <c r="D1967" s="33" t="str">
        <f t="shared" si="480"/>
        <v>S100020</v>
      </c>
      <c r="E1967" s="33"/>
      <c r="F1967" s="34"/>
      <c r="G1967" s="34" t="str">
        <f>"""NAV Direct"",""CRONUS JetCorp USA"",""32"",""1"",""30038"""</f>
        <v>"NAV Direct","CRONUS JetCorp USA","32","1","30038"</v>
      </c>
      <c r="H1967" s="40">
        <v>43471</v>
      </c>
      <c r="I1967" s="41">
        <v>30038</v>
      </c>
      <c r="J1967" s="42" t="str">
        <f>"Customer"</f>
        <v>Customer</v>
      </c>
      <c r="K1967" s="42" t="str">
        <f>"C100012"</f>
        <v>C100012</v>
      </c>
      <c r="L1967" s="42" t="str">
        <f>IF($J1967="Customer",_xll.NL("first",$J1967,"Name","No.","@@"&amp;$K1967),"")</f>
        <v>Bainbridges</v>
      </c>
      <c r="M1967" s="42" t="str">
        <f>""</f>
        <v/>
      </c>
      <c r="N1967" s="42" t="str">
        <f>IF($J1967="Item",_xll.NL("first",$J1967,"Description","No.","@@"&amp;$K1967),"")</f>
        <v/>
      </c>
      <c r="O1967" s="43">
        <v>0</v>
      </c>
      <c r="P1967" s="43">
        <v>-150</v>
      </c>
      <c r="Q1967" s="43">
        <v>0</v>
      </c>
      <c r="R1967" s="43">
        <v>0</v>
      </c>
      <c r="S1967" s="43">
        <v>0</v>
      </c>
      <c r="T1967" s="43">
        <v>0</v>
      </c>
      <c r="U1967" s="56"/>
    </row>
    <row r="1968" spans="1:21" ht="17.25" customHeight="1" x14ac:dyDescent="0.3">
      <c r="A1968" s="15" t="s">
        <v>30</v>
      </c>
      <c r="C1968" s="19"/>
      <c r="D1968" s="33" t="str">
        <f t="shared" si="480"/>
        <v>S100020</v>
      </c>
      <c r="E1968" s="33"/>
      <c r="F1968" s="34"/>
      <c r="G1968" s="34" t="str">
        <f>"""NAV Direct"",""CRONUS JetCorp USA"",""32"",""1"",""72516"""</f>
        <v>"NAV Direct","CRONUS JetCorp USA","32","1","72516"</v>
      </c>
      <c r="H1968" s="40">
        <v>43471</v>
      </c>
      <c r="I1968" s="41">
        <v>72516</v>
      </c>
      <c r="J1968" s="42" t="str">
        <f>"Customer"</f>
        <v>Customer</v>
      </c>
      <c r="K1968" s="42" t="str">
        <f>"C100107"</f>
        <v>C100107</v>
      </c>
      <c r="L1968" s="42" t="str">
        <f>IF($J1968="Customer",_xll.NL("first",$J1968,"Name","No.","@@"&amp;$K1968),"")</f>
        <v>Lexitechnology</v>
      </c>
      <c r="M1968" s="42" t="str">
        <f>""</f>
        <v/>
      </c>
      <c r="N1968" s="42" t="str">
        <f>IF($J1968="Item",_xll.NL("first",$J1968,"Description","No.","@@"&amp;$K1968),"")</f>
        <v/>
      </c>
      <c r="O1968" s="43">
        <v>0</v>
      </c>
      <c r="P1968" s="43">
        <v>-144</v>
      </c>
      <c r="Q1968" s="43">
        <v>0</v>
      </c>
      <c r="R1968" s="43">
        <v>0</v>
      </c>
      <c r="S1968" s="43">
        <v>0</v>
      </c>
      <c r="T1968" s="43">
        <v>0</v>
      </c>
      <c r="U1968" s="56"/>
    </row>
    <row r="1969" spans="1:21" ht="17.25" customHeight="1" x14ac:dyDescent="0.3">
      <c r="A1969" s="15" t="s">
        <v>30</v>
      </c>
      <c r="C1969" s="19"/>
      <c r="D1969" s="33" t="str">
        <f t="shared" si="480"/>
        <v>S100020</v>
      </c>
      <c r="E1969" s="33"/>
      <c r="F1969" s="34"/>
      <c r="G1969" s="34" t="str">
        <f>"""NAV Direct"",""CRONUS JetCorp USA"",""32"",""1"",""128856"""</f>
        <v>"NAV Direct","CRONUS JetCorp USA","32","1","128856"</v>
      </c>
      <c r="H1969" s="40">
        <v>43471</v>
      </c>
      <c r="I1969" s="41">
        <v>128856</v>
      </c>
      <c r="J1969" s="42" t="str">
        <f>"Customer"</f>
        <v>Customer</v>
      </c>
      <c r="K1969" s="42" t="str">
        <f>"C100138"</f>
        <v>C100138</v>
      </c>
      <c r="L1969" s="42" t="str">
        <f>IF($J1969="Customer",_xll.NL("first",$J1969,"Name","No.","@@"&amp;$K1969),"")</f>
        <v>Dantons</v>
      </c>
      <c r="M1969" s="42" t="str">
        <f>""</f>
        <v/>
      </c>
      <c r="N1969" s="42" t="str">
        <f>IF($J1969="Item",_xll.NL("first",$J1969,"Description","No.","@@"&amp;$K1969),"")</f>
        <v/>
      </c>
      <c r="O1969" s="43">
        <v>0</v>
      </c>
      <c r="P1969" s="43">
        <v>-145</v>
      </c>
      <c r="Q1969" s="43">
        <v>0</v>
      </c>
      <c r="R1969" s="43">
        <v>0</v>
      </c>
      <c r="S1969" s="43">
        <v>0</v>
      </c>
      <c r="T1969" s="43">
        <v>0</v>
      </c>
      <c r="U1969" s="56"/>
    </row>
    <row r="1970" spans="1:21" ht="17.25" customHeight="1" x14ac:dyDescent="0.3">
      <c r="A1970" s="15" t="s">
        <v>30</v>
      </c>
      <c r="C1970" s="19"/>
      <c r="D1970" s="33" t="str">
        <f t="shared" si="480"/>
        <v>S100020</v>
      </c>
      <c r="E1970" s="33"/>
      <c r="F1970" s="34"/>
      <c r="G1970" s="34" t="str">
        <f>"""NAV Direct"",""CRONUS JetCorp USA"",""32"",""1"",""44463"""</f>
        <v>"NAV Direct","CRONUS JetCorp USA","32","1","44463"</v>
      </c>
      <c r="H1970" s="40">
        <v>43472</v>
      </c>
      <c r="I1970" s="41">
        <v>44463</v>
      </c>
      <c r="J1970" s="42" t="str">
        <f>"Customer"</f>
        <v>Customer</v>
      </c>
      <c r="K1970" s="42" t="str">
        <f>"C100141"</f>
        <v>C100141</v>
      </c>
      <c r="L1970" s="42" t="str">
        <f>IF($J1970="Customer",_xll.NL("first",$J1970,"Name","No.","@@"&amp;$K1970),"")</f>
        <v>Bargottis</v>
      </c>
      <c r="M1970" s="42" t="str">
        <f>""</f>
        <v/>
      </c>
      <c r="N1970" s="42" t="str">
        <f>IF($J1970="Item",_xll.NL("first",$J1970,"Description","No.","@@"&amp;$K1970),"")</f>
        <v/>
      </c>
      <c r="O1970" s="43">
        <v>0</v>
      </c>
      <c r="P1970" s="43">
        <v>-288</v>
      </c>
      <c r="Q1970" s="43">
        <v>0</v>
      </c>
      <c r="R1970" s="43">
        <v>0</v>
      </c>
      <c r="S1970" s="43">
        <v>0</v>
      </c>
      <c r="T1970" s="43">
        <v>0</v>
      </c>
      <c r="U1970" s="56"/>
    </row>
    <row r="1971" spans="1:21" ht="17.25" customHeight="1" x14ac:dyDescent="0.3">
      <c r="A1971" s="15" t="s">
        <v>30</v>
      </c>
      <c r="C1971" s="19"/>
      <c r="D1971" s="33" t="str">
        <f t="shared" si="480"/>
        <v>S100020</v>
      </c>
      <c r="E1971" s="33"/>
      <c r="F1971" s="34"/>
      <c r="G1971" s="34" t="str">
        <f>"""NAV Direct"",""CRONUS JetCorp USA"",""32"",""1"",""128874"""</f>
        <v>"NAV Direct","CRONUS JetCorp USA","32","1","128874"</v>
      </c>
      <c r="H1971" s="40">
        <v>43472</v>
      </c>
      <c r="I1971" s="41">
        <v>128874</v>
      </c>
      <c r="J1971" s="42" t="str">
        <f>"Customer"</f>
        <v>Customer</v>
      </c>
      <c r="K1971" s="42" t="str">
        <f>"C100105"</f>
        <v>C100105</v>
      </c>
      <c r="L1971" s="42" t="str">
        <f>IF($J1971="Customer",_xll.NL("first",$J1971,"Name","No.","@@"&amp;$K1971),"")</f>
        <v>Esystems</v>
      </c>
      <c r="M1971" s="42" t="str">
        <f>""</f>
        <v/>
      </c>
      <c r="N1971" s="42" t="str">
        <f>IF($J1971="Item",_xll.NL("first",$J1971,"Description","No.","@@"&amp;$K1971),"")</f>
        <v/>
      </c>
      <c r="O1971" s="43">
        <v>0</v>
      </c>
      <c r="P1971" s="43">
        <v>-288</v>
      </c>
      <c r="Q1971" s="43">
        <v>0</v>
      </c>
      <c r="R1971" s="43">
        <v>0</v>
      </c>
      <c r="S1971" s="43">
        <v>0</v>
      </c>
      <c r="T1971" s="43">
        <v>0</v>
      </c>
      <c r="U1971" s="56"/>
    </row>
    <row r="1972" spans="1:21" ht="17.25" customHeight="1" x14ac:dyDescent="0.3">
      <c r="A1972" s="15" t="s">
        <v>30</v>
      </c>
      <c r="C1972" s="19"/>
      <c r="D1972" s="33" t="str">
        <f t="shared" si="480"/>
        <v>S100020</v>
      </c>
      <c r="E1972" s="33"/>
      <c r="F1972" s="34"/>
      <c r="G1972" s="34" t="str">
        <f>"""NAV Direct"",""CRONUS JetCorp USA"",""32"",""1"",""142552"""</f>
        <v>"NAV Direct","CRONUS JetCorp USA","32","1","142552"</v>
      </c>
      <c r="H1972" s="40">
        <v>43472</v>
      </c>
      <c r="I1972" s="41">
        <v>142552</v>
      </c>
      <c r="J1972" s="42" t="str">
        <f>"Customer"</f>
        <v>Customer</v>
      </c>
      <c r="K1972" s="42" t="str">
        <f>"C100100"</f>
        <v>C100100</v>
      </c>
      <c r="L1972" s="42" t="str">
        <f>IF($J1972="Customer",_xll.NL("first",$J1972,"Name","No.","@@"&amp;$K1972),"")</f>
        <v>Keybase, Inc.</v>
      </c>
      <c r="M1972" s="42" t="str">
        <f>""</f>
        <v/>
      </c>
      <c r="N1972" s="42" t="str">
        <f>IF($J1972="Item",_xll.NL("first",$J1972,"Description","No.","@@"&amp;$K1972),"")</f>
        <v/>
      </c>
      <c r="O1972" s="43">
        <v>0</v>
      </c>
      <c r="P1972" s="43">
        <v>-144</v>
      </c>
      <c r="Q1972" s="43">
        <v>0</v>
      </c>
      <c r="R1972" s="43">
        <v>0</v>
      </c>
      <c r="S1972" s="43">
        <v>0</v>
      </c>
      <c r="T1972" s="43">
        <v>0</v>
      </c>
      <c r="U1972" s="56"/>
    </row>
    <row r="1973" spans="1:21" ht="17.25" customHeight="1" x14ac:dyDescent="0.3">
      <c r="A1973" s="15" t="s">
        <v>30</v>
      </c>
      <c r="C1973" s="19"/>
      <c r="D1973" s="33" t="str">
        <f t="shared" si="480"/>
        <v>S100020</v>
      </c>
      <c r="E1973" s="33"/>
      <c r="F1973" s="34"/>
      <c r="G1973" s="34" t="str">
        <f>"""NAV Direct"",""CRONUS JetCorp USA"",""32"",""1"",""20390"""</f>
        <v>"NAV Direct","CRONUS JetCorp USA","32","1","20390"</v>
      </c>
      <c r="H1973" s="40">
        <v>43473</v>
      </c>
      <c r="I1973" s="41">
        <v>20390</v>
      </c>
      <c r="J1973" s="42" t="str">
        <f>"Customer"</f>
        <v>Customer</v>
      </c>
      <c r="K1973" s="42" t="str">
        <f>"C100130"</f>
        <v>C100130</v>
      </c>
      <c r="L1973" s="42" t="str">
        <f>IF($J1973="Customer",_xll.NL("first",$J1973,"Name","No.","@@"&amp;$K1973),"")</f>
        <v>Hotspot Systems</v>
      </c>
      <c r="M1973" s="42" t="str">
        <f>""</f>
        <v/>
      </c>
      <c r="N1973" s="42" t="str">
        <f>IF($J1973="Item",_xll.NL("first",$J1973,"Description","No.","@@"&amp;$K1973),"")</f>
        <v/>
      </c>
      <c r="O1973" s="43">
        <v>0</v>
      </c>
      <c r="P1973" s="43">
        <v>-144</v>
      </c>
      <c r="Q1973" s="43">
        <v>0</v>
      </c>
      <c r="R1973" s="43">
        <v>0</v>
      </c>
      <c r="S1973" s="43">
        <v>0</v>
      </c>
      <c r="T1973" s="43">
        <v>0</v>
      </c>
      <c r="U1973" s="56"/>
    </row>
    <row r="1974" spans="1:21" ht="17.25" customHeight="1" x14ac:dyDescent="0.3">
      <c r="A1974" s="15" t="s">
        <v>30</v>
      </c>
      <c r="C1974" s="19"/>
      <c r="D1974" s="33" t="str">
        <f t="shared" si="480"/>
        <v>S100020</v>
      </c>
      <c r="E1974" s="33"/>
      <c r="F1974" s="34"/>
      <c r="G1974" s="34" t="str">
        <f>"""NAV Direct"",""CRONUS JetCorp USA"",""32"",""1"",""30050"""</f>
        <v>"NAV Direct","CRONUS JetCorp USA","32","1","30050"</v>
      </c>
      <c r="H1974" s="40">
        <v>43474</v>
      </c>
      <c r="I1974" s="41">
        <v>30050</v>
      </c>
      <c r="J1974" s="42" t="str">
        <f>"Customer"</f>
        <v>Customer</v>
      </c>
      <c r="K1974" s="42" t="str">
        <f>"C100086"</f>
        <v>C100086</v>
      </c>
      <c r="L1974" s="42" t="str">
        <f>IF($J1974="Customer",_xll.NL("first",$J1974,"Name","No.","@@"&amp;$K1974),"")</f>
        <v>Top Action Sports</v>
      </c>
      <c r="M1974" s="42" t="str">
        <f>""</f>
        <v/>
      </c>
      <c r="N1974" s="42" t="str">
        <f>IF($J1974="Item",_xll.NL("first",$J1974,"Description","No.","@@"&amp;$K1974),"")</f>
        <v/>
      </c>
      <c r="O1974" s="43">
        <v>0</v>
      </c>
      <c r="P1974" s="43">
        <v>-144</v>
      </c>
      <c r="Q1974" s="43">
        <v>0</v>
      </c>
      <c r="R1974" s="43">
        <v>0</v>
      </c>
      <c r="S1974" s="43">
        <v>0</v>
      </c>
      <c r="T1974" s="43">
        <v>0</v>
      </c>
      <c r="U1974" s="56"/>
    </row>
    <row r="1975" spans="1:21" ht="17.25" customHeight="1" x14ac:dyDescent="0.3">
      <c r="A1975" s="15" t="s">
        <v>30</v>
      </c>
      <c r="C1975" s="19"/>
      <c r="D1975" s="33" t="str">
        <f t="shared" si="480"/>
        <v>S100020</v>
      </c>
      <c r="E1975" s="33"/>
      <c r="F1975" s="34"/>
      <c r="G1975" s="34" t="str">
        <f>"""NAV Direct"",""CRONUS JetCorp USA"",""32"",""1"",""30062"""</f>
        <v>"NAV Direct","CRONUS JetCorp USA","32","1","30062"</v>
      </c>
      <c r="H1975" s="40">
        <v>43474</v>
      </c>
      <c r="I1975" s="41">
        <v>30062</v>
      </c>
      <c r="J1975" s="42" t="str">
        <f>"Customer"</f>
        <v>Customer</v>
      </c>
      <c r="K1975" s="42" t="str">
        <f>"C100086"</f>
        <v>C100086</v>
      </c>
      <c r="L1975" s="42" t="str">
        <f>IF($J1975="Customer",_xll.NL("first",$J1975,"Name","No.","@@"&amp;$K1975),"")</f>
        <v>Top Action Sports</v>
      </c>
      <c r="M1975" s="42" t="str">
        <f>""</f>
        <v/>
      </c>
      <c r="N1975" s="42" t="str">
        <f>IF($J1975="Item",_xll.NL("first",$J1975,"Description","No.","@@"&amp;$K1975),"")</f>
        <v/>
      </c>
      <c r="O1975" s="43">
        <v>0</v>
      </c>
      <c r="P1975" s="43">
        <v>-144</v>
      </c>
      <c r="Q1975" s="43">
        <v>0</v>
      </c>
      <c r="R1975" s="43">
        <v>0</v>
      </c>
      <c r="S1975" s="43">
        <v>0</v>
      </c>
      <c r="T1975" s="43">
        <v>0</v>
      </c>
      <c r="U1975" s="56"/>
    </row>
    <row r="1976" spans="1:21" ht="17.25" customHeight="1" x14ac:dyDescent="0.3">
      <c r="A1976" s="15" t="s">
        <v>30</v>
      </c>
      <c r="C1976" s="19"/>
      <c r="D1976" s="33" t="str">
        <f t="shared" si="480"/>
        <v>S100020</v>
      </c>
      <c r="E1976" s="33"/>
      <c r="F1976" s="34"/>
      <c r="G1976" s="34" t="str">
        <f>"""NAV Direct"",""CRONUS JetCorp USA"",""32"",""1"",""54702"""</f>
        <v>"NAV Direct","CRONUS JetCorp USA","32","1","54702"</v>
      </c>
      <c r="H1976" s="40">
        <v>43474</v>
      </c>
      <c r="I1976" s="41">
        <v>54702</v>
      </c>
      <c r="J1976" s="42" t="str">
        <f>"Customer"</f>
        <v>Customer</v>
      </c>
      <c r="K1976" s="42" t="str">
        <f>"C100096"</f>
        <v>C100096</v>
      </c>
      <c r="L1976" s="42" t="str">
        <f>IF($J1976="Customer",_xll.NL("first",$J1976,"Name","No.","@@"&amp;$K1976),"")</f>
        <v>D-Com Industries</v>
      </c>
      <c r="M1976" s="42" t="str">
        <f>""</f>
        <v/>
      </c>
      <c r="N1976" s="42" t="str">
        <f>IF($J1976="Item",_xll.NL("first",$J1976,"Description","No.","@@"&amp;$K1976),"")</f>
        <v/>
      </c>
      <c r="O1976" s="43">
        <v>0</v>
      </c>
      <c r="P1976" s="43">
        <v>-144</v>
      </c>
      <c r="Q1976" s="43">
        <v>0</v>
      </c>
      <c r="R1976" s="43">
        <v>0</v>
      </c>
      <c r="S1976" s="43">
        <v>0</v>
      </c>
      <c r="T1976" s="43">
        <v>0</v>
      </c>
      <c r="U1976" s="56"/>
    </row>
    <row r="1977" spans="1:21" ht="17.25" customHeight="1" x14ac:dyDescent="0.3">
      <c r="A1977" s="15" t="s">
        <v>30</v>
      </c>
      <c r="C1977" s="19"/>
      <c r="D1977" s="33" t="str">
        <f t="shared" si="480"/>
        <v>S100020</v>
      </c>
      <c r="E1977" s="33"/>
      <c r="F1977" s="34"/>
      <c r="G1977" s="34" t="str">
        <f>"""NAV Direct"",""CRONUS JetCorp USA"",""32"",""1"",""135821"""</f>
        <v>"NAV Direct","CRONUS JetCorp USA","32","1","135821"</v>
      </c>
      <c r="H1977" s="40">
        <v>43474</v>
      </c>
      <c r="I1977" s="41">
        <v>135821</v>
      </c>
      <c r="J1977" s="42" t="str">
        <f>"Customer"</f>
        <v>Customer</v>
      </c>
      <c r="K1977" s="42" t="str">
        <f>"C100050"</f>
        <v>C100050</v>
      </c>
      <c r="L1977" s="42" t="str">
        <f>IF($J1977="Customer",_xll.NL("first",$J1977,"Name","No.","@@"&amp;$K1977),"")</f>
        <v>Lauritzen Kontorm¢bler A/S</v>
      </c>
      <c r="M1977" s="42" t="str">
        <f>""</f>
        <v/>
      </c>
      <c r="N1977" s="42" t="str">
        <f>IF($J1977="Item",_xll.NL("first",$J1977,"Description","No.","@@"&amp;$K1977),"")</f>
        <v/>
      </c>
      <c r="O1977" s="43">
        <v>0</v>
      </c>
      <c r="P1977" s="43">
        <v>-2</v>
      </c>
      <c r="Q1977" s="43">
        <v>0</v>
      </c>
      <c r="R1977" s="43">
        <v>0</v>
      </c>
      <c r="S1977" s="43">
        <v>0</v>
      </c>
      <c r="T1977" s="43">
        <v>0</v>
      </c>
      <c r="U1977" s="56"/>
    </row>
    <row r="1978" spans="1:21" ht="17.25" customHeight="1" x14ac:dyDescent="0.3">
      <c r="A1978" s="15" t="s">
        <v>30</v>
      </c>
      <c r="C1978" s="19"/>
      <c r="D1978" s="33" t="str">
        <f t="shared" si="480"/>
        <v>S100020</v>
      </c>
      <c r="E1978" s="33"/>
      <c r="F1978" s="34"/>
      <c r="G1978" s="34" t="str">
        <f>"""NAV Direct"",""CRONUS JetCorp USA"",""32"",""1"",""20358"""</f>
        <v>"NAV Direct","CRONUS JetCorp USA","32","1","20358"</v>
      </c>
      <c r="H1978" s="40">
        <v>43475</v>
      </c>
      <c r="I1978" s="41">
        <v>20358</v>
      </c>
      <c r="J1978" s="42" t="str">
        <f>"Customer"</f>
        <v>Customer</v>
      </c>
      <c r="K1978" s="42" t="str">
        <f>"C100097"</f>
        <v>C100097</v>
      </c>
      <c r="L1978" s="42" t="str">
        <f>IF($J1978="Customer",_xll.NL("first",$J1978,"Name","No.","@@"&amp;$K1978),"")</f>
        <v>Solotech</v>
      </c>
      <c r="M1978" s="42" t="str">
        <f>""</f>
        <v/>
      </c>
      <c r="N1978" s="42" t="str">
        <f>IF($J1978="Item",_xll.NL("first",$J1978,"Description","No.","@@"&amp;$K1978),"")</f>
        <v/>
      </c>
      <c r="O1978" s="43">
        <v>0</v>
      </c>
      <c r="P1978" s="43">
        <v>-144</v>
      </c>
      <c r="Q1978" s="43">
        <v>0</v>
      </c>
      <c r="R1978" s="43">
        <v>0</v>
      </c>
      <c r="S1978" s="43">
        <v>0</v>
      </c>
      <c r="T1978" s="43">
        <v>0</v>
      </c>
      <c r="U1978" s="56"/>
    </row>
    <row r="1979" spans="1:21" ht="17.25" customHeight="1" x14ac:dyDescent="0.3">
      <c r="A1979" s="15" t="s">
        <v>30</v>
      </c>
      <c r="C1979" s="19"/>
      <c r="D1979" s="33" t="str">
        <f t="shared" si="480"/>
        <v>S100020</v>
      </c>
      <c r="E1979" s="33"/>
      <c r="F1979" s="34"/>
      <c r="G1979" s="34" t="str">
        <f>"""NAV Direct"",""CRONUS JetCorp USA"",""32"",""1"",""30113"""</f>
        <v>"NAV Direct","CRONUS JetCorp USA","32","1","30113"</v>
      </c>
      <c r="H1979" s="40">
        <v>43475</v>
      </c>
      <c r="I1979" s="41">
        <v>30113</v>
      </c>
      <c r="J1979" s="42" t="str">
        <f>"Customer"</f>
        <v>Customer</v>
      </c>
      <c r="K1979" s="42" t="str">
        <f>"C100012"</f>
        <v>C100012</v>
      </c>
      <c r="L1979" s="42" t="str">
        <f>IF($J1979="Customer",_xll.NL("first",$J1979,"Name","No.","@@"&amp;$K1979),"")</f>
        <v>Bainbridges</v>
      </c>
      <c r="M1979" s="42" t="str">
        <f>""</f>
        <v/>
      </c>
      <c r="N1979" s="42" t="str">
        <f>IF($J1979="Item",_xll.NL("first",$J1979,"Description","No.","@@"&amp;$K1979),"")</f>
        <v/>
      </c>
      <c r="O1979" s="43">
        <v>0</v>
      </c>
      <c r="P1979" s="43">
        <v>-288</v>
      </c>
      <c r="Q1979" s="43">
        <v>0</v>
      </c>
      <c r="R1979" s="43">
        <v>0</v>
      </c>
      <c r="S1979" s="43">
        <v>0</v>
      </c>
      <c r="T1979" s="43">
        <v>0</v>
      </c>
      <c r="U1979" s="56"/>
    </row>
    <row r="1980" spans="1:21" ht="17.25" customHeight="1" x14ac:dyDescent="0.3">
      <c r="A1980" s="15" t="s">
        <v>30</v>
      </c>
      <c r="C1980" s="19"/>
      <c r="D1980" s="33" t="str">
        <f t="shared" si="480"/>
        <v>S100020</v>
      </c>
      <c r="E1980" s="33"/>
      <c r="F1980" s="34"/>
      <c r="G1980" s="34" t="str">
        <f>"""NAV Direct"",""CRONUS JetCorp USA"",""32"",""1"",""25271"""</f>
        <v>"NAV Direct","CRONUS JetCorp USA","32","1","25271"</v>
      </c>
      <c r="H1980" s="40">
        <v>43476</v>
      </c>
      <c r="I1980" s="41">
        <v>25271</v>
      </c>
      <c r="J1980" s="42" t="str">
        <f>"Customer"</f>
        <v>Customer</v>
      </c>
      <c r="K1980" s="42" t="str">
        <f>"C100102"</f>
        <v>C100102</v>
      </c>
      <c r="L1980" s="42" t="str">
        <f>IF($J1980="Customer",_xll.NL("first",$J1980,"Name","No.","@@"&amp;$K1980),"")</f>
        <v xml:space="preserve">BEI Outfitters </v>
      </c>
      <c r="M1980" s="42" t="str">
        <f>""</f>
        <v/>
      </c>
      <c r="N1980" s="42" t="str">
        <f>IF($J1980="Item",_xll.NL("first",$J1980,"Description","No.","@@"&amp;$K1980),"")</f>
        <v/>
      </c>
      <c r="O1980" s="43">
        <v>0</v>
      </c>
      <c r="P1980" s="43">
        <v>-144</v>
      </c>
      <c r="Q1980" s="43">
        <v>0</v>
      </c>
      <c r="R1980" s="43">
        <v>0</v>
      </c>
      <c r="S1980" s="43">
        <v>0</v>
      </c>
      <c r="T1980" s="43">
        <v>0</v>
      </c>
      <c r="U1980" s="56"/>
    </row>
    <row r="1981" spans="1:21" ht="17.25" customHeight="1" x14ac:dyDescent="0.3">
      <c r="A1981" s="15" t="s">
        <v>30</v>
      </c>
      <c r="C1981" s="19"/>
      <c r="D1981" s="33"/>
      <c r="E1981" s="33"/>
      <c r="F1981" s="34"/>
      <c r="G1981" s="34"/>
      <c r="H1981" s="34"/>
      <c r="I1981" s="34"/>
      <c r="J1981" s="34"/>
      <c r="K1981" s="34"/>
      <c r="L1981" s="34"/>
      <c r="M1981" s="34"/>
      <c r="N1981" s="34"/>
      <c r="O1981" s="44"/>
      <c r="P1981" s="44"/>
      <c r="Q1981" s="44"/>
      <c r="R1981" s="44"/>
      <c r="S1981" s="44"/>
      <c r="T1981" s="44"/>
      <c r="U1981" s="57"/>
    </row>
    <row r="1982" spans="1:21" ht="17.25" customHeight="1" x14ac:dyDescent="0.3">
      <c r="A1982" s="15" t="s">
        <v>30</v>
      </c>
      <c r="C1982" s="19"/>
      <c r="D1982" s="33"/>
      <c r="E1982" s="33" t="s">
        <v>31</v>
      </c>
      <c r="F1982" s="34" t="s">
        <v>31</v>
      </c>
      <c r="G1982" s="34" t="s">
        <v>31</v>
      </c>
      <c r="H1982" s="34"/>
      <c r="I1982" s="34"/>
      <c r="J1982" s="34" t="s">
        <v>31</v>
      </c>
      <c r="K1982" s="34" t="s">
        <v>31</v>
      </c>
      <c r="L1982" s="34" t="s">
        <v>31</v>
      </c>
      <c r="M1982" s="34" t="s">
        <v>31</v>
      </c>
      <c r="N1982" s="34"/>
      <c r="U1982" s="58"/>
    </row>
    <row r="1983" spans="1:21" ht="20.25" customHeight="1" x14ac:dyDescent="0.35">
      <c r="A1983" s="15" t="s">
        <v>30</v>
      </c>
      <c r="C1983" s="19"/>
      <c r="D1983" s="35" t="str">
        <f t="shared" ref="D1983" si="481">E1983</f>
        <v>S100021</v>
      </c>
      <c r="E1983" s="36" t="str">
        <f>"S100021"</f>
        <v>S100021</v>
      </c>
      <c r="F1983" s="37" t="str">
        <f>"Translucent Stopwatch"</f>
        <v>Translucent Stopwatch</v>
      </c>
      <c r="G1983" s="37"/>
      <c r="H1983" s="38" t="str">
        <f>"EA"</f>
        <v>EA</v>
      </c>
      <c r="I1983" s="37"/>
      <c r="J1983" s="37"/>
      <c r="K1983" s="37"/>
      <c r="L1983" s="37"/>
      <c r="M1983" s="37"/>
      <c r="N1983" s="37"/>
      <c r="O1983" s="39">
        <f>(SUBTOTAL(9,O1984:O2011))</f>
        <v>10000</v>
      </c>
      <c r="P1983" s="39">
        <f>(SUBTOTAL(9,P1984:P2011))</f>
        <v>-2938</v>
      </c>
      <c r="Q1983" s="39">
        <f>(SUBTOTAL(9,Q1984:Q2011))</f>
        <v>0</v>
      </c>
      <c r="R1983" s="39">
        <f>(SUBTOTAL(9,R1984:R2011))</f>
        <v>0</v>
      </c>
      <c r="S1983" s="39">
        <f>(SUBTOTAL(9,S1984:S2011))</f>
        <v>0</v>
      </c>
      <c r="T1983" s="39">
        <f>(SUBTOTAL(9,T1984:T2011))</f>
        <v>0</v>
      </c>
      <c r="U1983" s="55">
        <f t="shared" ref="U1983" si="482">SUBTOTAL(9,O1984:T2011)</f>
        <v>7062</v>
      </c>
    </row>
    <row r="1984" spans="1:21" ht="17.25" customHeight="1" x14ac:dyDescent="0.3">
      <c r="A1984" s="15" t="s">
        <v>30</v>
      </c>
      <c r="C1984" s="19"/>
      <c r="D1984" s="33" t="str">
        <f t="shared" ref="D1984" si="483">D1983</f>
        <v>S100021</v>
      </c>
      <c r="E1984" s="33"/>
      <c r="F1984" s="34"/>
      <c r="G1984" s="34" t="str">
        <f>"""NAV Direct"",""CRONUS JetCorp USA"",""32"",""1"",""167507"""</f>
        <v>"NAV Direct","CRONUS JetCorp USA","32","1","167507"</v>
      </c>
      <c r="H1984" s="40">
        <v>43466</v>
      </c>
      <c r="I1984" s="41">
        <v>167507</v>
      </c>
      <c r="J1984" s="42" t="str">
        <f>"Vendor"</f>
        <v>Vendor</v>
      </c>
      <c r="K1984" s="42" t="str">
        <f>"V100009"</f>
        <v>V100009</v>
      </c>
      <c r="L1984" s="42" t="str">
        <f>IF($J1984="Customer",_xll.NL("first",$J1984,"Name","No.","@@"&amp;$K1984),"")</f>
        <v/>
      </c>
      <c r="M1984" s="42" t="str">
        <f>"Malay-Dan Export Unit Sdn Bhd"</f>
        <v>Malay-Dan Export Unit Sdn Bhd</v>
      </c>
      <c r="N1984" s="42" t="str">
        <f>IF($J1984="Item",_xll.NL("first",$J1984,"Description","No.","@@"&amp;$K1984),"")</f>
        <v/>
      </c>
      <c r="O1984" s="43">
        <v>400</v>
      </c>
      <c r="P1984" s="43">
        <v>0</v>
      </c>
      <c r="Q1984" s="43">
        <v>0</v>
      </c>
      <c r="R1984" s="43">
        <v>0</v>
      </c>
      <c r="S1984" s="43">
        <v>0</v>
      </c>
      <c r="T1984" s="43">
        <v>0</v>
      </c>
      <c r="U1984" s="56"/>
    </row>
    <row r="1985" spans="1:21" ht="17.25" customHeight="1" x14ac:dyDescent="0.3">
      <c r="A1985" s="15" t="s">
        <v>30</v>
      </c>
      <c r="C1985" s="19"/>
      <c r="D1985" s="33" t="str">
        <f t="shared" ref="D1985:D2010" si="484">D1984</f>
        <v>S100021</v>
      </c>
      <c r="E1985" s="33"/>
      <c r="F1985" s="34"/>
      <c r="G1985" s="34" t="str">
        <f>"""NAV Direct"",""CRONUS JetCorp USA"",""32"",""1"",""167524"""</f>
        <v>"NAV Direct","CRONUS JetCorp USA","32","1","167524"</v>
      </c>
      <c r="H1985" s="40">
        <v>43466</v>
      </c>
      <c r="I1985" s="41">
        <v>167524</v>
      </c>
      <c r="J1985" s="42" t="str">
        <f>"Vendor"</f>
        <v>Vendor</v>
      </c>
      <c r="K1985" s="42" t="str">
        <f>"V100040"</f>
        <v>V100040</v>
      </c>
      <c r="L1985" s="42" t="str">
        <f>IF($J1985="Customer",_xll.NL("first",$J1985,"Name","No.","@@"&amp;$K1985),"")</f>
        <v/>
      </c>
      <c r="M1985" s="42" t="str">
        <f>"Technische Betriebe Rotkreuz"</f>
        <v>Technische Betriebe Rotkreuz</v>
      </c>
      <c r="N1985" s="42" t="str">
        <f>IF($J1985="Item",_xll.NL("first",$J1985,"Description","No.","@@"&amp;$K1985),"")</f>
        <v/>
      </c>
      <c r="O1985" s="43">
        <v>999.99999999999989</v>
      </c>
      <c r="P1985" s="43">
        <v>0</v>
      </c>
      <c r="Q1985" s="43">
        <v>0</v>
      </c>
      <c r="R1985" s="43">
        <v>0</v>
      </c>
      <c r="S1985" s="43">
        <v>0</v>
      </c>
      <c r="T1985" s="43">
        <v>0</v>
      </c>
      <c r="U1985" s="56"/>
    </row>
    <row r="1986" spans="1:21" ht="17.25" customHeight="1" x14ac:dyDescent="0.3">
      <c r="A1986" s="15" t="s">
        <v>30</v>
      </c>
      <c r="C1986" s="19"/>
      <c r="D1986" s="33" t="str">
        <f t="shared" si="484"/>
        <v>S100021</v>
      </c>
      <c r="E1986" s="33"/>
      <c r="F1986" s="34"/>
      <c r="G1986" s="34" t="str">
        <f>"""NAV Direct"",""CRONUS JetCorp USA"",""32"",""1"",""167549"""</f>
        <v>"NAV Direct","CRONUS JetCorp USA","32","1","167549"</v>
      </c>
      <c r="H1986" s="40">
        <v>43466</v>
      </c>
      <c r="I1986" s="41">
        <v>167549</v>
      </c>
      <c r="J1986" s="42" t="str">
        <f>"Vendor"</f>
        <v>Vendor</v>
      </c>
      <c r="K1986" s="42" t="str">
        <f>"V100007"</f>
        <v>V100007</v>
      </c>
      <c r="L1986" s="42" t="str">
        <f>IF($J1986="Customer",_xll.NL("first",$J1986,"Name","No.","@@"&amp;$K1986),"")</f>
        <v/>
      </c>
      <c r="M1986" s="42" t="str">
        <f>"TrendTech"</f>
        <v>TrendTech</v>
      </c>
      <c r="N1986" s="42" t="str">
        <f>IF($J1986="Item",_xll.NL("first",$J1986,"Description","No.","@@"&amp;$K1986),"")</f>
        <v/>
      </c>
      <c r="O1986" s="43">
        <v>1200</v>
      </c>
      <c r="P1986" s="43">
        <v>0</v>
      </c>
      <c r="Q1986" s="43">
        <v>0</v>
      </c>
      <c r="R1986" s="43">
        <v>0</v>
      </c>
      <c r="S1986" s="43">
        <v>0</v>
      </c>
      <c r="T1986" s="43">
        <v>0</v>
      </c>
      <c r="U1986" s="56"/>
    </row>
    <row r="1987" spans="1:21" ht="17.25" customHeight="1" x14ac:dyDescent="0.3">
      <c r="A1987" s="15" t="s">
        <v>30</v>
      </c>
      <c r="C1987" s="19"/>
      <c r="D1987" s="33" t="str">
        <f t="shared" si="484"/>
        <v>S100021</v>
      </c>
      <c r="E1987" s="33"/>
      <c r="F1987" s="34"/>
      <c r="G1987" s="34" t="str">
        <f>"""NAV Direct"",""CRONUS JetCorp USA"",""32"",""1"",""167569"""</f>
        <v>"NAV Direct","CRONUS JetCorp USA","32","1","167569"</v>
      </c>
      <c r="H1987" s="40">
        <v>43466</v>
      </c>
      <c r="I1987" s="41">
        <v>167569</v>
      </c>
      <c r="J1987" s="42" t="str">
        <f>"Vendor"</f>
        <v>Vendor</v>
      </c>
      <c r="K1987" s="42" t="str">
        <f>"V100001"</f>
        <v>V100001</v>
      </c>
      <c r="L1987" s="42" t="str">
        <f>IF($J1987="Customer",_xll.NL("first",$J1987,"Name","No.","@@"&amp;$K1987),"")</f>
        <v/>
      </c>
      <c r="M1987" s="42" t="str">
        <f>"Greigner, Inc."</f>
        <v>Greigner, Inc.</v>
      </c>
      <c r="N1987" s="42" t="str">
        <f>IF($J1987="Item",_xll.NL("first",$J1987,"Description","No.","@@"&amp;$K1987),"")</f>
        <v/>
      </c>
      <c r="O1987" s="43">
        <v>5800</v>
      </c>
      <c r="P1987" s="43">
        <v>0</v>
      </c>
      <c r="Q1987" s="43">
        <v>0</v>
      </c>
      <c r="R1987" s="43">
        <v>0</v>
      </c>
      <c r="S1987" s="43">
        <v>0</v>
      </c>
      <c r="T1987" s="43">
        <v>0</v>
      </c>
      <c r="U1987" s="56"/>
    </row>
    <row r="1988" spans="1:21" ht="17.25" customHeight="1" x14ac:dyDescent="0.3">
      <c r="A1988" s="15" t="s">
        <v>30</v>
      </c>
      <c r="C1988" s="19"/>
      <c r="D1988" s="33" t="str">
        <f t="shared" si="484"/>
        <v>S100021</v>
      </c>
      <c r="E1988" s="33"/>
      <c r="F1988" s="34"/>
      <c r="G1988" s="34" t="str">
        <f>"""NAV Direct"",""CRONUS JetCorp USA"",""32"",""1"",""167587"""</f>
        <v>"NAV Direct","CRONUS JetCorp USA","32","1","167587"</v>
      </c>
      <c r="H1988" s="40">
        <v>43466</v>
      </c>
      <c r="I1988" s="41">
        <v>167587</v>
      </c>
      <c r="J1988" s="42" t="str">
        <f>"Vendor"</f>
        <v>Vendor</v>
      </c>
      <c r="K1988" s="42" t="str">
        <f>"V100047"</f>
        <v>V100047</v>
      </c>
      <c r="L1988" s="42" t="str">
        <f>IF($J1988="Customer",_xll.NL("first",$J1988,"Name","No.","@@"&amp;$K1988),"")</f>
        <v/>
      </c>
      <c r="M1988" s="42" t="str">
        <f>"WoodMart Supply Co."</f>
        <v>WoodMart Supply Co.</v>
      </c>
      <c r="N1988" s="42" t="str">
        <f>IF($J1988="Item",_xll.NL("first",$J1988,"Description","No.","@@"&amp;$K1988),"")</f>
        <v/>
      </c>
      <c r="O1988" s="43">
        <v>400</v>
      </c>
      <c r="P1988" s="43">
        <v>0</v>
      </c>
      <c r="Q1988" s="43">
        <v>0</v>
      </c>
      <c r="R1988" s="43">
        <v>0</v>
      </c>
      <c r="S1988" s="43">
        <v>0</v>
      </c>
      <c r="T1988" s="43">
        <v>0</v>
      </c>
      <c r="U1988" s="56"/>
    </row>
    <row r="1989" spans="1:21" ht="17.25" customHeight="1" x14ac:dyDescent="0.3">
      <c r="A1989" s="15" t="s">
        <v>30</v>
      </c>
      <c r="C1989" s="19"/>
      <c r="D1989" s="33" t="str">
        <f t="shared" si="484"/>
        <v>S100021</v>
      </c>
      <c r="E1989" s="33"/>
      <c r="F1989" s="34"/>
      <c r="G1989" s="34" t="str">
        <f>"""NAV Direct"",""CRONUS JetCorp USA"",""32"",""1"",""167597"""</f>
        <v>"NAV Direct","CRONUS JetCorp USA","32","1","167597"</v>
      </c>
      <c r="H1989" s="40">
        <v>43466</v>
      </c>
      <c r="I1989" s="41">
        <v>167597</v>
      </c>
      <c r="J1989" s="42" t="str">
        <f>"Vendor"</f>
        <v>Vendor</v>
      </c>
      <c r="K1989" s="42" t="str">
        <f>"V100003"</f>
        <v>V100003</v>
      </c>
      <c r="L1989" s="42" t="str">
        <f>IF($J1989="Customer",_xll.NL("first",$J1989,"Name","No.","@@"&amp;$K1989),"")</f>
        <v/>
      </c>
      <c r="M1989" s="42" t="str">
        <f>"LogoMasters"</f>
        <v>LogoMasters</v>
      </c>
      <c r="N1989" s="42" t="str">
        <f>IF($J1989="Item",_xll.NL("first",$J1989,"Description","No.","@@"&amp;$K1989),"")</f>
        <v/>
      </c>
      <c r="O1989" s="43">
        <v>999.99999999999989</v>
      </c>
      <c r="P1989" s="43">
        <v>0</v>
      </c>
      <c r="Q1989" s="43">
        <v>0</v>
      </c>
      <c r="R1989" s="43">
        <v>0</v>
      </c>
      <c r="S1989" s="43">
        <v>0</v>
      </c>
      <c r="T1989" s="43">
        <v>0</v>
      </c>
      <c r="U1989" s="56"/>
    </row>
    <row r="1990" spans="1:21" ht="17.25" customHeight="1" x14ac:dyDescent="0.3">
      <c r="A1990" s="15" t="s">
        <v>30</v>
      </c>
      <c r="C1990" s="19"/>
      <c r="D1990" s="33" t="str">
        <f t="shared" si="484"/>
        <v>S100021</v>
      </c>
      <c r="E1990" s="33"/>
      <c r="F1990" s="34"/>
      <c r="G1990" s="34" t="str">
        <f>"""NAV Direct"",""CRONUS JetCorp USA"",""32"",""1"",""167617"""</f>
        <v>"NAV Direct","CRONUS JetCorp USA","32","1","167617"</v>
      </c>
      <c r="H1990" s="40">
        <v>43466</v>
      </c>
      <c r="I1990" s="41">
        <v>167617</v>
      </c>
      <c r="J1990" s="42" t="str">
        <f>"Vendor"</f>
        <v>Vendor</v>
      </c>
      <c r="K1990" s="42" t="str">
        <f>"V100001"</f>
        <v>V100001</v>
      </c>
      <c r="L1990" s="42" t="str">
        <f>IF($J1990="Customer",_xll.NL("first",$J1990,"Name","No.","@@"&amp;$K1990),"")</f>
        <v/>
      </c>
      <c r="M1990" s="42" t="str">
        <f>"Greigner, Inc."</f>
        <v>Greigner, Inc.</v>
      </c>
      <c r="N1990" s="42" t="str">
        <f>IF($J1990="Item",_xll.NL("first",$J1990,"Description","No.","@@"&amp;$K1990),"")</f>
        <v/>
      </c>
      <c r="O1990" s="43">
        <v>200</v>
      </c>
      <c r="P1990" s="43">
        <v>0</v>
      </c>
      <c r="Q1990" s="43">
        <v>0</v>
      </c>
      <c r="R1990" s="43">
        <v>0</v>
      </c>
      <c r="S1990" s="43">
        <v>0</v>
      </c>
      <c r="T1990" s="43">
        <v>0</v>
      </c>
      <c r="U1990" s="56"/>
    </row>
    <row r="1991" spans="1:21" ht="17.25" customHeight="1" x14ac:dyDescent="0.3">
      <c r="A1991" s="15" t="s">
        <v>30</v>
      </c>
      <c r="C1991" s="19"/>
      <c r="D1991" s="33" t="str">
        <f t="shared" si="484"/>
        <v>S100021</v>
      </c>
      <c r="E1991" s="33"/>
      <c r="F1991" s="34"/>
      <c r="G1991" s="34" t="str">
        <f>"""NAV Direct"",""CRONUS JetCorp USA"",""32"",""1"",""20370"""</f>
        <v>"NAV Direct","CRONUS JetCorp USA","32","1","20370"</v>
      </c>
      <c r="H1991" s="40">
        <v>43468</v>
      </c>
      <c r="I1991" s="41">
        <v>20370</v>
      </c>
      <c r="J1991" s="42" t="str">
        <f>"Customer"</f>
        <v>Customer</v>
      </c>
      <c r="K1991" s="42" t="str">
        <f>"C100145"</f>
        <v>C100145</v>
      </c>
      <c r="L1991" s="42" t="str">
        <f>IF($J1991="Customer",_xll.NL("first",$J1991,"Name","No.","@@"&amp;$K1991),"")</f>
        <v>Dicon Industries</v>
      </c>
      <c r="M1991" s="42" t="str">
        <f>""</f>
        <v/>
      </c>
      <c r="N1991" s="42" t="str">
        <f>IF($J1991="Item",_xll.NL("first",$J1991,"Description","No.","@@"&amp;$K1991),"")</f>
        <v/>
      </c>
      <c r="O1991" s="43">
        <v>0</v>
      </c>
      <c r="P1991" s="43">
        <v>-144</v>
      </c>
      <c r="Q1991" s="43">
        <v>0</v>
      </c>
      <c r="R1991" s="43">
        <v>0</v>
      </c>
      <c r="S1991" s="43">
        <v>0</v>
      </c>
      <c r="T1991" s="43">
        <v>0</v>
      </c>
      <c r="U1991" s="56"/>
    </row>
    <row r="1992" spans="1:21" ht="17.25" customHeight="1" x14ac:dyDescent="0.3">
      <c r="A1992" s="15" t="s">
        <v>30</v>
      </c>
      <c r="C1992" s="19"/>
      <c r="D1992" s="33" t="str">
        <f t="shared" si="484"/>
        <v>S100021</v>
      </c>
      <c r="E1992" s="33"/>
      <c r="F1992" s="34"/>
      <c r="G1992" s="34" t="str">
        <f>"""NAV Direct"",""CRONUS JetCorp USA"",""32"",""1"",""64573"""</f>
        <v>"NAV Direct","CRONUS JetCorp USA","32","1","64573"</v>
      </c>
      <c r="H1992" s="40">
        <v>43469</v>
      </c>
      <c r="I1992" s="41">
        <v>64573</v>
      </c>
      <c r="J1992" s="42" t="str">
        <f>"Customer"</f>
        <v>Customer</v>
      </c>
      <c r="K1992" s="42" t="str">
        <f>"C100140"</f>
        <v>C100140</v>
      </c>
      <c r="L1992" s="42" t="str">
        <f>IF($J1992="Customer",_xll.NL("first",$J1992,"Name","No.","@@"&amp;$K1992),"")</f>
        <v>Super Daves</v>
      </c>
      <c r="M1992" s="42" t="str">
        <f>""</f>
        <v/>
      </c>
      <c r="N1992" s="42" t="str">
        <f>IF($J1992="Item",_xll.NL("first",$J1992,"Description","No.","@@"&amp;$K1992),"")</f>
        <v/>
      </c>
      <c r="O1992" s="43">
        <v>0</v>
      </c>
      <c r="P1992" s="43">
        <v>-144</v>
      </c>
      <c r="Q1992" s="43">
        <v>0</v>
      </c>
      <c r="R1992" s="43">
        <v>0</v>
      </c>
      <c r="S1992" s="43">
        <v>0</v>
      </c>
      <c r="T1992" s="43">
        <v>0</v>
      </c>
      <c r="U1992" s="56"/>
    </row>
    <row r="1993" spans="1:21" ht="17.25" customHeight="1" x14ac:dyDescent="0.3">
      <c r="A1993" s="15" t="s">
        <v>30</v>
      </c>
      <c r="C1993" s="19"/>
      <c r="D1993" s="33" t="str">
        <f t="shared" si="484"/>
        <v>S100021</v>
      </c>
      <c r="E1993" s="33"/>
      <c r="F1993" s="34"/>
      <c r="G1993" s="34" t="str">
        <f>"""NAV Direct"",""CRONUS JetCorp USA"",""32"",""1"",""147988"""</f>
        <v>"NAV Direct","CRONUS JetCorp USA","32","1","147988"</v>
      </c>
      <c r="H1993" s="40">
        <v>43469</v>
      </c>
      <c r="I1993" s="41">
        <v>147988</v>
      </c>
      <c r="J1993" s="42" t="str">
        <f>"Customer"</f>
        <v>Customer</v>
      </c>
      <c r="K1993" s="42" t="str">
        <f>"C100096"</f>
        <v>C100096</v>
      </c>
      <c r="L1993" s="42" t="str">
        <f>IF($J1993="Customer",_xll.NL("first",$J1993,"Name","No.","@@"&amp;$K1993),"")</f>
        <v>D-Com Industries</v>
      </c>
      <c r="M1993" s="42" t="str">
        <f>""</f>
        <v/>
      </c>
      <c r="N1993" s="42" t="str">
        <f>IF($J1993="Item",_xll.NL("first",$J1993,"Description","No.","@@"&amp;$K1993),"")</f>
        <v/>
      </c>
      <c r="O1993" s="43">
        <v>0</v>
      </c>
      <c r="P1993" s="43">
        <v>-288</v>
      </c>
      <c r="Q1993" s="43">
        <v>0</v>
      </c>
      <c r="R1993" s="43">
        <v>0</v>
      </c>
      <c r="S1993" s="43">
        <v>0</v>
      </c>
      <c r="T1993" s="43">
        <v>0</v>
      </c>
      <c r="U1993" s="56"/>
    </row>
    <row r="1994" spans="1:21" ht="17.25" customHeight="1" x14ac:dyDescent="0.3">
      <c r="A1994" s="15" t="s">
        <v>30</v>
      </c>
      <c r="C1994" s="19"/>
      <c r="D1994" s="33" t="str">
        <f t="shared" si="484"/>
        <v>S100021</v>
      </c>
      <c r="E1994" s="33"/>
      <c r="F1994" s="34"/>
      <c r="G1994" s="34" t="str">
        <f>"""NAV Direct"",""CRONUS JetCorp USA"",""32"",""1"",""124514"""</f>
        <v>"NAV Direct","CRONUS JetCorp USA","32","1","124514"</v>
      </c>
      <c r="H1994" s="40">
        <v>43470</v>
      </c>
      <c r="I1994" s="41">
        <v>124514</v>
      </c>
      <c r="J1994" s="42" t="str">
        <f>"Customer"</f>
        <v>Customer</v>
      </c>
      <c r="K1994" s="42" t="str">
        <f>"C100025"</f>
        <v>C100025</v>
      </c>
      <c r="L1994" s="42" t="str">
        <f>IF($J1994="Customer",_xll.NL("first",$J1994,"Name","No.","@@"&amp;$K1994),"")</f>
        <v>Derringers Resturants</v>
      </c>
      <c r="M1994" s="42" t="str">
        <f>""</f>
        <v/>
      </c>
      <c r="N1994" s="42" t="str">
        <f>IF($J1994="Item",_xll.NL("first",$J1994,"Description","No.","@@"&amp;$K1994),"")</f>
        <v/>
      </c>
      <c r="O1994" s="43">
        <v>0</v>
      </c>
      <c r="P1994" s="43">
        <v>-144</v>
      </c>
      <c r="Q1994" s="43">
        <v>0</v>
      </c>
      <c r="R1994" s="43">
        <v>0</v>
      </c>
      <c r="S1994" s="43">
        <v>0</v>
      </c>
      <c r="T1994" s="43">
        <v>0</v>
      </c>
      <c r="U1994" s="56"/>
    </row>
    <row r="1995" spans="1:21" ht="17.25" customHeight="1" x14ac:dyDescent="0.3">
      <c r="A1995" s="15" t="s">
        <v>30</v>
      </c>
      <c r="C1995" s="19"/>
      <c r="D1995" s="33" t="str">
        <f t="shared" si="484"/>
        <v>S100021</v>
      </c>
      <c r="E1995" s="33"/>
      <c r="F1995" s="34"/>
      <c r="G1995" s="34" t="str">
        <f>"""NAV Direct"",""CRONUS JetCorp USA"",""32"",""1"",""128854"""</f>
        <v>"NAV Direct","CRONUS JetCorp USA","32","1","128854"</v>
      </c>
      <c r="H1995" s="40">
        <v>43471</v>
      </c>
      <c r="I1995" s="41">
        <v>128854</v>
      </c>
      <c r="J1995" s="42" t="str">
        <f>"Customer"</f>
        <v>Customer</v>
      </c>
      <c r="K1995" s="42" t="str">
        <f>"C100138"</f>
        <v>C100138</v>
      </c>
      <c r="L1995" s="42" t="str">
        <f>IF($J1995="Customer",_xll.NL("first",$J1995,"Name","No.","@@"&amp;$K1995),"")</f>
        <v>Dantons</v>
      </c>
      <c r="M1995" s="42" t="str">
        <f>""</f>
        <v/>
      </c>
      <c r="N1995" s="42" t="str">
        <f>IF($J1995="Item",_xll.NL("first",$J1995,"Description","No.","@@"&amp;$K1995),"")</f>
        <v/>
      </c>
      <c r="O1995" s="43">
        <v>0</v>
      </c>
      <c r="P1995" s="43">
        <v>-145</v>
      </c>
      <c r="Q1995" s="43">
        <v>0</v>
      </c>
      <c r="R1995" s="43">
        <v>0</v>
      </c>
      <c r="S1995" s="43">
        <v>0</v>
      </c>
      <c r="T1995" s="43">
        <v>0</v>
      </c>
      <c r="U1995" s="56"/>
    </row>
    <row r="1996" spans="1:21" ht="17.25" customHeight="1" x14ac:dyDescent="0.3">
      <c r="A1996" s="15" t="s">
        <v>30</v>
      </c>
      <c r="C1996" s="19"/>
      <c r="D1996" s="33" t="str">
        <f t="shared" si="484"/>
        <v>S100021</v>
      </c>
      <c r="E1996" s="33"/>
      <c r="F1996" s="34"/>
      <c r="G1996" s="34" t="str">
        <f>"""NAV Direct"",""CRONUS JetCorp USA"",""32"",""1"",""20337"""</f>
        <v>"NAV Direct","CRONUS JetCorp USA","32","1","20337"</v>
      </c>
      <c r="H1996" s="40">
        <v>43472</v>
      </c>
      <c r="I1996" s="41">
        <v>20337</v>
      </c>
      <c r="J1996" s="42" t="str">
        <f>"Customer"</f>
        <v>Customer</v>
      </c>
      <c r="K1996" s="42" t="str">
        <f>"C100145"</f>
        <v>C100145</v>
      </c>
      <c r="L1996" s="42" t="str">
        <f>IF($J1996="Customer",_xll.NL("first",$J1996,"Name","No.","@@"&amp;$K1996),"")</f>
        <v>Dicon Industries</v>
      </c>
      <c r="M1996" s="42" t="str">
        <f>""</f>
        <v/>
      </c>
      <c r="N1996" s="42" t="str">
        <f>IF($J1996="Item",_xll.NL("first",$J1996,"Description","No.","@@"&amp;$K1996),"")</f>
        <v/>
      </c>
      <c r="O1996" s="43">
        <v>0</v>
      </c>
      <c r="P1996" s="43">
        <v>-144</v>
      </c>
      <c r="Q1996" s="43">
        <v>0</v>
      </c>
      <c r="R1996" s="43">
        <v>0</v>
      </c>
      <c r="S1996" s="43">
        <v>0</v>
      </c>
      <c r="T1996" s="43">
        <v>0</v>
      </c>
      <c r="U1996" s="56"/>
    </row>
    <row r="1997" spans="1:21" ht="17.25" customHeight="1" x14ac:dyDescent="0.3">
      <c r="A1997" s="15" t="s">
        <v>30</v>
      </c>
      <c r="C1997" s="19"/>
      <c r="D1997" s="33" t="str">
        <f t="shared" si="484"/>
        <v>S100021</v>
      </c>
      <c r="E1997" s="33"/>
      <c r="F1997" s="34"/>
      <c r="G1997" s="34" t="str">
        <f>"""NAV Direct"",""CRONUS JetCorp USA"",""32"",""1"",""25255"""</f>
        <v>"NAV Direct","CRONUS JetCorp USA","32","1","25255"</v>
      </c>
      <c r="H1997" s="40">
        <v>43472</v>
      </c>
      <c r="I1997" s="41">
        <v>25255</v>
      </c>
      <c r="J1997" s="42" t="str">
        <f>"Customer"</f>
        <v>Customer</v>
      </c>
      <c r="K1997" s="42" t="str">
        <f>"C100098"</f>
        <v>C100098</v>
      </c>
      <c r="L1997" s="42" t="str">
        <f>IF($J1997="Customer",_xll.NL("first",$J1997,"Name","No.","@@"&amp;$K1997),"")</f>
        <v>BlackCane Motor Works</v>
      </c>
      <c r="M1997" s="42" t="str">
        <f>""</f>
        <v/>
      </c>
      <c r="N1997" s="42" t="str">
        <f>IF($J1997="Item",_xll.NL("first",$J1997,"Description","No.","@@"&amp;$K1997),"")</f>
        <v/>
      </c>
      <c r="O1997" s="43">
        <v>0</v>
      </c>
      <c r="P1997" s="43">
        <v>-144</v>
      </c>
      <c r="Q1997" s="43">
        <v>0</v>
      </c>
      <c r="R1997" s="43">
        <v>0</v>
      </c>
      <c r="S1997" s="43">
        <v>0</v>
      </c>
      <c r="T1997" s="43">
        <v>0</v>
      </c>
      <c r="U1997" s="56"/>
    </row>
    <row r="1998" spans="1:21" ht="17.25" customHeight="1" x14ac:dyDescent="0.3">
      <c r="A1998" s="15" t="s">
        <v>30</v>
      </c>
      <c r="C1998" s="19"/>
      <c r="D1998" s="33" t="str">
        <f t="shared" si="484"/>
        <v>S100021</v>
      </c>
      <c r="E1998" s="33"/>
      <c r="F1998" s="34"/>
      <c r="G1998" s="34" t="str">
        <f>"""NAV Direct"",""CRONUS JetCorp USA"",""32"",""1"",""44464"""</f>
        <v>"NAV Direct","CRONUS JetCorp USA","32","1","44464"</v>
      </c>
      <c r="H1998" s="40">
        <v>43472</v>
      </c>
      <c r="I1998" s="41">
        <v>44464</v>
      </c>
      <c r="J1998" s="42" t="str">
        <f>"Customer"</f>
        <v>Customer</v>
      </c>
      <c r="K1998" s="42" t="str">
        <f>"C100141"</f>
        <v>C100141</v>
      </c>
      <c r="L1998" s="42" t="str">
        <f>IF($J1998="Customer",_xll.NL("first",$J1998,"Name","No.","@@"&amp;$K1998),"")</f>
        <v>Bargottis</v>
      </c>
      <c r="M1998" s="42" t="str">
        <f>""</f>
        <v/>
      </c>
      <c r="N1998" s="42" t="str">
        <f>IF($J1998="Item",_xll.NL("first",$J1998,"Description","No.","@@"&amp;$K1998),"")</f>
        <v/>
      </c>
      <c r="O1998" s="43">
        <v>0</v>
      </c>
      <c r="P1998" s="43">
        <v>-144</v>
      </c>
      <c r="Q1998" s="43">
        <v>0</v>
      </c>
      <c r="R1998" s="43">
        <v>0</v>
      </c>
      <c r="S1998" s="43">
        <v>0</v>
      </c>
      <c r="T1998" s="43">
        <v>0</v>
      </c>
      <c r="U1998" s="56"/>
    </row>
    <row r="1999" spans="1:21" ht="17.25" customHeight="1" x14ac:dyDescent="0.3">
      <c r="A1999" s="15" t="s">
        <v>30</v>
      </c>
      <c r="C1999" s="19"/>
      <c r="D1999" s="33" t="str">
        <f t="shared" si="484"/>
        <v>S100021</v>
      </c>
      <c r="E1999" s="33"/>
      <c r="F1999" s="34"/>
      <c r="G1999" s="34" t="str">
        <f>"""NAV Direct"",""CRONUS JetCorp USA"",""32"",""1"",""128867"""</f>
        <v>"NAV Direct","CRONUS JetCorp USA","32","1","128867"</v>
      </c>
      <c r="H1999" s="40">
        <v>43472</v>
      </c>
      <c r="I1999" s="41">
        <v>128867</v>
      </c>
      <c r="J1999" s="42" t="str">
        <f>"Customer"</f>
        <v>Customer</v>
      </c>
      <c r="K1999" s="42" t="str">
        <f>"C100105"</f>
        <v>C100105</v>
      </c>
      <c r="L1999" s="42" t="str">
        <f>IF($J1999="Customer",_xll.NL("first",$J1999,"Name","No.","@@"&amp;$K1999),"")</f>
        <v>Esystems</v>
      </c>
      <c r="M1999" s="42" t="str">
        <f>""</f>
        <v/>
      </c>
      <c r="N1999" s="42" t="str">
        <f>IF($J1999="Item",_xll.NL("first",$J1999,"Description","No.","@@"&amp;$K1999),"")</f>
        <v/>
      </c>
      <c r="O1999" s="43">
        <v>0</v>
      </c>
      <c r="P1999" s="43">
        <v>-288</v>
      </c>
      <c r="Q1999" s="43">
        <v>0</v>
      </c>
      <c r="R1999" s="43">
        <v>0</v>
      </c>
      <c r="S1999" s="43">
        <v>0</v>
      </c>
      <c r="T1999" s="43">
        <v>0</v>
      </c>
      <c r="U1999" s="56"/>
    </row>
    <row r="2000" spans="1:21" ht="17.25" customHeight="1" x14ac:dyDescent="0.3">
      <c r="A2000" s="15" t="s">
        <v>30</v>
      </c>
      <c r="C2000" s="19"/>
      <c r="D2000" s="33" t="str">
        <f t="shared" si="484"/>
        <v>S100021</v>
      </c>
      <c r="E2000" s="33"/>
      <c r="F2000" s="34"/>
      <c r="G2000" s="34" t="str">
        <f>"""NAV Direct"",""CRONUS JetCorp USA"",""32"",""1"",""34315"""</f>
        <v>"NAV Direct","CRONUS JetCorp USA","32","1","34315"</v>
      </c>
      <c r="H2000" s="40">
        <v>43473</v>
      </c>
      <c r="I2000" s="41">
        <v>34315</v>
      </c>
      <c r="J2000" s="42" t="str">
        <f>"Customer"</f>
        <v>Customer</v>
      </c>
      <c r="K2000" s="42" t="str">
        <f>"C100059"</f>
        <v>C100059</v>
      </c>
      <c r="L2000" s="42" t="str">
        <f>IF($J2000="Customer",_xll.NL("first",$J2000,"Name","No.","@@"&amp;$K2000),"")</f>
        <v>Meersen Meubelen</v>
      </c>
      <c r="M2000" s="42" t="str">
        <f>""</f>
        <v/>
      </c>
      <c r="N2000" s="42" t="str">
        <f>IF($J2000="Item",_xll.NL("first",$J2000,"Description","No.","@@"&amp;$K2000),"")</f>
        <v/>
      </c>
      <c r="O2000" s="43">
        <v>0</v>
      </c>
      <c r="P2000" s="43">
        <v>-48</v>
      </c>
      <c r="Q2000" s="43">
        <v>0</v>
      </c>
      <c r="R2000" s="43">
        <v>0</v>
      </c>
      <c r="S2000" s="43">
        <v>0</v>
      </c>
      <c r="T2000" s="43">
        <v>0</v>
      </c>
      <c r="U2000" s="56"/>
    </row>
    <row r="2001" spans="1:21" ht="17.25" customHeight="1" x14ac:dyDescent="0.3">
      <c r="A2001" s="15" t="s">
        <v>30</v>
      </c>
      <c r="C2001" s="19"/>
      <c r="D2001" s="33" t="str">
        <f t="shared" si="484"/>
        <v>S100021</v>
      </c>
      <c r="E2001" s="33"/>
      <c r="F2001" s="34"/>
      <c r="G2001" s="34" t="str">
        <f>"""NAV Direct"",""CRONUS JetCorp USA"",""32"",""1"",""124543"""</f>
        <v>"NAV Direct","CRONUS JetCorp USA","32","1","124543"</v>
      </c>
      <c r="H2001" s="40">
        <v>43473</v>
      </c>
      <c r="I2001" s="41">
        <v>124543</v>
      </c>
      <c r="J2001" s="42" t="str">
        <f>"Customer"</f>
        <v>Customer</v>
      </c>
      <c r="K2001" s="42" t="str">
        <f>"C100035"</f>
        <v>C100035</v>
      </c>
      <c r="L2001" s="42" t="str">
        <f>IF($J2001="Customer",_xll.NL("first",$J2001,"Name","No.","@@"&amp;$K2001),"")</f>
        <v>First Touch Marketing</v>
      </c>
      <c r="M2001" s="42" t="str">
        <f>""</f>
        <v/>
      </c>
      <c r="N2001" s="42" t="str">
        <f>IF($J2001="Item",_xll.NL("first",$J2001,"Description","No.","@@"&amp;$K2001),"")</f>
        <v/>
      </c>
      <c r="O2001" s="43">
        <v>0</v>
      </c>
      <c r="P2001" s="43">
        <v>-289</v>
      </c>
      <c r="Q2001" s="43">
        <v>0</v>
      </c>
      <c r="R2001" s="43">
        <v>0</v>
      </c>
      <c r="S2001" s="43">
        <v>0</v>
      </c>
      <c r="T2001" s="43">
        <v>0</v>
      </c>
      <c r="U2001" s="56"/>
    </row>
    <row r="2002" spans="1:21" ht="17.25" customHeight="1" x14ac:dyDescent="0.3">
      <c r="A2002" s="15" t="s">
        <v>30</v>
      </c>
      <c r="C2002" s="19"/>
      <c r="D2002" s="33" t="str">
        <f t="shared" si="484"/>
        <v>S100021</v>
      </c>
      <c r="E2002" s="33"/>
      <c r="F2002" s="34"/>
      <c r="G2002" s="34" t="str">
        <f>"""NAV Direct"",""CRONUS JetCorp USA"",""32"",""1"",""30061"""</f>
        <v>"NAV Direct","CRONUS JetCorp USA","32","1","30061"</v>
      </c>
      <c r="H2002" s="40">
        <v>43474</v>
      </c>
      <c r="I2002" s="41">
        <v>30061</v>
      </c>
      <c r="J2002" s="42" t="str">
        <f>"Customer"</f>
        <v>Customer</v>
      </c>
      <c r="K2002" s="42" t="str">
        <f>"C100086"</f>
        <v>C100086</v>
      </c>
      <c r="L2002" s="42" t="str">
        <f>IF($J2002="Customer",_xll.NL("first",$J2002,"Name","No.","@@"&amp;$K2002),"")</f>
        <v>Top Action Sports</v>
      </c>
      <c r="M2002" s="42" t="str">
        <f>""</f>
        <v/>
      </c>
      <c r="N2002" s="42" t="str">
        <f>IF($J2002="Item",_xll.NL("first",$J2002,"Description","No.","@@"&amp;$K2002),"")</f>
        <v/>
      </c>
      <c r="O2002" s="43">
        <v>0</v>
      </c>
      <c r="P2002" s="43">
        <v>-144</v>
      </c>
      <c r="Q2002" s="43">
        <v>0</v>
      </c>
      <c r="R2002" s="43">
        <v>0</v>
      </c>
      <c r="S2002" s="43">
        <v>0</v>
      </c>
      <c r="T2002" s="43">
        <v>0</v>
      </c>
      <c r="U2002" s="56"/>
    </row>
    <row r="2003" spans="1:21" ht="17.25" customHeight="1" x14ac:dyDescent="0.3">
      <c r="A2003" s="15" t="s">
        <v>30</v>
      </c>
      <c r="C2003" s="19"/>
      <c r="D2003" s="33" t="str">
        <f t="shared" si="484"/>
        <v>S100021</v>
      </c>
      <c r="E2003" s="33"/>
      <c r="F2003" s="34"/>
      <c r="G2003" s="34" t="str">
        <f>"""NAV Direct"",""CRONUS JetCorp USA"",""32"",""1"",""36497"""</f>
        <v>"NAV Direct","CRONUS JetCorp USA","32","1","36497"</v>
      </c>
      <c r="H2003" s="40">
        <v>43474</v>
      </c>
      <c r="I2003" s="41">
        <v>36497</v>
      </c>
      <c r="J2003" s="42" t="str">
        <f>"Customer"</f>
        <v>Customer</v>
      </c>
      <c r="K2003" s="42" t="str">
        <f>"C100092"</f>
        <v>C100092</v>
      </c>
      <c r="L2003" s="42" t="str">
        <f>IF($J2003="Customer",_xll.NL("first",$J2003,"Name","No.","@@"&amp;$K2003),"")</f>
        <v>Zuni Home Crafts Ltd.</v>
      </c>
      <c r="M2003" s="42" t="str">
        <f>""</f>
        <v/>
      </c>
      <c r="N2003" s="42" t="str">
        <f>IF($J2003="Item",_xll.NL("first",$J2003,"Description","No.","@@"&amp;$K2003),"")</f>
        <v/>
      </c>
      <c r="O2003" s="43">
        <v>0</v>
      </c>
      <c r="P2003" s="43">
        <v>-6</v>
      </c>
      <c r="Q2003" s="43">
        <v>0</v>
      </c>
      <c r="R2003" s="43">
        <v>0</v>
      </c>
      <c r="S2003" s="43">
        <v>0</v>
      </c>
      <c r="T2003" s="43">
        <v>0</v>
      </c>
      <c r="U2003" s="56"/>
    </row>
    <row r="2004" spans="1:21" ht="17.25" customHeight="1" x14ac:dyDescent="0.3">
      <c r="A2004" s="15" t="s">
        <v>30</v>
      </c>
      <c r="C2004" s="19"/>
      <c r="D2004" s="33" t="str">
        <f t="shared" si="484"/>
        <v>S100021</v>
      </c>
      <c r="E2004" s="33"/>
      <c r="F2004" s="34"/>
      <c r="G2004" s="34" t="str">
        <f>"""NAV Direct"",""CRONUS JetCorp USA"",""32"",""1"",""124528"""</f>
        <v>"NAV Direct","CRONUS JetCorp USA","32","1","124528"</v>
      </c>
      <c r="H2004" s="40">
        <v>43474</v>
      </c>
      <c r="I2004" s="41">
        <v>124528</v>
      </c>
      <c r="J2004" s="42" t="str">
        <f>"Customer"</f>
        <v>Customer</v>
      </c>
      <c r="K2004" s="42" t="str">
        <f>"C100145"</f>
        <v>C100145</v>
      </c>
      <c r="L2004" s="42" t="str">
        <f>IF($J2004="Customer",_xll.NL("first",$J2004,"Name","No.","@@"&amp;$K2004),"")</f>
        <v>Dicon Industries</v>
      </c>
      <c r="M2004" s="42" t="str">
        <f>""</f>
        <v/>
      </c>
      <c r="N2004" s="42" t="str">
        <f>IF($J2004="Item",_xll.NL("first",$J2004,"Description","No.","@@"&amp;$K2004),"")</f>
        <v/>
      </c>
      <c r="O2004" s="43">
        <v>0</v>
      </c>
      <c r="P2004" s="43">
        <v>-144</v>
      </c>
      <c r="Q2004" s="43">
        <v>0</v>
      </c>
      <c r="R2004" s="43">
        <v>0</v>
      </c>
      <c r="S2004" s="43">
        <v>0</v>
      </c>
      <c r="T2004" s="43">
        <v>0</v>
      </c>
      <c r="U2004" s="56"/>
    </row>
    <row r="2005" spans="1:21" ht="17.25" customHeight="1" x14ac:dyDescent="0.3">
      <c r="A2005" s="15" t="s">
        <v>30</v>
      </c>
      <c r="C2005" s="19"/>
      <c r="D2005" s="33" t="str">
        <f t="shared" si="484"/>
        <v>S100021</v>
      </c>
      <c r="E2005" s="33"/>
      <c r="F2005" s="34"/>
      <c r="G2005" s="34" t="str">
        <f>"""NAV Direct"",""CRONUS JetCorp USA"",""32"",""1"",""20356"""</f>
        <v>"NAV Direct","CRONUS JetCorp USA","32","1","20356"</v>
      </c>
      <c r="H2005" s="40">
        <v>43475</v>
      </c>
      <c r="I2005" s="41">
        <v>20356</v>
      </c>
      <c r="J2005" s="42" t="str">
        <f>"Customer"</f>
        <v>Customer</v>
      </c>
      <c r="K2005" s="42" t="str">
        <f>"C100097"</f>
        <v>C100097</v>
      </c>
      <c r="L2005" s="42" t="str">
        <f>IF($J2005="Customer",_xll.NL("first",$J2005,"Name","No.","@@"&amp;$K2005),"")</f>
        <v>Solotech</v>
      </c>
      <c r="M2005" s="42" t="str">
        <f>""</f>
        <v/>
      </c>
      <c r="N2005" s="42" t="str">
        <f>IF($J2005="Item",_xll.NL("first",$J2005,"Description","No.","@@"&amp;$K2005),"")</f>
        <v/>
      </c>
      <c r="O2005" s="43">
        <v>0</v>
      </c>
      <c r="P2005" s="43">
        <v>-144</v>
      </c>
      <c r="Q2005" s="43">
        <v>0</v>
      </c>
      <c r="R2005" s="43">
        <v>0</v>
      </c>
      <c r="S2005" s="43">
        <v>0</v>
      </c>
      <c r="T2005" s="43">
        <v>0</v>
      </c>
      <c r="U2005" s="56"/>
    </row>
    <row r="2006" spans="1:21" ht="17.25" customHeight="1" x14ac:dyDescent="0.3">
      <c r="A2006" s="15" t="s">
        <v>30</v>
      </c>
      <c r="C2006" s="19"/>
      <c r="D2006" s="33" t="str">
        <f t="shared" si="484"/>
        <v>S100021</v>
      </c>
      <c r="E2006" s="33"/>
      <c r="F2006" s="34"/>
      <c r="G2006" s="34" t="str">
        <f>"""NAV Direct"",""CRONUS JetCorp USA"",""32"",""1"",""20409"""</f>
        <v>"NAV Direct","CRONUS JetCorp USA","32","1","20409"</v>
      </c>
      <c r="H2006" s="40">
        <v>43475</v>
      </c>
      <c r="I2006" s="41">
        <v>20409</v>
      </c>
      <c r="J2006" s="42" t="str">
        <f>"Customer"</f>
        <v>Customer</v>
      </c>
      <c r="K2006" s="42" t="str">
        <f>"C100130"</f>
        <v>C100130</v>
      </c>
      <c r="L2006" s="42" t="str">
        <f>IF($J2006="Customer",_xll.NL("first",$J2006,"Name","No.","@@"&amp;$K2006),"")</f>
        <v>Hotspot Systems</v>
      </c>
      <c r="M2006" s="42" t="str">
        <f>""</f>
        <v/>
      </c>
      <c r="N2006" s="42" t="str">
        <f>IF($J2006="Item",_xll.NL("first",$J2006,"Description","No.","@@"&amp;$K2006),"")</f>
        <v/>
      </c>
      <c r="O2006" s="43">
        <v>0</v>
      </c>
      <c r="P2006" s="43">
        <v>-144</v>
      </c>
      <c r="Q2006" s="43">
        <v>0</v>
      </c>
      <c r="R2006" s="43">
        <v>0</v>
      </c>
      <c r="S2006" s="43">
        <v>0</v>
      </c>
      <c r="T2006" s="43">
        <v>0</v>
      </c>
      <c r="U2006" s="56"/>
    </row>
    <row r="2007" spans="1:21" ht="17.25" customHeight="1" x14ac:dyDescent="0.3">
      <c r="A2007" s="15" t="s">
        <v>30</v>
      </c>
      <c r="C2007" s="19"/>
      <c r="D2007" s="33" t="str">
        <f t="shared" si="484"/>
        <v>S100021</v>
      </c>
      <c r="E2007" s="33"/>
      <c r="F2007" s="34"/>
      <c r="G2007" s="34" t="str">
        <f>"""NAV Direct"",""CRONUS JetCorp USA"",""32"",""1"",""30114"""</f>
        <v>"NAV Direct","CRONUS JetCorp USA","32","1","30114"</v>
      </c>
      <c r="H2007" s="40">
        <v>43475</v>
      </c>
      <c r="I2007" s="41">
        <v>30114</v>
      </c>
      <c r="J2007" s="42" t="str">
        <f>"Customer"</f>
        <v>Customer</v>
      </c>
      <c r="K2007" s="42" t="str">
        <f>"C100012"</f>
        <v>C100012</v>
      </c>
      <c r="L2007" s="42" t="str">
        <f>IF($J2007="Customer",_xll.NL("first",$J2007,"Name","No.","@@"&amp;$K2007),"")</f>
        <v>Bainbridges</v>
      </c>
      <c r="M2007" s="42" t="str">
        <f>""</f>
        <v/>
      </c>
      <c r="N2007" s="42" t="str">
        <f>IF($J2007="Item",_xll.NL("first",$J2007,"Description","No.","@@"&amp;$K2007),"")</f>
        <v/>
      </c>
      <c r="O2007" s="43">
        <v>0</v>
      </c>
      <c r="P2007" s="43">
        <v>-144</v>
      </c>
      <c r="Q2007" s="43">
        <v>0</v>
      </c>
      <c r="R2007" s="43">
        <v>0</v>
      </c>
      <c r="S2007" s="43">
        <v>0</v>
      </c>
      <c r="T2007" s="43">
        <v>0</v>
      </c>
      <c r="U2007" s="56"/>
    </row>
    <row r="2008" spans="1:21" ht="17.25" customHeight="1" x14ac:dyDescent="0.3">
      <c r="A2008" s="15" t="s">
        <v>30</v>
      </c>
      <c r="C2008" s="19"/>
      <c r="D2008" s="33" t="str">
        <f t="shared" si="484"/>
        <v>S100021</v>
      </c>
      <c r="E2008" s="33"/>
      <c r="F2008" s="34"/>
      <c r="G2008" s="34" t="str">
        <f>"""NAV Direct"",""CRONUS JetCorp USA"",""32"",""1"",""36487"""</f>
        <v>"NAV Direct","CRONUS JetCorp USA","32","1","36487"</v>
      </c>
      <c r="H2008" s="40">
        <v>43475</v>
      </c>
      <c r="I2008" s="41">
        <v>36487</v>
      </c>
      <c r="J2008" s="42" t="str">
        <f>"Customer"</f>
        <v>Customer</v>
      </c>
      <c r="K2008" s="42" t="str">
        <f>"C100063"</f>
        <v>C100063</v>
      </c>
      <c r="L2008" s="42" t="str">
        <f>IF($J2008="Customer",_xll.NL("first",$J2008,"Name","No.","@@"&amp;$K2008),"")</f>
        <v>Möbel Scherrer AG</v>
      </c>
      <c r="M2008" s="42" t="str">
        <f>""</f>
        <v/>
      </c>
      <c r="N2008" s="42" t="str">
        <f>IF($J2008="Item",_xll.NL("first",$J2008,"Description","No.","@@"&amp;$K2008),"")</f>
        <v/>
      </c>
      <c r="O2008" s="43">
        <v>0</v>
      </c>
      <c r="P2008" s="43">
        <v>-1</v>
      </c>
      <c r="Q2008" s="43">
        <v>0</v>
      </c>
      <c r="R2008" s="43">
        <v>0</v>
      </c>
      <c r="S2008" s="43">
        <v>0</v>
      </c>
      <c r="T2008" s="43">
        <v>0</v>
      </c>
      <c r="U2008" s="56"/>
    </row>
    <row r="2009" spans="1:21" ht="17.25" customHeight="1" x14ac:dyDescent="0.3">
      <c r="A2009" s="15" t="s">
        <v>30</v>
      </c>
      <c r="C2009" s="19"/>
      <c r="D2009" s="33" t="str">
        <f t="shared" si="484"/>
        <v>S100021</v>
      </c>
      <c r="E2009" s="33"/>
      <c r="F2009" s="34"/>
      <c r="G2009" s="34" t="str">
        <f>"""NAV Direct"",""CRONUS JetCorp USA"",""32"",""1"",""124592"""</f>
        <v>"NAV Direct","CRONUS JetCorp USA","32","1","124592"</v>
      </c>
      <c r="H2009" s="40">
        <v>43475</v>
      </c>
      <c r="I2009" s="41">
        <v>124592</v>
      </c>
      <c r="J2009" s="42" t="str">
        <f>"Customer"</f>
        <v>Customer</v>
      </c>
      <c r="K2009" s="42" t="str">
        <f>"C100035"</f>
        <v>C100035</v>
      </c>
      <c r="L2009" s="42" t="str">
        <f>IF($J2009="Customer",_xll.NL("first",$J2009,"Name","No.","@@"&amp;$K2009),"")</f>
        <v>First Touch Marketing</v>
      </c>
      <c r="M2009" s="42" t="str">
        <f>""</f>
        <v/>
      </c>
      <c r="N2009" s="42" t="str">
        <f>IF($J2009="Item",_xll.NL("first",$J2009,"Description","No.","@@"&amp;$K2009),"")</f>
        <v/>
      </c>
      <c r="O2009" s="43">
        <v>0</v>
      </c>
      <c r="P2009" s="43">
        <v>-145</v>
      </c>
      <c r="Q2009" s="43">
        <v>0</v>
      </c>
      <c r="R2009" s="43">
        <v>0</v>
      </c>
      <c r="S2009" s="43">
        <v>0</v>
      </c>
      <c r="T2009" s="43">
        <v>0</v>
      </c>
      <c r="U2009" s="56"/>
    </row>
    <row r="2010" spans="1:21" ht="17.25" customHeight="1" x14ac:dyDescent="0.3">
      <c r="A2010" s="15" t="s">
        <v>30</v>
      </c>
      <c r="C2010" s="19"/>
      <c r="D2010" s="33" t="str">
        <f t="shared" si="484"/>
        <v>S100021</v>
      </c>
      <c r="E2010" s="33"/>
      <c r="F2010" s="34"/>
      <c r="G2010" s="34" t="str">
        <f>"""NAV Direct"",""CRONUS JetCorp USA"",""32"",""1"",""25291"""</f>
        <v>"NAV Direct","CRONUS JetCorp USA","32","1","25291"</v>
      </c>
      <c r="H2010" s="40">
        <v>43477</v>
      </c>
      <c r="I2010" s="41">
        <v>25291</v>
      </c>
      <c r="J2010" s="42" t="str">
        <f>"Customer"</f>
        <v>Customer</v>
      </c>
      <c r="K2010" s="42" t="str">
        <f>"C100138"</f>
        <v>C100138</v>
      </c>
      <c r="L2010" s="42" t="str">
        <f>IF($J2010="Customer",_xll.NL("first",$J2010,"Name","No.","@@"&amp;$K2010),"")</f>
        <v>Dantons</v>
      </c>
      <c r="M2010" s="42" t="str">
        <f>""</f>
        <v/>
      </c>
      <c r="N2010" s="42" t="str">
        <f>IF($J2010="Item",_xll.NL("first",$J2010,"Description","No.","@@"&amp;$K2010),"")</f>
        <v/>
      </c>
      <c r="O2010" s="43">
        <v>0</v>
      </c>
      <c r="P2010" s="43">
        <v>-144</v>
      </c>
      <c r="Q2010" s="43">
        <v>0</v>
      </c>
      <c r="R2010" s="43">
        <v>0</v>
      </c>
      <c r="S2010" s="43">
        <v>0</v>
      </c>
      <c r="T2010" s="43">
        <v>0</v>
      </c>
      <c r="U2010" s="56"/>
    </row>
    <row r="2011" spans="1:21" ht="17.25" customHeight="1" x14ac:dyDescent="0.3">
      <c r="A2011" s="15" t="s">
        <v>30</v>
      </c>
      <c r="C2011" s="19"/>
      <c r="D2011" s="33"/>
      <c r="E2011" s="33"/>
      <c r="F2011" s="34"/>
      <c r="G2011" s="34"/>
      <c r="H2011" s="34"/>
      <c r="I2011" s="34"/>
      <c r="J2011" s="34"/>
      <c r="K2011" s="34"/>
      <c r="L2011" s="34"/>
      <c r="M2011" s="34"/>
      <c r="N2011" s="34"/>
      <c r="O2011" s="44"/>
      <c r="P2011" s="44"/>
      <c r="Q2011" s="44"/>
      <c r="R2011" s="44"/>
      <c r="S2011" s="44"/>
      <c r="T2011" s="44"/>
      <c r="U2011" s="57"/>
    </row>
    <row r="2012" spans="1:21" ht="17.25" customHeight="1" x14ac:dyDescent="0.3">
      <c r="A2012" s="15" t="s">
        <v>30</v>
      </c>
      <c r="C2012" s="19"/>
      <c r="D2012" s="33"/>
      <c r="E2012" s="33" t="s">
        <v>31</v>
      </c>
      <c r="F2012" s="34" t="s">
        <v>31</v>
      </c>
      <c r="G2012" s="34" t="s">
        <v>31</v>
      </c>
      <c r="H2012" s="34"/>
      <c r="I2012" s="34"/>
      <c r="J2012" s="34" t="s">
        <v>31</v>
      </c>
      <c r="K2012" s="34" t="s">
        <v>31</v>
      </c>
      <c r="L2012" s="34" t="s">
        <v>31</v>
      </c>
      <c r="M2012" s="34" t="s">
        <v>31</v>
      </c>
      <c r="N2012" s="34"/>
      <c r="U2012" s="58"/>
    </row>
    <row r="2013" spans="1:21" ht="20.25" customHeight="1" x14ac:dyDescent="0.35">
      <c r="A2013" s="15" t="s">
        <v>30</v>
      </c>
      <c r="C2013" s="19"/>
      <c r="D2013" s="35" t="str">
        <f t="shared" ref="D2013" si="485">E2013</f>
        <v>S100023</v>
      </c>
      <c r="E2013" s="36" t="str">
        <f>"S100023"</f>
        <v>S100023</v>
      </c>
      <c r="F2013" s="37" t="str">
        <f>"Gripper SPORT BOT"</f>
        <v>Gripper SPORT BOT</v>
      </c>
      <c r="G2013" s="37"/>
      <c r="H2013" s="38" t="str">
        <f>"EA"</f>
        <v>EA</v>
      </c>
      <c r="I2013" s="37"/>
      <c r="J2013" s="37"/>
      <c r="K2013" s="37"/>
      <c r="L2013" s="37"/>
      <c r="M2013" s="37"/>
      <c r="N2013" s="37"/>
      <c r="O2013" s="39">
        <f>(SUBTOTAL(9,O2014:O2021))</f>
        <v>4750</v>
      </c>
      <c r="P2013" s="39">
        <f>(SUBTOTAL(9,P2014:P2021))</f>
        <v>-432</v>
      </c>
      <c r="Q2013" s="39">
        <f>(SUBTOTAL(9,Q2014:Q2021))</f>
        <v>0</v>
      </c>
      <c r="R2013" s="39">
        <f>(SUBTOTAL(9,R2014:R2021))</f>
        <v>0</v>
      </c>
      <c r="S2013" s="39">
        <f>(SUBTOTAL(9,S2014:S2021))</f>
        <v>0</v>
      </c>
      <c r="T2013" s="39">
        <f>(SUBTOTAL(9,T2014:T2021))</f>
        <v>0</v>
      </c>
      <c r="U2013" s="55">
        <f t="shared" ref="U2013" si="486">SUBTOTAL(9,O2014:T2021)</f>
        <v>4318</v>
      </c>
    </row>
    <row r="2014" spans="1:21" ht="17.25" customHeight="1" x14ac:dyDescent="0.3">
      <c r="A2014" s="15" t="s">
        <v>30</v>
      </c>
      <c r="C2014" s="19"/>
      <c r="D2014" s="33" t="str">
        <f t="shared" ref="D2014" si="487">D2013</f>
        <v>S100023</v>
      </c>
      <c r="E2014" s="33"/>
      <c r="F2014" s="34"/>
      <c r="G2014" s="34" t="str">
        <f>"""NAV Direct"",""CRONUS JetCorp USA"",""32"",""1"",""168603"""</f>
        <v>"NAV Direct","CRONUS JetCorp USA","32","1","168603"</v>
      </c>
      <c r="H2014" s="40">
        <v>43466</v>
      </c>
      <c r="I2014" s="41">
        <v>168603</v>
      </c>
      <c r="J2014" s="42" t="str">
        <f>"Vendor"</f>
        <v>Vendor</v>
      </c>
      <c r="K2014" s="42" t="str">
        <f>"V100025"</f>
        <v>V100025</v>
      </c>
      <c r="L2014" s="42" t="str">
        <f>IF($J2014="Customer",_xll.NL("first",$J2014,"Name","No.","@@"&amp;$K2014),"")</f>
        <v/>
      </c>
      <c r="M2014" s="42" t="str">
        <f>"Club Euroamis"</f>
        <v>Club Euroamis</v>
      </c>
      <c r="N2014" s="42" t="str">
        <f>IF($J2014="Item",_xll.NL("first",$J2014,"Description","No.","@@"&amp;$K2014),"")</f>
        <v/>
      </c>
      <c r="O2014" s="43">
        <v>499.99999999999994</v>
      </c>
      <c r="P2014" s="43">
        <v>0</v>
      </c>
      <c r="Q2014" s="43">
        <v>0</v>
      </c>
      <c r="R2014" s="43">
        <v>0</v>
      </c>
      <c r="S2014" s="43">
        <v>0</v>
      </c>
      <c r="T2014" s="43">
        <v>0</v>
      </c>
      <c r="U2014" s="56"/>
    </row>
    <row r="2015" spans="1:21" ht="17.25" customHeight="1" x14ac:dyDescent="0.3">
      <c r="A2015" s="15" t="s">
        <v>30</v>
      </c>
      <c r="C2015" s="19"/>
      <c r="D2015" s="33" t="str">
        <f t="shared" ref="D2015:D2020" si="488">D2014</f>
        <v>S100023</v>
      </c>
      <c r="E2015" s="33"/>
      <c r="F2015" s="34"/>
      <c r="G2015" s="34" t="str">
        <f>"""NAV Direct"",""CRONUS JetCorp USA"",""32"",""1"",""168632"""</f>
        <v>"NAV Direct","CRONUS JetCorp USA","32","1","168632"</v>
      </c>
      <c r="H2015" s="40">
        <v>43466</v>
      </c>
      <c r="I2015" s="41">
        <v>168632</v>
      </c>
      <c r="J2015" s="42" t="str">
        <f>"Vendor"</f>
        <v>Vendor</v>
      </c>
      <c r="K2015" s="42" t="str">
        <f>"V100001"</f>
        <v>V100001</v>
      </c>
      <c r="L2015" s="42" t="str">
        <f>IF($J2015="Customer",_xll.NL("first",$J2015,"Name","No.","@@"&amp;$K2015),"")</f>
        <v/>
      </c>
      <c r="M2015" s="42" t="str">
        <f>"Greigner, Inc."</f>
        <v>Greigner, Inc.</v>
      </c>
      <c r="N2015" s="42" t="str">
        <f>IF($J2015="Item",_xll.NL("first",$J2015,"Description","No.","@@"&amp;$K2015),"")</f>
        <v/>
      </c>
      <c r="O2015" s="43">
        <v>2750</v>
      </c>
      <c r="P2015" s="43">
        <v>0</v>
      </c>
      <c r="Q2015" s="43">
        <v>0</v>
      </c>
      <c r="R2015" s="43">
        <v>0</v>
      </c>
      <c r="S2015" s="43">
        <v>0</v>
      </c>
      <c r="T2015" s="43">
        <v>0</v>
      </c>
      <c r="U2015" s="56"/>
    </row>
    <row r="2016" spans="1:21" ht="17.25" customHeight="1" x14ac:dyDescent="0.3">
      <c r="A2016" s="15" t="s">
        <v>30</v>
      </c>
      <c r="C2016" s="19"/>
      <c r="D2016" s="33" t="str">
        <f t="shared" si="488"/>
        <v>S100023</v>
      </c>
      <c r="E2016" s="33"/>
      <c r="F2016" s="34"/>
      <c r="G2016" s="34" t="str">
        <f>"""NAV Direct"",""CRONUS JetCorp USA"",""32"",""1"",""168648"""</f>
        <v>"NAV Direct","CRONUS JetCorp USA","32","1","168648"</v>
      </c>
      <c r="H2016" s="40">
        <v>43466</v>
      </c>
      <c r="I2016" s="41">
        <v>168648</v>
      </c>
      <c r="J2016" s="42" t="str">
        <f>"Vendor"</f>
        <v>Vendor</v>
      </c>
      <c r="K2016" s="42" t="str">
        <f>"V100047"</f>
        <v>V100047</v>
      </c>
      <c r="L2016" s="42" t="str">
        <f>IF($J2016="Customer",_xll.NL("first",$J2016,"Name","No.","@@"&amp;$K2016),"")</f>
        <v/>
      </c>
      <c r="M2016" s="42" t="str">
        <f>"WoodMart Supply Co."</f>
        <v>WoodMart Supply Co.</v>
      </c>
      <c r="N2016" s="42" t="str">
        <f>IF($J2016="Item",_xll.NL("first",$J2016,"Description","No.","@@"&amp;$K2016),"")</f>
        <v/>
      </c>
      <c r="O2016" s="43">
        <v>499.99999999999994</v>
      </c>
      <c r="P2016" s="43">
        <v>0</v>
      </c>
      <c r="Q2016" s="43">
        <v>0</v>
      </c>
      <c r="R2016" s="43">
        <v>0</v>
      </c>
      <c r="S2016" s="43">
        <v>0</v>
      </c>
      <c r="T2016" s="43">
        <v>0</v>
      </c>
      <c r="U2016" s="56"/>
    </row>
    <row r="2017" spans="1:21" ht="17.25" customHeight="1" x14ac:dyDescent="0.3">
      <c r="A2017" s="15" t="s">
        <v>30</v>
      </c>
      <c r="C2017" s="19"/>
      <c r="D2017" s="33" t="str">
        <f t="shared" si="488"/>
        <v>S100023</v>
      </c>
      <c r="E2017" s="33"/>
      <c r="F2017" s="34"/>
      <c r="G2017" s="34" t="str">
        <f>"""NAV Direct"",""CRONUS JetCorp USA"",""32"",""1"",""168656"""</f>
        <v>"NAV Direct","CRONUS JetCorp USA","32","1","168656"</v>
      </c>
      <c r="H2017" s="40">
        <v>43466</v>
      </c>
      <c r="I2017" s="41">
        <v>168656</v>
      </c>
      <c r="J2017" s="42" t="str">
        <f>"Vendor"</f>
        <v>Vendor</v>
      </c>
      <c r="K2017" s="42" t="str">
        <f>"V100003"</f>
        <v>V100003</v>
      </c>
      <c r="L2017" s="42" t="str">
        <f>IF($J2017="Customer",_xll.NL("first",$J2017,"Name","No.","@@"&amp;$K2017),"")</f>
        <v/>
      </c>
      <c r="M2017" s="42" t="str">
        <f>"LogoMasters"</f>
        <v>LogoMasters</v>
      </c>
      <c r="N2017" s="42" t="str">
        <f>IF($J2017="Item",_xll.NL("first",$J2017,"Description","No.","@@"&amp;$K2017),"")</f>
        <v/>
      </c>
      <c r="O2017" s="43">
        <v>999.99999999999989</v>
      </c>
      <c r="P2017" s="43">
        <v>0</v>
      </c>
      <c r="Q2017" s="43">
        <v>0</v>
      </c>
      <c r="R2017" s="43">
        <v>0</v>
      </c>
      <c r="S2017" s="43">
        <v>0</v>
      </c>
      <c r="T2017" s="43">
        <v>0</v>
      </c>
      <c r="U2017" s="56"/>
    </row>
    <row r="2018" spans="1:21" ht="17.25" customHeight="1" x14ac:dyDescent="0.3">
      <c r="A2018" s="15" t="s">
        <v>30</v>
      </c>
      <c r="C2018" s="19"/>
      <c r="D2018" s="33" t="str">
        <f t="shared" si="488"/>
        <v>S100023</v>
      </c>
      <c r="E2018" s="33"/>
      <c r="F2018" s="34"/>
      <c r="G2018" s="34" t="str">
        <f>"""NAV Direct"",""CRONUS JetCorp USA"",""32"",""1"",""54731"""</f>
        <v>"NAV Direct","CRONUS JetCorp USA","32","1","54731"</v>
      </c>
      <c r="H2018" s="40">
        <v>43472</v>
      </c>
      <c r="I2018" s="41">
        <v>54731</v>
      </c>
      <c r="J2018" s="42" t="str">
        <f>"Customer"</f>
        <v>Customer</v>
      </c>
      <c r="K2018" s="42" t="str">
        <f>"C100084"</f>
        <v>C100084</v>
      </c>
      <c r="L2018" s="42" t="str">
        <f>IF($J2018="Customer",_xll.NL("first",$J2018,"Name","No.","@@"&amp;$K2018),"")</f>
        <v>The Cannon Group PLC</v>
      </c>
      <c r="M2018" s="42" t="str">
        <f>""</f>
        <v/>
      </c>
      <c r="N2018" s="42" t="str">
        <f>IF($J2018="Item",_xll.NL("first",$J2018,"Description","No.","@@"&amp;$K2018),"")</f>
        <v/>
      </c>
      <c r="O2018" s="43">
        <v>0</v>
      </c>
      <c r="P2018" s="43">
        <v>-144</v>
      </c>
      <c r="Q2018" s="43">
        <v>0</v>
      </c>
      <c r="R2018" s="43">
        <v>0</v>
      </c>
      <c r="S2018" s="43">
        <v>0</v>
      </c>
      <c r="T2018" s="43">
        <v>0</v>
      </c>
      <c r="U2018" s="56"/>
    </row>
    <row r="2019" spans="1:21" ht="17.25" customHeight="1" x14ac:dyDescent="0.3">
      <c r="A2019" s="15" t="s">
        <v>30</v>
      </c>
      <c r="C2019" s="19"/>
      <c r="D2019" s="33" t="str">
        <f t="shared" si="488"/>
        <v>S100023</v>
      </c>
      <c r="E2019" s="33"/>
      <c r="F2019" s="34"/>
      <c r="G2019" s="34" t="str">
        <f>"""NAV Direct"",""CRONUS JetCorp USA"",""32"",""1"",""44527"""</f>
        <v>"NAV Direct","CRONUS JetCorp USA","32","1","44527"</v>
      </c>
      <c r="H2019" s="40">
        <v>43473</v>
      </c>
      <c r="I2019" s="41">
        <v>44527</v>
      </c>
      <c r="J2019" s="42" t="str">
        <f>"Customer"</f>
        <v>Customer</v>
      </c>
      <c r="K2019" s="42" t="str">
        <f>"C100139"</f>
        <v>C100139</v>
      </c>
      <c r="L2019" s="42" t="str">
        <f>IF($J2019="Customer",_xll.NL("first",$J2019,"Name","No.","@@"&amp;$K2019),"")</f>
        <v>Gamma Ray's</v>
      </c>
      <c r="M2019" s="42" t="str">
        <f>""</f>
        <v/>
      </c>
      <c r="N2019" s="42" t="str">
        <f>IF($J2019="Item",_xll.NL("first",$J2019,"Description","No.","@@"&amp;$K2019),"")</f>
        <v/>
      </c>
      <c r="O2019" s="43">
        <v>0</v>
      </c>
      <c r="P2019" s="43">
        <v>-144</v>
      </c>
      <c r="Q2019" s="43">
        <v>0</v>
      </c>
      <c r="R2019" s="43">
        <v>0</v>
      </c>
      <c r="S2019" s="43">
        <v>0</v>
      </c>
      <c r="T2019" s="43">
        <v>0</v>
      </c>
      <c r="U2019" s="56"/>
    </row>
    <row r="2020" spans="1:21" ht="17.25" customHeight="1" x14ac:dyDescent="0.3">
      <c r="A2020" s="15" t="s">
        <v>30</v>
      </c>
      <c r="C2020" s="19"/>
      <c r="D2020" s="33" t="str">
        <f t="shared" si="488"/>
        <v>S100023</v>
      </c>
      <c r="E2020" s="33"/>
      <c r="F2020" s="34"/>
      <c r="G2020" s="34" t="str">
        <f>"""NAV Direct"",""CRONUS JetCorp USA"",""32"",""1"",""78889"""</f>
        <v>"NAV Direct","CRONUS JetCorp USA","32","1","78889"</v>
      </c>
      <c r="H2020" s="40">
        <v>43474</v>
      </c>
      <c r="I2020" s="41">
        <v>78889</v>
      </c>
      <c r="J2020" s="42" t="str">
        <f>"Customer"</f>
        <v>Customer</v>
      </c>
      <c r="K2020" s="42" t="str">
        <f>"C100124"</f>
        <v>C100124</v>
      </c>
      <c r="L2020" s="42" t="str">
        <f>IF($J2020="Customer",_xll.NL("first",$J2020,"Name","No.","@@"&amp;$K2020),"")</f>
        <v>Ontocane Outdoors</v>
      </c>
      <c r="M2020" s="42" t="str">
        <f>""</f>
        <v/>
      </c>
      <c r="N2020" s="42" t="str">
        <f>IF($J2020="Item",_xll.NL("first",$J2020,"Description","No.","@@"&amp;$K2020),"")</f>
        <v/>
      </c>
      <c r="O2020" s="43">
        <v>0</v>
      </c>
      <c r="P2020" s="43">
        <v>-144</v>
      </c>
      <c r="Q2020" s="43">
        <v>0</v>
      </c>
      <c r="R2020" s="43">
        <v>0</v>
      </c>
      <c r="S2020" s="43">
        <v>0</v>
      </c>
      <c r="T2020" s="43">
        <v>0</v>
      </c>
      <c r="U2020" s="56"/>
    </row>
    <row r="2021" spans="1:21" ht="17.25" customHeight="1" x14ac:dyDescent="0.3">
      <c r="A2021" s="15" t="s">
        <v>30</v>
      </c>
      <c r="C2021" s="19"/>
      <c r="D2021" s="33"/>
      <c r="E2021" s="33"/>
      <c r="F2021" s="34"/>
      <c r="G2021" s="34"/>
      <c r="H2021" s="34"/>
      <c r="I2021" s="34"/>
      <c r="J2021" s="34"/>
      <c r="K2021" s="34"/>
      <c r="L2021" s="34"/>
      <c r="M2021" s="34"/>
      <c r="N2021" s="34"/>
      <c r="O2021" s="44"/>
      <c r="P2021" s="44"/>
      <c r="Q2021" s="44"/>
      <c r="R2021" s="44"/>
      <c r="S2021" s="44"/>
      <c r="T2021" s="44"/>
      <c r="U2021" s="57"/>
    </row>
    <row r="2022" spans="1:21" ht="17.25" customHeight="1" x14ac:dyDescent="0.3">
      <c r="A2022" s="15" t="s">
        <v>30</v>
      </c>
      <c r="C2022" s="19"/>
      <c r="D2022" s="33"/>
      <c r="E2022" s="33" t="s">
        <v>31</v>
      </c>
      <c r="F2022" s="34" t="s">
        <v>31</v>
      </c>
      <c r="G2022" s="34" t="s">
        <v>31</v>
      </c>
      <c r="H2022" s="34"/>
      <c r="I2022" s="34"/>
      <c r="J2022" s="34" t="s">
        <v>31</v>
      </c>
      <c r="K2022" s="34" t="s">
        <v>31</v>
      </c>
      <c r="L2022" s="34" t="s">
        <v>31</v>
      </c>
      <c r="M2022" s="34" t="s">
        <v>31</v>
      </c>
      <c r="N2022" s="34"/>
      <c r="U2022" s="58"/>
    </row>
    <row r="2023" spans="1:21" ht="20.25" customHeight="1" x14ac:dyDescent="0.35">
      <c r="A2023" s="15" t="s">
        <v>30</v>
      </c>
      <c r="C2023" s="19"/>
      <c r="D2023" s="35" t="str">
        <f t="shared" ref="D2023" si="489">E2023</f>
        <v>S100024</v>
      </c>
      <c r="E2023" s="36" t="str">
        <f>"S100024"</f>
        <v>S100024</v>
      </c>
      <c r="F2023" s="37" t="str">
        <f>"Aluminum SPORT BOT"</f>
        <v>Aluminum SPORT BOT</v>
      </c>
      <c r="G2023" s="37"/>
      <c r="H2023" s="38" t="str">
        <f>"EA"</f>
        <v>EA</v>
      </c>
      <c r="I2023" s="37"/>
      <c r="J2023" s="37"/>
      <c r="K2023" s="37"/>
      <c r="L2023" s="37"/>
      <c r="M2023" s="37"/>
      <c r="N2023" s="37"/>
      <c r="O2023" s="39">
        <f>(SUBTOTAL(9,O2024:O2034))</f>
        <v>4000</v>
      </c>
      <c r="P2023" s="39">
        <f>(SUBTOTAL(9,P2024:P2034))</f>
        <v>-362</v>
      </c>
      <c r="Q2023" s="39">
        <f>(SUBTOTAL(9,Q2024:Q2034))</f>
        <v>0</v>
      </c>
      <c r="R2023" s="39">
        <f>(SUBTOTAL(9,R2024:R2034))</f>
        <v>0</v>
      </c>
      <c r="S2023" s="39">
        <f>(SUBTOTAL(9,S2024:S2034))</f>
        <v>0</v>
      </c>
      <c r="T2023" s="39">
        <f>(SUBTOTAL(9,T2024:T2034))</f>
        <v>0</v>
      </c>
      <c r="U2023" s="55">
        <f t="shared" ref="U2023" si="490">SUBTOTAL(9,O2024:T2034)</f>
        <v>3638</v>
      </c>
    </row>
    <row r="2024" spans="1:21" ht="17.25" customHeight="1" x14ac:dyDescent="0.3">
      <c r="A2024" s="15" t="s">
        <v>30</v>
      </c>
      <c r="C2024" s="19"/>
      <c r="D2024" s="33" t="str">
        <f t="shared" ref="D2024" si="491">D2023</f>
        <v>S100024</v>
      </c>
      <c r="E2024" s="33"/>
      <c r="F2024" s="34"/>
      <c r="G2024" s="34" t="str">
        <f>"""NAV Direct"",""CRONUS JetCorp USA"",""32"",""1"",""168602"""</f>
        <v>"NAV Direct","CRONUS JetCorp USA","32","1","168602"</v>
      </c>
      <c r="H2024" s="40">
        <v>43466</v>
      </c>
      <c r="I2024" s="41">
        <v>168602</v>
      </c>
      <c r="J2024" s="42" t="str">
        <f>"Vendor"</f>
        <v>Vendor</v>
      </c>
      <c r="K2024" s="42" t="str">
        <f>"V100025"</f>
        <v>V100025</v>
      </c>
      <c r="L2024" s="42" t="str">
        <f>IF($J2024="Customer",_xll.NL("first",$J2024,"Name","No.","@@"&amp;$K2024),"")</f>
        <v/>
      </c>
      <c r="M2024" s="42" t="str">
        <f>"Club Euroamis"</f>
        <v>Club Euroamis</v>
      </c>
      <c r="N2024" s="42" t="str">
        <f>IF($J2024="Item",_xll.NL("first",$J2024,"Description","No.","@@"&amp;$K2024),"")</f>
        <v/>
      </c>
      <c r="O2024" s="43">
        <v>249.99999999999997</v>
      </c>
      <c r="P2024" s="43">
        <v>0</v>
      </c>
      <c r="Q2024" s="43">
        <v>0</v>
      </c>
      <c r="R2024" s="43">
        <v>0</v>
      </c>
      <c r="S2024" s="43">
        <v>0</v>
      </c>
      <c r="T2024" s="43">
        <v>0</v>
      </c>
      <c r="U2024" s="56"/>
    </row>
    <row r="2025" spans="1:21" ht="17.25" customHeight="1" x14ac:dyDescent="0.3">
      <c r="A2025" s="15" t="s">
        <v>30</v>
      </c>
      <c r="C2025" s="19"/>
      <c r="D2025" s="33" t="str">
        <f t="shared" ref="D2025:D2033" si="492">D2024</f>
        <v>S100024</v>
      </c>
      <c r="E2025" s="33"/>
      <c r="F2025" s="34"/>
      <c r="G2025" s="34" t="str">
        <f>"""NAV Direct"",""CRONUS JetCorp USA"",""32"",""1"",""168631"""</f>
        <v>"NAV Direct","CRONUS JetCorp USA","32","1","168631"</v>
      </c>
      <c r="H2025" s="40">
        <v>43466</v>
      </c>
      <c r="I2025" s="41">
        <v>168631</v>
      </c>
      <c r="J2025" s="42" t="str">
        <f>"Vendor"</f>
        <v>Vendor</v>
      </c>
      <c r="K2025" s="42" t="str">
        <f>"V100001"</f>
        <v>V100001</v>
      </c>
      <c r="L2025" s="42" t="str">
        <f>IF($J2025="Customer",_xll.NL("first",$J2025,"Name","No.","@@"&amp;$K2025),"")</f>
        <v/>
      </c>
      <c r="M2025" s="42" t="str">
        <f>"Greigner, Inc."</f>
        <v>Greigner, Inc.</v>
      </c>
      <c r="N2025" s="42" t="str">
        <f>IF($J2025="Item",_xll.NL("first",$J2025,"Description","No.","@@"&amp;$K2025),"")</f>
        <v/>
      </c>
      <c r="O2025" s="43">
        <v>2500</v>
      </c>
      <c r="P2025" s="43">
        <v>0</v>
      </c>
      <c r="Q2025" s="43">
        <v>0</v>
      </c>
      <c r="R2025" s="43">
        <v>0</v>
      </c>
      <c r="S2025" s="43">
        <v>0</v>
      </c>
      <c r="T2025" s="43">
        <v>0</v>
      </c>
      <c r="U2025" s="56"/>
    </row>
    <row r="2026" spans="1:21" ht="17.25" customHeight="1" x14ac:dyDescent="0.3">
      <c r="A2026" s="15" t="s">
        <v>30</v>
      </c>
      <c r="C2026" s="19"/>
      <c r="D2026" s="33" t="str">
        <f t="shared" si="492"/>
        <v>S100024</v>
      </c>
      <c r="E2026" s="33"/>
      <c r="F2026" s="34"/>
      <c r="G2026" s="34" t="str">
        <f>"""NAV Direct"",""CRONUS JetCorp USA"",""32"",""1"",""168655"""</f>
        <v>"NAV Direct","CRONUS JetCorp USA","32","1","168655"</v>
      </c>
      <c r="H2026" s="40">
        <v>43466</v>
      </c>
      <c r="I2026" s="41">
        <v>168655</v>
      </c>
      <c r="J2026" s="42" t="str">
        <f>"Vendor"</f>
        <v>Vendor</v>
      </c>
      <c r="K2026" s="42" t="str">
        <f>"V100003"</f>
        <v>V100003</v>
      </c>
      <c r="L2026" s="42" t="str">
        <f>IF($J2026="Customer",_xll.NL("first",$J2026,"Name","No.","@@"&amp;$K2026),"")</f>
        <v/>
      </c>
      <c r="M2026" s="42" t="str">
        <f>"LogoMasters"</f>
        <v>LogoMasters</v>
      </c>
      <c r="N2026" s="42" t="str">
        <f>IF($J2026="Item",_xll.NL("first",$J2026,"Description","No.","@@"&amp;$K2026),"")</f>
        <v/>
      </c>
      <c r="O2026" s="43">
        <v>999.99999999999989</v>
      </c>
      <c r="P2026" s="43">
        <v>0</v>
      </c>
      <c r="Q2026" s="43">
        <v>0</v>
      </c>
      <c r="R2026" s="43">
        <v>0</v>
      </c>
      <c r="S2026" s="43">
        <v>0</v>
      </c>
      <c r="T2026" s="43">
        <v>0</v>
      </c>
      <c r="U2026" s="56"/>
    </row>
    <row r="2027" spans="1:21" ht="17.25" customHeight="1" x14ac:dyDescent="0.3">
      <c r="A2027" s="15" t="s">
        <v>30</v>
      </c>
      <c r="C2027" s="19"/>
      <c r="D2027" s="33" t="str">
        <f t="shared" si="492"/>
        <v>S100024</v>
      </c>
      <c r="E2027" s="33"/>
      <c r="F2027" s="34"/>
      <c r="G2027" s="34" t="str">
        <f>"""NAV Direct"",""CRONUS JetCorp USA"",""32"",""1"",""168673"""</f>
        <v>"NAV Direct","CRONUS JetCorp USA","32","1","168673"</v>
      </c>
      <c r="H2027" s="40">
        <v>43466</v>
      </c>
      <c r="I2027" s="41">
        <v>168673</v>
      </c>
      <c r="J2027" s="42" t="str">
        <f>"Vendor"</f>
        <v>Vendor</v>
      </c>
      <c r="K2027" s="42" t="str">
        <f>"V100001"</f>
        <v>V100001</v>
      </c>
      <c r="L2027" s="42" t="str">
        <f>IF($J2027="Customer",_xll.NL("first",$J2027,"Name","No.","@@"&amp;$K2027),"")</f>
        <v/>
      </c>
      <c r="M2027" s="42" t="str">
        <f>"Greigner, Inc."</f>
        <v>Greigner, Inc.</v>
      </c>
      <c r="N2027" s="42" t="str">
        <f>IF($J2027="Item",_xll.NL("first",$J2027,"Description","No.","@@"&amp;$K2027),"")</f>
        <v/>
      </c>
      <c r="O2027" s="43">
        <v>249.99999999999997</v>
      </c>
      <c r="P2027" s="43">
        <v>0</v>
      </c>
      <c r="Q2027" s="43">
        <v>0</v>
      </c>
      <c r="R2027" s="43">
        <v>0</v>
      </c>
      <c r="S2027" s="43">
        <v>0</v>
      </c>
      <c r="T2027" s="43">
        <v>0</v>
      </c>
      <c r="U2027" s="56"/>
    </row>
    <row r="2028" spans="1:21" ht="17.25" customHeight="1" x14ac:dyDescent="0.3">
      <c r="A2028" s="15" t="s">
        <v>30</v>
      </c>
      <c r="C2028" s="19"/>
      <c r="D2028" s="33" t="str">
        <f t="shared" si="492"/>
        <v>S100024</v>
      </c>
      <c r="E2028" s="33"/>
      <c r="F2028" s="34"/>
      <c r="G2028" s="34" t="str">
        <f>"""NAV Direct"",""CRONUS JetCorp USA"",""32"",""1"",""78839"""</f>
        <v>"NAV Direct","CRONUS JetCorp USA","32","1","78839"</v>
      </c>
      <c r="H2028" s="40">
        <v>43468</v>
      </c>
      <c r="I2028" s="41">
        <v>78839</v>
      </c>
      <c r="J2028" s="42" t="str">
        <f>"Customer"</f>
        <v>Customer</v>
      </c>
      <c r="K2028" s="42" t="str">
        <f>"C100117"</f>
        <v>C100117</v>
      </c>
      <c r="L2028" s="42" t="str">
        <f>IF($J2028="Customer",_xll.NL("first",$J2028,"Name","No.","@@"&amp;$K2028),"")</f>
        <v xml:space="preserve">Tintax </v>
      </c>
      <c r="M2028" s="42" t="str">
        <f>""</f>
        <v/>
      </c>
      <c r="N2028" s="42" t="str">
        <f>IF($J2028="Item",_xll.NL("first",$J2028,"Description","No.","@@"&amp;$K2028),"")</f>
        <v/>
      </c>
      <c r="O2028" s="43">
        <v>0</v>
      </c>
      <c r="P2028" s="43">
        <v>-24</v>
      </c>
      <c r="Q2028" s="43">
        <v>0</v>
      </c>
      <c r="R2028" s="43">
        <v>0</v>
      </c>
      <c r="S2028" s="43">
        <v>0</v>
      </c>
      <c r="T2028" s="43">
        <v>0</v>
      </c>
      <c r="U2028" s="56"/>
    </row>
    <row r="2029" spans="1:21" ht="17.25" customHeight="1" x14ac:dyDescent="0.3">
      <c r="A2029" s="15" t="s">
        <v>30</v>
      </c>
      <c r="C2029" s="19"/>
      <c r="D2029" s="33" t="str">
        <f t="shared" si="492"/>
        <v>S100024</v>
      </c>
      <c r="E2029" s="33"/>
      <c r="F2029" s="34"/>
      <c r="G2029" s="34" t="str">
        <f>"""NAV Direct"",""CRONUS JetCorp USA"",""32"",""1"",""78856"""</f>
        <v>"NAV Direct","CRONUS JetCorp USA","32","1","78856"</v>
      </c>
      <c r="H2029" s="40">
        <v>43470</v>
      </c>
      <c r="I2029" s="41">
        <v>78856</v>
      </c>
      <c r="J2029" s="42" t="str">
        <f>"Customer"</f>
        <v>Customer</v>
      </c>
      <c r="K2029" s="42" t="str">
        <f>"C100117"</f>
        <v>C100117</v>
      </c>
      <c r="L2029" s="42" t="str">
        <f>IF($J2029="Customer",_xll.NL("first",$J2029,"Name","No.","@@"&amp;$K2029),"")</f>
        <v xml:space="preserve">Tintax </v>
      </c>
      <c r="M2029" s="42" t="str">
        <f>""</f>
        <v/>
      </c>
      <c r="N2029" s="42" t="str">
        <f>IF($J2029="Item",_xll.NL("first",$J2029,"Description","No.","@@"&amp;$K2029),"")</f>
        <v/>
      </c>
      <c r="O2029" s="43">
        <v>0</v>
      </c>
      <c r="P2029" s="43">
        <v>-1</v>
      </c>
      <c r="Q2029" s="43">
        <v>0</v>
      </c>
      <c r="R2029" s="43">
        <v>0</v>
      </c>
      <c r="S2029" s="43">
        <v>0</v>
      </c>
      <c r="T2029" s="43">
        <v>0</v>
      </c>
      <c r="U2029" s="56"/>
    </row>
    <row r="2030" spans="1:21" ht="17.25" customHeight="1" x14ac:dyDescent="0.3">
      <c r="A2030" s="15" t="s">
        <v>30</v>
      </c>
      <c r="C2030" s="19"/>
      <c r="D2030" s="33" t="str">
        <f t="shared" si="492"/>
        <v>S100024</v>
      </c>
      <c r="E2030" s="33"/>
      <c r="F2030" s="34"/>
      <c r="G2030" s="34" t="str">
        <f>"""NAV Direct"",""CRONUS JetCorp USA"",""32"",""1"",""153175"""</f>
        <v>"NAV Direct","CRONUS JetCorp USA","32","1","153175"</v>
      </c>
      <c r="H2030" s="40">
        <v>43470</v>
      </c>
      <c r="I2030" s="41">
        <v>153175</v>
      </c>
      <c r="J2030" s="42" t="str">
        <f>"Customer"</f>
        <v>Customer</v>
      </c>
      <c r="K2030" s="42" t="str">
        <f>"C100136"</f>
        <v>C100136</v>
      </c>
      <c r="L2030" s="42" t="str">
        <f>IF($J2030="Customer",_xll.NL("first",$J2030,"Name","No.","@@"&amp;$K2030),"")</f>
        <v>First Bank</v>
      </c>
      <c r="M2030" s="42" t="str">
        <f>""</f>
        <v/>
      </c>
      <c r="N2030" s="42" t="str">
        <f>IF($J2030="Item",_xll.NL("first",$J2030,"Description","No.","@@"&amp;$K2030),"")</f>
        <v/>
      </c>
      <c r="O2030" s="43">
        <v>0</v>
      </c>
      <c r="P2030" s="43">
        <v>-1</v>
      </c>
      <c r="Q2030" s="43">
        <v>0</v>
      </c>
      <c r="R2030" s="43">
        <v>0</v>
      </c>
      <c r="S2030" s="43">
        <v>0</v>
      </c>
      <c r="T2030" s="43">
        <v>0</v>
      </c>
      <c r="U2030" s="56"/>
    </row>
    <row r="2031" spans="1:21" ht="17.25" customHeight="1" x14ac:dyDescent="0.3">
      <c r="A2031" s="15" t="s">
        <v>30</v>
      </c>
      <c r="C2031" s="19"/>
      <c r="D2031" s="33" t="str">
        <f t="shared" si="492"/>
        <v>S100024</v>
      </c>
      <c r="E2031" s="33"/>
      <c r="F2031" s="34"/>
      <c r="G2031" s="34" t="str">
        <f>"""NAV Direct"",""CRONUS JetCorp USA"",""32"",""1"",""44467"""</f>
        <v>"NAV Direct","CRONUS JetCorp USA","32","1","44467"</v>
      </c>
      <c r="H2031" s="40">
        <v>43472</v>
      </c>
      <c r="I2031" s="41">
        <v>44467</v>
      </c>
      <c r="J2031" s="42" t="str">
        <f>"Customer"</f>
        <v>Customer</v>
      </c>
      <c r="K2031" s="42" t="str">
        <f>"C100141"</f>
        <v>C100141</v>
      </c>
      <c r="L2031" s="42" t="str">
        <f>IF($J2031="Customer",_xll.NL("first",$J2031,"Name","No.","@@"&amp;$K2031),"")</f>
        <v>Bargottis</v>
      </c>
      <c r="M2031" s="42" t="str">
        <f>""</f>
        <v/>
      </c>
      <c r="N2031" s="42" t="str">
        <f>IF($J2031="Item",_xll.NL("first",$J2031,"Description","No.","@@"&amp;$K2031),"")</f>
        <v/>
      </c>
      <c r="O2031" s="43">
        <v>0</v>
      </c>
      <c r="P2031" s="43">
        <v>-144</v>
      </c>
      <c r="Q2031" s="43">
        <v>0</v>
      </c>
      <c r="R2031" s="43">
        <v>0</v>
      </c>
      <c r="S2031" s="43">
        <v>0</v>
      </c>
      <c r="T2031" s="43">
        <v>0</v>
      </c>
      <c r="U2031" s="56"/>
    </row>
    <row r="2032" spans="1:21" ht="17.25" customHeight="1" x14ac:dyDescent="0.3">
      <c r="A2032" s="15" t="s">
        <v>30</v>
      </c>
      <c r="C2032" s="19"/>
      <c r="D2032" s="33" t="str">
        <f t="shared" si="492"/>
        <v>S100024</v>
      </c>
      <c r="E2032" s="33"/>
      <c r="F2032" s="34"/>
      <c r="G2032" s="34" t="str">
        <f>"""NAV Direct"",""CRONUS JetCorp USA"",""32"",""1"",""44516"""</f>
        <v>"NAV Direct","CRONUS JetCorp USA","32","1","44516"</v>
      </c>
      <c r="H2032" s="40">
        <v>43473</v>
      </c>
      <c r="I2032" s="41">
        <v>44516</v>
      </c>
      <c r="J2032" s="42" t="str">
        <f>"Customer"</f>
        <v>Customer</v>
      </c>
      <c r="K2032" s="42" t="str">
        <f>"C100139"</f>
        <v>C100139</v>
      </c>
      <c r="L2032" s="42" t="str">
        <f>IF($J2032="Customer",_xll.NL("first",$J2032,"Name","No.","@@"&amp;$K2032),"")</f>
        <v>Gamma Ray's</v>
      </c>
      <c r="M2032" s="42" t="str">
        <f>""</f>
        <v/>
      </c>
      <c r="N2032" s="42" t="str">
        <f>IF($J2032="Item",_xll.NL("first",$J2032,"Description","No.","@@"&amp;$K2032),"")</f>
        <v/>
      </c>
      <c r="O2032" s="43">
        <v>0</v>
      </c>
      <c r="P2032" s="43">
        <v>-144</v>
      </c>
      <c r="Q2032" s="43">
        <v>0</v>
      </c>
      <c r="R2032" s="43">
        <v>0</v>
      </c>
      <c r="S2032" s="43">
        <v>0</v>
      </c>
      <c r="T2032" s="43">
        <v>0</v>
      </c>
      <c r="U2032" s="56"/>
    </row>
    <row r="2033" spans="1:21" ht="17.25" customHeight="1" x14ac:dyDescent="0.3">
      <c r="A2033" s="15" t="s">
        <v>30</v>
      </c>
      <c r="C2033" s="19"/>
      <c r="D2033" s="33" t="str">
        <f t="shared" si="492"/>
        <v>S100024</v>
      </c>
      <c r="E2033" s="33"/>
      <c r="F2033" s="34"/>
      <c r="G2033" s="34" t="str">
        <f>"""NAV Direct"",""CRONUS JetCorp USA"",""32"",""1"",""78903"""</f>
        <v>"NAV Direct","CRONUS JetCorp USA","32","1","78903"</v>
      </c>
      <c r="H2033" s="40">
        <v>43475</v>
      </c>
      <c r="I2033" s="41">
        <v>78903</v>
      </c>
      <c r="J2033" s="42" t="str">
        <f>"Customer"</f>
        <v>Customer</v>
      </c>
      <c r="K2033" s="42" t="str">
        <f>"C100128"</f>
        <v>C100128</v>
      </c>
      <c r="L2033" s="42" t="str">
        <f>IF($J2033="Customer",_xll.NL("first",$J2033,"Name","No.","@@"&amp;$K2033),"")</f>
        <v>Solar Tech</v>
      </c>
      <c r="M2033" s="42" t="str">
        <f>""</f>
        <v/>
      </c>
      <c r="N2033" s="42" t="str">
        <f>IF($J2033="Item",_xll.NL("first",$J2033,"Description","No.","@@"&amp;$K2033),"")</f>
        <v/>
      </c>
      <c r="O2033" s="43">
        <v>0</v>
      </c>
      <c r="P2033" s="43">
        <v>-48</v>
      </c>
      <c r="Q2033" s="43">
        <v>0</v>
      </c>
      <c r="R2033" s="43">
        <v>0</v>
      </c>
      <c r="S2033" s="43">
        <v>0</v>
      </c>
      <c r="T2033" s="43">
        <v>0</v>
      </c>
      <c r="U2033" s="56"/>
    </row>
    <row r="2034" spans="1:21" ht="17.25" customHeight="1" x14ac:dyDescent="0.3">
      <c r="A2034" s="15" t="s">
        <v>30</v>
      </c>
      <c r="C2034" s="19"/>
      <c r="D2034" s="33"/>
      <c r="E2034" s="33"/>
      <c r="F2034" s="34"/>
      <c r="G2034" s="34"/>
      <c r="H2034" s="34"/>
      <c r="I2034" s="34"/>
      <c r="J2034" s="34"/>
      <c r="K2034" s="34"/>
      <c r="L2034" s="34"/>
      <c r="M2034" s="34"/>
      <c r="N2034" s="34"/>
      <c r="O2034" s="44"/>
      <c r="P2034" s="44"/>
      <c r="Q2034" s="44"/>
      <c r="R2034" s="44"/>
      <c r="S2034" s="44"/>
      <c r="T2034" s="44"/>
      <c r="U2034" s="57"/>
    </row>
    <row r="2035" spans="1:21" ht="17.25" customHeight="1" x14ac:dyDescent="0.3">
      <c r="A2035" s="15" t="s">
        <v>30</v>
      </c>
      <c r="C2035" s="19"/>
      <c r="D2035" s="33"/>
      <c r="E2035" s="33" t="s">
        <v>31</v>
      </c>
      <c r="F2035" s="34" t="s">
        <v>31</v>
      </c>
      <c r="G2035" s="34" t="s">
        <v>31</v>
      </c>
      <c r="H2035" s="34"/>
      <c r="I2035" s="34"/>
      <c r="J2035" s="34" t="s">
        <v>31</v>
      </c>
      <c r="K2035" s="34" t="s">
        <v>31</v>
      </c>
      <c r="L2035" s="34" t="s">
        <v>31</v>
      </c>
      <c r="M2035" s="34" t="s">
        <v>31</v>
      </c>
      <c r="N2035" s="34"/>
      <c r="U2035" s="58"/>
    </row>
    <row r="2036" spans="1:21" ht="20.25" customHeight="1" x14ac:dyDescent="0.35">
      <c r="A2036" s="15" t="s">
        <v>30</v>
      </c>
      <c r="C2036" s="19"/>
      <c r="D2036" s="35" t="str">
        <f t="shared" ref="D2036" si="493">E2036</f>
        <v>S100025</v>
      </c>
      <c r="E2036" s="36" t="str">
        <f>"S100025"</f>
        <v>S100025</v>
      </c>
      <c r="F2036" s="37" t="str">
        <f>"SPORT BOT with Pop Lid"</f>
        <v>SPORT BOT with Pop Lid</v>
      </c>
      <c r="G2036" s="37"/>
      <c r="H2036" s="38" t="str">
        <f>"EA"</f>
        <v>EA</v>
      </c>
      <c r="I2036" s="37"/>
      <c r="J2036" s="37"/>
      <c r="K2036" s="37"/>
      <c r="L2036" s="37"/>
      <c r="M2036" s="37"/>
      <c r="N2036" s="37"/>
      <c r="O2036" s="39">
        <f>(SUBTOTAL(9,O2037:O2044))</f>
        <v>3500</v>
      </c>
      <c r="P2036" s="39">
        <f>(SUBTOTAL(9,P2037:P2044))</f>
        <v>-438</v>
      </c>
      <c r="Q2036" s="39">
        <f>(SUBTOTAL(9,Q2037:Q2044))</f>
        <v>0</v>
      </c>
      <c r="R2036" s="39">
        <f>(SUBTOTAL(9,R2037:R2044))</f>
        <v>0</v>
      </c>
      <c r="S2036" s="39">
        <f>(SUBTOTAL(9,S2037:S2044))</f>
        <v>0</v>
      </c>
      <c r="T2036" s="39">
        <f>(SUBTOTAL(9,T2037:T2044))</f>
        <v>0</v>
      </c>
      <c r="U2036" s="55">
        <f t="shared" ref="U2036" si="494">SUBTOTAL(9,O2037:T2044)</f>
        <v>3062</v>
      </c>
    </row>
    <row r="2037" spans="1:21" ht="17.25" customHeight="1" x14ac:dyDescent="0.3">
      <c r="A2037" s="15" t="s">
        <v>30</v>
      </c>
      <c r="C2037" s="19"/>
      <c r="D2037" s="33" t="str">
        <f t="shared" ref="D2037" si="495">D2036</f>
        <v>S100025</v>
      </c>
      <c r="E2037" s="33"/>
      <c r="F2037" s="34"/>
      <c r="G2037" s="34" t="str">
        <f>"""NAV Direct"",""CRONUS JetCorp USA"",""32"",""1"",""168601"""</f>
        <v>"NAV Direct","CRONUS JetCorp USA","32","1","168601"</v>
      </c>
      <c r="H2037" s="40">
        <v>43466</v>
      </c>
      <c r="I2037" s="41">
        <v>168601</v>
      </c>
      <c r="J2037" s="42" t="str">
        <f>"Vendor"</f>
        <v>Vendor</v>
      </c>
      <c r="K2037" s="42" t="str">
        <f>"V100025"</f>
        <v>V100025</v>
      </c>
      <c r="L2037" s="42" t="str">
        <f>IF($J2037="Customer",_xll.NL("first",$J2037,"Name","No.","@@"&amp;$K2037),"")</f>
        <v/>
      </c>
      <c r="M2037" s="42" t="str">
        <f>"Club Euroamis"</f>
        <v>Club Euroamis</v>
      </c>
      <c r="N2037" s="42" t="str">
        <f>IF($J2037="Item",_xll.NL("first",$J2037,"Description","No.","@@"&amp;$K2037),"")</f>
        <v/>
      </c>
      <c r="O2037" s="43">
        <v>499.99999999999994</v>
      </c>
      <c r="P2037" s="43">
        <v>0</v>
      </c>
      <c r="Q2037" s="43">
        <v>0</v>
      </c>
      <c r="R2037" s="43">
        <v>0</v>
      </c>
      <c r="S2037" s="43">
        <v>0</v>
      </c>
      <c r="T2037" s="43">
        <v>0</v>
      </c>
      <c r="U2037" s="56"/>
    </row>
    <row r="2038" spans="1:21" ht="17.25" customHeight="1" x14ac:dyDescent="0.3">
      <c r="A2038" s="15" t="s">
        <v>30</v>
      </c>
      <c r="C2038" s="19"/>
      <c r="D2038" s="33" t="str">
        <f t="shared" ref="D2038:D2043" si="496">D2037</f>
        <v>S100025</v>
      </c>
      <c r="E2038" s="33"/>
      <c r="F2038" s="34"/>
      <c r="G2038" s="34" t="str">
        <f>"""NAV Direct"",""CRONUS JetCorp USA"",""32"",""1"",""168624"""</f>
        <v>"NAV Direct","CRONUS JetCorp USA","32","1","168624"</v>
      </c>
      <c r="H2038" s="40">
        <v>43466</v>
      </c>
      <c r="I2038" s="41">
        <v>168624</v>
      </c>
      <c r="J2038" s="42" t="str">
        <f>"Vendor"</f>
        <v>Vendor</v>
      </c>
      <c r="K2038" s="42" t="str">
        <f>"V100007"</f>
        <v>V100007</v>
      </c>
      <c r="L2038" s="42" t="str">
        <f>IF($J2038="Customer",_xll.NL("first",$J2038,"Name","No.","@@"&amp;$K2038),"")</f>
        <v/>
      </c>
      <c r="M2038" s="42" t="str">
        <f>"TrendTech"</f>
        <v>TrendTech</v>
      </c>
      <c r="N2038" s="42" t="str">
        <f>IF($J2038="Item",_xll.NL("first",$J2038,"Description","No.","@@"&amp;$K2038),"")</f>
        <v/>
      </c>
      <c r="O2038" s="43">
        <v>249.99999999999997</v>
      </c>
      <c r="P2038" s="43">
        <v>0</v>
      </c>
      <c r="Q2038" s="43">
        <v>0</v>
      </c>
      <c r="R2038" s="43">
        <v>0</v>
      </c>
      <c r="S2038" s="43">
        <v>0</v>
      </c>
      <c r="T2038" s="43">
        <v>0</v>
      </c>
      <c r="U2038" s="56"/>
    </row>
    <row r="2039" spans="1:21" ht="17.25" customHeight="1" x14ac:dyDescent="0.3">
      <c r="A2039" s="15" t="s">
        <v>30</v>
      </c>
      <c r="C2039" s="19"/>
      <c r="D2039" s="33" t="str">
        <f t="shared" si="496"/>
        <v>S100025</v>
      </c>
      <c r="E2039" s="33"/>
      <c r="F2039" s="34"/>
      <c r="G2039" s="34" t="str">
        <f>"""NAV Direct"",""CRONUS JetCorp USA"",""32"",""1"",""168630"""</f>
        <v>"NAV Direct","CRONUS JetCorp USA","32","1","168630"</v>
      </c>
      <c r="H2039" s="40">
        <v>43466</v>
      </c>
      <c r="I2039" s="41">
        <v>168630</v>
      </c>
      <c r="J2039" s="42" t="str">
        <f>"Vendor"</f>
        <v>Vendor</v>
      </c>
      <c r="K2039" s="42" t="str">
        <f>"V100001"</f>
        <v>V100001</v>
      </c>
      <c r="L2039" s="42" t="str">
        <f>IF($J2039="Customer",_xll.NL("first",$J2039,"Name","No.","@@"&amp;$K2039),"")</f>
        <v/>
      </c>
      <c r="M2039" s="42" t="str">
        <f>"Greigner, Inc."</f>
        <v>Greigner, Inc.</v>
      </c>
      <c r="N2039" s="42" t="str">
        <f>IF($J2039="Item",_xll.NL("first",$J2039,"Description","No.","@@"&amp;$K2039),"")</f>
        <v/>
      </c>
      <c r="O2039" s="43">
        <v>1500</v>
      </c>
      <c r="P2039" s="43">
        <v>0</v>
      </c>
      <c r="Q2039" s="43">
        <v>0</v>
      </c>
      <c r="R2039" s="43">
        <v>0</v>
      </c>
      <c r="S2039" s="43">
        <v>0</v>
      </c>
      <c r="T2039" s="43">
        <v>0</v>
      </c>
      <c r="U2039" s="56"/>
    </row>
    <row r="2040" spans="1:21" ht="17.25" customHeight="1" x14ac:dyDescent="0.3">
      <c r="A2040" s="15" t="s">
        <v>30</v>
      </c>
      <c r="C2040" s="19"/>
      <c r="D2040" s="33" t="str">
        <f t="shared" si="496"/>
        <v>S100025</v>
      </c>
      <c r="E2040" s="33"/>
      <c r="F2040" s="34"/>
      <c r="G2040" s="34" t="str">
        <f>"""NAV Direct"",""CRONUS JetCorp USA"",""32"",""1"",""168654"""</f>
        <v>"NAV Direct","CRONUS JetCorp USA","32","1","168654"</v>
      </c>
      <c r="H2040" s="40">
        <v>43466</v>
      </c>
      <c r="I2040" s="41">
        <v>168654</v>
      </c>
      <c r="J2040" s="42" t="str">
        <f>"Vendor"</f>
        <v>Vendor</v>
      </c>
      <c r="K2040" s="42" t="str">
        <f>"V100003"</f>
        <v>V100003</v>
      </c>
      <c r="L2040" s="42" t="str">
        <f>IF($J2040="Customer",_xll.NL("first",$J2040,"Name","No.","@@"&amp;$K2040),"")</f>
        <v/>
      </c>
      <c r="M2040" s="42" t="str">
        <f>"LogoMasters"</f>
        <v>LogoMasters</v>
      </c>
      <c r="N2040" s="42" t="str">
        <f>IF($J2040="Item",_xll.NL("first",$J2040,"Description","No.","@@"&amp;$K2040),"")</f>
        <v/>
      </c>
      <c r="O2040" s="43">
        <v>999.99999999999989</v>
      </c>
      <c r="P2040" s="43">
        <v>0</v>
      </c>
      <c r="Q2040" s="43">
        <v>0</v>
      </c>
      <c r="R2040" s="43">
        <v>0</v>
      </c>
      <c r="S2040" s="43">
        <v>0</v>
      </c>
      <c r="T2040" s="43">
        <v>0</v>
      </c>
      <c r="U2040" s="56"/>
    </row>
    <row r="2041" spans="1:21" ht="17.25" customHeight="1" x14ac:dyDescent="0.3">
      <c r="A2041" s="15" t="s">
        <v>30</v>
      </c>
      <c r="C2041" s="19"/>
      <c r="D2041" s="33" t="str">
        <f t="shared" si="496"/>
        <v>S100025</v>
      </c>
      <c r="E2041" s="33"/>
      <c r="F2041" s="34"/>
      <c r="G2041" s="34" t="str">
        <f>"""NAV Direct"",""CRONUS JetCorp USA"",""32"",""1"",""168672"""</f>
        <v>"NAV Direct","CRONUS JetCorp USA","32","1","168672"</v>
      </c>
      <c r="H2041" s="40">
        <v>43466</v>
      </c>
      <c r="I2041" s="41">
        <v>168672</v>
      </c>
      <c r="J2041" s="42" t="str">
        <f>"Vendor"</f>
        <v>Vendor</v>
      </c>
      <c r="K2041" s="42" t="str">
        <f>"V100001"</f>
        <v>V100001</v>
      </c>
      <c r="L2041" s="42" t="str">
        <f>IF($J2041="Customer",_xll.NL("first",$J2041,"Name","No.","@@"&amp;$K2041),"")</f>
        <v/>
      </c>
      <c r="M2041" s="42" t="str">
        <f>"Greigner, Inc."</f>
        <v>Greigner, Inc.</v>
      </c>
      <c r="N2041" s="42" t="str">
        <f>IF($J2041="Item",_xll.NL("first",$J2041,"Description","No.","@@"&amp;$K2041),"")</f>
        <v/>
      </c>
      <c r="O2041" s="43">
        <v>249.99999999999997</v>
      </c>
      <c r="P2041" s="43">
        <v>0</v>
      </c>
      <c r="Q2041" s="43">
        <v>0</v>
      </c>
      <c r="R2041" s="43">
        <v>0</v>
      </c>
      <c r="S2041" s="43">
        <v>0</v>
      </c>
      <c r="T2041" s="43">
        <v>0</v>
      </c>
      <c r="U2041" s="56"/>
    </row>
    <row r="2042" spans="1:21" ht="17.25" customHeight="1" x14ac:dyDescent="0.3">
      <c r="A2042" s="15" t="s">
        <v>30</v>
      </c>
      <c r="C2042" s="19"/>
      <c r="D2042" s="33" t="str">
        <f t="shared" si="496"/>
        <v>S100025</v>
      </c>
      <c r="E2042" s="33"/>
      <c r="F2042" s="34"/>
      <c r="G2042" s="34" t="str">
        <f>"""NAV Direct"",""CRONUS JetCorp USA"",""32"",""1"",""64597"""</f>
        <v>"NAV Direct","CRONUS JetCorp USA","32","1","64597"</v>
      </c>
      <c r="H2042" s="40">
        <v>43472</v>
      </c>
      <c r="I2042" s="41">
        <v>64597</v>
      </c>
      <c r="J2042" s="42" t="str">
        <f>"Customer"</f>
        <v>Customer</v>
      </c>
      <c r="K2042" s="42" t="str">
        <f>"C100140"</f>
        <v>C100140</v>
      </c>
      <c r="L2042" s="42" t="str">
        <f>IF($J2042="Customer",_xll.NL("first",$J2042,"Name","No.","@@"&amp;$K2042),"")</f>
        <v>Super Daves</v>
      </c>
      <c r="M2042" s="42" t="str">
        <f>""</f>
        <v/>
      </c>
      <c r="N2042" s="42" t="str">
        <f>IF($J2042="Item",_xll.NL("first",$J2042,"Description","No.","@@"&amp;$K2042),"")</f>
        <v/>
      </c>
      <c r="O2042" s="43">
        <v>0</v>
      </c>
      <c r="P2042" s="43">
        <v>-294</v>
      </c>
      <c r="Q2042" s="43">
        <v>0</v>
      </c>
      <c r="R2042" s="43">
        <v>0</v>
      </c>
      <c r="S2042" s="43">
        <v>0</v>
      </c>
      <c r="T2042" s="43">
        <v>0</v>
      </c>
      <c r="U2042" s="56"/>
    </row>
    <row r="2043" spans="1:21" ht="17.25" customHeight="1" x14ac:dyDescent="0.3">
      <c r="A2043" s="15" t="s">
        <v>30</v>
      </c>
      <c r="C2043" s="19"/>
      <c r="D2043" s="33" t="str">
        <f t="shared" si="496"/>
        <v>S100025</v>
      </c>
      <c r="E2043" s="33"/>
      <c r="F2043" s="34"/>
      <c r="G2043" s="34" t="str">
        <f>"""NAV Direct"",""CRONUS JetCorp USA"",""32"",""1"",""64622"""</f>
        <v>"NAV Direct","CRONUS JetCorp USA","32","1","64622"</v>
      </c>
      <c r="H2043" s="40">
        <v>43475</v>
      </c>
      <c r="I2043" s="41">
        <v>64622</v>
      </c>
      <c r="J2043" s="42" t="str">
        <f>"Customer"</f>
        <v>Customer</v>
      </c>
      <c r="K2043" s="42" t="str">
        <f>"C100136"</f>
        <v>C100136</v>
      </c>
      <c r="L2043" s="42" t="str">
        <f>IF($J2043="Customer",_xll.NL("first",$J2043,"Name","No.","@@"&amp;$K2043),"")</f>
        <v>First Bank</v>
      </c>
      <c r="M2043" s="42" t="str">
        <f>""</f>
        <v/>
      </c>
      <c r="N2043" s="42" t="str">
        <f>IF($J2043="Item",_xll.NL("first",$J2043,"Description","No.","@@"&amp;$K2043),"")</f>
        <v/>
      </c>
      <c r="O2043" s="43">
        <v>0</v>
      </c>
      <c r="P2043" s="43">
        <v>-144</v>
      </c>
      <c r="Q2043" s="43">
        <v>0</v>
      </c>
      <c r="R2043" s="43">
        <v>0</v>
      </c>
      <c r="S2043" s="43">
        <v>0</v>
      </c>
      <c r="T2043" s="43">
        <v>0</v>
      </c>
      <c r="U2043" s="56"/>
    </row>
    <row r="2044" spans="1:21" ht="17.25" customHeight="1" x14ac:dyDescent="0.3">
      <c r="A2044" s="15" t="s">
        <v>30</v>
      </c>
      <c r="C2044" s="19"/>
      <c r="D2044" s="33"/>
      <c r="E2044" s="33"/>
      <c r="F2044" s="34"/>
      <c r="G2044" s="34"/>
      <c r="H2044" s="34"/>
      <c r="I2044" s="34"/>
      <c r="J2044" s="34"/>
      <c r="K2044" s="34"/>
      <c r="L2044" s="34"/>
      <c r="M2044" s="34"/>
      <c r="N2044" s="34"/>
      <c r="O2044" s="44"/>
      <c r="P2044" s="44"/>
      <c r="Q2044" s="44"/>
      <c r="R2044" s="44"/>
      <c r="S2044" s="44"/>
      <c r="T2044" s="44"/>
      <c r="U2044" s="57"/>
    </row>
    <row r="2045" spans="1:21" ht="17.25" customHeight="1" x14ac:dyDescent="0.3">
      <c r="A2045" s="15" t="s">
        <v>30</v>
      </c>
      <c r="C2045" s="19"/>
      <c r="D2045" s="33"/>
      <c r="E2045" s="33" t="s">
        <v>31</v>
      </c>
      <c r="F2045" s="34" t="s">
        <v>31</v>
      </c>
      <c r="G2045" s="34" t="s">
        <v>31</v>
      </c>
      <c r="H2045" s="34"/>
      <c r="I2045" s="34"/>
      <c r="J2045" s="34" t="s">
        <v>31</v>
      </c>
      <c r="K2045" s="34" t="s">
        <v>31</v>
      </c>
      <c r="L2045" s="34" t="s">
        <v>31</v>
      </c>
      <c r="M2045" s="34" t="s">
        <v>31</v>
      </c>
      <c r="N2045" s="34"/>
      <c r="U2045" s="58"/>
    </row>
    <row r="2046" spans="1:21" ht="20.25" customHeight="1" x14ac:dyDescent="0.35">
      <c r="A2046" s="15" t="s">
        <v>30</v>
      </c>
      <c r="C2046" s="19"/>
      <c r="D2046" s="35" t="str">
        <f t="shared" ref="D2046" si="497">E2046</f>
        <v>S100026</v>
      </c>
      <c r="E2046" s="36" t="str">
        <f>"S100026"</f>
        <v>S100026</v>
      </c>
      <c r="F2046" s="37" t="str">
        <f>"Wide SPORT BOT"</f>
        <v>Wide SPORT BOT</v>
      </c>
      <c r="G2046" s="37"/>
      <c r="H2046" s="38" t="str">
        <f>"EA"</f>
        <v>EA</v>
      </c>
      <c r="I2046" s="37"/>
      <c r="J2046" s="37"/>
      <c r="K2046" s="37"/>
      <c r="L2046" s="37"/>
      <c r="M2046" s="37"/>
      <c r="N2046" s="37"/>
      <c r="O2046" s="39">
        <f>(SUBTOTAL(9,O2047:O2063))</f>
        <v>8249.9999999999982</v>
      </c>
      <c r="P2046" s="39">
        <f>(SUBTOTAL(9,P2047:P2063))</f>
        <v>-1488</v>
      </c>
      <c r="Q2046" s="39">
        <f>(SUBTOTAL(9,Q2047:Q2063))</f>
        <v>0</v>
      </c>
      <c r="R2046" s="39">
        <f>(SUBTOTAL(9,R2047:R2063))</f>
        <v>0</v>
      </c>
      <c r="S2046" s="39">
        <f>(SUBTOTAL(9,S2047:S2063))</f>
        <v>0</v>
      </c>
      <c r="T2046" s="39">
        <f>(SUBTOTAL(9,T2047:T2063))</f>
        <v>0</v>
      </c>
      <c r="U2046" s="55">
        <f t="shared" ref="U2046" si="498">SUBTOTAL(9,O2047:T2063)</f>
        <v>6761.9999999999982</v>
      </c>
    </row>
    <row r="2047" spans="1:21" ht="17.25" customHeight="1" x14ac:dyDescent="0.3">
      <c r="A2047" s="15" t="s">
        <v>30</v>
      </c>
      <c r="C2047" s="19"/>
      <c r="D2047" s="33" t="str">
        <f t="shared" ref="D2047" si="499">D2046</f>
        <v>S100026</v>
      </c>
      <c r="E2047" s="33"/>
      <c r="F2047" s="34"/>
      <c r="G2047" s="34" t="str">
        <f>"""NAV Direct"",""CRONUS JetCorp USA"",""32"",""1"",""168610"""</f>
        <v>"NAV Direct","CRONUS JetCorp USA","32","1","168610"</v>
      </c>
      <c r="H2047" s="40">
        <v>43466</v>
      </c>
      <c r="I2047" s="41">
        <v>168610</v>
      </c>
      <c r="J2047" s="42" t="str">
        <f>"Vendor"</f>
        <v>Vendor</v>
      </c>
      <c r="K2047" s="42" t="str">
        <f>"V100040"</f>
        <v>V100040</v>
      </c>
      <c r="L2047" s="42" t="str">
        <f>IF($J2047="Customer",_xll.NL("first",$J2047,"Name","No.","@@"&amp;$K2047),"")</f>
        <v/>
      </c>
      <c r="M2047" s="42" t="str">
        <f>"Technische Betriebe Rotkreuz"</f>
        <v>Technische Betriebe Rotkreuz</v>
      </c>
      <c r="N2047" s="42" t="str">
        <f>IF($J2047="Item",_xll.NL("first",$J2047,"Description","No.","@@"&amp;$K2047),"")</f>
        <v/>
      </c>
      <c r="O2047" s="43">
        <v>499.99999999999994</v>
      </c>
      <c r="P2047" s="43">
        <v>0</v>
      </c>
      <c r="Q2047" s="43">
        <v>0</v>
      </c>
      <c r="R2047" s="43">
        <v>0</v>
      </c>
      <c r="S2047" s="43">
        <v>0</v>
      </c>
      <c r="T2047" s="43">
        <v>0</v>
      </c>
      <c r="U2047" s="56"/>
    </row>
    <row r="2048" spans="1:21" ht="17.25" customHeight="1" x14ac:dyDescent="0.3">
      <c r="A2048" s="15" t="s">
        <v>30</v>
      </c>
      <c r="C2048" s="19"/>
      <c r="D2048" s="33" t="str">
        <f t="shared" ref="D2048:D2062" si="500">D2047</f>
        <v>S100026</v>
      </c>
      <c r="E2048" s="33"/>
      <c r="F2048" s="34"/>
      <c r="G2048" s="34" t="str">
        <f>"""NAV Direct"",""CRONUS JetCorp USA"",""32"",""1"",""168620"""</f>
        <v>"NAV Direct","CRONUS JetCorp USA","32","1","168620"</v>
      </c>
      <c r="H2048" s="40">
        <v>43466</v>
      </c>
      <c r="I2048" s="41">
        <v>168620</v>
      </c>
      <c r="J2048" s="42" t="str">
        <f>"Vendor"</f>
        <v>Vendor</v>
      </c>
      <c r="K2048" s="42" t="str">
        <f>"V100001"</f>
        <v>V100001</v>
      </c>
      <c r="L2048" s="42" t="str">
        <f>IF($J2048="Customer",_xll.NL("first",$J2048,"Name","No.","@@"&amp;$K2048),"")</f>
        <v/>
      </c>
      <c r="M2048" s="42" t="str">
        <f>"Greigner, Inc."</f>
        <v>Greigner, Inc.</v>
      </c>
      <c r="N2048" s="42" t="str">
        <f>IF($J2048="Item",_xll.NL("first",$J2048,"Description","No.","@@"&amp;$K2048),"")</f>
        <v/>
      </c>
      <c r="O2048" s="43">
        <v>249.99999999999997</v>
      </c>
      <c r="P2048" s="43">
        <v>0</v>
      </c>
      <c r="Q2048" s="43">
        <v>0</v>
      </c>
      <c r="R2048" s="43">
        <v>0</v>
      </c>
      <c r="S2048" s="43">
        <v>0</v>
      </c>
      <c r="T2048" s="43">
        <v>0</v>
      </c>
      <c r="U2048" s="56"/>
    </row>
    <row r="2049" spans="1:21" ht="17.25" customHeight="1" x14ac:dyDescent="0.3">
      <c r="A2049" s="15" t="s">
        <v>30</v>
      </c>
      <c r="C2049" s="19"/>
      <c r="D2049" s="33" t="str">
        <f t="shared" si="500"/>
        <v>S100026</v>
      </c>
      <c r="E2049" s="33"/>
      <c r="F2049" s="34"/>
      <c r="G2049" s="34" t="str">
        <f>"""NAV Direct"",""CRONUS JetCorp USA"",""32"",""1"",""168623"""</f>
        <v>"NAV Direct","CRONUS JetCorp USA","32","1","168623"</v>
      </c>
      <c r="H2049" s="40">
        <v>43466</v>
      </c>
      <c r="I2049" s="41">
        <v>168623</v>
      </c>
      <c r="J2049" s="42" t="str">
        <f>"Vendor"</f>
        <v>Vendor</v>
      </c>
      <c r="K2049" s="42" t="str">
        <f>"V100007"</f>
        <v>V100007</v>
      </c>
      <c r="L2049" s="42" t="str">
        <f>IF($J2049="Customer",_xll.NL("first",$J2049,"Name","No.","@@"&amp;$K2049),"")</f>
        <v/>
      </c>
      <c r="M2049" s="42" t="str">
        <f>"TrendTech"</f>
        <v>TrendTech</v>
      </c>
      <c r="N2049" s="42" t="str">
        <f>IF($J2049="Item",_xll.NL("first",$J2049,"Description","No.","@@"&amp;$K2049),"")</f>
        <v/>
      </c>
      <c r="O2049" s="43">
        <v>249.99999999999997</v>
      </c>
      <c r="P2049" s="43">
        <v>0</v>
      </c>
      <c r="Q2049" s="43">
        <v>0</v>
      </c>
      <c r="R2049" s="43">
        <v>0</v>
      </c>
      <c r="S2049" s="43">
        <v>0</v>
      </c>
      <c r="T2049" s="43">
        <v>0</v>
      </c>
      <c r="U2049" s="56"/>
    </row>
    <row r="2050" spans="1:21" ht="17.25" customHeight="1" x14ac:dyDescent="0.3">
      <c r="A2050" s="15" t="s">
        <v>30</v>
      </c>
      <c r="C2050" s="19"/>
      <c r="D2050" s="33" t="str">
        <f t="shared" si="500"/>
        <v>S100026</v>
      </c>
      <c r="E2050" s="33"/>
      <c r="F2050" s="34"/>
      <c r="G2050" s="34" t="str">
        <f>"""NAV Direct"",""CRONUS JetCorp USA"",""32"",""1"",""168629"""</f>
        <v>"NAV Direct","CRONUS JetCorp USA","32","1","168629"</v>
      </c>
      <c r="H2050" s="40">
        <v>43466</v>
      </c>
      <c r="I2050" s="41">
        <v>168629</v>
      </c>
      <c r="J2050" s="42" t="str">
        <f>"Vendor"</f>
        <v>Vendor</v>
      </c>
      <c r="K2050" s="42" t="str">
        <f>"V100001"</f>
        <v>V100001</v>
      </c>
      <c r="L2050" s="42" t="str">
        <f>IF($J2050="Customer",_xll.NL("first",$J2050,"Name","No.","@@"&amp;$K2050),"")</f>
        <v/>
      </c>
      <c r="M2050" s="42" t="str">
        <f>"Greigner, Inc."</f>
        <v>Greigner, Inc.</v>
      </c>
      <c r="N2050" s="42" t="str">
        <f>IF($J2050="Item",_xll.NL("first",$J2050,"Description","No.","@@"&amp;$K2050),"")</f>
        <v/>
      </c>
      <c r="O2050" s="43">
        <v>3999.9999999999995</v>
      </c>
      <c r="P2050" s="43">
        <v>0</v>
      </c>
      <c r="Q2050" s="43">
        <v>0</v>
      </c>
      <c r="R2050" s="43">
        <v>0</v>
      </c>
      <c r="S2050" s="43">
        <v>0</v>
      </c>
      <c r="T2050" s="43">
        <v>0</v>
      </c>
      <c r="U2050" s="56"/>
    </row>
    <row r="2051" spans="1:21" ht="17.25" customHeight="1" x14ac:dyDescent="0.3">
      <c r="A2051" s="15" t="s">
        <v>30</v>
      </c>
      <c r="C2051" s="19"/>
      <c r="D2051" s="33" t="str">
        <f t="shared" si="500"/>
        <v>S100026</v>
      </c>
      <c r="E2051" s="33"/>
      <c r="F2051" s="34"/>
      <c r="G2051" s="34" t="str">
        <f>"""NAV Direct"",""CRONUS JetCorp USA"",""32"",""1"",""168647"""</f>
        <v>"NAV Direct","CRONUS JetCorp USA","32","1","168647"</v>
      </c>
      <c r="H2051" s="40">
        <v>43466</v>
      </c>
      <c r="I2051" s="41">
        <v>168647</v>
      </c>
      <c r="J2051" s="42" t="str">
        <f>"Vendor"</f>
        <v>Vendor</v>
      </c>
      <c r="K2051" s="42" t="str">
        <f>"V100047"</f>
        <v>V100047</v>
      </c>
      <c r="L2051" s="42" t="str">
        <f>IF($J2051="Customer",_xll.NL("first",$J2051,"Name","No.","@@"&amp;$K2051),"")</f>
        <v/>
      </c>
      <c r="M2051" s="42" t="str">
        <f>"WoodMart Supply Co."</f>
        <v>WoodMart Supply Co.</v>
      </c>
      <c r="N2051" s="42" t="str">
        <f>IF($J2051="Item",_xll.NL("first",$J2051,"Description","No.","@@"&amp;$K2051),"")</f>
        <v/>
      </c>
      <c r="O2051" s="43">
        <v>750</v>
      </c>
      <c r="P2051" s="43">
        <v>0</v>
      </c>
      <c r="Q2051" s="43">
        <v>0</v>
      </c>
      <c r="R2051" s="43">
        <v>0</v>
      </c>
      <c r="S2051" s="43">
        <v>0</v>
      </c>
      <c r="T2051" s="43">
        <v>0</v>
      </c>
      <c r="U2051" s="56"/>
    </row>
    <row r="2052" spans="1:21" ht="17.25" customHeight="1" x14ac:dyDescent="0.3">
      <c r="A2052" s="15" t="s">
        <v>30</v>
      </c>
      <c r="C2052" s="19"/>
      <c r="D2052" s="33" t="str">
        <f t="shared" si="500"/>
        <v>S100026</v>
      </c>
      <c r="E2052" s="33"/>
      <c r="F2052" s="34"/>
      <c r="G2052" s="34" t="str">
        <f>"""NAV Direct"",""CRONUS JetCorp USA"",""32"",""1"",""168653"""</f>
        <v>"NAV Direct","CRONUS JetCorp USA","32","1","168653"</v>
      </c>
      <c r="H2052" s="40">
        <v>43466</v>
      </c>
      <c r="I2052" s="41">
        <v>168653</v>
      </c>
      <c r="J2052" s="42" t="str">
        <f>"Vendor"</f>
        <v>Vendor</v>
      </c>
      <c r="K2052" s="42" t="str">
        <f>"V100003"</f>
        <v>V100003</v>
      </c>
      <c r="L2052" s="42" t="str">
        <f>IF($J2052="Customer",_xll.NL("first",$J2052,"Name","No.","@@"&amp;$K2052),"")</f>
        <v/>
      </c>
      <c r="M2052" s="42" t="str">
        <f>"LogoMasters"</f>
        <v>LogoMasters</v>
      </c>
      <c r="N2052" s="42" t="str">
        <f>IF($J2052="Item",_xll.NL("first",$J2052,"Description","No.","@@"&amp;$K2052),"")</f>
        <v/>
      </c>
      <c r="O2052" s="43">
        <v>1999.9999999999998</v>
      </c>
      <c r="P2052" s="43">
        <v>0</v>
      </c>
      <c r="Q2052" s="43">
        <v>0</v>
      </c>
      <c r="R2052" s="43">
        <v>0</v>
      </c>
      <c r="S2052" s="43">
        <v>0</v>
      </c>
      <c r="T2052" s="43">
        <v>0</v>
      </c>
      <c r="U2052" s="56"/>
    </row>
    <row r="2053" spans="1:21" ht="17.25" customHeight="1" x14ac:dyDescent="0.3">
      <c r="A2053" s="15" t="s">
        <v>30</v>
      </c>
      <c r="C2053" s="19"/>
      <c r="D2053" s="33" t="str">
        <f t="shared" si="500"/>
        <v>S100026</v>
      </c>
      <c r="E2053" s="33"/>
      <c r="F2053" s="34"/>
      <c r="G2053" s="34" t="str">
        <f>"""NAV Direct"",""CRONUS JetCorp USA"",""32"",""1"",""168671"""</f>
        <v>"NAV Direct","CRONUS JetCorp USA","32","1","168671"</v>
      </c>
      <c r="H2053" s="40">
        <v>43466</v>
      </c>
      <c r="I2053" s="41">
        <v>168671</v>
      </c>
      <c r="J2053" s="42" t="str">
        <f>"Vendor"</f>
        <v>Vendor</v>
      </c>
      <c r="K2053" s="42" t="str">
        <f>"V100001"</f>
        <v>V100001</v>
      </c>
      <c r="L2053" s="42" t="str">
        <f>IF($J2053="Customer",_xll.NL("first",$J2053,"Name","No.","@@"&amp;$K2053),"")</f>
        <v/>
      </c>
      <c r="M2053" s="42" t="str">
        <f>"Greigner, Inc."</f>
        <v>Greigner, Inc.</v>
      </c>
      <c r="N2053" s="42" t="str">
        <f>IF($J2053="Item",_xll.NL("first",$J2053,"Description","No.","@@"&amp;$K2053),"")</f>
        <v/>
      </c>
      <c r="O2053" s="43">
        <v>499.99999999999994</v>
      </c>
      <c r="P2053" s="43">
        <v>0</v>
      </c>
      <c r="Q2053" s="43">
        <v>0</v>
      </c>
      <c r="R2053" s="43">
        <v>0</v>
      </c>
      <c r="S2053" s="43">
        <v>0</v>
      </c>
      <c r="T2053" s="43">
        <v>0</v>
      </c>
      <c r="U2053" s="56"/>
    </row>
    <row r="2054" spans="1:21" ht="17.25" customHeight="1" x14ac:dyDescent="0.3">
      <c r="A2054" s="15" t="s">
        <v>30</v>
      </c>
      <c r="C2054" s="19"/>
      <c r="D2054" s="33" t="str">
        <f t="shared" si="500"/>
        <v>S100026</v>
      </c>
      <c r="E2054" s="33"/>
      <c r="F2054" s="34"/>
      <c r="G2054" s="34" t="str">
        <f>"""NAV Direct"",""CRONUS JetCorp USA"",""32"",""1"",""78849"""</f>
        <v>"NAV Direct","CRONUS JetCorp USA","32","1","78849"</v>
      </c>
      <c r="H2054" s="40">
        <v>43470</v>
      </c>
      <c r="I2054" s="41">
        <v>78849</v>
      </c>
      <c r="J2054" s="42" t="str">
        <f>"Customer"</f>
        <v>Customer</v>
      </c>
      <c r="K2054" s="42" t="str">
        <f>"C100117"</f>
        <v>C100117</v>
      </c>
      <c r="L2054" s="42" t="str">
        <f>IF($J2054="Customer",_xll.NL("first",$J2054,"Name","No.","@@"&amp;$K2054),"")</f>
        <v xml:space="preserve">Tintax </v>
      </c>
      <c r="M2054" s="42" t="str">
        <f>""</f>
        <v/>
      </c>
      <c r="N2054" s="42" t="str">
        <f>IF($J2054="Item",_xll.NL("first",$J2054,"Description","No.","@@"&amp;$K2054),"")</f>
        <v/>
      </c>
      <c r="O2054" s="43">
        <v>0</v>
      </c>
      <c r="P2054" s="43">
        <v>-48</v>
      </c>
      <c r="Q2054" s="43">
        <v>0</v>
      </c>
      <c r="R2054" s="43">
        <v>0</v>
      </c>
      <c r="S2054" s="43">
        <v>0</v>
      </c>
      <c r="T2054" s="43">
        <v>0</v>
      </c>
      <c r="U2054" s="56"/>
    </row>
    <row r="2055" spans="1:21" ht="17.25" customHeight="1" x14ac:dyDescent="0.3">
      <c r="A2055" s="15" t="s">
        <v>30</v>
      </c>
      <c r="C2055" s="19"/>
      <c r="D2055" s="33" t="str">
        <f t="shared" si="500"/>
        <v>S100026</v>
      </c>
      <c r="E2055" s="33"/>
      <c r="F2055" s="34"/>
      <c r="G2055" s="34" t="str">
        <f>"""NAV Direct"",""CRONUS JetCorp USA"",""32"",""1"",""153164"""</f>
        <v>"NAV Direct","CRONUS JetCorp USA","32","1","153164"</v>
      </c>
      <c r="H2055" s="40">
        <v>43470</v>
      </c>
      <c r="I2055" s="41">
        <v>153164</v>
      </c>
      <c r="J2055" s="42" t="str">
        <f>"Customer"</f>
        <v>Customer</v>
      </c>
      <c r="K2055" s="42" t="str">
        <f>"C100136"</f>
        <v>C100136</v>
      </c>
      <c r="L2055" s="42" t="str">
        <f>IF($J2055="Customer",_xll.NL("first",$J2055,"Name","No.","@@"&amp;$K2055),"")</f>
        <v>First Bank</v>
      </c>
      <c r="M2055" s="42" t="str">
        <f>""</f>
        <v/>
      </c>
      <c r="N2055" s="42" t="str">
        <f>IF($J2055="Item",_xll.NL("first",$J2055,"Description","No.","@@"&amp;$K2055),"")</f>
        <v/>
      </c>
      <c r="O2055" s="43">
        <v>0</v>
      </c>
      <c r="P2055" s="43">
        <v>-144</v>
      </c>
      <c r="Q2055" s="43">
        <v>0</v>
      </c>
      <c r="R2055" s="43">
        <v>0</v>
      </c>
      <c r="S2055" s="43">
        <v>0</v>
      </c>
      <c r="T2055" s="43">
        <v>0</v>
      </c>
      <c r="U2055" s="56"/>
    </row>
    <row r="2056" spans="1:21" ht="17.25" customHeight="1" x14ac:dyDescent="0.3">
      <c r="A2056" s="15" t="s">
        <v>30</v>
      </c>
      <c r="C2056" s="19"/>
      <c r="D2056" s="33" t="str">
        <f t="shared" si="500"/>
        <v>S100026</v>
      </c>
      <c r="E2056" s="33"/>
      <c r="F2056" s="34"/>
      <c r="G2056" s="34" t="str">
        <f>"""NAV Direct"",""CRONUS JetCorp USA"",""32"",""1"",""72507"""</f>
        <v>"NAV Direct","CRONUS JetCorp USA","32","1","72507"</v>
      </c>
      <c r="H2056" s="40">
        <v>43471</v>
      </c>
      <c r="I2056" s="41">
        <v>72507</v>
      </c>
      <c r="J2056" s="42" t="str">
        <f>"Customer"</f>
        <v>Customer</v>
      </c>
      <c r="K2056" s="42" t="str">
        <f>"C100107"</f>
        <v>C100107</v>
      </c>
      <c r="L2056" s="42" t="str">
        <f>IF($J2056="Customer",_xll.NL("first",$J2056,"Name","No.","@@"&amp;$K2056),"")</f>
        <v>Lexitechnology</v>
      </c>
      <c r="M2056" s="42" t="str">
        <f>""</f>
        <v/>
      </c>
      <c r="N2056" s="42" t="str">
        <f>IF($J2056="Item",_xll.NL("first",$J2056,"Description","No.","@@"&amp;$K2056),"")</f>
        <v/>
      </c>
      <c r="O2056" s="43">
        <v>0</v>
      </c>
      <c r="P2056" s="43">
        <v>-288</v>
      </c>
      <c r="Q2056" s="43">
        <v>0</v>
      </c>
      <c r="R2056" s="43">
        <v>0</v>
      </c>
      <c r="S2056" s="43">
        <v>0</v>
      </c>
      <c r="T2056" s="43">
        <v>0</v>
      </c>
      <c r="U2056" s="56"/>
    </row>
    <row r="2057" spans="1:21" ht="17.25" customHeight="1" x14ac:dyDescent="0.3">
      <c r="A2057" s="15" t="s">
        <v>30</v>
      </c>
      <c r="C2057" s="19"/>
      <c r="D2057" s="33" t="str">
        <f t="shared" si="500"/>
        <v>S100026</v>
      </c>
      <c r="E2057" s="33"/>
      <c r="F2057" s="34"/>
      <c r="G2057" s="34" t="str">
        <f>"""NAV Direct"",""CRONUS JetCorp USA"",""32"",""1"",""44465"""</f>
        <v>"NAV Direct","CRONUS JetCorp USA","32","1","44465"</v>
      </c>
      <c r="H2057" s="40">
        <v>43472</v>
      </c>
      <c r="I2057" s="41">
        <v>44465</v>
      </c>
      <c r="J2057" s="42" t="str">
        <f>"Customer"</f>
        <v>Customer</v>
      </c>
      <c r="K2057" s="42" t="str">
        <f>"C100141"</f>
        <v>C100141</v>
      </c>
      <c r="L2057" s="42" t="str">
        <f>IF($J2057="Customer",_xll.NL("first",$J2057,"Name","No.","@@"&amp;$K2057),"")</f>
        <v>Bargottis</v>
      </c>
      <c r="M2057" s="42" t="str">
        <f>""</f>
        <v/>
      </c>
      <c r="N2057" s="42" t="str">
        <f>IF($J2057="Item",_xll.NL("first",$J2057,"Description","No.","@@"&amp;$K2057),"")</f>
        <v/>
      </c>
      <c r="O2057" s="43">
        <v>0</v>
      </c>
      <c r="P2057" s="43">
        <v>-144</v>
      </c>
      <c r="Q2057" s="43">
        <v>0</v>
      </c>
      <c r="R2057" s="43">
        <v>0</v>
      </c>
      <c r="S2057" s="43">
        <v>0</v>
      </c>
      <c r="T2057" s="43">
        <v>0</v>
      </c>
      <c r="U2057" s="56"/>
    </row>
    <row r="2058" spans="1:21" ht="17.25" customHeight="1" x14ac:dyDescent="0.3">
      <c r="A2058" s="15" t="s">
        <v>30</v>
      </c>
      <c r="C2058" s="19"/>
      <c r="D2058" s="33" t="str">
        <f t="shared" si="500"/>
        <v>S100026</v>
      </c>
      <c r="E2058" s="33"/>
      <c r="F2058" s="34"/>
      <c r="G2058" s="34" t="str">
        <f>"""NAV Direct"",""CRONUS JetCorp USA"",""32"",""1"",""54721"""</f>
        <v>"NAV Direct","CRONUS JetCorp USA","32","1","54721"</v>
      </c>
      <c r="H2058" s="40">
        <v>43472</v>
      </c>
      <c r="I2058" s="41">
        <v>54721</v>
      </c>
      <c r="J2058" s="42" t="str">
        <f>"Customer"</f>
        <v>Customer</v>
      </c>
      <c r="K2058" s="42" t="str">
        <f>"C100084"</f>
        <v>C100084</v>
      </c>
      <c r="L2058" s="42" t="str">
        <f>IF($J2058="Customer",_xll.NL("first",$J2058,"Name","No.","@@"&amp;$K2058),"")</f>
        <v>The Cannon Group PLC</v>
      </c>
      <c r="M2058" s="42" t="str">
        <f>""</f>
        <v/>
      </c>
      <c r="N2058" s="42" t="str">
        <f>IF($J2058="Item",_xll.NL("first",$J2058,"Description","No.","@@"&amp;$K2058),"")</f>
        <v/>
      </c>
      <c r="O2058" s="43">
        <v>0</v>
      </c>
      <c r="P2058" s="43">
        <v>-144</v>
      </c>
      <c r="Q2058" s="43">
        <v>0</v>
      </c>
      <c r="R2058" s="43">
        <v>0</v>
      </c>
      <c r="S2058" s="43">
        <v>0</v>
      </c>
      <c r="T2058" s="43">
        <v>0</v>
      </c>
      <c r="U2058" s="56"/>
    </row>
    <row r="2059" spans="1:21" ht="17.25" customHeight="1" x14ac:dyDescent="0.3">
      <c r="A2059" s="15" t="s">
        <v>30</v>
      </c>
      <c r="C2059" s="19"/>
      <c r="D2059" s="33" t="str">
        <f t="shared" si="500"/>
        <v>S100026</v>
      </c>
      <c r="E2059" s="33"/>
      <c r="F2059" s="34"/>
      <c r="G2059" s="34" t="str">
        <f>"""NAV Direct"",""CRONUS JetCorp USA"",""32"",""1"",""64594"""</f>
        <v>"NAV Direct","CRONUS JetCorp USA","32","1","64594"</v>
      </c>
      <c r="H2059" s="40">
        <v>43472</v>
      </c>
      <c r="I2059" s="41">
        <v>64594</v>
      </c>
      <c r="J2059" s="42" t="str">
        <f>"Customer"</f>
        <v>Customer</v>
      </c>
      <c r="K2059" s="42" t="str">
        <f>"C100140"</f>
        <v>C100140</v>
      </c>
      <c r="L2059" s="42" t="str">
        <f>IF($J2059="Customer",_xll.NL("first",$J2059,"Name","No.","@@"&amp;$K2059),"")</f>
        <v>Super Daves</v>
      </c>
      <c r="M2059" s="42" t="str">
        <f>""</f>
        <v/>
      </c>
      <c r="N2059" s="42" t="str">
        <f>IF($J2059="Item",_xll.NL("first",$J2059,"Description","No.","@@"&amp;$K2059),"")</f>
        <v/>
      </c>
      <c r="O2059" s="43">
        <v>0</v>
      </c>
      <c r="P2059" s="43">
        <v>-288</v>
      </c>
      <c r="Q2059" s="43">
        <v>0</v>
      </c>
      <c r="R2059" s="43">
        <v>0</v>
      </c>
      <c r="S2059" s="43">
        <v>0</v>
      </c>
      <c r="T2059" s="43">
        <v>0</v>
      </c>
      <c r="U2059" s="56"/>
    </row>
    <row r="2060" spans="1:21" ht="17.25" customHeight="1" x14ac:dyDescent="0.3">
      <c r="A2060" s="15" t="s">
        <v>30</v>
      </c>
      <c r="C2060" s="19"/>
      <c r="D2060" s="33" t="str">
        <f t="shared" si="500"/>
        <v>S100026</v>
      </c>
      <c r="E2060" s="33"/>
      <c r="F2060" s="34"/>
      <c r="G2060" s="34" t="str">
        <f>"""NAV Direct"",""CRONUS JetCorp USA"",""32"",""1"",""44541"""</f>
        <v>"NAV Direct","CRONUS JetCorp USA","32","1","44541"</v>
      </c>
      <c r="H2060" s="40">
        <v>43473</v>
      </c>
      <c r="I2060" s="41">
        <v>44541</v>
      </c>
      <c r="J2060" s="42" t="str">
        <f>"Customer"</f>
        <v>Customer</v>
      </c>
      <c r="K2060" s="42" t="str">
        <f>"C100139"</f>
        <v>C100139</v>
      </c>
      <c r="L2060" s="42" t="str">
        <f>IF($J2060="Customer",_xll.NL("first",$J2060,"Name","No.","@@"&amp;$K2060),"")</f>
        <v>Gamma Ray's</v>
      </c>
      <c r="M2060" s="42" t="str">
        <f>""</f>
        <v/>
      </c>
      <c r="N2060" s="42" t="str">
        <f>IF($J2060="Item",_xll.NL("first",$J2060,"Description","No.","@@"&amp;$K2060),"")</f>
        <v/>
      </c>
      <c r="O2060" s="43">
        <v>0</v>
      </c>
      <c r="P2060" s="43">
        <v>-1</v>
      </c>
      <c r="Q2060" s="43">
        <v>0</v>
      </c>
      <c r="R2060" s="43">
        <v>0</v>
      </c>
      <c r="S2060" s="43">
        <v>0</v>
      </c>
      <c r="T2060" s="43">
        <v>0</v>
      </c>
      <c r="U2060" s="56"/>
    </row>
    <row r="2061" spans="1:21" ht="17.25" customHeight="1" x14ac:dyDescent="0.3">
      <c r="A2061" s="15" t="s">
        <v>30</v>
      </c>
      <c r="C2061" s="19"/>
      <c r="D2061" s="33" t="str">
        <f t="shared" si="500"/>
        <v>S100026</v>
      </c>
      <c r="E2061" s="33"/>
      <c r="F2061" s="34"/>
      <c r="G2061" s="34" t="str">
        <f>"""NAV Direct"",""CRONUS JetCorp USA"",""32"",""1"",""54691"""</f>
        <v>"NAV Direct","CRONUS JetCorp USA","32","1","54691"</v>
      </c>
      <c r="H2061" s="40">
        <v>43474</v>
      </c>
      <c r="I2061" s="41">
        <v>54691</v>
      </c>
      <c r="J2061" s="42" t="str">
        <f>"Customer"</f>
        <v>Customer</v>
      </c>
      <c r="K2061" s="42" t="str">
        <f>"C100096"</f>
        <v>C100096</v>
      </c>
      <c r="L2061" s="42" t="str">
        <f>IF($J2061="Customer",_xll.NL("first",$J2061,"Name","No.","@@"&amp;$K2061),"")</f>
        <v>D-Com Industries</v>
      </c>
      <c r="M2061" s="42" t="str">
        <f>""</f>
        <v/>
      </c>
      <c r="N2061" s="42" t="str">
        <f>IF($J2061="Item",_xll.NL("first",$J2061,"Description","No.","@@"&amp;$K2061),"")</f>
        <v/>
      </c>
      <c r="O2061" s="43">
        <v>0</v>
      </c>
      <c r="P2061" s="43">
        <v>-432</v>
      </c>
      <c r="Q2061" s="43">
        <v>0</v>
      </c>
      <c r="R2061" s="43">
        <v>0</v>
      </c>
      <c r="S2061" s="43">
        <v>0</v>
      </c>
      <c r="T2061" s="43">
        <v>0</v>
      </c>
      <c r="U2061" s="56"/>
    </row>
    <row r="2062" spans="1:21" ht="17.25" customHeight="1" x14ac:dyDescent="0.3">
      <c r="A2062" s="15" t="s">
        <v>30</v>
      </c>
      <c r="C2062" s="19"/>
      <c r="D2062" s="33" t="str">
        <f t="shared" si="500"/>
        <v>S100026</v>
      </c>
      <c r="E2062" s="33"/>
      <c r="F2062" s="34"/>
      <c r="G2062" s="34" t="str">
        <f>"""NAV Direct"",""CRONUS JetCorp USA"",""32"",""1"",""159980"""</f>
        <v>"NAV Direct","CRONUS JetCorp USA","32","1","159980"</v>
      </c>
      <c r="H2062" s="40">
        <v>43474</v>
      </c>
      <c r="I2062" s="41">
        <v>159980</v>
      </c>
      <c r="J2062" s="42" t="str">
        <f>"Customer"</f>
        <v>Customer</v>
      </c>
      <c r="K2062" s="42" t="str">
        <f>"C100107"</f>
        <v>C100107</v>
      </c>
      <c r="L2062" s="42" t="str">
        <f>IF($J2062="Customer",_xll.NL("first",$J2062,"Name","No.","@@"&amp;$K2062),"")</f>
        <v>Lexitechnology</v>
      </c>
      <c r="M2062" s="42" t="str">
        <f>""</f>
        <v/>
      </c>
      <c r="N2062" s="42" t="str">
        <f>IF($J2062="Item",_xll.NL("first",$J2062,"Description","No.","@@"&amp;$K2062),"")</f>
        <v/>
      </c>
      <c r="O2062" s="43">
        <v>0</v>
      </c>
      <c r="P2062" s="43">
        <v>1</v>
      </c>
      <c r="Q2062" s="43">
        <v>0</v>
      </c>
      <c r="R2062" s="43">
        <v>0</v>
      </c>
      <c r="S2062" s="43">
        <v>0</v>
      </c>
      <c r="T2062" s="43">
        <v>0</v>
      </c>
      <c r="U2062" s="56"/>
    </row>
    <row r="2063" spans="1:21" ht="17.25" customHeight="1" x14ac:dyDescent="0.3">
      <c r="A2063" s="15" t="s">
        <v>30</v>
      </c>
      <c r="C2063" s="19"/>
      <c r="D2063" s="33"/>
      <c r="E2063" s="33"/>
      <c r="F2063" s="34"/>
      <c r="G2063" s="34"/>
      <c r="H2063" s="34"/>
      <c r="I2063" s="34"/>
      <c r="J2063" s="34"/>
      <c r="K2063" s="34"/>
      <c r="L2063" s="34"/>
      <c r="M2063" s="34"/>
      <c r="N2063" s="34"/>
      <c r="O2063" s="44"/>
      <c r="P2063" s="44"/>
      <c r="Q2063" s="44"/>
      <c r="R2063" s="44"/>
      <c r="S2063" s="44"/>
      <c r="T2063" s="44"/>
      <c r="U2063" s="57"/>
    </row>
    <row r="2064" spans="1:21" ht="17.25" customHeight="1" x14ac:dyDescent="0.3">
      <c r="A2064" s="15" t="s">
        <v>30</v>
      </c>
      <c r="C2064" s="19"/>
      <c r="D2064" s="33"/>
      <c r="E2064" s="33" t="s">
        <v>31</v>
      </c>
      <c r="F2064" s="34" t="s">
        <v>31</v>
      </c>
      <c r="G2064" s="34" t="s">
        <v>31</v>
      </c>
      <c r="H2064" s="34"/>
      <c r="I2064" s="34"/>
      <c r="J2064" s="34" t="s">
        <v>31</v>
      </c>
      <c r="K2064" s="34" t="s">
        <v>31</v>
      </c>
      <c r="L2064" s="34" t="s">
        <v>31</v>
      </c>
      <c r="M2064" s="34" t="s">
        <v>31</v>
      </c>
      <c r="N2064" s="34"/>
      <c r="U2064" s="58"/>
    </row>
    <row r="2065" spans="1:21" ht="20.25" customHeight="1" x14ac:dyDescent="0.35">
      <c r="A2065" s="15" t="s">
        <v>30</v>
      </c>
      <c r="C2065" s="19"/>
      <c r="D2065" s="35" t="str">
        <f t="shared" ref="D2065" si="501">E2065</f>
        <v>S200001</v>
      </c>
      <c r="E2065" s="36" t="str">
        <f>"S200001"</f>
        <v>S200001</v>
      </c>
      <c r="F2065" s="37" t="str">
        <f>"3.25"" Lamp of Knowledge Trophy"</f>
        <v>3.25" Lamp of Knowledge Trophy</v>
      </c>
      <c r="G2065" s="37"/>
      <c r="H2065" s="38" t="str">
        <f>"EA"</f>
        <v>EA</v>
      </c>
      <c r="I2065" s="37"/>
      <c r="J2065" s="37"/>
      <c r="K2065" s="37"/>
      <c r="L2065" s="37"/>
      <c r="M2065" s="37"/>
      <c r="N2065" s="37"/>
      <c r="O2065" s="39">
        <f>(SUBTOTAL(9,O2066:O2067))</f>
        <v>249.99999999999997</v>
      </c>
      <c r="P2065" s="39">
        <f>(SUBTOTAL(9,P2066:P2067))</f>
        <v>0</v>
      </c>
      <c r="Q2065" s="39">
        <f>(SUBTOTAL(9,Q2066:Q2067))</f>
        <v>0</v>
      </c>
      <c r="R2065" s="39">
        <f>(SUBTOTAL(9,R2066:R2067))</f>
        <v>0</v>
      </c>
      <c r="S2065" s="39">
        <f>(SUBTOTAL(9,S2066:S2067))</f>
        <v>0</v>
      </c>
      <c r="T2065" s="39">
        <f>(SUBTOTAL(9,T2066:T2067))</f>
        <v>0</v>
      </c>
      <c r="U2065" s="55">
        <f t="shared" ref="U2065" si="502">SUBTOTAL(9,O2066:T2067)</f>
        <v>249.99999999999997</v>
      </c>
    </row>
    <row r="2066" spans="1:21" ht="17.25" customHeight="1" x14ac:dyDescent="0.3">
      <c r="A2066" s="15" t="s">
        <v>30</v>
      </c>
      <c r="C2066" s="19"/>
      <c r="D2066" s="33" t="str">
        <f t="shared" ref="D2066" si="503">D2065</f>
        <v>S200001</v>
      </c>
      <c r="E2066" s="33"/>
      <c r="F2066" s="34"/>
      <c r="G2066" s="34" t="str">
        <f>"""NAV Direct"",""CRONUS JetCorp USA"",""32"",""1"",""169240"""</f>
        <v>"NAV Direct","CRONUS JetCorp USA","32","1","169240"</v>
      </c>
      <c r="H2066" s="40">
        <v>43466</v>
      </c>
      <c r="I2066" s="41">
        <v>169240</v>
      </c>
      <c r="J2066" s="42" t="str">
        <f>"Vendor"</f>
        <v>Vendor</v>
      </c>
      <c r="K2066" s="42" t="str">
        <f>"V100001"</f>
        <v>V100001</v>
      </c>
      <c r="L2066" s="42" t="str">
        <f>IF($J2066="Customer",_xll.NL("first",$J2066,"Name","No.","@@"&amp;$K2066),"")</f>
        <v/>
      </c>
      <c r="M2066" s="42" t="str">
        <f>"Greigner, Inc."</f>
        <v>Greigner, Inc.</v>
      </c>
      <c r="N2066" s="42" t="str">
        <f>IF($J2066="Item",_xll.NL("first",$J2066,"Description","No.","@@"&amp;$K2066),"")</f>
        <v/>
      </c>
      <c r="O2066" s="43">
        <v>249.99999999999997</v>
      </c>
      <c r="P2066" s="43">
        <v>0</v>
      </c>
      <c r="Q2066" s="43">
        <v>0</v>
      </c>
      <c r="R2066" s="43">
        <v>0</v>
      </c>
      <c r="S2066" s="43">
        <v>0</v>
      </c>
      <c r="T2066" s="43">
        <v>0</v>
      </c>
      <c r="U2066" s="56"/>
    </row>
    <row r="2067" spans="1:21" ht="17.25" customHeight="1" x14ac:dyDescent="0.3">
      <c r="A2067" s="15" t="s">
        <v>30</v>
      </c>
      <c r="C2067" s="19"/>
      <c r="D2067" s="33"/>
      <c r="E2067" s="33"/>
      <c r="F2067" s="34"/>
      <c r="G2067" s="34"/>
      <c r="H2067" s="34"/>
      <c r="I2067" s="34"/>
      <c r="J2067" s="34"/>
      <c r="K2067" s="34"/>
      <c r="L2067" s="34"/>
      <c r="M2067" s="34"/>
      <c r="N2067" s="34"/>
      <c r="O2067" s="44"/>
      <c r="P2067" s="44"/>
      <c r="Q2067" s="44"/>
      <c r="R2067" s="44"/>
      <c r="S2067" s="44"/>
      <c r="T2067" s="44"/>
      <c r="U2067" s="57"/>
    </row>
    <row r="2068" spans="1:21" ht="17.25" customHeight="1" x14ac:dyDescent="0.3">
      <c r="A2068" s="15" t="s">
        <v>30</v>
      </c>
      <c r="C2068" s="19"/>
      <c r="D2068" s="33"/>
      <c r="E2068" s="33" t="s">
        <v>31</v>
      </c>
      <c r="F2068" s="34" t="s">
        <v>31</v>
      </c>
      <c r="G2068" s="34" t="s">
        <v>31</v>
      </c>
      <c r="H2068" s="34"/>
      <c r="I2068" s="34"/>
      <c r="J2068" s="34" t="s">
        <v>31</v>
      </c>
      <c r="K2068" s="34" t="s">
        <v>31</v>
      </c>
      <c r="L2068" s="34" t="s">
        <v>31</v>
      </c>
      <c r="M2068" s="34" t="s">
        <v>31</v>
      </c>
      <c r="N2068" s="34"/>
      <c r="U2068" s="58"/>
    </row>
    <row r="2069" spans="1:21" ht="20.25" customHeight="1" x14ac:dyDescent="0.35">
      <c r="A2069" s="15" t="s">
        <v>30</v>
      </c>
      <c r="C2069" s="19"/>
      <c r="D2069" s="35" t="str">
        <f t="shared" ref="D2069" si="504">E2069</f>
        <v>S200002</v>
      </c>
      <c r="E2069" s="36" t="str">
        <f>"S200002"</f>
        <v>S200002</v>
      </c>
      <c r="F2069" s="37" t="str">
        <f>"3.25"" Apple Trophy "</f>
        <v xml:space="preserve">3.25" Apple Trophy </v>
      </c>
      <c r="G2069" s="37"/>
      <c r="H2069" s="38" t="str">
        <f>"EA"</f>
        <v>EA</v>
      </c>
      <c r="I2069" s="37"/>
      <c r="J2069" s="37"/>
      <c r="K2069" s="37"/>
      <c r="L2069" s="37"/>
      <c r="M2069" s="37"/>
      <c r="N2069" s="37"/>
      <c r="O2069" s="39">
        <f>(SUBTOTAL(9,O2070:O2071))</f>
        <v>249.99999999999997</v>
      </c>
      <c r="P2069" s="39">
        <f>(SUBTOTAL(9,P2070:P2071))</f>
        <v>0</v>
      </c>
      <c r="Q2069" s="39">
        <f>(SUBTOTAL(9,Q2070:Q2071))</f>
        <v>0</v>
      </c>
      <c r="R2069" s="39">
        <f>(SUBTOTAL(9,R2070:R2071))</f>
        <v>0</v>
      </c>
      <c r="S2069" s="39">
        <f>(SUBTOTAL(9,S2070:S2071))</f>
        <v>0</v>
      </c>
      <c r="T2069" s="39">
        <f>(SUBTOTAL(9,T2070:T2071))</f>
        <v>0</v>
      </c>
      <c r="U2069" s="55">
        <f t="shared" ref="U2069" si="505">SUBTOTAL(9,O2070:T2071)</f>
        <v>249.99999999999997</v>
      </c>
    </row>
    <row r="2070" spans="1:21" ht="17.25" customHeight="1" x14ac:dyDescent="0.3">
      <c r="A2070" s="15" t="s">
        <v>30</v>
      </c>
      <c r="C2070" s="19"/>
      <c r="D2070" s="33" t="str">
        <f t="shared" ref="D2070" si="506">D2069</f>
        <v>S200002</v>
      </c>
      <c r="E2070" s="33"/>
      <c r="F2070" s="34"/>
      <c r="G2070" s="34" t="str">
        <f>"""NAV Direct"",""CRONUS JetCorp USA"",""32"",""1"",""169239"""</f>
        <v>"NAV Direct","CRONUS JetCorp USA","32","1","169239"</v>
      </c>
      <c r="H2070" s="40">
        <v>43466</v>
      </c>
      <c r="I2070" s="41">
        <v>169239</v>
      </c>
      <c r="J2070" s="42" t="str">
        <f>"Vendor"</f>
        <v>Vendor</v>
      </c>
      <c r="K2070" s="42" t="str">
        <f>"V100001"</f>
        <v>V100001</v>
      </c>
      <c r="L2070" s="42" t="str">
        <f>IF($J2070="Customer",_xll.NL("first",$J2070,"Name","No.","@@"&amp;$K2070),"")</f>
        <v/>
      </c>
      <c r="M2070" s="42" t="str">
        <f>"Greigner, Inc."</f>
        <v>Greigner, Inc.</v>
      </c>
      <c r="N2070" s="42" t="str">
        <f>IF($J2070="Item",_xll.NL("first",$J2070,"Description","No.","@@"&amp;$K2070),"")</f>
        <v/>
      </c>
      <c r="O2070" s="43">
        <v>249.99999999999997</v>
      </c>
      <c r="P2070" s="43">
        <v>0</v>
      </c>
      <c r="Q2070" s="43">
        <v>0</v>
      </c>
      <c r="R2070" s="43">
        <v>0</v>
      </c>
      <c r="S2070" s="43">
        <v>0</v>
      </c>
      <c r="T2070" s="43">
        <v>0</v>
      </c>
      <c r="U2070" s="56"/>
    </row>
    <row r="2071" spans="1:21" ht="17.25" customHeight="1" x14ac:dyDescent="0.3">
      <c r="A2071" s="15" t="s">
        <v>30</v>
      </c>
      <c r="C2071" s="19"/>
      <c r="D2071" s="33"/>
      <c r="E2071" s="33"/>
      <c r="F2071" s="34"/>
      <c r="G2071" s="34"/>
      <c r="H2071" s="34"/>
      <c r="I2071" s="34"/>
      <c r="J2071" s="34"/>
      <c r="K2071" s="34"/>
      <c r="L2071" s="34"/>
      <c r="M2071" s="34"/>
      <c r="N2071" s="34"/>
      <c r="O2071" s="44"/>
      <c r="P2071" s="44"/>
      <c r="Q2071" s="44"/>
      <c r="R2071" s="44"/>
      <c r="S2071" s="44"/>
      <c r="T2071" s="44"/>
      <c r="U2071" s="57"/>
    </row>
    <row r="2072" spans="1:21" ht="17.25" customHeight="1" x14ac:dyDescent="0.3">
      <c r="A2072" s="15" t="s">
        <v>30</v>
      </c>
      <c r="C2072" s="19"/>
      <c r="D2072" s="33"/>
      <c r="E2072" s="33" t="s">
        <v>31</v>
      </c>
      <c r="F2072" s="34" t="s">
        <v>31</v>
      </c>
      <c r="G2072" s="34" t="s">
        <v>31</v>
      </c>
      <c r="H2072" s="34"/>
      <c r="I2072" s="34"/>
      <c r="J2072" s="34" t="s">
        <v>31</v>
      </c>
      <c r="K2072" s="34" t="s">
        <v>31</v>
      </c>
      <c r="L2072" s="34" t="s">
        <v>31</v>
      </c>
      <c r="M2072" s="34" t="s">
        <v>31</v>
      </c>
      <c r="N2072" s="34"/>
      <c r="U2072" s="58"/>
    </row>
    <row r="2073" spans="1:21" ht="20.25" customHeight="1" x14ac:dyDescent="0.35">
      <c r="A2073" s="15" t="s">
        <v>30</v>
      </c>
      <c r="C2073" s="19"/>
      <c r="D2073" s="35" t="str">
        <f t="shared" ref="D2073" si="507">E2073</f>
        <v>S200004</v>
      </c>
      <c r="E2073" s="36" t="str">
        <f>"S200004"</f>
        <v>S200004</v>
      </c>
      <c r="F2073" s="37" t="str">
        <f>"5"" Female Graduate Trophy"</f>
        <v>5" Female Graduate Trophy</v>
      </c>
      <c r="G2073" s="37"/>
      <c r="H2073" s="38" t="str">
        <f>"EA"</f>
        <v>EA</v>
      </c>
      <c r="I2073" s="37"/>
      <c r="J2073" s="37"/>
      <c r="K2073" s="37"/>
      <c r="L2073" s="37"/>
      <c r="M2073" s="37"/>
      <c r="N2073" s="37"/>
      <c r="O2073" s="39">
        <f>(SUBTOTAL(9,O2074:O2076))</f>
        <v>0</v>
      </c>
      <c r="P2073" s="39">
        <f>(SUBTOTAL(9,P2074:P2076))</f>
        <v>-288</v>
      </c>
      <c r="Q2073" s="39">
        <f>(SUBTOTAL(9,Q2074:Q2076))</f>
        <v>0</v>
      </c>
      <c r="R2073" s="39">
        <f>(SUBTOTAL(9,R2074:R2076))</f>
        <v>0</v>
      </c>
      <c r="S2073" s="39">
        <f>(SUBTOTAL(9,S2074:S2076))</f>
        <v>0</v>
      </c>
      <c r="T2073" s="39">
        <f>(SUBTOTAL(9,T2074:T2076))</f>
        <v>0</v>
      </c>
      <c r="U2073" s="55">
        <f t="shared" ref="U2073" si="508">SUBTOTAL(9,O2074:T2076)</f>
        <v>-288</v>
      </c>
    </row>
    <row r="2074" spans="1:21" ht="17.25" customHeight="1" x14ac:dyDescent="0.3">
      <c r="A2074" s="15" t="s">
        <v>30</v>
      </c>
      <c r="C2074" s="19"/>
      <c r="D2074" s="33" t="str">
        <f t="shared" ref="D2074" si="509">D2073</f>
        <v>S200004</v>
      </c>
      <c r="E2074" s="33"/>
      <c r="F2074" s="34"/>
      <c r="G2074" s="34" t="str">
        <f>"""NAV Direct"",""CRONUS JetCorp USA"",""32"",""1"",""153162"""</f>
        <v>"NAV Direct","CRONUS JetCorp USA","32","1","153162"</v>
      </c>
      <c r="H2074" s="40">
        <v>43470</v>
      </c>
      <c r="I2074" s="41">
        <v>153162</v>
      </c>
      <c r="J2074" s="42" t="str">
        <f>"Customer"</f>
        <v>Customer</v>
      </c>
      <c r="K2074" s="42" t="str">
        <f>"C100136"</f>
        <v>C100136</v>
      </c>
      <c r="L2074" s="42" t="str">
        <f>IF($J2074="Customer",_xll.NL("first",$J2074,"Name","No.","@@"&amp;$K2074),"")</f>
        <v>First Bank</v>
      </c>
      <c r="M2074" s="42" t="str">
        <f>""</f>
        <v/>
      </c>
      <c r="N2074" s="42" t="str">
        <f>IF($J2074="Item",_xll.NL("first",$J2074,"Description","No.","@@"&amp;$K2074),"")</f>
        <v/>
      </c>
      <c r="O2074" s="43">
        <v>0</v>
      </c>
      <c r="P2074" s="43">
        <v>-144</v>
      </c>
      <c r="Q2074" s="43">
        <v>0</v>
      </c>
      <c r="R2074" s="43">
        <v>0</v>
      </c>
      <c r="S2074" s="43">
        <v>0</v>
      </c>
      <c r="T2074" s="43">
        <v>0</v>
      </c>
      <c r="U2074" s="56"/>
    </row>
    <row r="2075" spans="1:21" ht="17.25" customHeight="1" x14ac:dyDescent="0.3">
      <c r="A2075" s="15" t="s">
        <v>30</v>
      </c>
      <c r="C2075" s="19"/>
      <c r="D2075" s="33" t="str">
        <f t="shared" ref="D2075" si="510">D2074</f>
        <v>S200004</v>
      </c>
      <c r="E2075" s="33"/>
      <c r="F2075" s="34"/>
      <c r="G2075" s="34" t="str">
        <f>"""NAV Direct"",""CRONUS JetCorp USA"",""32"",""1"",""153179"""</f>
        <v>"NAV Direct","CRONUS JetCorp USA","32","1","153179"</v>
      </c>
      <c r="H2075" s="40">
        <v>43475</v>
      </c>
      <c r="I2075" s="41">
        <v>153179</v>
      </c>
      <c r="J2075" s="42" t="str">
        <f>"Customer"</f>
        <v>Customer</v>
      </c>
      <c r="K2075" s="42" t="str">
        <f>"C100108"</f>
        <v>C100108</v>
      </c>
      <c r="L2075" s="42" t="str">
        <f>IF($J2075="Customer",_xll.NL("first",$J2075,"Name","No.","@@"&amp;$K2075),"")</f>
        <v>Kinfix Industries</v>
      </c>
      <c r="M2075" s="42" t="str">
        <f>""</f>
        <v/>
      </c>
      <c r="N2075" s="42" t="str">
        <f>IF($J2075="Item",_xll.NL("first",$J2075,"Description","No.","@@"&amp;$K2075),"")</f>
        <v/>
      </c>
      <c r="O2075" s="43">
        <v>0</v>
      </c>
      <c r="P2075" s="43">
        <v>-144</v>
      </c>
      <c r="Q2075" s="43">
        <v>0</v>
      </c>
      <c r="R2075" s="43">
        <v>0</v>
      </c>
      <c r="S2075" s="43">
        <v>0</v>
      </c>
      <c r="T2075" s="43">
        <v>0</v>
      </c>
      <c r="U2075" s="56"/>
    </row>
    <row r="2076" spans="1:21" ht="17.25" customHeight="1" x14ac:dyDescent="0.3">
      <c r="A2076" s="15" t="s">
        <v>30</v>
      </c>
      <c r="C2076" s="19"/>
      <c r="D2076" s="33"/>
      <c r="E2076" s="33"/>
      <c r="F2076" s="34"/>
      <c r="G2076" s="34"/>
      <c r="H2076" s="34"/>
      <c r="I2076" s="34"/>
      <c r="J2076" s="34"/>
      <c r="K2076" s="34"/>
      <c r="L2076" s="34"/>
      <c r="M2076" s="34"/>
      <c r="N2076" s="34"/>
      <c r="O2076" s="44"/>
      <c r="P2076" s="44"/>
      <c r="Q2076" s="44"/>
      <c r="R2076" s="44"/>
      <c r="S2076" s="44"/>
      <c r="T2076" s="44"/>
      <c r="U2076" s="57"/>
    </row>
    <row r="2077" spans="1:21" ht="17.25" customHeight="1" x14ac:dyDescent="0.3">
      <c r="A2077" s="15" t="s">
        <v>30</v>
      </c>
      <c r="C2077" s="19"/>
      <c r="D2077" s="33"/>
      <c r="E2077" s="33" t="s">
        <v>31</v>
      </c>
      <c r="F2077" s="34" t="s">
        <v>31</v>
      </c>
      <c r="G2077" s="34" t="s">
        <v>31</v>
      </c>
      <c r="H2077" s="34"/>
      <c r="I2077" s="34"/>
      <c r="J2077" s="34" t="s">
        <v>31</v>
      </c>
      <c r="K2077" s="34" t="s">
        <v>31</v>
      </c>
      <c r="L2077" s="34" t="s">
        <v>31</v>
      </c>
      <c r="M2077" s="34" t="s">
        <v>31</v>
      </c>
      <c r="N2077" s="34"/>
      <c r="U2077" s="58"/>
    </row>
    <row r="2078" spans="1:21" ht="20.25" customHeight="1" x14ac:dyDescent="0.35">
      <c r="A2078" s="15" t="s">
        <v>30</v>
      </c>
      <c r="C2078" s="19"/>
      <c r="D2078" s="35" t="str">
        <f t="shared" ref="D2078" si="511">E2078</f>
        <v>S200005</v>
      </c>
      <c r="E2078" s="36" t="str">
        <f>"S200005"</f>
        <v>S200005</v>
      </c>
      <c r="F2078" s="37" t="str">
        <f>"4.75"" Spelling B Trophy"</f>
        <v>4.75" Spelling B Trophy</v>
      </c>
      <c r="G2078" s="37"/>
      <c r="H2078" s="38" t="str">
        <f>"EA"</f>
        <v>EA</v>
      </c>
      <c r="I2078" s="37"/>
      <c r="J2078" s="37"/>
      <c r="K2078" s="37"/>
      <c r="L2078" s="37"/>
      <c r="M2078" s="37"/>
      <c r="N2078" s="37"/>
      <c r="O2078" s="39">
        <f>(SUBTOTAL(9,O2079:O2080))</f>
        <v>249.99999999999997</v>
      </c>
      <c r="P2078" s="39">
        <f>(SUBTOTAL(9,P2079:P2080))</f>
        <v>0</v>
      </c>
      <c r="Q2078" s="39">
        <f>(SUBTOTAL(9,Q2079:Q2080))</f>
        <v>0</v>
      </c>
      <c r="R2078" s="39">
        <f>(SUBTOTAL(9,R2079:R2080))</f>
        <v>0</v>
      </c>
      <c r="S2078" s="39">
        <f>(SUBTOTAL(9,S2079:S2080))</f>
        <v>0</v>
      </c>
      <c r="T2078" s="39">
        <f>(SUBTOTAL(9,T2079:T2080))</f>
        <v>0</v>
      </c>
      <c r="U2078" s="55">
        <f t="shared" ref="U2078" si="512">SUBTOTAL(9,O2079:T2080)</f>
        <v>249.99999999999997</v>
      </c>
    </row>
    <row r="2079" spans="1:21" ht="17.25" customHeight="1" x14ac:dyDescent="0.3">
      <c r="A2079" s="15" t="s">
        <v>30</v>
      </c>
      <c r="C2079" s="19"/>
      <c r="D2079" s="33" t="str">
        <f t="shared" ref="D2079" si="513">D2078</f>
        <v>S200005</v>
      </c>
      <c r="E2079" s="33"/>
      <c r="F2079" s="34"/>
      <c r="G2079" s="34" t="str">
        <f>"""NAV Direct"",""CRONUS JetCorp USA"",""32"",""1"",""169246"""</f>
        <v>"NAV Direct","CRONUS JetCorp USA","32","1","169246"</v>
      </c>
      <c r="H2079" s="40">
        <v>43466</v>
      </c>
      <c r="I2079" s="41">
        <v>169246</v>
      </c>
      <c r="J2079" s="42" t="str">
        <f>"Vendor"</f>
        <v>Vendor</v>
      </c>
      <c r="K2079" s="42" t="str">
        <f>"V100003"</f>
        <v>V100003</v>
      </c>
      <c r="L2079" s="42" t="str">
        <f>IF($J2079="Customer",_xll.NL("first",$J2079,"Name","No.","@@"&amp;$K2079),"")</f>
        <v/>
      </c>
      <c r="M2079" s="42" t="str">
        <f>"LogoMasters"</f>
        <v>LogoMasters</v>
      </c>
      <c r="N2079" s="42" t="str">
        <f>IF($J2079="Item",_xll.NL("first",$J2079,"Description","No.","@@"&amp;$K2079),"")</f>
        <v/>
      </c>
      <c r="O2079" s="43">
        <v>249.99999999999997</v>
      </c>
      <c r="P2079" s="43">
        <v>0</v>
      </c>
      <c r="Q2079" s="43">
        <v>0</v>
      </c>
      <c r="R2079" s="43">
        <v>0</v>
      </c>
      <c r="S2079" s="43">
        <v>0</v>
      </c>
      <c r="T2079" s="43">
        <v>0</v>
      </c>
      <c r="U2079" s="56"/>
    </row>
    <row r="2080" spans="1:21" ht="17.25" customHeight="1" x14ac:dyDescent="0.3">
      <c r="A2080" s="15" t="s">
        <v>30</v>
      </c>
      <c r="C2080" s="19"/>
      <c r="D2080" s="33"/>
      <c r="E2080" s="33"/>
      <c r="F2080" s="34"/>
      <c r="G2080" s="34"/>
      <c r="H2080" s="34"/>
      <c r="I2080" s="34"/>
      <c r="J2080" s="34"/>
      <c r="K2080" s="34"/>
      <c r="L2080" s="34"/>
      <c r="M2080" s="34"/>
      <c r="N2080" s="34"/>
      <c r="O2080" s="44"/>
      <c r="P2080" s="44"/>
      <c r="Q2080" s="44"/>
      <c r="R2080" s="44"/>
      <c r="S2080" s="44"/>
      <c r="T2080" s="44"/>
      <c r="U2080" s="57"/>
    </row>
    <row r="2081" spans="1:21" ht="17.25" customHeight="1" x14ac:dyDescent="0.3">
      <c r="A2081" s="15" t="s">
        <v>30</v>
      </c>
      <c r="C2081" s="19"/>
      <c r="D2081" s="33"/>
      <c r="E2081" s="33" t="s">
        <v>31</v>
      </c>
      <c r="F2081" s="34" t="s">
        <v>31</v>
      </c>
      <c r="G2081" s="34" t="s">
        <v>31</v>
      </c>
      <c r="H2081" s="34"/>
      <c r="I2081" s="34"/>
      <c r="J2081" s="34" t="s">
        <v>31</v>
      </c>
      <c r="K2081" s="34" t="s">
        <v>31</v>
      </c>
      <c r="L2081" s="34" t="s">
        <v>31</v>
      </c>
      <c r="M2081" s="34" t="s">
        <v>31</v>
      </c>
      <c r="N2081" s="34"/>
      <c r="U2081" s="58"/>
    </row>
    <row r="2082" spans="1:21" ht="20.25" customHeight="1" x14ac:dyDescent="0.35">
      <c r="A2082" s="15" t="s">
        <v>30</v>
      </c>
      <c r="C2082" s="19"/>
      <c r="D2082" s="35" t="str">
        <f t="shared" ref="D2082" si="514">E2082</f>
        <v>S200006</v>
      </c>
      <c r="E2082" s="36" t="str">
        <f>"S200006"</f>
        <v>S200006</v>
      </c>
      <c r="F2082" s="37" t="str">
        <f>"3.75"" Soccer Trophy"</f>
        <v>3.75" Soccer Trophy</v>
      </c>
      <c r="G2082" s="37"/>
      <c r="H2082" s="38" t="str">
        <f>"EA"</f>
        <v>EA</v>
      </c>
      <c r="I2082" s="37"/>
      <c r="J2082" s="37"/>
      <c r="K2082" s="37"/>
      <c r="L2082" s="37"/>
      <c r="M2082" s="37"/>
      <c r="N2082" s="37"/>
      <c r="O2082" s="39">
        <f>(SUBTOTAL(9,O2083:O2084))</f>
        <v>0</v>
      </c>
      <c r="P2082" s="39">
        <f>(SUBTOTAL(9,P2083:P2084))</f>
        <v>-48</v>
      </c>
      <c r="Q2082" s="39">
        <f>(SUBTOTAL(9,Q2083:Q2084))</f>
        <v>0</v>
      </c>
      <c r="R2082" s="39">
        <f>(SUBTOTAL(9,R2083:R2084))</f>
        <v>0</v>
      </c>
      <c r="S2082" s="39">
        <f>(SUBTOTAL(9,S2083:S2084))</f>
        <v>0</v>
      </c>
      <c r="T2082" s="39">
        <f>(SUBTOTAL(9,T2083:T2084))</f>
        <v>0</v>
      </c>
      <c r="U2082" s="55">
        <f t="shared" ref="U2082" si="515">SUBTOTAL(9,O2083:T2084)</f>
        <v>-48</v>
      </c>
    </row>
    <row r="2083" spans="1:21" ht="17.25" customHeight="1" x14ac:dyDescent="0.3">
      <c r="A2083" s="15" t="s">
        <v>30</v>
      </c>
      <c r="C2083" s="19"/>
      <c r="D2083" s="33" t="str">
        <f t="shared" ref="D2083" si="516">D2082</f>
        <v>S200006</v>
      </c>
      <c r="E2083" s="33"/>
      <c r="F2083" s="34"/>
      <c r="G2083" s="34" t="str">
        <f>"""NAV Direct"",""CRONUS JetCorp USA"",""32"",""1"",""142549"""</f>
        <v>"NAV Direct","CRONUS JetCorp USA","32","1","142549"</v>
      </c>
      <c r="H2083" s="40">
        <v>43472</v>
      </c>
      <c r="I2083" s="41">
        <v>142549</v>
      </c>
      <c r="J2083" s="42" t="str">
        <f>"Customer"</f>
        <v>Customer</v>
      </c>
      <c r="K2083" s="42" t="str">
        <f>"C100100"</f>
        <v>C100100</v>
      </c>
      <c r="L2083" s="42" t="str">
        <f>IF($J2083="Customer",_xll.NL("first",$J2083,"Name","No.","@@"&amp;$K2083),"")</f>
        <v>Keybase, Inc.</v>
      </c>
      <c r="M2083" s="42" t="str">
        <f>""</f>
        <v/>
      </c>
      <c r="N2083" s="42" t="str">
        <f>IF($J2083="Item",_xll.NL("first",$J2083,"Description","No.","@@"&amp;$K2083),"")</f>
        <v/>
      </c>
      <c r="O2083" s="43">
        <v>0</v>
      </c>
      <c r="P2083" s="43">
        <v>-48</v>
      </c>
      <c r="Q2083" s="43">
        <v>0</v>
      </c>
      <c r="R2083" s="43">
        <v>0</v>
      </c>
      <c r="S2083" s="43">
        <v>0</v>
      </c>
      <c r="T2083" s="43">
        <v>0</v>
      </c>
      <c r="U2083" s="56"/>
    </row>
    <row r="2084" spans="1:21" ht="17.25" customHeight="1" x14ac:dyDescent="0.3">
      <c r="A2084" s="15" t="s">
        <v>30</v>
      </c>
      <c r="C2084" s="19"/>
      <c r="D2084" s="33"/>
      <c r="E2084" s="33"/>
      <c r="F2084" s="34"/>
      <c r="G2084" s="34"/>
      <c r="H2084" s="34"/>
      <c r="I2084" s="34"/>
      <c r="J2084" s="34"/>
      <c r="K2084" s="34"/>
      <c r="L2084" s="34"/>
      <c r="M2084" s="34"/>
      <c r="N2084" s="34"/>
      <c r="O2084" s="44"/>
      <c r="P2084" s="44"/>
      <c r="Q2084" s="44"/>
      <c r="R2084" s="44"/>
      <c r="S2084" s="44"/>
      <c r="T2084" s="44"/>
      <c r="U2084" s="57"/>
    </row>
    <row r="2085" spans="1:21" ht="17.25" customHeight="1" x14ac:dyDescent="0.3">
      <c r="A2085" s="15" t="s">
        <v>30</v>
      </c>
      <c r="C2085" s="19"/>
      <c r="D2085" s="33"/>
      <c r="E2085" s="33" t="s">
        <v>31</v>
      </c>
      <c r="F2085" s="34" t="s">
        <v>31</v>
      </c>
      <c r="G2085" s="34" t="s">
        <v>31</v>
      </c>
      <c r="H2085" s="34"/>
      <c r="I2085" s="34"/>
      <c r="J2085" s="34" t="s">
        <v>31</v>
      </c>
      <c r="K2085" s="34" t="s">
        <v>31</v>
      </c>
      <c r="L2085" s="34" t="s">
        <v>31</v>
      </c>
      <c r="M2085" s="34" t="s">
        <v>31</v>
      </c>
      <c r="N2085" s="34"/>
      <c r="U2085" s="58"/>
    </row>
    <row r="2086" spans="1:21" ht="20.25" customHeight="1" x14ac:dyDescent="0.35">
      <c r="A2086" s="15" t="s">
        <v>30</v>
      </c>
      <c r="C2086" s="19"/>
      <c r="D2086" s="35" t="str">
        <f t="shared" ref="D2086" si="517">E2086</f>
        <v>S200007</v>
      </c>
      <c r="E2086" s="36" t="str">
        <f>"S200007"</f>
        <v>S200007</v>
      </c>
      <c r="F2086" s="37" t="str">
        <f>"3.75"" Football Trophy"</f>
        <v>3.75" Football Trophy</v>
      </c>
      <c r="G2086" s="37"/>
      <c r="H2086" s="38" t="str">
        <f>"EA"</f>
        <v>EA</v>
      </c>
      <c r="I2086" s="37"/>
      <c r="J2086" s="37"/>
      <c r="K2086" s="37"/>
      <c r="L2086" s="37"/>
      <c r="M2086" s="37"/>
      <c r="N2086" s="37"/>
      <c r="O2086" s="39">
        <f>(SUBTOTAL(9,O2087:O2089))</f>
        <v>249.99999999999997</v>
      </c>
      <c r="P2086" s="39">
        <f>(SUBTOTAL(9,P2087:P2089))</f>
        <v>-144</v>
      </c>
      <c r="Q2086" s="39">
        <f>(SUBTOTAL(9,Q2087:Q2089))</f>
        <v>0</v>
      </c>
      <c r="R2086" s="39">
        <f>(SUBTOTAL(9,R2087:R2089))</f>
        <v>0</v>
      </c>
      <c r="S2086" s="39">
        <f>(SUBTOTAL(9,S2087:S2089))</f>
        <v>0</v>
      </c>
      <c r="T2086" s="39">
        <f>(SUBTOTAL(9,T2087:T2089))</f>
        <v>0</v>
      </c>
      <c r="U2086" s="55">
        <f t="shared" ref="U2086" si="518">SUBTOTAL(9,O2087:T2089)</f>
        <v>105.99999999999997</v>
      </c>
    </row>
    <row r="2087" spans="1:21" ht="17.25" customHeight="1" x14ac:dyDescent="0.3">
      <c r="A2087" s="15" t="s">
        <v>30</v>
      </c>
      <c r="C2087" s="19"/>
      <c r="D2087" s="33" t="str">
        <f t="shared" ref="D2087" si="519">D2086</f>
        <v>S200007</v>
      </c>
      <c r="E2087" s="33"/>
      <c r="F2087" s="34"/>
      <c r="G2087" s="34" t="str">
        <f>"""NAV Direct"",""CRONUS JetCorp USA"",""32"",""1"",""169238"""</f>
        <v>"NAV Direct","CRONUS JetCorp USA","32","1","169238"</v>
      </c>
      <c r="H2087" s="40">
        <v>43466</v>
      </c>
      <c r="I2087" s="41">
        <v>169238</v>
      </c>
      <c r="J2087" s="42" t="str">
        <f>"Vendor"</f>
        <v>Vendor</v>
      </c>
      <c r="K2087" s="42" t="str">
        <f>"V100001"</f>
        <v>V100001</v>
      </c>
      <c r="L2087" s="42" t="str">
        <f>IF($J2087="Customer",_xll.NL("first",$J2087,"Name","No.","@@"&amp;$K2087),"")</f>
        <v/>
      </c>
      <c r="M2087" s="42" t="str">
        <f>"Greigner, Inc."</f>
        <v>Greigner, Inc.</v>
      </c>
      <c r="N2087" s="42" t="str">
        <f>IF($J2087="Item",_xll.NL("first",$J2087,"Description","No.","@@"&amp;$K2087),"")</f>
        <v/>
      </c>
      <c r="O2087" s="43">
        <v>249.99999999999997</v>
      </c>
      <c r="P2087" s="43">
        <v>0</v>
      </c>
      <c r="Q2087" s="43">
        <v>0</v>
      </c>
      <c r="R2087" s="43">
        <v>0</v>
      </c>
      <c r="S2087" s="43">
        <v>0</v>
      </c>
      <c r="T2087" s="43">
        <v>0</v>
      </c>
      <c r="U2087" s="56"/>
    </row>
    <row r="2088" spans="1:21" ht="17.25" customHeight="1" x14ac:dyDescent="0.3">
      <c r="A2088" s="15" t="s">
        <v>30</v>
      </c>
      <c r="C2088" s="19"/>
      <c r="D2088" s="33" t="str">
        <f t="shared" ref="D2088" si="520">D2087</f>
        <v>S200007</v>
      </c>
      <c r="E2088" s="33"/>
      <c r="F2088" s="34"/>
      <c r="G2088" s="34" t="str">
        <f>"""NAV Direct"",""CRONUS JetCorp USA"",""32"",""1"",""142548"""</f>
        <v>"NAV Direct","CRONUS JetCorp USA","32","1","142548"</v>
      </c>
      <c r="H2088" s="40">
        <v>43472</v>
      </c>
      <c r="I2088" s="41">
        <v>142548</v>
      </c>
      <c r="J2088" s="42" t="str">
        <f>"Customer"</f>
        <v>Customer</v>
      </c>
      <c r="K2088" s="42" t="str">
        <f>"C100100"</f>
        <v>C100100</v>
      </c>
      <c r="L2088" s="42" t="str">
        <f>IF($J2088="Customer",_xll.NL("first",$J2088,"Name","No.","@@"&amp;$K2088),"")</f>
        <v>Keybase, Inc.</v>
      </c>
      <c r="M2088" s="42" t="str">
        <f>""</f>
        <v/>
      </c>
      <c r="N2088" s="42" t="str">
        <f>IF($J2088="Item",_xll.NL("first",$J2088,"Description","No.","@@"&amp;$K2088),"")</f>
        <v/>
      </c>
      <c r="O2088" s="43">
        <v>0</v>
      </c>
      <c r="P2088" s="43">
        <v>-144</v>
      </c>
      <c r="Q2088" s="43">
        <v>0</v>
      </c>
      <c r="R2088" s="43">
        <v>0</v>
      </c>
      <c r="S2088" s="43">
        <v>0</v>
      </c>
      <c r="T2088" s="43">
        <v>0</v>
      </c>
      <c r="U2088" s="56"/>
    </row>
    <row r="2089" spans="1:21" ht="17.25" customHeight="1" x14ac:dyDescent="0.3">
      <c r="A2089" s="15" t="s">
        <v>30</v>
      </c>
      <c r="C2089" s="19"/>
      <c r="D2089" s="33"/>
      <c r="E2089" s="33"/>
      <c r="F2089" s="34"/>
      <c r="G2089" s="34"/>
      <c r="H2089" s="34"/>
      <c r="I2089" s="34"/>
      <c r="J2089" s="34"/>
      <c r="K2089" s="34"/>
      <c r="L2089" s="34"/>
      <c r="M2089" s="34"/>
      <c r="N2089" s="34"/>
      <c r="O2089" s="44"/>
      <c r="P2089" s="44"/>
      <c r="Q2089" s="44"/>
      <c r="R2089" s="44"/>
      <c r="S2089" s="44"/>
      <c r="T2089" s="44"/>
      <c r="U2089" s="57"/>
    </row>
    <row r="2090" spans="1:21" ht="17.25" customHeight="1" x14ac:dyDescent="0.3">
      <c r="A2090" s="15" t="s">
        <v>30</v>
      </c>
      <c r="C2090" s="19"/>
      <c r="D2090" s="33"/>
      <c r="E2090" s="33" t="s">
        <v>31</v>
      </c>
      <c r="F2090" s="34" t="s">
        <v>31</v>
      </c>
      <c r="G2090" s="34" t="s">
        <v>31</v>
      </c>
      <c r="H2090" s="34"/>
      <c r="I2090" s="34"/>
      <c r="J2090" s="34" t="s">
        <v>31</v>
      </c>
      <c r="K2090" s="34" t="s">
        <v>31</v>
      </c>
      <c r="L2090" s="34" t="s">
        <v>31</v>
      </c>
      <c r="M2090" s="34" t="s">
        <v>31</v>
      </c>
      <c r="N2090" s="34"/>
      <c r="U2090" s="58"/>
    </row>
    <row r="2091" spans="1:21" ht="20.25" customHeight="1" x14ac:dyDescent="0.35">
      <c r="A2091" s="15" t="s">
        <v>30</v>
      </c>
      <c r="C2091" s="19"/>
      <c r="D2091" s="35" t="str">
        <f t="shared" ref="D2091" si="521">E2091</f>
        <v>S200012</v>
      </c>
      <c r="E2091" s="36" t="str">
        <f>"S200012"</f>
        <v>S200012</v>
      </c>
      <c r="F2091" s="37" t="str">
        <f>"10.75"" Star Riser Apple Trophy"</f>
        <v>10.75" Star Riser Apple Trophy</v>
      </c>
      <c r="G2091" s="37"/>
      <c r="H2091" s="38" t="str">
        <f>"EA"</f>
        <v>EA</v>
      </c>
      <c r="I2091" s="37"/>
      <c r="J2091" s="37"/>
      <c r="K2091" s="37"/>
      <c r="L2091" s="37"/>
      <c r="M2091" s="37"/>
      <c r="N2091" s="37"/>
      <c r="O2091" s="39">
        <f>(SUBTOTAL(9,O2092:O2097))</f>
        <v>750</v>
      </c>
      <c r="P2091" s="39">
        <f>(SUBTOTAL(9,P2092:P2097))</f>
        <v>-480</v>
      </c>
      <c r="Q2091" s="39">
        <f>(SUBTOTAL(9,Q2092:Q2097))</f>
        <v>0</v>
      </c>
      <c r="R2091" s="39">
        <f>(SUBTOTAL(9,R2092:R2097))</f>
        <v>0</v>
      </c>
      <c r="S2091" s="39">
        <f>(SUBTOTAL(9,S2092:S2097))</f>
        <v>0</v>
      </c>
      <c r="T2091" s="39">
        <f>(SUBTOTAL(9,T2092:T2097))</f>
        <v>0</v>
      </c>
      <c r="U2091" s="55">
        <f t="shared" ref="U2091" si="522">SUBTOTAL(9,O2092:T2097)</f>
        <v>270</v>
      </c>
    </row>
    <row r="2092" spans="1:21" ht="17.25" customHeight="1" x14ac:dyDescent="0.3">
      <c r="A2092" s="15" t="s">
        <v>30</v>
      </c>
      <c r="C2092" s="19"/>
      <c r="D2092" s="33" t="str">
        <f t="shared" ref="D2092" si="523">D2091</f>
        <v>S200012</v>
      </c>
      <c r="E2092" s="33"/>
      <c r="F2092" s="34"/>
      <c r="G2092" s="34" t="str">
        <f>"""NAV Direct"",""CRONUS JetCorp USA"",""32"",""1"",""169237"""</f>
        <v>"NAV Direct","CRONUS JetCorp USA","32","1","169237"</v>
      </c>
      <c r="H2092" s="40">
        <v>43466</v>
      </c>
      <c r="I2092" s="41">
        <v>169237</v>
      </c>
      <c r="J2092" s="42" t="str">
        <f>"Vendor"</f>
        <v>Vendor</v>
      </c>
      <c r="K2092" s="42" t="str">
        <f>"V100001"</f>
        <v>V100001</v>
      </c>
      <c r="L2092" s="42" t="str">
        <f>IF($J2092="Customer",_xll.NL("first",$J2092,"Name","No.","@@"&amp;$K2092),"")</f>
        <v/>
      </c>
      <c r="M2092" s="42" t="str">
        <f>"Greigner, Inc."</f>
        <v>Greigner, Inc.</v>
      </c>
      <c r="N2092" s="42" t="str">
        <f>IF($J2092="Item",_xll.NL("first",$J2092,"Description","No.","@@"&amp;$K2092),"")</f>
        <v/>
      </c>
      <c r="O2092" s="43">
        <v>750</v>
      </c>
      <c r="P2092" s="43">
        <v>0</v>
      </c>
      <c r="Q2092" s="43">
        <v>0</v>
      </c>
      <c r="R2092" s="43">
        <v>0</v>
      </c>
      <c r="S2092" s="43">
        <v>0</v>
      </c>
      <c r="T2092" s="43">
        <v>0</v>
      </c>
      <c r="U2092" s="56"/>
    </row>
    <row r="2093" spans="1:21" ht="17.25" customHeight="1" x14ac:dyDescent="0.3">
      <c r="A2093" s="15" t="s">
        <v>30</v>
      </c>
      <c r="C2093" s="19"/>
      <c r="D2093" s="33" t="str">
        <f t="shared" ref="D2093:D2096" si="524">D2092</f>
        <v>S200012</v>
      </c>
      <c r="E2093" s="33"/>
      <c r="F2093" s="34"/>
      <c r="G2093" s="34" t="str">
        <f>"""NAV Direct"",""CRONUS JetCorp USA"",""32"",""1"",""147987"""</f>
        <v>"NAV Direct","CRONUS JetCorp USA","32","1","147987"</v>
      </c>
      <c r="H2093" s="40">
        <v>43469</v>
      </c>
      <c r="I2093" s="41">
        <v>147987</v>
      </c>
      <c r="J2093" s="42" t="str">
        <f>"Customer"</f>
        <v>Customer</v>
      </c>
      <c r="K2093" s="42" t="str">
        <f>"C100096"</f>
        <v>C100096</v>
      </c>
      <c r="L2093" s="42" t="str">
        <f>IF($J2093="Customer",_xll.NL("first",$J2093,"Name","No.","@@"&amp;$K2093),"")</f>
        <v>D-Com Industries</v>
      </c>
      <c r="M2093" s="42" t="str">
        <f>""</f>
        <v/>
      </c>
      <c r="N2093" s="42" t="str">
        <f>IF($J2093="Item",_xll.NL("first",$J2093,"Description","No.","@@"&amp;$K2093),"")</f>
        <v/>
      </c>
      <c r="O2093" s="43">
        <v>0</v>
      </c>
      <c r="P2093" s="43">
        <v>-144</v>
      </c>
      <c r="Q2093" s="43">
        <v>0</v>
      </c>
      <c r="R2093" s="43">
        <v>0</v>
      </c>
      <c r="S2093" s="43">
        <v>0</v>
      </c>
      <c r="T2093" s="43">
        <v>0</v>
      </c>
      <c r="U2093" s="56"/>
    </row>
    <row r="2094" spans="1:21" ht="17.25" customHeight="1" x14ac:dyDescent="0.3">
      <c r="A2094" s="15" t="s">
        <v>30</v>
      </c>
      <c r="C2094" s="19"/>
      <c r="D2094" s="33" t="str">
        <f t="shared" si="524"/>
        <v>S200012</v>
      </c>
      <c r="E2094" s="33"/>
      <c r="F2094" s="34"/>
      <c r="G2094" s="34" t="str">
        <f>"""NAV Direct"",""CRONUS JetCorp USA"",""32"",""1"",""153163"""</f>
        <v>"NAV Direct","CRONUS JetCorp USA","32","1","153163"</v>
      </c>
      <c r="H2094" s="40">
        <v>43470</v>
      </c>
      <c r="I2094" s="41">
        <v>153163</v>
      </c>
      <c r="J2094" s="42" t="str">
        <f>"Customer"</f>
        <v>Customer</v>
      </c>
      <c r="K2094" s="42" t="str">
        <f>"C100136"</f>
        <v>C100136</v>
      </c>
      <c r="L2094" s="42" t="str">
        <f>IF($J2094="Customer",_xll.NL("first",$J2094,"Name","No.","@@"&amp;$K2094),"")</f>
        <v>First Bank</v>
      </c>
      <c r="M2094" s="42" t="str">
        <f>""</f>
        <v/>
      </c>
      <c r="N2094" s="42" t="str">
        <f>IF($J2094="Item",_xll.NL("first",$J2094,"Description","No.","@@"&amp;$K2094),"")</f>
        <v/>
      </c>
      <c r="O2094" s="43">
        <v>0</v>
      </c>
      <c r="P2094" s="43">
        <v>-48</v>
      </c>
      <c r="Q2094" s="43">
        <v>0</v>
      </c>
      <c r="R2094" s="43">
        <v>0</v>
      </c>
      <c r="S2094" s="43">
        <v>0</v>
      </c>
      <c r="T2094" s="43">
        <v>0</v>
      </c>
      <c r="U2094" s="56"/>
    </row>
    <row r="2095" spans="1:21" ht="17.25" customHeight="1" x14ac:dyDescent="0.3">
      <c r="A2095" s="15" t="s">
        <v>30</v>
      </c>
      <c r="C2095" s="19"/>
      <c r="D2095" s="33" t="str">
        <f t="shared" si="524"/>
        <v>S200012</v>
      </c>
      <c r="E2095" s="33"/>
      <c r="F2095" s="34"/>
      <c r="G2095" s="34" t="str">
        <f>"""NAV Direct"",""CRONUS JetCorp USA"",""32"",""1"",""142547"""</f>
        <v>"NAV Direct","CRONUS JetCorp USA","32","1","142547"</v>
      </c>
      <c r="H2095" s="40">
        <v>43472</v>
      </c>
      <c r="I2095" s="41">
        <v>142547</v>
      </c>
      <c r="J2095" s="42" t="str">
        <f>"Customer"</f>
        <v>Customer</v>
      </c>
      <c r="K2095" s="42" t="str">
        <f>"C100100"</f>
        <v>C100100</v>
      </c>
      <c r="L2095" s="42" t="str">
        <f>IF($J2095="Customer",_xll.NL("first",$J2095,"Name","No.","@@"&amp;$K2095),"")</f>
        <v>Keybase, Inc.</v>
      </c>
      <c r="M2095" s="42" t="str">
        <f>""</f>
        <v/>
      </c>
      <c r="N2095" s="42" t="str">
        <f>IF($J2095="Item",_xll.NL("first",$J2095,"Description","No.","@@"&amp;$K2095),"")</f>
        <v/>
      </c>
      <c r="O2095" s="43">
        <v>0</v>
      </c>
      <c r="P2095" s="43">
        <v>-144</v>
      </c>
      <c r="Q2095" s="43">
        <v>0</v>
      </c>
      <c r="R2095" s="43">
        <v>0</v>
      </c>
      <c r="S2095" s="43">
        <v>0</v>
      </c>
      <c r="T2095" s="43">
        <v>0</v>
      </c>
      <c r="U2095" s="56"/>
    </row>
    <row r="2096" spans="1:21" ht="17.25" customHeight="1" x14ac:dyDescent="0.3">
      <c r="A2096" s="15" t="s">
        <v>30</v>
      </c>
      <c r="C2096" s="19"/>
      <c r="D2096" s="33" t="str">
        <f t="shared" si="524"/>
        <v>S200012</v>
      </c>
      <c r="E2096" s="33"/>
      <c r="F2096" s="34"/>
      <c r="G2096" s="34" t="str">
        <f>"""NAV Direct"",""CRONUS JetCorp USA"",""32"",""1"",""153178"""</f>
        <v>"NAV Direct","CRONUS JetCorp USA","32","1","153178"</v>
      </c>
      <c r="H2096" s="40">
        <v>43475</v>
      </c>
      <c r="I2096" s="41">
        <v>153178</v>
      </c>
      <c r="J2096" s="42" t="str">
        <f>"Customer"</f>
        <v>Customer</v>
      </c>
      <c r="K2096" s="42" t="str">
        <f>"C100108"</f>
        <v>C100108</v>
      </c>
      <c r="L2096" s="42" t="str">
        <f>IF($J2096="Customer",_xll.NL("first",$J2096,"Name","No.","@@"&amp;$K2096),"")</f>
        <v>Kinfix Industries</v>
      </c>
      <c r="M2096" s="42" t="str">
        <f>""</f>
        <v/>
      </c>
      <c r="N2096" s="42" t="str">
        <f>IF($J2096="Item",_xll.NL("first",$J2096,"Description","No.","@@"&amp;$K2096),"")</f>
        <v/>
      </c>
      <c r="O2096" s="43">
        <v>0</v>
      </c>
      <c r="P2096" s="43">
        <v>-144</v>
      </c>
      <c r="Q2096" s="43">
        <v>0</v>
      </c>
      <c r="R2096" s="43">
        <v>0</v>
      </c>
      <c r="S2096" s="43">
        <v>0</v>
      </c>
      <c r="T2096" s="43">
        <v>0</v>
      </c>
      <c r="U2096" s="56"/>
    </row>
    <row r="2097" spans="1:21" ht="17.25" customHeight="1" x14ac:dyDescent="0.3">
      <c r="A2097" s="15" t="s">
        <v>30</v>
      </c>
      <c r="C2097" s="19"/>
      <c r="D2097" s="33"/>
      <c r="E2097" s="33"/>
      <c r="F2097" s="34"/>
      <c r="G2097" s="34"/>
      <c r="H2097" s="34"/>
      <c r="I2097" s="34"/>
      <c r="J2097" s="34"/>
      <c r="K2097" s="34"/>
      <c r="L2097" s="34"/>
      <c r="M2097" s="34"/>
      <c r="N2097" s="34"/>
      <c r="O2097" s="44"/>
      <c r="P2097" s="44"/>
      <c r="Q2097" s="44"/>
      <c r="R2097" s="44"/>
      <c r="S2097" s="44"/>
      <c r="T2097" s="44"/>
      <c r="U2097" s="57"/>
    </row>
    <row r="2098" spans="1:21" ht="17.25" customHeight="1" x14ac:dyDescent="0.3">
      <c r="A2098" s="15" t="s">
        <v>30</v>
      </c>
      <c r="C2098" s="19"/>
      <c r="D2098" s="33"/>
      <c r="E2098" s="33" t="s">
        <v>31</v>
      </c>
      <c r="F2098" s="34" t="s">
        <v>31</v>
      </c>
      <c r="G2098" s="34" t="s">
        <v>31</v>
      </c>
      <c r="H2098" s="34"/>
      <c r="I2098" s="34"/>
      <c r="J2098" s="34" t="s">
        <v>31</v>
      </c>
      <c r="K2098" s="34" t="s">
        <v>31</v>
      </c>
      <c r="L2098" s="34" t="s">
        <v>31</v>
      </c>
      <c r="M2098" s="34" t="s">
        <v>31</v>
      </c>
      <c r="N2098" s="34"/>
      <c r="U2098" s="58"/>
    </row>
    <row r="2099" spans="1:21" ht="20.25" customHeight="1" x14ac:dyDescent="0.35">
      <c r="A2099" s="15" t="s">
        <v>30</v>
      </c>
      <c r="C2099" s="19"/>
      <c r="D2099" s="35" t="str">
        <f t="shared" ref="D2099" si="525">E2099</f>
        <v>S200013</v>
      </c>
      <c r="E2099" s="36" t="str">
        <f>"S200013"</f>
        <v>S200013</v>
      </c>
      <c r="F2099" s="37" t="str">
        <f>"10.75"" Star Riser Soccer Trophy"</f>
        <v>10.75" Star Riser Soccer Trophy</v>
      </c>
      <c r="G2099" s="37"/>
      <c r="H2099" s="38" t="str">
        <f>"EA"</f>
        <v>EA</v>
      </c>
      <c r="I2099" s="37"/>
      <c r="J2099" s="37"/>
      <c r="K2099" s="37"/>
      <c r="L2099" s="37"/>
      <c r="M2099" s="37"/>
      <c r="N2099" s="37"/>
      <c r="O2099" s="39">
        <f>(SUBTOTAL(9,O2100:O2102))</f>
        <v>249.99999999999997</v>
      </c>
      <c r="P2099" s="39">
        <f>(SUBTOTAL(9,P2100:P2102))</f>
        <v>-1</v>
      </c>
      <c r="Q2099" s="39">
        <f>(SUBTOTAL(9,Q2100:Q2102))</f>
        <v>0</v>
      </c>
      <c r="R2099" s="39">
        <f>(SUBTOTAL(9,R2100:R2102))</f>
        <v>0</v>
      </c>
      <c r="S2099" s="39">
        <f>(SUBTOTAL(9,S2100:S2102))</f>
        <v>0</v>
      </c>
      <c r="T2099" s="39">
        <f>(SUBTOTAL(9,T2100:T2102))</f>
        <v>0</v>
      </c>
      <c r="U2099" s="55">
        <f t="shared" ref="U2099" si="526">SUBTOTAL(9,O2100:T2102)</f>
        <v>248.99999999999997</v>
      </c>
    </row>
    <row r="2100" spans="1:21" ht="17.25" customHeight="1" x14ac:dyDescent="0.3">
      <c r="A2100" s="15" t="s">
        <v>30</v>
      </c>
      <c r="C2100" s="19"/>
      <c r="D2100" s="33" t="str">
        <f t="shared" ref="D2100" si="527">D2099</f>
        <v>S200013</v>
      </c>
      <c r="E2100" s="33"/>
      <c r="F2100" s="34"/>
      <c r="G2100" s="34" t="str">
        <f>"""NAV Direct"",""CRONUS JetCorp USA"",""32"",""1"",""169245"""</f>
        <v>"NAV Direct","CRONUS JetCorp USA","32","1","169245"</v>
      </c>
      <c r="H2100" s="40">
        <v>43466</v>
      </c>
      <c r="I2100" s="41">
        <v>169245</v>
      </c>
      <c r="J2100" s="42" t="str">
        <f>"Vendor"</f>
        <v>Vendor</v>
      </c>
      <c r="K2100" s="42" t="str">
        <f>"V100003"</f>
        <v>V100003</v>
      </c>
      <c r="L2100" s="42" t="str">
        <f>IF($J2100="Customer",_xll.NL("first",$J2100,"Name","No.","@@"&amp;$K2100),"")</f>
        <v/>
      </c>
      <c r="M2100" s="42" t="str">
        <f>"LogoMasters"</f>
        <v>LogoMasters</v>
      </c>
      <c r="N2100" s="42" t="str">
        <f>IF($J2100="Item",_xll.NL("first",$J2100,"Description","No.","@@"&amp;$K2100),"")</f>
        <v/>
      </c>
      <c r="O2100" s="43">
        <v>249.99999999999997</v>
      </c>
      <c r="P2100" s="43">
        <v>0</v>
      </c>
      <c r="Q2100" s="43">
        <v>0</v>
      </c>
      <c r="R2100" s="43">
        <v>0</v>
      </c>
      <c r="S2100" s="43">
        <v>0</v>
      </c>
      <c r="T2100" s="43">
        <v>0</v>
      </c>
      <c r="U2100" s="56"/>
    </row>
    <row r="2101" spans="1:21" ht="17.25" customHeight="1" x14ac:dyDescent="0.3">
      <c r="A2101" s="15" t="s">
        <v>30</v>
      </c>
      <c r="C2101" s="19"/>
      <c r="D2101" s="33" t="str">
        <f t="shared" ref="D2101" si="528">D2100</f>
        <v>S200013</v>
      </c>
      <c r="E2101" s="33"/>
      <c r="F2101" s="34"/>
      <c r="G2101" s="34" t="str">
        <f>"""NAV Direct"",""CRONUS JetCorp USA"",""32"",""1"",""153185"""</f>
        <v>"NAV Direct","CRONUS JetCorp USA","32","1","153185"</v>
      </c>
      <c r="H2101" s="40">
        <v>43475</v>
      </c>
      <c r="I2101" s="41">
        <v>153185</v>
      </c>
      <c r="J2101" s="42" t="str">
        <f>"Customer"</f>
        <v>Customer</v>
      </c>
      <c r="K2101" s="42" t="str">
        <f>"C100108"</f>
        <v>C100108</v>
      </c>
      <c r="L2101" s="42" t="str">
        <f>IF($J2101="Customer",_xll.NL("first",$J2101,"Name","No.","@@"&amp;$K2101),"")</f>
        <v>Kinfix Industries</v>
      </c>
      <c r="M2101" s="42" t="str">
        <f>""</f>
        <v/>
      </c>
      <c r="N2101" s="42" t="str">
        <f>IF($J2101="Item",_xll.NL("first",$J2101,"Description","No.","@@"&amp;$K2101),"")</f>
        <v/>
      </c>
      <c r="O2101" s="43">
        <v>0</v>
      </c>
      <c r="P2101" s="43">
        <v>-1</v>
      </c>
      <c r="Q2101" s="43">
        <v>0</v>
      </c>
      <c r="R2101" s="43">
        <v>0</v>
      </c>
      <c r="S2101" s="43">
        <v>0</v>
      </c>
      <c r="T2101" s="43">
        <v>0</v>
      </c>
      <c r="U2101" s="56"/>
    </row>
    <row r="2102" spans="1:21" ht="17.25" customHeight="1" x14ac:dyDescent="0.3">
      <c r="A2102" s="15" t="s">
        <v>30</v>
      </c>
      <c r="C2102" s="19"/>
      <c r="D2102" s="33"/>
      <c r="E2102" s="33"/>
      <c r="F2102" s="34"/>
      <c r="G2102" s="34"/>
      <c r="H2102" s="34"/>
      <c r="I2102" s="34"/>
      <c r="J2102" s="34"/>
      <c r="K2102" s="34"/>
      <c r="L2102" s="34"/>
      <c r="M2102" s="34"/>
      <c r="N2102" s="34"/>
      <c r="O2102" s="44"/>
      <c r="P2102" s="44"/>
      <c r="Q2102" s="44"/>
      <c r="R2102" s="44"/>
      <c r="S2102" s="44"/>
      <c r="T2102" s="44"/>
      <c r="U2102" s="57"/>
    </row>
    <row r="2103" spans="1:21" ht="17.25" customHeight="1" x14ac:dyDescent="0.3">
      <c r="A2103" s="15" t="s">
        <v>30</v>
      </c>
      <c r="C2103" s="19"/>
      <c r="D2103" s="33"/>
      <c r="E2103" s="33" t="s">
        <v>31</v>
      </c>
      <c r="F2103" s="34" t="s">
        <v>31</v>
      </c>
      <c r="G2103" s="34" t="s">
        <v>31</v>
      </c>
      <c r="H2103" s="34"/>
      <c r="I2103" s="34"/>
      <c r="J2103" s="34" t="s">
        <v>31</v>
      </c>
      <c r="K2103" s="34" t="s">
        <v>31</v>
      </c>
      <c r="L2103" s="34" t="s">
        <v>31</v>
      </c>
      <c r="M2103" s="34" t="s">
        <v>31</v>
      </c>
      <c r="N2103" s="34"/>
      <c r="U2103" s="58"/>
    </row>
    <row r="2104" spans="1:21" ht="20.25" customHeight="1" x14ac:dyDescent="0.35">
      <c r="A2104" s="15" t="s">
        <v>30</v>
      </c>
      <c r="C2104" s="19"/>
      <c r="D2104" s="35" t="str">
        <f t="shared" ref="D2104" si="529">E2104</f>
        <v>S200015</v>
      </c>
      <c r="E2104" s="36" t="str">
        <f>"S200015"</f>
        <v>S200015</v>
      </c>
      <c r="F2104" s="37" t="str">
        <f>"10.75"" Star Riser Basketball Trophy"</f>
        <v>10.75" Star Riser Basketball Trophy</v>
      </c>
      <c r="G2104" s="37"/>
      <c r="H2104" s="38" t="str">
        <f>"EA"</f>
        <v>EA</v>
      </c>
      <c r="I2104" s="37"/>
      <c r="J2104" s="37"/>
      <c r="K2104" s="37"/>
      <c r="L2104" s="37"/>
      <c r="M2104" s="37"/>
      <c r="N2104" s="37"/>
      <c r="O2104" s="39">
        <f>(SUBTOTAL(9,O2105:O2106))</f>
        <v>0</v>
      </c>
      <c r="P2104" s="39">
        <f>(SUBTOTAL(9,P2105:P2106))</f>
        <v>-144</v>
      </c>
      <c r="Q2104" s="39">
        <f>(SUBTOTAL(9,Q2105:Q2106))</f>
        <v>0</v>
      </c>
      <c r="R2104" s="39">
        <f>(SUBTOTAL(9,R2105:R2106))</f>
        <v>0</v>
      </c>
      <c r="S2104" s="39">
        <f>(SUBTOTAL(9,S2105:S2106))</f>
        <v>0</v>
      </c>
      <c r="T2104" s="39">
        <f>(SUBTOTAL(9,T2105:T2106))</f>
        <v>0</v>
      </c>
      <c r="U2104" s="55">
        <f t="shared" ref="U2104" si="530">SUBTOTAL(9,O2105:T2106)</f>
        <v>-144</v>
      </c>
    </row>
    <row r="2105" spans="1:21" ht="17.25" customHeight="1" x14ac:dyDescent="0.3">
      <c r="A2105" s="15" t="s">
        <v>30</v>
      </c>
      <c r="C2105" s="19"/>
      <c r="D2105" s="33" t="str">
        <f t="shared" ref="D2105" si="531">D2104</f>
        <v>S200015</v>
      </c>
      <c r="E2105" s="33"/>
      <c r="F2105" s="34"/>
      <c r="G2105" s="34" t="str">
        <f>"""NAV Direct"",""CRONUS JetCorp USA"",""32"",""1"",""142546"""</f>
        <v>"NAV Direct","CRONUS JetCorp USA","32","1","142546"</v>
      </c>
      <c r="H2105" s="40">
        <v>43472</v>
      </c>
      <c r="I2105" s="41">
        <v>142546</v>
      </c>
      <c r="J2105" s="42" t="str">
        <f>"Customer"</f>
        <v>Customer</v>
      </c>
      <c r="K2105" s="42" t="str">
        <f>"C100100"</f>
        <v>C100100</v>
      </c>
      <c r="L2105" s="42" t="str">
        <f>IF($J2105="Customer",_xll.NL("first",$J2105,"Name","No.","@@"&amp;$K2105),"")</f>
        <v>Keybase, Inc.</v>
      </c>
      <c r="M2105" s="42" t="str">
        <f>""</f>
        <v/>
      </c>
      <c r="N2105" s="42" t="str">
        <f>IF($J2105="Item",_xll.NL("first",$J2105,"Description","No.","@@"&amp;$K2105),"")</f>
        <v/>
      </c>
      <c r="O2105" s="43">
        <v>0</v>
      </c>
      <c r="P2105" s="43">
        <v>-144</v>
      </c>
      <c r="Q2105" s="43">
        <v>0</v>
      </c>
      <c r="R2105" s="43">
        <v>0</v>
      </c>
      <c r="S2105" s="43">
        <v>0</v>
      </c>
      <c r="T2105" s="43">
        <v>0</v>
      </c>
      <c r="U2105" s="56"/>
    </row>
    <row r="2106" spans="1:21" ht="17.25" customHeight="1" x14ac:dyDescent="0.3">
      <c r="A2106" s="15" t="s">
        <v>30</v>
      </c>
      <c r="C2106" s="19"/>
      <c r="D2106" s="33"/>
      <c r="E2106" s="33"/>
      <c r="F2106" s="34"/>
      <c r="G2106" s="34"/>
      <c r="H2106" s="34"/>
      <c r="I2106" s="34"/>
      <c r="J2106" s="34"/>
      <c r="K2106" s="34"/>
      <c r="L2106" s="34"/>
      <c r="M2106" s="34"/>
      <c r="N2106" s="34"/>
      <c r="O2106" s="44"/>
      <c r="P2106" s="44"/>
      <c r="Q2106" s="44"/>
      <c r="R2106" s="44"/>
      <c r="S2106" s="44"/>
      <c r="T2106" s="44"/>
      <c r="U2106" s="57"/>
    </row>
    <row r="2107" spans="1:21" ht="17.25" customHeight="1" x14ac:dyDescent="0.3">
      <c r="A2107" s="15" t="s">
        <v>30</v>
      </c>
      <c r="C2107" s="19"/>
      <c r="D2107" s="33"/>
      <c r="E2107" s="33" t="s">
        <v>31</v>
      </c>
      <c r="F2107" s="34" t="s">
        <v>31</v>
      </c>
      <c r="G2107" s="34" t="s">
        <v>31</v>
      </c>
      <c r="H2107" s="34"/>
      <c r="I2107" s="34"/>
      <c r="J2107" s="34" t="s">
        <v>31</v>
      </c>
      <c r="K2107" s="34" t="s">
        <v>31</v>
      </c>
      <c r="L2107" s="34" t="s">
        <v>31</v>
      </c>
      <c r="M2107" s="34" t="s">
        <v>31</v>
      </c>
      <c r="N2107" s="34"/>
      <c r="U2107" s="58"/>
    </row>
    <row r="2108" spans="1:21" ht="20.25" customHeight="1" x14ac:dyDescent="0.35">
      <c r="A2108" s="15" t="s">
        <v>30</v>
      </c>
      <c r="C2108" s="19"/>
      <c r="D2108" s="35" t="str">
        <f t="shared" ref="D2108" si="532">E2108</f>
        <v>S200016</v>
      </c>
      <c r="E2108" s="36" t="str">
        <f>"S200016"</f>
        <v>S200016</v>
      </c>
      <c r="F2108" s="37" t="str">
        <f>"10.75"" Star Riser Volleyball Trophy"</f>
        <v>10.75" Star Riser Volleyball Trophy</v>
      </c>
      <c r="G2108" s="37"/>
      <c r="H2108" s="38" t="str">
        <f>"EA"</f>
        <v>EA</v>
      </c>
      <c r="I2108" s="37"/>
      <c r="J2108" s="37"/>
      <c r="K2108" s="37"/>
      <c r="L2108" s="37"/>
      <c r="M2108" s="37"/>
      <c r="N2108" s="37"/>
      <c r="O2108" s="39">
        <f>(SUBTOTAL(9,O2109:O2111))</f>
        <v>499.99999999999994</v>
      </c>
      <c r="P2108" s="39">
        <f>(SUBTOTAL(9,P2109:P2111))</f>
        <v>-144</v>
      </c>
      <c r="Q2108" s="39">
        <f>(SUBTOTAL(9,Q2109:Q2111))</f>
        <v>0</v>
      </c>
      <c r="R2108" s="39">
        <f>(SUBTOTAL(9,R2109:R2111))</f>
        <v>0</v>
      </c>
      <c r="S2108" s="39">
        <f>(SUBTOTAL(9,S2109:S2111))</f>
        <v>0</v>
      </c>
      <c r="T2108" s="39">
        <f>(SUBTOTAL(9,T2109:T2111))</f>
        <v>0</v>
      </c>
      <c r="U2108" s="55">
        <f t="shared" ref="U2108" si="533">SUBTOTAL(9,O2109:T2111)</f>
        <v>355.99999999999994</v>
      </c>
    </row>
    <row r="2109" spans="1:21" ht="17.25" customHeight="1" x14ac:dyDescent="0.3">
      <c r="A2109" s="15" t="s">
        <v>30</v>
      </c>
      <c r="C2109" s="19"/>
      <c r="D2109" s="33" t="str">
        <f t="shared" ref="D2109" si="534">D2108</f>
        <v>S200016</v>
      </c>
      <c r="E2109" s="33"/>
      <c r="F2109" s="34"/>
      <c r="G2109" s="34" t="str">
        <f>"""NAV Direct"",""CRONUS JetCorp USA"",""32"",""1"",""169244"""</f>
        <v>"NAV Direct","CRONUS JetCorp USA","32","1","169244"</v>
      </c>
      <c r="H2109" s="40">
        <v>43466</v>
      </c>
      <c r="I2109" s="41">
        <v>169244</v>
      </c>
      <c r="J2109" s="42" t="str">
        <f>"Vendor"</f>
        <v>Vendor</v>
      </c>
      <c r="K2109" s="42" t="str">
        <f>"V100003"</f>
        <v>V100003</v>
      </c>
      <c r="L2109" s="42" t="str">
        <f>IF($J2109="Customer",_xll.NL("first",$J2109,"Name","No.","@@"&amp;$K2109),"")</f>
        <v/>
      </c>
      <c r="M2109" s="42" t="str">
        <f>"LogoMasters"</f>
        <v>LogoMasters</v>
      </c>
      <c r="N2109" s="42" t="str">
        <f>IF($J2109="Item",_xll.NL("first",$J2109,"Description","No.","@@"&amp;$K2109),"")</f>
        <v/>
      </c>
      <c r="O2109" s="43">
        <v>499.99999999999994</v>
      </c>
      <c r="P2109" s="43">
        <v>0</v>
      </c>
      <c r="Q2109" s="43">
        <v>0</v>
      </c>
      <c r="R2109" s="43">
        <v>0</v>
      </c>
      <c r="S2109" s="43">
        <v>0</v>
      </c>
      <c r="T2109" s="43">
        <v>0</v>
      </c>
      <c r="U2109" s="56"/>
    </row>
    <row r="2110" spans="1:21" ht="17.25" customHeight="1" x14ac:dyDescent="0.3">
      <c r="A2110" s="15" t="s">
        <v>30</v>
      </c>
      <c r="C2110" s="19"/>
      <c r="D2110" s="33" t="str">
        <f t="shared" ref="D2110" si="535">D2109</f>
        <v>S200016</v>
      </c>
      <c r="E2110" s="33"/>
      <c r="F2110" s="34"/>
      <c r="G2110" s="34" t="str">
        <f>"""NAV Direct"",""CRONUS JetCorp USA"",""32"",""1"",""147986"""</f>
        <v>"NAV Direct","CRONUS JetCorp USA","32","1","147986"</v>
      </c>
      <c r="H2110" s="40">
        <v>43469</v>
      </c>
      <c r="I2110" s="41">
        <v>147986</v>
      </c>
      <c r="J2110" s="42" t="str">
        <f>"Customer"</f>
        <v>Customer</v>
      </c>
      <c r="K2110" s="42" t="str">
        <f>"C100096"</f>
        <v>C100096</v>
      </c>
      <c r="L2110" s="42" t="str">
        <f>IF($J2110="Customer",_xll.NL("first",$J2110,"Name","No.","@@"&amp;$K2110),"")</f>
        <v>D-Com Industries</v>
      </c>
      <c r="M2110" s="42" t="str">
        <f>""</f>
        <v/>
      </c>
      <c r="N2110" s="42" t="str">
        <f>IF($J2110="Item",_xll.NL("first",$J2110,"Description","No.","@@"&amp;$K2110),"")</f>
        <v/>
      </c>
      <c r="O2110" s="43">
        <v>0</v>
      </c>
      <c r="P2110" s="43">
        <v>-144</v>
      </c>
      <c r="Q2110" s="43">
        <v>0</v>
      </c>
      <c r="R2110" s="43">
        <v>0</v>
      </c>
      <c r="S2110" s="43">
        <v>0</v>
      </c>
      <c r="T2110" s="43">
        <v>0</v>
      </c>
      <c r="U2110" s="56"/>
    </row>
    <row r="2111" spans="1:21" ht="17.25" customHeight="1" x14ac:dyDescent="0.3">
      <c r="A2111" s="15" t="s">
        <v>30</v>
      </c>
      <c r="C2111" s="19"/>
      <c r="D2111" s="33"/>
      <c r="E2111" s="33"/>
      <c r="F2111" s="34"/>
      <c r="G2111" s="34"/>
      <c r="H2111" s="34"/>
      <c r="I2111" s="34"/>
      <c r="J2111" s="34"/>
      <c r="K2111" s="34"/>
      <c r="L2111" s="34"/>
      <c r="M2111" s="34"/>
      <c r="N2111" s="34"/>
      <c r="O2111" s="44"/>
      <c r="P2111" s="44"/>
      <c r="Q2111" s="44"/>
      <c r="R2111" s="44"/>
      <c r="S2111" s="44"/>
      <c r="T2111" s="44"/>
      <c r="U2111" s="57"/>
    </row>
    <row r="2112" spans="1:21" ht="17.25" customHeight="1" x14ac:dyDescent="0.3">
      <c r="A2112" s="15" t="s">
        <v>30</v>
      </c>
      <c r="C2112" s="19"/>
      <c r="D2112" s="33"/>
      <c r="E2112" s="33" t="s">
        <v>31</v>
      </c>
      <c r="F2112" s="34" t="s">
        <v>31</v>
      </c>
      <c r="G2112" s="34" t="s">
        <v>31</v>
      </c>
      <c r="H2112" s="34"/>
      <c r="I2112" s="34"/>
      <c r="J2112" s="34" t="s">
        <v>31</v>
      </c>
      <c r="K2112" s="34" t="s">
        <v>31</v>
      </c>
      <c r="L2112" s="34" t="s">
        <v>31</v>
      </c>
      <c r="M2112" s="34" t="s">
        <v>31</v>
      </c>
      <c r="N2112" s="34"/>
      <c r="U2112" s="58"/>
    </row>
    <row r="2113" spans="1:21" ht="20.25" customHeight="1" x14ac:dyDescent="0.35">
      <c r="A2113" s="15" t="s">
        <v>30</v>
      </c>
      <c r="C2113" s="19"/>
      <c r="D2113" s="35" t="str">
        <f t="shared" ref="D2113" si="536">E2113</f>
        <v>S200017</v>
      </c>
      <c r="E2113" s="36" t="str">
        <f>"S200017"</f>
        <v>S200017</v>
      </c>
      <c r="F2113" s="37" t="str">
        <f>"10.75"" Tourch Riser WrestlingTrophy"</f>
        <v>10.75" Tourch Riser WrestlingTrophy</v>
      </c>
      <c r="G2113" s="37"/>
      <c r="H2113" s="38" t="str">
        <f>"EA"</f>
        <v>EA</v>
      </c>
      <c r="I2113" s="37"/>
      <c r="J2113" s="37"/>
      <c r="K2113" s="37"/>
      <c r="L2113" s="37"/>
      <c r="M2113" s="37"/>
      <c r="N2113" s="37"/>
      <c r="O2113" s="39">
        <f>(SUBTOTAL(9,O2114:O2116))</f>
        <v>0</v>
      </c>
      <c r="P2113" s="39">
        <f>(SUBTOTAL(9,P2114:P2116))</f>
        <v>-288</v>
      </c>
      <c r="Q2113" s="39">
        <f>(SUBTOTAL(9,Q2114:Q2116))</f>
        <v>0</v>
      </c>
      <c r="R2113" s="39">
        <f>(SUBTOTAL(9,R2114:R2116))</f>
        <v>0</v>
      </c>
      <c r="S2113" s="39">
        <f>(SUBTOTAL(9,S2114:S2116))</f>
        <v>0</v>
      </c>
      <c r="T2113" s="39">
        <f>(SUBTOTAL(9,T2114:T2116))</f>
        <v>0</v>
      </c>
      <c r="U2113" s="55">
        <f t="shared" ref="U2113" si="537">SUBTOTAL(9,O2114:T2116)</f>
        <v>-288</v>
      </c>
    </row>
    <row r="2114" spans="1:21" ht="17.25" customHeight="1" x14ac:dyDescent="0.3">
      <c r="A2114" s="15" t="s">
        <v>30</v>
      </c>
      <c r="C2114" s="19"/>
      <c r="D2114" s="33" t="str">
        <f t="shared" ref="D2114" si="538">D2113</f>
        <v>S200017</v>
      </c>
      <c r="E2114" s="33"/>
      <c r="F2114" s="34"/>
      <c r="G2114" s="34" t="str">
        <f>"""NAV Direct"",""CRONUS JetCorp USA"",""32"",""1"",""153189"""</f>
        <v>"NAV Direct","CRONUS JetCorp USA","32","1","153189"</v>
      </c>
      <c r="H2114" s="40">
        <v>43469</v>
      </c>
      <c r="I2114" s="41">
        <v>153189</v>
      </c>
      <c r="J2114" s="42" t="str">
        <f>"Customer"</f>
        <v>Customer</v>
      </c>
      <c r="K2114" s="42" t="str">
        <f>"C100136"</f>
        <v>C100136</v>
      </c>
      <c r="L2114" s="42" t="str">
        <f>IF($J2114="Customer",_xll.NL("first",$J2114,"Name","No.","@@"&amp;$K2114),"")</f>
        <v>First Bank</v>
      </c>
      <c r="M2114" s="42" t="str">
        <f>""</f>
        <v/>
      </c>
      <c r="N2114" s="42" t="str">
        <f>IF($J2114="Item",_xll.NL("first",$J2114,"Description","No.","@@"&amp;$K2114),"")</f>
        <v/>
      </c>
      <c r="O2114" s="43">
        <v>0</v>
      </c>
      <c r="P2114" s="43">
        <v>-144</v>
      </c>
      <c r="Q2114" s="43">
        <v>0</v>
      </c>
      <c r="R2114" s="43">
        <v>0</v>
      </c>
      <c r="S2114" s="43">
        <v>0</v>
      </c>
      <c r="T2114" s="43">
        <v>0</v>
      </c>
      <c r="U2114" s="56"/>
    </row>
    <row r="2115" spans="1:21" ht="17.25" customHeight="1" x14ac:dyDescent="0.3">
      <c r="A2115" s="15" t="s">
        <v>30</v>
      </c>
      <c r="C2115" s="19"/>
      <c r="D2115" s="33" t="str">
        <f t="shared" ref="D2115" si="539">D2114</f>
        <v>S200017</v>
      </c>
      <c r="E2115" s="33"/>
      <c r="F2115" s="34"/>
      <c r="G2115" s="34" t="str">
        <f>"""NAV Direct"",""CRONUS JetCorp USA"",""32"",""1"",""142545"""</f>
        <v>"NAV Direct","CRONUS JetCorp USA","32","1","142545"</v>
      </c>
      <c r="H2115" s="40">
        <v>43472</v>
      </c>
      <c r="I2115" s="41">
        <v>142545</v>
      </c>
      <c r="J2115" s="42" t="str">
        <f>"Customer"</f>
        <v>Customer</v>
      </c>
      <c r="K2115" s="42" t="str">
        <f>"C100100"</f>
        <v>C100100</v>
      </c>
      <c r="L2115" s="42" t="str">
        <f>IF($J2115="Customer",_xll.NL("first",$J2115,"Name","No.","@@"&amp;$K2115),"")</f>
        <v>Keybase, Inc.</v>
      </c>
      <c r="M2115" s="42" t="str">
        <f>""</f>
        <v/>
      </c>
      <c r="N2115" s="42" t="str">
        <f>IF($J2115="Item",_xll.NL("first",$J2115,"Description","No.","@@"&amp;$K2115),"")</f>
        <v/>
      </c>
      <c r="O2115" s="43">
        <v>0</v>
      </c>
      <c r="P2115" s="43">
        <v>-144</v>
      </c>
      <c r="Q2115" s="43">
        <v>0</v>
      </c>
      <c r="R2115" s="43">
        <v>0</v>
      </c>
      <c r="S2115" s="43">
        <v>0</v>
      </c>
      <c r="T2115" s="43">
        <v>0</v>
      </c>
      <c r="U2115" s="56"/>
    </row>
    <row r="2116" spans="1:21" ht="17.25" customHeight="1" x14ac:dyDescent="0.3">
      <c r="A2116" s="15" t="s">
        <v>30</v>
      </c>
      <c r="C2116" s="19"/>
      <c r="D2116" s="33"/>
      <c r="E2116" s="33"/>
      <c r="F2116" s="34"/>
      <c r="G2116" s="34"/>
      <c r="H2116" s="34"/>
      <c r="I2116" s="34"/>
      <c r="J2116" s="34"/>
      <c r="K2116" s="34"/>
      <c r="L2116" s="34"/>
      <c r="M2116" s="34"/>
      <c r="N2116" s="34"/>
      <c r="O2116" s="44"/>
      <c r="P2116" s="44"/>
      <c r="Q2116" s="44"/>
      <c r="R2116" s="44"/>
      <c r="S2116" s="44"/>
      <c r="T2116" s="44"/>
      <c r="U2116" s="57"/>
    </row>
    <row r="2117" spans="1:21" ht="17.25" customHeight="1" x14ac:dyDescent="0.3">
      <c r="A2117" s="15" t="s">
        <v>30</v>
      </c>
      <c r="C2117" s="19"/>
      <c r="D2117" s="33"/>
      <c r="E2117" s="33" t="s">
        <v>31</v>
      </c>
      <c r="F2117" s="34" t="s">
        <v>31</v>
      </c>
      <c r="G2117" s="34" t="s">
        <v>31</v>
      </c>
      <c r="H2117" s="34"/>
      <c r="I2117" s="34"/>
      <c r="J2117" s="34" t="s">
        <v>31</v>
      </c>
      <c r="K2117" s="34" t="s">
        <v>31</v>
      </c>
      <c r="L2117" s="34" t="s">
        <v>31</v>
      </c>
      <c r="M2117" s="34" t="s">
        <v>31</v>
      </c>
      <c r="N2117" s="34"/>
      <c r="U2117" s="58"/>
    </row>
    <row r="2118" spans="1:21" ht="20.25" customHeight="1" x14ac:dyDescent="0.35">
      <c r="A2118" s="15" t="s">
        <v>30</v>
      </c>
      <c r="C2118" s="19"/>
      <c r="D2118" s="35" t="str">
        <f t="shared" ref="D2118" si="540">E2118</f>
        <v>S200018</v>
      </c>
      <c r="E2118" s="36" t="str">
        <f>"S200018"</f>
        <v>S200018</v>
      </c>
      <c r="F2118" s="37" t="str">
        <f>"10.75"" Tourch Riser Lamp of Knowledge Trophy"</f>
        <v>10.75" Tourch Riser Lamp of Knowledge Trophy</v>
      </c>
      <c r="G2118" s="37"/>
      <c r="H2118" s="38" t="str">
        <f>"EA"</f>
        <v>EA</v>
      </c>
      <c r="I2118" s="37"/>
      <c r="J2118" s="37"/>
      <c r="K2118" s="37"/>
      <c r="L2118" s="37"/>
      <c r="M2118" s="37"/>
      <c r="N2118" s="37"/>
      <c r="O2118" s="39">
        <f>(SUBTOTAL(9,O2119:O2120))</f>
        <v>0</v>
      </c>
      <c r="P2118" s="39">
        <f>(SUBTOTAL(9,P2119:P2120))</f>
        <v>-144</v>
      </c>
      <c r="Q2118" s="39">
        <f>(SUBTOTAL(9,Q2119:Q2120))</f>
        <v>0</v>
      </c>
      <c r="R2118" s="39">
        <f>(SUBTOTAL(9,R2119:R2120))</f>
        <v>0</v>
      </c>
      <c r="S2118" s="39">
        <f>(SUBTOTAL(9,S2119:S2120))</f>
        <v>0</v>
      </c>
      <c r="T2118" s="39">
        <f>(SUBTOTAL(9,T2119:T2120))</f>
        <v>0</v>
      </c>
      <c r="U2118" s="55">
        <f t="shared" ref="U2118" si="541">SUBTOTAL(9,O2119:T2120)</f>
        <v>-144</v>
      </c>
    </row>
    <row r="2119" spans="1:21" ht="17.25" customHeight="1" x14ac:dyDescent="0.3">
      <c r="A2119" s="15" t="s">
        <v>30</v>
      </c>
      <c r="C2119" s="19"/>
      <c r="D2119" s="33" t="str">
        <f t="shared" ref="D2119" si="542">D2118</f>
        <v>S200018</v>
      </c>
      <c r="E2119" s="33"/>
      <c r="F2119" s="34"/>
      <c r="G2119" s="34" t="str">
        <f>"""NAV Direct"",""CRONUS JetCorp USA"",""32"",""1"",""153161"""</f>
        <v>"NAV Direct","CRONUS JetCorp USA","32","1","153161"</v>
      </c>
      <c r="H2119" s="40">
        <v>43470</v>
      </c>
      <c r="I2119" s="41">
        <v>153161</v>
      </c>
      <c r="J2119" s="42" t="str">
        <f>"Customer"</f>
        <v>Customer</v>
      </c>
      <c r="K2119" s="42" t="str">
        <f>"C100136"</f>
        <v>C100136</v>
      </c>
      <c r="L2119" s="42" t="str">
        <f>IF($J2119="Customer",_xll.NL("first",$J2119,"Name","No.","@@"&amp;$K2119),"")</f>
        <v>First Bank</v>
      </c>
      <c r="M2119" s="42" t="str">
        <f>""</f>
        <v/>
      </c>
      <c r="N2119" s="42" t="str">
        <f>IF($J2119="Item",_xll.NL("first",$J2119,"Description","No.","@@"&amp;$K2119),"")</f>
        <v/>
      </c>
      <c r="O2119" s="43">
        <v>0</v>
      </c>
      <c r="P2119" s="43">
        <v>-144</v>
      </c>
      <c r="Q2119" s="43">
        <v>0</v>
      </c>
      <c r="R2119" s="43">
        <v>0</v>
      </c>
      <c r="S2119" s="43">
        <v>0</v>
      </c>
      <c r="T2119" s="43">
        <v>0</v>
      </c>
      <c r="U2119" s="56"/>
    </row>
    <row r="2120" spans="1:21" ht="17.25" customHeight="1" x14ac:dyDescent="0.3">
      <c r="A2120" s="15" t="s">
        <v>30</v>
      </c>
      <c r="C2120" s="19"/>
      <c r="D2120" s="33"/>
      <c r="E2120" s="33"/>
      <c r="F2120" s="34"/>
      <c r="G2120" s="34"/>
      <c r="H2120" s="34"/>
      <c r="I2120" s="34"/>
      <c r="J2120" s="34"/>
      <c r="K2120" s="34"/>
      <c r="L2120" s="34"/>
      <c r="M2120" s="34"/>
      <c r="N2120" s="34"/>
      <c r="O2120" s="44"/>
      <c r="P2120" s="44"/>
      <c r="Q2120" s="44"/>
      <c r="R2120" s="44"/>
      <c r="S2120" s="44"/>
      <c r="T2120" s="44"/>
      <c r="U2120" s="57"/>
    </row>
    <row r="2121" spans="1:21" ht="17.25" customHeight="1" x14ac:dyDescent="0.3">
      <c r="A2121" s="15" t="s">
        <v>30</v>
      </c>
      <c r="C2121" s="19"/>
      <c r="D2121" s="33"/>
      <c r="E2121" s="33" t="s">
        <v>31</v>
      </c>
      <c r="F2121" s="34" t="s">
        <v>31</v>
      </c>
      <c r="G2121" s="34" t="s">
        <v>31</v>
      </c>
      <c r="H2121" s="34"/>
      <c r="I2121" s="34"/>
      <c r="J2121" s="34" t="s">
        <v>31</v>
      </c>
      <c r="K2121" s="34" t="s">
        <v>31</v>
      </c>
      <c r="L2121" s="34" t="s">
        <v>31</v>
      </c>
      <c r="M2121" s="34" t="s">
        <v>31</v>
      </c>
      <c r="N2121" s="34"/>
      <c r="U2121" s="58"/>
    </row>
    <row r="2122" spans="1:21" ht="20.25" customHeight="1" x14ac:dyDescent="0.35">
      <c r="A2122" s="15" t="s">
        <v>30</v>
      </c>
      <c r="C2122" s="19"/>
      <c r="D2122" s="35" t="str">
        <f t="shared" ref="D2122" si="543">E2122</f>
        <v>S200019</v>
      </c>
      <c r="E2122" s="36" t="str">
        <f>"S200019"</f>
        <v>S200019</v>
      </c>
      <c r="F2122" s="37" t="str">
        <f>"10.75"" Tourch Riser Apple Trophy"</f>
        <v>10.75" Tourch Riser Apple Trophy</v>
      </c>
      <c r="G2122" s="37"/>
      <c r="H2122" s="38" t="str">
        <f>"EA"</f>
        <v>EA</v>
      </c>
      <c r="I2122" s="37"/>
      <c r="J2122" s="37"/>
      <c r="K2122" s="37"/>
      <c r="L2122" s="37"/>
      <c r="M2122" s="37"/>
      <c r="N2122" s="37"/>
      <c r="O2122" s="39">
        <f>(SUBTOTAL(9,O2123:O2127))</f>
        <v>499.99999999999994</v>
      </c>
      <c r="P2122" s="39">
        <f>(SUBTOTAL(9,P2123:P2127))</f>
        <v>-336</v>
      </c>
      <c r="Q2122" s="39">
        <f>(SUBTOTAL(9,Q2123:Q2127))</f>
        <v>0</v>
      </c>
      <c r="R2122" s="39">
        <f>(SUBTOTAL(9,R2123:R2127))</f>
        <v>0</v>
      </c>
      <c r="S2122" s="39">
        <f>(SUBTOTAL(9,S2123:S2127))</f>
        <v>0</v>
      </c>
      <c r="T2122" s="39">
        <f>(SUBTOTAL(9,T2123:T2127))</f>
        <v>0</v>
      </c>
      <c r="U2122" s="55">
        <f t="shared" ref="U2122" si="544">SUBTOTAL(9,O2123:T2127)</f>
        <v>163.99999999999994</v>
      </c>
    </row>
    <row r="2123" spans="1:21" ht="17.25" customHeight="1" x14ac:dyDescent="0.3">
      <c r="A2123" s="15" t="s">
        <v>30</v>
      </c>
      <c r="C2123" s="19"/>
      <c r="D2123" s="33" t="str">
        <f t="shared" ref="D2123" si="545">D2122</f>
        <v>S200019</v>
      </c>
      <c r="E2123" s="33"/>
      <c r="F2123" s="34"/>
      <c r="G2123" s="34" t="str">
        <f>"""NAV Direct"",""CRONUS JetCorp USA"",""32"",""1"",""169243"""</f>
        <v>"NAV Direct","CRONUS JetCorp USA","32","1","169243"</v>
      </c>
      <c r="H2123" s="40">
        <v>43466</v>
      </c>
      <c r="I2123" s="41">
        <v>169243</v>
      </c>
      <c r="J2123" s="42" t="str">
        <f>"Vendor"</f>
        <v>Vendor</v>
      </c>
      <c r="K2123" s="42" t="str">
        <f>"V100003"</f>
        <v>V100003</v>
      </c>
      <c r="L2123" s="42" t="str">
        <f>IF($J2123="Customer",_xll.NL("first",$J2123,"Name","No.","@@"&amp;$K2123),"")</f>
        <v/>
      </c>
      <c r="M2123" s="42" t="str">
        <f>"LogoMasters"</f>
        <v>LogoMasters</v>
      </c>
      <c r="N2123" s="42" t="str">
        <f>IF($J2123="Item",_xll.NL("first",$J2123,"Description","No.","@@"&amp;$K2123),"")</f>
        <v/>
      </c>
      <c r="O2123" s="43">
        <v>499.99999999999994</v>
      </c>
      <c r="P2123" s="43">
        <v>0</v>
      </c>
      <c r="Q2123" s="43">
        <v>0</v>
      </c>
      <c r="R2123" s="43">
        <v>0</v>
      </c>
      <c r="S2123" s="43">
        <v>0</v>
      </c>
      <c r="T2123" s="43">
        <v>0</v>
      </c>
      <c r="U2123" s="56"/>
    </row>
    <row r="2124" spans="1:21" ht="17.25" customHeight="1" x14ac:dyDescent="0.3">
      <c r="A2124" s="15" t="s">
        <v>30</v>
      </c>
      <c r="C2124" s="19"/>
      <c r="D2124" s="33" t="str">
        <f t="shared" ref="D2124:D2126" si="546">D2123</f>
        <v>S200019</v>
      </c>
      <c r="E2124" s="33"/>
      <c r="F2124" s="34"/>
      <c r="G2124" s="34" t="str">
        <f>"""NAV Direct"",""CRONUS JetCorp USA"",""32"",""1"",""147985"""</f>
        <v>"NAV Direct","CRONUS JetCorp USA","32","1","147985"</v>
      </c>
      <c r="H2124" s="40">
        <v>43469</v>
      </c>
      <c r="I2124" s="41">
        <v>147985</v>
      </c>
      <c r="J2124" s="42" t="str">
        <f>"Customer"</f>
        <v>Customer</v>
      </c>
      <c r="K2124" s="42" t="str">
        <f>"C100096"</f>
        <v>C100096</v>
      </c>
      <c r="L2124" s="42" t="str">
        <f>IF($J2124="Customer",_xll.NL("first",$J2124,"Name","No.","@@"&amp;$K2124),"")</f>
        <v>D-Com Industries</v>
      </c>
      <c r="M2124" s="42" t="str">
        <f>""</f>
        <v/>
      </c>
      <c r="N2124" s="42" t="str">
        <f>IF($J2124="Item",_xll.NL("first",$J2124,"Description","No.","@@"&amp;$K2124),"")</f>
        <v/>
      </c>
      <c r="O2124" s="43">
        <v>0</v>
      </c>
      <c r="P2124" s="43">
        <v>-144</v>
      </c>
      <c r="Q2124" s="43">
        <v>0</v>
      </c>
      <c r="R2124" s="43">
        <v>0</v>
      </c>
      <c r="S2124" s="43">
        <v>0</v>
      </c>
      <c r="T2124" s="43">
        <v>0</v>
      </c>
      <c r="U2124" s="56"/>
    </row>
    <row r="2125" spans="1:21" ht="17.25" customHeight="1" x14ac:dyDescent="0.3">
      <c r="A2125" s="15" t="s">
        <v>30</v>
      </c>
      <c r="C2125" s="19"/>
      <c r="D2125" s="33" t="str">
        <f t="shared" si="546"/>
        <v>S200019</v>
      </c>
      <c r="E2125" s="33"/>
      <c r="F2125" s="34"/>
      <c r="G2125" s="34" t="str">
        <f>"""NAV Direct"",""CRONUS JetCorp USA"",""32"",""1"",""153191"""</f>
        <v>"NAV Direct","CRONUS JetCorp USA","32","1","153191"</v>
      </c>
      <c r="H2125" s="40">
        <v>43469</v>
      </c>
      <c r="I2125" s="41">
        <v>153191</v>
      </c>
      <c r="J2125" s="42" t="str">
        <f>"Customer"</f>
        <v>Customer</v>
      </c>
      <c r="K2125" s="42" t="str">
        <f>"C100136"</f>
        <v>C100136</v>
      </c>
      <c r="L2125" s="42" t="str">
        <f>IF($J2125="Customer",_xll.NL("first",$J2125,"Name","No.","@@"&amp;$K2125),"")</f>
        <v>First Bank</v>
      </c>
      <c r="M2125" s="42" t="str">
        <f>""</f>
        <v/>
      </c>
      <c r="N2125" s="42" t="str">
        <f>IF($J2125="Item",_xll.NL("first",$J2125,"Description","No.","@@"&amp;$K2125),"")</f>
        <v/>
      </c>
      <c r="O2125" s="43">
        <v>0</v>
      </c>
      <c r="P2125" s="43">
        <v>-48</v>
      </c>
      <c r="Q2125" s="43">
        <v>0</v>
      </c>
      <c r="R2125" s="43">
        <v>0</v>
      </c>
      <c r="S2125" s="43">
        <v>0</v>
      </c>
      <c r="T2125" s="43">
        <v>0</v>
      </c>
      <c r="U2125" s="56"/>
    </row>
    <row r="2126" spans="1:21" ht="17.25" customHeight="1" x14ac:dyDescent="0.3">
      <c r="A2126" s="15" t="s">
        <v>30</v>
      </c>
      <c r="C2126" s="19"/>
      <c r="D2126" s="33" t="str">
        <f t="shared" si="546"/>
        <v>S200019</v>
      </c>
      <c r="E2126" s="33"/>
      <c r="F2126" s="34"/>
      <c r="G2126" s="34" t="str">
        <f>"""NAV Direct"",""CRONUS JetCorp USA"",""32"",""1"",""142544"""</f>
        <v>"NAV Direct","CRONUS JetCorp USA","32","1","142544"</v>
      </c>
      <c r="H2126" s="40">
        <v>43472</v>
      </c>
      <c r="I2126" s="41">
        <v>142544</v>
      </c>
      <c r="J2126" s="42" t="str">
        <f>"Customer"</f>
        <v>Customer</v>
      </c>
      <c r="K2126" s="42" t="str">
        <f>"C100100"</f>
        <v>C100100</v>
      </c>
      <c r="L2126" s="42" t="str">
        <f>IF($J2126="Customer",_xll.NL("first",$J2126,"Name","No.","@@"&amp;$K2126),"")</f>
        <v>Keybase, Inc.</v>
      </c>
      <c r="M2126" s="42" t="str">
        <f>""</f>
        <v/>
      </c>
      <c r="N2126" s="42" t="str">
        <f>IF($J2126="Item",_xll.NL("first",$J2126,"Description","No.","@@"&amp;$K2126),"")</f>
        <v/>
      </c>
      <c r="O2126" s="43">
        <v>0</v>
      </c>
      <c r="P2126" s="43">
        <v>-144</v>
      </c>
      <c r="Q2126" s="43">
        <v>0</v>
      </c>
      <c r="R2126" s="43">
        <v>0</v>
      </c>
      <c r="S2126" s="43">
        <v>0</v>
      </c>
      <c r="T2126" s="43">
        <v>0</v>
      </c>
      <c r="U2126" s="56"/>
    </row>
    <row r="2127" spans="1:21" ht="17.25" customHeight="1" x14ac:dyDescent="0.3">
      <c r="A2127" s="15" t="s">
        <v>30</v>
      </c>
      <c r="C2127" s="19"/>
      <c r="D2127" s="33"/>
      <c r="E2127" s="33"/>
      <c r="F2127" s="34"/>
      <c r="G2127" s="34"/>
      <c r="H2127" s="34"/>
      <c r="I2127" s="34"/>
      <c r="J2127" s="34"/>
      <c r="K2127" s="34"/>
      <c r="L2127" s="34"/>
      <c r="M2127" s="34"/>
      <c r="N2127" s="34"/>
      <c r="O2127" s="44"/>
      <c r="P2127" s="44"/>
      <c r="Q2127" s="44"/>
      <c r="R2127" s="44"/>
      <c r="S2127" s="44"/>
      <c r="T2127" s="44"/>
      <c r="U2127" s="57"/>
    </row>
    <row r="2128" spans="1:21" ht="17.25" customHeight="1" x14ac:dyDescent="0.3">
      <c r="A2128" s="15" t="s">
        <v>30</v>
      </c>
      <c r="C2128" s="19"/>
      <c r="D2128" s="33"/>
      <c r="E2128" s="33" t="s">
        <v>31</v>
      </c>
      <c r="F2128" s="34" t="s">
        <v>31</v>
      </c>
      <c r="G2128" s="34" t="s">
        <v>31</v>
      </c>
      <c r="H2128" s="34"/>
      <c r="I2128" s="34"/>
      <c r="J2128" s="34" t="s">
        <v>31</v>
      </c>
      <c r="K2128" s="34" t="s">
        <v>31</v>
      </c>
      <c r="L2128" s="34" t="s">
        <v>31</v>
      </c>
      <c r="M2128" s="34" t="s">
        <v>31</v>
      </c>
      <c r="N2128" s="34"/>
      <c r="U2128" s="58"/>
    </row>
    <row r="2129" spans="1:21" ht="20.25" customHeight="1" x14ac:dyDescent="0.35">
      <c r="A2129" s="15" t="s">
        <v>30</v>
      </c>
      <c r="C2129" s="19"/>
      <c r="D2129" s="35" t="str">
        <f t="shared" ref="D2129" si="547">E2129</f>
        <v>S200020</v>
      </c>
      <c r="E2129" s="36" t="str">
        <f>"S200020"</f>
        <v>S200020</v>
      </c>
      <c r="F2129" s="37" t="str">
        <f>"10.75"" Tourch Riser Soccer Trophy"</f>
        <v>10.75" Tourch Riser Soccer Trophy</v>
      </c>
      <c r="G2129" s="37"/>
      <c r="H2129" s="38" t="str">
        <f>"EA"</f>
        <v>EA</v>
      </c>
      <c r="I2129" s="37"/>
      <c r="J2129" s="37"/>
      <c r="K2129" s="37"/>
      <c r="L2129" s="37"/>
      <c r="M2129" s="37"/>
      <c r="N2129" s="37"/>
      <c r="O2129" s="39">
        <f>(SUBTOTAL(9,O2130:O2133))</f>
        <v>750</v>
      </c>
      <c r="P2129" s="39">
        <f>(SUBTOTAL(9,P2130:P2133))</f>
        <v>-143</v>
      </c>
      <c r="Q2129" s="39">
        <f>(SUBTOTAL(9,Q2130:Q2133))</f>
        <v>0</v>
      </c>
      <c r="R2129" s="39">
        <f>(SUBTOTAL(9,R2130:R2133))</f>
        <v>0</v>
      </c>
      <c r="S2129" s="39">
        <f>(SUBTOTAL(9,S2130:S2133))</f>
        <v>0</v>
      </c>
      <c r="T2129" s="39">
        <f>(SUBTOTAL(9,T2130:T2133))</f>
        <v>0</v>
      </c>
      <c r="U2129" s="55">
        <f t="shared" ref="U2129" si="548">SUBTOTAL(9,O2130:T2133)</f>
        <v>607</v>
      </c>
    </row>
    <row r="2130" spans="1:21" ht="17.25" customHeight="1" x14ac:dyDescent="0.3">
      <c r="A2130" s="15" t="s">
        <v>30</v>
      </c>
      <c r="C2130" s="19"/>
      <c r="D2130" s="33" t="str">
        <f t="shared" ref="D2130" si="549">D2129</f>
        <v>S200020</v>
      </c>
      <c r="E2130" s="33"/>
      <c r="F2130" s="34"/>
      <c r="G2130" s="34" t="str">
        <f>"""NAV Direct"",""CRONUS JetCorp USA"",""32"",""1"",""169236"""</f>
        <v>"NAV Direct","CRONUS JetCorp USA","32","1","169236"</v>
      </c>
      <c r="H2130" s="40">
        <v>43466</v>
      </c>
      <c r="I2130" s="41">
        <v>169236</v>
      </c>
      <c r="J2130" s="42" t="str">
        <f>"Vendor"</f>
        <v>Vendor</v>
      </c>
      <c r="K2130" s="42" t="str">
        <f>"V100001"</f>
        <v>V100001</v>
      </c>
      <c r="L2130" s="42" t="str">
        <f>IF($J2130="Customer",_xll.NL("first",$J2130,"Name","No.","@@"&amp;$K2130),"")</f>
        <v/>
      </c>
      <c r="M2130" s="42" t="str">
        <f>"Greigner, Inc."</f>
        <v>Greigner, Inc.</v>
      </c>
      <c r="N2130" s="42" t="str">
        <f>IF($J2130="Item",_xll.NL("first",$J2130,"Description","No.","@@"&amp;$K2130),"")</f>
        <v/>
      </c>
      <c r="O2130" s="43">
        <v>750</v>
      </c>
      <c r="P2130" s="43">
        <v>0</v>
      </c>
      <c r="Q2130" s="43">
        <v>0</v>
      </c>
      <c r="R2130" s="43">
        <v>0</v>
      </c>
      <c r="S2130" s="43">
        <v>0</v>
      </c>
      <c r="T2130" s="43">
        <v>0</v>
      </c>
      <c r="U2130" s="56"/>
    </row>
    <row r="2131" spans="1:21" ht="17.25" customHeight="1" x14ac:dyDescent="0.3">
      <c r="A2131" s="15" t="s">
        <v>30</v>
      </c>
      <c r="C2131" s="19"/>
      <c r="D2131" s="33" t="str">
        <f t="shared" ref="D2131:D2132" si="550">D2130</f>
        <v>S200020</v>
      </c>
      <c r="E2131" s="33"/>
      <c r="F2131" s="34"/>
      <c r="G2131" s="34" t="str">
        <f>"""NAV Direct"",""CRONUS JetCorp USA"",""32"",""1"",""153188"""</f>
        <v>"NAV Direct","CRONUS JetCorp USA","32","1","153188"</v>
      </c>
      <c r="H2131" s="40">
        <v>43469</v>
      </c>
      <c r="I2131" s="41">
        <v>153188</v>
      </c>
      <c r="J2131" s="42" t="str">
        <f>"Customer"</f>
        <v>Customer</v>
      </c>
      <c r="K2131" s="42" t="str">
        <f>"C100136"</f>
        <v>C100136</v>
      </c>
      <c r="L2131" s="42" t="str">
        <f>IF($J2131="Customer",_xll.NL("first",$J2131,"Name","No.","@@"&amp;$K2131),"")</f>
        <v>First Bank</v>
      </c>
      <c r="M2131" s="42" t="str">
        <f>""</f>
        <v/>
      </c>
      <c r="N2131" s="42" t="str">
        <f>IF($J2131="Item",_xll.NL("first",$J2131,"Description","No.","@@"&amp;$K2131),"")</f>
        <v/>
      </c>
      <c r="O2131" s="43">
        <v>0</v>
      </c>
      <c r="P2131" s="43">
        <v>-144</v>
      </c>
      <c r="Q2131" s="43">
        <v>0</v>
      </c>
      <c r="R2131" s="43">
        <v>0</v>
      </c>
      <c r="S2131" s="43">
        <v>0</v>
      </c>
      <c r="T2131" s="43">
        <v>0</v>
      </c>
      <c r="U2131" s="56"/>
    </row>
    <row r="2132" spans="1:21" ht="17.25" customHeight="1" x14ac:dyDescent="0.3">
      <c r="A2132" s="15" t="s">
        <v>30</v>
      </c>
      <c r="C2132" s="19"/>
      <c r="D2132" s="33" t="str">
        <f t="shared" si="550"/>
        <v>S200020</v>
      </c>
      <c r="E2132" s="33"/>
      <c r="F2132" s="34"/>
      <c r="G2132" s="34" t="str">
        <f>"""NAV Direct"",""CRONUS JetCorp USA"",""32"",""1"",""159117"""</f>
        <v>"NAV Direct","CRONUS JetCorp USA","32","1","159117"</v>
      </c>
      <c r="H2132" s="40">
        <v>43474</v>
      </c>
      <c r="I2132" s="41">
        <v>159117</v>
      </c>
      <c r="J2132" s="42" t="str">
        <f>"Customer"</f>
        <v>Customer</v>
      </c>
      <c r="K2132" s="42" t="str">
        <f>"C100143"</f>
        <v>C100143</v>
      </c>
      <c r="L2132" s="42" t="str">
        <f>IF($J2132="Customer",_xll.NL("first",$J2132,"Name","No.","@@"&amp;$K2132),"")</f>
        <v>Parvotis</v>
      </c>
      <c r="M2132" s="42" t="str">
        <f>""</f>
        <v/>
      </c>
      <c r="N2132" s="42" t="str">
        <f>IF($J2132="Item",_xll.NL("first",$J2132,"Description","No.","@@"&amp;$K2132),"")</f>
        <v/>
      </c>
      <c r="O2132" s="43">
        <v>0</v>
      </c>
      <c r="P2132" s="43">
        <v>1</v>
      </c>
      <c r="Q2132" s="43">
        <v>0</v>
      </c>
      <c r="R2132" s="43">
        <v>0</v>
      </c>
      <c r="S2132" s="43">
        <v>0</v>
      </c>
      <c r="T2132" s="43">
        <v>0</v>
      </c>
      <c r="U2132" s="56"/>
    </row>
    <row r="2133" spans="1:21" ht="17.25" customHeight="1" x14ac:dyDescent="0.3">
      <c r="A2133" s="15" t="s">
        <v>30</v>
      </c>
      <c r="C2133" s="19"/>
      <c r="D2133" s="33"/>
      <c r="E2133" s="33"/>
      <c r="F2133" s="34"/>
      <c r="G2133" s="34"/>
      <c r="H2133" s="34"/>
      <c r="I2133" s="34"/>
      <c r="J2133" s="34"/>
      <c r="K2133" s="34"/>
      <c r="L2133" s="34"/>
      <c r="M2133" s="34"/>
      <c r="N2133" s="34"/>
      <c r="O2133" s="44"/>
      <c r="P2133" s="44"/>
      <c r="Q2133" s="44"/>
      <c r="R2133" s="44"/>
      <c r="S2133" s="44"/>
      <c r="T2133" s="44"/>
      <c r="U2133" s="57"/>
    </row>
    <row r="2134" spans="1:21" ht="17.25" customHeight="1" x14ac:dyDescent="0.3">
      <c r="A2134" s="15" t="s">
        <v>30</v>
      </c>
      <c r="C2134" s="19"/>
      <c r="D2134" s="33"/>
      <c r="E2134" s="33" t="s">
        <v>31</v>
      </c>
      <c r="F2134" s="34" t="s">
        <v>31</v>
      </c>
      <c r="G2134" s="34" t="s">
        <v>31</v>
      </c>
      <c r="H2134" s="34"/>
      <c r="I2134" s="34"/>
      <c r="J2134" s="34" t="s">
        <v>31</v>
      </c>
      <c r="K2134" s="34" t="s">
        <v>31</v>
      </c>
      <c r="L2134" s="34" t="s">
        <v>31</v>
      </c>
      <c r="M2134" s="34" t="s">
        <v>31</v>
      </c>
      <c r="N2134" s="34"/>
      <c r="U2134" s="58"/>
    </row>
    <row r="2135" spans="1:21" ht="20.25" customHeight="1" x14ac:dyDescent="0.35">
      <c r="A2135" s="15" t="s">
        <v>30</v>
      </c>
      <c r="C2135" s="19"/>
      <c r="D2135" s="35" t="str">
        <f t="shared" ref="D2135" si="551">E2135</f>
        <v>S200021</v>
      </c>
      <c r="E2135" s="36" t="str">
        <f>"S200021"</f>
        <v>S200021</v>
      </c>
      <c r="F2135" s="37" t="str">
        <f>"10.75"" Tourch Riser FootballTrophy"</f>
        <v>10.75" Tourch Riser FootballTrophy</v>
      </c>
      <c r="G2135" s="37"/>
      <c r="H2135" s="38" t="str">
        <f>"EA"</f>
        <v>EA</v>
      </c>
      <c r="I2135" s="37"/>
      <c r="J2135" s="37"/>
      <c r="K2135" s="37"/>
      <c r="L2135" s="37"/>
      <c r="M2135" s="37"/>
      <c r="N2135" s="37"/>
      <c r="O2135" s="39">
        <f>(SUBTOTAL(9,O2136:O2137))</f>
        <v>249.99999999999997</v>
      </c>
      <c r="P2135" s="39">
        <f>(SUBTOTAL(9,P2136:P2137))</f>
        <v>0</v>
      </c>
      <c r="Q2135" s="39">
        <f>(SUBTOTAL(9,Q2136:Q2137))</f>
        <v>0</v>
      </c>
      <c r="R2135" s="39">
        <f>(SUBTOTAL(9,R2136:R2137))</f>
        <v>0</v>
      </c>
      <c r="S2135" s="39">
        <f>(SUBTOTAL(9,S2136:S2137))</f>
        <v>0</v>
      </c>
      <c r="T2135" s="39">
        <f>(SUBTOTAL(9,T2136:T2137))</f>
        <v>0</v>
      </c>
      <c r="U2135" s="55">
        <f t="shared" ref="U2135" si="552">SUBTOTAL(9,O2136:T2137)</f>
        <v>249.99999999999997</v>
      </c>
    </row>
    <row r="2136" spans="1:21" ht="17.25" customHeight="1" x14ac:dyDescent="0.3">
      <c r="A2136" s="15" t="s">
        <v>30</v>
      </c>
      <c r="C2136" s="19"/>
      <c r="D2136" s="33" t="str">
        <f t="shared" ref="D2136" si="553">D2135</f>
        <v>S200021</v>
      </c>
      <c r="E2136" s="33"/>
      <c r="F2136" s="34"/>
      <c r="G2136" s="34" t="str">
        <f>"""NAV Direct"",""CRONUS JetCorp USA"",""32"",""1"",""169235"""</f>
        <v>"NAV Direct","CRONUS JetCorp USA","32","1","169235"</v>
      </c>
      <c r="H2136" s="40">
        <v>43466</v>
      </c>
      <c r="I2136" s="41">
        <v>169235</v>
      </c>
      <c r="J2136" s="42" t="str">
        <f>"Vendor"</f>
        <v>Vendor</v>
      </c>
      <c r="K2136" s="42" t="str">
        <f>"V100001"</f>
        <v>V100001</v>
      </c>
      <c r="L2136" s="42" t="str">
        <f>IF($J2136="Customer",_xll.NL("first",$J2136,"Name","No.","@@"&amp;$K2136),"")</f>
        <v/>
      </c>
      <c r="M2136" s="42" t="str">
        <f>"Greigner, Inc."</f>
        <v>Greigner, Inc.</v>
      </c>
      <c r="N2136" s="42" t="str">
        <f>IF($J2136="Item",_xll.NL("first",$J2136,"Description","No.","@@"&amp;$K2136),"")</f>
        <v/>
      </c>
      <c r="O2136" s="43">
        <v>249.99999999999997</v>
      </c>
      <c r="P2136" s="43">
        <v>0</v>
      </c>
      <c r="Q2136" s="43">
        <v>0</v>
      </c>
      <c r="R2136" s="43">
        <v>0</v>
      </c>
      <c r="S2136" s="43">
        <v>0</v>
      </c>
      <c r="T2136" s="43">
        <v>0</v>
      </c>
      <c r="U2136" s="56"/>
    </row>
    <row r="2137" spans="1:21" ht="17.25" customHeight="1" x14ac:dyDescent="0.3">
      <c r="A2137" s="15" t="s">
        <v>30</v>
      </c>
      <c r="C2137" s="19"/>
      <c r="D2137" s="33"/>
      <c r="E2137" s="33"/>
      <c r="F2137" s="34"/>
      <c r="G2137" s="34"/>
      <c r="H2137" s="34"/>
      <c r="I2137" s="34"/>
      <c r="J2137" s="34"/>
      <c r="K2137" s="34"/>
      <c r="L2137" s="34"/>
      <c r="M2137" s="34"/>
      <c r="N2137" s="34"/>
      <c r="O2137" s="44"/>
      <c r="P2137" s="44"/>
      <c r="Q2137" s="44"/>
      <c r="R2137" s="44"/>
      <c r="S2137" s="44"/>
      <c r="T2137" s="44"/>
      <c r="U2137" s="57"/>
    </row>
    <row r="2138" spans="1:21" ht="17.25" customHeight="1" x14ac:dyDescent="0.3">
      <c r="A2138" s="15" t="s">
        <v>30</v>
      </c>
      <c r="C2138" s="19"/>
      <c r="D2138" s="33"/>
      <c r="E2138" s="33" t="s">
        <v>31</v>
      </c>
      <c r="F2138" s="34" t="s">
        <v>31</v>
      </c>
      <c r="G2138" s="34" t="s">
        <v>31</v>
      </c>
      <c r="H2138" s="34"/>
      <c r="I2138" s="34"/>
      <c r="J2138" s="34" t="s">
        <v>31</v>
      </c>
      <c r="K2138" s="34" t="s">
        <v>31</v>
      </c>
      <c r="L2138" s="34" t="s">
        <v>31</v>
      </c>
      <c r="M2138" s="34" t="s">
        <v>31</v>
      </c>
      <c r="N2138" s="34"/>
      <c r="U2138" s="58"/>
    </row>
    <row r="2139" spans="1:21" ht="20.25" customHeight="1" x14ac:dyDescent="0.35">
      <c r="A2139" s="15" t="s">
        <v>30</v>
      </c>
      <c r="C2139" s="19"/>
      <c r="D2139" s="35" t="str">
        <f t="shared" ref="D2139" si="554">E2139</f>
        <v>S200022</v>
      </c>
      <c r="E2139" s="36" t="str">
        <f>"S200022"</f>
        <v>S200022</v>
      </c>
      <c r="F2139" s="37" t="str">
        <f>"10.75"" Tourch Riser Basketball Trophy"</f>
        <v>10.75" Tourch Riser Basketball Trophy</v>
      </c>
      <c r="G2139" s="37"/>
      <c r="H2139" s="38" t="str">
        <f>"EA"</f>
        <v>EA</v>
      </c>
      <c r="I2139" s="37"/>
      <c r="J2139" s="37"/>
      <c r="K2139" s="37"/>
      <c r="L2139" s="37"/>
      <c r="M2139" s="37"/>
      <c r="N2139" s="37"/>
      <c r="O2139" s="39">
        <f>(SUBTOTAL(9,O2140:O2142))</f>
        <v>249.99999999999997</v>
      </c>
      <c r="P2139" s="39">
        <f>(SUBTOTAL(9,P2140:P2142))</f>
        <v>-144</v>
      </c>
      <c r="Q2139" s="39">
        <f>(SUBTOTAL(9,Q2140:Q2142))</f>
        <v>0</v>
      </c>
      <c r="R2139" s="39">
        <f>(SUBTOTAL(9,R2140:R2142))</f>
        <v>0</v>
      </c>
      <c r="S2139" s="39">
        <f>(SUBTOTAL(9,S2140:S2142))</f>
        <v>0</v>
      </c>
      <c r="T2139" s="39">
        <f>(SUBTOTAL(9,T2140:T2142))</f>
        <v>0</v>
      </c>
      <c r="U2139" s="55">
        <f t="shared" ref="U2139" si="555">SUBTOTAL(9,O2140:T2142)</f>
        <v>105.99999999999997</v>
      </c>
    </row>
    <row r="2140" spans="1:21" ht="17.25" customHeight="1" x14ac:dyDescent="0.3">
      <c r="A2140" s="15" t="s">
        <v>30</v>
      </c>
      <c r="C2140" s="19"/>
      <c r="D2140" s="33" t="str">
        <f t="shared" ref="D2140" si="556">D2139</f>
        <v>S200022</v>
      </c>
      <c r="E2140" s="33"/>
      <c r="F2140" s="34"/>
      <c r="G2140" s="34" t="str">
        <f>"""NAV Direct"",""CRONUS JetCorp USA"",""32"",""1"",""169234"""</f>
        <v>"NAV Direct","CRONUS JetCorp USA","32","1","169234"</v>
      </c>
      <c r="H2140" s="40">
        <v>43466</v>
      </c>
      <c r="I2140" s="41">
        <v>169234</v>
      </c>
      <c r="J2140" s="42" t="str">
        <f>"Vendor"</f>
        <v>Vendor</v>
      </c>
      <c r="K2140" s="42" t="str">
        <f>"V100001"</f>
        <v>V100001</v>
      </c>
      <c r="L2140" s="42" t="str">
        <f>IF($J2140="Customer",_xll.NL("first",$J2140,"Name","No.","@@"&amp;$K2140),"")</f>
        <v/>
      </c>
      <c r="M2140" s="42" t="str">
        <f>"Greigner, Inc."</f>
        <v>Greigner, Inc.</v>
      </c>
      <c r="N2140" s="42" t="str">
        <f>IF($J2140="Item",_xll.NL("first",$J2140,"Description","No.","@@"&amp;$K2140),"")</f>
        <v/>
      </c>
      <c r="O2140" s="43">
        <v>249.99999999999997</v>
      </c>
      <c r="P2140" s="43">
        <v>0</v>
      </c>
      <c r="Q2140" s="43">
        <v>0</v>
      </c>
      <c r="R2140" s="43">
        <v>0</v>
      </c>
      <c r="S2140" s="43">
        <v>0</v>
      </c>
      <c r="T2140" s="43">
        <v>0</v>
      </c>
      <c r="U2140" s="56"/>
    </row>
    <row r="2141" spans="1:21" ht="17.25" customHeight="1" x14ac:dyDescent="0.3">
      <c r="A2141" s="15" t="s">
        <v>30</v>
      </c>
      <c r="C2141" s="19"/>
      <c r="D2141" s="33" t="str">
        <f t="shared" ref="D2141" si="557">D2140</f>
        <v>S200022</v>
      </c>
      <c r="E2141" s="33"/>
      <c r="F2141" s="34"/>
      <c r="G2141" s="34" t="str">
        <f>"""NAV Direct"",""CRONUS JetCorp USA"",""32"",""1"",""153177"""</f>
        <v>"NAV Direct","CRONUS JetCorp USA","32","1","153177"</v>
      </c>
      <c r="H2141" s="40">
        <v>43475</v>
      </c>
      <c r="I2141" s="41">
        <v>153177</v>
      </c>
      <c r="J2141" s="42" t="str">
        <f>"Customer"</f>
        <v>Customer</v>
      </c>
      <c r="K2141" s="42" t="str">
        <f>"C100108"</f>
        <v>C100108</v>
      </c>
      <c r="L2141" s="42" t="str">
        <f>IF($J2141="Customer",_xll.NL("first",$J2141,"Name","No.","@@"&amp;$K2141),"")</f>
        <v>Kinfix Industries</v>
      </c>
      <c r="M2141" s="42" t="str">
        <f>""</f>
        <v/>
      </c>
      <c r="N2141" s="42" t="str">
        <f>IF($J2141="Item",_xll.NL("first",$J2141,"Description","No.","@@"&amp;$K2141),"")</f>
        <v/>
      </c>
      <c r="O2141" s="43">
        <v>0</v>
      </c>
      <c r="P2141" s="43">
        <v>-144</v>
      </c>
      <c r="Q2141" s="43">
        <v>0</v>
      </c>
      <c r="R2141" s="43">
        <v>0</v>
      </c>
      <c r="S2141" s="43">
        <v>0</v>
      </c>
      <c r="T2141" s="43">
        <v>0</v>
      </c>
      <c r="U2141" s="56"/>
    </row>
    <row r="2142" spans="1:21" ht="17.25" customHeight="1" x14ac:dyDescent="0.3">
      <c r="A2142" s="15" t="s">
        <v>30</v>
      </c>
      <c r="C2142" s="19"/>
      <c r="D2142" s="33"/>
      <c r="E2142" s="33"/>
      <c r="F2142" s="34"/>
      <c r="G2142" s="34"/>
      <c r="H2142" s="34"/>
      <c r="I2142" s="34"/>
      <c r="J2142" s="34"/>
      <c r="K2142" s="34"/>
      <c r="L2142" s="34"/>
      <c r="M2142" s="34"/>
      <c r="N2142" s="34"/>
      <c r="O2142" s="44"/>
      <c r="P2142" s="44"/>
      <c r="Q2142" s="44"/>
      <c r="R2142" s="44"/>
      <c r="S2142" s="44"/>
      <c r="T2142" s="44"/>
      <c r="U2142" s="57"/>
    </row>
    <row r="2143" spans="1:21" ht="17.25" customHeight="1" x14ac:dyDescent="0.3">
      <c r="A2143" s="15" t="s">
        <v>30</v>
      </c>
      <c r="C2143" s="19"/>
      <c r="D2143" s="33"/>
      <c r="E2143" s="33" t="s">
        <v>31</v>
      </c>
      <c r="F2143" s="34" t="s">
        <v>31</v>
      </c>
      <c r="G2143" s="34" t="s">
        <v>31</v>
      </c>
      <c r="H2143" s="34"/>
      <c r="I2143" s="34"/>
      <c r="J2143" s="34" t="s">
        <v>31</v>
      </c>
      <c r="K2143" s="34" t="s">
        <v>31</v>
      </c>
      <c r="L2143" s="34" t="s">
        <v>31</v>
      </c>
      <c r="M2143" s="34" t="s">
        <v>31</v>
      </c>
      <c r="N2143" s="34"/>
      <c r="U2143" s="58"/>
    </row>
    <row r="2144" spans="1:21" ht="20.25" customHeight="1" x14ac:dyDescent="0.35">
      <c r="A2144" s="15" t="s">
        <v>30</v>
      </c>
      <c r="C2144" s="19"/>
      <c r="D2144" s="35" t="str">
        <f t="shared" ref="D2144" si="558">E2144</f>
        <v>S200023</v>
      </c>
      <c r="E2144" s="36" t="str">
        <f>"S200023"</f>
        <v>S200023</v>
      </c>
      <c r="F2144" s="37" t="str">
        <f>"10.75"" Tourch Riser Volleyball Trophy"</f>
        <v>10.75" Tourch Riser Volleyball Trophy</v>
      </c>
      <c r="G2144" s="37"/>
      <c r="H2144" s="38" t="str">
        <f>"EA"</f>
        <v>EA</v>
      </c>
      <c r="I2144" s="37"/>
      <c r="J2144" s="37"/>
      <c r="K2144" s="37"/>
      <c r="L2144" s="37"/>
      <c r="M2144" s="37"/>
      <c r="N2144" s="37"/>
      <c r="O2144" s="39">
        <f>(SUBTOTAL(9,O2145:O2147))</f>
        <v>499.99999999999994</v>
      </c>
      <c r="P2144" s="39">
        <f>(SUBTOTAL(9,P2145:P2147))</f>
        <v>0</v>
      </c>
      <c r="Q2144" s="39">
        <f>(SUBTOTAL(9,Q2145:Q2147))</f>
        <v>0</v>
      </c>
      <c r="R2144" s="39">
        <f>(SUBTOTAL(9,R2145:R2147))</f>
        <v>0</v>
      </c>
      <c r="S2144" s="39">
        <f>(SUBTOTAL(9,S2145:S2147))</f>
        <v>0</v>
      </c>
      <c r="T2144" s="39">
        <f>(SUBTOTAL(9,T2145:T2147))</f>
        <v>0</v>
      </c>
      <c r="U2144" s="55">
        <f t="shared" ref="U2144" si="559">SUBTOTAL(9,O2145:T2147)</f>
        <v>499.99999999999994</v>
      </c>
    </row>
    <row r="2145" spans="1:21" ht="17.25" customHeight="1" x14ac:dyDescent="0.3">
      <c r="A2145" s="15" t="s">
        <v>30</v>
      </c>
      <c r="C2145" s="19"/>
      <c r="D2145" s="33" t="str">
        <f t="shared" ref="D2145" si="560">D2144</f>
        <v>S200023</v>
      </c>
      <c r="E2145" s="33"/>
      <c r="F2145" s="34"/>
      <c r="G2145" s="34" t="str">
        <f>"""NAV Direct"",""CRONUS JetCorp USA"",""32"",""1"",""169233"""</f>
        <v>"NAV Direct","CRONUS JetCorp USA","32","1","169233"</v>
      </c>
      <c r="H2145" s="40">
        <v>43466</v>
      </c>
      <c r="I2145" s="41">
        <v>169233</v>
      </c>
      <c r="J2145" s="42" t="str">
        <f>"Vendor"</f>
        <v>Vendor</v>
      </c>
      <c r="K2145" s="42" t="str">
        <f>"V100001"</f>
        <v>V100001</v>
      </c>
      <c r="L2145" s="42" t="str">
        <f>IF($J2145="Customer",_xll.NL("first",$J2145,"Name","No.","@@"&amp;$K2145),"")</f>
        <v/>
      </c>
      <c r="M2145" s="42" t="str">
        <f>"Greigner, Inc."</f>
        <v>Greigner, Inc.</v>
      </c>
      <c r="N2145" s="42" t="str">
        <f>IF($J2145="Item",_xll.NL("first",$J2145,"Description","No.","@@"&amp;$K2145),"")</f>
        <v/>
      </c>
      <c r="O2145" s="43">
        <v>249.99999999999997</v>
      </c>
      <c r="P2145" s="43">
        <v>0</v>
      </c>
      <c r="Q2145" s="43">
        <v>0</v>
      </c>
      <c r="R2145" s="43">
        <v>0</v>
      </c>
      <c r="S2145" s="43">
        <v>0</v>
      </c>
      <c r="T2145" s="43">
        <v>0</v>
      </c>
      <c r="U2145" s="56"/>
    </row>
    <row r="2146" spans="1:21" ht="17.25" customHeight="1" x14ac:dyDescent="0.3">
      <c r="A2146" s="15" t="s">
        <v>30</v>
      </c>
      <c r="C2146" s="19"/>
      <c r="D2146" s="33" t="str">
        <f t="shared" ref="D2146" si="561">D2145</f>
        <v>S200023</v>
      </c>
      <c r="E2146" s="33"/>
      <c r="F2146" s="34"/>
      <c r="G2146" s="34" t="str">
        <f>"""NAV Direct"",""CRONUS JetCorp USA"",""32"",""1"",""169242"""</f>
        <v>"NAV Direct","CRONUS JetCorp USA","32","1","169242"</v>
      </c>
      <c r="H2146" s="40">
        <v>43466</v>
      </c>
      <c r="I2146" s="41">
        <v>169242</v>
      </c>
      <c r="J2146" s="42" t="str">
        <f>"Vendor"</f>
        <v>Vendor</v>
      </c>
      <c r="K2146" s="42" t="str">
        <f>"V100003"</f>
        <v>V100003</v>
      </c>
      <c r="L2146" s="42" t="str">
        <f>IF($J2146="Customer",_xll.NL("first",$J2146,"Name","No.","@@"&amp;$K2146),"")</f>
        <v/>
      </c>
      <c r="M2146" s="42" t="str">
        <f>"LogoMasters"</f>
        <v>LogoMasters</v>
      </c>
      <c r="N2146" s="42" t="str">
        <f>IF($J2146="Item",_xll.NL("first",$J2146,"Description","No.","@@"&amp;$K2146),"")</f>
        <v/>
      </c>
      <c r="O2146" s="43">
        <v>249.99999999999997</v>
      </c>
      <c r="P2146" s="43">
        <v>0</v>
      </c>
      <c r="Q2146" s="43">
        <v>0</v>
      </c>
      <c r="R2146" s="43">
        <v>0</v>
      </c>
      <c r="S2146" s="43">
        <v>0</v>
      </c>
      <c r="T2146" s="43">
        <v>0</v>
      </c>
      <c r="U2146" s="56"/>
    </row>
    <row r="2147" spans="1:21" ht="17.25" customHeight="1" x14ac:dyDescent="0.3">
      <c r="A2147" s="15" t="s">
        <v>30</v>
      </c>
      <c r="C2147" s="19"/>
      <c r="D2147" s="33"/>
      <c r="E2147" s="33"/>
      <c r="F2147" s="34"/>
      <c r="G2147" s="34"/>
      <c r="H2147" s="34"/>
      <c r="I2147" s="34"/>
      <c r="J2147" s="34"/>
      <c r="K2147" s="34"/>
      <c r="L2147" s="34"/>
      <c r="M2147" s="34"/>
      <c r="N2147" s="34"/>
      <c r="O2147" s="44"/>
      <c r="P2147" s="44"/>
      <c r="Q2147" s="44"/>
      <c r="R2147" s="44"/>
      <c r="S2147" s="44"/>
      <c r="T2147" s="44"/>
      <c r="U2147" s="57"/>
    </row>
    <row r="2148" spans="1:21" ht="17.25" customHeight="1" x14ac:dyDescent="0.3">
      <c r="A2148" s="15" t="s">
        <v>30</v>
      </c>
      <c r="C2148" s="19"/>
      <c r="D2148" s="33"/>
      <c r="E2148" s="33" t="s">
        <v>31</v>
      </c>
      <c r="F2148" s="34" t="s">
        <v>31</v>
      </c>
      <c r="G2148" s="34" t="s">
        <v>31</v>
      </c>
      <c r="H2148" s="34"/>
      <c r="I2148" s="34"/>
      <c r="J2148" s="34" t="s">
        <v>31</v>
      </c>
      <c r="K2148" s="34" t="s">
        <v>31</v>
      </c>
      <c r="L2148" s="34" t="s">
        <v>31</v>
      </c>
      <c r="M2148" s="34" t="s">
        <v>31</v>
      </c>
      <c r="N2148" s="34"/>
      <c r="U2148" s="58"/>
    </row>
    <row r="2149" spans="1:21" ht="20.25" customHeight="1" x14ac:dyDescent="0.35">
      <c r="A2149" s="15" t="s">
        <v>30</v>
      </c>
      <c r="C2149" s="19"/>
      <c r="D2149" s="35" t="str">
        <f t="shared" ref="D2149" si="562">E2149</f>
        <v>S200024</v>
      </c>
      <c r="E2149" s="36" t="str">
        <f>"S200024"</f>
        <v>S200024</v>
      </c>
      <c r="F2149" s="37" t="str">
        <f>"10.75"" Tourch Riser Wrestling Trophy"</f>
        <v>10.75" Tourch Riser Wrestling Trophy</v>
      </c>
      <c r="G2149" s="37"/>
      <c r="H2149" s="38" t="str">
        <f>"EA"</f>
        <v>EA</v>
      </c>
      <c r="I2149" s="37"/>
      <c r="J2149" s="37"/>
      <c r="K2149" s="37"/>
      <c r="L2149" s="37"/>
      <c r="M2149" s="37"/>
      <c r="N2149" s="37"/>
      <c r="O2149" s="39">
        <f>(SUBTOTAL(9,O2150:O2151))</f>
        <v>750</v>
      </c>
      <c r="P2149" s="39">
        <f>(SUBTOTAL(9,P2150:P2151))</f>
        <v>0</v>
      </c>
      <c r="Q2149" s="39">
        <f>(SUBTOTAL(9,Q2150:Q2151))</f>
        <v>0</v>
      </c>
      <c r="R2149" s="39">
        <f>(SUBTOTAL(9,R2150:R2151))</f>
        <v>0</v>
      </c>
      <c r="S2149" s="39">
        <f>(SUBTOTAL(9,S2150:S2151))</f>
        <v>0</v>
      </c>
      <c r="T2149" s="39">
        <f>(SUBTOTAL(9,T2150:T2151))</f>
        <v>0</v>
      </c>
      <c r="U2149" s="55">
        <f t="shared" ref="U2149" si="563">SUBTOTAL(9,O2150:T2151)</f>
        <v>750</v>
      </c>
    </row>
    <row r="2150" spans="1:21" ht="17.25" customHeight="1" x14ac:dyDescent="0.3">
      <c r="A2150" s="15" t="s">
        <v>30</v>
      </c>
      <c r="C2150" s="19"/>
      <c r="D2150" s="33" t="str">
        <f t="shared" ref="D2150:D2164" si="564">D2149</f>
        <v>S200024</v>
      </c>
      <c r="E2150" s="33"/>
      <c r="F2150" s="34"/>
      <c r="G2150" s="34" t="str">
        <f>"""NAV Direct"",""CRONUS JetCorp USA"",""32"",""1"",""169241"""</f>
        <v>"NAV Direct","CRONUS JetCorp USA","32","1","169241"</v>
      </c>
      <c r="H2150" s="40">
        <v>43466</v>
      </c>
      <c r="I2150" s="41">
        <v>169241</v>
      </c>
      <c r="J2150" s="42" t="str">
        <f>"Vendor"</f>
        <v>Vendor</v>
      </c>
      <c r="K2150" s="42" t="str">
        <f>"V100003"</f>
        <v>V100003</v>
      </c>
      <c r="L2150" s="42" t="str">
        <f>IF($J2150="Customer",_xll.NL("first",$J2150,"Name","No.","@@"&amp;$K2150),"")</f>
        <v/>
      </c>
      <c r="M2150" s="42" t="str">
        <f>"LogoMasters"</f>
        <v>LogoMasters</v>
      </c>
      <c r="N2150" s="42" t="str">
        <f>IF($J2150="Item",_xll.NL("first",$J2150,"Description","No.","@@"&amp;$K2150),"")</f>
        <v/>
      </c>
      <c r="O2150" s="43">
        <v>750</v>
      </c>
      <c r="P2150" s="43">
        <v>0</v>
      </c>
      <c r="Q2150" s="43">
        <v>0</v>
      </c>
      <c r="R2150" s="43">
        <v>0</v>
      </c>
      <c r="S2150" s="43">
        <v>0</v>
      </c>
      <c r="T2150" s="43">
        <v>0</v>
      </c>
      <c r="U2150" s="56"/>
    </row>
    <row r="2151" spans="1:21" ht="17.25" customHeight="1" x14ac:dyDescent="0.3">
      <c r="A2151" s="15" t="s">
        <v>30</v>
      </c>
      <c r="C2151" s="19"/>
      <c r="D2151" s="33"/>
      <c r="E2151" s="33"/>
      <c r="F2151" s="34"/>
      <c r="G2151" s="34"/>
      <c r="H2151" s="34"/>
      <c r="I2151" s="34"/>
      <c r="J2151" s="34"/>
      <c r="K2151" s="34"/>
      <c r="L2151" s="34"/>
      <c r="M2151" s="34"/>
      <c r="N2151" s="34"/>
      <c r="O2151" s="44"/>
      <c r="P2151" s="44"/>
      <c r="Q2151" s="44"/>
      <c r="R2151" s="44"/>
      <c r="S2151" s="44"/>
      <c r="T2151" s="44"/>
      <c r="U2151" s="57"/>
    </row>
    <row r="2152" spans="1:21" ht="17.25" customHeight="1" x14ac:dyDescent="0.3">
      <c r="A2152" s="15" t="s">
        <v>30</v>
      </c>
      <c r="C2152" s="19"/>
      <c r="D2152" s="33"/>
      <c r="E2152" s="33" t="s">
        <v>31</v>
      </c>
      <c r="F2152" s="34" t="s">
        <v>31</v>
      </c>
      <c r="G2152" s="34" t="s">
        <v>31</v>
      </c>
      <c r="H2152" s="34"/>
      <c r="I2152" s="34"/>
      <c r="J2152" s="34" t="s">
        <v>31</v>
      </c>
      <c r="K2152" s="34" t="s">
        <v>31</v>
      </c>
      <c r="L2152" s="34" t="s">
        <v>31</v>
      </c>
      <c r="M2152" s="34" t="s">
        <v>31</v>
      </c>
      <c r="N2152" s="34"/>
      <c r="U2152" s="58"/>
    </row>
    <row r="2153" spans="1:21" ht="20.25" customHeight="1" x14ac:dyDescent="0.35">
      <c r="A2153" s="15" t="s">
        <v>30</v>
      </c>
      <c r="C2153" s="19"/>
      <c r="D2153" s="35" t="str">
        <f t="shared" ref="D2153" si="565">E2153</f>
        <v>S200029</v>
      </c>
      <c r="E2153" s="36" t="str">
        <f>"S200029"</f>
        <v>S200029</v>
      </c>
      <c r="F2153" s="37" t="str">
        <f>"10.75"" Column Basketball Trophy"</f>
        <v>10.75" Column Basketball Trophy</v>
      </c>
      <c r="G2153" s="37"/>
      <c r="H2153" s="38" t="str">
        <f>"EA"</f>
        <v>EA</v>
      </c>
      <c r="I2153" s="37"/>
      <c r="J2153" s="37"/>
      <c r="K2153" s="37"/>
      <c r="L2153" s="37"/>
      <c r="M2153" s="37"/>
      <c r="N2153" s="37"/>
      <c r="O2153" s="39">
        <f>(SUBTOTAL(9,O2154:O2155))</f>
        <v>0</v>
      </c>
      <c r="P2153" s="39">
        <f>(SUBTOTAL(9,P2154:P2155))</f>
        <v>6</v>
      </c>
      <c r="Q2153" s="39">
        <f>(SUBTOTAL(9,Q2154:Q2155))</f>
        <v>0</v>
      </c>
      <c r="R2153" s="39">
        <f>(SUBTOTAL(9,R2154:R2155))</f>
        <v>0</v>
      </c>
      <c r="S2153" s="39">
        <f>(SUBTOTAL(9,S2154:S2155))</f>
        <v>0</v>
      </c>
      <c r="T2153" s="39">
        <f>(SUBTOTAL(9,T2154:T2155))</f>
        <v>0</v>
      </c>
      <c r="U2153" s="55">
        <f t="shared" ref="U2153" si="566">SUBTOTAL(9,O2154:T2155)</f>
        <v>6</v>
      </c>
    </row>
    <row r="2154" spans="1:21" ht="17.25" customHeight="1" x14ac:dyDescent="0.3">
      <c r="A2154" s="15" t="s">
        <v>30</v>
      </c>
      <c r="C2154" s="19"/>
      <c r="D2154" s="33" t="str">
        <f t="shared" ref="D2154:D2164" si="567">D2153</f>
        <v>S200029</v>
      </c>
      <c r="E2154" s="33"/>
      <c r="F2154" s="34"/>
      <c r="G2154" s="34" t="str">
        <f>"""NAV Direct"",""CRONUS JetCorp USA"",""32"",""1"",""159116"""</f>
        <v>"NAV Direct","CRONUS JetCorp USA","32","1","159116"</v>
      </c>
      <c r="H2154" s="40">
        <v>43474</v>
      </c>
      <c r="I2154" s="41">
        <v>159116</v>
      </c>
      <c r="J2154" s="42" t="str">
        <f>"Customer"</f>
        <v>Customer</v>
      </c>
      <c r="K2154" s="42" t="str">
        <f>"C100143"</f>
        <v>C100143</v>
      </c>
      <c r="L2154" s="42" t="str">
        <f>IF($J2154="Customer",_xll.NL("first",$J2154,"Name","No.","@@"&amp;$K2154),"")</f>
        <v>Parvotis</v>
      </c>
      <c r="M2154" s="42" t="str">
        <f>""</f>
        <v/>
      </c>
      <c r="N2154" s="42" t="str">
        <f>IF($J2154="Item",_xll.NL("first",$J2154,"Description","No.","@@"&amp;$K2154),"")</f>
        <v/>
      </c>
      <c r="O2154" s="43">
        <v>0</v>
      </c>
      <c r="P2154" s="43">
        <v>6</v>
      </c>
      <c r="Q2154" s="43">
        <v>0</v>
      </c>
      <c r="R2154" s="43">
        <v>0</v>
      </c>
      <c r="S2154" s="43">
        <v>0</v>
      </c>
      <c r="T2154" s="43">
        <v>0</v>
      </c>
      <c r="U2154" s="56"/>
    </row>
    <row r="2155" spans="1:21" ht="17.25" customHeight="1" x14ac:dyDescent="0.3">
      <c r="A2155" s="15" t="s">
        <v>30</v>
      </c>
      <c r="C2155" s="19"/>
      <c r="D2155" s="33"/>
      <c r="E2155" s="33"/>
      <c r="F2155" s="34"/>
      <c r="G2155" s="34"/>
      <c r="H2155" s="34"/>
      <c r="I2155" s="34"/>
      <c r="J2155" s="34"/>
      <c r="K2155" s="34"/>
      <c r="L2155" s="34"/>
      <c r="M2155" s="34"/>
      <c r="N2155" s="34"/>
      <c r="O2155" s="44"/>
      <c r="P2155" s="44"/>
      <c r="Q2155" s="44"/>
      <c r="R2155" s="44"/>
      <c r="S2155" s="44"/>
      <c r="T2155" s="44"/>
      <c r="U2155" s="57"/>
    </row>
    <row r="2156" spans="1:21" ht="17.25" customHeight="1" x14ac:dyDescent="0.3">
      <c r="A2156" s="15" t="s">
        <v>30</v>
      </c>
      <c r="C2156" s="19"/>
      <c r="D2156" s="33"/>
      <c r="E2156" s="33" t="s">
        <v>31</v>
      </c>
      <c r="F2156" s="34" t="s">
        <v>31</v>
      </c>
      <c r="G2156" s="34" t="s">
        <v>31</v>
      </c>
      <c r="H2156" s="34"/>
      <c r="I2156" s="34"/>
      <c r="J2156" s="34" t="s">
        <v>31</v>
      </c>
      <c r="K2156" s="34" t="s">
        <v>31</v>
      </c>
      <c r="L2156" s="34" t="s">
        <v>31</v>
      </c>
      <c r="M2156" s="34" t="s">
        <v>31</v>
      </c>
      <c r="N2156" s="34"/>
      <c r="U2156" s="58"/>
    </row>
    <row r="2157" spans="1:21" ht="20.25" customHeight="1" x14ac:dyDescent="0.35">
      <c r="A2157" s="15" t="s">
        <v>30</v>
      </c>
      <c r="C2157" s="19"/>
      <c r="D2157" s="35" t="str">
        <f t="shared" ref="D2157" si="568">E2157</f>
        <v>S200030</v>
      </c>
      <c r="E2157" s="36" t="str">
        <f>"S200030"</f>
        <v>S200030</v>
      </c>
      <c r="F2157" s="37" t="str">
        <f>"10.75"" Column Volleyball Trophy"</f>
        <v>10.75" Column Volleyball Trophy</v>
      </c>
      <c r="G2157" s="37"/>
      <c r="H2157" s="38" t="str">
        <f>"EA"</f>
        <v>EA</v>
      </c>
      <c r="I2157" s="37"/>
      <c r="J2157" s="37"/>
      <c r="K2157" s="37"/>
      <c r="L2157" s="37"/>
      <c r="M2157" s="37"/>
      <c r="N2157" s="37"/>
      <c r="O2157" s="39">
        <f>(SUBTOTAL(9,O2158:O2159))</f>
        <v>0</v>
      </c>
      <c r="P2157" s="39">
        <f>(SUBTOTAL(9,P2158:P2159))</f>
        <v>-1</v>
      </c>
      <c r="Q2157" s="39">
        <f>(SUBTOTAL(9,Q2158:Q2159))</f>
        <v>0</v>
      </c>
      <c r="R2157" s="39">
        <f>(SUBTOTAL(9,R2158:R2159))</f>
        <v>0</v>
      </c>
      <c r="S2157" s="39">
        <f>(SUBTOTAL(9,S2158:S2159))</f>
        <v>0</v>
      </c>
      <c r="T2157" s="39">
        <f>(SUBTOTAL(9,T2158:T2159))</f>
        <v>0</v>
      </c>
      <c r="U2157" s="55">
        <f t="shared" ref="U2157" si="569">SUBTOTAL(9,O2158:T2159)</f>
        <v>-1</v>
      </c>
    </row>
    <row r="2158" spans="1:21" ht="17.25" customHeight="1" x14ac:dyDescent="0.3">
      <c r="A2158" s="15" t="s">
        <v>30</v>
      </c>
      <c r="C2158" s="19"/>
      <c r="D2158" s="33" t="str">
        <f t="shared" ref="D2158:D2164" si="570">D2157</f>
        <v>S200030</v>
      </c>
      <c r="E2158" s="33"/>
      <c r="F2158" s="34"/>
      <c r="G2158" s="34" t="str">
        <f>"""NAV Direct"",""CRONUS JetCorp USA"",""32"",""1"",""153174"""</f>
        <v>"NAV Direct","CRONUS JetCorp USA","32","1","153174"</v>
      </c>
      <c r="H2158" s="40">
        <v>43470</v>
      </c>
      <c r="I2158" s="41">
        <v>153174</v>
      </c>
      <c r="J2158" s="42" t="str">
        <f>"Customer"</f>
        <v>Customer</v>
      </c>
      <c r="K2158" s="42" t="str">
        <f>"C100136"</f>
        <v>C100136</v>
      </c>
      <c r="L2158" s="42" t="str">
        <f>IF($J2158="Customer",_xll.NL("first",$J2158,"Name","No.","@@"&amp;$K2158),"")</f>
        <v>First Bank</v>
      </c>
      <c r="M2158" s="42" t="str">
        <f>""</f>
        <v/>
      </c>
      <c r="N2158" s="42" t="str">
        <f>IF($J2158="Item",_xll.NL("first",$J2158,"Description","No.","@@"&amp;$K2158),"")</f>
        <v/>
      </c>
      <c r="O2158" s="43">
        <v>0</v>
      </c>
      <c r="P2158" s="43">
        <v>-1</v>
      </c>
      <c r="Q2158" s="43">
        <v>0</v>
      </c>
      <c r="R2158" s="43">
        <v>0</v>
      </c>
      <c r="S2158" s="43">
        <v>0</v>
      </c>
      <c r="T2158" s="43">
        <v>0</v>
      </c>
      <c r="U2158" s="56"/>
    </row>
    <row r="2159" spans="1:21" ht="17.25" customHeight="1" x14ac:dyDescent="0.3">
      <c r="A2159" s="15" t="s">
        <v>30</v>
      </c>
      <c r="C2159" s="19"/>
      <c r="D2159" s="33"/>
      <c r="E2159" s="33"/>
      <c r="F2159" s="34"/>
      <c r="G2159" s="34"/>
      <c r="H2159" s="34"/>
      <c r="I2159" s="34"/>
      <c r="J2159" s="34"/>
      <c r="K2159" s="34"/>
      <c r="L2159" s="34"/>
      <c r="M2159" s="34"/>
      <c r="N2159" s="34"/>
      <c r="O2159" s="44"/>
      <c r="P2159" s="44"/>
      <c r="Q2159" s="44"/>
      <c r="R2159" s="44"/>
      <c r="S2159" s="44"/>
      <c r="T2159" s="44"/>
      <c r="U2159" s="57"/>
    </row>
    <row r="2160" spans="1:21" ht="17.25" customHeight="1" x14ac:dyDescent="0.3">
      <c r="A2160" s="15" t="s">
        <v>30</v>
      </c>
      <c r="C2160" s="19"/>
      <c r="D2160" s="33"/>
      <c r="E2160" s="33" t="s">
        <v>31</v>
      </c>
      <c r="F2160" s="34" t="s">
        <v>31</v>
      </c>
      <c r="G2160" s="34" t="s">
        <v>31</v>
      </c>
      <c r="H2160" s="34"/>
      <c r="I2160" s="34"/>
      <c r="J2160" s="34" t="s">
        <v>31</v>
      </c>
      <c r="K2160" s="34" t="s">
        <v>31</v>
      </c>
      <c r="L2160" s="34" t="s">
        <v>31</v>
      </c>
      <c r="M2160" s="34" t="s">
        <v>31</v>
      </c>
      <c r="N2160" s="34"/>
      <c r="U2160" s="58"/>
    </row>
    <row r="2161" spans="1:21" ht="20.25" customHeight="1" x14ac:dyDescent="0.35">
      <c r="A2161" s="15" t="s">
        <v>30</v>
      </c>
      <c r="C2161" s="19"/>
      <c r="D2161" s="35" t="str">
        <f t="shared" ref="D2161" si="571">E2161</f>
        <v>S200031</v>
      </c>
      <c r="E2161" s="36" t="str">
        <f>"S200031"</f>
        <v>S200031</v>
      </c>
      <c r="F2161" s="37" t="str">
        <f>"10.75"" Column Wrestling Trophy"</f>
        <v>10.75" Column Wrestling Trophy</v>
      </c>
      <c r="G2161" s="37"/>
      <c r="H2161" s="38" t="str">
        <f>"EA"</f>
        <v>EA</v>
      </c>
      <c r="I2161" s="37"/>
      <c r="J2161" s="37"/>
      <c r="K2161" s="37"/>
      <c r="L2161" s="37"/>
      <c r="M2161" s="37"/>
      <c r="N2161" s="37"/>
      <c r="O2161" s="39">
        <f>(SUBTOTAL(9,O2162:O2163))</f>
        <v>0</v>
      </c>
      <c r="P2161" s="39">
        <f>(SUBTOTAL(9,P2162:P2163))</f>
        <v>-144</v>
      </c>
      <c r="Q2161" s="39">
        <f>(SUBTOTAL(9,Q2162:Q2163))</f>
        <v>0</v>
      </c>
      <c r="R2161" s="39">
        <f>(SUBTOTAL(9,R2162:R2163))</f>
        <v>0</v>
      </c>
      <c r="S2161" s="39">
        <f>(SUBTOTAL(9,S2162:S2163))</f>
        <v>0</v>
      </c>
      <c r="T2161" s="39">
        <f>(SUBTOTAL(9,T2162:T2163))</f>
        <v>0</v>
      </c>
      <c r="U2161" s="55">
        <f t="shared" ref="U2161" si="572">SUBTOTAL(9,O2162:T2163)</f>
        <v>-144</v>
      </c>
    </row>
    <row r="2162" spans="1:21" ht="17.25" customHeight="1" x14ac:dyDescent="0.3">
      <c r="A2162" s="15" t="s">
        <v>30</v>
      </c>
      <c r="C2162" s="19"/>
      <c r="D2162" s="33" t="str">
        <f t="shared" ref="D2162:D2164" si="573">D2161</f>
        <v>S200031</v>
      </c>
      <c r="E2162" s="33"/>
      <c r="F2162" s="34"/>
      <c r="G2162" s="34" t="str">
        <f>"""NAV Direct"",""CRONUS JetCorp USA"",""32"",""1"",""147984"""</f>
        <v>"NAV Direct","CRONUS JetCorp USA","32","1","147984"</v>
      </c>
      <c r="H2162" s="40">
        <v>43469</v>
      </c>
      <c r="I2162" s="41">
        <v>147984</v>
      </c>
      <c r="J2162" s="42" t="str">
        <f>"Customer"</f>
        <v>Customer</v>
      </c>
      <c r="K2162" s="42" t="str">
        <f>"C100096"</f>
        <v>C100096</v>
      </c>
      <c r="L2162" s="42" t="str">
        <f>IF($J2162="Customer",_xll.NL("first",$J2162,"Name","No.","@@"&amp;$K2162),"")</f>
        <v>D-Com Industries</v>
      </c>
      <c r="M2162" s="42" t="str">
        <f>""</f>
        <v/>
      </c>
      <c r="N2162" s="42" t="str">
        <f>IF($J2162="Item",_xll.NL("first",$J2162,"Description","No.","@@"&amp;$K2162),"")</f>
        <v/>
      </c>
      <c r="O2162" s="43">
        <v>0</v>
      </c>
      <c r="P2162" s="43">
        <v>-144</v>
      </c>
      <c r="Q2162" s="43">
        <v>0</v>
      </c>
      <c r="R2162" s="43">
        <v>0</v>
      </c>
      <c r="S2162" s="43">
        <v>0</v>
      </c>
      <c r="T2162" s="43">
        <v>0</v>
      </c>
      <c r="U2162" s="56"/>
    </row>
    <row r="2163" spans="1:21" ht="17.25" customHeight="1" x14ac:dyDescent="0.3">
      <c r="A2163" s="15" t="s">
        <v>30</v>
      </c>
      <c r="C2163" s="19"/>
      <c r="D2163" s="33"/>
      <c r="E2163" s="33"/>
      <c r="F2163" s="34"/>
      <c r="G2163" s="34"/>
      <c r="H2163" s="34"/>
      <c r="I2163" s="34"/>
      <c r="J2163" s="34"/>
      <c r="K2163" s="34"/>
      <c r="L2163" s="34"/>
      <c r="M2163" s="34"/>
      <c r="N2163" s="34"/>
      <c r="O2163" s="44"/>
      <c r="P2163" s="44"/>
      <c r="Q2163" s="44"/>
      <c r="R2163" s="44"/>
      <c r="S2163" s="44"/>
      <c r="T2163" s="44"/>
      <c r="U2163" s="57"/>
    </row>
    <row r="2164" spans="1:21" ht="17.25" customHeight="1" x14ac:dyDescent="0.3">
      <c r="A2164" s="15" t="s">
        <v>30</v>
      </c>
      <c r="C2164" s="19"/>
      <c r="D2164" s="33"/>
      <c r="E2164" s="33" t="s">
        <v>31</v>
      </c>
      <c r="F2164" s="34" t="s">
        <v>31</v>
      </c>
      <c r="G2164" s="34" t="s">
        <v>31</v>
      </c>
      <c r="H2164" s="34"/>
      <c r="I2164" s="34"/>
      <c r="J2164" s="34" t="s">
        <v>31</v>
      </c>
      <c r="K2164" s="34" t="s">
        <v>31</v>
      </c>
      <c r="L2164" s="34" t="s">
        <v>31</v>
      </c>
      <c r="M2164" s="34" t="s">
        <v>31</v>
      </c>
      <c r="N2164" s="34"/>
      <c r="U2164" s="58"/>
    </row>
    <row r="2165" spans="1:21" ht="17.25" customHeight="1" x14ac:dyDescent="0.3">
      <c r="A2165" s="15"/>
      <c r="C2165" s="19"/>
      <c r="D2165" s="33"/>
      <c r="E2165" s="33"/>
      <c r="F2165" s="34"/>
      <c r="G2165" s="34"/>
      <c r="H2165" s="34"/>
      <c r="I2165" s="34"/>
      <c r="J2165" s="34"/>
      <c r="K2165" s="34"/>
      <c r="L2165" s="34"/>
      <c r="M2165" s="34"/>
      <c r="N2165" s="34"/>
      <c r="O2165" s="44"/>
      <c r="P2165" s="44"/>
      <c r="Q2165" s="44"/>
      <c r="R2165" s="44"/>
      <c r="S2165" s="44"/>
      <c r="T2165" s="44"/>
      <c r="U2165" s="57"/>
    </row>
    <row r="2166" spans="1:21" ht="20.25" customHeight="1" thickBot="1" x14ac:dyDescent="0.4">
      <c r="A2166" s="15"/>
      <c r="C2166" s="19"/>
      <c r="D2166" s="33"/>
      <c r="E2166" s="33"/>
      <c r="F2166" s="34"/>
      <c r="G2166" s="34"/>
      <c r="H2166" s="34"/>
      <c r="I2166" s="34"/>
      <c r="J2166" s="34"/>
      <c r="K2166" s="34"/>
      <c r="L2166" s="34"/>
      <c r="M2166" s="34"/>
      <c r="N2166" s="60" t="s">
        <v>32</v>
      </c>
      <c r="O2166" s="61">
        <f>SUBTOTAL(9,O13:O2165)</f>
        <v>441750</v>
      </c>
      <c r="P2166" s="61">
        <f>SUBTOTAL(9,P13:P2165)</f>
        <v>-117707</v>
      </c>
      <c r="Q2166" s="61">
        <f>SUBTOTAL(9,Q13:Q2165)</f>
        <v>0</v>
      </c>
      <c r="R2166" s="61">
        <f>SUBTOTAL(9,R13:R2165)</f>
        <v>0</v>
      </c>
      <c r="S2166" s="61">
        <f>SUBTOTAL(9,S13:S2165)</f>
        <v>0</v>
      </c>
      <c r="T2166" s="61">
        <f>SUBTOTAL(9,T13:T2165)</f>
        <v>0</v>
      </c>
      <c r="U2166" s="62">
        <f>SUM(U12:U2165)</f>
        <v>324043</v>
      </c>
    </row>
    <row r="2167" spans="1:21" ht="17.25" customHeight="1" x14ac:dyDescent="0.3">
      <c r="A2167" s="15"/>
      <c r="C2167" s="19"/>
      <c r="D2167" s="33"/>
      <c r="E2167" s="33"/>
      <c r="F2167" s="34"/>
      <c r="G2167" s="34"/>
      <c r="H2167" s="34"/>
      <c r="I2167" s="34"/>
      <c r="J2167" s="34"/>
      <c r="K2167" s="34"/>
      <c r="L2167" s="34"/>
      <c r="M2167" s="34"/>
      <c r="N2167" s="34"/>
      <c r="O2167" s="44"/>
      <c r="P2167" s="44"/>
      <c r="Q2167" s="44"/>
      <c r="R2167" s="44"/>
      <c r="S2167" s="44"/>
      <c r="T2167" s="44"/>
      <c r="U2167" s="57"/>
    </row>
    <row r="2168" spans="1:21" ht="17.25" customHeight="1" x14ac:dyDescent="0.3">
      <c r="A2168" s="15"/>
      <c r="C2168" s="19"/>
      <c r="D2168" s="45"/>
      <c r="E2168" s="45"/>
      <c r="F2168" s="46"/>
      <c r="G2168" s="46"/>
      <c r="H2168" s="46"/>
      <c r="I2168" s="46"/>
      <c r="J2168" s="46"/>
      <c r="K2168" s="46"/>
      <c r="L2168" s="46"/>
      <c r="M2168" s="46"/>
      <c r="N2168" s="47"/>
      <c r="O2168" s="48"/>
      <c r="P2168" s="48"/>
      <c r="Q2168" s="48"/>
      <c r="R2168" s="48"/>
      <c r="S2168" s="48"/>
      <c r="T2168" s="48"/>
      <c r="U2168" s="59"/>
    </row>
    <row r="2169" spans="1:21" ht="17.25" customHeight="1" x14ac:dyDescent="0.3">
      <c r="A2169" s="15"/>
      <c r="C2169" s="19"/>
      <c r="D2169" s="20"/>
      <c r="E2169" s="20"/>
      <c r="F2169" s="20"/>
      <c r="G2169" s="20"/>
      <c r="H2169" s="20"/>
      <c r="I2169" s="20"/>
      <c r="J2169" s="20"/>
      <c r="K2169" s="20"/>
      <c r="L2169" s="20"/>
      <c r="M2169" s="20"/>
      <c r="N2169" s="20"/>
      <c r="O2169" s="20"/>
      <c r="P2169" s="20"/>
      <c r="Q2169" s="20"/>
      <c r="R2169" s="20"/>
      <c r="S2169" s="20"/>
      <c r="T2169" s="20"/>
      <c r="U2169" s="20"/>
    </row>
    <row r="2170" spans="1:21" ht="17.25" customHeight="1" x14ac:dyDescent="0.3">
      <c r="A2170" s="15"/>
      <c r="C2170" s="19"/>
      <c r="D2170" s="20"/>
      <c r="E2170" s="20"/>
      <c r="F2170" s="20"/>
      <c r="G2170" s="20"/>
      <c r="H2170" s="20"/>
      <c r="I2170" s="20"/>
      <c r="J2170" s="20"/>
      <c r="K2170" s="20"/>
      <c r="L2170" s="20"/>
      <c r="M2170" s="20"/>
      <c r="N2170" s="20"/>
      <c r="O2170" s="20"/>
      <c r="P2170" s="20"/>
      <c r="Q2170" s="20"/>
      <c r="R2170" s="20"/>
      <c r="S2170" s="20"/>
      <c r="T2170" s="20"/>
      <c r="U2170" s="20"/>
    </row>
    <row r="2171" spans="1:21" ht="17.25" customHeight="1" x14ac:dyDescent="0.3">
      <c r="A2171" s="15"/>
      <c r="C2171" s="19"/>
      <c r="D2171" s="20"/>
      <c r="E2171" s="20"/>
      <c r="F2171" s="20"/>
      <c r="G2171" s="20"/>
      <c r="H2171" s="20"/>
      <c r="I2171" s="20"/>
      <c r="J2171" s="20"/>
      <c r="K2171" s="20"/>
      <c r="L2171" s="20"/>
      <c r="M2171" s="20"/>
      <c r="N2171" s="20"/>
      <c r="O2171" s="20"/>
      <c r="P2171" s="20"/>
      <c r="Q2171" s="20"/>
      <c r="R2171" s="20"/>
      <c r="S2171" s="20"/>
      <c r="T2171" s="20"/>
      <c r="U2171" s="20"/>
    </row>
    <row r="2172" spans="1:21" ht="17.25" customHeight="1" x14ac:dyDescent="0.3">
      <c r="A2172" s="15"/>
      <c r="C2172" s="19"/>
      <c r="D2172" s="20"/>
      <c r="E2172" s="20"/>
      <c r="F2172" s="20"/>
      <c r="G2172" s="20"/>
      <c r="H2172" s="20"/>
      <c r="I2172" s="20"/>
      <c r="J2172" s="20"/>
      <c r="K2172" s="20"/>
      <c r="L2172" s="20"/>
      <c r="M2172" s="20"/>
      <c r="N2172" s="20"/>
      <c r="O2172" s="20"/>
      <c r="P2172" s="20"/>
      <c r="Q2172" s="20"/>
      <c r="R2172" s="20"/>
      <c r="S2172" s="20"/>
      <c r="T2172" s="20"/>
      <c r="U2172" s="20"/>
    </row>
    <row r="2173" spans="1:21" ht="17.25" customHeight="1" x14ac:dyDescent="0.3">
      <c r="A2173" s="15"/>
      <c r="C2173" s="19"/>
      <c r="D2173" s="20"/>
      <c r="E2173" s="20"/>
      <c r="F2173" s="20"/>
      <c r="G2173" s="20"/>
      <c r="H2173" s="20"/>
      <c r="I2173" s="20"/>
      <c r="J2173" s="20"/>
      <c r="K2173" s="20"/>
      <c r="L2173" s="20"/>
      <c r="M2173" s="20"/>
      <c r="N2173" s="20"/>
      <c r="O2173" s="20"/>
      <c r="P2173" s="20"/>
      <c r="Q2173" s="20"/>
      <c r="R2173" s="20"/>
      <c r="S2173" s="20"/>
      <c r="T2173" s="20"/>
      <c r="U2173" s="20"/>
    </row>
    <row r="2174" spans="1:21" ht="17.25" customHeight="1" x14ac:dyDescent="0.3">
      <c r="A2174" s="15"/>
      <c r="C2174" s="19"/>
      <c r="D2174" s="20"/>
      <c r="E2174" s="20"/>
      <c r="F2174" s="20"/>
      <c r="G2174" s="20"/>
      <c r="H2174" s="20"/>
      <c r="I2174" s="20"/>
      <c r="J2174" s="20"/>
      <c r="K2174" s="20"/>
      <c r="L2174" s="20"/>
      <c r="M2174" s="20"/>
      <c r="N2174" s="20"/>
      <c r="O2174" s="20"/>
      <c r="P2174" s="20"/>
      <c r="Q2174" s="20"/>
      <c r="R2174" s="20"/>
      <c r="S2174" s="20"/>
      <c r="T2174" s="20"/>
      <c r="U2174" s="20"/>
    </row>
    <row r="2175" spans="1:21" ht="17.25" customHeight="1" x14ac:dyDescent="0.3">
      <c r="A2175" s="15"/>
      <c r="C2175" s="19"/>
      <c r="D2175" s="20"/>
      <c r="E2175" s="20"/>
      <c r="F2175" s="20"/>
      <c r="G2175" s="20"/>
      <c r="H2175" s="20"/>
      <c r="I2175" s="20"/>
      <c r="J2175" s="20"/>
      <c r="K2175" s="20"/>
      <c r="L2175" s="20"/>
      <c r="M2175" s="20"/>
      <c r="N2175" s="20"/>
      <c r="O2175" s="20"/>
      <c r="P2175" s="20"/>
      <c r="Q2175" s="20"/>
      <c r="R2175" s="20"/>
      <c r="S2175" s="20"/>
      <c r="T2175" s="20"/>
      <c r="U2175" s="20"/>
    </row>
    <row r="2176" spans="1:21" ht="17.25" customHeight="1" x14ac:dyDescent="0.3">
      <c r="A2176" s="15"/>
      <c r="C2176" s="19"/>
      <c r="D2176" s="20"/>
      <c r="E2176" s="20"/>
      <c r="F2176" s="20"/>
      <c r="G2176" s="20"/>
      <c r="H2176" s="20"/>
      <c r="I2176" s="20"/>
      <c r="J2176" s="20"/>
      <c r="K2176" s="20"/>
      <c r="L2176" s="20"/>
      <c r="M2176" s="20"/>
      <c r="N2176" s="20"/>
      <c r="O2176" s="20"/>
      <c r="P2176" s="20"/>
      <c r="Q2176" s="20"/>
      <c r="R2176" s="20"/>
      <c r="S2176" s="20"/>
      <c r="T2176" s="20"/>
      <c r="U2176" s="20"/>
    </row>
    <row r="2177" spans="1:21" ht="17.25" customHeight="1" x14ac:dyDescent="0.3">
      <c r="A2177" s="15"/>
      <c r="C2177" s="19"/>
      <c r="D2177" s="19"/>
      <c r="E2177" s="19"/>
      <c r="F2177" s="19"/>
      <c r="G2177" s="19"/>
      <c r="H2177" s="19"/>
      <c r="I2177" s="19"/>
      <c r="J2177" s="19"/>
      <c r="K2177" s="19"/>
      <c r="L2177" s="19"/>
      <c r="M2177" s="19"/>
      <c r="N2177" s="19"/>
      <c r="O2177" s="19"/>
      <c r="P2177" s="19"/>
      <c r="Q2177" s="19"/>
      <c r="R2177" s="19"/>
      <c r="S2177" s="19"/>
      <c r="T2177" s="19"/>
      <c r="U2177" s="19"/>
    </row>
    <row r="2178" spans="1:21" ht="17.25" customHeight="1" x14ac:dyDescent="0.3">
      <c r="A2178" s="15"/>
      <c r="C2178" s="19"/>
      <c r="D2178" s="19"/>
      <c r="E2178" s="19"/>
      <c r="F2178" s="19"/>
      <c r="G2178" s="19"/>
      <c r="H2178" s="19"/>
      <c r="I2178" s="19"/>
      <c r="J2178" s="19"/>
      <c r="K2178" s="19"/>
      <c r="L2178" s="19"/>
      <c r="M2178" s="19"/>
      <c r="N2178" s="19"/>
      <c r="O2178" s="19"/>
      <c r="P2178" s="19"/>
      <c r="Q2178" s="19"/>
      <c r="R2178" s="19"/>
      <c r="S2178" s="19"/>
      <c r="T2178" s="19"/>
      <c r="U2178" s="19"/>
    </row>
    <row r="2179" spans="1:21" ht="14.25" customHeight="1" x14ac:dyDescent="0.25">
      <c r="A2179" s="15"/>
    </row>
    <row r="2180" spans="1:21" ht="14.25" customHeight="1" x14ac:dyDescent="0.25">
      <c r="A2180" s="15"/>
    </row>
    <row r="2181" spans="1:21" ht="14.25" customHeight="1" x14ac:dyDescent="0.25">
      <c r="A2181" s="15"/>
    </row>
    <row r="2182" spans="1:21" ht="14.25" customHeight="1" x14ac:dyDescent="0.25">
      <c r="A2182" s="15"/>
    </row>
    <row r="2183" spans="1:21" ht="14.25" customHeight="1" x14ac:dyDescent="0.25">
      <c r="A2183" s="15"/>
    </row>
    <row r="2184" spans="1:21" ht="14.25" customHeight="1" x14ac:dyDescent="0.25">
      <c r="A2184" s="15"/>
    </row>
    <row r="2185" spans="1:21" ht="14.25" customHeight="1" x14ac:dyDescent="0.25">
      <c r="A2185" s="15"/>
    </row>
    <row r="2186" spans="1:21" ht="14.25" customHeight="1" x14ac:dyDescent="0.25">
      <c r="A2186" s="15"/>
    </row>
    <row r="2187" spans="1:21" ht="14.25" customHeight="1" x14ac:dyDescent="0.25">
      <c r="A2187" s="15"/>
    </row>
    <row r="2188" spans="1:21" ht="14.25" customHeight="1" x14ac:dyDescent="0.25">
      <c r="A2188" s="15"/>
    </row>
  </sheetData>
  <mergeCells count="1">
    <mergeCell ref="E3:F3"/>
  </mergeCells>
  <pageMargins left="0.25" right="0.25" top="0.75" bottom="0.75" header="0.3" footer="0.3"/>
  <pageSetup scale="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467"/>
  <sheetViews>
    <sheetView showGridLines="0" zoomScale="75" workbookViewId="0">
      <pane ySplit="10" topLeftCell="A11" activePane="bottomLeft" state="frozen"/>
      <selection pane="bottomLeft"/>
    </sheetView>
  </sheetViews>
  <sheetFormatPr defaultRowHeight="14.25" customHeight="1" x14ac:dyDescent="0.25"/>
  <cols>
    <col min="1" max="1" width="9.140625" style="1" hidden="1" customWidth="1"/>
    <col min="2" max="3" width="2.85546875" style="1" bestFit="1" customWidth="1"/>
    <col min="4" max="4" width="11.140625" style="1" hidden="1" customWidth="1"/>
    <col min="5" max="5" width="19.5703125" style="1" bestFit="1" customWidth="1"/>
    <col min="6" max="6" width="48" style="1" bestFit="1" customWidth="1"/>
    <col min="7" max="7" width="43" style="1" hidden="1" customWidth="1"/>
    <col min="8" max="8" width="14.7109375" style="1" bestFit="1" customWidth="1"/>
    <col min="9" max="9" width="17.42578125" style="1" customWidth="1"/>
    <col min="10" max="10" width="14.42578125" style="1" bestFit="1" customWidth="1"/>
    <col min="11" max="11" width="20.85546875" style="1" bestFit="1" customWidth="1"/>
    <col min="12" max="12" width="29" style="1" bestFit="1" customWidth="1"/>
    <col min="13" max="13" width="33.28515625" style="1" bestFit="1" customWidth="1"/>
    <col min="14" max="14" width="26.7109375" style="1" customWidth="1"/>
    <col min="15" max="15" width="15" style="1" bestFit="1" customWidth="1"/>
    <col min="16" max="16" width="10.85546875" style="1" bestFit="1" customWidth="1"/>
    <col min="17" max="17" width="24.7109375" style="1" bestFit="1" customWidth="1"/>
    <col min="18" max="18" width="14.28515625" style="1" bestFit="1" customWidth="1"/>
    <col min="19" max="19" width="19.85546875" style="1" bestFit="1" customWidth="1"/>
    <col min="20" max="20" width="8.7109375" style="1" bestFit="1" customWidth="1"/>
    <col min="21" max="21" width="26" style="1" bestFit="1" customWidth="1"/>
    <col min="22" max="16384" width="9.140625" style="1"/>
  </cols>
  <sheetData>
    <row r="1" spans="1:21" ht="14.25" hidden="1" customHeight="1" x14ac:dyDescent="0.25">
      <c r="A1" s="15" t="s">
        <v>32167</v>
      </c>
      <c r="B1" s="15" t="s">
        <v>9</v>
      </c>
      <c r="C1" s="15" t="s">
        <v>9</v>
      </c>
      <c r="D1" s="15" t="s">
        <v>10</v>
      </c>
      <c r="E1" s="15" t="s">
        <v>9</v>
      </c>
      <c r="F1" s="15" t="s">
        <v>9</v>
      </c>
      <c r="G1" s="15" t="s">
        <v>10</v>
      </c>
      <c r="H1" s="15" t="s">
        <v>9</v>
      </c>
      <c r="I1" s="15"/>
      <c r="J1" s="15" t="s">
        <v>9</v>
      </c>
      <c r="K1" s="15" t="s">
        <v>9</v>
      </c>
      <c r="L1" s="15" t="s">
        <v>9</v>
      </c>
      <c r="M1" s="15" t="s">
        <v>9</v>
      </c>
      <c r="N1" s="15"/>
      <c r="O1" s="15" t="s">
        <v>9</v>
      </c>
      <c r="P1" s="15" t="s">
        <v>9</v>
      </c>
      <c r="Q1" s="15" t="s">
        <v>9</v>
      </c>
      <c r="R1" s="15" t="s">
        <v>9</v>
      </c>
      <c r="S1" s="15" t="s">
        <v>9</v>
      </c>
      <c r="T1" s="15" t="s">
        <v>9</v>
      </c>
      <c r="U1" s="15" t="s">
        <v>9</v>
      </c>
    </row>
    <row r="2" spans="1:21" ht="14.25" customHeight="1" x14ac:dyDescent="0.25">
      <c r="A2" s="15"/>
    </row>
    <row r="3" spans="1:21" ht="30.75" customHeight="1" x14ac:dyDescent="0.55000000000000004">
      <c r="A3" s="15"/>
      <c r="D3" s="16"/>
      <c r="E3" s="113" t="s">
        <v>11</v>
      </c>
      <c r="F3" s="113"/>
      <c r="G3" s="17"/>
      <c r="H3" s="17"/>
      <c r="I3" s="17"/>
      <c r="J3" s="17"/>
      <c r="K3" s="17"/>
      <c r="L3" s="17"/>
      <c r="O3" s="16"/>
    </row>
    <row r="4" spans="1:21" ht="24.95" customHeight="1" x14ac:dyDescent="0.3">
      <c r="A4" s="15"/>
      <c r="K4" s="52" t="s">
        <v>2856</v>
      </c>
      <c r="L4" s="51">
        <v>43395.629108796296</v>
      </c>
    </row>
    <row r="5" spans="1:21" ht="24.95" customHeight="1" x14ac:dyDescent="0.45">
      <c r="A5" s="15"/>
      <c r="E5" s="21" t="s">
        <v>8</v>
      </c>
      <c r="F5" s="18"/>
      <c r="K5" s="53" t="s">
        <v>5</v>
      </c>
      <c r="L5" s="50" t="str">
        <f>Options!C4</f>
        <v>1/1/2019..1/12/2019</v>
      </c>
    </row>
    <row r="6" spans="1:21" ht="24.95" customHeight="1" x14ac:dyDescent="0.45">
      <c r="A6" s="15"/>
      <c r="E6" s="21" t="str">
        <f>"AD-WHSE1"</f>
        <v>AD-WHSE1</v>
      </c>
      <c r="K6" s="53" t="s">
        <v>6</v>
      </c>
      <c r="L6" s="50" t="str">
        <f>Options!C5</f>
        <v>*</v>
      </c>
    </row>
    <row r="7" spans="1:21" ht="21" customHeight="1" x14ac:dyDescent="0.3">
      <c r="A7" s="15"/>
      <c r="C7" s="19"/>
      <c r="D7" s="19"/>
      <c r="E7" s="19"/>
      <c r="F7" s="19"/>
      <c r="G7" s="19"/>
      <c r="H7" s="20"/>
      <c r="I7" s="20"/>
      <c r="J7" s="19"/>
      <c r="K7" s="53" t="s">
        <v>12</v>
      </c>
      <c r="L7" s="50" t="str">
        <f>Options!C6</f>
        <v>*</v>
      </c>
      <c r="M7" s="19"/>
      <c r="P7" s="20"/>
      <c r="Q7" s="19"/>
      <c r="R7" s="19"/>
      <c r="S7" s="19"/>
      <c r="T7" s="19"/>
      <c r="U7" s="19"/>
    </row>
    <row r="8" spans="1:21" ht="26.25" customHeight="1" x14ac:dyDescent="0.45">
      <c r="A8" s="15"/>
      <c r="C8" s="19"/>
      <c r="D8" s="20"/>
      <c r="E8" s="21"/>
      <c r="F8" s="20"/>
      <c r="G8" s="20"/>
      <c r="H8" s="20"/>
      <c r="I8" s="20"/>
      <c r="J8" s="20"/>
      <c r="K8" s="20"/>
      <c r="L8" s="20"/>
      <c r="M8" s="22"/>
      <c r="N8" s="20"/>
      <c r="O8" s="20"/>
      <c r="P8" s="20"/>
      <c r="Q8" s="20"/>
      <c r="R8" s="20"/>
      <c r="S8" s="20"/>
      <c r="T8" s="20"/>
      <c r="U8" s="20"/>
    </row>
    <row r="9" spans="1:21" ht="20.100000000000001" customHeight="1" x14ac:dyDescent="0.35">
      <c r="A9" s="15"/>
      <c r="C9" s="19"/>
      <c r="D9" s="23"/>
      <c r="E9" s="24" t="s">
        <v>6</v>
      </c>
      <c r="F9" s="25" t="s">
        <v>15</v>
      </c>
      <c r="G9" s="25"/>
      <c r="H9" s="26" t="s">
        <v>16</v>
      </c>
      <c r="I9" s="25"/>
      <c r="J9" s="25"/>
      <c r="K9" s="25"/>
      <c r="L9" s="25"/>
      <c r="M9" s="25"/>
      <c r="N9" s="25"/>
      <c r="O9" s="26"/>
      <c r="P9" s="27"/>
      <c r="Q9" s="28"/>
      <c r="R9" s="28"/>
      <c r="S9" s="28"/>
      <c r="T9" s="28"/>
      <c r="U9" s="63"/>
    </row>
    <row r="10" spans="1:21" ht="20.100000000000001" customHeight="1" x14ac:dyDescent="0.35">
      <c r="A10" s="15"/>
      <c r="C10" s="19"/>
      <c r="D10" s="23"/>
      <c r="E10" s="24"/>
      <c r="F10" s="25"/>
      <c r="G10" s="25"/>
      <c r="H10" s="30" t="s">
        <v>17</v>
      </c>
      <c r="I10" s="30" t="s">
        <v>18</v>
      </c>
      <c r="J10" s="30" t="s">
        <v>19</v>
      </c>
      <c r="K10" s="30" t="s">
        <v>20</v>
      </c>
      <c r="L10" s="30" t="s">
        <v>21</v>
      </c>
      <c r="M10" s="30" t="s">
        <v>22</v>
      </c>
      <c r="N10" s="30" t="s">
        <v>14</v>
      </c>
      <c r="O10" s="31" t="s">
        <v>23</v>
      </c>
      <c r="P10" s="31" t="s">
        <v>24</v>
      </c>
      <c r="Q10" s="31" t="s">
        <v>25</v>
      </c>
      <c r="R10" s="31" t="s">
        <v>26</v>
      </c>
      <c r="S10" s="31" t="s">
        <v>27</v>
      </c>
      <c r="T10" s="31" t="s">
        <v>28</v>
      </c>
      <c r="U10" s="64" t="s">
        <v>29</v>
      </c>
    </row>
    <row r="11" spans="1:21" ht="17.25" customHeight="1" x14ac:dyDescent="0.3">
      <c r="A11" s="15"/>
      <c r="C11" s="19"/>
      <c r="D11" s="33"/>
      <c r="E11" s="33"/>
      <c r="F11" s="34"/>
      <c r="G11" s="34"/>
      <c r="H11" s="34"/>
      <c r="I11" s="34"/>
      <c r="J11" s="34"/>
      <c r="K11" s="34"/>
      <c r="L11" s="34"/>
      <c r="M11" s="34"/>
      <c r="N11" s="34"/>
      <c r="O11" s="34"/>
      <c r="P11" s="34"/>
      <c r="Q11" s="34"/>
      <c r="R11" s="34"/>
      <c r="S11" s="34"/>
      <c r="T11" s="34"/>
      <c r="U11" s="54"/>
    </row>
    <row r="12" spans="1:21" ht="20.25" customHeight="1" x14ac:dyDescent="0.35">
      <c r="A12" s="15"/>
      <c r="C12" s="19"/>
      <c r="D12" s="35" t="str">
        <f>E12</f>
        <v>C100002</v>
      </c>
      <c r="E12" s="36" t="str">
        <f>"C100002"</f>
        <v>C100002</v>
      </c>
      <c r="F12" s="37" t="str">
        <f>"Border Style"</f>
        <v>Border Style</v>
      </c>
      <c r="G12" s="37"/>
      <c r="H12" s="38" t="str">
        <f>"EA"</f>
        <v>EA</v>
      </c>
      <c r="I12" s="37"/>
      <c r="J12" s="37"/>
      <c r="K12" s="37"/>
      <c r="L12" s="37"/>
      <c r="M12" s="37"/>
      <c r="N12" s="37"/>
      <c r="O12" s="39">
        <f>(SUBTOTAL(9,O13:O14))</f>
        <v>100</v>
      </c>
      <c r="P12" s="39">
        <f>(SUBTOTAL(9,P13:P14))</f>
        <v>0</v>
      </c>
      <c r="Q12" s="39">
        <f>(SUBTOTAL(9,Q13:Q14))</f>
        <v>0</v>
      </c>
      <c r="R12" s="39">
        <f>(SUBTOTAL(9,R13:R14))</f>
        <v>0</v>
      </c>
      <c r="S12" s="39">
        <f>(SUBTOTAL(9,S13:S14))</f>
        <v>0</v>
      </c>
      <c r="T12" s="39">
        <f>(SUBTOTAL(9,T13:T14))</f>
        <v>0</v>
      </c>
      <c r="U12" s="55">
        <f>SUBTOTAL(9,O13:T14)</f>
        <v>100</v>
      </c>
    </row>
    <row r="13" spans="1:21" ht="17.25" customHeight="1" x14ac:dyDescent="0.3">
      <c r="A13" s="15"/>
      <c r="C13" s="19"/>
      <c r="D13" s="33" t="str">
        <f>D12</f>
        <v>C100002</v>
      </c>
      <c r="E13" s="33"/>
      <c r="F13" s="34"/>
      <c r="G13" s="34" t="str">
        <f>"""NAV Direct"",""CRONUS JetCorp USA"",""32"",""1"",""166335"""</f>
        <v>"NAV Direct","CRONUS JetCorp USA","32","1","166335"</v>
      </c>
      <c r="H13" s="40">
        <v>43466</v>
      </c>
      <c r="I13" s="41">
        <v>166335</v>
      </c>
      <c r="J13" s="42" t="str">
        <f>"Vendor"</f>
        <v>Vendor</v>
      </c>
      <c r="K13" s="42" t="str">
        <f>"V100009"</f>
        <v>V100009</v>
      </c>
      <c r="L13" s="42" t="str">
        <f>IF($J13="Customer",_xll.NL("first",$J13,"Name","No.","@@"&amp;$K13),"")</f>
        <v/>
      </c>
      <c r="M13" s="42" t="str">
        <f>"Malay-Dan Export Unit Sdn Bhd"</f>
        <v>Malay-Dan Export Unit Sdn Bhd</v>
      </c>
      <c r="N13" s="42" t="str">
        <f>IF($J13="Item",_xll.NL("first",$J13,"Description","No.","@@"&amp;$K13),"")</f>
        <v/>
      </c>
      <c r="O13" s="43">
        <v>100</v>
      </c>
      <c r="P13" s="43">
        <v>0</v>
      </c>
      <c r="Q13" s="43">
        <v>0</v>
      </c>
      <c r="R13" s="43">
        <v>0</v>
      </c>
      <c r="S13" s="43">
        <v>0</v>
      </c>
      <c r="T13" s="43">
        <v>0</v>
      </c>
      <c r="U13" s="56"/>
    </row>
    <row r="14" spans="1:21" ht="17.25" customHeight="1" x14ac:dyDescent="0.3">
      <c r="A14" s="15"/>
      <c r="C14" s="19"/>
      <c r="D14" s="33"/>
      <c r="E14" s="33"/>
      <c r="F14" s="34"/>
      <c r="G14" s="34"/>
      <c r="H14" s="34"/>
      <c r="I14" s="34"/>
      <c r="J14" s="34"/>
      <c r="K14" s="34"/>
      <c r="L14" s="34"/>
      <c r="M14" s="34"/>
      <c r="N14" s="34"/>
      <c r="O14" s="44"/>
      <c r="P14" s="44"/>
      <c r="Q14" s="44"/>
      <c r="R14" s="44"/>
      <c r="S14" s="44"/>
      <c r="T14" s="44"/>
      <c r="U14" s="57"/>
    </row>
    <row r="15" spans="1:21" ht="17.25" customHeight="1" x14ac:dyDescent="0.3">
      <c r="A15" s="15"/>
      <c r="C15" s="19"/>
      <c r="D15" s="33"/>
      <c r="E15" s="33" t="s">
        <v>31</v>
      </c>
      <c r="F15" s="34" t="s">
        <v>31</v>
      </c>
      <c r="G15" s="34" t="s">
        <v>31</v>
      </c>
      <c r="H15" s="34"/>
      <c r="I15" s="34"/>
      <c r="J15" s="34" t="s">
        <v>31</v>
      </c>
      <c r="K15" s="34" t="s">
        <v>31</v>
      </c>
      <c r="L15" s="34" t="s">
        <v>31</v>
      </c>
      <c r="M15" s="34" t="s">
        <v>31</v>
      </c>
      <c r="N15" s="34"/>
      <c r="U15" s="58"/>
    </row>
    <row r="16" spans="1:21" ht="20.25" customHeight="1" x14ac:dyDescent="0.35">
      <c r="A16" s="15" t="s">
        <v>30</v>
      </c>
      <c r="C16" s="19"/>
      <c r="D16" s="35" t="str">
        <f t="shared" ref="D16" si="0">E16</f>
        <v>C100003</v>
      </c>
      <c r="E16" s="36" t="str">
        <f>"C100003"</f>
        <v>C100003</v>
      </c>
      <c r="F16" s="37" t="str">
        <f>"Cherry Finish Frame"</f>
        <v>Cherry Finish Frame</v>
      </c>
      <c r="G16" s="37"/>
      <c r="H16" s="38" t="str">
        <f>"EA"</f>
        <v>EA</v>
      </c>
      <c r="I16" s="37"/>
      <c r="J16" s="37"/>
      <c r="K16" s="37"/>
      <c r="L16" s="37"/>
      <c r="M16" s="37"/>
      <c r="N16" s="37"/>
      <c r="O16" s="39">
        <f>(SUBTOTAL(9,O17:O19))</f>
        <v>100</v>
      </c>
      <c r="P16" s="39">
        <f>(SUBTOTAL(9,P17:P19))</f>
        <v>-60</v>
      </c>
      <c r="Q16" s="39">
        <f>(SUBTOTAL(9,Q17:Q19))</f>
        <v>0</v>
      </c>
      <c r="R16" s="39">
        <f>(SUBTOTAL(9,R17:R19))</f>
        <v>0</v>
      </c>
      <c r="S16" s="39">
        <f>(SUBTOTAL(9,S17:S19))</f>
        <v>0</v>
      </c>
      <c r="T16" s="39">
        <f>(SUBTOTAL(9,T17:T19))</f>
        <v>0</v>
      </c>
      <c r="U16" s="55">
        <f t="shared" ref="U16" si="1">SUBTOTAL(9,O17:T19)</f>
        <v>40</v>
      </c>
    </row>
    <row r="17" spans="1:21" ht="17.25" customHeight="1" x14ac:dyDescent="0.3">
      <c r="A17" s="15" t="s">
        <v>30</v>
      </c>
      <c r="C17" s="19"/>
      <c r="D17" s="33" t="str">
        <f t="shared" ref="D17" si="2">D16</f>
        <v>C100003</v>
      </c>
      <c r="E17" s="33"/>
      <c r="F17" s="34"/>
      <c r="G17" s="34" t="str">
        <f>"""NAV Direct"",""CRONUS JetCorp USA"",""32"",""1"",""166334"""</f>
        <v>"NAV Direct","CRONUS JetCorp USA","32","1","166334"</v>
      </c>
      <c r="H17" s="40">
        <v>43466</v>
      </c>
      <c r="I17" s="41">
        <v>166334</v>
      </c>
      <c r="J17" s="42" t="str">
        <f>"Vendor"</f>
        <v>Vendor</v>
      </c>
      <c r="K17" s="42" t="str">
        <f>"V100009"</f>
        <v>V100009</v>
      </c>
      <c r="L17" s="42" t="str">
        <f>IF($J17="Customer",_xll.NL("first",$J17,"Name","No.","@@"&amp;$K17),"")</f>
        <v/>
      </c>
      <c r="M17" s="42" t="str">
        <f>"Malay-Dan Export Unit Sdn Bhd"</f>
        <v>Malay-Dan Export Unit Sdn Bhd</v>
      </c>
      <c r="N17" s="42" t="str">
        <f>IF($J17="Item",_xll.NL("first",$J17,"Description","No.","@@"&amp;$K17),"")</f>
        <v/>
      </c>
      <c r="O17" s="43">
        <v>100</v>
      </c>
      <c r="P17" s="43">
        <v>0</v>
      </c>
      <c r="Q17" s="43">
        <v>0</v>
      </c>
      <c r="R17" s="43">
        <v>0</v>
      </c>
      <c r="S17" s="43">
        <v>0</v>
      </c>
      <c r="T17" s="43">
        <v>0</v>
      </c>
      <c r="U17" s="56"/>
    </row>
    <row r="18" spans="1:21" ht="17.25" customHeight="1" x14ac:dyDescent="0.3">
      <c r="A18" s="15" t="s">
        <v>30</v>
      </c>
      <c r="C18" s="19"/>
      <c r="D18" s="33" t="str">
        <f t="shared" ref="D18" si="3">D17</f>
        <v>C100003</v>
      </c>
      <c r="E18" s="33"/>
      <c r="F18" s="34"/>
      <c r="G18" s="34" t="str">
        <f>"""NAV Direct"",""CRONUS JetCorp USA"",""32"",""1"",""34319"""</f>
        <v>"NAV Direct","CRONUS JetCorp USA","32","1","34319"</v>
      </c>
      <c r="H18" s="40">
        <v>43470</v>
      </c>
      <c r="I18" s="41">
        <v>34319</v>
      </c>
      <c r="J18" s="42" t="str">
        <f>"Customer"</f>
        <v>Customer</v>
      </c>
      <c r="K18" s="42" t="str">
        <f>"C100050"</f>
        <v>C100050</v>
      </c>
      <c r="L18" s="42" t="str">
        <f>IF($J18="Customer",_xll.NL("first",$J18,"Name","No.","@@"&amp;$K18),"")</f>
        <v>Lauritzen Kontorm¢bler A/S</v>
      </c>
      <c r="M18" s="42" t="str">
        <f>""</f>
        <v/>
      </c>
      <c r="N18" s="42" t="str">
        <f>IF($J18="Item",_xll.NL("first",$J18,"Description","No.","@@"&amp;$K18),"")</f>
        <v/>
      </c>
      <c r="O18" s="43">
        <v>0</v>
      </c>
      <c r="P18" s="43">
        <v>-60</v>
      </c>
      <c r="Q18" s="43">
        <v>0</v>
      </c>
      <c r="R18" s="43">
        <v>0</v>
      </c>
      <c r="S18" s="43">
        <v>0</v>
      </c>
      <c r="T18" s="43">
        <v>0</v>
      </c>
      <c r="U18" s="56"/>
    </row>
    <row r="19" spans="1:21" ht="17.25" customHeight="1" x14ac:dyDescent="0.3">
      <c r="A19" s="15" t="s">
        <v>30</v>
      </c>
      <c r="C19" s="19"/>
      <c r="D19" s="33"/>
      <c r="E19" s="33"/>
      <c r="F19" s="34"/>
      <c r="G19" s="34"/>
      <c r="H19" s="34"/>
      <c r="I19" s="34"/>
      <c r="J19" s="34"/>
      <c r="K19" s="34"/>
      <c r="L19" s="34"/>
      <c r="M19" s="34"/>
      <c r="N19" s="34"/>
      <c r="O19" s="44"/>
      <c r="P19" s="44"/>
      <c r="Q19" s="44"/>
      <c r="R19" s="44"/>
      <c r="S19" s="44"/>
      <c r="T19" s="44"/>
      <c r="U19" s="57"/>
    </row>
    <row r="20" spans="1:21" ht="17.25" customHeight="1" x14ac:dyDescent="0.3">
      <c r="A20" s="15" t="s">
        <v>30</v>
      </c>
      <c r="C20" s="19"/>
      <c r="D20" s="33"/>
      <c r="E20" s="33" t="s">
        <v>31</v>
      </c>
      <c r="F20" s="34" t="s">
        <v>31</v>
      </c>
      <c r="G20" s="34" t="s">
        <v>31</v>
      </c>
      <c r="H20" s="34"/>
      <c r="I20" s="34"/>
      <c r="J20" s="34" t="s">
        <v>31</v>
      </c>
      <c r="K20" s="34" t="s">
        <v>31</v>
      </c>
      <c r="L20" s="34" t="s">
        <v>31</v>
      </c>
      <c r="M20" s="34" t="s">
        <v>31</v>
      </c>
      <c r="N20" s="34"/>
      <c r="U20" s="58"/>
    </row>
    <row r="21" spans="1:21" ht="20.25" customHeight="1" x14ac:dyDescent="0.35">
      <c r="A21" s="15" t="s">
        <v>30</v>
      </c>
      <c r="C21" s="19"/>
      <c r="D21" s="35" t="str">
        <f t="shared" ref="D21" si="4">E21</f>
        <v>C100004</v>
      </c>
      <c r="E21" s="36" t="str">
        <f>"C100004"</f>
        <v>C100004</v>
      </c>
      <c r="F21" s="37" t="str">
        <f>"Walnut Medallian Plate"</f>
        <v>Walnut Medallian Plate</v>
      </c>
      <c r="G21" s="37"/>
      <c r="H21" s="38" t="str">
        <f>"EA"</f>
        <v>EA</v>
      </c>
      <c r="I21" s="37"/>
      <c r="J21" s="37"/>
      <c r="K21" s="37"/>
      <c r="L21" s="37"/>
      <c r="M21" s="37"/>
      <c r="N21" s="37"/>
      <c r="O21" s="39">
        <f>(SUBTOTAL(9,O22:O26))</f>
        <v>700</v>
      </c>
      <c r="P21" s="39">
        <f>(SUBTOTAL(9,P22:P26))</f>
        <v>-384</v>
      </c>
      <c r="Q21" s="39">
        <f>(SUBTOTAL(9,Q22:Q26))</f>
        <v>0</v>
      </c>
      <c r="R21" s="39">
        <f>(SUBTOTAL(9,R22:R26))</f>
        <v>0</v>
      </c>
      <c r="S21" s="39">
        <f>(SUBTOTAL(9,S22:S26))</f>
        <v>0</v>
      </c>
      <c r="T21" s="39">
        <f>(SUBTOTAL(9,T22:T26))</f>
        <v>0</v>
      </c>
      <c r="U21" s="55">
        <f t="shared" ref="U21" si="5">SUBTOTAL(9,O22:T26)</f>
        <v>316</v>
      </c>
    </row>
    <row r="22" spans="1:21" ht="17.25" customHeight="1" x14ac:dyDescent="0.3">
      <c r="A22" s="15" t="s">
        <v>30</v>
      </c>
      <c r="C22" s="19"/>
      <c r="D22" s="33" t="str">
        <f t="shared" ref="D22" si="6">D21</f>
        <v>C100004</v>
      </c>
      <c r="E22" s="33"/>
      <c r="F22" s="34"/>
      <c r="G22" s="34" t="str">
        <f>"""NAV Direct"",""CRONUS JetCorp USA"",""32"",""1"",""166333"""</f>
        <v>"NAV Direct","CRONUS JetCorp USA","32","1","166333"</v>
      </c>
      <c r="H22" s="40">
        <v>43466</v>
      </c>
      <c r="I22" s="41">
        <v>166333</v>
      </c>
      <c r="J22" s="42" t="str">
        <f>"Vendor"</f>
        <v>Vendor</v>
      </c>
      <c r="K22" s="42" t="str">
        <f>"V100009"</f>
        <v>V100009</v>
      </c>
      <c r="L22" s="42" t="str">
        <f>IF($J22="Customer",_xll.NL("first",$J22,"Name","No.","@@"&amp;$K22),"")</f>
        <v/>
      </c>
      <c r="M22" s="42" t="str">
        <f>"Malay-Dan Export Unit Sdn Bhd"</f>
        <v>Malay-Dan Export Unit Sdn Bhd</v>
      </c>
      <c r="N22" s="42" t="str">
        <f>IF($J22="Item",_xll.NL("first",$J22,"Description","No.","@@"&amp;$K22),"")</f>
        <v/>
      </c>
      <c r="O22" s="43">
        <v>700</v>
      </c>
      <c r="P22" s="43">
        <v>0</v>
      </c>
      <c r="Q22" s="43">
        <v>0</v>
      </c>
      <c r="R22" s="43">
        <v>0</v>
      </c>
      <c r="S22" s="43">
        <v>0</v>
      </c>
      <c r="T22" s="43">
        <v>0</v>
      </c>
      <c r="U22" s="56"/>
    </row>
    <row r="23" spans="1:21" ht="17.25" customHeight="1" x14ac:dyDescent="0.3">
      <c r="A23" s="15" t="s">
        <v>30</v>
      </c>
      <c r="C23" s="19"/>
      <c r="D23" s="33" t="str">
        <f t="shared" ref="D23:D25" si="7">D22</f>
        <v>C100004</v>
      </c>
      <c r="E23" s="33"/>
      <c r="F23" s="34"/>
      <c r="G23" s="34" t="str">
        <f>"""NAV Direct"",""CRONUS JetCorp USA"",""32"",""1"",""132508"""</f>
        <v>"NAV Direct","CRONUS JetCorp USA","32","1","132508"</v>
      </c>
      <c r="H23" s="40">
        <v>43470</v>
      </c>
      <c r="I23" s="41">
        <v>132508</v>
      </c>
      <c r="J23" s="42" t="str">
        <f>"Customer"</f>
        <v>Customer</v>
      </c>
      <c r="K23" s="42" t="str">
        <f>"C100029"</f>
        <v>C100029</v>
      </c>
      <c r="L23" s="42" t="str">
        <f>IF($J23="Customer",_xll.NL("first",$J23,"Name","No.","@@"&amp;$K23),"")</f>
        <v>Elkhorn Airport</v>
      </c>
      <c r="M23" s="42" t="str">
        <f>""</f>
        <v/>
      </c>
      <c r="N23" s="42" t="str">
        <f>IF($J23="Item",_xll.NL("first",$J23,"Description","No.","@@"&amp;$K23),"")</f>
        <v/>
      </c>
      <c r="O23" s="43">
        <v>0</v>
      </c>
      <c r="P23" s="43">
        <v>-288</v>
      </c>
      <c r="Q23" s="43">
        <v>0</v>
      </c>
      <c r="R23" s="43">
        <v>0</v>
      </c>
      <c r="S23" s="43">
        <v>0</v>
      </c>
      <c r="T23" s="43">
        <v>0</v>
      </c>
      <c r="U23" s="56"/>
    </row>
    <row r="24" spans="1:21" ht="17.25" customHeight="1" x14ac:dyDescent="0.3">
      <c r="A24" s="15" t="s">
        <v>30</v>
      </c>
      <c r="C24" s="19"/>
      <c r="D24" s="33" t="str">
        <f t="shared" si="7"/>
        <v>C100004</v>
      </c>
      <c r="E24" s="33"/>
      <c r="F24" s="34"/>
      <c r="G24" s="34" t="str">
        <f>"""NAV Direct"",""CRONUS JetCorp USA"",""32"",""1"",""135816"""</f>
        <v>"NAV Direct","CRONUS JetCorp USA","32","1","135816"</v>
      </c>
      <c r="H24" s="40">
        <v>43474</v>
      </c>
      <c r="I24" s="41">
        <v>135816</v>
      </c>
      <c r="J24" s="42" t="str">
        <f>"Customer"</f>
        <v>Customer</v>
      </c>
      <c r="K24" s="42" t="str">
        <f>"C100050"</f>
        <v>C100050</v>
      </c>
      <c r="L24" s="42" t="str">
        <f>IF($J24="Customer",_xll.NL("first",$J24,"Name","No.","@@"&amp;$K24),"")</f>
        <v>Lauritzen Kontorm¢bler A/S</v>
      </c>
      <c r="M24" s="42" t="str">
        <f>""</f>
        <v/>
      </c>
      <c r="N24" s="42" t="str">
        <f>IF($J24="Item",_xll.NL("first",$J24,"Description","No.","@@"&amp;$K24),"")</f>
        <v/>
      </c>
      <c r="O24" s="43">
        <v>0</v>
      </c>
      <c r="P24" s="43">
        <v>-48</v>
      </c>
      <c r="Q24" s="43">
        <v>0</v>
      </c>
      <c r="R24" s="43">
        <v>0</v>
      </c>
      <c r="S24" s="43">
        <v>0</v>
      </c>
      <c r="T24" s="43">
        <v>0</v>
      </c>
      <c r="U24" s="56"/>
    </row>
    <row r="25" spans="1:21" ht="17.25" customHeight="1" x14ac:dyDescent="0.3">
      <c r="A25" s="15" t="s">
        <v>30</v>
      </c>
      <c r="C25" s="19"/>
      <c r="D25" s="33" t="str">
        <f t="shared" si="7"/>
        <v>C100004</v>
      </c>
      <c r="E25" s="33"/>
      <c r="F25" s="34"/>
      <c r="G25" s="34" t="str">
        <f>"""NAV Direct"",""CRONUS JetCorp USA"",""32"",""1"",""138723"""</f>
        <v>"NAV Direct","CRONUS JetCorp USA","32","1","138723"</v>
      </c>
      <c r="H25" s="40">
        <v>43477</v>
      </c>
      <c r="I25" s="41">
        <v>138723</v>
      </c>
      <c r="J25" s="42" t="str">
        <f>"Customer"</f>
        <v>Customer</v>
      </c>
      <c r="K25" s="42" t="str">
        <f>"C100021"</f>
        <v>C100021</v>
      </c>
      <c r="L25" s="42" t="str">
        <f>IF($J25="Customer",_xll.NL("first",$J25,"Name","No.","@@"&amp;$K25),"")</f>
        <v>Cronus Cardoxy Sales</v>
      </c>
      <c r="M25" s="42" t="str">
        <f>""</f>
        <v/>
      </c>
      <c r="N25" s="42" t="str">
        <f>IF($J25="Item",_xll.NL("first",$J25,"Description","No.","@@"&amp;$K25),"")</f>
        <v/>
      </c>
      <c r="O25" s="43">
        <v>0</v>
      </c>
      <c r="P25" s="43">
        <v>-48</v>
      </c>
      <c r="Q25" s="43">
        <v>0</v>
      </c>
      <c r="R25" s="43">
        <v>0</v>
      </c>
      <c r="S25" s="43">
        <v>0</v>
      </c>
      <c r="T25" s="43">
        <v>0</v>
      </c>
      <c r="U25" s="56"/>
    </row>
    <row r="26" spans="1:21" ht="17.25" customHeight="1" x14ac:dyDescent="0.3">
      <c r="A26" s="15" t="s">
        <v>30</v>
      </c>
      <c r="C26" s="19"/>
      <c r="D26" s="33"/>
      <c r="E26" s="33"/>
      <c r="F26" s="34"/>
      <c r="G26" s="34"/>
      <c r="H26" s="34"/>
      <c r="I26" s="34"/>
      <c r="J26" s="34"/>
      <c r="K26" s="34"/>
      <c r="L26" s="34"/>
      <c r="M26" s="34"/>
      <c r="N26" s="34"/>
      <c r="O26" s="44"/>
      <c r="P26" s="44"/>
      <c r="Q26" s="44"/>
      <c r="R26" s="44"/>
      <c r="S26" s="44"/>
      <c r="T26" s="44"/>
      <c r="U26" s="57"/>
    </row>
    <row r="27" spans="1:21" ht="17.25" customHeight="1" x14ac:dyDescent="0.3">
      <c r="A27" s="15" t="s">
        <v>30</v>
      </c>
      <c r="C27" s="19"/>
      <c r="D27" s="33"/>
      <c r="E27" s="33" t="s">
        <v>31</v>
      </c>
      <c r="F27" s="34" t="s">
        <v>31</v>
      </c>
      <c r="G27" s="34" t="s">
        <v>31</v>
      </c>
      <c r="H27" s="34"/>
      <c r="I27" s="34"/>
      <c r="J27" s="34" t="s">
        <v>31</v>
      </c>
      <c r="K27" s="34" t="s">
        <v>31</v>
      </c>
      <c r="L27" s="34" t="s">
        <v>31</v>
      </c>
      <c r="M27" s="34" t="s">
        <v>31</v>
      </c>
      <c r="N27" s="34"/>
      <c r="U27" s="58"/>
    </row>
    <row r="28" spans="1:21" ht="20.25" customHeight="1" x14ac:dyDescent="0.35">
      <c r="A28" s="15" t="s">
        <v>30</v>
      </c>
      <c r="C28" s="19"/>
      <c r="D28" s="35" t="str">
        <f t="shared" ref="D28" si="8">E28</f>
        <v>C100005</v>
      </c>
      <c r="E28" s="36" t="str">
        <f>"C100005"</f>
        <v>C100005</v>
      </c>
      <c r="F28" s="37" t="str">
        <f>"Cherry Finished Crystal Award"</f>
        <v>Cherry Finished Crystal Award</v>
      </c>
      <c r="G28" s="37"/>
      <c r="H28" s="38" t="str">
        <f>"EA"</f>
        <v>EA</v>
      </c>
      <c r="I28" s="37"/>
      <c r="J28" s="37"/>
      <c r="K28" s="37"/>
      <c r="L28" s="37"/>
      <c r="M28" s="37"/>
      <c r="N28" s="37"/>
      <c r="O28" s="39">
        <f>(SUBTOTAL(9,O29:O33))</f>
        <v>200</v>
      </c>
      <c r="P28" s="39">
        <f>(SUBTOTAL(9,P29:P33))</f>
        <v>-145</v>
      </c>
      <c r="Q28" s="39">
        <f>(SUBTOTAL(9,Q29:Q33))</f>
        <v>0</v>
      </c>
      <c r="R28" s="39">
        <f>(SUBTOTAL(9,R29:R33))</f>
        <v>0</v>
      </c>
      <c r="S28" s="39">
        <f>(SUBTOTAL(9,S29:S33))</f>
        <v>0</v>
      </c>
      <c r="T28" s="39">
        <f>(SUBTOTAL(9,T29:T33))</f>
        <v>0</v>
      </c>
      <c r="U28" s="55">
        <f t="shared" ref="U28" si="9">SUBTOTAL(9,O29:T33)</f>
        <v>55</v>
      </c>
    </row>
    <row r="29" spans="1:21" ht="17.25" customHeight="1" x14ac:dyDescent="0.3">
      <c r="A29" s="15" t="s">
        <v>30</v>
      </c>
      <c r="C29" s="19"/>
      <c r="D29" s="33" t="str">
        <f t="shared" ref="D29" si="10">D28</f>
        <v>C100005</v>
      </c>
      <c r="E29" s="33"/>
      <c r="F29" s="34"/>
      <c r="G29" s="34" t="str">
        <f>"""NAV Direct"",""CRONUS JetCorp USA"",""32"",""1"",""166332"""</f>
        <v>"NAV Direct","CRONUS JetCorp USA","32","1","166332"</v>
      </c>
      <c r="H29" s="40">
        <v>43466</v>
      </c>
      <c r="I29" s="41">
        <v>166332</v>
      </c>
      <c r="J29" s="42" t="str">
        <f>"Vendor"</f>
        <v>Vendor</v>
      </c>
      <c r="K29" s="42" t="str">
        <f>"V100009"</f>
        <v>V100009</v>
      </c>
      <c r="L29" s="42" t="str">
        <f>IF($J29="Customer",_xll.NL("first",$J29,"Name","No.","@@"&amp;$K29),"")</f>
        <v/>
      </c>
      <c r="M29" s="42" t="str">
        <f>"Malay-Dan Export Unit Sdn Bhd"</f>
        <v>Malay-Dan Export Unit Sdn Bhd</v>
      </c>
      <c r="N29" s="42" t="str">
        <f>IF($J29="Item",_xll.NL("first",$J29,"Description","No.","@@"&amp;$K29),"")</f>
        <v/>
      </c>
      <c r="O29" s="43">
        <v>200</v>
      </c>
      <c r="P29" s="43">
        <v>0</v>
      </c>
      <c r="Q29" s="43">
        <v>0</v>
      </c>
      <c r="R29" s="43">
        <v>0</v>
      </c>
      <c r="S29" s="43">
        <v>0</v>
      </c>
      <c r="T29" s="43">
        <v>0</v>
      </c>
      <c r="U29" s="56"/>
    </row>
    <row r="30" spans="1:21" ht="17.25" customHeight="1" x14ac:dyDescent="0.3">
      <c r="A30" s="15" t="s">
        <v>30</v>
      </c>
      <c r="C30" s="19"/>
      <c r="D30" s="33" t="str">
        <f t="shared" ref="D30:D32" si="11">D29</f>
        <v>C100005</v>
      </c>
      <c r="E30" s="33"/>
      <c r="F30" s="34"/>
      <c r="G30" s="34" t="str">
        <f>"""NAV Direct"",""CRONUS JetCorp USA"",""32"",""1"",""34318"""</f>
        <v>"NAV Direct","CRONUS JetCorp USA","32","1","34318"</v>
      </c>
      <c r="H30" s="40">
        <v>43470</v>
      </c>
      <c r="I30" s="41">
        <v>34318</v>
      </c>
      <c r="J30" s="42" t="str">
        <f>"Customer"</f>
        <v>Customer</v>
      </c>
      <c r="K30" s="42" t="str">
        <f>"C100050"</f>
        <v>C100050</v>
      </c>
      <c r="L30" s="42" t="str">
        <f>IF($J30="Customer",_xll.NL("first",$J30,"Name","No.","@@"&amp;$K30),"")</f>
        <v>Lauritzen Kontorm¢bler A/S</v>
      </c>
      <c r="M30" s="42" t="str">
        <f>""</f>
        <v/>
      </c>
      <c r="N30" s="42" t="str">
        <f>IF($J30="Item",_xll.NL("first",$J30,"Description","No.","@@"&amp;$K30),"")</f>
        <v/>
      </c>
      <c r="O30" s="43">
        <v>0</v>
      </c>
      <c r="P30" s="43">
        <v>-48</v>
      </c>
      <c r="Q30" s="43">
        <v>0</v>
      </c>
      <c r="R30" s="43">
        <v>0</v>
      </c>
      <c r="S30" s="43">
        <v>0</v>
      </c>
      <c r="T30" s="43">
        <v>0</v>
      </c>
      <c r="U30" s="56"/>
    </row>
    <row r="31" spans="1:21" ht="17.25" customHeight="1" x14ac:dyDescent="0.3">
      <c r="A31" s="15" t="s">
        <v>30</v>
      </c>
      <c r="C31" s="19"/>
      <c r="D31" s="33" t="str">
        <f t="shared" si="11"/>
        <v>C100005</v>
      </c>
      <c r="E31" s="33"/>
      <c r="F31" s="34"/>
      <c r="G31" s="34" t="str">
        <f>"""NAV Direct"",""CRONUS JetCorp USA"",""32"",""1"",""135814"""</f>
        <v>"NAV Direct","CRONUS JetCorp USA","32","1","135814"</v>
      </c>
      <c r="H31" s="40">
        <v>43474</v>
      </c>
      <c r="I31" s="41">
        <v>135814</v>
      </c>
      <c r="J31" s="42" t="str">
        <f>"Customer"</f>
        <v>Customer</v>
      </c>
      <c r="K31" s="42" t="str">
        <f>"C100050"</f>
        <v>C100050</v>
      </c>
      <c r="L31" s="42" t="str">
        <f>IF($J31="Customer",_xll.NL("first",$J31,"Name","No.","@@"&amp;$K31),"")</f>
        <v>Lauritzen Kontorm¢bler A/S</v>
      </c>
      <c r="M31" s="42" t="str">
        <f>""</f>
        <v/>
      </c>
      <c r="N31" s="42" t="str">
        <f>IF($J31="Item",_xll.NL("first",$J31,"Description","No.","@@"&amp;$K31),"")</f>
        <v/>
      </c>
      <c r="O31" s="43">
        <v>0</v>
      </c>
      <c r="P31" s="43">
        <v>-49</v>
      </c>
      <c r="Q31" s="43">
        <v>0</v>
      </c>
      <c r="R31" s="43">
        <v>0</v>
      </c>
      <c r="S31" s="43">
        <v>0</v>
      </c>
      <c r="T31" s="43">
        <v>0</v>
      </c>
      <c r="U31" s="56"/>
    </row>
    <row r="32" spans="1:21" ht="17.25" customHeight="1" x14ac:dyDescent="0.3">
      <c r="A32" s="15" t="s">
        <v>30</v>
      </c>
      <c r="C32" s="19"/>
      <c r="D32" s="33" t="str">
        <f t="shared" si="11"/>
        <v>C100005</v>
      </c>
      <c r="E32" s="33"/>
      <c r="F32" s="34"/>
      <c r="G32" s="34" t="str">
        <f>"""NAV Direct"",""CRONUS JetCorp USA"",""32"",""1"",""138722"""</f>
        <v>"NAV Direct","CRONUS JetCorp USA","32","1","138722"</v>
      </c>
      <c r="H32" s="40">
        <v>43477</v>
      </c>
      <c r="I32" s="41">
        <v>138722</v>
      </c>
      <c r="J32" s="42" t="str">
        <f>"Customer"</f>
        <v>Customer</v>
      </c>
      <c r="K32" s="42" t="str">
        <f>"C100021"</f>
        <v>C100021</v>
      </c>
      <c r="L32" s="42" t="str">
        <f>IF($J32="Customer",_xll.NL("first",$J32,"Name","No.","@@"&amp;$K32),"")</f>
        <v>Cronus Cardoxy Sales</v>
      </c>
      <c r="M32" s="42" t="str">
        <f>""</f>
        <v/>
      </c>
      <c r="N32" s="42" t="str">
        <f>IF($J32="Item",_xll.NL("first",$J32,"Description","No.","@@"&amp;$K32),"")</f>
        <v/>
      </c>
      <c r="O32" s="43">
        <v>0</v>
      </c>
      <c r="P32" s="43">
        <v>-48</v>
      </c>
      <c r="Q32" s="43">
        <v>0</v>
      </c>
      <c r="R32" s="43">
        <v>0</v>
      </c>
      <c r="S32" s="43">
        <v>0</v>
      </c>
      <c r="T32" s="43">
        <v>0</v>
      </c>
      <c r="U32" s="56"/>
    </row>
    <row r="33" spans="1:21" ht="17.25" customHeight="1" x14ac:dyDescent="0.3">
      <c r="A33" s="15" t="s">
        <v>30</v>
      </c>
      <c r="C33" s="19"/>
      <c r="D33" s="33"/>
      <c r="E33" s="33"/>
      <c r="F33" s="34"/>
      <c r="G33" s="34"/>
      <c r="H33" s="34"/>
      <c r="I33" s="34"/>
      <c r="J33" s="34"/>
      <c r="K33" s="34"/>
      <c r="L33" s="34"/>
      <c r="M33" s="34"/>
      <c r="N33" s="34"/>
      <c r="O33" s="44"/>
      <c r="P33" s="44"/>
      <c r="Q33" s="44"/>
      <c r="R33" s="44"/>
      <c r="S33" s="44"/>
      <c r="T33" s="44"/>
      <c r="U33" s="57"/>
    </row>
    <row r="34" spans="1:21" ht="17.25" customHeight="1" x14ac:dyDescent="0.3">
      <c r="A34" s="15" t="s">
        <v>30</v>
      </c>
      <c r="C34" s="19"/>
      <c r="D34" s="33"/>
      <c r="E34" s="33" t="s">
        <v>31</v>
      </c>
      <c r="F34" s="34" t="s">
        <v>31</v>
      </c>
      <c r="G34" s="34" t="s">
        <v>31</v>
      </c>
      <c r="H34" s="34"/>
      <c r="I34" s="34"/>
      <c r="J34" s="34" t="s">
        <v>31</v>
      </c>
      <c r="K34" s="34" t="s">
        <v>31</v>
      </c>
      <c r="L34" s="34" t="s">
        <v>31</v>
      </c>
      <c r="M34" s="34" t="s">
        <v>31</v>
      </c>
      <c r="N34" s="34"/>
      <c r="U34" s="58"/>
    </row>
    <row r="35" spans="1:21" ht="20.25" customHeight="1" x14ac:dyDescent="0.35">
      <c r="A35" s="15" t="s">
        <v>30</v>
      </c>
      <c r="C35" s="19"/>
      <c r="D35" s="35" t="str">
        <f t="shared" ref="D35" si="12">E35</f>
        <v>C100006</v>
      </c>
      <c r="E35" s="36" t="str">
        <f>"C100006"</f>
        <v>C100006</v>
      </c>
      <c r="F35" s="37" t="str">
        <f>"Cherry Finished Crystal Award- Large"</f>
        <v>Cherry Finished Crystal Award- Large</v>
      </c>
      <c r="G35" s="37"/>
      <c r="H35" s="38" t="str">
        <f>"EA"</f>
        <v>EA</v>
      </c>
      <c r="I35" s="37"/>
      <c r="J35" s="37"/>
      <c r="K35" s="37"/>
      <c r="L35" s="37"/>
      <c r="M35" s="37"/>
      <c r="N35" s="37"/>
      <c r="O35" s="39">
        <f>(SUBTOTAL(9,O36:O37))</f>
        <v>200</v>
      </c>
      <c r="P35" s="39">
        <f>(SUBTOTAL(9,P36:P37))</f>
        <v>0</v>
      </c>
      <c r="Q35" s="39">
        <f>(SUBTOTAL(9,Q36:Q37))</f>
        <v>0</v>
      </c>
      <c r="R35" s="39">
        <f>(SUBTOTAL(9,R36:R37))</f>
        <v>0</v>
      </c>
      <c r="S35" s="39">
        <f>(SUBTOTAL(9,S36:S37))</f>
        <v>0</v>
      </c>
      <c r="T35" s="39">
        <f>(SUBTOTAL(9,T36:T37))</f>
        <v>0</v>
      </c>
      <c r="U35" s="55">
        <f t="shared" ref="U35" si="13">SUBTOTAL(9,O36:T37)</f>
        <v>200</v>
      </c>
    </row>
    <row r="36" spans="1:21" ht="17.25" customHeight="1" x14ac:dyDescent="0.3">
      <c r="A36" s="15" t="s">
        <v>30</v>
      </c>
      <c r="C36" s="19"/>
      <c r="D36" s="33" t="str">
        <f t="shared" ref="D36" si="14">D35</f>
        <v>C100006</v>
      </c>
      <c r="E36" s="33"/>
      <c r="F36" s="34"/>
      <c r="G36" s="34" t="str">
        <f>"""NAV Direct"",""CRONUS JetCorp USA"",""32"",""1"",""166331"""</f>
        <v>"NAV Direct","CRONUS JetCorp USA","32","1","166331"</v>
      </c>
      <c r="H36" s="40">
        <v>43466</v>
      </c>
      <c r="I36" s="41">
        <v>166331</v>
      </c>
      <c r="J36" s="42" t="str">
        <f>"Vendor"</f>
        <v>Vendor</v>
      </c>
      <c r="K36" s="42" t="str">
        <f>"V100009"</f>
        <v>V100009</v>
      </c>
      <c r="L36" s="42" t="str">
        <f>IF($J36="Customer",_xll.NL("first",$J36,"Name","No.","@@"&amp;$K36),"")</f>
        <v/>
      </c>
      <c r="M36" s="42" t="str">
        <f>"Malay-Dan Export Unit Sdn Bhd"</f>
        <v>Malay-Dan Export Unit Sdn Bhd</v>
      </c>
      <c r="N36" s="42" t="str">
        <f>IF($J36="Item",_xll.NL("first",$J36,"Description","No.","@@"&amp;$K36),"")</f>
        <v/>
      </c>
      <c r="O36" s="43">
        <v>200</v>
      </c>
      <c r="P36" s="43">
        <v>0</v>
      </c>
      <c r="Q36" s="43">
        <v>0</v>
      </c>
      <c r="R36" s="43">
        <v>0</v>
      </c>
      <c r="S36" s="43">
        <v>0</v>
      </c>
      <c r="T36" s="43">
        <v>0</v>
      </c>
      <c r="U36" s="56"/>
    </row>
    <row r="37" spans="1:21" ht="17.25" customHeight="1" x14ac:dyDescent="0.3">
      <c r="A37" s="15" t="s">
        <v>30</v>
      </c>
      <c r="C37" s="19"/>
      <c r="D37" s="33"/>
      <c r="E37" s="33"/>
      <c r="F37" s="34"/>
      <c r="G37" s="34"/>
      <c r="H37" s="34"/>
      <c r="I37" s="34"/>
      <c r="J37" s="34"/>
      <c r="K37" s="34"/>
      <c r="L37" s="34"/>
      <c r="M37" s="34"/>
      <c r="N37" s="34"/>
      <c r="O37" s="44"/>
      <c r="P37" s="44"/>
      <c r="Q37" s="44"/>
      <c r="R37" s="44"/>
      <c r="S37" s="44"/>
      <c r="T37" s="44"/>
      <c r="U37" s="57"/>
    </row>
    <row r="38" spans="1:21" ht="17.25" customHeight="1" x14ac:dyDescent="0.3">
      <c r="A38" s="15" t="s">
        <v>30</v>
      </c>
      <c r="C38" s="19"/>
      <c r="D38" s="33"/>
      <c r="E38" s="33" t="s">
        <v>31</v>
      </c>
      <c r="F38" s="34" t="s">
        <v>31</v>
      </c>
      <c r="G38" s="34" t="s">
        <v>31</v>
      </c>
      <c r="H38" s="34"/>
      <c r="I38" s="34"/>
      <c r="J38" s="34" t="s">
        <v>31</v>
      </c>
      <c r="K38" s="34" t="s">
        <v>31</v>
      </c>
      <c r="L38" s="34" t="s">
        <v>31</v>
      </c>
      <c r="M38" s="34" t="s">
        <v>31</v>
      </c>
      <c r="N38" s="34"/>
      <c r="U38" s="58"/>
    </row>
    <row r="39" spans="1:21" ht="20.25" customHeight="1" x14ac:dyDescent="0.35">
      <c r="A39" s="15" t="s">
        <v>30</v>
      </c>
      <c r="C39" s="19"/>
      <c r="D39" s="35" t="str">
        <f t="shared" ref="D39" si="15">E39</f>
        <v>C100007</v>
      </c>
      <c r="E39" s="36" t="str">
        <f>"C100007"</f>
        <v>C100007</v>
      </c>
      <c r="F39" s="37" t="str">
        <f>"7.5'' Bud Vase"</f>
        <v>7.5'' Bud Vase</v>
      </c>
      <c r="G39" s="37"/>
      <c r="H39" s="38" t="str">
        <f>"EA"</f>
        <v>EA</v>
      </c>
      <c r="I39" s="37"/>
      <c r="J39" s="37"/>
      <c r="K39" s="37"/>
      <c r="L39" s="37"/>
      <c r="M39" s="37"/>
      <c r="N39" s="37"/>
      <c r="O39" s="39">
        <f>(SUBTOTAL(9,O40:O41))</f>
        <v>300</v>
      </c>
      <c r="P39" s="39">
        <f>(SUBTOTAL(9,P40:P41))</f>
        <v>0</v>
      </c>
      <c r="Q39" s="39">
        <f>(SUBTOTAL(9,Q40:Q41))</f>
        <v>0</v>
      </c>
      <c r="R39" s="39">
        <f>(SUBTOTAL(9,R40:R41))</f>
        <v>0</v>
      </c>
      <c r="S39" s="39">
        <f>(SUBTOTAL(9,S40:S41))</f>
        <v>0</v>
      </c>
      <c r="T39" s="39">
        <f>(SUBTOTAL(9,T40:T41))</f>
        <v>0</v>
      </c>
      <c r="U39" s="55">
        <f t="shared" ref="U39" si="16">SUBTOTAL(9,O40:T41)</f>
        <v>300</v>
      </c>
    </row>
    <row r="40" spans="1:21" ht="17.25" customHeight="1" x14ac:dyDescent="0.3">
      <c r="A40" s="15" t="s">
        <v>30</v>
      </c>
      <c r="C40" s="19"/>
      <c r="D40" s="33" t="str">
        <f t="shared" ref="D40" si="17">D39</f>
        <v>C100007</v>
      </c>
      <c r="E40" s="33"/>
      <c r="F40" s="34"/>
      <c r="G40" s="34" t="str">
        <f>"""NAV Direct"",""CRONUS JetCorp USA"",""32"",""1"",""166330"""</f>
        <v>"NAV Direct","CRONUS JetCorp USA","32","1","166330"</v>
      </c>
      <c r="H40" s="40">
        <v>43466</v>
      </c>
      <c r="I40" s="41">
        <v>166330</v>
      </c>
      <c r="J40" s="42" t="str">
        <f>"Vendor"</f>
        <v>Vendor</v>
      </c>
      <c r="K40" s="42" t="str">
        <f>"V100009"</f>
        <v>V100009</v>
      </c>
      <c r="L40" s="42" t="str">
        <f>IF($J40="Customer",_xll.NL("first",$J40,"Name","No.","@@"&amp;$K40),"")</f>
        <v/>
      </c>
      <c r="M40" s="42" t="str">
        <f>"Malay-Dan Export Unit Sdn Bhd"</f>
        <v>Malay-Dan Export Unit Sdn Bhd</v>
      </c>
      <c r="N40" s="42" t="str">
        <f>IF($J40="Item",_xll.NL("first",$J40,"Description","No.","@@"&amp;$K40),"")</f>
        <v/>
      </c>
      <c r="O40" s="43">
        <v>300</v>
      </c>
      <c r="P40" s="43">
        <v>0</v>
      </c>
      <c r="Q40" s="43">
        <v>0</v>
      </c>
      <c r="R40" s="43">
        <v>0</v>
      </c>
      <c r="S40" s="43">
        <v>0</v>
      </c>
      <c r="T40" s="43">
        <v>0</v>
      </c>
      <c r="U40" s="56"/>
    </row>
    <row r="41" spans="1:21" ht="17.25" customHeight="1" x14ac:dyDescent="0.3">
      <c r="A41" s="15" t="s">
        <v>30</v>
      </c>
      <c r="C41" s="19"/>
      <c r="D41" s="33"/>
      <c r="E41" s="33"/>
      <c r="F41" s="34"/>
      <c r="G41" s="34"/>
      <c r="H41" s="34"/>
      <c r="I41" s="34"/>
      <c r="J41" s="34"/>
      <c r="K41" s="34"/>
      <c r="L41" s="34"/>
      <c r="M41" s="34"/>
      <c r="N41" s="34"/>
      <c r="O41" s="44"/>
      <c r="P41" s="44"/>
      <c r="Q41" s="44"/>
      <c r="R41" s="44"/>
      <c r="S41" s="44"/>
      <c r="T41" s="44"/>
      <c r="U41" s="57"/>
    </row>
    <row r="42" spans="1:21" ht="17.25" customHeight="1" x14ac:dyDescent="0.3">
      <c r="A42" s="15" t="s">
        <v>30</v>
      </c>
      <c r="C42" s="19"/>
      <c r="D42" s="33"/>
      <c r="E42" s="33" t="s">
        <v>31</v>
      </c>
      <c r="F42" s="34" t="s">
        <v>31</v>
      </c>
      <c r="G42" s="34" t="s">
        <v>31</v>
      </c>
      <c r="H42" s="34"/>
      <c r="I42" s="34"/>
      <c r="J42" s="34" t="s">
        <v>31</v>
      </c>
      <c r="K42" s="34" t="s">
        <v>31</v>
      </c>
      <c r="L42" s="34" t="s">
        <v>31</v>
      </c>
      <c r="M42" s="34" t="s">
        <v>31</v>
      </c>
      <c r="N42" s="34"/>
      <c r="U42" s="58"/>
    </row>
    <row r="43" spans="1:21" ht="20.25" customHeight="1" x14ac:dyDescent="0.35">
      <c r="A43" s="15" t="s">
        <v>30</v>
      </c>
      <c r="C43" s="19"/>
      <c r="D43" s="35" t="str">
        <f t="shared" ref="D43" si="18">E43</f>
        <v>C100010</v>
      </c>
      <c r="E43" s="36" t="str">
        <f>"C100010"</f>
        <v>C100010</v>
      </c>
      <c r="F43" s="37" t="str">
        <f>"Wisper-Cut Vase"</f>
        <v>Wisper-Cut Vase</v>
      </c>
      <c r="G43" s="37"/>
      <c r="H43" s="38" t="str">
        <f>"EA"</f>
        <v>EA</v>
      </c>
      <c r="I43" s="37"/>
      <c r="J43" s="37"/>
      <c r="K43" s="37"/>
      <c r="L43" s="37"/>
      <c r="M43" s="37"/>
      <c r="N43" s="37"/>
      <c r="O43" s="39">
        <f>(SUBTOTAL(9,O44:O45))</f>
        <v>100</v>
      </c>
      <c r="P43" s="39">
        <f>(SUBTOTAL(9,P44:P45))</f>
        <v>0</v>
      </c>
      <c r="Q43" s="39">
        <f>(SUBTOTAL(9,Q44:Q45))</f>
        <v>0</v>
      </c>
      <c r="R43" s="39">
        <f>(SUBTOTAL(9,R44:R45))</f>
        <v>0</v>
      </c>
      <c r="S43" s="39">
        <f>(SUBTOTAL(9,S44:S45))</f>
        <v>0</v>
      </c>
      <c r="T43" s="39">
        <f>(SUBTOTAL(9,T44:T45))</f>
        <v>0</v>
      </c>
      <c r="U43" s="55">
        <f t="shared" ref="U43" si="19">SUBTOTAL(9,O44:T45)</f>
        <v>100</v>
      </c>
    </row>
    <row r="44" spans="1:21" ht="17.25" customHeight="1" x14ac:dyDescent="0.3">
      <c r="A44" s="15" t="s">
        <v>30</v>
      </c>
      <c r="C44" s="19"/>
      <c r="D44" s="33" t="str">
        <f t="shared" ref="D44" si="20">D43</f>
        <v>C100010</v>
      </c>
      <c r="E44" s="33"/>
      <c r="F44" s="34"/>
      <c r="G44" s="34" t="str">
        <f>"""NAV Direct"",""CRONUS JetCorp USA"",""32"",""1"",""166329"""</f>
        <v>"NAV Direct","CRONUS JetCorp USA","32","1","166329"</v>
      </c>
      <c r="H44" s="40">
        <v>43466</v>
      </c>
      <c r="I44" s="41">
        <v>166329</v>
      </c>
      <c r="J44" s="42" t="str">
        <f>"Vendor"</f>
        <v>Vendor</v>
      </c>
      <c r="K44" s="42" t="str">
        <f>"V100009"</f>
        <v>V100009</v>
      </c>
      <c r="L44" s="42" t="str">
        <f>IF($J44="Customer",_xll.NL("first",$J44,"Name","No.","@@"&amp;$K44),"")</f>
        <v/>
      </c>
      <c r="M44" s="42" t="str">
        <f>"Malay-Dan Export Unit Sdn Bhd"</f>
        <v>Malay-Dan Export Unit Sdn Bhd</v>
      </c>
      <c r="N44" s="42" t="str">
        <f>IF($J44="Item",_xll.NL("first",$J44,"Description","No.","@@"&amp;$K44),"")</f>
        <v/>
      </c>
      <c r="O44" s="43">
        <v>100</v>
      </c>
      <c r="P44" s="43">
        <v>0</v>
      </c>
      <c r="Q44" s="43">
        <v>0</v>
      </c>
      <c r="R44" s="43">
        <v>0</v>
      </c>
      <c r="S44" s="43">
        <v>0</v>
      </c>
      <c r="T44" s="43">
        <v>0</v>
      </c>
      <c r="U44" s="56"/>
    </row>
    <row r="45" spans="1:21" ht="17.25" customHeight="1" x14ac:dyDescent="0.3">
      <c r="A45" s="15" t="s">
        <v>30</v>
      </c>
      <c r="C45" s="19"/>
      <c r="D45" s="33"/>
      <c r="E45" s="33"/>
      <c r="F45" s="34"/>
      <c r="G45" s="34"/>
      <c r="H45" s="34"/>
      <c r="I45" s="34"/>
      <c r="J45" s="34"/>
      <c r="K45" s="34"/>
      <c r="L45" s="34"/>
      <c r="M45" s="34"/>
      <c r="N45" s="34"/>
      <c r="O45" s="44"/>
      <c r="P45" s="44"/>
      <c r="Q45" s="44"/>
      <c r="R45" s="44"/>
      <c r="S45" s="44"/>
      <c r="T45" s="44"/>
      <c r="U45" s="57"/>
    </row>
    <row r="46" spans="1:21" ht="17.25" customHeight="1" x14ac:dyDescent="0.3">
      <c r="A46" s="15" t="s">
        <v>30</v>
      </c>
      <c r="C46" s="19"/>
      <c r="D46" s="33"/>
      <c r="E46" s="33" t="s">
        <v>31</v>
      </c>
      <c r="F46" s="34" t="s">
        <v>31</v>
      </c>
      <c r="G46" s="34" t="s">
        <v>31</v>
      </c>
      <c r="H46" s="34"/>
      <c r="I46" s="34"/>
      <c r="J46" s="34" t="s">
        <v>31</v>
      </c>
      <c r="K46" s="34" t="s">
        <v>31</v>
      </c>
      <c r="L46" s="34" t="s">
        <v>31</v>
      </c>
      <c r="M46" s="34" t="s">
        <v>31</v>
      </c>
      <c r="N46" s="34"/>
      <c r="U46" s="58"/>
    </row>
    <row r="47" spans="1:21" ht="20.25" customHeight="1" x14ac:dyDescent="0.35">
      <c r="A47" s="15" t="s">
        <v>30</v>
      </c>
      <c r="C47" s="19"/>
      <c r="D47" s="35" t="str">
        <f t="shared" ref="D47" si="21">E47</f>
        <v>C100011</v>
      </c>
      <c r="E47" s="36" t="str">
        <f>"C100011"</f>
        <v>C100011</v>
      </c>
      <c r="F47" s="37" t="str">
        <f>"Winter Frost Vase"</f>
        <v>Winter Frost Vase</v>
      </c>
      <c r="G47" s="37"/>
      <c r="H47" s="38" t="str">
        <f>"EA"</f>
        <v>EA</v>
      </c>
      <c r="I47" s="37"/>
      <c r="J47" s="37"/>
      <c r="K47" s="37"/>
      <c r="L47" s="37"/>
      <c r="M47" s="37"/>
      <c r="N47" s="37"/>
      <c r="O47" s="39">
        <f>(SUBTOTAL(9,O48:O49))</f>
        <v>300</v>
      </c>
      <c r="P47" s="39">
        <f>(SUBTOTAL(9,P48:P49))</f>
        <v>0</v>
      </c>
      <c r="Q47" s="39">
        <f>(SUBTOTAL(9,Q48:Q49))</f>
        <v>0</v>
      </c>
      <c r="R47" s="39">
        <f>(SUBTOTAL(9,R48:R49))</f>
        <v>0</v>
      </c>
      <c r="S47" s="39">
        <f>(SUBTOTAL(9,S48:S49))</f>
        <v>0</v>
      </c>
      <c r="T47" s="39">
        <f>(SUBTOTAL(9,T48:T49))</f>
        <v>0</v>
      </c>
      <c r="U47" s="55">
        <f t="shared" ref="U47" si="22">SUBTOTAL(9,O48:T49)</f>
        <v>300</v>
      </c>
    </row>
    <row r="48" spans="1:21" ht="17.25" customHeight="1" x14ac:dyDescent="0.3">
      <c r="A48" s="15" t="s">
        <v>30</v>
      </c>
      <c r="C48" s="19"/>
      <c r="D48" s="33" t="str">
        <f t="shared" ref="D48" si="23">D47</f>
        <v>C100011</v>
      </c>
      <c r="E48" s="33"/>
      <c r="F48" s="34"/>
      <c r="G48" s="34" t="str">
        <f>"""NAV Direct"",""CRONUS JetCorp USA"",""32"",""1"",""166328"""</f>
        <v>"NAV Direct","CRONUS JetCorp USA","32","1","166328"</v>
      </c>
      <c r="H48" s="40">
        <v>43466</v>
      </c>
      <c r="I48" s="41">
        <v>166328</v>
      </c>
      <c r="J48" s="42" t="str">
        <f>"Vendor"</f>
        <v>Vendor</v>
      </c>
      <c r="K48" s="42" t="str">
        <f>"V100009"</f>
        <v>V100009</v>
      </c>
      <c r="L48" s="42" t="str">
        <f>IF($J48="Customer",_xll.NL("first",$J48,"Name","No.","@@"&amp;$K48),"")</f>
        <v/>
      </c>
      <c r="M48" s="42" t="str">
        <f>"Malay-Dan Export Unit Sdn Bhd"</f>
        <v>Malay-Dan Export Unit Sdn Bhd</v>
      </c>
      <c r="N48" s="42" t="str">
        <f>IF($J48="Item",_xll.NL("first",$J48,"Description","No.","@@"&amp;$K48),"")</f>
        <v/>
      </c>
      <c r="O48" s="43">
        <v>300</v>
      </c>
      <c r="P48" s="43">
        <v>0</v>
      </c>
      <c r="Q48" s="43">
        <v>0</v>
      </c>
      <c r="R48" s="43">
        <v>0</v>
      </c>
      <c r="S48" s="43">
        <v>0</v>
      </c>
      <c r="T48" s="43">
        <v>0</v>
      </c>
      <c r="U48" s="56"/>
    </row>
    <row r="49" spans="1:21" ht="17.25" customHeight="1" x14ac:dyDescent="0.3">
      <c r="A49" s="15" t="s">
        <v>30</v>
      </c>
      <c r="C49" s="19"/>
      <c r="D49" s="33"/>
      <c r="E49" s="33"/>
      <c r="F49" s="34"/>
      <c r="G49" s="34"/>
      <c r="H49" s="34"/>
      <c r="I49" s="34"/>
      <c r="J49" s="34"/>
      <c r="K49" s="34"/>
      <c r="L49" s="34"/>
      <c r="M49" s="34"/>
      <c r="N49" s="34"/>
      <c r="O49" s="44"/>
      <c r="P49" s="44"/>
      <c r="Q49" s="44"/>
      <c r="R49" s="44"/>
      <c r="S49" s="44"/>
      <c r="T49" s="44"/>
      <c r="U49" s="57"/>
    </row>
    <row r="50" spans="1:21" ht="17.25" customHeight="1" x14ac:dyDescent="0.3">
      <c r="A50" s="15" t="s">
        <v>30</v>
      </c>
      <c r="C50" s="19"/>
      <c r="D50" s="33"/>
      <c r="E50" s="33" t="s">
        <v>31</v>
      </c>
      <c r="F50" s="34" t="s">
        <v>31</v>
      </c>
      <c r="G50" s="34" t="s">
        <v>31</v>
      </c>
      <c r="H50" s="34"/>
      <c r="I50" s="34"/>
      <c r="J50" s="34" t="s">
        <v>31</v>
      </c>
      <c r="K50" s="34" t="s">
        <v>31</v>
      </c>
      <c r="L50" s="34" t="s">
        <v>31</v>
      </c>
      <c r="M50" s="34" t="s">
        <v>31</v>
      </c>
      <c r="N50" s="34"/>
      <c r="U50" s="58"/>
    </row>
    <row r="51" spans="1:21" ht="20.25" customHeight="1" x14ac:dyDescent="0.35">
      <c r="A51" s="15" t="s">
        <v>30</v>
      </c>
      <c r="C51" s="19"/>
      <c r="D51" s="35" t="str">
        <f t="shared" ref="D51" si="24">E51</f>
        <v>C100017</v>
      </c>
      <c r="E51" s="36" t="str">
        <f>"C100017"</f>
        <v>C100017</v>
      </c>
      <c r="F51" s="37" t="str">
        <f>"Wheeled Duffel"</f>
        <v>Wheeled Duffel</v>
      </c>
      <c r="G51" s="37"/>
      <c r="H51" s="38" t="str">
        <f>"EA"</f>
        <v>EA</v>
      </c>
      <c r="I51" s="37"/>
      <c r="J51" s="37"/>
      <c r="K51" s="37"/>
      <c r="L51" s="37"/>
      <c r="M51" s="37"/>
      <c r="N51" s="37"/>
      <c r="O51" s="39">
        <f>(SUBTOTAL(9,O52:O54))</f>
        <v>200</v>
      </c>
      <c r="P51" s="39">
        <f>(SUBTOTAL(9,P52:P54))</f>
        <v>-24</v>
      </c>
      <c r="Q51" s="39">
        <f>(SUBTOTAL(9,Q52:Q54))</f>
        <v>0</v>
      </c>
      <c r="R51" s="39">
        <f>(SUBTOTAL(9,R52:R54))</f>
        <v>0</v>
      </c>
      <c r="S51" s="39">
        <f>(SUBTOTAL(9,S52:S54))</f>
        <v>0</v>
      </c>
      <c r="T51" s="39">
        <f>(SUBTOTAL(9,T52:T54))</f>
        <v>0</v>
      </c>
      <c r="U51" s="55">
        <f t="shared" ref="U51" si="25">SUBTOTAL(9,O52:T54)</f>
        <v>176</v>
      </c>
    </row>
    <row r="52" spans="1:21" ht="17.25" customHeight="1" x14ac:dyDescent="0.3">
      <c r="A52" s="15" t="s">
        <v>30</v>
      </c>
      <c r="C52" s="19"/>
      <c r="D52" s="33" t="str">
        <f t="shared" ref="D52" si="26">D51</f>
        <v>C100017</v>
      </c>
      <c r="E52" s="33"/>
      <c r="F52" s="34"/>
      <c r="G52" s="34" t="str">
        <f>"""NAV Direct"",""CRONUS JetCorp USA"",""32"",""1"",""166734"""</f>
        <v>"NAV Direct","CRONUS JetCorp USA","32","1","166734"</v>
      </c>
      <c r="H52" s="40">
        <v>43466</v>
      </c>
      <c r="I52" s="41">
        <v>166734</v>
      </c>
      <c r="J52" s="42" t="str">
        <f>"Vendor"</f>
        <v>Vendor</v>
      </c>
      <c r="K52" s="42" t="str">
        <f>"V100009"</f>
        <v>V100009</v>
      </c>
      <c r="L52" s="42" t="str">
        <f>IF($J52="Customer",_xll.NL("first",$J52,"Name","No.","@@"&amp;$K52),"")</f>
        <v/>
      </c>
      <c r="M52" s="42" t="str">
        <f>"Malay-Dan Export Unit Sdn Bhd"</f>
        <v>Malay-Dan Export Unit Sdn Bhd</v>
      </c>
      <c r="N52" s="42" t="str">
        <f>IF($J52="Item",_xll.NL("first",$J52,"Description","No.","@@"&amp;$K52),"")</f>
        <v/>
      </c>
      <c r="O52" s="43">
        <v>200</v>
      </c>
      <c r="P52" s="43">
        <v>0</v>
      </c>
      <c r="Q52" s="43">
        <v>0</v>
      </c>
      <c r="R52" s="43">
        <v>0</v>
      </c>
      <c r="S52" s="43">
        <v>0</v>
      </c>
      <c r="T52" s="43">
        <v>0</v>
      </c>
      <c r="U52" s="56"/>
    </row>
    <row r="53" spans="1:21" ht="17.25" customHeight="1" x14ac:dyDescent="0.3">
      <c r="A53" s="15" t="s">
        <v>30</v>
      </c>
      <c r="C53" s="19"/>
      <c r="D53" s="33" t="str">
        <f t="shared" ref="D53" si="27">D52</f>
        <v>C100017</v>
      </c>
      <c r="E53" s="33"/>
      <c r="F53" s="34"/>
      <c r="G53" s="34" t="str">
        <f>"""NAV Direct"",""CRONUS JetCorp USA"",""32"",""1"",""135815"""</f>
        <v>"NAV Direct","CRONUS JetCorp USA","32","1","135815"</v>
      </c>
      <c r="H53" s="40">
        <v>43474</v>
      </c>
      <c r="I53" s="41">
        <v>135815</v>
      </c>
      <c r="J53" s="42" t="str">
        <f>"Customer"</f>
        <v>Customer</v>
      </c>
      <c r="K53" s="42" t="str">
        <f>"C100050"</f>
        <v>C100050</v>
      </c>
      <c r="L53" s="42" t="str">
        <f>IF($J53="Customer",_xll.NL("first",$J53,"Name","No.","@@"&amp;$K53),"")</f>
        <v>Lauritzen Kontorm¢bler A/S</v>
      </c>
      <c r="M53" s="42" t="str">
        <f>""</f>
        <v/>
      </c>
      <c r="N53" s="42" t="str">
        <f>IF($J53="Item",_xll.NL("first",$J53,"Description","No.","@@"&amp;$K53),"")</f>
        <v/>
      </c>
      <c r="O53" s="43">
        <v>0</v>
      </c>
      <c r="P53" s="43">
        <v>-24</v>
      </c>
      <c r="Q53" s="43">
        <v>0</v>
      </c>
      <c r="R53" s="43">
        <v>0</v>
      </c>
      <c r="S53" s="43">
        <v>0</v>
      </c>
      <c r="T53" s="43">
        <v>0</v>
      </c>
      <c r="U53" s="56"/>
    </row>
    <row r="54" spans="1:21" ht="17.25" customHeight="1" x14ac:dyDescent="0.3">
      <c r="A54" s="15" t="s">
        <v>30</v>
      </c>
      <c r="C54" s="19"/>
      <c r="D54" s="33"/>
      <c r="E54" s="33"/>
      <c r="F54" s="34"/>
      <c r="G54" s="34"/>
      <c r="H54" s="34"/>
      <c r="I54" s="34"/>
      <c r="J54" s="34"/>
      <c r="K54" s="34"/>
      <c r="L54" s="34"/>
      <c r="M54" s="34"/>
      <c r="N54" s="34"/>
      <c r="O54" s="44"/>
      <c r="P54" s="44"/>
      <c r="Q54" s="44"/>
      <c r="R54" s="44"/>
      <c r="S54" s="44"/>
      <c r="T54" s="44"/>
      <c r="U54" s="57"/>
    </row>
    <row r="55" spans="1:21" ht="17.25" customHeight="1" x14ac:dyDescent="0.3">
      <c r="A55" s="15" t="s">
        <v>30</v>
      </c>
      <c r="C55" s="19"/>
      <c r="D55" s="33"/>
      <c r="E55" s="33" t="s">
        <v>31</v>
      </c>
      <c r="F55" s="34" t="s">
        <v>31</v>
      </c>
      <c r="G55" s="34" t="s">
        <v>31</v>
      </c>
      <c r="H55" s="34"/>
      <c r="I55" s="34"/>
      <c r="J55" s="34" t="s">
        <v>31</v>
      </c>
      <c r="K55" s="34" t="s">
        <v>31</v>
      </c>
      <c r="L55" s="34" t="s">
        <v>31</v>
      </c>
      <c r="M55" s="34" t="s">
        <v>31</v>
      </c>
      <c r="N55" s="34"/>
      <c r="U55" s="58"/>
    </row>
    <row r="56" spans="1:21" ht="20.25" customHeight="1" x14ac:dyDescent="0.35">
      <c r="A56" s="15" t="s">
        <v>30</v>
      </c>
      <c r="C56" s="19"/>
      <c r="D56" s="35" t="str">
        <f t="shared" ref="D56" si="28">E56</f>
        <v>C100022</v>
      </c>
      <c r="E56" s="36" t="str">
        <f>"C100022"</f>
        <v>C100022</v>
      </c>
      <c r="F56" s="37" t="str">
        <f>"Two-Toned Cap"</f>
        <v>Two-Toned Cap</v>
      </c>
      <c r="G56" s="37"/>
      <c r="H56" s="38" t="str">
        <f>"EA"</f>
        <v>EA</v>
      </c>
      <c r="I56" s="37"/>
      <c r="J56" s="37"/>
      <c r="K56" s="37"/>
      <c r="L56" s="37"/>
      <c r="M56" s="37"/>
      <c r="N56" s="37"/>
      <c r="O56" s="39">
        <f>(SUBTOTAL(9,O57:O60))</f>
        <v>400</v>
      </c>
      <c r="P56" s="39">
        <f>(SUBTOTAL(9,P57:P60))</f>
        <v>-288</v>
      </c>
      <c r="Q56" s="39">
        <f>(SUBTOTAL(9,Q57:Q60))</f>
        <v>0</v>
      </c>
      <c r="R56" s="39">
        <f>(SUBTOTAL(9,R57:R60))</f>
        <v>0</v>
      </c>
      <c r="S56" s="39">
        <f>(SUBTOTAL(9,S57:S60))</f>
        <v>0</v>
      </c>
      <c r="T56" s="39">
        <f>(SUBTOTAL(9,T57:T60))</f>
        <v>0</v>
      </c>
      <c r="U56" s="55">
        <f t="shared" ref="U56" si="29">SUBTOTAL(9,O57:T60)</f>
        <v>112</v>
      </c>
    </row>
    <row r="57" spans="1:21" ht="17.25" customHeight="1" x14ac:dyDescent="0.3">
      <c r="A57" s="15" t="s">
        <v>30</v>
      </c>
      <c r="C57" s="19"/>
      <c r="D57" s="33" t="str">
        <f t="shared" ref="D57" si="30">D56</f>
        <v>C100022</v>
      </c>
      <c r="E57" s="33"/>
      <c r="F57" s="34"/>
      <c r="G57" s="34" t="str">
        <f>"""NAV Direct"",""CRONUS JetCorp USA"",""32"",""1"",""167088"""</f>
        <v>"NAV Direct","CRONUS JetCorp USA","32","1","167088"</v>
      </c>
      <c r="H57" s="40">
        <v>43466</v>
      </c>
      <c r="I57" s="41">
        <v>167088</v>
      </c>
      <c r="J57" s="42" t="str">
        <f>"Vendor"</f>
        <v>Vendor</v>
      </c>
      <c r="K57" s="42" t="str">
        <f>"V100009"</f>
        <v>V100009</v>
      </c>
      <c r="L57" s="42" t="str">
        <f>IF($J57="Customer",_xll.NL("first",$J57,"Name","No.","@@"&amp;$K57),"")</f>
        <v/>
      </c>
      <c r="M57" s="42" t="str">
        <f>"Malay-Dan Export Unit Sdn Bhd"</f>
        <v>Malay-Dan Export Unit Sdn Bhd</v>
      </c>
      <c r="N57" s="42" t="str">
        <f>IF($J57="Item",_xll.NL("first",$J57,"Description","No.","@@"&amp;$K57),"")</f>
        <v/>
      </c>
      <c r="O57" s="43">
        <v>400</v>
      </c>
      <c r="P57" s="43">
        <v>0</v>
      </c>
      <c r="Q57" s="43">
        <v>0</v>
      </c>
      <c r="R57" s="43">
        <v>0</v>
      </c>
      <c r="S57" s="43">
        <v>0</v>
      </c>
      <c r="T57" s="43">
        <v>0</v>
      </c>
      <c r="U57" s="56"/>
    </row>
    <row r="58" spans="1:21" ht="17.25" customHeight="1" x14ac:dyDescent="0.3">
      <c r="A58" s="15" t="s">
        <v>30</v>
      </c>
      <c r="C58" s="19"/>
      <c r="D58" s="33" t="str">
        <f t="shared" ref="D58:D59" si="31">D57</f>
        <v>C100022</v>
      </c>
      <c r="E58" s="33"/>
      <c r="F58" s="34"/>
      <c r="G58" s="34" t="str">
        <f>"""NAV Direct"",""CRONUS JetCorp USA"",""32"",""1"",""132510"""</f>
        <v>"NAV Direct","CRONUS JetCorp USA","32","1","132510"</v>
      </c>
      <c r="H58" s="40">
        <v>43470</v>
      </c>
      <c r="I58" s="41">
        <v>132510</v>
      </c>
      <c r="J58" s="42" t="str">
        <f>"Customer"</f>
        <v>Customer</v>
      </c>
      <c r="K58" s="42" t="str">
        <f>"C100029"</f>
        <v>C100029</v>
      </c>
      <c r="L58" s="42" t="str">
        <f>IF($J58="Customer",_xll.NL("first",$J58,"Name","No.","@@"&amp;$K58),"")</f>
        <v>Elkhorn Airport</v>
      </c>
      <c r="M58" s="42" t="str">
        <f>""</f>
        <v/>
      </c>
      <c r="N58" s="42" t="str">
        <f>IF($J58="Item",_xll.NL("first",$J58,"Description","No.","@@"&amp;$K58),"")</f>
        <v/>
      </c>
      <c r="O58" s="43">
        <v>0</v>
      </c>
      <c r="P58" s="43">
        <v>-144</v>
      </c>
      <c r="Q58" s="43">
        <v>0</v>
      </c>
      <c r="R58" s="43">
        <v>0</v>
      </c>
      <c r="S58" s="43">
        <v>0</v>
      </c>
      <c r="T58" s="43">
        <v>0</v>
      </c>
      <c r="U58" s="56"/>
    </row>
    <row r="59" spans="1:21" ht="17.25" customHeight="1" x14ac:dyDescent="0.3">
      <c r="A59" s="15" t="s">
        <v>30</v>
      </c>
      <c r="C59" s="19"/>
      <c r="D59" s="33" t="str">
        <f t="shared" si="31"/>
        <v>C100022</v>
      </c>
      <c r="E59" s="33"/>
      <c r="F59" s="34"/>
      <c r="G59" s="34" t="str">
        <f>"""NAV Direct"",""CRONUS JetCorp USA"",""32"",""1"",""138726"""</f>
        <v>"NAV Direct","CRONUS JetCorp USA","32","1","138726"</v>
      </c>
      <c r="H59" s="40">
        <v>43477</v>
      </c>
      <c r="I59" s="41">
        <v>138726</v>
      </c>
      <c r="J59" s="42" t="str">
        <f>"Customer"</f>
        <v>Customer</v>
      </c>
      <c r="K59" s="42" t="str">
        <f>"C100021"</f>
        <v>C100021</v>
      </c>
      <c r="L59" s="42" t="str">
        <f>IF($J59="Customer",_xll.NL("first",$J59,"Name","No.","@@"&amp;$K59),"")</f>
        <v>Cronus Cardoxy Sales</v>
      </c>
      <c r="M59" s="42" t="str">
        <f>""</f>
        <v/>
      </c>
      <c r="N59" s="42" t="str">
        <f>IF($J59="Item",_xll.NL("first",$J59,"Description","No.","@@"&amp;$K59),"")</f>
        <v/>
      </c>
      <c r="O59" s="43">
        <v>0</v>
      </c>
      <c r="P59" s="43">
        <v>-144</v>
      </c>
      <c r="Q59" s="43">
        <v>0</v>
      </c>
      <c r="R59" s="43">
        <v>0</v>
      </c>
      <c r="S59" s="43">
        <v>0</v>
      </c>
      <c r="T59" s="43">
        <v>0</v>
      </c>
      <c r="U59" s="56"/>
    </row>
    <row r="60" spans="1:21" ht="17.25" customHeight="1" x14ac:dyDescent="0.3">
      <c r="A60" s="15" t="s">
        <v>30</v>
      </c>
      <c r="C60" s="19"/>
      <c r="D60" s="33"/>
      <c r="E60" s="33"/>
      <c r="F60" s="34"/>
      <c r="G60" s="34"/>
      <c r="H60" s="34"/>
      <c r="I60" s="34"/>
      <c r="J60" s="34"/>
      <c r="K60" s="34"/>
      <c r="L60" s="34"/>
      <c r="M60" s="34"/>
      <c r="N60" s="34"/>
      <c r="O60" s="44"/>
      <c r="P60" s="44"/>
      <c r="Q60" s="44"/>
      <c r="R60" s="44"/>
      <c r="S60" s="44"/>
      <c r="T60" s="44"/>
      <c r="U60" s="57"/>
    </row>
    <row r="61" spans="1:21" ht="17.25" customHeight="1" x14ac:dyDescent="0.3">
      <c r="A61" s="15" t="s">
        <v>30</v>
      </c>
      <c r="C61" s="19"/>
      <c r="D61" s="33"/>
      <c r="E61" s="33" t="s">
        <v>31</v>
      </c>
      <c r="F61" s="34" t="s">
        <v>31</v>
      </c>
      <c r="G61" s="34" t="s">
        <v>31</v>
      </c>
      <c r="H61" s="34"/>
      <c r="I61" s="34"/>
      <c r="J61" s="34" t="s">
        <v>31</v>
      </c>
      <c r="K61" s="34" t="s">
        <v>31</v>
      </c>
      <c r="L61" s="34" t="s">
        <v>31</v>
      </c>
      <c r="M61" s="34" t="s">
        <v>31</v>
      </c>
      <c r="N61" s="34"/>
      <c r="U61" s="58"/>
    </row>
    <row r="62" spans="1:21" ht="20.25" customHeight="1" x14ac:dyDescent="0.35">
      <c r="A62" s="15" t="s">
        <v>30</v>
      </c>
      <c r="C62" s="19"/>
      <c r="D62" s="35" t="str">
        <f t="shared" ref="D62" si="32">E62</f>
        <v>C100023</v>
      </c>
      <c r="E62" s="36" t="str">
        <f>"C100023"</f>
        <v>C100023</v>
      </c>
      <c r="F62" s="37" t="str">
        <f>"Two-Toned Knit Hat"</f>
        <v>Two-Toned Knit Hat</v>
      </c>
      <c r="G62" s="37"/>
      <c r="H62" s="38" t="str">
        <f>"EA"</f>
        <v>EA</v>
      </c>
      <c r="I62" s="37"/>
      <c r="J62" s="37"/>
      <c r="K62" s="37"/>
      <c r="L62" s="37"/>
      <c r="M62" s="37"/>
      <c r="N62" s="37"/>
      <c r="O62" s="39">
        <f>(SUBTOTAL(9,O63:O66))</f>
        <v>400</v>
      </c>
      <c r="P62" s="39">
        <f>(SUBTOTAL(9,P63:P66))</f>
        <v>-312</v>
      </c>
      <c r="Q62" s="39">
        <f>(SUBTOTAL(9,Q63:Q66))</f>
        <v>0</v>
      </c>
      <c r="R62" s="39">
        <f>(SUBTOTAL(9,R63:R66))</f>
        <v>0</v>
      </c>
      <c r="S62" s="39">
        <f>(SUBTOTAL(9,S63:S66))</f>
        <v>0</v>
      </c>
      <c r="T62" s="39">
        <f>(SUBTOTAL(9,T63:T66))</f>
        <v>0</v>
      </c>
      <c r="U62" s="55">
        <f t="shared" ref="U62" si="33">SUBTOTAL(9,O63:T66)</f>
        <v>88</v>
      </c>
    </row>
    <row r="63" spans="1:21" ht="17.25" customHeight="1" x14ac:dyDescent="0.3">
      <c r="A63" s="15" t="s">
        <v>30</v>
      </c>
      <c r="C63" s="19"/>
      <c r="D63" s="33" t="str">
        <f t="shared" ref="D63" si="34">D62</f>
        <v>C100023</v>
      </c>
      <c r="E63" s="33"/>
      <c r="F63" s="34"/>
      <c r="G63" s="34" t="str">
        <f>"""NAV Direct"",""CRONUS JetCorp USA"",""32"",""1"",""167087"""</f>
        <v>"NAV Direct","CRONUS JetCorp USA","32","1","167087"</v>
      </c>
      <c r="H63" s="40">
        <v>43466</v>
      </c>
      <c r="I63" s="41">
        <v>167087</v>
      </c>
      <c r="J63" s="42" t="str">
        <f>"Vendor"</f>
        <v>Vendor</v>
      </c>
      <c r="K63" s="42" t="str">
        <f>"V100009"</f>
        <v>V100009</v>
      </c>
      <c r="L63" s="42" t="str">
        <f>IF($J63="Customer",_xll.NL("first",$J63,"Name","No.","@@"&amp;$K63),"")</f>
        <v/>
      </c>
      <c r="M63" s="42" t="str">
        <f>"Malay-Dan Export Unit Sdn Bhd"</f>
        <v>Malay-Dan Export Unit Sdn Bhd</v>
      </c>
      <c r="N63" s="42" t="str">
        <f>IF($J63="Item",_xll.NL("first",$J63,"Description","No.","@@"&amp;$K63),"")</f>
        <v/>
      </c>
      <c r="O63" s="43">
        <v>400</v>
      </c>
      <c r="P63" s="43">
        <v>0</v>
      </c>
      <c r="Q63" s="43">
        <v>0</v>
      </c>
      <c r="R63" s="43">
        <v>0</v>
      </c>
      <c r="S63" s="43">
        <v>0</v>
      </c>
      <c r="T63" s="43">
        <v>0</v>
      </c>
      <c r="U63" s="56"/>
    </row>
    <row r="64" spans="1:21" ht="17.25" customHeight="1" x14ac:dyDescent="0.3">
      <c r="A64" s="15" t="s">
        <v>30</v>
      </c>
      <c r="C64" s="19"/>
      <c r="D64" s="33" t="str">
        <f t="shared" ref="D64:D65" si="35">D63</f>
        <v>C100023</v>
      </c>
      <c r="E64" s="33"/>
      <c r="F64" s="34"/>
      <c r="G64" s="34" t="str">
        <f>"""NAV Direct"",""CRONUS JetCorp USA"",""32"",""1"",""34324"""</f>
        <v>"NAV Direct","CRONUS JetCorp USA","32","1","34324"</v>
      </c>
      <c r="H64" s="40">
        <v>43470</v>
      </c>
      <c r="I64" s="41">
        <v>34324</v>
      </c>
      <c r="J64" s="42" t="str">
        <f>"Customer"</f>
        <v>Customer</v>
      </c>
      <c r="K64" s="42" t="str">
        <f>"C100050"</f>
        <v>C100050</v>
      </c>
      <c r="L64" s="42" t="str">
        <f>IF($J64="Customer",_xll.NL("first",$J64,"Name","No.","@@"&amp;$K64),"")</f>
        <v>Lauritzen Kontorm¢bler A/S</v>
      </c>
      <c r="M64" s="42" t="str">
        <f>""</f>
        <v/>
      </c>
      <c r="N64" s="42" t="str">
        <f>IF($J64="Item",_xll.NL("first",$J64,"Description","No.","@@"&amp;$K64),"")</f>
        <v/>
      </c>
      <c r="O64" s="43">
        <v>0</v>
      </c>
      <c r="P64" s="43">
        <v>-168</v>
      </c>
      <c r="Q64" s="43">
        <v>0</v>
      </c>
      <c r="R64" s="43">
        <v>0</v>
      </c>
      <c r="S64" s="43">
        <v>0</v>
      </c>
      <c r="T64" s="43">
        <v>0</v>
      </c>
      <c r="U64" s="56"/>
    </row>
    <row r="65" spans="1:21" ht="17.25" customHeight="1" x14ac:dyDescent="0.3">
      <c r="A65" s="15" t="s">
        <v>30</v>
      </c>
      <c r="C65" s="19"/>
      <c r="D65" s="33" t="str">
        <f t="shared" si="35"/>
        <v>C100023</v>
      </c>
      <c r="E65" s="33"/>
      <c r="F65" s="34"/>
      <c r="G65" s="34" t="str">
        <f>"""NAV Direct"",""CRONUS JetCorp USA"",""32"",""1"",""138729"""</f>
        <v>"NAV Direct","CRONUS JetCorp USA","32","1","138729"</v>
      </c>
      <c r="H65" s="40">
        <v>43477</v>
      </c>
      <c r="I65" s="41">
        <v>138729</v>
      </c>
      <c r="J65" s="42" t="str">
        <f>"Customer"</f>
        <v>Customer</v>
      </c>
      <c r="K65" s="42" t="str">
        <f>"C100021"</f>
        <v>C100021</v>
      </c>
      <c r="L65" s="42" t="str">
        <f>IF($J65="Customer",_xll.NL("first",$J65,"Name","No.","@@"&amp;$K65),"")</f>
        <v>Cronus Cardoxy Sales</v>
      </c>
      <c r="M65" s="42" t="str">
        <f>""</f>
        <v/>
      </c>
      <c r="N65" s="42" t="str">
        <f>IF($J65="Item",_xll.NL("first",$J65,"Description","No.","@@"&amp;$K65),"")</f>
        <v/>
      </c>
      <c r="O65" s="43">
        <v>0</v>
      </c>
      <c r="P65" s="43">
        <v>-144</v>
      </c>
      <c r="Q65" s="43">
        <v>0</v>
      </c>
      <c r="R65" s="43">
        <v>0</v>
      </c>
      <c r="S65" s="43">
        <v>0</v>
      </c>
      <c r="T65" s="43">
        <v>0</v>
      </c>
      <c r="U65" s="56"/>
    </row>
    <row r="66" spans="1:21" ht="17.25" customHeight="1" x14ac:dyDescent="0.3">
      <c r="A66" s="15" t="s">
        <v>30</v>
      </c>
      <c r="C66" s="19"/>
      <c r="D66" s="33"/>
      <c r="E66" s="33"/>
      <c r="F66" s="34"/>
      <c r="G66" s="34"/>
      <c r="H66" s="34"/>
      <c r="I66" s="34"/>
      <c r="J66" s="34"/>
      <c r="K66" s="34"/>
      <c r="L66" s="34"/>
      <c r="M66" s="34"/>
      <c r="N66" s="34"/>
      <c r="O66" s="44"/>
      <c r="P66" s="44"/>
      <c r="Q66" s="44"/>
      <c r="R66" s="44"/>
      <c r="S66" s="44"/>
      <c r="T66" s="44"/>
      <c r="U66" s="57"/>
    </row>
    <row r="67" spans="1:21" ht="17.25" customHeight="1" x14ac:dyDescent="0.3">
      <c r="A67" s="15" t="s">
        <v>30</v>
      </c>
      <c r="C67" s="19"/>
      <c r="D67" s="33"/>
      <c r="E67" s="33" t="s">
        <v>31</v>
      </c>
      <c r="F67" s="34" t="s">
        <v>31</v>
      </c>
      <c r="G67" s="34" t="s">
        <v>31</v>
      </c>
      <c r="H67" s="34"/>
      <c r="I67" s="34"/>
      <c r="J67" s="34" t="s">
        <v>31</v>
      </c>
      <c r="K67" s="34" t="s">
        <v>31</v>
      </c>
      <c r="L67" s="34" t="s">
        <v>31</v>
      </c>
      <c r="M67" s="34" t="s">
        <v>31</v>
      </c>
      <c r="N67" s="34"/>
      <c r="U67" s="58"/>
    </row>
    <row r="68" spans="1:21" ht="20.25" customHeight="1" x14ac:dyDescent="0.35">
      <c r="A68" s="15" t="s">
        <v>30</v>
      </c>
      <c r="C68" s="19"/>
      <c r="D68" s="35" t="str">
        <f t="shared" ref="D68" si="36">E68</f>
        <v>C100024</v>
      </c>
      <c r="E68" s="36" t="str">
        <f>"C100024"</f>
        <v>C100024</v>
      </c>
      <c r="F68" s="37" t="str">
        <f>"Knit Hat with Bill"</f>
        <v>Knit Hat with Bill</v>
      </c>
      <c r="G68" s="37"/>
      <c r="H68" s="38" t="str">
        <f>"EA"</f>
        <v>EA</v>
      </c>
      <c r="I68" s="37"/>
      <c r="J68" s="37"/>
      <c r="K68" s="37"/>
      <c r="L68" s="37"/>
      <c r="M68" s="37"/>
      <c r="N68" s="37"/>
      <c r="O68" s="39">
        <f>(SUBTOTAL(9,O69:O70))</f>
        <v>400</v>
      </c>
      <c r="P68" s="39">
        <f>(SUBTOTAL(9,P69:P70))</f>
        <v>0</v>
      </c>
      <c r="Q68" s="39">
        <f>(SUBTOTAL(9,Q69:Q70))</f>
        <v>0</v>
      </c>
      <c r="R68" s="39">
        <f>(SUBTOTAL(9,R69:R70))</f>
        <v>0</v>
      </c>
      <c r="S68" s="39">
        <f>(SUBTOTAL(9,S69:S70))</f>
        <v>0</v>
      </c>
      <c r="T68" s="39">
        <f>(SUBTOTAL(9,T69:T70))</f>
        <v>0</v>
      </c>
      <c r="U68" s="55">
        <f t="shared" ref="U68" si="37">SUBTOTAL(9,O69:T70)</f>
        <v>400</v>
      </c>
    </row>
    <row r="69" spans="1:21" ht="17.25" customHeight="1" x14ac:dyDescent="0.3">
      <c r="A69" s="15" t="s">
        <v>30</v>
      </c>
      <c r="C69" s="19"/>
      <c r="D69" s="33" t="str">
        <f t="shared" ref="D69" si="38">D68</f>
        <v>C100024</v>
      </c>
      <c r="E69" s="33"/>
      <c r="F69" s="34"/>
      <c r="G69" s="34" t="str">
        <f>"""NAV Direct"",""CRONUS JetCorp USA"",""32"",""1"",""167086"""</f>
        <v>"NAV Direct","CRONUS JetCorp USA","32","1","167086"</v>
      </c>
      <c r="H69" s="40">
        <v>43466</v>
      </c>
      <c r="I69" s="41">
        <v>167086</v>
      </c>
      <c r="J69" s="42" t="str">
        <f>"Vendor"</f>
        <v>Vendor</v>
      </c>
      <c r="K69" s="42" t="str">
        <f>"V100009"</f>
        <v>V100009</v>
      </c>
      <c r="L69" s="42" t="str">
        <f>IF($J69="Customer",_xll.NL("first",$J69,"Name","No.","@@"&amp;$K69),"")</f>
        <v/>
      </c>
      <c r="M69" s="42" t="str">
        <f>"Malay-Dan Export Unit Sdn Bhd"</f>
        <v>Malay-Dan Export Unit Sdn Bhd</v>
      </c>
      <c r="N69" s="42" t="str">
        <f>IF($J69="Item",_xll.NL("first",$J69,"Description","No.","@@"&amp;$K69),"")</f>
        <v/>
      </c>
      <c r="O69" s="43">
        <v>400</v>
      </c>
      <c r="P69" s="43">
        <v>0</v>
      </c>
      <c r="Q69" s="43">
        <v>0</v>
      </c>
      <c r="R69" s="43">
        <v>0</v>
      </c>
      <c r="S69" s="43">
        <v>0</v>
      </c>
      <c r="T69" s="43">
        <v>0</v>
      </c>
      <c r="U69" s="56"/>
    </row>
    <row r="70" spans="1:21" ht="17.25" customHeight="1" x14ac:dyDescent="0.3">
      <c r="A70" s="15" t="s">
        <v>30</v>
      </c>
      <c r="C70" s="19"/>
      <c r="D70" s="33"/>
      <c r="E70" s="33"/>
      <c r="F70" s="34"/>
      <c r="G70" s="34"/>
      <c r="H70" s="34"/>
      <c r="I70" s="34"/>
      <c r="J70" s="34"/>
      <c r="K70" s="34"/>
      <c r="L70" s="34"/>
      <c r="M70" s="34"/>
      <c r="N70" s="34"/>
      <c r="O70" s="44"/>
      <c r="P70" s="44"/>
      <c r="Q70" s="44"/>
      <c r="R70" s="44"/>
      <c r="S70" s="44"/>
      <c r="T70" s="44"/>
      <c r="U70" s="57"/>
    </row>
    <row r="71" spans="1:21" ht="17.25" customHeight="1" x14ac:dyDescent="0.3">
      <c r="A71" s="15" t="s">
        <v>30</v>
      </c>
      <c r="C71" s="19"/>
      <c r="D71" s="33"/>
      <c r="E71" s="33" t="s">
        <v>31</v>
      </c>
      <c r="F71" s="34" t="s">
        <v>31</v>
      </c>
      <c r="G71" s="34" t="s">
        <v>31</v>
      </c>
      <c r="H71" s="34"/>
      <c r="I71" s="34"/>
      <c r="J71" s="34" t="s">
        <v>31</v>
      </c>
      <c r="K71" s="34" t="s">
        <v>31</v>
      </c>
      <c r="L71" s="34" t="s">
        <v>31</v>
      </c>
      <c r="M71" s="34" t="s">
        <v>31</v>
      </c>
      <c r="N71" s="34"/>
      <c r="U71" s="58"/>
    </row>
    <row r="72" spans="1:21" ht="20.25" customHeight="1" x14ac:dyDescent="0.35">
      <c r="A72" s="15" t="s">
        <v>30</v>
      </c>
      <c r="C72" s="19"/>
      <c r="D72" s="35" t="str">
        <f t="shared" ref="D72" si="39">E72</f>
        <v>C100025</v>
      </c>
      <c r="E72" s="36" t="str">
        <f>"C100025"</f>
        <v>C100025</v>
      </c>
      <c r="F72" s="37" t="str">
        <f>"Striped Knit Hat"</f>
        <v>Striped Knit Hat</v>
      </c>
      <c r="G72" s="37"/>
      <c r="H72" s="38" t="str">
        <f>"EA"</f>
        <v>EA</v>
      </c>
      <c r="I72" s="37"/>
      <c r="J72" s="37"/>
      <c r="K72" s="37"/>
      <c r="L72" s="37"/>
      <c r="M72" s="37"/>
      <c r="N72" s="37"/>
      <c r="O72" s="39">
        <f>(SUBTOTAL(9,O73:O76))</f>
        <v>400</v>
      </c>
      <c r="P72" s="39">
        <f>(SUBTOTAL(9,P73:P76))</f>
        <v>-146</v>
      </c>
      <c r="Q72" s="39">
        <f>(SUBTOTAL(9,Q73:Q76))</f>
        <v>0</v>
      </c>
      <c r="R72" s="39">
        <f>(SUBTOTAL(9,R73:R76))</f>
        <v>0</v>
      </c>
      <c r="S72" s="39">
        <f>(SUBTOTAL(9,S73:S76))</f>
        <v>0</v>
      </c>
      <c r="T72" s="39">
        <f>(SUBTOTAL(9,T73:T76))</f>
        <v>0</v>
      </c>
      <c r="U72" s="55">
        <f t="shared" ref="U72" si="40">SUBTOTAL(9,O73:T76)</f>
        <v>254</v>
      </c>
    </row>
    <row r="73" spans="1:21" ht="17.25" customHeight="1" x14ac:dyDescent="0.3">
      <c r="A73" s="15" t="s">
        <v>30</v>
      </c>
      <c r="C73" s="19"/>
      <c r="D73" s="33" t="str">
        <f t="shared" ref="D73" si="41">D72</f>
        <v>C100025</v>
      </c>
      <c r="E73" s="33"/>
      <c r="F73" s="34"/>
      <c r="G73" s="34" t="str">
        <f>"""NAV Direct"",""CRONUS JetCorp USA"",""32"",""1"",""167085"""</f>
        <v>"NAV Direct","CRONUS JetCorp USA","32","1","167085"</v>
      </c>
      <c r="H73" s="40">
        <v>43466</v>
      </c>
      <c r="I73" s="41">
        <v>167085</v>
      </c>
      <c r="J73" s="42" t="str">
        <f>"Vendor"</f>
        <v>Vendor</v>
      </c>
      <c r="K73" s="42" t="str">
        <f>"V100009"</f>
        <v>V100009</v>
      </c>
      <c r="L73" s="42" t="str">
        <f>IF($J73="Customer",_xll.NL("first",$J73,"Name","No.","@@"&amp;$K73),"")</f>
        <v/>
      </c>
      <c r="M73" s="42" t="str">
        <f>"Malay-Dan Export Unit Sdn Bhd"</f>
        <v>Malay-Dan Export Unit Sdn Bhd</v>
      </c>
      <c r="N73" s="42" t="str">
        <f>IF($J73="Item",_xll.NL("first",$J73,"Description","No.","@@"&amp;$K73),"")</f>
        <v/>
      </c>
      <c r="O73" s="43">
        <v>400</v>
      </c>
      <c r="P73" s="43">
        <v>0</v>
      </c>
      <c r="Q73" s="43">
        <v>0</v>
      </c>
      <c r="R73" s="43">
        <v>0</v>
      </c>
      <c r="S73" s="43">
        <v>0</v>
      </c>
      <c r="T73" s="43">
        <v>0</v>
      </c>
      <c r="U73" s="56"/>
    </row>
    <row r="74" spans="1:21" ht="17.25" customHeight="1" x14ac:dyDescent="0.3">
      <c r="A74" s="15" t="s">
        <v>30</v>
      </c>
      <c r="C74" s="19"/>
      <c r="D74" s="33" t="str">
        <f t="shared" ref="D74:D75" si="42">D73</f>
        <v>C100025</v>
      </c>
      <c r="E74" s="33"/>
      <c r="F74" s="34"/>
      <c r="G74" s="34" t="str">
        <f>"""NAV Direct"",""CRONUS JetCorp USA"",""32"",""1"",""34325"""</f>
        <v>"NAV Direct","CRONUS JetCorp USA","32","1","34325"</v>
      </c>
      <c r="H74" s="40">
        <v>43470</v>
      </c>
      <c r="I74" s="41">
        <v>34325</v>
      </c>
      <c r="J74" s="42" t="str">
        <f>"Customer"</f>
        <v>Customer</v>
      </c>
      <c r="K74" s="42" t="str">
        <f>"C100050"</f>
        <v>C100050</v>
      </c>
      <c r="L74" s="42" t="str">
        <f>IF($J74="Customer",_xll.NL("first",$J74,"Name","No.","@@"&amp;$K74),"")</f>
        <v>Lauritzen Kontorm¢bler A/S</v>
      </c>
      <c r="M74" s="42" t="str">
        <f>""</f>
        <v/>
      </c>
      <c r="N74" s="42" t="str">
        <f>IF($J74="Item",_xll.NL("first",$J74,"Description","No.","@@"&amp;$K74),"")</f>
        <v/>
      </c>
      <c r="O74" s="43">
        <v>0</v>
      </c>
      <c r="P74" s="43">
        <v>-2</v>
      </c>
      <c r="Q74" s="43">
        <v>0</v>
      </c>
      <c r="R74" s="43">
        <v>0</v>
      </c>
      <c r="S74" s="43">
        <v>0</v>
      </c>
      <c r="T74" s="43">
        <v>0</v>
      </c>
      <c r="U74" s="56"/>
    </row>
    <row r="75" spans="1:21" ht="17.25" customHeight="1" x14ac:dyDescent="0.3">
      <c r="A75" s="15" t="s">
        <v>30</v>
      </c>
      <c r="C75" s="19"/>
      <c r="D75" s="33" t="str">
        <f t="shared" si="42"/>
        <v>C100025</v>
      </c>
      <c r="E75" s="33"/>
      <c r="F75" s="34"/>
      <c r="G75" s="34" t="str">
        <f>"""NAV Direct"",""CRONUS JetCorp USA"",""32"",""1"",""132512"""</f>
        <v>"NAV Direct","CRONUS JetCorp USA","32","1","132512"</v>
      </c>
      <c r="H75" s="40">
        <v>43470</v>
      </c>
      <c r="I75" s="41">
        <v>132512</v>
      </c>
      <c r="J75" s="42" t="str">
        <f>"Customer"</f>
        <v>Customer</v>
      </c>
      <c r="K75" s="42" t="str">
        <f>"C100029"</f>
        <v>C100029</v>
      </c>
      <c r="L75" s="42" t="str">
        <f>IF($J75="Customer",_xll.NL("first",$J75,"Name","No.","@@"&amp;$K75),"")</f>
        <v>Elkhorn Airport</v>
      </c>
      <c r="M75" s="42" t="str">
        <f>""</f>
        <v/>
      </c>
      <c r="N75" s="42" t="str">
        <f>IF($J75="Item",_xll.NL("first",$J75,"Description","No.","@@"&amp;$K75),"")</f>
        <v/>
      </c>
      <c r="O75" s="43">
        <v>0</v>
      </c>
      <c r="P75" s="43">
        <v>-144</v>
      </c>
      <c r="Q75" s="43">
        <v>0</v>
      </c>
      <c r="R75" s="43">
        <v>0</v>
      </c>
      <c r="S75" s="43">
        <v>0</v>
      </c>
      <c r="T75" s="43">
        <v>0</v>
      </c>
      <c r="U75" s="56"/>
    </row>
    <row r="76" spans="1:21" ht="17.25" customHeight="1" x14ac:dyDescent="0.3">
      <c r="A76" s="15" t="s">
        <v>30</v>
      </c>
      <c r="C76" s="19"/>
      <c r="D76" s="33"/>
      <c r="E76" s="33"/>
      <c r="F76" s="34"/>
      <c r="G76" s="34"/>
      <c r="H76" s="34"/>
      <c r="I76" s="34"/>
      <c r="J76" s="34"/>
      <c r="K76" s="34"/>
      <c r="L76" s="34"/>
      <c r="M76" s="34"/>
      <c r="N76" s="34"/>
      <c r="O76" s="44"/>
      <c r="P76" s="44"/>
      <c r="Q76" s="44"/>
      <c r="R76" s="44"/>
      <c r="S76" s="44"/>
      <c r="T76" s="44"/>
      <c r="U76" s="57"/>
    </row>
    <row r="77" spans="1:21" ht="17.25" customHeight="1" x14ac:dyDescent="0.3">
      <c r="A77" s="15" t="s">
        <v>30</v>
      </c>
      <c r="C77" s="19"/>
      <c r="D77" s="33"/>
      <c r="E77" s="33" t="s">
        <v>31</v>
      </c>
      <c r="F77" s="34" t="s">
        <v>31</v>
      </c>
      <c r="G77" s="34" t="s">
        <v>31</v>
      </c>
      <c r="H77" s="34"/>
      <c r="I77" s="34"/>
      <c r="J77" s="34" t="s">
        <v>31</v>
      </c>
      <c r="K77" s="34" t="s">
        <v>31</v>
      </c>
      <c r="L77" s="34" t="s">
        <v>31</v>
      </c>
      <c r="M77" s="34" t="s">
        <v>31</v>
      </c>
      <c r="N77" s="34"/>
      <c r="U77" s="58"/>
    </row>
    <row r="78" spans="1:21" ht="20.25" customHeight="1" x14ac:dyDescent="0.35">
      <c r="A78" s="15" t="s">
        <v>30</v>
      </c>
      <c r="C78" s="19"/>
      <c r="D78" s="35" t="str">
        <f t="shared" ref="D78" si="43">E78</f>
        <v>C100026</v>
      </c>
      <c r="E78" s="36" t="str">
        <f>"C100026"</f>
        <v>C100026</v>
      </c>
      <c r="F78" s="37" t="str">
        <f>"Fleece Beanie"</f>
        <v>Fleece Beanie</v>
      </c>
      <c r="G78" s="37"/>
      <c r="H78" s="38" t="str">
        <f>"EA"</f>
        <v>EA</v>
      </c>
      <c r="I78" s="37"/>
      <c r="J78" s="37"/>
      <c r="K78" s="37"/>
      <c r="L78" s="37"/>
      <c r="M78" s="37"/>
      <c r="N78" s="37"/>
      <c r="O78" s="39">
        <f>(SUBTOTAL(9,O79:O81))</f>
        <v>800</v>
      </c>
      <c r="P78" s="39">
        <f>(SUBTOTAL(9,P79:P81))</f>
        <v>-144</v>
      </c>
      <c r="Q78" s="39">
        <f>(SUBTOTAL(9,Q79:Q81))</f>
        <v>0</v>
      </c>
      <c r="R78" s="39">
        <f>(SUBTOTAL(9,R79:R81))</f>
        <v>0</v>
      </c>
      <c r="S78" s="39">
        <f>(SUBTOTAL(9,S79:S81))</f>
        <v>0</v>
      </c>
      <c r="T78" s="39">
        <f>(SUBTOTAL(9,T79:T81))</f>
        <v>0</v>
      </c>
      <c r="U78" s="55">
        <f t="shared" ref="U78" si="44">SUBTOTAL(9,O79:T81)</f>
        <v>656</v>
      </c>
    </row>
    <row r="79" spans="1:21" ht="17.25" customHeight="1" x14ac:dyDescent="0.3">
      <c r="A79" s="15" t="s">
        <v>30</v>
      </c>
      <c r="C79" s="19"/>
      <c r="D79" s="33" t="str">
        <f t="shared" ref="D79" si="45">D78</f>
        <v>C100026</v>
      </c>
      <c r="E79" s="33"/>
      <c r="F79" s="34"/>
      <c r="G79" s="34" t="str">
        <f>"""NAV Direct"",""CRONUS JetCorp USA"",""32"",""1"",""167084"""</f>
        <v>"NAV Direct","CRONUS JetCorp USA","32","1","167084"</v>
      </c>
      <c r="H79" s="40">
        <v>43466</v>
      </c>
      <c r="I79" s="41">
        <v>167084</v>
      </c>
      <c r="J79" s="42" t="str">
        <f>"Vendor"</f>
        <v>Vendor</v>
      </c>
      <c r="K79" s="42" t="str">
        <f>"V100009"</f>
        <v>V100009</v>
      </c>
      <c r="L79" s="42" t="str">
        <f>IF($J79="Customer",_xll.NL("first",$J79,"Name","No.","@@"&amp;$K79),"")</f>
        <v/>
      </c>
      <c r="M79" s="42" t="str">
        <f>"Malay-Dan Export Unit Sdn Bhd"</f>
        <v>Malay-Dan Export Unit Sdn Bhd</v>
      </c>
      <c r="N79" s="42" t="str">
        <f>IF($J79="Item",_xll.NL("first",$J79,"Description","No.","@@"&amp;$K79),"")</f>
        <v/>
      </c>
      <c r="O79" s="43">
        <v>800</v>
      </c>
      <c r="P79" s="43">
        <v>0</v>
      </c>
      <c r="Q79" s="43">
        <v>0</v>
      </c>
      <c r="R79" s="43">
        <v>0</v>
      </c>
      <c r="S79" s="43">
        <v>0</v>
      </c>
      <c r="T79" s="43">
        <v>0</v>
      </c>
      <c r="U79" s="56"/>
    </row>
    <row r="80" spans="1:21" ht="17.25" customHeight="1" x14ac:dyDescent="0.3">
      <c r="A80" s="15" t="s">
        <v>30</v>
      </c>
      <c r="C80" s="19"/>
      <c r="D80" s="33" t="str">
        <f t="shared" ref="D80" si="46">D79</f>
        <v>C100026</v>
      </c>
      <c r="E80" s="33"/>
      <c r="F80" s="34"/>
      <c r="G80" s="34" t="str">
        <f>"""NAV Direct"",""CRONUS JetCorp USA"",""32"",""1"",""132511"""</f>
        <v>"NAV Direct","CRONUS JetCorp USA","32","1","132511"</v>
      </c>
      <c r="H80" s="40">
        <v>43470</v>
      </c>
      <c r="I80" s="41">
        <v>132511</v>
      </c>
      <c r="J80" s="42" t="str">
        <f>"Customer"</f>
        <v>Customer</v>
      </c>
      <c r="K80" s="42" t="str">
        <f>"C100029"</f>
        <v>C100029</v>
      </c>
      <c r="L80" s="42" t="str">
        <f>IF($J80="Customer",_xll.NL("first",$J80,"Name","No.","@@"&amp;$K80),"")</f>
        <v>Elkhorn Airport</v>
      </c>
      <c r="M80" s="42" t="str">
        <f>""</f>
        <v/>
      </c>
      <c r="N80" s="42" t="str">
        <f>IF($J80="Item",_xll.NL("first",$J80,"Description","No.","@@"&amp;$K80),"")</f>
        <v/>
      </c>
      <c r="O80" s="43">
        <v>0</v>
      </c>
      <c r="P80" s="43">
        <v>-144</v>
      </c>
      <c r="Q80" s="43">
        <v>0</v>
      </c>
      <c r="R80" s="43">
        <v>0</v>
      </c>
      <c r="S80" s="43">
        <v>0</v>
      </c>
      <c r="T80" s="43">
        <v>0</v>
      </c>
      <c r="U80" s="56"/>
    </row>
    <row r="81" spans="1:21" ht="17.25" customHeight="1" x14ac:dyDescent="0.3">
      <c r="A81" s="15" t="s">
        <v>30</v>
      </c>
      <c r="C81" s="19"/>
      <c r="D81" s="33"/>
      <c r="E81" s="33"/>
      <c r="F81" s="34"/>
      <c r="G81" s="34"/>
      <c r="H81" s="34"/>
      <c r="I81" s="34"/>
      <c r="J81" s="34"/>
      <c r="K81" s="34"/>
      <c r="L81" s="34"/>
      <c r="M81" s="34"/>
      <c r="N81" s="34"/>
      <c r="O81" s="44"/>
      <c r="P81" s="44"/>
      <c r="Q81" s="44"/>
      <c r="R81" s="44"/>
      <c r="S81" s="44"/>
      <c r="T81" s="44"/>
      <c r="U81" s="57"/>
    </row>
    <row r="82" spans="1:21" ht="17.25" customHeight="1" x14ac:dyDescent="0.3">
      <c r="A82" s="15" t="s">
        <v>30</v>
      </c>
      <c r="C82" s="19"/>
      <c r="D82" s="33"/>
      <c r="E82" s="33" t="s">
        <v>31</v>
      </c>
      <c r="F82" s="34" t="s">
        <v>31</v>
      </c>
      <c r="G82" s="34" t="s">
        <v>31</v>
      </c>
      <c r="H82" s="34"/>
      <c r="I82" s="34"/>
      <c r="J82" s="34" t="s">
        <v>31</v>
      </c>
      <c r="K82" s="34" t="s">
        <v>31</v>
      </c>
      <c r="L82" s="34" t="s">
        <v>31</v>
      </c>
      <c r="M82" s="34" t="s">
        <v>31</v>
      </c>
      <c r="N82" s="34"/>
      <c r="U82" s="58"/>
    </row>
    <row r="83" spans="1:21" ht="20.25" customHeight="1" x14ac:dyDescent="0.35">
      <c r="A83" s="15" t="s">
        <v>30</v>
      </c>
      <c r="C83" s="19"/>
      <c r="D83" s="35" t="str">
        <f t="shared" ref="D83" si="47">E83</f>
        <v>C100027</v>
      </c>
      <c r="E83" s="36" t="str">
        <f>"C100027"</f>
        <v>C100027</v>
      </c>
      <c r="F83" s="37" t="str">
        <f>"Pique Visor"</f>
        <v>Pique Visor</v>
      </c>
      <c r="G83" s="37"/>
      <c r="H83" s="38" t="str">
        <f>"EA"</f>
        <v>EA</v>
      </c>
      <c r="I83" s="37"/>
      <c r="J83" s="37"/>
      <c r="K83" s="37"/>
      <c r="L83" s="37"/>
      <c r="M83" s="37"/>
      <c r="N83" s="37"/>
      <c r="O83" s="39">
        <f>(SUBTOTAL(9,O84:O85))</f>
        <v>0</v>
      </c>
      <c r="P83" s="39">
        <f>(SUBTOTAL(9,P84:P85))</f>
        <v>-144</v>
      </c>
      <c r="Q83" s="39">
        <f>(SUBTOTAL(9,Q84:Q85))</f>
        <v>0</v>
      </c>
      <c r="R83" s="39">
        <f>(SUBTOTAL(9,R84:R85))</f>
        <v>0</v>
      </c>
      <c r="S83" s="39">
        <f>(SUBTOTAL(9,S84:S85))</f>
        <v>0</v>
      </c>
      <c r="T83" s="39">
        <f>(SUBTOTAL(9,T84:T85))</f>
        <v>0</v>
      </c>
      <c r="U83" s="55">
        <f t="shared" ref="U83" si="48">SUBTOTAL(9,O84:T85)</f>
        <v>-144</v>
      </c>
    </row>
    <row r="84" spans="1:21" ht="17.25" customHeight="1" x14ac:dyDescent="0.3">
      <c r="A84" s="15" t="s">
        <v>30</v>
      </c>
      <c r="C84" s="19"/>
      <c r="D84" s="33" t="str">
        <f t="shared" ref="D84" si="49">D83</f>
        <v>C100027</v>
      </c>
      <c r="E84" s="33"/>
      <c r="F84" s="34"/>
      <c r="G84" s="34" t="str">
        <f>"""NAV Direct"",""CRONUS JetCorp USA"",""32"",""1"",""138725"""</f>
        <v>"NAV Direct","CRONUS JetCorp USA","32","1","138725"</v>
      </c>
      <c r="H84" s="40">
        <v>43477</v>
      </c>
      <c r="I84" s="41">
        <v>138725</v>
      </c>
      <c r="J84" s="42" t="str">
        <f>"Customer"</f>
        <v>Customer</v>
      </c>
      <c r="K84" s="42" t="str">
        <f>"C100021"</f>
        <v>C100021</v>
      </c>
      <c r="L84" s="42" t="str">
        <f>IF($J84="Customer",_xll.NL("first",$J84,"Name","No.","@@"&amp;$K84),"")</f>
        <v>Cronus Cardoxy Sales</v>
      </c>
      <c r="M84" s="42" t="str">
        <f>""</f>
        <v/>
      </c>
      <c r="N84" s="42" t="str">
        <f>IF($J84="Item",_xll.NL("first",$J84,"Description","No.","@@"&amp;$K84),"")</f>
        <v/>
      </c>
      <c r="O84" s="43">
        <v>0</v>
      </c>
      <c r="P84" s="43">
        <v>-144</v>
      </c>
      <c r="Q84" s="43">
        <v>0</v>
      </c>
      <c r="R84" s="43">
        <v>0</v>
      </c>
      <c r="S84" s="43">
        <v>0</v>
      </c>
      <c r="T84" s="43">
        <v>0</v>
      </c>
      <c r="U84" s="56"/>
    </row>
    <row r="85" spans="1:21" ht="17.25" customHeight="1" x14ac:dyDescent="0.3">
      <c r="A85" s="15" t="s">
        <v>30</v>
      </c>
      <c r="C85" s="19"/>
      <c r="D85" s="33"/>
      <c r="E85" s="33"/>
      <c r="F85" s="34"/>
      <c r="G85" s="34"/>
      <c r="H85" s="34"/>
      <c r="I85" s="34"/>
      <c r="J85" s="34"/>
      <c r="K85" s="34"/>
      <c r="L85" s="34"/>
      <c r="M85" s="34"/>
      <c r="N85" s="34"/>
      <c r="O85" s="44"/>
      <c r="P85" s="44"/>
      <c r="Q85" s="44"/>
      <c r="R85" s="44"/>
      <c r="S85" s="44"/>
      <c r="T85" s="44"/>
      <c r="U85" s="57"/>
    </row>
    <row r="86" spans="1:21" ht="17.25" customHeight="1" x14ac:dyDescent="0.3">
      <c r="A86" s="15" t="s">
        <v>30</v>
      </c>
      <c r="C86" s="19"/>
      <c r="D86" s="33"/>
      <c r="E86" s="33" t="s">
        <v>31</v>
      </c>
      <c r="F86" s="34" t="s">
        <v>31</v>
      </c>
      <c r="G86" s="34" t="s">
        <v>31</v>
      </c>
      <c r="H86" s="34"/>
      <c r="I86" s="34"/>
      <c r="J86" s="34" t="s">
        <v>31</v>
      </c>
      <c r="K86" s="34" t="s">
        <v>31</v>
      </c>
      <c r="L86" s="34" t="s">
        <v>31</v>
      </c>
      <c r="M86" s="34" t="s">
        <v>31</v>
      </c>
      <c r="N86" s="34"/>
      <c r="U86" s="58"/>
    </row>
    <row r="87" spans="1:21" ht="20.25" customHeight="1" x14ac:dyDescent="0.35">
      <c r="A87" s="15" t="s">
        <v>30</v>
      </c>
      <c r="C87" s="19"/>
      <c r="D87" s="35" t="str">
        <f t="shared" ref="D87" si="50">E87</f>
        <v>C100028</v>
      </c>
      <c r="E87" s="36" t="str">
        <f>"C100028"</f>
        <v>C100028</v>
      </c>
      <c r="F87" s="37" t="str">
        <f>"Twill Visor"</f>
        <v>Twill Visor</v>
      </c>
      <c r="G87" s="37"/>
      <c r="H87" s="38" t="str">
        <f>"EA"</f>
        <v>EA</v>
      </c>
      <c r="I87" s="37"/>
      <c r="J87" s="37"/>
      <c r="K87" s="37"/>
      <c r="L87" s="37"/>
      <c r="M87" s="37"/>
      <c r="N87" s="37"/>
      <c r="O87" s="39">
        <f>(SUBTOTAL(9,O88:O92))</f>
        <v>400</v>
      </c>
      <c r="P87" s="39">
        <f>(SUBTOTAL(9,P88:P92))</f>
        <v>-146</v>
      </c>
      <c r="Q87" s="39">
        <f>(SUBTOTAL(9,Q88:Q92))</f>
        <v>0</v>
      </c>
      <c r="R87" s="39">
        <f>(SUBTOTAL(9,R88:R92))</f>
        <v>0</v>
      </c>
      <c r="S87" s="39">
        <f>(SUBTOTAL(9,S88:S92))</f>
        <v>0</v>
      </c>
      <c r="T87" s="39">
        <f>(SUBTOTAL(9,T88:T92))</f>
        <v>0</v>
      </c>
      <c r="U87" s="55">
        <f t="shared" ref="U87" si="51">SUBTOTAL(9,O88:T92)</f>
        <v>254</v>
      </c>
    </row>
    <row r="88" spans="1:21" ht="17.25" customHeight="1" x14ac:dyDescent="0.3">
      <c r="A88" s="15" t="s">
        <v>30</v>
      </c>
      <c r="C88" s="19"/>
      <c r="D88" s="33" t="str">
        <f t="shared" ref="D88" si="52">D87</f>
        <v>C100028</v>
      </c>
      <c r="E88" s="33"/>
      <c r="F88" s="34"/>
      <c r="G88" s="34" t="str">
        <f>"""NAV Direct"",""CRONUS JetCorp USA"",""32"",""1"",""167083"""</f>
        <v>"NAV Direct","CRONUS JetCorp USA","32","1","167083"</v>
      </c>
      <c r="H88" s="40">
        <v>43466</v>
      </c>
      <c r="I88" s="41">
        <v>167083</v>
      </c>
      <c r="J88" s="42" t="str">
        <f>"Vendor"</f>
        <v>Vendor</v>
      </c>
      <c r="K88" s="42" t="str">
        <f>"V100009"</f>
        <v>V100009</v>
      </c>
      <c r="L88" s="42" t="str">
        <f>IF($J88="Customer",_xll.NL("first",$J88,"Name","No.","@@"&amp;$K88),"")</f>
        <v/>
      </c>
      <c r="M88" s="42" t="str">
        <f>"Malay-Dan Export Unit Sdn Bhd"</f>
        <v>Malay-Dan Export Unit Sdn Bhd</v>
      </c>
      <c r="N88" s="42" t="str">
        <f>IF($J88="Item",_xll.NL("first",$J88,"Description","No.","@@"&amp;$K88),"")</f>
        <v/>
      </c>
      <c r="O88" s="43">
        <v>400</v>
      </c>
      <c r="P88" s="43">
        <v>0</v>
      </c>
      <c r="Q88" s="43">
        <v>0</v>
      </c>
      <c r="R88" s="43">
        <v>0</v>
      </c>
      <c r="S88" s="43">
        <v>0</v>
      </c>
      <c r="T88" s="43">
        <v>0</v>
      </c>
      <c r="U88" s="56"/>
    </row>
    <row r="89" spans="1:21" ht="17.25" customHeight="1" x14ac:dyDescent="0.3">
      <c r="A89" s="15" t="s">
        <v>30</v>
      </c>
      <c r="C89" s="19"/>
      <c r="D89" s="33" t="str">
        <f t="shared" ref="D89:D91" si="53">D88</f>
        <v>C100028</v>
      </c>
      <c r="E89" s="33"/>
      <c r="F89" s="34"/>
      <c r="G89" s="34" t="str">
        <f>"""NAV Direct"",""CRONUS JetCorp USA"",""32"",""1"",""78879"""</f>
        <v>"NAV Direct","CRONUS JetCorp USA","32","1","78879"</v>
      </c>
      <c r="H89" s="40">
        <v>43471</v>
      </c>
      <c r="I89" s="41">
        <v>78879</v>
      </c>
      <c r="J89" s="42" t="str">
        <f>"Customer"</f>
        <v>Customer</v>
      </c>
      <c r="K89" s="42" t="str">
        <f>"C100124"</f>
        <v>C100124</v>
      </c>
      <c r="L89" s="42" t="str">
        <f>IF($J89="Customer",_xll.NL("first",$J89,"Name","No.","@@"&amp;$K89),"")</f>
        <v>Ontocane Outdoors</v>
      </c>
      <c r="M89" s="42" t="str">
        <f>""</f>
        <v/>
      </c>
      <c r="N89" s="42" t="str">
        <f>IF($J89="Item",_xll.NL("first",$J89,"Description","No.","@@"&amp;$K89),"")</f>
        <v/>
      </c>
      <c r="O89" s="43">
        <v>0</v>
      </c>
      <c r="P89" s="43">
        <v>-1</v>
      </c>
      <c r="Q89" s="43">
        <v>0</v>
      </c>
      <c r="R89" s="43">
        <v>0</v>
      </c>
      <c r="S89" s="43">
        <v>0</v>
      </c>
      <c r="T89" s="43">
        <v>0</v>
      </c>
      <c r="U89" s="56"/>
    </row>
    <row r="90" spans="1:21" ht="17.25" customHeight="1" x14ac:dyDescent="0.3">
      <c r="A90" s="15" t="s">
        <v>30</v>
      </c>
      <c r="C90" s="19"/>
      <c r="D90" s="33" t="str">
        <f t="shared" si="53"/>
        <v>C100028</v>
      </c>
      <c r="E90" s="33"/>
      <c r="F90" s="34"/>
      <c r="G90" s="34" t="str">
        <f>"""NAV Direct"",""CRONUS JetCorp USA"",""32"",""1"",""78886"""</f>
        <v>"NAV Direct","CRONUS JetCorp USA","32","1","78886"</v>
      </c>
      <c r="H90" s="40">
        <v>43474</v>
      </c>
      <c r="I90" s="41">
        <v>78886</v>
      </c>
      <c r="J90" s="42" t="str">
        <f>"Customer"</f>
        <v>Customer</v>
      </c>
      <c r="K90" s="42" t="str">
        <f>"C100124"</f>
        <v>C100124</v>
      </c>
      <c r="L90" s="42" t="str">
        <f>IF($J90="Customer",_xll.NL("first",$J90,"Name","No.","@@"&amp;$K90),"")</f>
        <v>Ontocane Outdoors</v>
      </c>
      <c r="M90" s="42" t="str">
        <f>""</f>
        <v/>
      </c>
      <c r="N90" s="42" t="str">
        <f>IF($J90="Item",_xll.NL("first",$J90,"Description","No.","@@"&amp;$K90),"")</f>
        <v/>
      </c>
      <c r="O90" s="43">
        <v>0</v>
      </c>
      <c r="P90" s="43">
        <v>-144</v>
      </c>
      <c r="Q90" s="43">
        <v>0</v>
      </c>
      <c r="R90" s="43">
        <v>0</v>
      </c>
      <c r="S90" s="43">
        <v>0</v>
      </c>
      <c r="T90" s="43">
        <v>0</v>
      </c>
      <c r="U90" s="56"/>
    </row>
    <row r="91" spans="1:21" ht="17.25" customHeight="1" x14ac:dyDescent="0.3">
      <c r="A91" s="15" t="s">
        <v>30</v>
      </c>
      <c r="C91" s="19"/>
      <c r="D91" s="33" t="str">
        <f t="shared" si="53"/>
        <v>C100028</v>
      </c>
      <c r="E91" s="33"/>
      <c r="F91" s="34"/>
      <c r="G91" s="34" t="str">
        <f>"""NAV Direct"",""CRONUS JetCorp USA"",""32"",""1"",""138735"""</f>
        <v>"NAV Direct","CRONUS JetCorp USA","32","1","138735"</v>
      </c>
      <c r="H91" s="40">
        <v>43477</v>
      </c>
      <c r="I91" s="41">
        <v>138735</v>
      </c>
      <c r="J91" s="42" t="str">
        <f>"Customer"</f>
        <v>Customer</v>
      </c>
      <c r="K91" s="42" t="str">
        <f>"C100021"</f>
        <v>C100021</v>
      </c>
      <c r="L91" s="42" t="str">
        <f>IF($J91="Customer",_xll.NL("first",$J91,"Name","No.","@@"&amp;$K91),"")</f>
        <v>Cronus Cardoxy Sales</v>
      </c>
      <c r="M91" s="42" t="str">
        <f>""</f>
        <v/>
      </c>
      <c r="N91" s="42" t="str">
        <f>IF($J91="Item",_xll.NL("first",$J91,"Description","No.","@@"&amp;$K91),"")</f>
        <v/>
      </c>
      <c r="O91" s="43">
        <v>0</v>
      </c>
      <c r="P91" s="43">
        <v>-1</v>
      </c>
      <c r="Q91" s="43">
        <v>0</v>
      </c>
      <c r="R91" s="43">
        <v>0</v>
      </c>
      <c r="S91" s="43">
        <v>0</v>
      </c>
      <c r="T91" s="43">
        <v>0</v>
      </c>
      <c r="U91" s="56"/>
    </row>
    <row r="92" spans="1:21" ht="17.25" customHeight="1" x14ac:dyDescent="0.3">
      <c r="A92" s="15" t="s">
        <v>30</v>
      </c>
      <c r="C92" s="19"/>
      <c r="D92" s="33"/>
      <c r="E92" s="33"/>
      <c r="F92" s="34"/>
      <c r="G92" s="34"/>
      <c r="H92" s="34"/>
      <c r="I92" s="34"/>
      <c r="J92" s="34"/>
      <c r="K92" s="34"/>
      <c r="L92" s="34"/>
      <c r="M92" s="34"/>
      <c r="N92" s="34"/>
      <c r="O92" s="44"/>
      <c r="P92" s="44"/>
      <c r="Q92" s="44"/>
      <c r="R92" s="44"/>
      <c r="S92" s="44"/>
      <c r="T92" s="44"/>
      <c r="U92" s="57"/>
    </row>
    <row r="93" spans="1:21" ht="17.25" customHeight="1" x14ac:dyDescent="0.3">
      <c r="A93" s="15" t="s">
        <v>30</v>
      </c>
      <c r="C93" s="19"/>
      <c r="D93" s="33"/>
      <c r="E93" s="33" t="s">
        <v>31</v>
      </c>
      <c r="F93" s="34" t="s">
        <v>31</v>
      </c>
      <c r="G93" s="34" t="s">
        <v>31</v>
      </c>
      <c r="H93" s="34"/>
      <c r="I93" s="34"/>
      <c r="J93" s="34" t="s">
        <v>31</v>
      </c>
      <c r="K93" s="34" t="s">
        <v>31</v>
      </c>
      <c r="L93" s="34" t="s">
        <v>31</v>
      </c>
      <c r="M93" s="34" t="s">
        <v>31</v>
      </c>
      <c r="N93" s="34"/>
      <c r="U93" s="58"/>
    </row>
    <row r="94" spans="1:21" ht="20.25" customHeight="1" x14ac:dyDescent="0.35">
      <c r="A94" s="15" t="s">
        <v>30</v>
      </c>
      <c r="C94" s="19"/>
      <c r="D94" s="35" t="str">
        <f t="shared" ref="D94" si="54">E94</f>
        <v>C100029</v>
      </c>
      <c r="E94" s="36" t="str">
        <f>"C100029"</f>
        <v>C100029</v>
      </c>
      <c r="F94" s="37" t="str">
        <f>"Distressed Twill Visor"</f>
        <v>Distressed Twill Visor</v>
      </c>
      <c r="G94" s="37"/>
      <c r="H94" s="38" t="str">
        <f>"EA"</f>
        <v>EA</v>
      </c>
      <c r="I94" s="37"/>
      <c r="J94" s="37"/>
      <c r="K94" s="37"/>
      <c r="L94" s="37"/>
      <c r="M94" s="37"/>
      <c r="N94" s="37"/>
      <c r="O94" s="39">
        <f>(SUBTOTAL(9,O95:O96))</f>
        <v>400</v>
      </c>
      <c r="P94" s="39">
        <f>(SUBTOTAL(9,P95:P96))</f>
        <v>0</v>
      </c>
      <c r="Q94" s="39">
        <f>(SUBTOTAL(9,Q95:Q96))</f>
        <v>0</v>
      </c>
      <c r="R94" s="39">
        <f>(SUBTOTAL(9,R95:R96))</f>
        <v>0</v>
      </c>
      <c r="S94" s="39">
        <f>(SUBTOTAL(9,S95:S96))</f>
        <v>0</v>
      </c>
      <c r="T94" s="39">
        <f>(SUBTOTAL(9,T95:T96))</f>
        <v>0</v>
      </c>
      <c r="U94" s="55">
        <f t="shared" ref="U94" si="55">SUBTOTAL(9,O95:T96)</f>
        <v>400</v>
      </c>
    </row>
    <row r="95" spans="1:21" ht="17.25" customHeight="1" x14ac:dyDescent="0.3">
      <c r="A95" s="15" t="s">
        <v>30</v>
      </c>
      <c r="C95" s="19"/>
      <c r="D95" s="33" t="str">
        <f t="shared" ref="D95" si="56">D94</f>
        <v>C100029</v>
      </c>
      <c r="E95" s="33"/>
      <c r="F95" s="34"/>
      <c r="G95" s="34" t="str">
        <f>"""NAV Direct"",""CRONUS JetCorp USA"",""32"",""1"",""167082"""</f>
        <v>"NAV Direct","CRONUS JetCorp USA","32","1","167082"</v>
      </c>
      <c r="H95" s="40">
        <v>43466</v>
      </c>
      <c r="I95" s="41">
        <v>167082</v>
      </c>
      <c r="J95" s="42" t="str">
        <f>"Vendor"</f>
        <v>Vendor</v>
      </c>
      <c r="K95" s="42" t="str">
        <f>"V100009"</f>
        <v>V100009</v>
      </c>
      <c r="L95" s="42" t="str">
        <f>IF($J95="Customer",_xll.NL("first",$J95,"Name","No.","@@"&amp;$K95),"")</f>
        <v/>
      </c>
      <c r="M95" s="42" t="str">
        <f>"Malay-Dan Export Unit Sdn Bhd"</f>
        <v>Malay-Dan Export Unit Sdn Bhd</v>
      </c>
      <c r="N95" s="42" t="str">
        <f>IF($J95="Item",_xll.NL("first",$J95,"Description","No.","@@"&amp;$K95),"")</f>
        <v/>
      </c>
      <c r="O95" s="43">
        <v>400</v>
      </c>
      <c r="P95" s="43">
        <v>0</v>
      </c>
      <c r="Q95" s="43">
        <v>0</v>
      </c>
      <c r="R95" s="43">
        <v>0</v>
      </c>
      <c r="S95" s="43">
        <v>0</v>
      </c>
      <c r="T95" s="43">
        <v>0</v>
      </c>
      <c r="U95" s="56"/>
    </row>
    <row r="96" spans="1:21" ht="17.25" customHeight="1" x14ac:dyDescent="0.3">
      <c r="A96" s="15" t="s">
        <v>30</v>
      </c>
      <c r="C96" s="19"/>
      <c r="D96" s="33"/>
      <c r="E96" s="33"/>
      <c r="F96" s="34"/>
      <c r="G96" s="34"/>
      <c r="H96" s="34"/>
      <c r="I96" s="34"/>
      <c r="J96" s="34"/>
      <c r="K96" s="34"/>
      <c r="L96" s="34"/>
      <c r="M96" s="34"/>
      <c r="N96" s="34"/>
      <c r="O96" s="44"/>
      <c r="P96" s="44"/>
      <c r="Q96" s="44"/>
      <c r="R96" s="44"/>
      <c r="S96" s="44"/>
      <c r="T96" s="44"/>
      <c r="U96" s="57"/>
    </row>
    <row r="97" spans="1:21" ht="17.25" customHeight="1" x14ac:dyDescent="0.3">
      <c r="A97" s="15" t="s">
        <v>30</v>
      </c>
      <c r="C97" s="19"/>
      <c r="D97" s="33"/>
      <c r="E97" s="33" t="s">
        <v>31</v>
      </c>
      <c r="F97" s="34" t="s">
        <v>31</v>
      </c>
      <c r="G97" s="34" t="s">
        <v>31</v>
      </c>
      <c r="H97" s="34"/>
      <c r="I97" s="34"/>
      <c r="J97" s="34" t="s">
        <v>31</v>
      </c>
      <c r="K97" s="34" t="s">
        <v>31</v>
      </c>
      <c r="L97" s="34" t="s">
        <v>31</v>
      </c>
      <c r="M97" s="34" t="s">
        <v>31</v>
      </c>
      <c r="N97" s="34"/>
      <c r="U97" s="58"/>
    </row>
    <row r="98" spans="1:21" ht="20.25" customHeight="1" x14ac:dyDescent="0.35">
      <c r="A98" s="15" t="s">
        <v>30</v>
      </c>
      <c r="C98" s="19"/>
      <c r="D98" s="35" t="str">
        <f t="shared" ref="D98" si="57">E98</f>
        <v>C100030</v>
      </c>
      <c r="E98" s="36" t="str">
        <f>"C100030"</f>
        <v>C100030</v>
      </c>
      <c r="F98" s="37" t="str">
        <f>"Fashion Visor"</f>
        <v>Fashion Visor</v>
      </c>
      <c r="G98" s="37"/>
      <c r="H98" s="38" t="str">
        <f>"EA"</f>
        <v>EA</v>
      </c>
      <c r="I98" s="37"/>
      <c r="J98" s="37"/>
      <c r="K98" s="37"/>
      <c r="L98" s="37"/>
      <c r="M98" s="37"/>
      <c r="N98" s="37"/>
      <c r="O98" s="39">
        <f>(SUBTOTAL(9,O99:O101))</f>
        <v>400</v>
      </c>
      <c r="P98" s="39">
        <f>(SUBTOTAL(9,P99:P101))</f>
        <v>-48</v>
      </c>
      <c r="Q98" s="39">
        <f>(SUBTOTAL(9,Q99:Q101))</f>
        <v>0</v>
      </c>
      <c r="R98" s="39">
        <f>(SUBTOTAL(9,R99:R101))</f>
        <v>0</v>
      </c>
      <c r="S98" s="39">
        <f>(SUBTOTAL(9,S99:S101))</f>
        <v>0</v>
      </c>
      <c r="T98" s="39">
        <f>(SUBTOTAL(9,T99:T101))</f>
        <v>0</v>
      </c>
      <c r="U98" s="55">
        <f t="shared" ref="U98" si="58">SUBTOTAL(9,O99:T101)</f>
        <v>352</v>
      </c>
    </row>
    <row r="99" spans="1:21" ht="17.25" customHeight="1" x14ac:dyDescent="0.3">
      <c r="A99" s="15" t="s">
        <v>30</v>
      </c>
      <c r="C99" s="19"/>
      <c r="D99" s="33" t="str">
        <f t="shared" ref="D99" si="59">D98</f>
        <v>C100030</v>
      </c>
      <c r="E99" s="33"/>
      <c r="F99" s="34"/>
      <c r="G99" s="34" t="str">
        <f>"""NAV Direct"",""CRONUS JetCorp USA"",""32"",""1"",""167081"""</f>
        <v>"NAV Direct","CRONUS JetCorp USA","32","1","167081"</v>
      </c>
      <c r="H99" s="40">
        <v>43466</v>
      </c>
      <c r="I99" s="41">
        <v>167081</v>
      </c>
      <c r="J99" s="42" t="str">
        <f>"Vendor"</f>
        <v>Vendor</v>
      </c>
      <c r="K99" s="42" t="str">
        <f>"V100009"</f>
        <v>V100009</v>
      </c>
      <c r="L99" s="42" t="str">
        <f>IF($J99="Customer",_xll.NL("first",$J99,"Name","No.","@@"&amp;$K99),"")</f>
        <v/>
      </c>
      <c r="M99" s="42" t="str">
        <f>"Malay-Dan Export Unit Sdn Bhd"</f>
        <v>Malay-Dan Export Unit Sdn Bhd</v>
      </c>
      <c r="N99" s="42" t="str">
        <f>IF($J99="Item",_xll.NL("first",$J99,"Description","No.","@@"&amp;$K99),"")</f>
        <v/>
      </c>
      <c r="O99" s="43">
        <v>400</v>
      </c>
      <c r="P99" s="43">
        <v>0</v>
      </c>
      <c r="Q99" s="43">
        <v>0</v>
      </c>
      <c r="R99" s="43">
        <v>0</v>
      </c>
      <c r="S99" s="43">
        <v>0</v>
      </c>
      <c r="T99" s="43">
        <v>0</v>
      </c>
      <c r="U99" s="56"/>
    </row>
    <row r="100" spans="1:21" ht="17.25" customHeight="1" x14ac:dyDescent="0.3">
      <c r="A100" s="15" t="s">
        <v>30</v>
      </c>
      <c r="C100" s="19"/>
      <c r="D100" s="33" t="str">
        <f t="shared" ref="D100" si="60">D99</f>
        <v>C100030</v>
      </c>
      <c r="E100" s="33"/>
      <c r="F100" s="34"/>
      <c r="G100" s="34" t="str">
        <f>"""NAV Direct"",""CRONUS JetCorp USA"",""32"",""1"",""78875"""</f>
        <v>"NAV Direct","CRONUS JetCorp USA","32","1","78875"</v>
      </c>
      <c r="H100" s="40">
        <v>43471</v>
      </c>
      <c r="I100" s="41">
        <v>78875</v>
      </c>
      <c r="J100" s="42" t="str">
        <f>"Customer"</f>
        <v>Customer</v>
      </c>
      <c r="K100" s="42" t="str">
        <f>"C100124"</f>
        <v>C100124</v>
      </c>
      <c r="L100" s="42" t="str">
        <f>IF($J100="Customer",_xll.NL("first",$J100,"Name","No.","@@"&amp;$K100),"")</f>
        <v>Ontocane Outdoors</v>
      </c>
      <c r="M100" s="42" t="str">
        <f>""</f>
        <v/>
      </c>
      <c r="N100" s="42" t="str">
        <f>IF($J100="Item",_xll.NL("first",$J100,"Description","No.","@@"&amp;$K100),"")</f>
        <v/>
      </c>
      <c r="O100" s="43">
        <v>0</v>
      </c>
      <c r="P100" s="43">
        <v>-48</v>
      </c>
      <c r="Q100" s="43">
        <v>0</v>
      </c>
      <c r="R100" s="43">
        <v>0</v>
      </c>
      <c r="S100" s="43">
        <v>0</v>
      </c>
      <c r="T100" s="43">
        <v>0</v>
      </c>
      <c r="U100" s="56"/>
    </row>
    <row r="101" spans="1:21" ht="17.25" customHeight="1" x14ac:dyDescent="0.3">
      <c r="A101" s="15" t="s">
        <v>30</v>
      </c>
      <c r="C101" s="19"/>
      <c r="D101" s="33"/>
      <c r="E101" s="33"/>
      <c r="F101" s="34"/>
      <c r="G101" s="34"/>
      <c r="H101" s="34"/>
      <c r="I101" s="34"/>
      <c r="J101" s="34"/>
      <c r="K101" s="34"/>
      <c r="L101" s="34"/>
      <c r="M101" s="34"/>
      <c r="N101" s="34"/>
      <c r="O101" s="44"/>
      <c r="P101" s="44"/>
      <c r="Q101" s="44"/>
      <c r="R101" s="44"/>
      <c r="S101" s="44"/>
      <c r="T101" s="44"/>
      <c r="U101" s="57"/>
    </row>
    <row r="102" spans="1:21" ht="17.25" customHeight="1" x14ac:dyDescent="0.3">
      <c r="A102" s="15" t="s">
        <v>30</v>
      </c>
      <c r="C102" s="19"/>
      <c r="D102" s="33"/>
      <c r="E102" s="33" t="s">
        <v>31</v>
      </c>
      <c r="F102" s="34" t="s">
        <v>31</v>
      </c>
      <c r="G102" s="34" t="s">
        <v>31</v>
      </c>
      <c r="H102" s="34"/>
      <c r="I102" s="34"/>
      <c r="J102" s="34" t="s">
        <v>31</v>
      </c>
      <c r="K102" s="34" t="s">
        <v>31</v>
      </c>
      <c r="L102" s="34" t="s">
        <v>31</v>
      </c>
      <c r="M102" s="34" t="s">
        <v>31</v>
      </c>
      <c r="N102" s="34"/>
      <c r="U102" s="58"/>
    </row>
    <row r="103" spans="1:21" ht="20.25" customHeight="1" x14ac:dyDescent="0.35">
      <c r="A103" s="15" t="s">
        <v>30</v>
      </c>
      <c r="C103" s="19"/>
      <c r="D103" s="35" t="str">
        <f t="shared" ref="D103" si="61">E103</f>
        <v>C100031</v>
      </c>
      <c r="E103" s="36" t="str">
        <f>"C100031"</f>
        <v>C100031</v>
      </c>
      <c r="F103" s="37" t="str">
        <f>"Carabiner Watch"</f>
        <v>Carabiner Watch</v>
      </c>
      <c r="G103" s="37"/>
      <c r="H103" s="38" t="str">
        <f>"EA"</f>
        <v>EA</v>
      </c>
      <c r="I103" s="37"/>
      <c r="J103" s="37"/>
      <c r="K103" s="37"/>
      <c r="L103" s="37"/>
      <c r="M103" s="37"/>
      <c r="N103" s="37"/>
      <c r="O103" s="39">
        <f>(SUBTOTAL(9,O104:O105))</f>
        <v>400</v>
      </c>
      <c r="P103" s="39">
        <f>(SUBTOTAL(9,P104:P105))</f>
        <v>0</v>
      </c>
      <c r="Q103" s="39">
        <f>(SUBTOTAL(9,Q104:Q105))</f>
        <v>0</v>
      </c>
      <c r="R103" s="39">
        <f>(SUBTOTAL(9,R104:R105))</f>
        <v>0</v>
      </c>
      <c r="S103" s="39">
        <f>(SUBTOTAL(9,S104:S105))</f>
        <v>0</v>
      </c>
      <c r="T103" s="39">
        <f>(SUBTOTAL(9,T104:T105))</f>
        <v>0</v>
      </c>
      <c r="U103" s="55">
        <f t="shared" ref="U103" si="62">SUBTOTAL(9,O104:T105)</f>
        <v>400</v>
      </c>
    </row>
    <row r="104" spans="1:21" ht="17.25" customHeight="1" x14ac:dyDescent="0.3">
      <c r="A104" s="15" t="s">
        <v>30</v>
      </c>
      <c r="C104" s="19"/>
      <c r="D104" s="33" t="str">
        <f t="shared" ref="D104" si="63">D103</f>
        <v>C100031</v>
      </c>
      <c r="E104" s="33"/>
      <c r="F104" s="34"/>
      <c r="G104" s="34" t="str">
        <f>"""NAV Direct"",""CRONUS JetCorp USA"",""32"",""1"",""167523"""</f>
        <v>"NAV Direct","CRONUS JetCorp USA","32","1","167523"</v>
      </c>
      <c r="H104" s="40">
        <v>43466</v>
      </c>
      <c r="I104" s="41">
        <v>167523</v>
      </c>
      <c r="J104" s="42" t="str">
        <f>"Vendor"</f>
        <v>Vendor</v>
      </c>
      <c r="K104" s="42" t="str">
        <f>"V100009"</f>
        <v>V100009</v>
      </c>
      <c r="L104" s="42" t="str">
        <f>IF($J104="Customer",_xll.NL("first",$J104,"Name","No.","@@"&amp;$K104),"")</f>
        <v/>
      </c>
      <c r="M104" s="42" t="str">
        <f>"Malay-Dan Export Unit Sdn Bhd"</f>
        <v>Malay-Dan Export Unit Sdn Bhd</v>
      </c>
      <c r="N104" s="42" t="str">
        <f>IF($J104="Item",_xll.NL("first",$J104,"Description","No.","@@"&amp;$K104),"")</f>
        <v/>
      </c>
      <c r="O104" s="43">
        <v>400</v>
      </c>
      <c r="P104" s="43">
        <v>0</v>
      </c>
      <c r="Q104" s="43">
        <v>0</v>
      </c>
      <c r="R104" s="43">
        <v>0</v>
      </c>
      <c r="S104" s="43">
        <v>0</v>
      </c>
      <c r="T104" s="43">
        <v>0</v>
      </c>
      <c r="U104" s="56"/>
    </row>
    <row r="105" spans="1:21" ht="17.25" customHeight="1" x14ac:dyDescent="0.3">
      <c r="A105" s="15" t="s">
        <v>30</v>
      </c>
      <c r="C105" s="19"/>
      <c r="D105" s="33"/>
      <c r="E105" s="33"/>
      <c r="F105" s="34"/>
      <c r="G105" s="34"/>
      <c r="H105" s="34"/>
      <c r="I105" s="34"/>
      <c r="J105" s="34"/>
      <c r="K105" s="34"/>
      <c r="L105" s="34"/>
      <c r="M105" s="34"/>
      <c r="N105" s="34"/>
      <c r="O105" s="44"/>
      <c r="P105" s="44"/>
      <c r="Q105" s="44"/>
      <c r="R105" s="44"/>
      <c r="S105" s="44"/>
      <c r="T105" s="44"/>
      <c r="U105" s="57"/>
    </row>
    <row r="106" spans="1:21" ht="17.25" customHeight="1" x14ac:dyDescent="0.3">
      <c r="A106" s="15" t="s">
        <v>30</v>
      </c>
      <c r="C106" s="19"/>
      <c r="D106" s="33"/>
      <c r="E106" s="33" t="s">
        <v>31</v>
      </c>
      <c r="F106" s="34" t="s">
        <v>31</v>
      </c>
      <c r="G106" s="34" t="s">
        <v>31</v>
      </c>
      <c r="H106" s="34"/>
      <c r="I106" s="34"/>
      <c r="J106" s="34" t="s">
        <v>31</v>
      </c>
      <c r="K106" s="34" t="s">
        <v>31</v>
      </c>
      <c r="L106" s="34" t="s">
        <v>31</v>
      </c>
      <c r="M106" s="34" t="s">
        <v>31</v>
      </c>
      <c r="N106" s="34"/>
      <c r="U106" s="58"/>
    </row>
    <row r="107" spans="1:21" ht="20.25" customHeight="1" x14ac:dyDescent="0.35">
      <c r="A107" s="15" t="s">
        <v>30</v>
      </c>
      <c r="C107" s="19"/>
      <c r="D107" s="35" t="str">
        <f t="shared" ref="D107" si="64">E107</f>
        <v>C100032</v>
      </c>
      <c r="E107" s="36" t="str">
        <f>"C100032"</f>
        <v>C100032</v>
      </c>
      <c r="F107" s="37" t="str">
        <f>"Clip-on Clock"</f>
        <v>Clip-on Clock</v>
      </c>
      <c r="G107" s="37"/>
      <c r="H107" s="38" t="str">
        <f>"EA"</f>
        <v>EA</v>
      </c>
      <c r="I107" s="37"/>
      <c r="J107" s="37"/>
      <c r="K107" s="37"/>
      <c r="L107" s="37"/>
      <c r="M107" s="37"/>
      <c r="N107" s="37"/>
      <c r="O107" s="39">
        <f>(SUBTOTAL(9,O108:O112))</f>
        <v>600</v>
      </c>
      <c r="P107" s="39">
        <f>(SUBTOTAL(9,P108:P112))</f>
        <v>-301</v>
      </c>
      <c r="Q107" s="39">
        <f>(SUBTOTAL(9,Q108:Q112))</f>
        <v>0</v>
      </c>
      <c r="R107" s="39">
        <f>(SUBTOTAL(9,R108:R112))</f>
        <v>0</v>
      </c>
      <c r="S107" s="39">
        <f>(SUBTOTAL(9,S108:S112))</f>
        <v>0</v>
      </c>
      <c r="T107" s="39">
        <f>(SUBTOTAL(9,T108:T112))</f>
        <v>0</v>
      </c>
      <c r="U107" s="55">
        <f t="shared" ref="U107" si="65">SUBTOTAL(9,O108:T112)</f>
        <v>299</v>
      </c>
    </row>
    <row r="108" spans="1:21" ht="17.25" customHeight="1" x14ac:dyDescent="0.3">
      <c r="A108" s="15" t="s">
        <v>30</v>
      </c>
      <c r="C108" s="19"/>
      <c r="D108" s="33" t="str">
        <f t="shared" ref="D108" si="66">D107</f>
        <v>C100032</v>
      </c>
      <c r="E108" s="33"/>
      <c r="F108" s="34"/>
      <c r="G108" s="34" t="str">
        <f>"""NAV Direct"",""CRONUS JetCorp USA"",""32"",""1"",""167522"""</f>
        <v>"NAV Direct","CRONUS JetCorp USA","32","1","167522"</v>
      </c>
      <c r="H108" s="40">
        <v>43466</v>
      </c>
      <c r="I108" s="41">
        <v>167522</v>
      </c>
      <c r="J108" s="42" t="str">
        <f>"Vendor"</f>
        <v>Vendor</v>
      </c>
      <c r="K108" s="42" t="str">
        <f>"V100009"</f>
        <v>V100009</v>
      </c>
      <c r="L108" s="42" t="str">
        <f>IF($J108="Customer",_xll.NL("first",$J108,"Name","No.","@@"&amp;$K108),"")</f>
        <v/>
      </c>
      <c r="M108" s="42" t="str">
        <f>"Malay-Dan Export Unit Sdn Bhd"</f>
        <v>Malay-Dan Export Unit Sdn Bhd</v>
      </c>
      <c r="N108" s="42" t="str">
        <f>IF($J108="Item",_xll.NL("first",$J108,"Description","No.","@@"&amp;$K108),"")</f>
        <v/>
      </c>
      <c r="O108" s="43">
        <v>600</v>
      </c>
      <c r="P108" s="43">
        <v>0</v>
      </c>
      <c r="Q108" s="43">
        <v>0</v>
      </c>
      <c r="R108" s="43">
        <v>0</v>
      </c>
      <c r="S108" s="43">
        <v>0</v>
      </c>
      <c r="T108" s="43">
        <v>0</v>
      </c>
      <c r="U108" s="56"/>
    </row>
    <row r="109" spans="1:21" ht="17.25" customHeight="1" x14ac:dyDescent="0.3">
      <c r="A109" s="15" t="s">
        <v>30</v>
      </c>
      <c r="C109" s="19"/>
      <c r="D109" s="33" t="str">
        <f t="shared" ref="D109:D111" si="67">D108</f>
        <v>C100032</v>
      </c>
      <c r="E109" s="33"/>
      <c r="F109" s="34"/>
      <c r="G109" s="34" t="str">
        <f>"""NAV Direct"",""CRONUS JetCorp USA"",""32"",""1"",""132509"""</f>
        <v>"NAV Direct","CRONUS JetCorp USA","32","1","132509"</v>
      </c>
      <c r="H109" s="40">
        <v>43470</v>
      </c>
      <c r="I109" s="41">
        <v>132509</v>
      </c>
      <c r="J109" s="42" t="str">
        <f>"Customer"</f>
        <v>Customer</v>
      </c>
      <c r="K109" s="42" t="str">
        <f>"C100029"</f>
        <v>C100029</v>
      </c>
      <c r="L109" s="42" t="str">
        <f>IF($J109="Customer",_xll.NL("first",$J109,"Name","No.","@@"&amp;$K109),"")</f>
        <v>Elkhorn Airport</v>
      </c>
      <c r="M109" s="42" t="str">
        <f>""</f>
        <v/>
      </c>
      <c r="N109" s="42" t="str">
        <f>IF($J109="Item",_xll.NL("first",$J109,"Description","No.","@@"&amp;$K109),"")</f>
        <v/>
      </c>
      <c r="O109" s="43">
        <v>0</v>
      </c>
      <c r="P109" s="43">
        <v>-144</v>
      </c>
      <c r="Q109" s="43">
        <v>0</v>
      </c>
      <c r="R109" s="43">
        <v>0</v>
      </c>
      <c r="S109" s="43">
        <v>0</v>
      </c>
      <c r="T109" s="43">
        <v>0</v>
      </c>
      <c r="U109" s="56"/>
    </row>
    <row r="110" spans="1:21" ht="17.25" customHeight="1" x14ac:dyDescent="0.3">
      <c r="A110" s="15" t="s">
        <v>30</v>
      </c>
      <c r="C110" s="19"/>
      <c r="D110" s="33" t="str">
        <f t="shared" si="67"/>
        <v>C100032</v>
      </c>
      <c r="E110" s="33"/>
      <c r="F110" s="34"/>
      <c r="G110" s="34" t="str">
        <f>"""NAV Direct"",""CRONUS JetCorp USA"",""32"",""1"",""120191"""</f>
        <v>"NAV Direct","CRONUS JetCorp USA","32","1","120191"</v>
      </c>
      <c r="H110" s="40">
        <v>43474</v>
      </c>
      <c r="I110" s="41">
        <v>120191</v>
      </c>
      <c r="J110" s="42" t="str">
        <f>"Customer"</f>
        <v>Customer</v>
      </c>
      <c r="K110" s="42" t="str">
        <f>"C100049"</f>
        <v>C100049</v>
      </c>
      <c r="L110" s="42" t="str">
        <f>IF($J110="Customer",_xll.NL("first",$J110,"Name","No.","@@"&amp;$K110),"")</f>
        <v>Konberg Tapet AB</v>
      </c>
      <c r="M110" s="42" t="str">
        <f>""</f>
        <v/>
      </c>
      <c r="N110" s="42" t="str">
        <f>IF($J110="Item",_xll.NL("first",$J110,"Description","No.","@@"&amp;$K110),"")</f>
        <v/>
      </c>
      <c r="O110" s="43">
        <v>0</v>
      </c>
      <c r="P110" s="43">
        <v>-13</v>
      </c>
      <c r="Q110" s="43">
        <v>0</v>
      </c>
      <c r="R110" s="43">
        <v>0</v>
      </c>
      <c r="S110" s="43">
        <v>0</v>
      </c>
      <c r="T110" s="43">
        <v>0</v>
      </c>
      <c r="U110" s="56"/>
    </row>
    <row r="111" spans="1:21" ht="17.25" customHeight="1" x14ac:dyDescent="0.3">
      <c r="A111" s="15" t="s">
        <v>30</v>
      </c>
      <c r="C111" s="19"/>
      <c r="D111" s="33" t="str">
        <f t="shared" si="67"/>
        <v>C100032</v>
      </c>
      <c r="E111" s="33"/>
      <c r="F111" s="34"/>
      <c r="G111" s="34" t="str">
        <f>"""NAV Direct"",""CRONUS JetCorp USA"",""32"",""1"",""138724"""</f>
        <v>"NAV Direct","CRONUS JetCorp USA","32","1","138724"</v>
      </c>
      <c r="H111" s="40">
        <v>43477</v>
      </c>
      <c r="I111" s="41">
        <v>138724</v>
      </c>
      <c r="J111" s="42" t="str">
        <f>"Customer"</f>
        <v>Customer</v>
      </c>
      <c r="K111" s="42" t="str">
        <f>"C100021"</f>
        <v>C100021</v>
      </c>
      <c r="L111" s="42" t="str">
        <f>IF($J111="Customer",_xll.NL("first",$J111,"Name","No.","@@"&amp;$K111),"")</f>
        <v>Cronus Cardoxy Sales</v>
      </c>
      <c r="M111" s="42" t="str">
        <f>""</f>
        <v/>
      </c>
      <c r="N111" s="42" t="str">
        <f>IF($J111="Item",_xll.NL("first",$J111,"Description","No.","@@"&amp;$K111),"")</f>
        <v/>
      </c>
      <c r="O111" s="43">
        <v>0</v>
      </c>
      <c r="P111" s="43">
        <v>-144</v>
      </c>
      <c r="Q111" s="43">
        <v>0</v>
      </c>
      <c r="R111" s="43">
        <v>0</v>
      </c>
      <c r="S111" s="43">
        <v>0</v>
      </c>
      <c r="T111" s="43">
        <v>0</v>
      </c>
      <c r="U111" s="56"/>
    </row>
    <row r="112" spans="1:21" ht="17.25" customHeight="1" x14ac:dyDescent="0.3">
      <c r="A112" s="15" t="s">
        <v>30</v>
      </c>
      <c r="C112" s="19"/>
      <c r="D112" s="33"/>
      <c r="E112" s="33"/>
      <c r="F112" s="34"/>
      <c r="G112" s="34"/>
      <c r="H112" s="34"/>
      <c r="I112" s="34"/>
      <c r="J112" s="34"/>
      <c r="K112" s="34"/>
      <c r="L112" s="34"/>
      <c r="M112" s="34"/>
      <c r="N112" s="34"/>
      <c r="O112" s="44"/>
      <c r="P112" s="44"/>
      <c r="Q112" s="44"/>
      <c r="R112" s="44"/>
      <c r="S112" s="44"/>
      <c r="T112" s="44"/>
      <c r="U112" s="57"/>
    </row>
    <row r="113" spans="1:21" ht="17.25" customHeight="1" x14ac:dyDescent="0.3">
      <c r="A113" s="15" t="s">
        <v>30</v>
      </c>
      <c r="C113" s="19"/>
      <c r="D113" s="33"/>
      <c r="E113" s="33" t="s">
        <v>31</v>
      </c>
      <c r="F113" s="34" t="s">
        <v>31</v>
      </c>
      <c r="G113" s="34" t="s">
        <v>31</v>
      </c>
      <c r="H113" s="34"/>
      <c r="I113" s="34"/>
      <c r="J113" s="34" t="s">
        <v>31</v>
      </c>
      <c r="K113" s="34" t="s">
        <v>31</v>
      </c>
      <c r="L113" s="34" t="s">
        <v>31</v>
      </c>
      <c r="M113" s="34" t="s">
        <v>31</v>
      </c>
      <c r="N113" s="34"/>
      <c r="U113" s="58"/>
    </row>
    <row r="114" spans="1:21" ht="20.25" customHeight="1" x14ac:dyDescent="0.35">
      <c r="A114" s="15" t="s">
        <v>30</v>
      </c>
      <c r="C114" s="19"/>
      <c r="D114" s="35" t="str">
        <f t="shared" ref="D114" si="68">E114</f>
        <v>C100033</v>
      </c>
      <c r="E114" s="36" t="str">
        <f>"C100033"</f>
        <v>C100033</v>
      </c>
      <c r="F114" s="37" t="str">
        <f>"Frames &amp; Clock"</f>
        <v>Frames &amp; Clock</v>
      </c>
      <c r="G114" s="37"/>
      <c r="H114" s="38" t="str">
        <f>"EA"</f>
        <v>EA</v>
      </c>
      <c r="I114" s="37"/>
      <c r="J114" s="37"/>
      <c r="K114" s="37"/>
      <c r="L114" s="37"/>
      <c r="M114" s="37"/>
      <c r="N114" s="37"/>
      <c r="O114" s="39">
        <f>(SUBTOTAL(9,O115:O118))</f>
        <v>400</v>
      </c>
      <c r="P114" s="39">
        <f>(SUBTOTAL(9,P115:P118))</f>
        <v>-54</v>
      </c>
      <c r="Q114" s="39">
        <f>(SUBTOTAL(9,Q115:Q118))</f>
        <v>0</v>
      </c>
      <c r="R114" s="39">
        <f>(SUBTOTAL(9,R115:R118))</f>
        <v>0</v>
      </c>
      <c r="S114" s="39">
        <f>(SUBTOTAL(9,S115:S118))</f>
        <v>0</v>
      </c>
      <c r="T114" s="39">
        <f>(SUBTOTAL(9,T115:T118))</f>
        <v>0</v>
      </c>
      <c r="U114" s="55">
        <f t="shared" ref="U114" si="69">SUBTOTAL(9,O115:T118)</f>
        <v>346</v>
      </c>
    </row>
    <row r="115" spans="1:21" ht="17.25" customHeight="1" x14ac:dyDescent="0.3">
      <c r="A115" s="15" t="s">
        <v>30</v>
      </c>
      <c r="C115" s="19"/>
      <c r="D115" s="33" t="str">
        <f t="shared" ref="D115" si="70">D114</f>
        <v>C100033</v>
      </c>
      <c r="E115" s="33"/>
      <c r="F115" s="34"/>
      <c r="G115" s="34" t="str">
        <f>"""NAV Direct"",""CRONUS JetCorp USA"",""32"",""1"",""167521"""</f>
        <v>"NAV Direct","CRONUS JetCorp USA","32","1","167521"</v>
      </c>
      <c r="H115" s="40">
        <v>43466</v>
      </c>
      <c r="I115" s="41">
        <v>167521</v>
      </c>
      <c r="J115" s="42" t="str">
        <f>"Vendor"</f>
        <v>Vendor</v>
      </c>
      <c r="K115" s="42" t="str">
        <f>"V100009"</f>
        <v>V100009</v>
      </c>
      <c r="L115" s="42" t="str">
        <f>IF($J115="Customer",_xll.NL("first",$J115,"Name","No.","@@"&amp;$K115),"")</f>
        <v/>
      </c>
      <c r="M115" s="42" t="str">
        <f>"Malay-Dan Export Unit Sdn Bhd"</f>
        <v>Malay-Dan Export Unit Sdn Bhd</v>
      </c>
      <c r="N115" s="42" t="str">
        <f>IF($J115="Item",_xll.NL("first",$J115,"Description","No.","@@"&amp;$K115),"")</f>
        <v/>
      </c>
      <c r="O115" s="43">
        <v>400</v>
      </c>
      <c r="P115" s="43">
        <v>0</v>
      </c>
      <c r="Q115" s="43">
        <v>0</v>
      </c>
      <c r="R115" s="43">
        <v>0</v>
      </c>
      <c r="S115" s="43">
        <v>0</v>
      </c>
      <c r="T115" s="43">
        <v>0</v>
      </c>
      <c r="U115" s="56"/>
    </row>
    <row r="116" spans="1:21" ht="17.25" customHeight="1" x14ac:dyDescent="0.3">
      <c r="A116" s="15" t="s">
        <v>30</v>
      </c>
      <c r="C116" s="19"/>
      <c r="D116" s="33" t="str">
        <f t="shared" ref="D116:D117" si="71">D115</f>
        <v>C100033</v>
      </c>
      <c r="E116" s="33"/>
      <c r="F116" s="34"/>
      <c r="G116" s="34" t="str">
        <f>"""NAV Direct"",""CRONUS JetCorp USA"",""32"",""1"",""78874"""</f>
        <v>"NAV Direct","CRONUS JetCorp USA","32","1","78874"</v>
      </c>
      <c r="H116" s="40">
        <v>43471</v>
      </c>
      <c r="I116" s="41">
        <v>78874</v>
      </c>
      <c r="J116" s="42" t="str">
        <f>"Customer"</f>
        <v>Customer</v>
      </c>
      <c r="K116" s="42" t="str">
        <f>"C100124"</f>
        <v>C100124</v>
      </c>
      <c r="L116" s="42" t="str">
        <f>IF($J116="Customer",_xll.NL("first",$J116,"Name","No.","@@"&amp;$K116),"")</f>
        <v>Ontocane Outdoors</v>
      </c>
      <c r="M116" s="42" t="str">
        <f>""</f>
        <v/>
      </c>
      <c r="N116" s="42" t="str">
        <f>IF($J116="Item",_xll.NL("first",$J116,"Description","No.","@@"&amp;$K116),"")</f>
        <v/>
      </c>
      <c r="O116" s="43">
        <v>0</v>
      </c>
      <c r="P116" s="43">
        <v>-48</v>
      </c>
      <c r="Q116" s="43">
        <v>0</v>
      </c>
      <c r="R116" s="43">
        <v>0</v>
      </c>
      <c r="S116" s="43">
        <v>0</v>
      </c>
      <c r="T116" s="43">
        <v>0</v>
      </c>
      <c r="U116" s="56"/>
    </row>
    <row r="117" spans="1:21" ht="17.25" customHeight="1" x14ac:dyDescent="0.3">
      <c r="A117" s="15" t="s">
        <v>30</v>
      </c>
      <c r="C117" s="19"/>
      <c r="D117" s="33" t="str">
        <f t="shared" si="71"/>
        <v>C100033</v>
      </c>
      <c r="E117" s="33"/>
      <c r="F117" s="34"/>
      <c r="G117" s="34" t="str">
        <f>"""NAV Direct"",""CRONUS JetCorp USA"",""32"",""1"",""120193"""</f>
        <v>"NAV Direct","CRONUS JetCorp USA","32","1","120193"</v>
      </c>
      <c r="H117" s="40">
        <v>43474</v>
      </c>
      <c r="I117" s="41">
        <v>120193</v>
      </c>
      <c r="J117" s="42" t="str">
        <f>"Customer"</f>
        <v>Customer</v>
      </c>
      <c r="K117" s="42" t="str">
        <f>"C100049"</f>
        <v>C100049</v>
      </c>
      <c r="L117" s="42" t="str">
        <f>IF($J117="Customer",_xll.NL("first",$J117,"Name","No.","@@"&amp;$K117),"")</f>
        <v>Konberg Tapet AB</v>
      </c>
      <c r="M117" s="42" t="str">
        <f>""</f>
        <v/>
      </c>
      <c r="N117" s="42" t="str">
        <f>IF($J117="Item",_xll.NL("first",$J117,"Description","No.","@@"&amp;$K117),"")</f>
        <v/>
      </c>
      <c r="O117" s="43">
        <v>0</v>
      </c>
      <c r="P117" s="43">
        <v>-6</v>
      </c>
      <c r="Q117" s="43">
        <v>0</v>
      </c>
      <c r="R117" s="43">
        <v>0</v>
      </c>
      <c r="S117" s="43">
        <v>0</v>
      </c>
      <c r="T117" s="43">
        <v>0</v>
      </c>
      <c r="U117" s="56"/>
    </row>
    <row r="118" spans="1:21" ht="17.25" customHeight="1" x14ac:dyDescent="0.3">
      <c r="A118" s="15" t="s">
        <v>30</v>
      </c>
      <c r="C118" s="19"/>
      <c r="D118" s="33"/>
      <c r="E118" s="33"/>
      <c r="F118" s="34"/>
      <c r="G118" s="34"/>
      <c r="H118" s="34"/>
      <c r="I118" s="34"/>
      <c r="J118" s="34"/>
      <c r="K118" s="34"/>
      <c r="L118" s="34"/>
      <c r="M118" s="34"/>
      <c r="N118" s="34"/>
      <c r="O118" s="44"/>
      <c r="P118" s="44"/>
      <c r="Q118" s="44"/>
      <c r="R118" s="44"/>
      <c r="S118" s="44"/>
      <c r="T118" s="44"/>
      <c r="U118" s="57"/>
    </row>
    <row r="119" spans="1:21" ht="17.25" customHeight="1" x14ac:dyDescent="0.3">
      <c r="A119" s="15" t="s">
        <v>30</v>
      </c>
      <c r="C119" s="19"/>
      <c r="D119" s="33"/>
      <c r="E119" s="33" t="s">
        <v>31</v>
      </c>
      <c r="F119" s="34" t="s">
        <v>31</v>
      </c>
      <c r="G119" s="34" t="s">
        <v>31</v>
      </c>
      <c r="H119" s="34"/>
      <c r="I119" s="34"/>
      <c r="J119" s="34" t="s">
        <v>31</v>
      </c>
      <c r="K119" s="34" t="s">
        <v>31</v>
      </c>
      <c r="L119" s="34" t="s">
        <v>31</v>
      </c>
      <c r="M119" s="34" t="s">
        <v>31</v>
      </c>
      <c r="N119" s="34"/>
      <c r="U119" s="58"/>
    </row>
    <row r="120" spans="1:21" ht="20.25" customHeight="1" x14ac:dyDescent="0.35">
      <c r="A120" s="15" t="s">
        <v>30</v>
      </c>
      <c r="C120" s="19"/>
      <c r="D120" s="35" t="str">
        <f t="shared" ref="D120" si="72">E120</f>
        <v>C100034</v>
      </c>
      <c r="E120" s="36" t="str">
        <f>"C100034"</f>
        <v>C100034</v>
      </c>
      <c r="F120" s="37" t="str">
        <f>"Clock &amp; Pen Holder"</f>
        <v>Clock &amp; Pen Holder</v>
      </c>
      <c r="G120" s="37"/>
      <c r="H120" s="38" t="str">
        <f>"EA"</f>
        <v>EA</v>
      </c>
      <c r="I120" s="37"/>
      <c r="J120" s="37"/>
      <c r="K120" s="37"/>
      <c r="L120" s="37"/>
      <c r="M120" s="37"/>
      <c r="N120" s="37"/>
      <c r="O120" s="39">
        <f>(SUBTOTAL(9,O121:O122))</f>
        <v>400</v>
      </c>
      <c r="P120" s="39">
        <f>(SUBTOTAL(9,P121:P122))</f>
        <v>0</v>
      </c>
      <c r="Q120" s="39">
        <f>(SUBTOTAL(9,Q121:Q122))</f>
        <v>0</v>
      </c>
      <c r="R120" s="39">
        <f>(SUBTOTAL(9,R121:R122))</f>
        <v>0</v>
      </c>
      <c r="S120" s="39">
        <f>(SUBTOTAL(9,S121:S122))</f>
        <v>0</v>
      </c>
      <c r="T120" s="39">
        <f>(SUBTOTAL(9,T121:T122))</f>
        <v>0</v>
      </c>
      <c r="U120" s="55">
        <f t="shared" ref="U120" si="73">SUBTOTAL(9,O121:T122)</f>
        <v>400</v>
      </c>
    </row>
    <row r="121" spans="1:21" ht="17.25" customHeight="1" x14ac:dyDescent="0.3">
      <c r="A121" s="15" t="s">
        <v>30</v>
      </c>
      <c r="C121" s="19"/>
      <c r="D121" s="33" t="str">
        <f t="shared" ref="D121" si="74">D120</f>
        <v>C100034</v>
      </c>
      <c r="E121" s="33"/>
      <c r="F121" s="34"/>
      <c r="G121" s="34" t="str">
        <f>"""NAV Direct"",""CRONUS JetCorp USA"",""32"",""1"",""167520"""</f>
        <v>"NAV Direct","CRONUS JetCorp USA","32","1","167520"</v>
      </c>
      <c r="H121" s="40">
        <v>43466</v>
      </c>
      <c r="I121" s="41">
        <v>167520</v>
      </c>
      <c r="J121" s="42" t="str">
        <f>"Vendor"</f>
        <v>Vendor</v>
      </c>
      <c r="K121" s="42" t="str">
        <f>"V100009"</f>
        <v>V100009</v>
      </c>
      <c r="L121" s="42" t="str">
        <f>IF($J121="Customer",_xll.NL("first",$J121,"Name","No.","@@"&amp;$K121),"")</f>
        <v/>
      </c>
      <c r="M121" s="42" t="str">
        <f>"Malay-Dan Export Unit Sdn Bhd"</f>
        <v>Malay-Dan Export Unit Sdn Bhd</v>
      </c>
      <c r="N121" s="42" t="str">
        <f>IF($J121="Item",_xll.NL("first",$J121,"Description","No.","@@"&amp;$K121),"")</f>
        <v/>
      </c>
      <c r="O121" s="43">
        <v>400</v>
      </c>
      <c r="P121" s="43">
        <v>0</v>
      </c>
      <c r="Q121" s="43">
        <v>0</v>
      </c>
      <c r="R121" s="43">
        <v>0</v>
      </c>
      <c r="S121" s="43">
        <v>0</v>
      </c>
      <c r="T121" s="43">
        <v>0</v>
      </c>
      <c r="U121" s="56"/>
    </row>
    <row r="122" spans="1:21" ht="17.25" customHeight="1" x14ac:dyDescent="0.3">
      <c r="A122" s="15" t="s">
        <v>30</v>
      </c>
      <c r="C122" s="19"/>
      <c r="D122" s="33"/>
      <c r="E122" s="33"/>
      <c r="F122" s="34"/>
      <c r="G122" s="34"/>
      <c r="H122" s="34"/>
      <c r="I122" s="34"/>
      <c r="J122" s="34"/>
      <c r="K122" s="34"/>
      <c r="L122" s="34"/>
      <c r="M122" s="34"/>
      <c r="N122" s="34"/>
      <c r="O122" s="44"/>
      <c r="P122" s="44"/>
      <c r="Q122" s="44"/>
      <c r="R122" s="44"/>
      <c r="S122" s="44"/>
      <c r="T122" s="44"/>
      <c r="U122" s="57"/>
    </row>
    <row r="123" spans="1:21" ht="17.25" customHeight="1" x14ac:dyDescent="0.3">
      <c r="A123" s="15" t="s">
        <v>30</v>
      </c>
      <c r="C123" s="19"/>
      <c r="D123" s="33"/>
      <c r="E123" s="33" t="s">
        <v>31</v>
      </c>
      <c r="F123" s="34" t="s">
        <v>31</v>
      </c>
      <c r="G123" s="34" t="s">
        <v>31</v>
      </c>
      <c r="H123" s="34"/>
      <c r="I123" s="34"/>
      <c r="J123" s="34" t="s">
        <v>31</v>
      </c>
      <c r="K123" s="34" t="s">
        <v>31</v>
      </c>
      <c r="L123" s="34" t="s">
        <v>31</v>
      </c>
      <c r="M123" s="34" t="s">
        <v>31</v>
      </c>
      <c r="N123" s="34"/>
      <c r="U123" s="58"/>
    </row>
    <row r="124" spans="1:21" ht="20.25" customHeight="1" x14ac:dyDescent="0.35">
      <c r="A124" s="15" t="s">
        <v>30</v>
      </c>
      <c r="C124" s="19"/>
      <c r="D124" s="35" t="str">
        <f t="shared" ref="D124" si="75">E124</f>
        <v>C100036</v>
      </c>
      <c r="E124" s="36" t="str">
        <f>"C100036"</f>
        <v>C100036</v>
      </c>
      <c r="F124" s="37" t="str">
        <f>"Clock &amp; Business Card Holder"</f>
        <v>Clock &amp; Business Card Holder</v>
      </c>
      <c r="G124" s="37"/>
      <c r="H124" s="38" t="str">
        <f>"EA"</f>
        <v>EA</v>
      </c>
      <c r="I124" s="37"/>
      <c r="J124" s="37"/>
      <c r="K124" s="37"/>
      <c r="L124" s="37"/>
      <c r="M124" s="37"/>
      <c r="N124" s="37"/>
      <c r="O124" s="39">
        <f>(SUBTOTAL(9,O125:O126))</f>
        <v>200</v>
      </c>
      <c r="P124" s="39">
        <f>(SUBTOTAL(9,P125:P126))</f>
        <v>0</v>
      </c>
      <c r="Q124" s="39">
        <f>(SUBTOTAL(9,Q125:Q126))</f>
        <v>0</v>
      </c>
      <c r="R124" s="39">
        <f>(SUBTOTAL(9,R125:R126))</f>
        <v>0</v>
      </c>
      <c r="S124" s="39">
        <f>(SUBTOTAL(9,S125:S126))</f>
        <v>0</v>
      </c>
      <c r="T124" s="39">
        <f>(SUBTOTAL(9,T125:T126))</f>
        <v>0</v>
      </c>
      <c r="U124" s="55">
        <f t="shared" ref="U124" si="76">SUBTOTAL(9,O125:T126)</f>
        <v>200</v>
      </c>
    </row>
    <row r="125" spans="1:21" ht="17.25" customHeight="1" x14ac:dyDescent="0.3">
      <c r="A125" s="15" t="s">
        <v>30</v>
      </c>
      <c r="C125" s="19"/>
      <c r="D125" s="33" t="str">
        <f t="shared" ref="D125" si="77">D124</f>
        <v>C100036</v>
      </c>
      <c r="E125" s="33"/>
      <c r="F125" s="34"/>
      <c r="G125" s="34" t="str">
        <f>"""NAV Direct"",""CRONUS JetCorp USA"",""32"",""1"",""167519"""</f>
        <v>"NAV Direct","CRONUS JetCorp USA","32","1","167519"</v>
      </c>
      <c r="H125" s="40">
        <v>43466</v>
      </c>
      <c r="I125" s="41">
        <v>167519</v>
      </c>
      <c r="J125" s="42" t="str">
        <f>"Vendor"</f>
        <v>Vendor</v>
      </c>
      <c r="K125" s="42" t="str">
        <f>"V100009"</f>
        <v>V100009</v>
      </c>
      <c r="L125" s="42" t="str">
        <f>IF($J125="Customer",_xll.NL("first",$J125,"Name","No.","@@"&amp;$K125),"")</f>
        <v/>
      </c>
      <c r="M125" s="42" t="str">
        <f>"Malay-Dan Export Unit Sdn Bhd"</f>
        <v>Malay-Dan Export Unit Sdn Bhd</v>
      </c>
      <c r="N125" s="42" t="str">
        <f>IF($J125="Item",_xll.NL("first",$J125,"Description","No.","@@"&amp;$K125),"")</f>
        <v/>
      </c>
      <c r="O125" s="43">
        <v>200</v>
      </c>
      <c r="P125" s="43">
        <v>0</v>
      </c>
      <c r="Q125" s="43">
        <v>0</v>
      </c>
      <c r="R125" s="43">
        <v>0</v>
      </c>
      <c r="S125" s="43">
        <v>0</v>
      </c>
      <c r="T125" s="43">
        <v>0</v>
      </c>
      <c r="U125" s="56"/>
    </row>
    <row r="126" spans="1:21" ht="17.25" customHeight="1" x14ac:dyDescent="0.3">
      <c r="A126" s="15" t="s">
        <v>30</v>
      </c>
      <c r="C126" s="19"/>
      <c r="D126" s="33"/>
      <c r="E126" s="33"/>
      <c r="F126" s="34"/>
      <c r="G126" s="34"/>
      <c r="H126" s="34"/>
      <c r="I126" s="34"/>
      <c r="J126" s="34"/>
      <c r="K126" s="34"/>
      <c r="L126" s="34"/>
      <c r="M126" s="34"/>
      <c r="N126" s="34"/>
      <c r="O126" s="44"/>
      <c r="P126" s="44"/>
      <c r="Q126" s="44"/>
      <c r="R126" s="44"/>
      <c r="S126" s="44"/>
      <c r="T126" s="44"/>
      <c r="U126" s="57"/>
    </row>
    <row r="127" spans="1:21" ht="17.25" customHeight="1" x14ac:dyDescent="0.3">
      <c r="A127" s="15" t="s">
        <v>30</v>
      </c>
      <c r="C127" s="19"/>
      <c r="D127" s="33"/>
      <c r="E127" s="33" t="s">
        <v>31</v>
      </c>
      <c r="F127" s="34" t="s">
        <v>31</v>
      </c>
      <c r="G127" s="34" t="s">
        <v>31</v>
      </c>
      <c r="H127" s="34"/>
      <c r="I127" s="34"/>
      <c r="J127" s="34" t="s">
        <v>31</v>
      </c>
      <c r="K127" s="34" t="s">
        <v>31</v>
      </c>
      <c r="L127" s="34" t="s">
        <v>31</v>
      </c>
      <c r="M127" s="34" t="s">
        <v>31</v>
      </c>
      <c r="N127" s="34"/>
      <c r="U127" s="58"/>
    </row>
    <row r="128" spans="1:21" ht="20.25" customHeight="1" x14ac:dyDescent="0.35">
      <c r="A128" s="15" t="s">
        <v>30</v>
      </c>
      <c r="C128" s="19"/>
      <c r="D128" s="35" t="str">
        <f t="shared" ref="D128" si="78">E128</f>
        <v>C100038</v>
      </c>
      <c r="E128" s="36" t="str">
        <f>"C100038"</f>
        <v>C100038</v>
      </c>
      <c r="F128" s="37" t="str">
        <f>"Foldable Travel Speakers"</f>
        <v>Foldable Travel Speakers</v>
      </c>
      <c r="G128" s="37"/>
      <c r="H128" s="38" t="str">
        <f>"EA"</f>
        <v>EA</v>
      </c>
      <c r="I128" s="37"/>
      <c r="J128" s="37"/>
      <c r="K128" s="37"/>
      <c r="L128" s="37"/>
      <c r="M128" s="37"/>
      <c r="N128" s="37"/>
      <c r="O128" s="39">
        <f>(SUBTOTAL(9,O129:O130))</f>
        <v>100</v>
      </c>
      <c r="P128" s="39">
        <f>(SUBTOTAL(9,P129:P130))</f>
        <v>0</v>
      </c>
      <c r="Q128" s="39">
        <f>(SUBTOTAL(9,Q129:Q130))</f>
        <v>0</v>
      </c>
      <c r="R128" s="39">
        <f>(SUBTOTAL(9,R129:R130))</f>
        <v>0</v>
      </c>
      <c r="S128" s="39">
        <f>(SUBTOTAL(9,S129:S130))</f>
        <v>0</v>
      </c>
      <c r="T128" s="39">
        <f>(SUBTOTAL(9,T129:T130))</f>
        <v>0</v>
      </c>
      <c r="U128" s="55">
        <f t="shared" ref="U128" si="79">SUBTOTAL(9,O129:T130)</f>
        <v>100</v>
      </c>
    </row>
    <row r="129" spans="1:21" ht="17.25" customHeight="1" x14ac:dyDescent="0.3">
      <c r="A129" s="15" t="s">
        <v>30</v>
      </c>
      <c r="C129" s="19"/>
      <c r="D129" s="33" t="str">
        <f t="shared" ref="D129" si="80">D128</f>
        <v>C100038</v>
      </c>
      <c r="E129" s="33"/>
      <c r="F129" s="34"/>
      <c r="G129" s="34" t="str">
        <f>"""NAV Direct"",""CRONUS JetCorp USA"",""32"",""1"",""168006"""</f>
        <v>"NAV Direct","CRONUS JetCorp USA","32","1","168006"</v>
      </c>
      <c r="H129" s="40">
        <v>43466</v>
      </c>
      <c r="I129" s="41">
        <v>168006</v>
      </c>
      <c r="J129" s="42" t="str">
        <f>"Vendor"</f>
        <v>Vendor</v>
      </c>
      <c r="K129" s="42" t="str">
        <f>"V100023"</f>
        <v>V100023</v>
      </c>
      <c r="L129" s="42" t="str">
        <f>IF($J129="Customer",_xll.NL("first",$J129,"Name","No.","@@"&amp;$K129),"")</f>
        <v/>
      </c>
      <c r="M129" s="42" t="str">
        <f>"PURE-LOOK"</f>
        <v>PURE-LOOK</v>
      </c>
      <c r="N129" s="42" t="str">
        <f>IF($J129="Item",_xll.NL("first",$J129,"Description","No.","@@"&amp;$K129),"")</f>
        <v/>
      </c>
      <c r="O129" s="43">
        <v>100</v>
      </c>
      <c r="P129" s="43">
        <v>0</v>
      </c>
      <c r="Q129" s="43">
        <v>0</v>
      </c>
      <c r="R129" s="43">
        <v>0</v>
      </c>
      <c r="S129" s="43">
        <v>0</v>
      </c>
      <c r="T129" s="43">
        <v>0</v>
      </c>
      <c r="U129" s="56"/>
    </row>
    <row r="130" spans="1:21" ht="17.25" customHeight="1" x14ac:dyDescent="0.3">
      <c r="A130" s="15" t="s">
        <v>30</v>
      </c>
      <c r="C130" s="19"/>
      <c r="D130" s="33"/>
      <c r="E130" s="33"/>
      <c r="F130" s="34"/>
      <c r="G130" s="34"/>
      <c r="H130" s="34"/>
      <c r="I130" s="34"/>
      <c r="J130" s="34"/>
      <c r="K130" s="34"/>
      <c r="L130" s="34"/>
      <c r="M130" s="34"/>
      <c r="N130" s="34"/>
      <c r="O130" s="44"/>
      <c r="P130" s="44"/>
      <c r="Q130" s="44"/>
      <c r="R130" s="44"/>
      <c r="S130" s="44"/>
      <c r="T130" s="44"/>
      <c r="U130" s="57"/>
    </row>
    <row r="131" spans="1:21" ht="17.25" customHeight="1" x14ac:dyDescent="0.3">
      <c r="A131" s="15" t="s">
        <v>30</v>
      </c>
      <c r="C131" s="19"/>
      <c r="D131" s="33"/>
      <c r="E131" s="33" t="s">
        <v>31</v>
      </c>
      <c r="F131" s="34" t="s">
        <v>31</v>
      </c>
      <c r="G131" s="34" t="s">
        <v>31</v>
      </c>
      <c r="H131" s="34"/>
      <c r="I131" s="34"/>
      <c r="J131" s="34" t="s">
        <v>31</v>
      </c>
      <c r="K131" s="34" t="s">
        <v>31</v>
      </c>
      <c r="L131" s="34" t="s">
        <v>31</v>
      </c>
      <c r="M131" s="34" t="s">
        <v>31</v>
      </c>
      <c r="N131" s="34"/>
      <c r="U131" s="58"/>
    </row>
    <row r="132" spans="1:21" ht="20.25" customHeight="1" x14ac:dyDescent="0.35">
      <c r="A132" s="15" t="s">
        <v>30</v>
      </c>
      <c r="C132" s="19"/>
      <c r="D132" s="35" t="str">
        <f t="shared" ref="D132" si="81">E132</f>
        <v>C100041</v>
      </c>
      <c r="E132" s="36" t="str">
        <f>"C100041"</f>
        <v>C100041</v>
      </c>
      <c r="F132" s="37" t="str">
        <f>"Folding Stereo Speakers"</f>
        <v>Folding Stereo Speakers</v>
      </c>
      <c r="G132" s="37"/>
      <c r="H132" s="38" t="str">
        <f>"EA"</f>
        <v>EA</v>
      </c>
      <c r="I132" s="37"/>
      <c r="J132" s="37"/>
      <c r="K132" s="37"/>
      <c r="L132" s="37"/>
      <c r="M132" s="37"/>
      <c r="N132" s="37"/>
      <c r="O132" s="39">
        <f>(SUBTOTAL(9,O133:O134))</f>
        <v>200</v>
      </c>
      <c r="P132" s="39">
        <f>(SUBTOTAL(9,P133:P134))</f>
        <v>0</v>
      </c>
      <c r="Q132" s="39">
        <f>(SUBTOTAL(9,Q133:Q134))</f>
        <v>0</v>
      </c>
      <c r="R132" s="39">
        <f>(SUBTOTAL(9,R133:R134))</f>
        <v>0</v>
      </c>
      <c r="S132" s="39">
        <f>(SUBTOTAL(9,S133:S134))</f>
        <v>0</v>
      </c>
      <c r="T132" s="39">
        <f>(SUBTOTAL(9,T133:T134))</f>
        <v>0</v>
      </c>
      <c r="U132" s="55">
        <f t="shared" ref="U132" si="82">SUBTOTAL(9,O133:T134)</f>
        <v>200</v>
      </c>
    </row>
    <row r="133" spans="1:21" ht="17.25" customHeight="1" x14ac:dyDescent="0.3">
      <c r="A133" s="15" t="s">
        <v>30</v>
      </c>
      <c r="C133" s="19"/>
      <c r="D133" s="33" t="str">
        <f t="shared" ref="D133" si="83">D132</f>
        <v>C100041</v>
      </c>
      <c r="E133" s="33"/>
      <c r="F133" s="34"/>
      <c r="G133" s="34" t="str">
        <f>"""NAV Direct"",""CRONUS JetCorp USA"",""32"",""1"",""168005"""</f>
        <v>"NAV Direct","CRONUS JetCorp USA","32","1","168005"</v>
      </c>
      <c r="H133" s="40">
        <v>43466</v>
      </c>
      <c r="I133" s="41">
        <v>168005</v>
      </c>
      <c r="J133" s="42" t="str">
        <f>"Vendor"</f>
        <v>Vendor</v>
      </c>
      <c r="K133" s="42" t="str">
        <f>"V100023"</f>
        <v>V100023</v>
      </c>
      <c r="L133" s="42" t="str">
        <f>IF($J133="Customer",_xll.NL("first",$J133,"Name","No.","@@"&amp;$K133),"")</f>
        <v/>
      </c>
      <c r="M133" s="42" t="str">
        <f>"PURE-LOOK"</f>
        <v>PURE-LOOK</v>
      </c>
      <c r="N133" s="42" t="str">
        <f>IF($J133="Item",_xll.NL("first",$J133,"Description","No.","@@"&amp;$K133),"")</f>
        <v/>
      </c>
      <c r="O133" s="43">
        <v>200</v>
      </c>
      <c r="P133" s="43">
        <v>0</v>
      </c>
      <c r="Q133" s="43">
        <v>0</v>
      </c>
      <c r="R133" s="43">
        <v>0</v>
      </c>
      <c r="S133" s="43">
        <v>0</v>
      </c>
      <c r="T133" s="43">
        <v>0</v>
      </c>
      <c r="U133" s="56"/>
    </row>
    <row r="134" spans="1:21" ht="17.25" customHeight="1" x14ac:dyDescent="0.3">
      <c r="A134" s="15" t="s">
        <v>30</v>
      </c>
      <c r="C134" s="19"/>
      <c r="D134" s="33"/>
      <c r="E134" s="33"/>
      <c r="F134" s="34"/>
      <c r="G134" s="34"/>
      <c r="H134" s="34"/>
      <c r="I134" s="34"/>
      <c r="J134" s="34"/>
      <c r="K134" s="34"/>
      <c r="L134" s="34"/>
      <c r="M134" s="34"/>
      <c r="N134" s="34"/>
      <c r="O134" s="44"/>
      <c r="P134" s="44"/>
      <c r="Q134" s="44"/>
      <c r="R134" s="44"/>
      <c r="S134" s="44"/>
      <c r="T134" s="44"/>
      <c r="U134" s="57"/>
    </row>
    <row r="135" spans="1:21" ht="17.25" customHeight="1" x14ac:dyDescent="0.3">
      <c r="A135" s="15" t="s">
        <v>30</v>
      </c>
      <c r="C135" s="19"/>
      <c r="D135" s="33"/>
      <c r="E135" s="33" t="s">
        <v>31</v>
      </c>
      <c r="F135" s="34" t="s">
        <v>31</v>
      </c>
      <c r="G135" s="34" t="s">
        <v>31</v>
      </c>
      <c r="H135" s="34"/>
      <c r="I135" s="34"/>
      <c r="J135" s="34" t="s">
        <v>31</v>
      </c>
      <c r="K135" s="34" t="s">
        <v>31</v>
      </c>
      <c r="L135" s="34" t="s">
        <v>31</v>
      </c>
      <c r="M135" s="34" t="s">
        <v>31</v>
      </c>
      <c r="N135" s="34"/>
      <c r="U135" s="58"/>
    </row>
    <row r="136" spans="1:21" ht="20.25" customHeight="1" x14ac:dyDescent="0.35">
      <c r="A136" s="15" t="s">
        <v>30</v>
      </c>
      <c r="C136" s="19"/>
      <c r="D136" s="35" t="str">
        <f t="shared" ref="D136" si="84">E136</f>
        <v>C100042</v>
      </c>
      <c r="E136" s="36" t="str">
        <f>"C100042"</f>
        <v>C100042</v>
      </c>
      <c r="F136" s="37" t="str">
        <f>"Retractable Earbuds"</f>
        <v>Retractable Earbuds</v>
      </c>
      <c r="G136" s="37"/>
      <c r="H136" s="38" t="str">
        <f>"EA"</f>
        <v>EA</v>
      </c>
      <c r="I136" s="37"/>
      <c r="J136" s="37"/>
      <c r="K136" s="37"/>
      <c r="L136" s="37"/>
      <c r="M136" s="37"/>
      <c r="N136" s="37"/>
      <c r="O136" s="39">
        <f>(SUBTOTAL(9,O137:O139))</f>
        <v>200</v>
      </c>
      <c r="P136" s="39">
        <f>(SUBTOTAL(9,P137:P139))</f>
        <v>-1</v>
      </c>
      <c r="Q136" s="39">
        <f>(SUBTOTAL(9,Q137:Q139))</f>
        <v>0</v>
      </c>
      <c r="R136" s="39">
        <f>(SUBTOTAL(9,R137:R139))</f>
        <v>0</v>
      </c>
      <c r="S136" s="39">
        <f>(SUBTOTAL(9,S137:S139))</f>
        <v>0</v>
      </c>
      <c r="T136" s="39">
        <f>(SUBTOTAL(9,T137:T139))</f>
        <v>0</v>
      </c>
      <c r="U136" s="55">
        <f t="shared" ref="U136" si="85">SUBTOTAL(9,O137:T139)</f>
        <v>199</v>
      </c>
    </row>
    <row r="137" spans="1:21" ht="17.25" customHeight="1" x14ac:dyDescent="0.3">
      <c r="A137" s="15" t="s">
        <v>30</v>
      </c>
      <c r="C137" s="19"/>
      <c r="D137" s="33" t="str">
        <f t="shared" ref="D137" si="86">D136</f>
        <v>C100042</v>
      </c>
      <c r="E137" s="33"/>
      <c r="F137" s="34"/>
      <c r="G137" s="34" t="str">
        <f>"""NAV Direct"",""CRONUS JetCorp USA"",""32"",""1"",""168004"""</f>
        <v>"NAV Direct","CRONUS JetCorp USA","32","1","168004"</v>
      </c>
      <c r="H137" s="40">
        <v>43466</v>
      </c>
      <c r="I137" s="41">
        <v>168004</v>
      </c>
      <c r="J137" s="42" t="str">
        <f>"Vendor"</f>
        <v>Vendor</v>
      </c>
      <c r="K137" s="42" t="str">
        <f>"V100023"</f>
        <v>V100023</v>
      </c>
      <c r="L137" s="42" t="str">
        <f>IF($J137="Customer",_xll.NL("first",$J137,"Name","No.","@@"&amp;$K137),"")</f>
        <v/>
      </c>
      <c r="M137" s="42" t="str">
        <f>"PURE-LOOK"</f>
        <v>PURE-LOOK</v>
      </c>
      <c r="N137" s="42" t="str">
        <f>IF($J137="Item",_xll.NL("first",$J137,"Description","No.","@@"&amp;$K137),"")</f>
        <v/>
      </c>
      <c r="O137" s="43">
        <v>200</v>
      </c>
      <c r="P137" s="43">
        <v>0</v>
      </c>
      <c r="Q137" s="43">
        <v>0</v>
      </c>
      <c r="R137" s="43">
        <v>0</v>
      </c>
      <c r="S137" s="43">
        <v>0</v>
      </c>
      <c r="T137" s="43">
        <v>0</v>
      </c>
      <c r="U137" s="56"/>
    </row>
    <row r="138" spans="1:21" ht="17.25" customHeight="1" x14ac:dyDescent="0.3">
      <c r="A138" s="15" t="s">
        <v>30</v>
      </c>
      <c r="C138" s="19"/>
      <c r="D138" s="33" t="str">
        <f t="shared" ref="D138" si="87">D137</f>
        <v>C100042</v>
      </c>
      <c r="E138" s="33"/>
      <c r="F138" s="34"/>
      <c r="G138" s="34" t="str">
        <f>"""NAV Direct"",""CRONUS JetCorp USA"",""32"",""1"",""78881"""</f>
        <v>"NAV Direct","CRONUS JetCorp USA","32","1","78881"</v>
      </c>
      <c r="H138" s="40">
        <v>43471</v>
      </c>
      <c r="I138" s="41">
        <v>78881</v>
      </c>
      <c r="J138" s="42" t="str">
        <f>"Customer"</f>
        <v>Customer</v>
      </c>
      <c r="K138" s="42" t="str">
        <f>"C100124"</f>
        <v>C100124</v>
      </c>
      <c r="L138" s="42" t="str">
        <f>IF($J138="Customer",_xll.NL("first",$J138,"Name","No.","@@"&amp;$K138),"")</f>
        <v>Ontocane Outdoors</v>
      </c>
      <c r="M138" s="42" t="str">
        <f>""</f>
        <v/>
      </c>
      <c r="N138" s="42" t="str">
        <f>IF($J138="Item",_xll.NL("first",$J138,"Description","No.","@@"&amp;$K138),"")</f>
        <v/>
      </c>
      <c r="O138" s="43">
        <v>0</v>
      </c>
      <c r="P138" s="43">
        <v>-1</v>
      </c>
      <c r="Q138" s="43">
        <v>0</v>
      </c>
      <c r="R138" s="43">
        <v>0</v>
      </c>
      <c r="S138" s="43">
        <v>0</v>
      </c>
      <c r="T138" s="43">
        <v>0</v>
      </c>
      <c r="U138" s="56"/>
    </row>
    <row r="139" spans="1:21" ht="17.25" customHeight="1" x14ac:dyDescent="0.3">
      <c r="A139" s="15" t="s">
        <v>30</v>
      </c>
      <c r="C139" s="19"/>
      <c r="D139" s="33"/>
      <c r="E139" s="33"/>
      <c r="F139" s="34"/>
      <c r="G139" s="34"/>
      <c r="H139" s="34"/>
      <c r="I139" s="34"/>
      <c r="J139" s="34"/>
      <c r="K139" s="34"/>
      <c r="L139" s="34"/>
      <c r="M139" s="34"/>
      <c r="N139" s="34"/>
      <c r="O139" s="44"/>
      <c r="P139" s="44"/>
      <c r="Q139" s="44"/>
      <c r="R139" s="44"/>
      <c r="S139" s="44"/>
      <c r="T139" s="44"/>
      <c r="U139" s="57"/>
    </row>
    <row r="140" spans="1:21" ht="17.25" customHeight="1" x14ac:dyDescent="0.3">
      <c r="A140" s="15" t="s">
        <v>30</v>
      </c>
      <c r="C140" s="19"/>
      <c r="D140" s="33"/>
      <c r="E140" s="33" t="s">
        <v>31</v>
      </c>
      <c r="F140" s="34" t="s">
        <v>31</v>
      </c>
      <c r="G140" s="34" t="s">
        <v>31</v>
      </c>
      <c r="H140" s="34"/>
      <c r="I140" s="34"/>
      <c r="J140" s="34" t="s">
        <v>31</v>
      </c>
      <c r="K140" s="34" t="s">
        <v>31</v>
      </c>
      <c r="L140" s="34" t="s">
        <v>31</v>
      </c>
      <c r="M140" s="34" t="s">
        <v>31</v>
      </c>
      <c r="N140" s="34"/>
      <c r="U140" s="58"/>
    </row>
    <row r="141" spans="1:21" ht="20.25" customHeight="1" x14ac:dyDescent="0.35">
      <c r="A141" s="15" t="s">
        <v>30</v>
      </c>
      <c r="C141" s="19"/>
      <c r="D141" s="35" t="str">
        <f t="shared" ref="D141" si="88">E141</f>
        <v>C100044</v>
      </c>
      <c r="E141" s="36" t="str">
        <f>"C100044"</f>
        <v>C100044</v>
      </c>
      <c r="F141" s="37" t="str">
        <f>"VOIP Headset with Mic"</f>
        <v>VOIP Headset with Mic</v>
      </c>
      <c r="G141" s="37"/>
      <c r="H141" s="38" t="str">
        <f>"EA"</f>
        <v>EA</v>
      </c>
      <c r="I141" s="37"/>
      <c r="J141" s="37"/>
      <c r="K141" s="37"/>
      <c r="L141" s="37"/>
      <c r="M141" s="37"/>
      <c r="N141" s="37"/>
      <c r="O141" s="39">
        <f>(SUBTOTAL(9,O142:O144))</f>
        <v>200</v>
      </c>
      <c r="P141" s="39">
        <f>(SUBTOTAL(9,P142:P144))</f>
        <v>-24</v>
      </c>
      <c r="Q141" s="39">
        <f>(SUBTOTAL(9,Q142:Q144))</f>
        <v>0</v>
      </c>
      <c r="R141" s="39">
        <f>(SUBTOTAL(9,R142:R144))</f>
        <v>0</v>
      </c>
      <c r="S141" s="39">
        <f>(SUBTOTAL(9,S142:S144))</f>
        <v>0</v>
      </c>
      <c r="T141" s="39">
        <f>(SUBTOTAL(9,T142:T144))</f>
        <v>0</v>
      </c>
      <c r="U141" s="55">
        <f t="shared" ref="U141" si="89">SUBTOTAL(9,O142:T144)</f>
        <v>176</v>
      </c>
    </row>
    <row r="142" spans="1:21" ht="17.25" customHeight="1" x14ac:dyDescent="0.3">
      <c r="A142" s="15" t="s">
        <v>30</v>
      </c>
      <c r="C142" s="19"/>
      <c r="D142" s="33" t="str">
        <f t="shared" ref="D142" si="90">D141</f>
        <v>C100044</v>
      </c>
      <c r="E142" s="33"/>
      <c r="F142" s="34"/>
      <c r="G142" s="34" t="str">
        <f>"""NAV Direct"",""CRONUS JetCorp USA"",""32"",""1"",""168003"""</f>
        <v>"NAV Direct","CRONUS JetCorp USA","32","1","168003"</v>
      </c>
      <c r="H142" s="40">
        <v>43466</v>
      </c>
      <c r="I142" s="41">
        <v>168003</v>
      </c>
      <c r="J142" s="42" t="str">
        <f>"Vendor"</f>
        <v>Vendor</v>
      </c>
      <c r="K142" s="42" t="str">
        <f>"V100023"</f>
        <v>V100023</v>
      </c>
      <c r="L142" s="42" t="str">
        <f>IF($J142="Customer",_xll.NL("first",$J142,"Name","No.","@@"&amp;$K142),"")</f>
        <v/>
      </c>
      <c r="M142" s="42" t="str">
        <f>"PURE-LOOK"</f>
        <v>PURE-LOOK</v>
      </c>
      <c r="N142" s="42" t="str">
        <f>IF($J142="Item",_xll.NL("first",$J142,"Description","No.","@@"&amp;$K142),"")</f>
        <v/>
      </c>
      <c r="O142" s="43">
        <v>200</v>
      </c>
      <c r="P142" s="43">
        <v>0</v>
      </c>
      <c r="Q142" s="43">
        <v>0</v>
      </c>
      <c r="R142" s="43">
        <v>0</v>
      </c>
      <c r="S142" s="43">
        <v>0</v>
      </c>
      <c r="T142" s="43">
        <v>0</v>
      </c>
      <c r="U142" s="56"/>
    </row>
    <row r="143" spans="1:21" ht="17.25" customHeight="1" x14ac:dyDescent="0.3">
      <c r="A143" s="15" t="s">
        <v>30</v>
      </c>
      <c r="C143" s="19"/>
      <c r="D143" s="33" t="str">
        <f t="shared" ref="D143" si="91">D142</f>
        <v>C100044</v>
      </c>
      <c r="E143" s="33"/>
      <c r="F143" s="34"/>
      <c r="G143" s="34" t="str">
        <f>"""NAV Direct"",""CRONUS JetCorp USA"",""32"",""1"",""120192"""</f>
        <v>"NAV Direct","CRONUS JetCorp USA","32","1","120192"</v>
      </c>
      <c r="H143" s="40">
        <v>43474</v>
      </c>
      <c r="I143" s="41">
        <v>120192</v>
      </c>
      <c r="J143" s="42" t="str">
        <f>"Customer"</f>
        <v>Customer</v>
      </c>
      <c r="K143" s="42" t="str">
        <f>"C100049"</f>
        <v>C100049</v>
      </c>
      <c r="L143" s="42" t="str">
        <f>IF($J143="Customer",_xll.NL("first",$J143,"Name","No.","@@"&amp;$K143),"")</f>
        <v>Konberg Tapet AB</v>
      </c>
      <c r="M143" s="42" t="str">
        <f>""</f>
        <v/>
      </c>
      <c r="N143" s="42" t="str">
        <f>IF($J143="Item",_xll.NL("first",$J143,"Description","No.","@@"&amp;$K143),"")</f>
        <v/>
      </c>
      <c r="O143" s="43">
        <v>0</v>
      </c>
      <c r="P143" s="43">
        <v>-24</v>
      </c>
      <c r="Q143" s="43">
        <v>0</v>
      </c>
      <c r="R143" s="43">
        <v>0</v>
      </c>
      <c r="S143" s="43">
        <v>0</v>
      </c>
      <c r="T143" s="43">
        <v>0</v>
      </c>
      <c r="U143" s="56"/>
    </row>
    <row r="144" spans="1:21" ht="17.25" customHeight="1" x14ac:dyDescent="0.3">
      <c r="A144" s="15" t="s">
        <v>30</v>
      </c>
      <c r="C144" s="19"/>
      <c r="D144" s="33"/>
      <c r="E144" s="33"/>
      <c r="F144" s="34"/>
      <c r="G144" s="34"/>
      <c r="H144" s="34"/>
      <c r="I144" s="34"/>
      <c r="J144" s="34"/>
      <c r="K144" s="34"/>
      <c r="L144" s="34"/>
      <c r="M144" s="34"/>
      <c r="N144" s="34"/>
      <c r="O144" s="44"/>
      <c r="P144" s="44"/>
      <c r="Q144" s="44"/>
      <c r="R144" s="44"/>
      <c r="S144" s="44"/>
      <c r="T144" s="44"/>
      <c r="U144" s="57"/>
    </row>
    <row r="145" spans="1:21" ht="17.25" customHeight="1" x14ac:dyDescent="0.3">
      <c r="A145" s="15" t="s">
        <v>30</v>
      </c>
      <c r="C145" s="19"/>
      <c r="D145" s="33"/>
      <c r="E145" s="33" t="s">
        <v>31</v>
      </c>
      <c r="F145" s="34" t="s">
        <v>31</v>
      </c>
      <c r="G145" s="34" t="s">
        <v>31</v>
      </c>
      <c r="H145" s="34"/>
      <c r="I145" s="34"/>
      <c r="J145" s="34" t="s">
        <v>31</v>
      </c>
      <c r="K145" s="34" t="s">
        <v>31</v>
      </c>
      <c r="L145" s="34" t="s">
        <v>31</v>
      </c>
      <c r="M145" s="34" t="s">
        <v>31</v>
      </c>
      <c r="N145" s="34"/>
      <c r="U145" s="58"/>
    </row>
    <row r="146" spans="1:21" ht="20.25" customHeight="1" x14ac:dyDescent="0.35">
      <c r="A146" s="15" t="s">
        <v>30</v>
      </c>
      <c r="C146" s="19"/>
      <c r="D146" s="35" t="str">
        <f t="shared" ref="D146" si="92">E146</f>
        <v>C100045</v>
      </c>
      <c r="E146" s="36" t="str">
        <f>"C100045"</f>
        <v>C100045</v>
      </c>
      <c r="F146" s="37" t="str">
        <f>"Wireless Headphones"</f>
        <v>Wireless Headphones</v>
      </c>
      <c r="G146" s="37"/>
      <c r="H146" s="38" t="str">
        <f>"EA"</f>
        <v>EA</v>
      </c>
      <c r="I146" s="37"/>
      <c r="J146" s="37"/>
      <c r="K146" s="37"/>
      <c r="L146" s="37"/>
      <c r="M146" s="37"/>
      <c r="N146" s="37"/>
      <c r="O146" s="39">
        <f>(SUBTOTAL(9,O147:O149))</f>
        <v>100</v>
      </c>
      <c r="P146" s="39">
        <f>(SUBTOTAL(9,P147:P149))</f>
        <v>-24</v>
      </c>
      <c r="Q146" s="39">
        <f>(SUBTOTAL(9,Q147:Q149))</f>
        <v>0</v>
      </c>
      <c r="R146" s="39">
        <f>(SUBTOTAL(9,R147:R149))</f>
        <v>0</v>
      </c>
      <c r="S146" s="39">
        <f>(SUBTOTAL(9,S147:S149))</f>
        <v>0</v>
      </c>
      <c r="T146" s="39">
        <f>(SUBTOTAL(9,T147:T149))</f>
        <v>0</v>
      </c>
      <c r="U146" s="55">
        <f t="shared" ref="U146" si="93">SUBTOTAL(9,O147:T149)</f>
        <v>76</v>
      </c>
    </row>
    <row r="147" spans="1:21" ht="17.25" customHeight="1" x14ac:dyDescent="0.3">
      <c r="A147" s="15" t="s">
        <v>30</v>
      </c>
      <c r="C147" s="19"/>
      <c r="D147" s="33" t="str">
        <f t="shared" ref="D147" si="94">D146</f>
        <v>C100045</v>
      </c>
      <c r="E147" s="33"/>
      <c r="F147" s="34"/>
      <c r="G147" s="34" t="str">
        <f>"""NAV Direct"",""CRONUS JetCorp USA"",""32"",""1"",""168002"""</f>
        <v>"NAV Direct","CRONUS JetCorp USA","32","1","168002"</v>
      </c>
      <c r="H147" s="40">
        <v>43466</v>
      </c>
      <c r="I147" s="41">
        <v>168002</v>
      </c>
      <c r="J147" s="42" t="str">
        <f>"Vendor"</f>
        <v>Vendor</v>
      </c>
      <c r="K147" s="42" t="str">
        <f>"V100023"</f>
        <v>V100023</v>
      </c>
      <c r="L147" s="42" t="str">
        <f>IF($J147="Customer",_xll.NL("first",$J147,"Name","No.","@@"&amp;$K147),"")</f>
        <v/>
      </c>
      <c r="M147" s="42" t="str">
        <f>"PURE-LOOK"</f>
        <v>PURE-LOOK</v>
      </c>
      <c r="N147" s="42" t="str">
        <f>IF($J147="Item",_xll.NL("first",$J147,"Description","No.","@@"&amp;$K147),"")</f>
        <v/>
      </c>
      <c r="O147" s="43">
        <v>100</v>
      </c>
      <c r="P147" s="43">
        <v>0</v>
      </c>
      <c r="Q147" s="43">
        <v>0</v>
      </c>
      <c r="R147" s="43">
        <v>0</v>
      </c>
      <c r="S147" s="43">
        <v>0</v>
      </c>
      <c r="T147" s="43">
        <v>0</v>
      </c>
      <c r="U147" s="56"/>
    </row>
    <row r="148" spans="1:21" ht="17.25" customHeight="1" x14ac:dyDescent="0.3">
      <c r="A148" s="15" t="s">
        <v>30</v>
      </c>
      <c r="C148" s="19"/>
      <c r="D148" s="33" t="str">
        <f t="shared" ref="D148" si="95">D147</f>
        <v>C100045</v>
      </c>
      <c r="E148" s="33"/>
      <c r="F148" s="34"/>
      <c r="G148" s="34" t="str">
        <f>"""NAV Direct"",""CRONUS JetCorp USA"",""32"",""1"",""120189"""</f>
        <v>"NAV Direct","CRONUS JetCorp USA","32","1","120189"</v>
      </c>
      <c r="H148" s="40">
        <v>43474</v>
      </c>
      <c r="I148" s="41">
        <v>120189</v>
      </c>
      <c r="J148" s="42" t="str">
        <f>"Customer"</f>
        <v>Customer</v>
      </c>
      <c r="K148" s="42" t="str">
        <f>"C100049"</f>
        <v>C100049</v>
      </c>
      <c r="L148" s="42" t="str">
        <f>IF($J148="Customer",_xll.NL("first",$J148,"Name","No.","@@"&amp;$K148),"")</f>
        <v>Konberg Tapet AB</v>
      </c>
      <c r="M148" s="42" t="str">
        <f>""</f>
        <v/>
      </c>
      <c r="N148" s="42" t="str">
        <f>IF($J148="Item",_xll.NL("first",$J148,"Description","No.","@@"&amp;$K148),"")</f>
        <v/>
      </c>
      <c r="O148" s="43">
        <v>0</v>
      </c>
      <c r="P148" s="43">
        <v>-24</v>
      </c>
      <c r="Q148" s="43">
        <v>0</v>
      </c>
      <c r="R148" s="43">
        <v>0</v>
      </c>
      <c r="S148" s="43">
        <v>0</v>
      </c>
      <c r="T148" s="43">
        <v>0</v>
      </c>
      <c r="U148" s="56"/>
    </row>
    <row r="149" spans="1:21" ht="17.25" customHeight="1" x14ac:dyDescent="0.3">
      <c r="A149" s="15" t="s">
        <v>30</v>
      </c>
      <c r="C149" s="19"/>
      <c r="D149" s="33"/>
      <c r="E149" s="33"/>
      <c r="F149" s="34"/>
      <c r="G149" s="34"/>
      <c r="H149" s="34"/>
      <c r="I149" s="34"/>
      <c r="J149" s="34"/>
      <c r="K149" s="34"/>
      <c r="L149" s="34"/>
      <c r="M149" s="34"/>
      <c r="N149" s="34"/>
      <c r="O149" s="44"/>
      <c r="P149" s="44"/>
      <c r="Q149" s="44"/>
      <c r="R149" s="44"/>
      <c r="S149" s="44"/>
      <c r="T149" s="44"/>
      <c r="U149" s="57"/>
    </row>
    <row r="150" spans="1:21" ht="17.25" customHeight="1" x14ac:dyDescent="0.3">
      <c r="A150" s="15" t="s">
        <v>30</v>
      </c>
      <c r="C150" s="19"/>
      <c r="D150" s="33"/>
      <c r="E150" s="33" t="s">
        <v>31</v>
      </c>
      <c r="F150" s="34" t="s">
        <v>31</v>
      </c>
      <c r="G150" s="34" t="s">
        <v>31</v>
      </c>
      <c r="H150" s="34"/>
      <c r="I150" s="34"/>
      <c r="J150" s="34" t="s">
        <v>31</v>
      </c>
      <c r="K150" s="34" t="s">
        <v>31</v>
      </c>
      <c r="L150" s="34" t="s">
        <v>31</v>
      </c>
      <c r="M150" s="34" t="s">
        <v>31</v>
      </c>
      <c r="N150" s="34"/>
      <c r="U150" s="58"/>
    </row>
    <row r="151" spans="1:21" ht="20.25" customHeight="1" x14ac:dyDescent="0.35">
      <c r="A151" s="15" t="s">
        <v>30</v>
      </c>
      <c r="C151" s="19"/>
      <c r="D151" s="35" t="str">
        <f t="shared" ref="D151" si="96">E151</f>
        <v>C100047</v>
      </c>
      <c r="E151" s="36" t="str">
        <f>"C100047"</f>
        <v>C100047</v>
      </c>
      <c r="F151" s="37" t="str">
        <f>"2GB MP3 Player"</f>
        <v>2GB MP3 Player</v>
      </c>
      <c r="G151" s="37"/>
      <c r="H151" s="38" t="str">
        <f>"EA"</f>
        <v>EA</v>
      </c>
      <c r="I151" s="37"/>
      <c r="J151" s="37"/>
      <c r="K151" s="37"/>
      <c r="L151" s="37"/>
      <c r="M151" s="37"/>
      <c r="N151" s="37"/>
      <c r="O151" s="39">
        <f>(SUBTOTAL(9,O152:O153))</f>
        <v>499.99999999999994</v>
      </c>
      <c r="P151" s="39">
        <f>(SUBTOTAL(9,P152:P153))</f>
        <v>0</v>
      </c>
      <c r="Q151" s="39">
        <f>(SUBTOTAL(9,Q152:Q153))</f>
        <v>0</v>
      </c>
      <c r="R151" s="39">
        <f>(SUBTOTAL(9,R152:R153))</f>
        <v>0</v>
      </c>
      <c r="S151" s="39">
        <f>(SUBTOTAL(9,S152:S153))</f>
        <v>0</v>
      </c>
      <c r="T151" s="39">
        <f>(SUBTOTAL(9,T152:T153))</f>
        <v>0</v>
      </c>
      <c r="U151" s="55">
        <f t="shared" ref="U151" si="97">SUBTOTAL(9,O152:T153)</f>
        <v>499.99999999999994</v>
      </c>
    </row>
    <row r="152" spans="1:21" ht="17.25" customHeight="1" x14ac:dyDescent="0.3">
      <c r="A152" s="15" t="s">
        <v>30</v>
      </c>
      <c r="C152" s="19"/>
      <c r="D152" s="33" t="str">
        <f t="shared" ref="D152" si="98">D151</f>
        <v>C100047</v>
      </c>
      <c r="E152" s="33"/>
      <c r="F152" s="34"/>
      <c r="G152" s="34" t="str">
        <f>"""NAV Direct"",""CRONUS JetCorp USA"",""32"",""1"",""168001"""</f>
        <v>"NAV Direct","CRONUS JetCorp USA","32","1","168001"</v>
      </c>
      <c r="H152" s="40">
        <v>43466</v>
      </c>
      <c r="I152" s="41">
        <v>168001</v>
      </c>
      <c r="J152" s="42" t="str">
        <f>"Vendor"</f>
        <v>Vendor</v>
      </c>
      <c r="K152" s="42" t="str">
        <f>"V100023"</f>
        <v>V100023</v>
      </c>
      <c r="L152" s="42" t="str">
        <f>IF($J152="Customer",_xll.NL("first",$J152,"Name","No.","@@"&amp;$K152),"")</f>
        <v/>
      </c>
      <c r="M152" s="42" t="str">
        <f>"PURE-LOOK"</f>
        <v>PURE-LOOK</v>
      </c>
      <c r="N152" s="42" t="str">
        <f>IF($J152="Item",_xll.NL("first",$J152,"Description","No.","@@"&amp;$K152),"")</f>
        <v/>
      </c>
      <c r="O152" s="43">
        <v>499.99999999999994</v>
      </c>
      <c r="P152" s="43">
        <v>0</v>
      </c>
      <c r="Q152" s="43">
        <v>0</v>
      </c>
      <c r="R152" s="43">
        <v>0</v>
      </c>
      <c r="S152" s="43">
        <v>0</v>
      </c>
      <c r="T152" s="43">
        <v>0</v>
      </c>
      <c r="U152" s="56"/>
    </row>
    <row r="153" spans="1:21" ht="17.25" customHeight="1" x14ac:dyDescent="0.3">
      <c r="A153" s="15" t="s">
        <v>30</v>
      </c>
      <c r="C153" s="19"/>
      <c r="D153" s="33"/>
      <c r="E153" s="33"/>
      <c r="F153" s="34"/>
      <c r="G153" s="34"/>
      <c r="H153" s="34"/>
      <c r="I153" s="34"/>
      <c r="J153" s="34"/>
      <c r="K153" s="34"/>
      <c r="L153" s="34"/>
      <c r="M153" s="34"/>
      <c r="N153" s="34"/>
      <c r="O153" s="44"/>
      <c r="P153" s="44"/>
      <c r="Q153" s="44"/>
      <c r="R153" s="44"/>
      <c r="S153" s="44"/>
      <c r="T153" s="44"/>
      <c r="U153" s="57"/>
    </row>
    <row r="154" spans="1:21" ht="17.25" customHeight="1" x14ac:dyDescent="0.3">
      <c r="A154" s="15" t="s">
        <v>30</v>
      </c>
      <c r="C154" s="19"/>
      <c r="D154" s="33"/>
      <c r="E154" s="33" t="s">
        <v>31</v>
      </c>
      <c r="F154" s="34" t="s">
        <v>31</v>
      </c>
      <c r="G154" s="34" t="s">
        <v>31</v>
      </c>
      <c r="H154" s="34"/>
      <c r="I154" s="34"/>
      <c r="J154" s="34" t="s">
        <v>31</v>
      </c>
      <c r="K154" s="34" t="s">
        <v>31</v>
      </c>
      <c r="L154" s="34" t="s">
        <v>31</v>
      </c>
      <c r="M154" s="34" t="s">
        <v>31</v>
      </c>
      <c r="N154" s="34"/>
      <c r="U154" s="58"/>
    </row>
    <row r="155" spans="1:21" ht="20.25" customHeight="1" x14ac:dyDescent="0.35">
      <c r="A155" s="15" t="s">
        <v>30</v>
      </c>
      <c r="C155" s="19"/>
      <c r="D155" s="35" t="str">
        <f t="shared" ref="D155" si="99">E155</f>
        <v>C100048</v>
      </c>
      <c r="E155" s="36" t="str">
        <f>"C100048"</f>
        <v>C100048</v>
      </c>
      <c r="F155" s="37" t="str">
        <f>"USB MP3 Player"</f>
        <v>USB MP3 Player</v>
      </c>
      <c r="G155" s="37"/>
      <c r="H155" s="38" t="str">
        <f>"EA"</f>
        <v>EA</v>
      </c>
      <c r="I155" s="37"/>
      <c r="J155" s="37"/>
      <c r="K155" s="37"/>
      <c r="L155" s="37"/>
      <c r="M155" s="37"/>
      <c r="N155" s="37"/>
      <c r="O155" s="39">
        <f>(SUBTOTAL(9,O156:O157))</f>
        <v>0</v>
      </c>
      <c r="P155" s="39">
        <f>(SUBTOTAL(9,P156:P157))</f>
        <v>-48</v>
      </c>
      <c r="Q155" s="39">
        <f>(SUBTOTAL(9,Q156:Q157))</f>
        <v>0</v>
      </c>
      <c r="R155" s="39">
        <f>(SUBTOTAL(9,R156:R157))</f>
        <v>0</v>
      </c>
      <c r="S155" s="39">
        <f>(SUBTOTAL(9,S156:S157))</f>
        <v>0</v>
      </c>
      <c r="T155" s="39">
        <f>(SUBTOTAL(9,T156:T157))</f>
        <v>0</v>
      </c>
      <c r="U155" s="55">
        <f t="shared" ref="U155" si="100">SUBTOTAL(9,O156:T157)</f>
        <v>-48</v>
      </c>
    </row>
    <row r="156" spans="1:21" ht="17.25" customHeight="1" x14ac:dyDescent="0.3">
      <c r="A156" s="15" t="s">
        <v>30</v>
      </c>
      <c r="C156" s="19"/>
      <c r="D156" s="33" t="str">
        <f t="shared" ref="D156" si="101">D155</f>
        <v>C100048</v>
      </c>
      <c r="E156" s="33"/>
      <c r="F156" s="34"/>
      <c r="G156" s="34" t="str">
        <f>"""NAV Direct"",""CRONUS JetCorp USA"",""32"",""1"",""120190"""</f>
        <v>"NAV Direct","CRONUS JetCorp USA","32","1","120190"</v>
      </c>
      <c r="H156" s="40">
        <v>43474</v>
      </c>
      <c r="I156" s="41">
        <v>120190</v>
      </c>
      <c r="J156" s="42" t="str">
        <f>"Customer"</f>
        <v>Customer</v>
      </c>
      <c r="K156" s="42" t="str">
        <f>"C100049"</f>
        <v>C100049</v>
      </c>
      <c r="L156" s="42" t="str">
        <f>IF($J156="Customer",_xll.NL("first",$J156,"Name","No.","@@"&amp;$K156),"")</f>
        <v>Konberg Tapet AB</v>
      </c>
      <c r="M156" s="42" t="str">
        <f>""</f>
        <v/>
      </c>
      <c r="N156" s="42" t="str">
        <f>IF($J156="Item",_xll.NL("first",$J156,"Description","No.","@@"&amp;$K156),"")</f>
        <v/>
      </c>
      <c r="O156" s="43">
        <v>0</v>
      </c>
      <c r="P156" s="43">
        <v>-48</v>
      </c>
      <c r="Q156" s="43">
        <v>0</v>
      </c>
      <c r="R156" s="43">
        <v>0</v>
      </c>
      <c r="S156" s="43">
        <v>0</v>
      </c>
      <c r="T156" s="43">
        <v>0</v>
      </c>
      <c r="U156" s="56"/>
    </row>
    <row r="157" spans="1:21" ht="17.25" customHeight="1" x14ac:dyDescent="0.3">
      <c r="A157" s="15" t="s">
        <v>30</v>
      </c>
      <c r="C157" s="19"/>
      <c r="D157" s="33"/>
      <c r="E157" s="33"/>
      <c r="F157" s="34"/>
      <c r="G157" s="34"/>
      <c r="H157" s="34"/>
      <c r="I157" s="34"/>
      <c r="J157" s="34"/>
      <c r="K157" s="34"/>
      <c r="L157" s="34"/>
      <c r="M157" s="34"/>
      <c r="N157" s="34"/>
      <c r="O157" s="44"/>
      <c r="P157" s="44"/>
      <c r="Q157" s="44"/>
      <c r="R157" s="44"/>
      <c r="S157" s="44"/>
      <c r="T157" s="44"/>
      <c r="U157" s="57"/>
    </row>
    <row r="158" spans="1:21" ht="17.25" customHeight="1" x14ac:dyDescent="0.3">
      <c r="A158" s="15" t="s">
        <v>30</v>
      </c>
      <c r="C158" s="19"/>
      <c r="D158" s="33"/>
      <c r="E158" s="33" t="s">
        <v>31</v>
      </c>
      <c r="F158" s="34" t="s">
        <v>31</v>
      </c>
      <c r="G158" s="34" t="s">
        <v>31</v>
      </c>
      <c r="H158" s="34"/>
      <c r="I158" s="34"/>
      <c r="J158" s="34" t="s">
        <v>31</v>
      </c>
      <c r="K158" s="34" t="s">
        <v>31</v>
      </c>
      <c r="L158" s="34" t="s">
        <v>31</v>
      </c>
      <c r="M158" s="34" t="s">
        <v>31</v>
      </c>
      <c r="N158" s="34"/>
      <c r="U158" s="58"/>
    </row>
    <row r="159" spans="1:21" ht="20.25" customHeight="1" x14ac:dyDescent="0.35">
      <c r="A159" s="15" t="s">
        <v>30</v>
      </c>
      <c r="C159" s="19"/>
      <c r="D159" s="35" t="str">
        <f t="shared" ref="D159" si="102">E159</f>
        <v>C100049</v>
      </c>
      <c r="E159" s="36" t="str">
        <f>"C100049"</f>
        <v>C100049</v>
      </c>
      <c r="F159" s="37" t="str">
        <f>"4GB MP3 Player"</f>
        <v>4GB MP3 Player</v>
      </c>
      <c r="G159" s="37"/>
      <c r="H159" s="38" t="str">
        <f>"EA"</f>
        <v>EA</v>
      </c>
      <c r="I159" s="37"/>
      <c r="J159" s="37"/>
      <c r="K159" s="37"/>
      <c r="L159" s="37"/>
      <c r="M159" s="37"/>
      <c r="N159" s="37"/>
      <c r="O159" s="39">
        <f>(SUBTOTAL(9,O160:O162))</f>
        <v>700</v>
      </c>
      <c r="P159" s="39">
        <f>(SUBTOTAL(9,P160:P162))</f>
        <v>-144</v>
      </c>
      <c r="Q159" s="39">
        <f>(SUBTOTAL(9,Q160:Q162))</f>
        <v>0</v>
      </c>
      <c r="R159" s="39">
        <f>(SUBTOTAL(9,R160:R162))</f>
        <v>0</v>
      </c>
      <c r="S159" s="39">
        <f>(SUBTOTAL(9,S160:S162))</f>
        <v>0</v>
      </c>
      <c r="T159" s="39">
        <f>(SUBTOTAL(9,T160:T162))</f>
        <v>0</v>
      </c>
      <c r="U159" s="55">
        <f t="shared" ref="U159" si="103">SUBTOTAL(9,O160:T162)</f>
        <v>556</v>
      </c>
    </row>
    <row r="160" spans="1:21" ht="17.25" customHeight="1" x14ac:dyDescent="0.3">
      <c r="A160" s="15" t="s">
        <v>30</v>
      </c>
      <c r="C160" s="19"/>
      <c r="D160" s="33" t="str">
        <f t="shared" ref="D160" si="104">D159</f>
        <v>C100049</v>
      </c>
      <c r="E160" s="33"/>
      <c r="F160" s="34"/>
      <c r="G160" s="34" t="str">
        <f>"""NAV Direct"",""CRONUS JetCorp USA"",""32"",""1"",""168000"""</f>
        <v>"NAV Direct","CRONUS JetCorp USA","32","1","168000"</v>
      </c>
      <c r="H160" s="40">
        <v>43466</v>
      </c>
      <c r="I160" s="41">
        <v>168000</v>
      </c>
      <c r="J160" s="42" t="str">
        <f>"Vendor"</f>
        <v>Vendor</v>
      </c>
      <c r="K160" s="42" t="str">
        <f>"V100023"</f>
        <v>V100023</v>
      </c>
      <c r="L160" s="42" t="str">
        <f>IF($J160="Customer",_xll.NL("first",$J160,"Name","No.","@@"&amp;$K160),"")</f>
        <v/>
      </c>
      <c r="M160" s="42" t="str">
        <f>"PURE-LOOK"</f>
        <v>PURE-LOOK</v>
      </c>
      <c r="N160" s="42" t="str">
        <f>IF($J160="Item",_xll.NL("first",$J160,"Description","No.","@@"&amp;$K160),"")</f>
        <v/>
      </c>
      <c r="O160" s="43">
        <v>700</v>
      </c>
      <c r="P160" s="43">
        <v>0</v>
      </c>
      <c r="Q160" s="43">
        <v>0</v>
      </c>
      <c r="R160" s="43">
        <v>0</v>
      </c>
      <c r="S160" s="43">
        <v>0</v>
      </c>
      <c r="T160" s="43">
        <v>0</v>
      </c>
      <c r="U160" s="56"/>
    </row>
    <row r="161" spans="1:21" ht="17.25" customHeight="1" x14ac:dyDescent="0.3">
      <c r="A161" s="15" t="s">
        <v>30</v>
      </c>
      <c r="C161" s="19"/>
      <c r="D161" s="33" t="str">
        <f t="shared" ref="D161" si="105">D160</f>
        <v>C100049</v>
      </c>
      <c r="E161" s="33"/>
      <c r="F161" s="34"/>
      <c r="G161" s="34" t="str">
        <f>"""NAV Direct"",""CRONUS JetCorp USA"",""32"",""1"",""120187"""</f>
        <v>"NAV Direct","CRONUS JetCorp USA","32","1","120187"</v>
      </c>
      <c r="H161" s="40">
        <v>43474</v>
      </c>
      <c r="I161" s="41">
        <v>120187</v>
      </c>
      <c r="J161" s="42" t="str">
        <f>"Customer"</f>
        <v>Customer</v>
      </c>
      <c r="K161" s="42" t="str">
        <f>"C100049"</f>
        <v>C100049</v>
      </c>
      <c r="L161" s="42" t="str">
        <f>IF($J161="Customer",_xll.NL("first",$J161,"Name","No.","@@"&amp;$K161),"")</f>
        <v>Konberg Tapet AB</v>
      </c>
      <c r="M161" s="42" t="str">
        <f>""</f>
        <v/>
      </c>
      <c r="N161" s="42" t="str">
        <f>IF($J161="Item",_xll.NL("first",$J161,"Description","No.","@@"&amp;$K161),"")</f>
        <v/>
      </c>
      <c r="O161" s="43">
        <v>0</v>
      </c>
      <c r="P161" s="43">
        <v>-144</v>
      </c>
      <c r="Q161" s="43">
        <v>0</v>
      </c>
      <c r="R161" s="43">
        <v>0</v>
      </c>
      <c r="S161" s="43">
        <v>0</v>
      </c>
      <c r="T161" s="43">
        <v>0</v>
      </c>
      <c r="U161" s="56"/>
    </row>
    <row r="162" spans="1:21" ht="17.25" customHeight="1" x14ac:dyDescent="0.3">
      <c r="A162" s="15" t="s">
        <v>30</v>
      </c>
      <c r="C162" s="19"/>
      <c r="D162" s="33"/>
      <c r="E162" s="33"/>
      <c r="F162" s="34"/>
      <c r="G162" s="34"/>
      <c r="H162" s="34"/>
      <c r="I162" s="34"/>
      <c r="J162" s="34"/>
      <c r="K162" s="34"/>
      <c r="L162" s="34"/>
      <c r="M162" s="34"/>
      <c r="N162" s="34"/>
      <c r="O162" s="44"/>
      <c r="P162" s="44"/>
      <c r="Q162" s="44"/>
      <c r="R162" s="44"/>
      <c r="S162" s="44"/>
      <c r="T162" s="44"/>
      <c r="U162" s="57"/>
    </row>
    <row r="163" spans="1:21" ht="17.25" customHeight="1" x14ac:dyDescent="0.3">
      <c r="A163" s="15" t="s">
        <v>30</v>
      </c>
      <c r="C163" s="19"/>
      <c r="D163" s="33"/>
      <c r="E163" s="33" t="s">
        <v>31</v>
      </c>
      <c r="F163" s="34" t="s">
        <v>31</v>
      </c>
      <c r="G163" s="34" t="s">
        <v>31</v>
      </c>
      <c r="H163" s="34"/>
      <c r="I163" s="34"/>
      <c r="J163" s="34" t="s">
        <v>31</v>
      </c>
      <c r="K163" s="34" t="s">
        <v>31</v>
      </c>
      <c r="L163" s="34" t="s">
        <v>31</v>
      </c>
      <c r="M163" s="34" t="s">
        <v>31</v>
      </c>
      <c r="N163" s="34"/>
      <c r="U163" s="58"/>
    </row>
    <row r="164" spans="1:21" ht="20.25" customHeight="1" x14ac:dyDescent="0.35">
      <c r="A164" s="15" t="s">
        <v>30</v>
      </c>
      <c r="C164" s="19"/>
      <c r="D164" s="35" t="str">
        <f t="shared" ref="D164" si="106">E164</f>
        <v>C100050</v>
      </c>
      <c r="E164" s="36" t="str">
        <f>"C100050"</f>
        <v>C100050</v>
      </c>
      <c r="F164" s="37" t="str">
        <f>"Clip-on MP3 Player"</f>
        <v>Clip-on MP3 Player</v>
      </c>
      <c r="G164" s="37"/>
      <c r="H164" s="38" t="str">
        <f>"EA"</f>
        <v>EA</v>
      </c>
      <c r="I164" s="37"/>
      <c r="J164" s="37"/>
      <c r="K164" s="37"/>
      <c r="L164" s="37"/>
      <c r="M164" s="37"/>
      <c r="N164" s="37"/>
      <c r="O164" s="39">
        <f>(SUBTOTAL(9,O165:O166))</f>
        <v>300</v>
      </c>
      <c r="P164" s="39">
        <f>(SUBTOTAL(9,P165:P166))</f>
        <v>0</v>
      </c>
      <c r="Q164" s="39">
        <f>(SUBTOTAL(9,Q165:Q166))</f>
        <v>0</v>
      </c>
      <c r="R164" s="39">
        <f>(SUBTOTAL(9,R165:R166))</f>
        <v>0</v>
      </c>
      <c r="S164" s="39">
        <f>(SUBTOTAL(9,S165:S166))</f>
        <v>0</v>
      </c>
      <c r="T164" s="39">
        <f>(SUBTOTAL(9,T165:T166))</f>
        <v>0</v>
      </c>
      <c r="U164" s="55">
        <f t="shared" ref="U164" si="107">SUBTOTAL(9,O165:T166)</f>
        <v>300</v>
      </c>
    </row>
    <row r="165" spans="1:21" ht="17.25" customHeight="1" x14ac:dyDescent="0.3">
      <c r="A165" s="15" t="s">
        <v>30</v>
      </c>
      <c r="C165" s="19"/>
      <c r="D165" s="33" t="str">
        <f t="shared" ref="D165" si="108">D164</f>
        <v>C100050</v>
      </c>
      <c r="E165" s="33"/>
      <c r="F165" s="34"/>
      <c r="G165" s="34" t="str">
        <f>"""NAV Direct"",""CRONUS JetCorp USA"",""32"",""1"",""167999"""</f>
        <v>"NAV Direct","CRONUS JetCorp USA","32","1","167999"</v>
      </c>
      <c r="H165" s="40">
        <v>43466</v>
      </c>
      <c r="I165" s="41">
        <v>167999</v>
      </c>
      <c r="J165" s="42" t="str">
        <f>"Vendor"</f>
        <v>Vendor</v>
      </c>
      <c r="K165" s="42" t="str">
        <f>"V100023"</f>
        <v>V100023</v>
      </c>
      <c r="L165" s="42" t="str">
        <f>IF($J165="Customer",_xll.NL("first",$J165,"Name","No.","@@"&amp;$K165),"")</f>
        <v/>
      </c>
      <c r="M165" s="42" t="str">
        <f>"PURE-LOOK"</f>
        <v>PURE-LOOK</v>
      </c>
      <c r="N165" s="42" t="str">
        <f>IF($J165="Item",_xll.NL("first",$J165,"Description","No.","@@"&amp;$K165),"")</f>
        <v/>
      </c>
      <c r="O165" s="43">
        <v>300</v>
      </c>
      <c r="P165" s="43">
        <v>0</v>
      </c>
      <c r="Q165" s="43">
        <v>0</v>
      </c>
      <c r="R165" s="43">
        <v>0</v>
      </c>
      <c r="S165" s="43">
        <v>0</v>
      </c>
      <c r="T165" s="43">
        <v>0</v>
      </c>
      <c r="U165" s="56"/>
    </row>
    <row r="166" spans="1:21" ht="17.25" customHeight="1" x14ac:dyDescent="0.3">
      <c r="A166" s="15" t="s">
        <v>30</v>
      </c>
      <c r="C166" s="19"/>
      <c r="D166" s="33"/>
      <c r="E166" s="33"/>
      <c r="F166" s="34"/>
      <c r="G166" s="34"/>
      <c r="H166" s="34"/>
      <c r="I166" s="34"/>
      <c r="J166" s="34"/>
      <c r="K166" s="34"/>
      <c r="L166" s="34"/>
      <c r="M166" s="34"/>
      <c r="N166" s="34"/>
      <c r="O166" s="44"/>
      <c r="P166" s="44"/>
      <c r="Q166" s="44"/>
      <c r="R166" s="44"/>
      <c r="S166" s="44"/>
      <c r="T166" s="44"/>
      <c r="U166" s="57"/>
    </row>
    <row r="167" spans="1:21" ht="17.25" customHeight="1" x14ac:dyDescent="0.3">
      <c r="A167" s="15" t="s">
        <v>30</v>
      </c>
      <c r="C167" s="19"/>
      <c r="D167" s="33"/>
      <c r="E167" s="33" t="s">
        <v>31</v>
      </c>
      <c r="F167" s="34" t="s">
        <v>31</v>
      </c>
      <c r="G167" s="34" t="s">
        <v>31</v>
      </c>
      <c r="H167" s="34"/>
      <c r="I167" s="34"/>
      <c r="J167" s="34" t="s">
        <v>31</v>
      </c>
      <c r="K167" s="34" t="s">
        <v>31</v>
      </c>
      <c r="L167" s="34" t="s">
        <v>31</v>
      </c>
      <c r="M167" s="34" t="s">
        <v>31</v>
      </c>
      <c r="N167" s="34"/>
      <c r="U167" s="58"/>
    </row>
    <row r="168" spans="1:21" ht="20.25" customHeight="1" x14ac:dyDescent="0.35">
      <c r="A168" s="15" t="s">
        <v>30</v>
      </c>
      <c r="C168" s="19"/>
      <c r="D168" s="35" t="str">
        <f t="shared" ref="D168" si="109">E168</f>
        <v>C100053</v>
      </c>
      <c r="E168" s="36" t="str">
        <f>"C100053"</f>
        <v>C100053</v>
      </c>
      <c r="F168" s="37" t="str">
        <f>"Book Style Photo Frame &amp; Clock"</f>
        <v>Book Style Photo Frame &amp; Clock</v>
      </c>
      <c r="G168" s="37"/>
      <c r="H168" s="38" t="str">
        <f>"EA"</f>
        <v>EA</v>
      </c>
      <c r="I168" s="37"/>
      <c r="J168" s="37"/>
      <c r="K168" s="37"/>
      <c r="L168" s="37"/>
      <c r="M168" s="37"/>
      <c r="N168" s="37"/>
      <c r="O168" s="39">
        <f>(SUBTOTAL(9,O169:O170))</f>
        <v>200</v>
      </c>
      <c r="P168" s="39">
        <f>(SUBTOTAL(9,P169:P170))</f>
        <v>0</v>
      </c>
      <c r="Q168" s="39">
        <f>(SUBTOTAL(9,Q169:Q170))</f>
        <v>0</v>
      </c>
      <c r="R168" s="39">
        <f>(SUBTOTAL(9,R169:R170))</f>
        <v>0</v>
      </c>
      <c r="S168" s="39">
        <f>(SUBTOTAL(9,S169:S170))</f>
        <v>0</v>
      </c>
      <c r="T168" s="39">
        <f>(SUBTOTAL(9,T169:T170))</f>
        <v>0</v>
      </c>
      <c r="U168" s="55">
        <f t="shared" ref="U168" si="110">SUBTOTAL(9,O169:T170)</f>
        <v>200</v>
      </c>
    </row>
    <row r="169" spans="1:21" ht="17.25" customHeight="1" x14ac:dyDescent="0.3">
      <c r="A169" s="15" t="s">
        <v>30</v>
      </c>
      <c r="C169" s="19"/>
      <c r="D169" s="33" t="str">
        <f t="shared" ref="D169" si="111">D168</f>
        <v>C100053</v>
      </c>
      <c r="E169" s="33"/>
      <c r="F169" s="34"/>
      <c r="G169" s="34" t="str">
        <f>"""NAV Direct"",""CRONUS JetCorp USA"",""32"",""1"",""167998"""</f>
        <v>"NAV Direct","CRONUS JetCorp USA","32","1","167998"</v>
      </c>
      <c r="H169" s="40">
        <v>43466</v>
      </c>
      <c r="I169" s="41">
        <v>167998</v>
      </c>
      <c r="J169" s="42" t="str">
        <f>"Vendor"</f>
        <v>Vendor</v>
      </c>
      <c r="K169" s="42" t="str">
        <f>"V100023"</f>
        <v>V100023</v>
      </c>
      <c r="L169" s="42" t="str">
        <f>IF($J169="Customer",_xll.NL("first",$J169,"Name","No.","@@"&amp;$K169),"")</f>
        <v/>
      </c>
      <c r="M169" s="42" t="str">
        <f>"PURE-LOOK"</f>
        <v>PURE-LOOK</v>
      </c>
      <c r="N169" s="42" t="str">
        <f>IF($J169="Item",_xll.NL("first",$J169,"Description","No.","@@"&amp;$K169),"")</f>
        <v/>
      </c>
      <c r="O169" s="43">
        <v>200</v>
      </c>
      <c r="P169" s="43">
        <v>0</v>
      </c>
      <c r="Q169" s="43">
        <v>0</v>
      </c>
      <c r="R169" s="43">
        <v>0</v>
      </c>
      <c r="S169" s="43">
        <v>0</v>
      </c>
      <c r="T169" s="43">
        <v>0</v>
      </c>
      <c r="U169" s="56"/>
    </row>
    <row r="170" spans="1:21" ht="17.25" customHeight="1" x14ac:dyDescent="0.3">
      <c r="A170" s="15" t="s">
        <v>30</v>
      </c>
      <c r="C170" s="19"/>
      <c r="D170" s="33"/>
      <c r="E170" s="33"/>
      <c r="F170" s="34"/>
      <c r="G170" s="34"/>
      <c r="H170" s="34"/>
      <c r="I170" s="34"/>
      <c r="J170" s="34"/>
      <c r="K170" s="34"/>
      <c r="L170" s="34"/>
      <c r="M170" s="34"/>
      <c r="N170" s="34"/>
      <c r="O170" s="44"/>
      <c r="P170" s="44"/>
      <c r="Q170" s="44"/>
      <c r="R170" s="44"/>
      <c r="S170" s="44"/>
      <c r="T170" s="44"/>
      <c r="U170" s="57"/>
    </row>
    <row r="171" spans="1:21" ht="17.25" customHeight="1" x14ac:dyDescent="0.3">
      <c r="A171" s="15" t="s">
        <v>30</v>
      </c>
      <c r="C171" s="19"/>
      <c r="D171" s="33"/>
      <c r="E171" s="33" t="s">
        <v>31</v>
      </c>
      <c r="F171" s="34" t="s">
        <v>31</v>
      </c>
      <c r="G171" s="34" t="s">
        <v>31</v>
      </c>
      <c r="H171" s="34"/>
      <c r="I171" s="34"/>
      <c r="J171" s="34" t="s">
        <v>31</v>
      </c>
      <c r="K171" s="34" t="s">
        <v>31</v>
      </c>
      <c r="L171" s="34" t="s">
        <v>31</v>
      </c>
      <c r="M171" s="34" t="s">
        <v>31</v>
      </c>
      <c r="N171" s="34"/>
      <c r="U171" s="58"/>
    </row>
    <row r="172" spans="1:21" ht="20.25" customHeight="1" x14ac:dyDescent="0.35">
      <c r="A172" s="15" t="s">
        <v>30</v>
      </c>
      <c r="C172" s="19"/>
      <c r="D172" s="35" t="str">
        <f t="shared" ref="D172" si="112">E172</f>
        <v>C100054</v>
      </c>
      <c r="E172" s="36" t="str">
        <f>"C100054"</f>
        <v>C100054</v>
      </c>
      <c r="F172" s="37" t="str">
        <f>"Cherry Finish Photo Frame &amp; Clock"</f>
        <v>Cherry Finish Photo Frame &amp; Clock</v>
      </c>
      <c r="G172" s="37"/>
      <c r="H172" s="38" t="str">
        <f>"EA"</f>
        <v>EA</v>
      </c>
      <c r="I172" s="37"/>
      <c r="J172" s="37"/>
      <c r="K172" s="37"/>
      <c r="L172" s="37"/>
      <c r="M172" s="37"/>
      <c r="N172" s="37"/>
      <c r="O172" s="39">
        <f>(SUBTOTAL(9,O173:O174))</f>
        <v>100</v>
      </c>
      <c r="P172" s="39">
        <f>(SUBTOTAL(9,P173:P174))</f>
        <v>0</v>
      </c>
      <c r="Q172" s="39">
        <f>(SUBTOTAL(9,Q173:Q174))</f>
        <v>0</v>
      </c>
      <c r="R172" s="39">
        <f>(SUBTOTAL(9,R173:R174))</f>
        <v>0</v>
      </c>
      <c r="S172" s="39">
        <f>(SUBTOTAL(9,S173:S174))</f>
        <v>0</v>
      </c>
      <c r="T172" s="39">
        <f>(SUBTOTAL(9,T173:T174))</f>
        <v>0</v>
      </c>
      <c r="U172" s="55">
        <f t="shared" ref="U172" si="113">SUBTOTAL(9,O173:T174)</f>
        <v>100</v>
      </c>
    </row>
    <row r="173" spans="1:21" ht="17.25" customHeight="1" x14ac:dyDescent="0.3">
      <c r="A173" s="15" t="s">
        <v>30</v>
      </c>
      <c r="C173" s="19"/>
      <c r="D173" s="33" t="str">
        <f t="shared" ref="D173" si="114">D172</f>
        <v>C100054</v>
      </c>
      <c r="E173" s="33"/>
      <c r="F173" s="34"/>
      <c r="G173" s="34" t="str">
        <f>"""NAV Direct"",""CRONUS JetCorp USA"",""32"",""1"",""167997"""</f>
        <v>"NAV Direct","CRONUS JetCorp USA","32","1","167997"</v>
      </c>
      <c r="H173" s="40">
        <v>43466</v>
      </c>
      <c r="I173" s="41">
        <v>167997</v>
      </c>
      <c r="J173" s="42" t="str">
        <f>"Vendor"</f>
        <v>Vendor</v>
      </c>
      <c r="K173" s="42" t="str">
        <f>"V100023"</f>
        <v>V100023</v>
      </c>
      <c r="L173" s="42" t="str">
        <f>IF($J173="Customer",_xll.NL("first",$J173,"Name","No.","@@"&amp;$K173),"")</f>
        <v/>
      </c>
      <c r="M173" s="42" t="str">
        <f>"PURE-LOOK"</f>
        <v>PURE-LOOK</v>
      </c>
      <c r="N173" s="42" t="str">
        <f>IF($J173="Item",_xll.NL("first",$J173,"Description","No.","@@"&amp;$K173),"")</f>
        <v/>
      </c>
      <c r="O173" s="43">
        <v>100</v>
      </c>
      <c r="P173" s="43">
        <v>0</v>
      </c>
      <c r="Q173" s="43">
        <v>0</v>
      </c>
      <c r="R173" s="43">
        <v>0</v>
      </c>
      <c r="S173" s="43">
        <v>0</v>
      </c>
      <c r="T173" s="43">
        <v>0</v>
      </c>
      <c r="U173" s="56"/>
    </row>
    <row r="174" spans="1:21" ht="17.25" customHeight="1" x14ac:dyDescent="0.3">
      <c r="A174" s="15" t="s">
        <v>30</v>
      </c>
      <c r="C174" s="19"/>
      <c r="D174" s="33"/>
      <c r="E174" s="33"/>
      <c r="F174" s="34"/>
      <c r="G174" s="34"/>
      <c r="H174" s="34"/>
      <c r="I174" s="34"/>
      <c r="J174" s="34"/>
      <c r="K174" s="34"/>
      <c r="L174" s="34"/>
      <c r="M174" s="34"/>
      <c r="N174" s="34"/>
      <c r="O174" s="44"/>
      <c r="P174" s="44"/>
      <c r="Q174" s="44"/>
      <c r="R174" s="44"/>
      <c r="S174" s="44"/>
      <c r="T174" s="44"/>
      <c r="U174" s="57"/>
    </row>
    <row r="175" spans="1:21" ht="17.25" customHeight="1" x14ac:dyDescent="0.3">
      <c r="A175" s="15" t="s">
        <v>30</v>
      </c>
      <c r="C175" s="19"/>
      <c r="D175" s="33"/>
      <c r="E175" s="33" t="s">
        <v>31</v>
      </c>
      <c r="F175" s="34" t="s">
        <v>31</v>
      </c>
      <c r="G175" s="34" t="s">
        <v>31</v>
      </c>
      <c r="H175" s="34"/>
      <c r="I175" s="34"/>
      <c r="J175" s="34" t="s">
        <v>31</v>
      </c>
      <c r="K175" s="34" t="s">
        <v>31</v>
      </c>
      <c r="L175" s="34" t="s">
        <v>31</v>
      </c>
      <c r="M175" s="34" t="s">
        <v>31</v>
      </c>
      <c r="N175" s="34"/>
      <c r="U175" s="58"/>
    </row>
    <row r="176" spans="1:21" ht="20.25" customHeight="1" x14ac:dyDescent="0.35">
      <c r="A176" s="15" t="s">
        <v>30</v>
      </c>
      <c r="C176" s="19"/>
      <c r="D176" s="35" t="str">
        <f t="shared" ref="D176" si="115">E176</f>
        <v>C100055</v>
      </c>
      <c r="E176" s="36" t="str">
        <f>"C100055"</f>
        <v>C100055</v>
      </c>
      <c r="F176" s="37" t="str">
        <f>"Silver Plated Photo Frame"</f>
        <v>Silver Plated Photo Frame</v>
      </c>
      <c r="G176" s="37"/>
      <c r="H176" s="38" t="str">
        <f>"EA"</f>
        <v>EA</v>
      </c>
      <c r="I176" s="37"/>
      <c r="J176" s="37"/>
      <c r="K176" s="37"/>
      <c r="L176" s="37"/>
      <c r="M176" s="37"/>
      <c r="N176" s="37"/>
      <c r="O176" s="39">
        <f>(SUBTOTAL(9,O177:O179))</f>
        <v>200</v>
      </c>
      <c r="P176" s="39">
        <f>(SUBTOTAL(9,P177:P179))</f>
        <v>-48</v>
      </c>
      <c r="Q176" s="39">
        <f>(SUBTOTAL(9,Q177:Q179))</f>
        <v>0</v>
      </c>
      <c r="R176" s="39">
        <f>(SUBTOTAL(9,R177:R179))</f>
        <v>0</v>
      </c>
      <c r="S176" s="39">
        <f>(SUBTOTAL(9,S177:S179))</f>
        <v>0</v>
      </c>
      <c r="T176" s="39">
        <f>(SUBTOTAL(9,T177:T179))</f>
        <v>0</v>
      </c>
      <c r="U176" s="55">
        <f t="shared" ref="U176" si="116">SUBTOTAL(9,O177:T179)</f>
        <v>152</v>
      </c>
    </row>
    <row r="177" spans="1:21" ht="17.25" customHeight="1" x14ac:dyDescent="0.3">
      <c r="A177" s="15" t="s">
        <v>30</v>
      </c>
      <c r="C177" s="19"/>
      <c r="D177" s="33" t="str">
        <f t="shared" ref="D177" si="117">D176</f>
        <v>C100055</v>
      </c>
      <c r="E177" s="33"/>
      <c r="F177" s="34"/>
      <c r="G177" s="34" t="str">
        <f>"""NAV Direct"",""CRONUS JetCorp USA"",""32"",""1"",""167996"""</f>
        <v>"NAV Direct","CRONUS JetCorp USA","32","1","167996"</v>
      </c>
      <c r="H177" s="40">
        <v>43466</v>
      </c>
      <c r="I177" s="41">
        <v>167996</v>
      </c>
      <c r="J177" s="42" t="str">
        <f>"Vendor"</f>
        <v>Vendor</v>
      </c>
      <c r="K177" s="42" t="str">
        <f>"V100023"</f>
        <v>V100023</v>
      </c>
      <c r="L177" s="42" t="str">
        <f>IF($J177="Customer",_xll.NL("first",$J177,"Name","No.","@@"&amp;$K177),"")</f>
        <v/>
      </c>
      <c r="M177" s="42" t="str">
        <f>"PURE-LOOK"</f>
        <v>PURE-LOOK</v>
      </c>
      <c r="N177" s="42" t="str">
        <f>IF($J177="Item",_xll.NL("first",$J177,"Description","No.","@@"&amp;$K177),"")</f>
        <v/>
      </c>
      <c r="O177" s="43">
        <v>200</v>
      </c>
      <c r="P177" s="43">
        <v>0</v>
      </c>
      <c r="Q177" s="43">
        <v>0</v>
      </c>
      <c r="R177" s="43">
        <v>0</v>
      </c>
      <c r="S177" s="43">
        <v>0</v>
      </c>
      <c r="T177" s="43">
        <v>0</v>
      </c>
      <c r="U177" s="56"/>
    </row>
    <row r="178" spans="1:21" ht="17.25" customHeight="1" x14ac:dyDescent="0.3">
      <c r="A178" s="15" t="s">
        <v>30</v>
      </c>
      <c r="C178" s="19"/>
      <c r="D178" s="33" t="str">
        <f t="shared" ref="D178" si="118">D177</f>
        <v>C100055</v>
      </c>
      <c r="E178" s="33"/>
      <c r="F178" s="34"/>
      <c r="G178" s="34" t="str">
        <f>"""NAV Direct"",""CRONUS JetCorp USA"",""32"",""1"",""120188"""</f>
        <v>"NAV Direct","CRONUS JetCorp USA","32","1","120188"</v>
      </c>
      <c r="H178" s="40">
        <v>43474</v>
      </c>
      <c r="I178" s="41">
        <v>120188</v>
      </c>
      <c r="J178" s="42" t="str">
        <f>"Customer"</f>
        <v>Customer</v>
      </c>
      <c r="K178" s="42" t="str">
        <f>"C100049"</f>
        <v>C100049</v>
      </c>
      <c r="L178" s="42" t="str">
        <f>IF($J178="Customer",_xll.NL("first",$J178,"Name","No.","@@"&amp;$K178),"")</f>
        <v>Konberg Tapet AB</v>
      </c>
      <c r="M178" s="42" t="str">
        <f>""</f>
        <v/>
      </c>
      <c r="N178" s="42" t="str">
        <f>IF($J178="Item",_xll.NL("first",$J178,"Description","No.","@@"&amp;$K178),"")</f>
        <v/>
      </c>
      <c r="O178" s="43">
        <v>0</v>
      </c>
      <c r="P178" s="43">
        <v>-48</v>
      </c>
      <c r="Q178" s="43">
        <v>0</v>
      </c>
      <c r="R178" s="43">
        <v>0</v>
      </c>
      <c r="S178" s="43">
        <v>0</v>
      </c>
      <c r="T178" s="43">
        <v>0</v>
      </c>
      <c r="U178" s="56"/>
    </row>
    <row r="179" spans="1:21" ht="17.25" customHeight="1" x14ac:dyDescent="0.3">
      <c r="A179" s="15" t="s">
        <v>30</v>
      </c>
      <c r="C179" s="19"/>
      <c r="D179" s="33"/>
      <c r="E179" s="33"/>
      <c r="F179" s="34"/>
      <c r="G179" s="34"/>
      <c r="H179" s="34"/>
      <c r="I179" s="34"/>
      <c r="J179" s="34"/>
      <c r="K179" s="34"/>
      <c r="L179" s="34"/>
      <c r="M179" s="34"/>
      <c r="N179" s="34"/>
      <c r="O179" s="44"/>
      <c r="P179" s="44"/>
      <c r="Q179" s="44"/>
      <c r="R179" s="44"/>
      <c r="S179" s="44"/>
      <c r="T179" s="44"/>
      <c r="U179" s="57"/>
    </row>
    <row r="180" spans="1:21" ht="17.25" customHeight="1" x14ac:dyDescent="0.3">
      <c r="A180" s="15" t="s">
        <v>30</v>
      </c>
      <c r="C180" s="19"/>
      <c r="D180" s="33"/>
      <c r="E180" s="33" t="s">
        <v>31</v>
      </c>
      <c r="F180" s="34" t="s">
        <v>31</v>
      </c>
      <c r="G180" s="34" t="s">
        <v>31</v>
      </c>
      <c r="H180" s="34"/>
      <c r="I180" s="34"/>
      <c r="J180" s="34" t="s">
        <v>31</v>
      </c>
      <c r="K180" s="34" t="s">
        <v>31</v>
      </c>
      <c r="L180" s="34" t="s">
        <v>31</v>
      </c>
      <c r="M180" s="34" t="s">
        <v>31</v>
      </c>
      <c r="N180" s="34"/>
      <c r="U180" s="58"/>
    </row>
    <row r="181" spans="1:21" ht="20.25" customHeight="1" x14ac:dyDescent="0.35">
      <c r="A181" s="15" t="s">
        <v>30</v>
      </c>
      <c r="C181" s="19"/>
      <c r="D181" s="35" t="str">
        <f t="shared" ref="D181" si="119">E181</f>
        <v>C100063</v>
      </c>
      <c r="E181" s="36" t="str">
        <f>"C100063"</f>
        <v>C100063</v>
      </c>
      <c r="F181" s="37" t="str">
        <f>"Soup Mug"</f>
        <v>Soup Mug</v>
      </c>
      <c r="G181" s="37"/>
      <c r="H181" s="38" t="str">
        <f>"EA"</f>
        <v>EA</v>
      </c>
      <c r="I181" s="37"/>
      <c r="J181" s="37"/>
      <c r="K181" s="37"/>
      <c r="L181" s="37"/>
      <c r="M181" s="37"/>
      <c r="N181" s="37"/>
      <c r="O181" s="39">
        <f>(SUBTOTAL(9,O182:O183))</f>
        <v>0</v>
      </c>
      <c r="P181" s="39">
        <f>(SUBTOTAL(9,P182:P183))</f>
        <v>24</v>
      </c>
      <c r="Q181" s="39">
        <f>(SUBTOTAL(9,Q182:Q183))</f>
        <v>0</v>
      </c>
      <c r="R181" s="39">
        <f>(SUBTOTAL(9,R182:R183))</f>
        <v>0</v>
      </c>
      <c r="S181" s="39">
        <f>(SUBTOTAL(9,S182:S183))</f>
        <v>0</v>
      </c>
      <c r="T181" s="39">
        <f>(SUBTOTAL(9,T182:T183))</f>
        <v>0</v>
      </c>
      <c r="U181" s="55">
        <f t="shared" ref="U181" si="120">SUBTOTAL(9,O182:T183)</f>
        <v>24</v>
      </c>
    </row>
    <row r="182" spans="1:21" ht="17.25" customHeight="1" x14ac:dyDescent="0.3">
      <c r="A182" s="15" t="s">
        <v>30</v>
      </c>
      <c r="C182" s="19"/>
      <c r="D182" s="33" t="str">
        <f t="shared" ref="D182" si="121">D181</f>
        <v>C100063</v>
      </c>
      <c r="E182" s="33"/>
      <c r="F182" s="34"/>
      <c r="G182" s="34" t="str">
        <f>"""NAV Direct"",""CRONUS JetCorp USA"",""32"",""1"",""159984"""</f>
        <v>"NAV Direct","CRONUS JetCorp USA","32","1","159984"</v>
      </c>
      <c r="H182" s="40">
        <v>43475</v>
      </c>
      <c r="I182" s="41">
        <v>159984</v>
      </c>
      <c r="J182" s="42" t="str">
        <f>"Customer"</f>
        <v>Customer</v>
      </c>
      <c r="K182" s="42" t="str">
        <f>"C100058"</f>
        <v>C100058</v>
      </c>
      <c r="L182" s="42" t="str">
        <f>IF($J182="Customer",_xll.NL("first",$J182,"Name","No.","@@"&amp;$K182),"")</f>
        <v>Marsholm Karmstol</v>
      </c>
      <c r="M182" s="42" t="str">
        <f>""</f>
        <v/>
      </c>
      <c r="N182" s="42" t="str">
        <f>IF($J182="Item",_xll.NL("first",$J182,"Description","No.","@@"&amp;$K182),"")</f>
        <v/>
      </c>
      <c r="O182" s="43">
        <v>0</v>
      </c>
      <c r="P182" s="43">
        <v>24</v>
      </c>
      <c r="Q182" s="43">
        <v>0</v>
      </c>
      <c r="R182" s="43">
        <v>0</v>
      </c>
      <c r="S182" s="43">
        <v>0</v>
      </c>
      <c r="T182" s="43">
        <v>0</v>
      </c>
      <c r="U182" s="56"/>
    </row>
    <row r="183" spans="1:21" ht="17.25" customHeight="1" x14ac:dyDescent="0.3">
      <c r="A183" s="15" t="s">
        <v>30</v>
      </c>
      <c r="C183" s="19"/>
      <c r="D183" s="33"/>
      <c r="E183" s="33"/>
      <c r="F183" s="34"/>
      <c r="G183" s="34"/>
      <c r="H183" s="34"/>
      <c r="I183" s="34"/>
      <c r="J183" s="34"/>
      <c r="K183" s="34"/>
      <c r="L183" s="34"/>
      <c r="M183" s="34"/>
      <c r="N183" s="34"/>
      <c r="O183" s="44"/>
      <c r="P183" s="44"/>
      <c r="Q183" s="44"/>
      <c r="R183" s="44"/>
      <c r="S183" s="44"/>
      <c r="T183" s="44"/>
      <c r="U183" s="57"/>
    </row>
    <row r="184" spans="1:21" ht="17.25" customHeight="1" x14ac:dyDescent="0.3">
      <c r="A184" s="15" t="s">
        <v>30</v>
      </c>
      <c r="C184" s="19"/>
      <c r="D184" s="33"/>
      <c r="E184" s="33" t="s">
        <v>31</v>
      </c>
      <c r="F184" s="34" t="s">
        <v>31</v>
      </c>
      <c r="G184" s="34" t="s">
        <v>31</v>
      </c>
      <c r="H184" s="34"/>
      <c r="I184" s="34"/>
      <c r="J184" s="34" t="s">
        <v>31</v>
      </c>
      <c r="K184" s="34" t="s">
        <v>31</v>
      </c>
      <c r="L184" s="34" t="s">
        <v>31</v>
      </c>
      <c r="M184" s="34" t="s">
        <v>31</v>
      </c>
      <c r="N184" s="34"/>
      <c r="U184" s="58"/>
    </row>
    <row r="185" spans="1:21" ht="20.25" customHeight="1" x14ac:dyDescent="0.35">
      <c r="A185" s="15" t="s">
        <v>30</v>
      </c>
      <c r="C185" s="19"/>
      <c r="D185" s="35" t="str">
        <f t="shared" ref="D185" si="122">E185</f>
        <v>C100066</v>
      </c>
      <c r="E185" s="36" t="str">
        <f>"C100066"</f>
        <v>C100066</v>
      </c>
      <c r="F185" s="37" t="str">
        <f>"Fashion Travel Mug"</f>
        <v>Fashion Travel Mug</v>
      </c>
      <c r="G185" s="37"/>
      <c r="H185" s="38" t="str">
        <f>"EA"</f>
        <v>EA</v>
      </c>
      <c r="I185" s="37"/>
      <c r="J185" s="37"/>
      <c r="K185" s="37"/>
      <c r="L185" s="37"/>
      <c r="M185" s="37"/>
      <c r="N185" s="37"/>
      <c r="O185" s="39">
        <f>(SUBTOTAL(9,O186:O187))</f>
        <v>249.99999999999997</v>
      </c>
      <c r="P185" s="39">
        <f>(SUBTOTAL(9,P186:P187))</f>
        <v>0</v>
      </c>
      <c r="Q185" s="39">
        <f>(SUBTOTAL(9,Q186:Q187))</f>
        <v>0</v>
      </c>
      <c r="R185" s="39">
        <f>(SUBTOTAL(9,R186:R187))</f>
        <v>0</v>
      </c>
      <c r="S185" s="39">
        <f>(SUBTOTAL(9,S186:S187))</f>
        <v>0</v>
      </c>
      <c r="T185" s="39">
        <f>(SUBTOTAL(9,T186:T187))</f>
        <v>0</v>
      </c>
      <c r="U185" s="55">
        <f t="shared" ref="U185" si="123">SUBTOTAL(9,O186:T187)</f>
        <v>249.99999999999997</v>
      </c>
    </row>
    <row r="186" spans="1:21" ht="17.25" customHeight="1" x14ac:dyDescent="0.3">
      <c r="A186" s="15" t="s">
        <v>30</v>
      </c>
      <c r="C186" s="19"/>
      <c r="D186" s="33" t="str">
        <f t="shared" ref="D186" si="124">D185</f>
        <v>C100066</v>
      </c>
      <c r="E186" s="33"/>
      <c r="F186" s="34"/>
      <c r="G186" s="34" t="str">
        <f>"""NAV Direct"",""CRONUS JetCorp USA"",""32"",""1"",""168609"""</f>
        <v>"NAV Direct","CRONUS JetCorp USA","32","1","168609"</v>
      </c>
      <c r="H186" s="40">
        <v>43466</v>
      </c>
      <c r="I186" s="41">
        <v>168609</v>
      </c>
      <c r="J186" s="42" t="str">
        <f>"Vendor"</f>
        <v>Vendor</v>
      </c>
      <c r="K186" s="42" t="str">
        <f>"V100025"</f>
        <v>V100025</v>
      </c>
      <c r="L186" s="42" t="str">
        <f>IF($J186="Customer",_xll.NL("first",$J186,"Name","No.","@@"&amp;$K186),"")</f>
        <v/>
      </c>
      <c r="M186" s="42" t="str">
        <f>"Club Euroamis"</f>
        <v>Club Euroamis</v>
      </c>
      <c r="N186" s="42" t="str">
        <f>IF($J186="Item",_xll.NL("first",$J186,"Description","No.","@@"&amp;$K186),"")</f>
        <v/>
      </c>
      <c r="O186" s="43">
        <v>249.99999999999997</v>
      </c>
      <c r="P186" s="43">
        <v>0</v>
      </c>
      <c r="Q186" s="43">
        <v>0</v>
      </c>
      <c r="R186" s="43">
        <v>0</v>
      </c>
      <c r="S186" s="43">
        <v>0</v>
      </c>
      <c r="T186" s="43">
        <v>0</v>
      </c>
      <c r="U186" s="56"/>
    </row>
    <row r="187" spans="1:21" ht="17.25" customHeight="1" x14ac:dyDescent="0.3">
      <c r="A187" s="15" t="s">
        <v>30</v>
      </c>
      <c r="C187" s="19"/>
      <c r="D187" s="33"/>
      <c r="E187" s="33"/>
      <c r="F187" s="34"/>
      <c r="G187" s="34"/>
      <c r="H187" s="34"/>
      <c r="I187" s="34"/>
      <c r="J187" s="34"/>
      <c r="K187" s="34"/>
      <c r="L187" s="34"/>
      <c r="M187" s="34"/>
      <c r="N187" s="34"/>
      <c r="O187" s="44"/>
      <c r="P187" s="44"/>
      <c r="Q187" s="44"/>
      <c r="R187" s="44"/>
      <c r="S187" s="44"/>
      <c r="T187" s="44"/>
      <c r="U187" s="57"/>
    </row>
    <row r="188" spans="1:21" ht="17.25" customHeight="1" x14ac:dyDescent="0.3">
      <c r="A188" s="15" t="s">
        <v>30</v>
      </c>
      <c r="C188" s="19"/>
      <c r="D188" s="33"/>
      <c r="E188" s="33" t="s">
        <v>31</v>
      </c>
      <c r="F188" s="34" t="s">
        <v>31</v>
      </c>
      <c r="G188" s="34" t="s">
        <v>31</v>
      </c>
      <c r="H188" s="34"/>
      <c r="I188" s="34"/>
      <c r="J188" s="34" t="s">
        <v>31</v>
      </c>
      <c r="K188" s="34" t="s">
        <v>31</v>
      </c>
      <c r="L188" s="34" t="s">
        <v>31</v>
      </c>
      <c r="M188" s="34" t="s">
        <v>31</v>
      </c>
      <c r="N188" s="34"/>
      <c r="U188" s="58"/>
    </row>
    <row r="189" spans="1:21" ht="20.25" customHeight="1" x14ac:dyDescent="0.35">
      <c r="A189" s="15" t="s">
        <v>30</v>
      </c>
      <c r="C189" s="19"/>
      <c r="D189" s="35" t="str">
        <f t="shared" ref="D189" si="125">E189</f>
        <v>C100067</v>
      </c>
      <c r="E189" s="36" t="str">
        <f>"C100067"</f>
        <v>C100067</v>
      </c>
      <c r="F189" s="37" t="str">
        <f>"Stainless Thermos"</f>
        <v>Stainless Thermos</v>
      </c>
      <c r="G189" s="37"/>
      <c r="H189" s="38" t="str">
        <f>"EA"</f>
        <v>EA</v>
      </c>
      <c r="I189" s="37"/>
      <c r="J189" s="37"/>
      <c r="K189" s="37"/>
      <c r="L189" s="37"/>
      <c r="M189" s="37"/>
      <c r="N189" s="37"/>
      <c r="O189" s="39">
        <f>(SUBTOTAL(9,O190:O191))</f>
        <v>249.99999999999997</v>
      </c>
      <c r="P189" s="39">
        <f>(SUBTOTAL(9,P190:P191))</f>
        <v>0</v>
      </c>
      <c r="Q189" s="39">
        <f>(SUBTOTAL(9,Q190:Q191))</f>
        <v>0</v>
      </c>
      <c r="R189" s="39">
        <f>(SUBTOTAL(9,R190:R191))</f>
        <v>0</v>
      </c>
      <c r="S189" s="39">
        <f>(SUBTOTAL(9,S190:S191))</f>
        <v>0</v>
      </c>
      <c r="T189" s="39">
        <f>(SUBTOTAL(9,T190:T191))</f>
        <v>0</v>
      </c>
      <c r="U189" s="55">
        <f t="shared" ref="U189" si="126">SUBTOTAL(9,O190:T191)</f>
        <v>249.99999999999997</v>
      </c>
    </row>
    <row r="190" spans="1:21" ht="17.25" customHeight="1" x14ac:dyDescent="0.3">
      <c r="A190" s="15" t="s">
        <v>30</v>
      </c>
      <c r="C190" s="19"/>
      <c r="D190" s="33" t="str">
        <f t="shared" ref="D190" si="127">D189</f>
        <v>C100067</v>
      </c>
      <c r="E190" s="33"/>
      <c r="F190" s="34"/>
      <c r="G190" s="34" t="str">
        <f>"""NAV Direct"",""CRONUS JetCorp USA"",""32"",""1"",""168608"""</f>
        <v>"NAV Direct","CRONUS JetCorp USA","32","1","168608"</v>
      </c>
      <c r="H190" s="40">
        <v>43466</v>
      </c>
      <c r="I190" s="41">
        <v>168608</v>
      </c>
      <c r="J190" s="42" t="str">
        <f>"Vendor"</f>
        <v>Vendor</v>
      </c>
      <c r="K190" s="42" t="str">
        <f>"V100025"</f>
        <v>V100025</v>
      </c>
      <c r="L190" s="42" t="str">
        <f>IF($J190="Customer",_xll.NL("first",$J190,"Name","No.","@@"&amp;$K190),"")</f>
        <v/>
      </c>
      <c r="M190" s="42" t="str">
        <f>"Club Euroamis"</f>
        <v>Club Euroamis</v>
      </c>
      <c r="N190" s="42" t="str">
        <f>IF($J190="Item",_xll.NL("first",$J190,"Description","No.","@@"&amp;$K190),"")</f>
        <v/>
      </c>
      <c r="O190" s="43">
        <v>249.99999999999997</v>
      </c>
      <c r="P190" s="43">
        <v>0</v>
      </c>
      <c r="Q190" s="43">
        <v>0</v>
      </c>
      <c r="R190" s="43">
        <v>0</v>
      </c>
      <c r="S190" s="43">
        <v>0</v>
      </c>
      <c r="T190" s="43">
        <v>0</v>
      </c>
      <c r="U190" s="56"/>
    </row>
    <row r="191" spans="1:21" ht="17.25" customHeight="1" x14ac:dyDescent="0.3">
      <c r="A191" s="15" t="s">
        <v>30</v>
      </c>
      <c r="C191" s="19"/>
      <c r="D191" s="33"/>
      <c r="E191" s="33"/>
      <c r="F191" s="34"/>
      <c r="G191" s="34"/>
      <c r="H191" s="34"/>
      <c r="I191" s="34"/>
      <c r="J191" s="34"/>
      <c r="K191" s="34"/>
      <c r="L191" s="34"/>
      <c r="M191" s="34"/>
      <c r="N191" s="34"/>
      <c r="O191" s="44"/>
      <c r="P191" s="44"/>
      <c r="Q191" s="44"/>
      <c r="R191" s="44"/>
      <c r="S191" s="44"/>
      <c r="T191" s="44"/>
      <c r="U191" s="57"/>
    </row>
    <row r="192" spans="1:21" ht="17.25" customHeight="1" x14ac:dyDescent="0.3">
      <c r="A192" s="15" t="s">
        <v>30</v>
      </c>
      <c r="C192" s="19"/>
      <c r="D192" s="33"/>
      <c r="E192" s="33" t="s">
        <v>31</v>
      </c>
      <c r="F192" s="34" t="s">
        <v>31</v>
      </c>
      <c r="G192" s="34" t="s">
        <v>31</v>
      </c>
      <c r="H192" s="34"/>
      <c r="I192" s="34"/>
      <c r="J192" s="34" t="s">
        <v>31</v>
      </c>
      <c r="K192" s="34" t="s">
        <v>31</v>
      </c>
      <c r="L192" s="34" t="s">
        <v>31</v>
      </c>
      <c r="M192" s="34" t="s">
        <v>31</v>
      </c>
      <c r="N192" s="34"/>
      <c r="U192" s="58"/>
    </row>
    <row r="193" spans="1:21" ht="20.25" customHeight="1" x14ac:dyDescent="0.35">
      <c r="A193" s="15" t="s">
        <v>30</v>
      </c>
      <c r="C193" s="19"/>
      <c r="D193" s="35" t="str">
        <f t="shared" ref="D193" si="128">E193</f>
        <v>E100001</v>
      </c>
      <c r="E193" s="36" t="str">
        <f>"E100001"</f>
        <v>E100001</v>
      </c>
      <c r="F193" s="37" t="str">
        <f>"Sport Bag"</f>
        <v>Sport Bag</v>
      </c>
      <c r="G193" s="37"/>
      <c r="H193" s="38" t="str">
        <f>"EA"</f>
        <v>EA</v>
      </c>
      <c r="I193" s="37"/>
      <c r="J193" s="37"/>
      <c r="K193" s="37"/>
      <c r="L193" s="37"/>
      <c r="M193" s="37"/>
      <c r="N193" s="37"/>
      <c r="O193" s="39">
        <f>(SUBTOTAL(9,O194:O195))</f>
        <v>400</v>
      </c>
      <c r="P193" s="39">
        <f>(SUBTOTAL(9,P194:P195))</f>
        <v>0</v>
      </c>
      <c r="Q193" s="39">
        <f>(SUBTOTAL(9,Q194:Q195))</f>
        <v>0</v>
      </c>
      <c r="R193" s="39">
        <f>(SUBTOTAL(9,R194:R195))</f>
        <v>0</v>
      </c>
      <c r="S193" s="39">
        <f>(SUBTOTAL(9,S194:S195))</f>
        <v>0</v>
      </c>
      <c r="T193" s="39">
        <f>(SUBTOTAL(9,T194:T195))</f>
        <v>0</v>
      </c>
      <c r="U193" s="55">
        <f t="shared" ref="U193" si="129">SUBTOTAL(9,O194:T195)</f>
        <v>400</v>
      </c>
    </row>
    <row r="194" spans="1:21" ht="17.25" customHeight="1" x14ac:dyDescent="0.3">
      <c r="A194" s="15" t="s">
        <v>30</v>
      </c>
      <c r="C194" s="19"/>
      <c r="D194" s="33" t="str">
        <f t="shared" ref="D194" si="130">D193</f>
        <v>E100001</v>
      </c>
      <c r="E194" s="33"/>
      <c r="F194" s="34"/>
      <c r="G194" s="34" t="str">
        <f>"""NAV Direct"",""CRONUS JetCorp USA"",""32"",""1"",""166733"""</f>
        <v>"NAV Direct","CRONUS JetCorp USA","32","1","166733"</v>
      </c>
      <c r="H194" s="40">
        <v>43466</v>
      </c>
      <c r="I194" s="41">
        <v>166733</v>
      </c>
      <c r="J194" s="42" t="str">
        <f>"Vendor"</f>
        <v>Vendor</v>
      </c>
      <c r="K194" s="42" t="str">
        <f>"V100009"</f>
        <v>V100009</v>
      </c>
      <c r="L194" s="42" t="str">
        <f>IF($J194="Customer",_xll.NL("first",$J194,"Name","No.","@@"&amp;$K194),"")</f>
        <v/>
      </c>
      <c r="M194" s="42" t="str">
        <f>"Malay-Dan Export Unit Sdn Bhd"</f>
        <v>Malay-Dan Export Unit Sdn Bhd</v>
      </c>
      <c r="N194" s="42" t="str">
        <f>IF($J194="Item",_xll.NL("first",$J194,"Description","No.","@@"&amp;$K194),"")</f>
        <v/>
      </c>
      <c r="O194" s="43">
        <v>400</v>
      </c>
      <c r="P194" s="43">
        <v>0</v>
      </c>
      <c r="Q194" s="43">
        <v>0</v>
      </c>
      <c r="R194" s="43">
        <v>0</v>
      </c>
      <c r="S194" s="43">
        <v>0</v>
      </c>
      <c r="T194" s="43">
        <v>0</v>
      </c>
      <c r="U194" s="56"/>
    </row>
    <row r="195" spans="1:21" ht="17.25" customHeight="1" x14ac:dyDescent="0.3">
      <c r="A195" s="15" t="s">
        <v>30</v>
      </c>
      <c r="C195" s="19"/>
      <c r="D195" s="33"/>
      <c r="E195" s="33"/>
      <c r="F195" s="34"/>
      <c r="G195" s="34"/>
      <c r="H195" s="34"/>
      <c r="I195" s="34"/>
      <c r="J195" s="34"/>
      <c r="K195" s="34"/>
      <c r="L195" s="34"/>
      <c r="M195" s="34"/>
      <c r="N195" s="34"/>
      <c r="O195" s="44"/>
      <c r="P195" s="44"/>
      <c r="Q195" s="44"/>
      <c r="R195" s="44"/>
      <c r="S195" s="44"/>
      <c r="T195" s="44"/>
      <c r="U195" s="57"/>
    </row>
    <row r="196" spans="1:21" ht="17.25" customHeight="1" x14ac:dyDescent="0.3">
      <c r="A196" s="15" t="s">
        <v>30</v>
      </c>
      <c r="C196" s="19"/>
      <c r="D196" s="33"/>
      <c r="E196" s="33" t="s">
        <v>31</v>
      </c>
      <c r="F196" s="34" t="s">
        <v>31</v>
      </c>
      <c r="G196" s="34" t="s">
        <v>31</v>
      </c>
      <c r="H196" s="34"/>
      <c r="I196" s="34"/>
      <c r="J196" s="34" t="s">
        <v>31</v>
      </c>
      <c r="K196" s="34" t="s">
        <v>31</v>
      </c>
      <c r="L196" s="34" t="s">
        <v>31</v>
      </c>
      <c r="M196" s="34" t="s">
        <v>31</v>
      </c>
      <c r="N196" s="34"/>
      <c r="U196" s="58"/>
    </row>
    <row r="197" spans="1:21" ht="20.25" customHeight="1" x14ac:dyDescent="0.35">
      <c r="A197" s="15" t="s">
        <v>30</v>
      </c>
      <c r="C197" s="19"/>
      <c r="D197" s="35" t="str">
        <f t="shared" ref="D197" si="131">E197</f>
        <v>E100003</v>
      </c>
      <c r="E197" s="36" t="str">
        <f>"E100003"</f>
        <v>E100003</v>
      </c>
      <c r="F197" s="37" t="str">
        <f>"Recycled Tote"</f>
        <v>Recycled Tote</v>
      </c>
      <c r="G197" s="37"/>
      <c r="H197" s="38" t="str">
        <f>"EA"</f>
        <v>EA</v>
      </c>
      <c r="I197" s="37"/>
      <c r="J197" s="37"/>
      <c r="K197" s="37"/>
      <c r="L197" s="37"/>
      <c r="M197" s="37"/>
      <c r="N197" s="37"/>
      <c r="O197" s="39">
        <f>(SUBTOTAL(9,O198:O199))</f>
        <v>200</v>
      </c>
      <c r="P197" s="39">
        <f>(SUBTOTAL(9,P198:P199))</f>
        <v>0</v>
      </c>
      <c r="Q197" s="39">
        <f>(SUBTOTAL(9,Q198:Q199))</f>
        <v>0</v>
      </c>
      <c r="R197" s="39">
        <f>(SUBTOTAL(9,R198:R199))</f>
        <v>0</v>
      </c>
      <c r="S197" s="39">
        <f>(SUBTOTAL(9,S198:S199))</f>
        <v>0</v>
      </c>
      <c r="T197" s="39">
        <f>(SUBTOTAL(9,T198:T199))</f>
        <v>0</v>
      </c>
      <c r="U197" s="55">
        <f t="shared" ref="U197" si="132">SUBTOTAL(9,O198:T199)</f>
        <v>200</v>
      </c>
    </row>
    <row r="198" spans="1:21" ht="17.25" customHeight="1" x14ac:dyDescent="0.3">
      <c r="A198" s="15" t="s">
        <v>30</v>
      </c>
      <c r="C198" s="19"/>
      <c r="D198" s="33" t="str">
        <f t="shared" ref="D198" si="133">D197</f>
        <v>E100003</v>
      </c>
      <c r="E198" s="33"/>
      <c r="F198" s="34"/>
      <c r="G198" s="34" t="str">
        <f>"""NAV Direct"",""CRONUS JetCorp USA"",""32"",""1"",""166732"""</f>
        <v>"NAV Direct","CRONUS JetCorp USA","32","1","166732"</v>
      </c>
      <c r="H198" s="40">
        <v>43466</v>
      </c>
      <c r="I198" s="41">
        <v>166732</v>
      </c>
      <c r="J198" s="42" t="str">
        <f>"Vendor"</f>
        <v>Vendor</v>
      </c>
      <c r="K198" s="42" t="str">
        <f>"V100009"</f>
        <v>V100009</v>
      </c>
      <c r="L198" s="42" t="str">
        <f>IF($J198="Customer",_xll.NL("first",$J198,"Name","No.","@@"&amp;$K198),"")</f>
        <v/>
      </c>
      <c r="M198" s="42" t="str">
        <f>"Malay-Dan Export Unit Sdn Bhd"</f>
        <v>Malay-Dan Export Unit Sdn Bhd</v>
      </c>
      <c r="N198" s="42" t="str">
        <f>IF($J198="Item",_xll.NL("first",$J198,"Description","No.","@@"&amp;$K198),"")</f>
        <v/>
      </c>
      <c r="O198" s="43">
        <v>200</v>
      </c>
      <c r="P198" s="43">
        <v>0</v>
      </c>
      <c r="Q198" s="43">
        <v>0</v>
      </c>
      <c r="R198" s="43">
        <v>0</v>
      </c>
      <c r="S198" s="43">
        <v>0</v>
      </c>
      <c r="T198" s="43">
        <v>0</v>
      </c>
      <c r="U198" s="56"/>
    </row>
    <row r="199" spans="1:21" ht="17.25" customHeight="1" x14ac:dyDescent="0.3">
      <c r="A199" s="15" t="s">
        <v>30</v>
      </c>
      <c r="C199" s="19"/>
      <c r="D199" s="33"/>
      <c r="E199" s="33"/>
      <c r="F199" s="34"/>
      <c r="G199" s="34"/>
      <c r="H199" s="34"/>
      <c r="I199" s="34"/>
      <c r="J199" s="34"/>
      <c r="K199" s="34"/>
      <c r="L199" s="34"/>
      <c r="M199" s="34"/>
      <c r="N199" s="34"/>
      <c r="O199" s="44"/>
      <c r="P199" s="44"/>
      <c r="Q199" s="44"/>
      <c r="R199" s="44"/>
      <c r="S199" s="44"/>
      <c r="T199" s="44"/>
      <c r="U199" s="57"/>
    </row>
    <row r="200" spans="1:21" ht="17.25" customHeight="1" x14ac:dyDescent="0.3">
      <c r="A200" s="15" t="s">
        <v>30</v>
      </c>
      <c r="C200" s="19"/>
      <c r="D200" s="33"/>
      <c r="E200" s="33" t="s">
        <v>31</v>
      </c>
      <c r="F200" s="34" t="s">
        <v>31</v>
      </c>
      <c r="G200" s="34" t="s">
        <v>31</v>
      </c>
      <c r="H200" s="34"/>
      <c r="I200" s="34"/>
      <c r="J200" s="34" t="s">
        <v>31</v>
      </c>
      <c r="K200" s="34" t="s">
        <v>31</v>
      </c>
      <c r="L200" s="34" t="s">
        <v>31</v>
      </c>
      <c r="M200" s="34" t="s">
        <v>31</v>
      </c>
      <c r="N200" s="34"/>
      <c r="U200" s="58"/>
    </row>
    <row r="201" spans="1:21" ht="20.25" customHeight="1" x14ac:dyDescent="0.35">
      <c r="A201" s="15" t="s">
        <v>30</v>
      </c>
      <c r="C201" s="19"/>
      <c r="D201" s="35" t="str">
        <f t="shared" ref="D201" si="134">E201</f>
        <v>E100004</v>
      </c>
      <c r="E201" s="36" t="str">
        <f>"E100004"</f>
        <v>E100004</v>
      </c>
      <c r="F201" s="37" t="str">
        <f>"Laminated Tote"</f>
        <v>Laminated Tote</v>
      </c>
      <c r="G201" s="37"/>
      <c r="H201" s="38" t="str">
        <f>"EA"</f>
        <v>EA</v>
      </c>
      <c r="I201" s="37"/>
      <c r="J201" s="37"/>
      <c r="K201" s="37"/>
      <c r="L201" s="37"/>
      <c r="M201" s="37"/>
      <c r="N201" s="37"/>
      <c r="O201" s="39">
        <f>(SUBTOTAL(9,O202:O204))</f>
        <v>400</v>
      </c>
      <c r="P201" s="39">
        <f>(SUBTOTAL(9,P202:P204))</f>
        <v>-1</v>
      </c>
      <c r="Q201" s="39">
        <f>(SUBTOTAL(9,Q202:Q204))</f>
        <v>0</v>
      </c>
      <c r="R201" s="39">
        <f>(SUBTOTAL(9,R202:R204))</f>
        <v>0</v>
      </c>
      <c r="S201" s="39">
        <f>(SUBTOTAL(9,S202:S204))</f>
        <v>0</v>
      </c>
      <c r="T201" s="39">
        <f>(SUBTOTAL(9,T202:T204))</f>
        <v>0</v>
      </c>
      <c r="U201" s="55">
        <f t="shared" ref="U201" si="135">SUBTOTAL(9,O202:T204)</f>
        <v>399</v>
      </c>
    </row>
    <row r="202" spans="1:21" ht="17.25" customHeight="1" x14ac:dyDescent="0.3">
      <c r="A202" s="15" t="s">
        <v>30</v>
      </c>
      <c r="C202" s="19"/>
      <c r="D202" s="33" t="str">
        <f t="shared" ref="D202" si="136">D201</f>
        <v>E100004</v>
      </c>
      <c r="E202" s="33"/>
      <c r="F202" s="34"/>
      <c r="G202" s="34" t="str">
        <f>"""NAV Direct"",""CRONUS JetCorp USA"",""32"",""1"",""166731"""</f>
        <v>"NAV Direct","CRONUS JetCorp USA","32","1","166731"</v>
      </c>
      <c r="H202" s="40">
        <v>43466</v>
      </c>
      <c r="I202" s="41">
        <v>166731</v>
      </c>
      <c r="J202" s="42" t="str">
        <f>"Vendor"</f>
        <v>Vendor</v>
      </c>
      <c r="K202" s="42" t="str">
        <f>"V100009"</f>
        <v>V100009</v>
      </c>
      <c r="L202" s="42" t="str">
        <f>IF($J202="Customer",_xll.NL("first",$J202,"Name","No.","@@"&amp;$K202),"")</f>
        <v/>
      </c>
      <c r="M202" s="42" t="str">
        <f>"Malay-Dan Export Unit Sdn Bhd"</f>
        <v>Malay-Dan Export Unit Sdn Bhd</v>
      </c>
      <c r="N202" s="42" t="str">
        <f>IF($J202="Item",_xll.NL("first",$J202,"Description","No.","@@"&amp;$K202),"")</f>
        <v/>
      </c>
      <c r="O202" s="43">
        <v>400</v>
      </c>
      <c r="P202" s="43">
        <v>0</v>
      </c>
      <c r="Q202" s="43">
        <v>0</v>
      </c>
      <c r="R202" s="43">
        <v>0</v>
      </c>
      <c r="S202" s="43">
        <v>0</v>
      </c>
      <c r="T202" s="43">
        <v>0</v>
      </c>
      <c r="U202" s="56"/>
    </row>
    <row r="203" spans="1:21" ht="17.25" customHeight="1" x14ac:dyDescent="0.3">
      <c r="A203" s="15" t="s">
        <v>30</v>
      </c>
      <c r="C203" s="19"/>
      <c r="D203" s="33" t="str">
        <f t="shared" ref="D203" si="137">D202</f>
        <v>E100004</v>
      </c>
      <c r="E203" s="33"/>
      <c r="F203" s="34"/>
      <c r="G203" s="34" t="str">
        <f>"""NAV Direct"",""CRONUS JetCorp USA"",""32"",""1"",""78882"""</f>
        <v>"NAV Direct","CRONUS JetCorp USA","32","1","78882"</v>
      </c>
      <c r="H203" s="40">
        <v>43471</v>
      </c>
      <c r="I203" s="41">
        <v>78882</v>
      </c>
      <c r="J203" s="42" t="str">
        <f>"Customer"</f>
        <v>Customer</v>
      </c>
      <c r="K203" s="42" t="str">
        <f>"C100124"</f>
        <v>C100124</v>
      </c>
      <c r="L203" s="42" t="str">
        <f>IF($J203="Customer",_xll.NL("first",$J203,"Name","No.","@@"&amp;$K203),"")</f>
        <v>Ontocane Outdoors</v>
      </c>
      <c r="M203" s="42" t="str">
        <f>""</f>
        <v/>
      </c>
      <c r="N203" s="42" t="str">
        <f>IF($J203="Item",_xll.NL("first",$J203,"Description","No.","@@"&amp;$K203),"")</f>
        <v/>
      </c>
      <c r="O203" s="43">
        <v>0</v>
      </c>
      <c r="P203" s="43">
        <v>-1</v>
      </c>
      <c r="Q203" s="43">
        <v>0</v>
      </c>
      <c r="R203" s="43">
        <v>0</v>
      </c>
      <c r="S203" s="43">
        <v>0</v>
      </c>
      <c r="T203" s="43">
        <v>0</v>
      </c>
      <c r="U203" s="56"/>
    </row>
    <row r="204" spans="1:21" ht="17.25" customHeight="1" x14ac:dyDescent="0.3">
      <c r="A204" s="15" t="s">
        <v>30</v>
      </c>
      <c r="C204" s="19"/>
      <c r="D204" s="33"/>
      <c r="E204" s="33"/>
      <c r="F204" s="34"/>
      <c r="G204" s="34"/>
      <c r="H204" s="34"/>
      <c r="I204" s="34"/>
      <c r="J204" s="34"/>
      <c r="K204" s="34"/>
      <c r="L204" s="34"/>
      <c r="M204" s="34"/>
      <c r="N204" s="34"/>
      <c r="O204" s="44"/>
      <c r="P204" s="44"/>
      <c r="Q204" s="44"/>
      <c r="R204" s="44"/>
      <c r="S204" s="44"/>
      <c r="T204" s="44"/>
      <c r="U204" s="57"/>
    </row>
    <row r="205" spans="1:21" ht="17.25" customHeight="1" x14ac:dyDescent="0.3">
      <c r="A205" s="15" t="s">
        <v>30</v>
      </c>
      <c r="C205" s="19"/>
      <c r="D205" s="33"/>
      <c r="E205" s="33" t="s">
        <v>31</v>
      </c>
      <c r="F205" s="34" t="s">
        <v>31</v>
      </c>
      <c r="G205" s="34" t="s">
        <v>31</v>
      </c>
      <c r="H205" s="34"/>
      <c r="I205" s="34"/>
      <c r="J205" s="34" t="s">
        <v>31</v>
      </c>
      <c r="K205" s="34" t="s">
        <v>31</v>
      </c>
      <c r="L205" s="34" t="s">
        <v>31</v>
      </c>
      <c r="M205" s="34" t="s">
        <v>31</v>
      </c>
      <c r="N205" s="34"/>
      <c r="U205" s="58"/>
    </row>
    <row r="206" spans="1:21" ht="20.25" customHeight="1" x14ac:dyDescent="0.35">
      <c r="A206" s="15" t="s">
        <v>30</v>
      </c>
      <c r="C206" s="19"/>
      <c r="D206" s="35" t="str">
        <f t="shared" ref="D206" si="138">E206</f>
        <v>E100005</v>
      </c>
      <c r="E206" s="36" t="str">
        <f>"E100005"</f>
        <v>E100005</v>
      </c>
      <c r="F206" s="37" t="str">
        <f>"All Purpose Tote"</f>
        <v>All Purpose Tote</v>
      </c>
      <c r="G206" s="37"/>
      <c r="H206" s="38" t="str">
        <f>"EA"</f>
        <v>EA</v>
      </c>
      <c r="I206" s="37"/>
      <c r="J206" s="37"/>
      <c r="K206" s="37"/>
      <c r="L206" s="37"/>
      <c r="M206" s="37"/>
      <c r="N206" s="37"/>
      <c r="O206" s="39">
        <f>(SUBTOTAL(9,O207:O208))</f>
        <v>0</v>
      </c>
      <c r="P206" s="39">
        <f>(SUBTOTAL(9,P207:P208))</f>
        <v>-48</v>
      </c>
      <c r="Q206" s="39">
        <f>(SUBTOTAL(9,Q207:Q208))</f>
        <v>0</v>
      </c>
      <c r="R206" s="39">
        <f>(SUBTOTAL(9,R207:R208))</f>
        <v>0</v>
      </c>
      <c r="S206" s="39">
        <f>(SUBTOTAL(9,S207:S208))</f>
        <v>0</v>
      </c>
      <c r="T206" s="39">
        <f>(SUBTOTAL(9,T207:T208))</f>
        <v>0</v>
      </c>
      <c r="U206" s="55">
        <f t="shared" ref="U206" si="139">SUBTOTAL(9,O207:T208)</f>
        <v>-48</v>
      </c>
    </row>
    <row r="207" spans="1:21" ht="17.25" customHeight="1" x14ac:dyDescent="0.3">
      <c r="A207" s="15" t="s">
        <v>30</v>
      </c>
      <c r="C207" s="19"/>
      <c r="D207" s="33" t="str">
        <f t="shared" ref="D207" si="140">D206</f>
        <v>E100005</v>
      </c>
      <c r="E207" s="33"/>
      <c r="F207" s="34"/>
      <c r="G207" s="34" t="str">
        <f>"""NAV Direct"",""CRONUS JetCorp USA"",""32"",""1"",""78890"""</f>
        <v>"NAV Direct","CRONUS JetCorp USA","32","1","78890"</v>
      </c>
      <c r="H207" s="40">
        <v>43474</v>
      </c>
      <c r="I207" s="41">
        <v>78890</v>
      </c>
      <c r="J207" s="42" t="str">
        <f>"Customer"</f>
        <v>Customer</v>
      </c>
      <c r="K207" s="42" t="str">
        <f>"C100124"</f>
        <v>C100124</v>
      </c>
      <c r="L207" s="42" t="str">
        <f>IF($J207="Customer",_xll.NL("first",$J207,"Name","No.","@@"&amp;$K207),"")</f>
        <v>Ontocane Outdoors</v>
      </c>
      <c r="M207" s="42" t="str">
        <f>""</f>
        <v/>
      </c>
      <c r="N207" s="42" t="str">
        <f>IF($J207="Item",_xll.NL("first",$J207,"Description","No.","@@"&amp;$K207),"")</f>
        <v/>
      </c>
      <c r="O207" s="43">
        <v>0</v>
      </c>
      <c r="P207" s="43">
        <v>-48</v>
      </c>
      <c r="Q207" s="43">
        <v>0</v>
      </c>
      <c r="R207" s="43">
        <v>0</v>
      </c>
      <c r="S207" s="43">
        <v>0</v>
      </c>
      <c r="T207" s="43">
        <v>0</v>
      </c>
      <c r="U207" s="56"/>
    </row>
    <row r="208" spans="1:21" ht="17.25" customHeight="1" x14ac:dyDescent="0.3">
      <c r="A208" s="15" t="s">
        <v>30</v>
      </c>
      <c r="C208" s="19"/>
      <c r="D208" s="33"/>
      <c r="E208" s="33"/>
      <c r="F208" s="34"/>
      <c r="G208" s="34"/>
      <c r="H208" s="34"/>
      <c r="I208" s="34"/>
      <c r="J208" s="34"/>
      <c r="K208" s="34"/>
      <c r="L208" s="34"/>
      <c r="M208" s="34"/>
      <c r="N208" s="34"/>
      <c r="O208" s="44"/>
      <c r="P208" s="44"/>
      <c r="Q208" s="44"/>
      <c r="R208" s="44"/>
      <c r="S208" s="44"/>
      <c r="T208" s="44"/>
      <c r="U208" s="57"/>
    </row>
    <row r="209" spans="1:21" ht="17.25" customHeight="1" x14ac:dyDescent="0.3">
      <c r="A209" s="15" t="s">
        <v>30</v>
      </c>
      <c r="C209" s="19"/>
      <c r="D209" s="33"/>
      <c r="E209" s="33" t="s">
        <v>31</v>
      </c>
      <c r="F209" s="34" t="s">
        <v>31</v>
      </c>
      <c r="G209" s="34" t="s">
        <v>31</v>
      </c>
      <c r="H209" s="34"/>
      <c r="I209" s="34"/>
      <c r="J209" s="34" t="s">
        <v>31</v>
      </c>
      <c r="K209" s="34" t="s">
        <v>31</v>
      </c>
      <c r="L209" s="34" t="s">
        <v>31</v>
      </c>
      <c r="M209" s="34" t="s">
        <v>31</v>
      </c>
      <c r="N209" s="34"/>
      <c r="U209" s="58"/>
    </row>
    <row r="210" spans="1:21" ht="20.25" customHeight="1" x14ac:dyDescent="0.35">
      <c r="A210" s="15" t="s">
        <v>30</v>
      </c>
      <c r="C210" s="19"/>
      <c r="D210" s="35" t="str">
        <f t="shared" ref="D210" si="141">E210</f>
        <v>E100006</v>
      </c>
      <c r="E210" s="36" t="str">
        <f>"E100006"</f>
        <v>E100006</v>
      </c>
      <c r="F210" s="37" t="str">
        <f>"Budget Tote Bag"</f>
        <v>Budget Tote Bag</v>
      </c>
      <c r="G210" s="37"/>
      <c r="H210" s="38" t="str">
        <f>"EA"</f>
        <v>EA</v>
      </c>
      <c r="I210" s="37"/>
      <c r="J210" s="37"/>
      <c r="K210" s="37"/>
      <c r="L210" s="37"/>
      <c r="M210" s="37"/>
      <c r="N210" s="37"/>
      <c r="O210" s="39">
        <f>(SUBTOTAL(9,O211:O212))</f>
        <v>0</v>
      </c>
      <c r="P210" s="39">
        <f>(SUBTOTAL(9,P211:P212))</f>
        <v>1</v>
      </c>
      <c r="Q210" s="39">
        <f>(SUBTOTAL(9,Q211:Q212))</f>
        <v>0</v>
      </c>
      <c r="R210" s="39">
        <f>(SUBTOTAL(9,R211:R212))</f>
        <v>0</v>
      </c>
      <c r="S210" s="39">
        <f>(SUBTOTAL(9,S211:S212))</f>
        <v>0</v>
      </c>
      <c r="T210" s="39">
        <f>(SUBTOTAL(9,T211:T212))</f>
        <v>0</v>
      </c>
      <c r="U210" s="55">
        <f t="shared" ref="U210" si="142">SUBTOTAL(9,O211:T212)</f>
        <v>1</v>
      </c>
    </row>
    <row r="211" spans="1:21" ht="17.25" customHeight="1" x14ac:dyDescent="0.3">
      <c r="A211" s="15" t="s">
        <v>30</v>
      </c>
      <c r="C211" s="19"/>
      <c r="D211" s="33" t="str">
        <f t="shared" ref="D211" si="143">D210</f>
        <v>E100006</v>
      </c>
      <c r="E211" s="33"/>
      <c r="F211" s="34"/>
      <c r="G211" s="34" t="str">
        <f>"""NAV Direct"",""CRONUS JetCorp USA"",""32"",""1"",""159988"""</f>
        <v>"NAV Direct","CRONUS JetCorp USA","32","1","159988"</v>
      </c>
      <c r="H211" s="40">
        <v>43475</v>
      </c>
      <c r="I211" s="41">
        <v>159988</v>
      </c>
      <c r="J211" s="42" t="str">
        <f>"Customer"</f>
        <v>Customer</v>
      </c>
      <c r="K211" s="42" t="str">
        <f>"C100058"</f>
        <v>C100058</v>
      </c>
      <c r="L211" s="42" t="str">
        <f>IF($J211="Customer",_xll.NL("first",$J211,"Name","No.","@@"&amp;$K211),"")</f>
        <v>Marsholm Karmstol</v>
      </c>
      <c r="M211" s="42" t="str">
        <f>""</f>
        <v/>
      </c>
      <c r="N211" s="42" t="str">
        <f>IF($J211="Item",_xll.NL("first",$J211,"Description","No.","@@"&amp;$K211),"")</f>
        <v/>
      </c>
      <c r="O211" s="43">
        <v>0</v>
      </c>
      <c r="P211" s="43">
        <v>1</v>
      </c>
      <c r="Q211" s="43">
        <v>0</v>
      </c>
      <c r="R211" s="43">
        <v>0</v>
      </c>
      <c r="S211" s="43">
        <v>0</v>
      </c>
      <c r="T211" s="43">
        <v>0</v>
      </c>
      <c r="U211" s="56"/>
    </row>
    <row r="212" spans="1:21" ht="17.25" customHeight="1" x14ac:dyDescent="0.3">
      <c r="A212" s="15" t="s">
        <v>30</v>
      </c>
      <c r="C212" s="19"/>
      <c r="D212" s="33"/>
      <c r="E212" s="33"/>
      <c r="F212" s="34"/>
      <c r="G212" s="34"/>
      <c r="H212" s="34"/>
      <c r="I212" s="34"/>
      <c r="J212" s="34"/>
      <c r="K212" s="34"/>
      <c r="L212" s="34"/>
      <c r="M212" s="34"/>
      <c r="N212" s="34"/>
      <c r="O212" s="44"/>
      <c r="P212" s="44"/>
      <c r="Q212" s="44"/>
      <c r="R212" s="44"/>
      <c r="S212" s="44"/>
      <c r="T212" s="44"/>
      <c r="U212" s="57"/>
    </row>
    <row r="213" spans="1:21" ht="17.25" customHeight="1" x14ac:dyDescent="0.3">
      <c r="A213" s="15" t="s">
        <v>30</v>
      </c>
      <c r="C213" s="19"/>
      <c r="D213" s="33"/>
      <c r="E213" s="33" t="s">
        <v>31</v>
      </c>
      <c r="F213" s="34" t="s">
        <v>31</v>
      </c>
      <c r="G213" s="34" t="s">
        <v>31</v>
      </c>
      <c r="H213" s="34"/>
      <c r="I213" s="34"/>
      <c r="J213" s="34" t="s">
        <v>31</v>
      </c>
      <c r="K213" s="34" t="s">
        <v>31</v>
      </c>
      <c r="L213" s="34" t="s">
        <v>31</v>
      </c>
      <c r="M213" s="34" t="s">
        <v>31</v>
      </c>
      <c r="N213" s="34"/>
      <c r="U213" s="58"/>
    </row>
    <row r="214" spans="1:21" ht="20.25" customHeight="1" x14ac:dyDescent="0.35">
      <c r="A214" s="15" t="s">
        <v>30</v>
      </c>
      <c r="C214" s="19"/>
      <c r="D214" s="35" t="str">
        <f t="shared" ref="D214" si="144">E214</f>
        <v>E100007</v>
      </c>
      <c r="E214" s="36" t="str">
        <f>"E100007"</f>
        <v>E100007</v>
      </c>
      <c r="F214" s="37" t="str">
        <f>"Plastic Handle Bag"</f>
        <v>Plastic Handle Bag</v>
      </c>
      <c r="G214" s="37"/>
      <c r="H214" s="38" t="str">
        <f>"EA"</f>
        <v>EA</v>
      </c>
      <c r="I214" s="37"/>
      <c r="J214" s="37"/>
      <c r="K214" s="37"/>
      <c r="L214" s="37"/>
      <c r="M214" s="37"/>
      <c r="N214" s="37"/>
      <c r="O214" s="39">
        <f>(SUBTOTAL(9,O215:O216))</f>
        <v>0</v>
      </c>
      <c r="P214" s="39">
        <f>(SUBTOTAL(9,P215:P216))</f>
        <v>-1</v>
      </c>
      <c r="Q214" s="39">
        <f>(SUBTOTAL(9,Q215:Q216))</f>
        <v>0</v>
      </c>
      <c r="R214" s="39">
        <f>(SUBTOTAL(9,R215:R216))</f>
        <v>0</v>
      </c>
      <c r="S214" s="39">
        <f>(SUBTOTAL(9,S215:S216))</f>
        <v>0</v>
      </c>
      <c r="T214" s="39">
        <f>(SUBTOTAL(9,T215:T216))</f>
        <v>0</v>
      </c>
      <c r="U214" s="55">
        <f t="shared" ref="U214" si="145">SUBTOTAL(9,O215:T216)</f>
        <v>-1</v>
      </c>
    </row>
    <row r="215" spans="1:21" ht="17.25" customHeight="1" x14ac:dyDescent="0.3">
      <c r="A215" s="15" t="s">
        <v>30</v>
      </c>
      <c r="C215" s="19"/>
      <c r="D215" s="33" t="str">
        <f t="shared" ref="D215" si="146">D214</f>
        <v>E100007</v>
      </c>
      <c r="E215" s="33"/>
      <c r="F215" s="34"/>
      <c r="G215" s="34" t="str">
        <f>"""NAV Direct"",""CRONUS JetCorp USA"",""32"",""1"",""78884"""</f>
        <v>"NAV Direct","CRONUS JetCorp USA","32","1","78884"</v>
      </c>
      <c r="H215" s="40">
        <v>43471</v>
      </c>
      <c r="I215" s="41">
        <v>78884</v>
      </c>
      <c r="J215" s="42" t="str">
        <f>"Customer"</f>
        <v>Customer</v>
      </c>
      <c r="K215" s="42" t="str">
        <f>"C100124"</f>
        <v>C100124</v>
      </c>
      <c r="L215" s="42" t="str">
        <f>IF($J215="Customer",_xll.NL("first",$J215,"Name","No.","@@"&amp;$K215),"")</f>
        <v>Ontocane Outdoors</v>
      </c>
      <c r="M215" s="42" t="str">
        <f>""</f>
        <v/>
      </c>
      <c r="N215" s="42" t="str">
        <f>IF($J215="Item",_xll.NL("first",$J215,"Description","No.","@@"&amp;$K215),"")</f>
        <v/>
      </c>
      <c r="O215" s="43">
        <v>0</v>
      </c>
      <c r="P215" s="43">
        <v>-1</v>
      </c>
      <c r="Q215" s="43">
        <v>0</v>
      </c>
      <c r="R215" s="43">
        <v>0</v>
      </c>
      <c r="S215" s="43">
        <v>0</v>
      </c>
      <c r="T215" s="43">
        <v>0</v>
      </c>
      <c r="U215" s="56"/>
    </row>
    <row r="216" spans="1:21" ht="17.25" customHeight="1" x14ac:dyDescent="0.3">
      <c r="A216" s="15" t="s">
        <v>30</v>
      </c>
      <c r="C216" s="19"/>
      <c r="D216" s="33"/>
      <c r="E216" s="33"/>
      <c r="F216" s="34"/>
      <c r="G216" s="34"/>
      <c r="H216" s="34"/>
      <c r="I216" s="34"/>
      <c r="J216" s="34"/>
      <c r="K216" s="34"/>
      <c r="L216" s="34"/>
      <c r="M216" s="34"/>
      <c r="N216" s="34"/>
      <c r="O216" s="44"/>
      <c r="P216" s="44"/>
      <c r="Q216" s="44"/>
      <c r="R216" s="44"/>
      <c r="S216" s="44"/>
      <c r="T216" s="44"/>
      <c r="U216" s="57"/>
    </row>
    <row r="217" spans="1:21" ht="17.25" customHeight="1" x14ac:dyDescent="0.3">
      <c r="A217" s="15" t="s">
        <v>30</v>
      </c>
      <c r="C217" s="19"/>
      <c r="D217" s="33"/>
      <c r="E217" s="33" t="s">
        <v>31</v>
      </c>
      <c r="F217" s="34" t="s">
        <v>31</v>
      </c>
      <c r="G217" s="34" t="s">
        <v>31</v>
      </c>
      <c r="H217" s="34"/>
      <c r="I217" s="34"/>
      <c r="J217" s="34" t="s">
        <v>31</v>
      </c>
      <c r="K217" s="34" t="s">
        <v>31</v>
      </c>
      <c r="L217" s="34" t="s">
        <v>31</v>
      </c>
      <c r="M217" s="34" t="s">
        <v>31</v>
      </c>
      <c r="N217" s="34"/>
      <c r="U217" s="58"/>
    </row>
    <row r="218" spans="1:21" ht="20.25" customHeight="1" x14ac:dyDescent="0.35">
      <c r="A218" s="15" t="s">
        <v>30</v>
      </c>
      <c r="C218" s="19"/>
      <c r="D218" s="35" t="str">
        <f t="shared" ref="D218" si="147">E218</f>
        <v>E100009</v>
      </c>
      <c r="E218" s="36" t="str">
        <f>"E100009"</f>
        <v>E100009</v>
      </c>
      <c r="F218" s="37" t="str">
        <f>"Die-Cut Tote"</f>
        <v>Die-Cut Tote</v>
      </c>
      <c r="G218" s="37"/>
      <c r="H218" s="38" t="str">
        <f>"EA"</f>
        <v>EA</v>
      </c>
      <c r="I218" s="37"/>
      <c r="J218" s="37"/>
      <c r="K218" s="37"/>
      <c r="L218" s="37"/>
      <c r="M218" s="37"/>
      <c r="N218" s="37"/>
      <c r="O218" s="39">
        <f>(SUBTOTAL(9,O219:O221))</f>
        <v>200</v>
      </c>
      <c r="P218" s="39">
        <f>(SUBTOTAL(9,P219:P221))</f>
        <v>-1</v>
      </c>
      <c r="Q218" s="39">
        <f>(SUBTOTAL(9,Q219:Q221))</f>
        <v>0</v>
      </c>
      <c r="R218" s="39">
        <f>(SUBTOTAL(9,R219:R221))</f>
        <v>0</v>
      </c>
      <c r="S218" s="39">
        <f>(SUBTOTAL(9,S219:S221))</f>
        <v>0</v>
      </c>
      <c r="T218" s="39">
        <f>(SUBTOTAL(9,T219:T221))</f>
        <v>0</v>
      </c>
      <c r="U218" s="55">
        <f t="shared" ref="U218" si="148">SUBTOTAL(9,O219:T221)</f>
        <v>199</v>
      </c>
    </row>
    <row r="219" spans="1:21" ht="17.25" customHeight="1" x14ac:dyDescent="0.3">
      <c r="A219" s="15" t="s">
        <v>30</v>
      </c>
      <c r="C219" s="19"/>
      <c r="D219" s="33" t="str">
        <f t="shared" ref="D219" si="149">D218</f>
        <v>E100009</v>
      </c>
      <c r="E219" s="33"/>
      <c r="F219" s="34"/>
      <c r="G219" s="34" t="str">
        <f>"""NAV Direct"",""CRONUS JetCorp USA"",""32"",""1"",""166730"""</f>
        <v>"NAV Direct","CRONUS JetCorp USA","32","1","166730"</v>
      </c>
      <c r="H219" s="40">
        <v>43466</v>
      </c>
      <c r="I219" s="41">
        <v>166730</v>
      </c>
      <c r="J219" s="42" t="str">
        <f>"Vendor"</f>
        <v>Vendor</v>
      </c>
      <c r="K219" s="42" t="str">
        <f>"V100009"</f>
        <v>V100009</v>
      </c>
      <c r="L219" s="42" t="str">
        <f>IF($J219="Customer",_xll.NL("first",$J219,"Name","No.","@@"&amp;$K219),"")</f>
        <v/>
      </c>
      <c r="M219" s="42" t="str">
        <f>"Malay-Dan Export Unit Sdn Bhd"</f>
        <v>Malay-Dan Export Unit Sdn Bhd</v>
      </c>
      <c r="N219" s="42" t="str">
        <f>IF($J219="Item",_xll.NL("first",$J219,"Description","No.","@@"&amp;$K219),"")</f>
        <v/>
      </c>
      <c r="O219" s="43">
        <v>200</v>
      </c>
      <c r="P219" s="43">
        <v>0</v>
      </c>
      <c r="Q219" s="43">
        <v>0</v>
      </c>
      <c r="R219" s="43">
        <v>0</v>
      </c>
      <c r="S219" s="43">
        <v>0</v>
      </c>
      <c r="T219" s="43">
        <v>0</v>
      </c>
      <c r="U219" s="56"/>
    </row>
    <row r="220" spans="1:21" ht="17.25" customHeight="1" x14ac:dyDescent="0.3">
      <c r="A220" s="15" t="s">
        <v>30</v>
      </c>
      <c r="C220" s="19"/>
      <c r="D220" s="33" t="str">
        <f t="shared" ref="D220" si="150">D219</f>
        <v>E100009</v>
      </c>
      <c r="E220" s="33"/>
      <c r="F220" s="34"/>
      <c r="G220" s="34" t="str">
        <f>"""NAV Direct"",""CRONUS JetCorp USA"",""32"",""1"",""78895"""</f>
        <v>"NAV Direct","CRONUS JetCorp USA","32","1","78895"</v>
      </c>
      <c r="H220" s="40">
        <v>43474</v>
      </c>
      <c r="I220" s="41">
        <v>78895</v>
      </c>
      <c r="J220" s="42" t="str">
        <f>"Customer"</f>
        <v>Customer</v>
      </c>
      <c r="K220" s="42" t="str">
        <f>"C100124"</f>
        <v>C100124</v>
      </c>
      <c r="L220" s="42" t="str">
        <f>IF($J220="Customer",_xll.NL("first",$J220,"Name","No.","@@"&amp;$K220),"")</f>
        <v>Ontocane Outdoors</v>
      </c>
      <c r="M220" s="42" t="str">
        <f>""</f>
        <v/>
      </c>
      <c r="N220" s="42" t="str">
        <f>IF($J220="Item",_xll.NL("first",$J220,"Description","No.","@@"&amp;$K220),"")</f>
        <v/>
      </c>
      <c r="O220" s="43">
        <v>0</v>
      </c>
      <c r="P220" s="43">
        <v>-1</v>
      </c>
      <c r="Q220" s="43">
        <v>0</v>
      </c>
      <c r="R220" s="43">
        <v>0</v>
      </c>
      <c r="S220" s="43">
        <v>0</v>
      </c>
      <c r="T220" s="43">
        <v>0</v>
      </c>
      <c r="U220" s="56"/>
    </row>
    <row r="221" spans="1:21" ht="17.25" customHeight="1" x14ac:dyDescent="0.3">
      <c r="A221" s="15" t="s">
        <v>30</v>
      </c>
      <c r="C221" s="19"/>
      <c r="D221" s="33"/>
      <c r="E221" s="33"/>
      <c r="F221" s="34"/>
      <c r="G221" s="34"/>
      <c r="H221" s="34"/>
      <c r="I221" s="34"/>
      <c r="J221" s="34"/>
      <c r="K221" s="34"/>
      <c r="L221" s="34"/>
      <c r="M221" s="34"/>
      <c r="N221" s="34"/>
      <c r="O221" s="44"/>
      <c r="P221" s="44"/>
      <c r="Q221" s="44"/>
      <c r="R221" s="44"/>
      <c r="S221" s="44"/>
      <c r="T221" s="44"/>
      <c r="U221" s="57"/>
    </row>
    <row r="222" spans="1:21" ht="17.25" customHeight="1" x14ac:dyDescent="0.3">
      <c r="A222" s="15" t="s">
        <v>30</v>
      </c>
      <c r="C222" s="19"/>
      <c r="D222" s="33"/>
      <c r="E222" s="33" t="s">
        <v>31</v>
      </c>
      <c r="F222" s="34" t="s">
        <v>31</v>
      </c>
      <c r="G222" s="34" t="s">
        <v>31</v>
      </c>
      <c r="H222" s="34"/>
      <c r="I222" s="34"/>
      <c r="J222" s="34" t="s">
        <v>31</v>
      </c>
      <c r="K222" s="34" t="s">
        <v>31</v>
      </c>
      <c r="L222" s="34" t="s">
        <v>31</v>
      </c>
      <c r="M222" s="34" t="s">
        <v>31</v>
      </c>
      <c r="N222" s="34"/>
      <c r="U222" s="58"/>
    </row>
    <row r="223" spans="1:21" ht="20.25" customHeight="1" x14ac:dyDescent="0.35">
      <c r="A223" s="15" t="s">
        <v>30</v>
      </c>
      <c r="C223" s="19"/>
      <c r="D223" s="35" t="str">
        <f t="shared" ref="D223" si="151">E223</f>
        <v>E100010</v>
      </c>
      <c r="E223" s="36" t="str">
        <f>"E100010"</f>
        <v>E100010</v>
      </c>
      <c r="F223" s="37" t="str">
        <f>"Vinyl Tote"</f>
        <v>Vinyl Tote</v>
      </c>
      <c r="G223" s="37"/>
      <c r="H223" s="38" t="str">
        <f>"EA"</f>
        <v>EA</v>
      </c>
      <c r="I223" s="37"/>
      <c r="J223" s="37"/>
      <c r="K223" s="37"/>
      <c r="L223" s="37"/>
      <c r="M223" s="37"/>
      <c r="N223" s="37"/>
      <c r="O223" s="39">
        <f>(SUBTOTAL(9,O224:O225))</f>
        <v>0</v>
      </c>
      <c r="P223" s="39">
        <f>(SUBTOTAL(9,P224:P225))</f>
        <v>-144</v>
      </c>
      <c r="Q223" s="39">
        <f>(SUBTOTAL(9,Q224:Q225))</f>
        <v>0</v>
      </c>
      <c r="R223" s="39">
        <f>(SUBTOTAL(9,R224:R225))</f>
        <v>0</v>
      </c>
      <c r="S223" s="39">
        <f>(SUBTOTAL(9,S224:S225))</f>
        <v>0</v>
      </c>
      <c r="T223" s="39">
        <f>(SUBTOTAL(9,T224:T225))</f>
        <v>0</v>
      </c>
      <c r="U223" s="55">
        <f t="shared" ref="U223" si="152">SUBTOTAL(9,O224:T225)</f>
        <v>-144</v>
      </c>
    </row>
    <row r="224" spans="1:21" ht="17.25" customHeight="1" x14ac:dyDescent="0.3">
      <c r="A224" s="15" t="s">
        <v>30</v>
      </c>
      <c r="C224" s="19"/>
      <c r="D224" s="33" t="str">
        <f t="shared" ref="D224" si="153">D223</f>
        <v>E100010</v>
      </c>
      <c r="E224" s="33"/>
      <c r="F224" s="34"/>
      <c r="G224" s="34" t="str">
        <f>"""NAV Direct"",""CRONUS JetCorp USA"",""32"",""1"",""78892"""</f>
        <v>"NAV Direct","CRONUS JetCorp USA","32","1","78892"</v>
      </c>
      <c r="H224" s="40">
        <v>43474</v>
      </c>
      <c r="I224" s="41">
        <v>78892</v>
      </c>
      <c r="J224" s="42" t="str">
        <f>"Customer"</f>
        <v>Customer</v>
      </c>
      <c r="K224" s="42" t="str">
        <f>"C100124"</f>
        <v>C100124</v>
      </c>
      <c r="L224" s="42" t="str">
        <f>IF($J224="Customer",_xll.NL("first",$J224,"Name","No.","@@"&amp;$K224),"")</f>
        <v>Ontocane Outdoors</v>
      </c>
      <c r="M224" s="42" t="str">
        <f>""</f>
        <v/>
      </c>
      <c r="N224" s="42" t="str">
        <f>IF($J224="Item",_xll.NL("first",$J224,"Description","No.","@@"&amp;$K224),"")</f>
        <v/>
      </c>
      <c r="O224" s="43">
        <v>0</v>
      </c>
      <c r="P224" s="43">
        <v>-144</v>
      </c>
      <c r="Q224" s="43">
        <v>0</v>
      </c>
      <c r="R224" s="43">
        <v>0</v>
      </c>
      <c r="S224" s="43">
        <v>0</v>
      </c>
      <c r="T224" s="43">
        <v>0</v>
      </c>
      <c r="U224" s="56"/>
    </row>
    <row r="225" spans="1:21" ht="17.25" customHeight="1" x14ac:dyDescent="0.3">
      <c r="A225" s="15" t="s">
        <v>30</v>
      </c>
      <c r="C225" s="19"/>
      <c r="D225" s="33"/>
      <c r="E225" s="33"/>
      <c r="F225" s="34"/>
      <c r="G225" s="34"/>
      <c r="H225" s="34"/>
      <c r="I225" s="34"/>
      <c r="J225" s="34"/>
      <c r="K225" s="34"/>
      <c r="L225" s="34"/>
      <c r="M225" s="34"/>
      <c r="N225" s="34"/>
      <c r="O225" s="44"/>
      <c r="P225" s="44"/>
      <c r="Q225" s="44"/>
      <c r="R225" s="44"/>
      <c r="S225" s="44"/>
      <c r="T225" s="44"/>
      <c r="U225" s="57"/>
    </row>
    <row r="226" spans="1:21" ht="17.25" customHeight="1" x14ac:dyDescent="0.3">
      <c r="A226" s="15" t="s">
        <v>30</v>
      </c>
      <c r="C226" s="19"/>
      <c r="D226" s="33"/>
      <c r="E226" s="33" t="s">
        <v>31</v>
      </c>
      <c r="F226" s="34" t="s">
        <v>31</v>
      </c>
      <c r="G226" s="34" t="s">
        <v>31</v>
      </c>
      <c r="H226" s="34"/>
      <c r="I226" s="34"/>
      <c r="J226" s="34" t="s">
        <v>31</v>
      </c>
      <c r="K226" s="34" t="s">
        <v>31</v>
      </c>
      <c r="L226" s="34" t="s">
        <v>31</v>
      </c>
      <c r="M226" s="34" t="s">
        <v>31</v>
      </c>
      <c r="N226" s="34"/>
      <c r="U226" s="58"/>
    </row>
    <row r="227" spans="1:21" ht="20.25" customHeight="1" x14ac:dyDescent="0.35">
      <c r="A227" s="15" t="s">
        <v>30</v>
      </c>
      <c r="C227" s="19"/>
      <c r="D227" s="35" t="str">
        <f t="shared" ref="D227" si="154">E227</f>
        <v>E100011</v>
      </c>
      <c r="E227" s="36" t="str">
        <f>"E100011"</f>
        <v>E100011</v>
      </c>
      <c r="F227" s="37" t="str">
        <f>"Plastic Sun Visor"</f>
        <v>Plastic Sun Visor</v>
      </c>
      <c r="G227" s="37"/>
      <c r="H227" s="38" t="str">
        <f>"EA"</f>
        <v>EA</v>
      </c>
      <c r="I227" s="37"/>
      <c r="J227" s="37"/>
      <c r="K227" s="37"/>
      <c r="L227" s="37"/>
      <c r="M227" s="37"/>
      <c r="N227" s="37"/>
      <c r="O227" s="39">
        <f>(SUBTOTAL(9,O228:O230))</f>
        <v>400</v>
      </c>
      <c r="P227" s="39">
        <f>(SUBTOTAL(9,P228:P230))</f>
        <v>-1</v>
      </c>
      <c r="Q227" s="39">
        <f>(SUBTOTAL(9,Q228:Q230))</f>
        <v>0</v>
      </c>
      <c r="R227" s="39">
        <f>(SUBTOTAL(9,R228:R230))</f>
        <v>0</v>
      </c>
      <c r="S227" s="39">
        <f>(SUBTOTAL(9,S228:S230))</f>
        <v>0</v>
      </c>
      <c r="T227" s="39">
        <f>(SUBTOTAL(9,T228:T230))</f>
        <v>0</v>
      </c>
      <c r="U227" s="55">
        <f t="shared" ref="U227" si="155">SUBTOTAL(9,O228:T230)</f>
        <v>399</v>
      </c>
    </row>
    <row r="228" spans="1:21" ht="17.25" customHeight="1" x14ac:dyDescent="0.3">
      <c r="A228" s="15" t="s">
        <v>30</v>
      </c>
      <c r="C228" s="19"/>
      <c r="D228" s="33" t="str">
        <f t="shared" ref="D228" si="156">D227</f>
        <v>E100011</v>
      </c>
      <c r="E228" s="33"/>
      <c r="F228" s="34"/>
      <c r="G228" s="34" t="str">
        <f>"""NAV Direct"",""CRONUS JetCorp USA"",""32"",""1"",""167080"""</f>
        <v>"NAV Direct","CRONUS JetCorp USA","32","1","167080"</v>
      </c>
      <c r="H228" s="40">
        <v>43466</v>
      </c>
      <c r="I228" s="41">
        <v>167080</v>
      </c>
      <c r="J228" s="42" t="str">
        <f>"Vendor"</f>
        <v>Vendor</v>
      </c>
      <c r="K228" s="42" t="str">
        <f>"V100009"</f>
        <v>V100009</v>
      </c>
      <c r="L228" s="42" t="str">
        <f>IF($J228="Customer",_xll.NL("first",$J228,"Name","No.","@@"&amp;$K228),"")</f>
        <v/>
      </c>
      <c r="M228" s="42" t="str">
        <f>"Malay-Dan Export Unit Sdn Bhd"</f>
        <v>Malay-Dan Export Unit Sdn Bhd</v>
      </c>
      <c r="N228" s="42" t="str">
        <f>IF($J228="Item",_xll.NL("first",$J228,"Description","No.","@@"&amp;$K228),"")</f>
        <v/>
      </c>
      <c r="O228" s="43">
        <v>400</v>
      </c>
      <c r="P228" s="43">
        <v>0</v>
      </c>
      <c r="Q228" s="43">
        <v>0</v>
      </c>
      <c r="R228" s="43">
        <v>0</v>
      </c>
      <c r="S228" s="43">
        <v>0</v>
      </c>
      <c r="T228" s="43">
        <v>0</v>
      </c>
      <c r="U228" s="56"/>
    </row>
    <row r="229" spans="1:21" ht="17.25" customHeight="1" x14ac:dyDescent="0.3">
      <c r="A229" s="15" t="s">
        <v>30</v>
      </c>
      <c r="C229" s="19"/>
      <c r="D229" s="33" t="str">
        <f t="shared" ref="D229" si="157">D228</f>
        <v>E100011</v>
      </c>
      <c r="E229" s="33"/>
      <c r="F229" s="34"/>
      <c r="G229" s="34" t="str">
        <f>"""NAV Direct"",""CRONUS JetCorp USA"",""32"",""1"",""138737"""</f>
        <v>"NAV Direct","CRONUS JetCorp USA","32","1","138737"</v>
      </c>
      <c r="H229" s="40">
        <v>43477</v>
      </c>
      <c r="I229" s="41">
        <v>138737</v>
      </c>
      <c r="J229" s="42" t="str">
        <f>"Customer"</f>
        <v>Customer</v>
      </c>
      <c r="K229" s="42" t="str">
        <f>"C100021"</f>
        <v>C100021</v>
      </c>
      <c r="L229" s="42" t="str">
        <f>IF($J229="Customer",_xll.NL("first",$J229,"Name","No.","@@"&amp;$K229),"")</f>
        <v>Cronus Cardoxy Sales</v>
      </c>
      <c r="M229" s="42" t="str">
        <f>""</f>
        <v/>
      </c>
      <c r="N229" s="42" t="str">
        <f>IF($J229="Item",_xll.NL("first",$J229,"Description","No.","@@"&amp;$K229),"")</f>
        <v/>
      </c>
      <c r="O229" s="43">
        <v>0</v>
      </c>
      <c r="P229" s="43">
        <v>-1</v>
      </c>
      <c r="Q229" s="43">
        <v>0</v>
      </c>
      <c r="R229" s="43">
        <v>0</v>
      </c>
      <c r="S229" s="43">
        <v>0</v>
      </c>
      <c r="T229" s="43">
        <v>0</v>
      </c>
      <c r="U229" s="56"/>
    </row>
    <row r="230" spans="1:21" ht="17.25" customHeight="1" x14ac:dyDescent="0.3">
      <c r="A230" s="15" t="s">
        <v>30</v>
      </c>
      <c r="C230" s="19"/>
      <c r="D230" s="33"/>
      <c r="E230" s="33"/>
      <c r="F230" s="34"/>
      <c r="G230" s="34"/>
      <c r="H230" s="34"/>
      <c r="I230" s="34"/>
      <c r="J230" s="34"/>
      <c r="K230" s="34"/>
      <c r="L230" s="34"/>
      <c r="M230" s="34"/>
      <c r="N230" s="34"/>
      <c r="O230" s="44"/>
      <c r="P230" s="44"/>
      <c r="Q230" s="44"/>
      <c r="R230" s="44"/>
      <c r="S230" s="44"/>
      <c r="T230" s="44"/>
      <c r="U230" s="57"/>
    </row>
    <row r="231" spans="1:21" ht="17.25" customHeight="1" x14ac:dyDescent="0.3">
      <c r="A231" s="15" t="s">
        <v>30</v>
      </c>
      <c r="C231" s="19"/>
      <c r="D231" s="33"/>
      <c r="E231" s="33" t="s">
        <v>31</v>
      </c>
      <c r="F231" s="34" t="s">
        <v>31</v>
      </c>
      <c r="G231" s="34" t="s">
        <v>31</v>
      </c>
      <c r="H231" s="34"/>
      <c r="I231" s="34"/>
      <c r="J231" s="34" t="s">
        <v>31</v>
      </c>
      <c r="K231" s="34" t="s">
        <v>31</v>
      </c>
      <c r="L231" s="34" t="s">
        <v>31</v>
      </c>
      <c r="M231" s="34" t="s">
        <v>31</v>
      </c>
      <c r="N231" s="34"/>
      <c r="U231" s="58"/>
    </row>
    <row r="232" spans="1:21" ht="20.25" customHeight="1" x14ac:dyDescent="0.35">
      <c r="A232" s="15" t="s">
        <v>30</v>
      </c>
      <c r="C232" s="19"/>
      <c r="D232" s="35" t="str">
        <f t="shared" ref="D232" si="158">E232</f>
        <v>E100012</v>
      </c>
      <c r="E232" s="36" t="str">
        <f>"E100012"</f>
        <v>E100012</v>
      </c>
      <c r="F232" s="37" t="str">
        <f>"Canvas Stopwatch"</f>
        <v>Canvas Stopwatch</v>
      </c>
      <c r="G232" s="37"/>
      <c r="H232" s="38" t="str">
        <f>"EA"</f>
        <v>EA</v>
      </c>
      <c r="I232" s="37"/>
      <c r="J232" s="37"/>
      <c r="K232" s="37"/>
      <c r="L232" s="37"/>
      <c r="M232" s="37"/>
      <c r="N232" s="37"/>
      <c r="O232" s="39">
        <f>(SUBTOTAL(9,O233:O236))</f>
        <v>400</v>
      </c>
      <c r="P232" s="39">
        <f>(SUBTOTAL(9,P233:P236))</f>
        <v>-289</v>
      </c>
      <c r="Q232" s="39">
        <f>(SUBTOTAL(9,Q233:Q236))</f>
        <v>0</v>
      </c>
      <c r="R232" s="39">
        <f>(SUBTOTAL(9,R233:R236))</f>
        <v>0</v>
      </c>
      <c r="S232" s="39">
        <f>(SUBTOTAL(9,S233:S236))</f>
        <v>0</v>
      </c>
      <c r="T232" s="39">
        <f>(SUBTOTAL(9,T233:T236))</f>
        <v>0</v>
      </c>
      <c r="U232" s="55">
        <f t="shared" ref="U232" si="159">SUBTOTAL(9,O233:T236)</f>
        <v>111</v>
      </c>
    </row>
    <row r="233" spans="1:21" ht="17.25" customHeight="1" x14ac:dyDescent="0.3">
      <c r="A233" s="15" t="s">
        <v>30</v>
      </c>
      <c r="C233" s="19"/>
      <c r="D233" s="33" t="str">
        <f t="shared" ref="D233" si="160">D232</f>
        <v>E100012</v>
      </c>
      <c r="E233" s="33"/>
      <c r="F233" s="34"/>
      <c r="G233" s="34" t="str">
        <f>"""NAV Direct"",""CRONUS JetCorp USA"",""32"",""1"",""167518"""</f>
        <v>"NAV Direct","CRONUS JetCorp USA","32","1","167518"</v>
      </c>
      <c r="H233" s="40">
        <v>43466</v>
      </c>
      <c r="I233" s="41">
        <v>167518</v>
      </c>
      <c r="J233" s="42" t="str">
        <f>"Vendor"</f>
        <v>Vendor</v>
      </c>
      <c r="K233" s="42" t="str">
        <f>"V100009"</f>
        <v>V100009</v>
      </c>
      <c r="L233" s="42" t="str">
        <f>IF($J233="Customer",_xll.NL("first",$J233,"Name","No.","@@"&amp;$K233),"")</f>
        <v/>
      </c>
      <c r="M233" s="42" t="str">
        <f>"Malay-Dan Export Unit Sdn Bhd"</f>
        <v>Malay-Dan Export Unit Sdn Bhd</v>
      </c>
      <c r="N233" s="42" t="str">
        <f>IF($J233="Item",_xll.NL("first",$J233,"Description","No.","@@"&amp;$K233),"")</f>
        <v/>
      </c>
      <c r="O233" s="43">
        <v>400</v>
      </c>
      <c r="P233" s="43">
        <v>0</v>
      </c>
      <c r="Q233" s="43">
        <v>0</v>
      </c>
      <c r="R233" s="43">
        <v>0</v>
      </c>
      <c r="S233" s="43">
        <v>0</v>
      </c>
      <c r="T233" s="43">
        <v>0</v>
      </c>
      <c r="U233" s="56"/>
    </row>
    <row r="234" spans="1:21" ht="17.25" customHeight="1" x14ac:dyDescent="0.3">
      <c r="A234" s="15" t="s">
        <v>30</v>
      </c>
      <c r="C234" s="19"/>
      <c r="D234" s="33" t="str">
        <f t="shared" ref="D234:D235" si="161">D233</f>
        <v>E100012</v>
      </c>
      <c r="E234" s="33"/>
      <c r="F234" s="34"/>
      <c r="G234" s="34" t="str">
        <f>"""NAV Direct"",""CRONUS JetCorp USA"",""32"",""1"",""34321"""</f>
        <v>"NAV Direct","CRONUS JetCorp USA","32","1","34321"</v>
      </c>
      <c r="H234" s="40">
        <v>43470</v>
      </c>
      <c r="I234" s="41">
        <v>34321</v>
      </c>
      <c r="J234" s="42" t="str">
        <f>"Customer"</f>
        <v>Customer</v>
      </c>
      <c r="K234" s="42" t="str">
        <f>"C100050"</f>
        <v>C100050</v>
      </c>
      <c r="L234" s="42" t="str">
        <f>IF($J234="Customer",_xll.NL("first",$J234,"Name","No.","@@"&amp;$K234),"")</f>
        <v>Lauritzen Kontorm¢bler A/S</v>
      </c>
      <c r="M234" s="42" t="str">
        <f>""</f>
        <v/>
      </c>
      <c r="N234" s="42" t="str">
        <f>IF($J234="Item",_xll.NL("first",$J234,"Description","No.","@@"&amp;$K234),"")</f>
        <v/>
      </c>
      <c r="O234" s="43">
        <v>0</v>
      </c>
      <c r="P234" s="43">
        <v>-288</v>
      </c>
      <c r="Q234" s="43">
        <v>0</v>
      </c>
      <c r="R234" s="43">
        <v>0</v>
      </c>
      <c r="S234" s="43">
        <v>0</v>
      </c>
      <c r="T234" s="43">
        <v>0</v>
      </c>
      <c r="U234" s="56"/>
    </row>
    <row r="235" spans="1:21" ht="17.25" customHeight="1" x14ac:dyDescent="0.3">
      <c r="A235" s="15" t="s">
        <v>30</v>
      </c>
      <c r="C235" s="19"/>
      <c r="D235" s="33" t="str">
        <f t="shared" si="161"/>
        <v>E100012</v>
      </c>
      <c r="E235" s="33"/>
      <c r="F235" s="34"/>
      <c r="G235" s="34" t="str">
        <f>"""NAV Direct"",""CRONUS JetCorp USA"",""32"",""1"",""138736"""</f>
        <v>"NAV Direct","CRONUS JetCorp USA","32","1","138736"</v>
      </c>
      <c r="H235" s="40">
        <v>43477</v>
      </c>
      <c r="I235" s="41">
        <v>138736</v>
      </c>
      <c r="J235" s="42" t="str">
        <f>"Customer"</f>
        <v>Customer</v>
      </c>
      <c r="K235" s="42" t="str">
        <f>"C100021"</f>
        <v>C100021</v>
      </c>
      <c r="L235" s="42" t="str">
        <f>IF($J235="Customer",_xll.NL("first",$J235,"Name","No.","@@"&amp;$K235),"")</f>
        <v>Cronus Cardoxy Sales</v>
      </c>
      <c r="M235" s="42" t="str">
        <f>""</f>
        <v/>
      </c>
      <c r="N235" s="42" t="str">
        <f>IF($J235="Item",_xll.NL("first",$J235,"Description","No.","@@"&amp;$K235),"")</f>
        <v/>
      </c>
      <c r="O235" s="43">
        <v>0</v>
      </c>
      <c r="P235" s="43">
        <v>-1</v>
      </c>
      <c r="Q235" s="43">
        <v>0</v>
      </c>
      <c r="R235" s="43">
        <v>0</v>
      </c>
      <c r="S235" s="43">
        <v>0</v>
      </c>
      <c r="T235" s="43">
        <v>0</v>
      </c>
      <c r="U235" s="56"/>
    </row>
    <row r="236" spans="1:21" ht="17.25" customHeight="1" x14ac:dyDescent="0.3">
      <c r="A236" s="15" t="s">
        <v>30</v>
      </c>
      <c r="C236" s="19"/>
      <c r="D236" s="33"/>
      <c r="E236" s="33"/>
      <c r="F236" s="34"/>
      <c r="G236" s="34"/>
      <c r="H236" s="34"/>
      <c r="I236" s="34"/>
      <c r="J236" s="34"/>
      <c r="K236" s="34"/>
      <c r="L236" s="34"/>
      <c r="M236" s="34"/>
      <c r="N236" s="34"/>
      <c r="O236" s="44"/>
      <c r="P236" s="44"/>
      <c r="Q236" s="44"/>
      <c r="R236" s="44"/>
      <c r="S236" s="44"/>
      <c r="T236" s="44"/>
      <c r="U236" s="57"/>
    </row>
    <row r="237" spans="1:21" ht="17.25" customHeight="1" x14ac:dyDescent="0.3">
      <c r="A237" s="15" t="s">
        <v>30</v>
      </c>
      <c r="C237" s="19"/>
      <c r="D237" s="33"/>
      <c r="E237" s="33" t="s">
        <v>31</v>
      </c>
      <c r="F237" s="34" t="s">
        <v>31</v>
      </c>
      <c r="G237" s="34" t="s">
        <v>31</v>
      </c>
      <c r="H237" s="34"/>
      <c r="I237" s="34"/>
      <c r="J237" s="34" t="s">
        <v>31</v>
      </c>
      <c r="K237" s="34" t="s">
        <v>31</v>
      </c>
      <c r="L237" s="34" t="s">
        <v>31</v>
      </c>
      <c r="M237" s="34" t="s">
        <v>31</v>
      </c>
      <c r="N237" s="34"/>
      <c r="U237" s="58"/>
    </row>
    <row r="238" spans="1:21" ht="20.25" customHeight="1" x14ac:dyDescent="0.35">
      <c r="A238" s="15" t="s">
        <v>30</v>
      </c>
      <c r="C238" s="19"/>
      <c r="D238" s="35" t="str">
        <f t="shared" ref="D238" si="162">E238</f>
        <v>E100013</v>
      </c>
      <c r="E238" s="36" t="str">
        <f>"E100013"</f>
        <v>E100013</v>
      </c>
      <c r="F238" s="37" t="str">
        <f>"Clip-on Stopwatch"</f>
        <v>Clip-on Stopwatch</v>
      </c>
      <c r="G238" s="37"/>
      <c r="H238" s="38" t="str">
        <f>"EA"</f>
        <v>EA</v>
      </c>
      <c r="I238" s="37"/>
      <c r="J238" s="37"/>
      <c r="K238" s="37"/>
      <c r="L238" s="37"/>
      <c r="M238" s="37"/>
      <c r="N238" s="37"/>
      <c r="O238" s="39">
        <f>(SUBTOTAL(9,O239:O241))</f>
        <v>200</v>
      </c>
      <c r="P238" s="39">
        <f>(SUBTOTAL(9,P239:P241))</f>
        <v>-144</v>
      </c>
      <c r="Q238" s="39">
        <f>(SUBTOTAL(9,Q239:Q241))</f>
        <v>0</v>
      </c>
      <c r="R238" s="39">
        <f>(SUBTOTAL(9,R239:R241))</f>
        <v>0</v>
      </c>
      <c r="S238" s="39">
        <f>(SUBTOTAL(9,S239:S241))</f>
        <v>0</v>
      </c>
      <c r="T238" s="39">
        <f>(SUBTOTAL(9,T239:T241))</f>
        <v>0</v>
      </c>
      <c r="U238" s="55">
        <f t="shared" ref="U238" si="163">SUBTOTAL(9,O239:T241)</f>
        <v>56</v>
      </c>
    </row>
    <row r="239" spans="1:21" ht="17.25" customHeight="1" x14ac:dyDescent="0.3">
      <c r="A239" s="15" t="s">
        <v>30</v>
      </c>
      <c r="C239" s="19"/>
      <c r="D239" s="33" t="str">
        <f t="shared" ref="D239" si="164">D238</f>
        <v>E100013</v>
      </c>
      <c r="E239" s="33"/>
      <c r="F239" s="34"/>
      <c r="G239" s="34" t="str">
        <f>"""NAV Direct"",""CRONUS JetCorp USA"",""32"",""1"",""167517"""</f>
        <v>"NAV Direct","CRONUS JetCorp USA","32","1","167517"</v>
      </c>
      <c r="H239" s="40">
        <v>43466</v>
      </c>
      <c r="I239" s="41">
        <v>167517</v>
      </c>
      <c r="J239" s="42" t="str">
        <f>"Vendor"</f>
        <v>Vendor</v>
      </c>
      <c r="K239" s="42" t="str">
        <f>"V100009"</f>
        <v>V100009</v>
      </c>
      <c r="L239" s="42" t="str">
        <f>IF($J239="Customer",_xll.NL("first",$J239,"Name","No.","@@"&amp;$K239),"")</f>
        <v/>
      </c>
      <c r="M239" s="42" t="str">
        <f>"Malay-Dan Export Unit Sdn Bhd"</f>
        <v>Malay-Dan Export Unit Sdn Bhd</v>
      </c>
      <c r="N239" s="42" t="str">
        <f>IF($J239="Item",_xll.NL("first",$J239,"Description","No.","@@"&amp;$K239),"")</f>
        <v/>
      </c>
      <c r="O239" s="43">
        <v>200</v>
      </c>
      <c r="P239" s="43">
        <v>0</v>
      </c>
      <c r="Q239" s="43">
        <v>0</v>
      </c>
      <c r="R239" s="43">
        <v>0</v>
      </c>
      <c r="S239" s="43">
        <v>0</v>
      </c>
      <c r="T239" s="43">
        <v>0</v>
      </c>
      <c r="U239" s="56"/>
    </row>
    <row r="240" spans="1:21" ht="17.25" customHeight="1" x14ac:dyDescent="0.3">
      <c r="A240" s="15" t="s">
        <v>30</v>
      </c>
      <c r="C240" s="19"/>
      <c r="D240" s="33" t="str">
        <f t="shared" ref="D240" si="165">D239</f>
        <v>E100013</v>
      </c>
      <c r="E240" s="33"/>
      <c r="F240" s="34"/>
      <c r="G240" s="34" t="str">
        <f>"""NAV Direct"",""CRONUS JetCorp USA"",""32"",""1"",""138727"""</f>
        <v>"NAV Direct","CRONUS JetCorp USA","32","1","138727"</v>
      </c>
      <c r="H240" s="40">
        <v>43477</v>
      </c>
      <c r="I240" s="41">
        <v>138727</v>
      </c>
      <c r="J240" s="42" t="str">
        <f>"Customer"</f>
        <v>Customer</v>
      </c>
      <c r="K240" s="42" t="str">
        <f>"C100021"</f>
        <v>C100021</v>
      </c>
      <c r="L240" s="42" t="str">
        <f>IF($J240="Customer",_xll.NL("first",$J240,"Name","No.","@@"&amp;$K240),"")</f>
        <v>Cronus Cardoxy Sales</v>
      </c>
      <c r="M240" s="42" t="str">
        <f>""</f>
        <v/>
      </c>
      <c r="N240" s="42" t="str">
        <f>IF($J240="Item",_xll.NL("first",$J240,"Description","No.","@@"&amp;$K240),"")</f>
        <v/>
      </c>
      <c r="O240" s="43">
        <v>0</v>
      </c>
      <c r="P240" s="43">
        <v>-144</v>
      </c>
      <c r="Q240" s="43">
        <v>0</v>
      </c>
      <c r="R240" s="43">
        <v>0</v>
      </c>
      <c r="S240" s="43">
        <v>0</v>
      </c>
      <c r="T240" s="43">
        <v>0</v>
      </c>
      <c r="U240" s="56"/>
    </row>
    <row r="241" spans="1:21" ht="17.25" customHeight="1" x14ac:dyDescent="0.3">
      <c r="A241" s="15" t="s">
        <v>30</v>
      </c>
      <c r="C241" s="19"/>
      <c r="D241" s="33"/>
      <c r="E241" s="33"/>
      <c r="F241" s="34"/>
      <c r="G241" s="34"/>
      <c r="H241" s="34"/>
      <c r="I241" s="34"/>
      <c r="J241" s="34"/>
      <c r="K241" s="34"/>
      <c r="L241" s="34"/>
      <c r="M241" s="34"/>
      <c r="N241" s="34"/>
      <c r="O241" s="44"/>
      <c r="P241" s="44"/>
      <c r="Q241" s="44"/>
      <c r="R241" s="44"/>
      <c r="S241" s="44"/>
      <c r="T241" s="44"/>
      <c r="U241" s="57"/>
    </row>
    <row r="242" spans="1:21" ht="17.25" customHeight="1" x14ac:dyDescent="0.3">
      <c r="A242" s="15" t="s">
        <v>30</v>
      </c>
      <c r="C242" s="19"/>
      <c r="D242" s="33"/>
      <c r="E242" s="33" t="s">
        <v>31</v>
      </c>
      <c r="F242" s="34" t="s">
        <v>31</v>
      </c>
      <c r="G242" s="34" t="s">
        <v>31</v>
      </c>
      <c r="H242" s="34"/>
      <c r="I242" s="34"/>
      <c r="J242" s="34" t="s">
        <v>31</v>
      </c>
      <c r="K242" s="34" t="s">
        <v>31</v>
      </c>
      <c r="L242" s="34" t="s">
        <v>31</v>
      </c>
      <c r="M242" s="34" t="s">
        <v>31</v>
      </c>
      <c r="N242" s="34"/>
      <c r="U242" s="58"/>
    </row>
    <row r="243" spans="1:21" ht="20.25" customHeight="1" x14ac:dyDescent="0.35">
      <c r="A243" s="15" t="s">
        <v>30</v>
      </c>
      <c r="C243" s="19"/>
      <c r="D243" s="35" t="str">
        <f t="shared" ref="D243" si="166">E243</f>
        <v>E100014</v>
      </c>
      <c r="E243" s="36" t="str">
        <f>"E100014"</f>
        <v>E100014</v>
      </c>
      <c r="F243" s="37" t="str">
        <f>"Stopwatch with Neck Rope"</f>
        <v>Stopwatch with Neck Rope</v>
      </c>
      <c r="G243" s="37"/>
      <c r="H243" s="38" t="str">
        <f>"EA"</f>
        <v>EA</v>
      </c>
      <c r="I243" s="37"/>
      <c r="J243" s="37"/>
      <c r="K243" s="37"/>
      <c r="L243" s="37"/>
      <c r="M243" s="37"/>
      <c r="N243" s="37"/>
      <c r="O243" s="39">
        <f>(SUBTOTAL(9,O244:O249))</f>
        <v>600</v>
      </c>
      <c r="P243" s="39">
        <f>(SUBTOTAL(9,P244:P249))</f>
        <v>-277</v>
      </c>
      <c r="Q243" s="39">
        <f>(SUBTOTAL(9,Q244:Q249))</f>
        <v>0</v>
      </c>
      <c r="R243" s="39">
        <f>(SUBTOTAL(9,R244:R249))</f>
        <v>0</v>
      </c>
      <c r="S243" s="39">
        <f>(SUBTOTAL(9,S244:S249))</f>
        <v>0</v>
      </c>
      <c r="T243" s="39">
        <f>(SUBTOTAL(9,T244:T249))</f>
        <v>0</v>
      </c>
      <c r="U243" s="55">
        <f t="shared" ref="U243" si="167">SUBTOTAL(9,O244:T249)</f>
        <v>323</v>
      </c>
    </row>
    <row r="244" spans="1:21" ht="17.25" customHeight="1" x14ac:dyDescent="0.3">
      <c r="A244" s="15" t="s">
        <v>30</v>
      </c>
      <c r="C244" s="19"/>
      <c r="D244" s="33" t="str">
        <f t="shared" ref="D244" si="168">D243</f>
        <v>E100014</v>
      </c>
      <c r="E244" s="33"/>
      <c r="F244" s="34"/>
      <c r="G244" s="34" t="str">
        <f>"""NAV Direct"",""CRONUS JetCorp USA"",""32"",""1"",""167516"""</f>
        <v>"NAV Direct","CRONUS JetCorp USA","32","1","167516"</v>
      </c>
      <c r="H244" s="40">
        <v>43466</v>
      </c>
      <c r="I244" s="41">
        <v>167516</v>
      </c>
      <c r="J244" s="42" t="str">
        <f>"Vendor"</f>
        <v>Vendor</v>
      </c>
      <c r="K244" s="42" t="str">
        <f>"V100009"</f>
        <v>V100009</v>
      </c>
      <c r="L244" s="42" t="str">
        <f>IF($J244="Customer",_xll.NL("first",$J244,"Name","No.","@@"&amp;$K244),"")</f>
        <v/>
      </c>
      <c r="M244" s="42" t="str">
        <f>"Malay-Dan Export Unit Sdn Bhd"</f>
        <v>Malay-Dan Export Unit Sdn Bhd</v>
      </c>
      <c r="N244" s="42" t="str">
        <f>IF($J244="Item",_xll.NL("first",$J244,"Description","No.","@@"&amp;$K244),"")</f>
        <v/>
      </c>
      <c r="O244" s="43">
        <v>600</v>
      </c>
      <c r="P244" s="43">
        <v>0</v>
      </c>
      <c r="Q244" s="43">
        <v>0</v>
      </c>
      <c r="R244" s="43">
        <v>0</v>
      </c>
      <c r="S244" s="43">
        <v>0</v>
      </c>
      <c r="T244" s="43">
        <v>0</v>
      </c>
      <c r="U244" s="56"/>
    </row>
    <row r="245" spans="1:21" ht="17.25" customHeight="1" x14ac:dyDescent="0.3">
      <c r="A245" s="15" t="s">
        <v>30</v>
      </c>
      <c r="C245" s="19"/>
      <c r="D245" s="33" t="str">
        <f t="shared" ref="D245:D248" si="169">D244</f>
        <v>E100014</v>
      </c>
      <c r="E245" s="33"/>
      <c r="F245" s="34"/>
      <c r="G245" s="34" t="str">
        <f>"""NAV Direct"",""CRONUS JetCorp USA"",""32"",""1"",""132513"""</f>
        <v>"NAV Direct","CRONUS JetCorp USA","32","1","132513"</v>
      </c>
      <c r="H245" s="40">
        <v>43470</v>
      </c>
      <c r="I245" s="41">
        <v>132513</v>
      </c>
      <c r="J245" s="42" t="str">
        <f>"Customer"</f>
        <v>Customer</v>
      </c>
      <c r="K245" s="42" t="str">
        <f>"C100029"</f>
        <v>C100029</v>
      </c>
      <c r="L245" s="42" t="str">
        <f>IF($J245="Customer",_xll.NL("first",$J245,"Name","No.","@@"&amp;$K245),"")</f>
        <v>Elkhorn Airport</v>
      </c>
      <c r="M245" s="42" t="str">
        <f>""</f>
        <v/>
      </c>
      <c r="N245" s="42" t="str">
        <f>IF($J245="Item",_xll.NL("first",$J245,"Description","No.","@@"&amp;$K245),"")</f>
        <v/>
      </c>
      <c r="O245" s="43">
        <v>0</v>
      </c>
      <c r="P245" s="43">
        <v>-144</v>
      </c>
      <c r="Q245" s="43">
        <v>0</v>
      </c>
      <c r="R245" s="43">
        <v>0</v>
      </c>
      <c r="S245" s="43">
        <v>0</v>
      </c>
      <c r="T245" s="43">
        <v>0</v>
      </c>
      <c r="U245" s="56"/>
    </row>
    <row r="246" spans="1:21" ht="17.25" customHeight="1" x14ac:dyDescent="0.3">
      <c r="A246" s="15" t="s">
        <v>30</v>
      </c>
      <c r="C246" s="19"/>
      <c r="D246" s="33" t="str">
        <f t="shared" si="169"/>
        <v>E100014</v>
      </c>
      <c r="E246" s="33"/>
      <c r="F246" s="34"/>
      <c r="G246" s="34" t="str">
        <f>"""NAV Direct"",""CRONUS JetCorp USA"",""32"",""1"",""135823"""</f>
        <v>"NAV Direct","CRONUS JetCorp USA","32","1","135823"</v>
      </c>
      <c r="H246" s="40">
        <v>43474</v>
      </c>
      <c r="I246" s="41">
        <v>135823</v>
      </c>
      <c r="J246" s="42" t="str">
        <f>"Customer"</f>
        <v>Customer</v>
      </c>
      <c r="K246" s="42" t="str">
        <f>"C100050"</f>
        <v>C100050</v>
      </c>
      <c r="L246" s="42" t="str">
        <f>IF($J246="Customer",_xll.NL("first",$J246,"Name","No.","@@"&amp;$K246),"")</f>
        <v>Lauritzen Kontorm¢bler A/S</v>
      </c>
      <c r="M246" s="42" t="str">
        <f>""</f>
        <v/>
      </c>
      <c r="N246" s="42" t="str">
        <f>IF($J246="Item",_xll.NL("first",$J246,"Description","No.","@@"&amp;$K246),"")</f>
        <v/>
      </c>
      <c r="O246" s="43">
        <v>0</v>
      </c>
      <c r="P246" s="43">
        <v>-1</v>
      </c>
      <c r="Q246" s="43">
        <v>0</v>
      </c>
      <c r="R246" s="43">
        <v>0</v>
      </c>
      <c r="S246" s="43">
        <v>0</v>
      </c>
      <c r="T246" s="43">
        <v>0</v>
      </c>
      <c r="U246" s="56"/>
    </row>
    <row r="247" spans="1:21" ht="17.25" customHeight="1" x14ac:dyDescent="0.3">
      <c r="A247" s="15" t="s">
        <v>30</v>
      </c>
      <c r="C247" s="19"/>
      <c r="D247" s="33" t="str">
        <f t="shared" si="169"/>
        <v>E100014</v>
      </c>
      <c r="E247" s="33"/>
      <c r="F247" s="34"/>
      <c r="G247" s="34" t="str">
        <f>"""NAV Direct"",""CRONUS JetCorp USA"",""32"",""1"",""159985"""</f>
        <v>"NAV Direct","CRONUS JetCorp USA","32","1","159985"</v>
      </c>
      <c r="H247" s="40">
        <v>43475</v>
      </c>
      <c r="I247" s="41">
        <v>159985</v>
      </c>
      <c r="J247" s="42" t="str">
        <f>"Customer"</f>
        <v>Customer</v>
      </c>
      <c r="K247" s="42" t="str">
        <f>"C100058"</f>
        <v>C100058</v>
      </c>
      <c r="L247" s="42" t="str">
        <f>IF($J247="Customer",_xll.NL("first",$J247,"Name","No.","@@"&amp;$K247),"")</f>
        <v>Marsholm Karmstol</v>
      </c>
      <c r="M247" s="42" t="str">
        <f>""</f>
        <v/>
      </c>
      <c r="N247" s="42" t="str">
        <f>IF($J247="Item",_xll.NL("first",$J247,"Description","No.","@@"&amp;$K247),"")</f>
        <v/>
      </c>
      <c r="O247" s="43">
        <v>0</v>
      </c>
      <c r="P247" s="43">
        <v>12</v>
      </c>
      <c r="Q247" s="43">
        <v>0</v>
      </c>
      <c r="R247" s="43">
        <v>0</v>
      </c>
      <c r="S247" s="43">
        <v>0</v>
      </c>
      <c r="T247" s="43">
        <v>0</v>
      </c>
      <c r="U247" s="56"/>
    </row>
    <row r="248" spans="1:21" ht="17.25" customHeight="1" x14ac:dyDescent="0.3">
      <c r="A248" s="15" t="s">
        <v>30</v>
      </c>
      <c r="C248" s="19"/>
      <c r="D248" s="33" t="str">
        <f t="shared" si="169"/>
        <v>E100014</v>
      </c>
      <c r="E248" s="33"/>
      <c r="F248" s="34"/>
      <c r="G248" s="34" t="str">
        <f>"""NAV Direct"",""CRONUS JetCorp USA"",""32"",""1"",""138728"""</f>
        <v>"NAV Direct","CRONUS JetCorp USA","32","1","138728"</v>
      </c>
      <c r="H248" s="40">
        <v>43477</v>
      </c>
      <c r="I248" s="41">
        <v>138728</v>
      </c>
      <c r="J248" s="42" t="str">
        <f>"Customer"</f>
        <v>Customer</v>
      </c>
      <c r="K248" s="42" t="str">
        <f>"C100021"</f>
        <v>C100021</v>
      </c>
      <c r="L248" s="42" t="str">
        <f>IF($J248="Customer",_xll.NL("first",$J248,"Name","No.","@@"&amp;$K248),"")</f>
        <v>Cronus Cardoxy Sales</v>
      </c>
      <c r="M248" s="42" t="str">
        <f>""</f>
        <v/>
      </c>
      <c r="N248" s="42" t="str">
        <f>IF($J248="Item",_xll.NL("first",$J248,"Description","No.","@@"&amp;$K248),"")</f>
        <v/>
      </c>
      <c r="O248" s="43">
        <v>0</v>
      </c>
      <c r="P248" s="43">
        <v>-144</v>
      </c>
      <c r="Q248" s="43">
        <v>0</v>
      </c>
      <c r="R248" s="43">
        <v>0</v>
      </c>
      <c r="S248" s="43">
        <v>0</v>
      </c>
      <c r="T248" s="43">
        <v>0</v>
      </c>
      <c r="U248" s="56"/>
    </row>
    <row r="249" spans="1:21" ht="17.25" customHeight="1" x14ac:dyDescent="0.3">
      <c r="A249" s="15" t="s">
        <v>30</v>
      </c>
      <c r="C249" s="19"/>
      <c r="D249" s="33"/>
      <c r="E249" s="33"/>
      <c r="F249" s="34"/>
      <c r="G249" s="34"/>
      <c r="H249" s="34"/>
      <c r="I249" s="34"/>
      <c r="J249" s="34"/>
      <c r="K249" s="34"/>
      <c r="L249" s="34"/>
      <c r="M249" s="34"/>
      <c r="N249" s="34"/>
      <c r="O249" s="44"/>
      <c r="P249" s="44"/>
      <c r="Q249" s="44"/>
      <c r="R249" s="44"/>
      <c r="S249" s="44"/>
      <c r="T249" s="44"/>
      <c r="U249" s="57"/>
    </row>
    <row r="250" spans="1:21" ht="17.25" customHeight="1" x14ac:dyDescent="0.3">
      <c r="A250" s="15" t="s">
        <v>30</v>
      </c>
      <c r="C250" s="19"/>
      <c r="D250" s="33"/>
      <c r="E250" s="33" t="s">
        <v>31</v>
      </c>
      <c r="F250" s="34" t="s">
        <v>31</v>
      </c>
      <c r="G250" s="34" t="s">
        <v>31</v>
      </c>
      <c r="H250" s="34"/>
      <c r="I250" s="34"/>
      <c r="J250" s="34" t="s">
        <v>31</v>
      </c>
      <c r="K250" s="34" t="s">
        <v>31</v>
      </c>
      <c r="L250" s="34" t="s">
        <v>31</v>
      </c>
      <c r="M250" s="34" t="s">
        <v>31</v>
      </c>
      <c r="N250" s="34"/>
      <c r="U250" s="58"/>
    </row>
    <row r="251" spans="1:21" ht="20.25" customHeight="1" x14ac:dyDescent="0.35">
      <c r="A251" s="15" t="s">
        <v>30</v>
      </c>
      <c r="C251" s="19"/>
      <c r="D251" s="35" t="str">
        <f t="shared" ref="D251" si="170">E251</f>
        <v>E100015</v>
      </c>
      <c r="E251" s="36" t="str">
        <f>"E100015"</f>
        <v>E100015</v>
      </c>
      <c r="F251" s="37" t="str">
        <f>"360 Clip Watch"</f>
        <v>360 Clip Watch</v>
      </c>
      <c r="G251" s="37"/>
      <c r="H251" s="38" t="str">
        <f>"EA"</f>
        <v>EA</v>
      </c>
      <c r="I251" s="37"/>
      <c r="J251" s="37"/>
      <c r="K251" s="37"/>
      <c r="L251" s="37"/>
      <c r="M251" s="37"/>
      <c r="N251" s="37"/>
      <c r="O251" s="39">
        <f>(SUBTOTAL(9,O252:O257))</f>
        <v>800</v>
      </c>
      <c r="P251" s="39">
        <f>(SUBTOTAL(9,P252:P257))</f>
        <v>-577</v>
      </c>
      <c r="Q251" s="39">
        <f>(SUBTOTAL(9,Q252:Q257))</f>
        <v>0</v>
      </c>
      <c r="R251" s="39">
        <f>(SUBTOTAL(9,R252:R257))</f>
        <v>0</v>
      </c>
      <c r="S251" s="39">
        <f>(SUBTOTAL(9,S252:S257))</f>
        <v>0</v>
      </c>
      <c r="T251" s="39">
        <f>(SUBTOTAL(9,T252:T257))</f>
        <v>0</v>
      </c>
      <c r="U251" s="55">
        <f t="shared" ref="U251" si="171">SUBTOTAL(9,O252:T257)</f>
        <v>223</v>
      </c>
    </row>
    <row r="252" spans="1:21" ht="17.25" customHeight="1" x14ac:dyDescent="0.3">
      <c r="A252" s="15" t="s">
        <v>30</v>
      </c>
      <c r="C252" s="19"/>
      <c r="D252" s="33" t="str">
        <f t="shared" ref="D252" si="172">D251</f>
        <v>E100015</v>
      </c>
      <c r="E252" s="33"/>
      <c r="F252" s="34"/>
      <c r="G252" s="34" t="str">
        <f>"""NAV Direct"",""CRONUS JetCorp USA"",""32"",""1"",""167515"""</f>
        <v>"NAV Direct","CRONUS JetCorp USA","32","1","167515"</v>
      </c>
      <c r="H252" s="40">
        <v>43466</v>
      </c>
      <c r="I252" s="41">
        <v>167515</v>
      </c>
      <c r="J252" s="42" t="str">
        <f>"Vendor"</f>
        <v>Vendor</v>
      </c>
      <c r="K252" s="42" t="str">
        <f>"V100009"</f>
        <v>V100009</v>
      </c>
      <c r="L252" s="42" t="str">
        <f>IF($J252="Customer",_xll.NL("first",$J252,"Name","No.","@@"&amp;$K252),"")</f>
        <v/>
      </c>
      <c r="M252" s="42" t="str">
        <f>"Malay-Dan Export Unit Sdn Bhd"</f>
        <v>Malay-Dan Export Unit Sdn Bhd</v>
      </c>
      <c r="N252" s="42" t="str">
        <f>IF($J252="Item",_xll.NL("first",$J252,"Description","No.","@@"&amp;$K252),"")</f>
        <v/>
      </c>
      <c r="O252" s="43">
        <v>800</v>
      </c>
      <c r="P252" s="43">
        <v>0</v>
      </c>
      <c r="Q252" s="43">
        <v>0</v>
      </c>
      <c r="R252" s="43">
        <v>0</v>
      </c>
      <c r="S252" s="43">
        <v>0</v>
      </c>
      <c r="T252" s="43">
        <v>0</v>
      </c>
      <c r="U252" s="56"/>
    </row>
    <row r="253" spans="1:21" ht="17.25" customHeight="1" x14ac:dyDescent="0.3">
      <c r="A253" s="15" t="s">
        <v>30</v>
      </c>
      <c r="C253" s="19"/>
      <c r="D253" s="33" t="str">
        <f t="shared" ref="D253:D256" si="173">D252</f>
        <v>E100015</v>
      </c>
      <c r="E253" s="33"/>
      <c r="F253" s="34"/>
      <c r="G253" s="34" t="str">
        <f>"""NAV Direct"",""CRONUS JetCorp USA"",""32"",""1"",""34323"""</f>
        <v>"NAV Direct","CRONUS JetCorp USA","32","1","34323"</v>
      </c>
      <c r="H253" s="40">
        <v>43470</v>
      </c>
      <c r="I253" s="41">
        <v>34323</v>
      </c>
      <c r="J253" s="42" t="str">
        <f>"Customer"</f>
        <v>Customer</v>
      </c>
      <c r="K253" s="42" t="str">
        <f>"C100050"</f>
        <v>C100050</v>
      </c>
      <c r="L253" s="42" t="str">
        <f>IF($J253="Customer",_xll.NL("first",$J253,"Name","No.","@@"&amp;$K253),"")</f>
        <v>Lauritzen Kontorm¢bler A/S</v>
      </c>
      <c r="M253" s="42" t="str">
        <f>""</f>
        <v/>
      </c>
      <c r="N253" s="42" t="str">
        <f>IF($J253="Item",_xll.NL("first",$J253,"Description","No.","@@"&amp;$K253),"")</f>
        <v/>
      </c>
      <c r="O253" s="43">
        <v>0</v>
      </c>
      <c r="P253" s="43">
        <v>-288</v>
      </c>
      <c r="Q253" s="43">
        <v>0</v>
      </c>
      <c r="R253" s="43">
        <v>0</v>
      </c>
      <c r="S253" s="43">
        <v>0</v>
      </c>
      <c r="T253" s="43">
        <v>0</v>
      </c>
      <c r="U253" s="56"/>
    </row>
    <row r="254" spans="1:21" ht="17.25" customHeight="1" x14ac:dyDescent="0.3">
      <c r="A254" s="15" t="s">
        <v>30</v>
      </c>
      <c r="C254" s="19"/>
      <c r="D254" s="33" t="str">
        <f t="shared" si="173"/>
        <v>E100015</v>
      </c>
      <c r="E254" s="33"/>
      <c r="F254" s="34"/>
      <c r="G254" s="34" t="str">
        <f>"""NAV Direct"",""CRONUS JetCorp USA"",""32"",""1"",""78880"""</f>
        <v>"NAV Direct","CRONUS JetCorp USA","32","1","78880"</v>
      </c>
      <c r="H254" s="40">
        <v>43471</v>
      </c>
      <c r="I254" s="41">
        <v>78880</v>
      </c>
      <c r="J254" s="42" t="str">
        <f>"Customer"</f>
        <v>Customer</v>
      </c>
      <c r="K254" s="42" t="str">
        <f>"C100124"</f>
        <v>C100124</v>
      </c>
      <c r="L254" s="42" t="str">
        <f>IF($J254="Customer",_xll.NL("first",$J254,"Name","No.","@@"&amp;$K254),"")</f>
        <v>Ontocane Outdoors</v>
      </c>
      <c r="M254" s="42" t="str">
        <f>""</f>
        <v/>
      </c>
      <c r="N254" s="42" t="str">
        <f>IF($J254="Item",_xll.NL("first",$J254,"Description","No.","@@"&amp;$K254),"")</f>
        <v/>
      </c>
      <c r="O254" s="43">
        <v>0</v>
      </c>
      <c r="P254" s="43">
        <v>-1</v>
      </c>
      <c r="Q254" s="43">
        <v>0</v>
      </c>
      <c r="R254" s="43">
        <v>0</v>
      </c>
      <c r="S254" s="43">
        <v>0</v>
      </c>
      <c r="T254" s="43">
        <v>0</v>
      </c>
      <c r="U254" s="56"/>
    </row>
    <row r="255" spans="1:21" ht="17.25" customHeight="1" x14ac:dyDescent="0.3">
      <c r="A255" s="15" t="s">
        <v>30</v>
      </c>
      <c r="C255" s="19"/>
      <c r="D255" s="33" t="str">
        <f t="shared" si="173"/>
        <v>E100015</v>
      </c>
      <c r="E255" s="33"/>
      <c r="F255" s="34"/>
      <c r="G255" s="34" t="str">
        <f>"""NAV Direct"",""CRONUS JetCorp USA"",""32"",""1"",""78888"""</f>
        <v>"NAV Direct","CRONUS JetCorp USA","32","1","78888"</v>
      </c>
      <c r="H255" s="40">
        <v>43474</v>
      </c>
      <c r="I255" s="41">
        <v>78888</v>
      </c>
      <c r="J255" s="42" t="str">
        <f>"Customer"</f>
        <v>Customer</v>
      </c>
      <c r="K255" s="42" t="str">
        <f>"C100124"</f>
        <v>C100124</v>
      </c>
      <c r="L255" s="42" t="str">
        <f>IF($J255="Customer",_xll.NL("first",$J255,"Name","No.","@@"&amp;$K255),"")</f>
        <v>Ontocane Outdoors</v>
      </c>
      <c r="M255" s="42" t="str">
        <f>""</f>
        <v/>
      </c>
      <c r="N255" s="42" t="str">
        <f>IF($J255="Item",_xll.NL("first",$J255,"Description","No.","@@"&amp;$K255),"")</f>
        <v/>
      </c>
      <c r="O255" s="43">
        <v>0</v>
      </c>
      <c r="P255" s="43">
        <v>-144</v>
      </c>
      <c r="Q255" s="43">
        <v>0</v>
      </c>
      <c r="R255" s="43">
        <v>0</v>
      </c>
      <c r="S255" s="43">
        <v>0</v>
      </c>
      <c r="T255" s="43">
        <v>0</v>
      </c>
      <c r="U255" s="56"/>
    </row>
    <row r="256" spans="1:21" ht="17.25" customHeight="1" x14ac:dyDescent="0.3">
      <c r="A256" s="15" t="s">
        <v>30</v>
      </c>
      <c r="C256" s="19"/>
      <c r="D256" s="33" t="str">
        <f t="shared" si="173"/>
        <v>E100015</v>
      </c>
      <c r="E256" s="33"/>
      <c r="F256" s="34"/>
      <c r="G256" s="34" t="str">
        <f>"""NAV Direct"",""CRONUS JetCorp USA"",""32"",""1"",""138730"""</f>
        <v>"NAV Direct","CRONUS JetCorp USA","32","1","138730"</v>
      </c>
      <c r="H256" s="40">
        <v>43477</v>
      </c>
      <c r="I256" s="41">
        <v>138730</v>
      </c>
      <c r="J256" s="42" t="str">
        <f>"Customer"</f>
        <v>Customer</v>
      </c>
      <c r="K256" s="42" t="str">
        <f>"C100021"</f>
        <v>C100021</v>
      </c>
      <c r="L256" s="42" t="str">
        <f>IF($J256="Customer",_xll.NL("first",$J256,"Name","No.","@@"&amp;$K256),"")</f>
        <v>Cronus Cardoxy Sales</v>
      </c>
      <c r="M256" s="42" t="str">
        <f>""</f>
        <v/>
      </c>
      <c r="N256" s="42" t="str">
        <f>IF($J256="Item",_xll.NL("first",$J256,"Description","No.","@@"&amp;$K256),"")</f>
        <v/>
      </c>
      <c r="O256" s="43">
        <v>0</v>
      </c>
      <c r="P256" s="43">
        <v>-144</v>
      </c>
      <c r="Q256" s="43">
        <v>0</v>
      </c>
      <c r="R256" s="43">
        <v>0</v>
      </c>
      <c r="S256" s="43">
        <v>0</v>
      </c>
      <c r="T256" s="43">
        <v>0</v>
      </c>
      <c r="U256" s="56"/>
    </row>
    <row r="257" spans="1:21" ht="17.25" customHeight="1" x14ac:dyDescent="0.3">
      <c r="A257" s="15" t="s">
        <v>30</v>
      </c>
      <c r="C257" s="19"/>
      <c r="D257" s="33"/>
      <c r="E257" s="33"/>
      <c r="F257" s="34"/>
      <c r="G257" s="34"/>
      <c r="H257" s="34"/>
      <c r="I257" s="34"/>
      <c r="J257" s="34"/>
      <c r="K257" s="34"/>
      <c r="L257" s="34"/>
      <c r="M257" s="34"/>
      <c r="N257" s="34"/>
      <c r="O257" s="44"/>
      <c r="P257" s="44"/>
      <c r="Q257" s="44"/>
      <c r="R257" s="44"/>
      <c r="S257" s="44"/>
      <c r="T257" s="44"/>
      <c r="U257" s="57"/>
    </row>
    <row r="258" spans="1:21" ht="17.25" customHeight="1" x14ac:dyDescent="0.3">
      <c r="A258" s="15" t="s">
        <v>30</v>
      </c>
      <c r="C258" s="19"/>
      <c r="D258" s="33"/>
      <c r="E258" s="33" t="s">
        <v>31</v>
      </c>
      <c r="F258" s="34" t="s">
        <v>31</v>
      </c>
      <c r="G258" s="34" t="s">
        <v>31</v>
      </c>
      <c r="H258" s="34"/>
      <c r="I258" s="34"/>
      <c r="J258" s="34" t="s">
        <v>31</v>
      </c>
      <c r="K258" s="34" t="s">
        <v>31</v>
      </c>
      <c r="L258" s="34" t="s">
        <v>31</v>
      </c>
      <c r="M258" s="34" t="s">
        <v>31</v>
      </c>
      <c r="N258" s="34"/>
      <c r="U258" s="58"/>
    </row>
    <row r="259" spans="1:21" ht="20.25" customHeight="1" x14ac:dyDescent="0.35">
      <c r="A259" s="15" t="s">
        <v>30</v>
      </c>
      <c r="C259" s="19"/>
      <c r="D259" s="35" t="str">
        <f t="shared" ref="D259" si="174">E259</f>
        <v>E100016</v>
      </c>
      <c r="E259" s="36" t="str">
        <f>"E100016"</f>
        <v>E100016</v>
      </c>
      <c r="F259" s="37" t="str">
        <f>"4 Function Rotating Carabiner Watch"</f>
        <v>4 Function Rotating Carabiner Watch</v>
      </c>
      <c r="G259" s="37"/>
      <c r="H259" s="38" t="str">
        <f>"EA"</f>
        <v>EA</v>
      </c>
      <c r="I259" s="37"/>
      <c r="J259" s="37"/>
      <c r="K259" s="37"/>
      <c r="L259" s="37"/>
      <c r="M259" s="37"/>
      <c r="N259" s="37"/>
      <c r="O259" s="39">
        <f>(SUBTOTAL(9,O260:O262))</f>
        <v>200</v>
      </c>
      <c r="P259" s="39">
        <f>(SUBTOTAL(9,P260:P262))</f>
        <v>-1</v>
      </c>
      <c r="Q259" s="39">
        <f>(SUBTOTAL(9,Q260:Q262))</f>
        <v>0</v>
      </c>
      <c r="R259" s="39">
        <f>(SUBTOTAL(9,R260:R262))</f>
        <v>0</v>
      </c>
      <c r="S259" s="39">
        <f>(SUBTOTAL(9,S260:S262))</f>
        <v>0</v>
      </c>
      <c r="T259" s="39">
        <f>(SUBTOTAL(9,T260:T262))</f>
        <v>0</v>
      </c>
      <c r="U259" s="55">
        <f t="shared" ref="U259" si="175">SUBTOTAL(9,O260:T262)</f>
        <v>199</v>
      </c>
    </row>
    <row r="260" spans="1:21" ht="17.25" customHeight="1" x14ac:dyDescent="0.3">
      <c r="A260" s="15" t="s">
        <v>30</v>
      </c>
      <c r="C260" s="19"/>
      <c r="D260" s="33" t="str">
        <f t="shared" ref="D260" si="176">D259</f>
        <v>E100016</v>
      </c>
      <c r="E260" s="33"/>
      <c r="F260" s="34"/>
      <c r="G260" s="34" t="str">
        <f>"""NAV Direct"",""CRONUS JetCorp USA"",""32"",""1"",""167514"""</f>
        <v>"NAV Direct","CRONUS JetCorp USA","32","1","167514"</v>
      </c>
      <c r="H260" s="40">
        <v>43466</v>
      </c>
      <c r="I260" s="41">
        <v>167514</v>
      </c>
      <c r="J260" s="42" t="str">
        <f>"Vendor"</f>
        <v>Vendor</v>
      </c>
      <c r="K260" s="42" t="str">
        <f>"V100009"</f>
        <v>V100009</v>
      </c>
      <c r="L260" s="42" t="str">
        <f>IF($J260="Customer",_xll.NL("first",$J260,"Name","No.","@@"&amp;$K260),"")</f>
        <v/>
      </c>
      <c r="M260" s="42" t="str">
        <f>"Malay-Dan Export Unit Sdn Bhd"</f>
        <v>Malay-Dan Export Unit Sdn Bhd</v>
      </c>
      <c r="N260" s="42" t="str">
        <f>IF($J260="Item",_xll.NL("first",$J260,"Description","No.","@@"&amp;$K260),"")</f>
        <v/>
      </c>
      <c r="O260" s="43">
        <v>200</v>
      </c>
      <c r="P260" s="43">
        <v>0</v>
      </c>
      <c r="Q260" s="43">
        <v>0</v>
      </c>
      <c r="R260" s="43">
        <v>0</v>
      </c>
      <c r="S260" s="43">
        <v>0</v>
      </c>
      <c r="T260" s="43">
        <v>0</v>
      </c>
      <c r="U260" s="56"/>
    </row>
    <row r="261" spans="1:21" ht="17.25" customHeight="1" x14ac:dyDescent="0.3">
      <c r="A261" s="15" t="s">
        <v>30</v>
      </c>
      <c r="C261" s="19"/>
      <c r="D261" s="33" t="str">
        <f t="shared" ref="D261" si="177">D260</f>
        <v>E100016</v>
      </c>
      <c r="E261" s="33"/>
      <c r="F261" s="34"/>
      <c r="G261" s="34" t="str">
        <f>"""NAV Direct"",""CRONUS JetCorp USA"",""32"",""1"",""135822"""</f>
        <v>"NAV Direct","CRONUS JetCorp USA","32","1","135822"</v>
      </c>
      <c r="H261" s="40">
        <v>43474</v>
      </c>
      <c r="I261" s="41">
        <v>135822</v>
      </c>
      <c r="J261" s="42" t="str">
        <f>"Customer"</f>
        <v>Customer</v>
      </c>
      <c r="K261" s="42" t="str">
        <f>"C100050"</f>
        <v>C100050</v>
      </c>
      <c r="L261" s="42" t="str">
        <f>IF($J261="Customer",_xll.NL("first",$J261,"Name","No.","@@"&amp;$K261),"")</f>
        <v>Lauritzen Kontorm¢bler A/S</v>
      </c>
      <c r="M261" s="42" t="str">
        <f>""</f>
        <v/>
      </c>
      <c r="N261" s="42" t="str">
        <f>IF($J261="Item",_xll.NL("first",$J261,"Description","No.","@@"&amp;$K261),"")</f>
        <v/>
      </c>
      <c r="O261" s="43">
        <v>0</v>
      </c>
      <c r="P261" s="43">
        <v>-1</v>
      </c>
      <c r="Q261" s="43">
        <v>0</v>
      </c>
      <c r="R261" s="43">
        <v>0</v>
      </c>
      <c r="S261" s="43">
        <v>0</v>
      </c>
      <c r="T261" s="43">
        <v>0</v>
      </c>
      <c r="U261" s="56"/>
    </row>
    <row r="262" spans="1:21" ht="17.25" customHeight="1" x14ac:dyDescent="0.3">
      <c r="A262" s="15" t="s">
        <v>30</v>
      </c>
      <c r="C262" s="19"/>
      <c r="D262" s="33"/>
      <c r="E262" s="33"/>
      <c r="F262" s="34"/>
      <c r="G262" s="34"/>
      <c r="H262" s="34"/>
      <c r="I262" s="34"/>
      <c r="J262" s="34"/>
      <c r="K262" s="34"/>
      <c r="L262" s="34"/>
      <c r="M262" s="34"/>
      <c r="N262" s="34"/>
      <c r="O262" s="44"/>
      <c r="P262" s="44"/>
      <c r="Q262" s="44"/>
      <c r="R262" s="44"/>
      <c r="S262" s="44"/>
      <c r="T262" s="44"/>
      <c r="U262" s="57"/>
    </row>
    <row r="263" spans="1:21" ht="17.25" customHeight="1" x14ac:dyDescent="0.3">
      <c r="A263" s="15" t="s">
        <v>30</v>
      </c>
      <c r="C263" s="19"/>
      <c r="D263" s="33"/>
      <c r="E263" s="33" t="s">
        <v>31</v>
      </c>
      <c r="F263" s="34" t="s">
        <v>31</v>
      </c>
      <c r="G263" s="34" t="s">
        <v>31</v>
      </c>
      <c r="H263" s="34"/>
      <c r="I263" s="34"/>
      <c r="J263" s="34" t="s">
        <v>31</v>
      </c>
      <c r="K263" s="34" t="s">
        <v>31</v>
      </c>
      <c r="L263" s="34" t="s">
        <v>31</v>
      </c>
      <c r="M263" s="34" t="s">
        <v>31</v>
      </c>
      <c r="N263" s="34"/>
      <c r="U263" s="58"/>
    </row>
    <row r="264" spans="1:21" ht="20.25" customHeight="1" x14ac:dyDescent="0.35">
      <c r="A264" s="15" t="s">
        <v>30</v>
      </c>
      <c r="C264" s="19"/>
      <c r="D264" s="35" t="str">
        <f t="shared" ref="D264" si="178">E264</f>
        <v>E100017</v>
      </c>
      <c r="E264" s="36" t="str">
        <f>"E100017"</f>
        <v>E100017</v>
      </c>
      <c r="F264" s="37" t="str">
        <f>"Clip-on Clock with Compass"</f>
        <v>Clip-on Clock with Compass</v>
      </c>
      <c r="G264" s="37"/>
      <c r="H264" s="38" t="str">
        <f>"EA"</f>
        <v>EA</v>
      </c>
      <c r="I264" s="37"/>
      <c r="J264" s="37"/>
      <c r="K264" s="37"/>
      <c r="L264" s="37"/>
      <c r="M264" s="37"/>
      <c r="N264" s="37"/>
      <c r="O264" s="39">
        <f>(SUBTOTAL(9,O265:O268))</f>
        <v>400</v>
      </c>
      <c r="P264" s="39">
        <f>(SUBTOTAL(9,P265:P268))</f>
        <v>-150</v>
      </c>
      <c r="Q264" s="39">
        <f>(SUBTOTAL(9,Q265:Q268))</f>
        <v>0</v>
      </c>
      <c r="R264" s="39">
        <f>(SUBTOTAL(9,R265:R268))</f>
        <v>0</v>
      </c>
      <c r="S264" s="39">
        <f>(SUBTOTAL(9,S265:S268))</f>
        <v>0</v>
      </c>
      <c r="T264" s="39">
        <f>(SUBTOTAL(9,T265:T268))</f>
        <v>0</v>
      </c>
      <c r="U264" s="55">
        <f t="shared" ref="U264" si="179">SUBTOTAL(9,O265:T268)</f>
        <v>250</v>
      </c>
    </row>
    <row r="265" spans="1:21" ht="17.25" customHeight="1" x14ac:dyDescent="0.3">
      <c r="A265" s="15" t="s">
        <v>30</v>
      </c>
      <c r="C265" s="19"/>
      <c r="D265" s="33" t="str">
        <f t="shared" ref="D265" si="180">D264</f>
        <v>E100017</v>
      </c>
      <c r="E265" s="33"/>
      <c r="F265" s="34"/>
      <c r="G265" s="34" t="str">
        <f>"""NAV Direct"",""CRONUS JetCorp USA"",""32"",""1"",""167513"""</f>
        <v>"NAV Direct","CRONUS JetCorp USA","32","1","167513"</v>
      </c>
      <c r="H265" s="40">
        <v>43466</v>
      </c>
      <c r="I265" s="41">
        <v>167513</v>
      </c>
      <c r="J265" s="42" t="str">
        <f>"Vendor"</f>
        <v>Vendor</v>
      </c>
      <c r="K265" s="42" t="str">
        <f>"V100009"</f>
        <v>V100009</v>
      </c>
      <c r="L265" s="42" t="str">
        <f>IF($J265="Customer",_xll.NL("first",$J265,"Name","No.","@@"&amp;$K265),"")</f>
        <v/>
      </c>
      <c r="M265" s="42" t="str">
        <f>"Malay-Dan Export Unit Sdn Bhd"</f>
        <v>Malay-Dan Export Unit Sdn Bhd</v>
      </c>
      <c r="N265" s="42" t="str">
        <f>IF($J265="Item",_xll.NL("first",$J265,"Description","No.","@@"&amp;$K265),"")</f>
        <v/>
      </c>
      <c r="O265" s="43">
        <v>400</v>
      </c>
      <c r="P265" s="43">
        <v>0</v>
      </c>
      <c r="Q265" s="43">
        <v>0</v>
      </c>
      <c r="R265" s="43">
        <v>0</v>
      </c>
      <c r="S265" s="43">
        <v>0</v>
      </c>
      <c r="T265" s="43">
        <v>0</v>
      </c>
      <c r="U265" s="56"/>
    </row>
    <row r="266" spans="1:21" ht="17.25" customHeight="1" x14ac:dyDescent="0.3">
      <c r="A266" s="15" t="s">
        <v>30</v>
      </c>
      <c r="C266" s="19"/>
      <c r="D266" s="33" t="str">
        <f t="shared" ref="D266:D267" si="181">D265</f>
        <v>E100017</v>
      </c>
      <c r="E266" s="33"/>
      <c r="F266" s="34"/>
      <c r="G266" s="34" t="str">
        <f>"""NAV Direct"",""CRONUS JetCorp USA"",""32"",""1"",""132516"""</f>
        <v>"NAV Direct","CRONUS JetCorp USA","32","1","132516"</v>
      </c>
      <c r="H266" s="40">
        <v>43470</v>
      </c>
      <c r="I266" s="41">
        <v>132516</v>
      </c>
      <c r="J266" s="42" t="str">
        <f>"Customer"</f>
        <v>Customer</v>
      </c>
      <c r="K266" s="42" t="str">
        <f>"C100029"</f>
        <v>C100029</v>
      </c>
      <c r="L266" s="42" t="str">
        <f>IF($J266="Customer",_xll.NL("first",$J266,"Name","No.","@@"&amp;$K266),"")</f>
        <v>Elkhorn Airport</v>
      </c>
      <c r="M266" s="42" t="str">
        <f>""</f>
        <v/>
      </c>
      <c r="N266" s="42" t="str">
        <f>IF($J266="Item",_xll.NL("first",$J266,"Description","No.","@@"&amp;$K266),"")</f>
        <v/>
      </c>
      <c r="O266" s="43">
        <v>0</v>
      </c>
      <c r="P266" s="43">
        <v>-6</v>
      </c>
      <c r="Q266" s="43">
        <v>0</v>
      </c>
      <c r="R266" s="43">
        <v>0</v>
      </c>
      <c r="S266" s="43">
        <v>0</v>
      </c>
      <c r="T266" s="43">
        <v>0</v>
      </c>
      <c r="U266" s="56"/>
    </row>
    <row r="267" spans="1:21" ht="17.25" customHeight="1" x14ac:dyDescent="0.3">
      <c r="A267" s="15" t="s">
        <v>30</v>
      </c>
      <c r="C267" s="19"/>
      <c r="D267" s="33" t="str">
        <f t="shared" si="181"/>
        <v>E100017</v>
      </c>
      <c r="E267" s="33"/>
      <c r="F267" s="34"/>
      <c r="G267" s="34" t="str">
        <f>"""NAV Direct"",""CRONUS JetCorp USA"",""32"",""1"",""135818"""</f>
        <v>"NAV Direct","CRONUS JetCorp USA","32","1","135818"</v>
      </c>
      <c r="H267" s="40">
        <v>43474</v>
      </c>
      <c r="I267" s="41">
        <v>135818</v>
      </c>
      <c r="J267" s="42" t="str">
        <f>"Customer"</f>
        <v>Customer</v>
      </c>
      <c r="K267" s="42" t="str">
        <f>"C100050"</f>
        <v>C100050</v>
      </c>
      <c r="L267" s="42" t="str">
        <f>IF($J267="Customer",_xll.NL("first",$J267,"Name","No.","@@"&amp;$K267),"")</f>
        <v>Lauritzen Kontorm¢bler A/S</v>
      </c>
      <c r="M267" s="42" t="str">
        <f>""</f>
        <v/>
      </c>
      <c r="N267" s="42" t="str">
        <f>IF($J267="Item",_xll.NL("first",$J267,"Description","No.","@@"&amp;$K267),"")</f>
        <v/>
      </c>
      <c r="O267" s="43">
        <v>0</v>
      </c>
      <c r="P267" s="43">
        <v>-144</v>
      </c>
      <c r="Q267" s="43">
        <v>0</v>
      </c>
      <c r="R267" s="43">
        <v>0</v>
      </c>
      <c r="S267" s="43">
        <v>0</v>
      </c>
      <c r="T267" s="43">
        <v>0</v>
      </c>
      <c r="U267" s="56"/>
    </row>
    <row r="268" spans="1:21" ht="17.25" customHeight="1" x14ac:dyDescent="0.3">
      <c r="A268" s="15" t="s">
        <v>30</v>
      </c>
      <c r="C268" s="19"/>
      <c r="D268" s="33"/>
      <c r="E268" s="33"/>
      <c r="F268" s="34"/>
      <c r="G268" s="34"/>
      <c r="H268" s="34"/>
      <c r="I268" s="34"/>
      <c r="J268" s="34"/>
      <c r="K268" s="34"/>
      <c r="L268" s="34"/>
      <c r="M268" s="34"/>
      <c r="N268" s="34"/>
      <c r="O268" s="44"/>
      <c r="P268" s="44"/>
      <c r="Q268" s="44"/>
      <c r="R268" s="44"/>
      <c r="S268" s="44"/>
      <c r="T268" s="44"/>
      <c r="U268" s="57"/>
    </row>
    <row r="269" spans="1:21" ht="17.25" customHeight="1" x14ac:dyDescent="0.3">
      <c r="A269" s="15" t="s">
        <v>30</v>
      </c>
      <c r="C269" s="19"/>
      <c r="D269" s="33"/>
      <c r="E269" s="33" t="s">
        <v>31</v>
      </c>
      <c r="F269" s="34" t="s">
        <v>31</v>
      </c>
      <c r="G269" s="34" t="s">
        <v>31</v>
      </c>
      <c r="H269" s="34"/>
      <c r="I269" s="34"/>
      <c r="J269" s="34" t="s">
        <v>31</v>
      </c>
      <c r="K269" s="34" t="s">
        <v>31</v>
      </c>
      <c r="L269" s="34" t="s">
        <v>31</v>
      </c>
      <c r="M269" s="34" t="s">
        <v>31</v>
      </c>
      <c r="N269" s="34"/>
      <c r="U269" s="58"/>
    </row>
    <row r="270" spans="1:21" ht="20.25" customHeight="1" x14ac:dyDescent="0.35">
      <c r="A270" s="15" t="s">
        <v>30</v>
      </c>
      <c r="C270" s="19"/>
      <c r="D270" s="35" t="str">
        <f t="shared" ref="D270" si="182">E270</f>
        <v>E100018</v>
      </c>
      <c r="E270" s="36" t="str">
        <f>"E100018"</f>
        <v>E100018</v>
      </c>
      <c r="F270" s="37" t="str">
        <f>"Flexi-Clock &amp; Clip"</f>
        <v>Flexi-Clock &amp; Clip</v>
      </c>
      <c r="G270" s="37"/>
      <c r="H270" s="38" t="str">
        <f>"EA"</f>
        <v>EA</v>
      </c>
      <c r="I270" s="37"/>
      <c r="J270" s="37"/>
      <c r="K270" s="37"/>
      <c r="L270" s="37"/>
      <c r="M270" s="37"/>
      <c r="N270" s="37"/>
      <c r="O270" s="39">
        <f>(SUBTOTAL(9,O271:O275))</f>
        <v>600</v>
      </c>
      <c r="P270" s="39">
        <f>(SUBTOTAL(9,P271:P275))</f>
        <v>-144</v>
      </c>
      <c r="Q270" s="39">
        <f>(SUBTOTAL(9,Q271:Q275))</f>
        <v>0</v>
      </c>
      <c r="R270" s="39">
        <f>(SUBTOTAL(9,R271:R275))</f>
        <v>0</v>
      </c>
      <c r="S270" s="39">
        <f>(SUBTOTAL(9,S271:S275))</f>
        <v>0</v>
      </c>
      <c r="T270" s="39">
        <f>(SUBTOTAL(9,T271:T275))</f>
        <v>0</v>
      </c>
      <c r="U270" s="55">
        <f t="shared" ref="U270" si="183">SUBTOTAL(9,O271:T275)</f>
        <v>456</v>
      </c>
    </row>
    <row r="271" spans="1:21" ht="17.25" customHeight="1" x14ac:dyDescent="0.3">
      <c r="A271" s="15" t="s">
        <v>30</v>
      </c>
      <c r="C271" s="19"/>
      <c r="D271" s="33" t="str">
        <f t="shared" ref="D271" si="184">D270</f>
        <v>E100018</v>
      </c>
      <c r="E271" s="33"/>
      <c r="F271" s="34"/>
      <c r="G271" s="34" t="str">
        <f>"""NAV Direct"",""CRONUS JetCorp USA"",""32"",""1"",""167512"""</f>
        <v>"NAV Direct","CRONUS JetCorp USA","32","1","167512"</v>
      </c>
      <c r="H271" s="40">
        <v>43466</v>
      </c>
      <c r="I271" s="41">
        <v>167512</v>
      </c>
      <c r="J271" s="42" t="str">
        <f>"Vendor"</f>
        <v>Vendor</v>
      </c>
      <c r="K271" s="42" t="str">
        <f>"V100009"</f>
        <v>V100009</v>
      </c>
      <c r="L271" s="42" t="str">
        <f>IF($J271="Customer",_xll.NL("first",$J271,"Name","No.","@@"&amp;$K271),"")</f>
        <v/>
      </c>
      <c r="M271" s="42" t="str">
        <f>"Malay-Dan Export Unit Sdn Bhd"</f>
        <v>Malay-Dan Export Unit Sdn Bhd</v>
      </c>
      <c r="N271" s="42" t="str">
        <f>IF($J271="Item",_xll.NL("first",$J271,"Description","No.","@@"&amp;$K271),"")</f>
        <v/>
      </c>
      <c r="O271" s="43">
        <v>600</v>
      </c>
      <c r="P271" s="43">
        <v>0</v>
      </c>
      <c r="Q271" s="43">
        <v>0</v>
      </c>
      <c r="R271" s="43">
        <v>0</v>
      </c>
      <c r="S271" s="43">
        <v>0</v>
      </c>
      <c r="T271" s="43">
        <v>0</v>
      </c>
      <c r="U271" s="56"/>
    </row>
    <row r="272" spans="1:21" ht="17.25" customHeight="1" x14ac:dyDescent="0.3">
      <c r="A272" s="15" t="s">
        <v>30</v>
      </c>
      <c r="C272" s="19"/>
      <c r="D272" s="33" t="str">
        <f t="shared" ref="D272:D274" si="185">D271</f>
        <v>E100018</v>
      </c>
      <c r="E272" s="33"/>
      <c r="F272" s="34"/>
      <c r="G272" s="34" t="str">
        <f>"""NAV Direct"",""CRONUS JetCorp USA"",""32"",""1"",""120195"""</f>
        <v>"NAV Direct","CRONUS JetCorp USA","32","1","120195"</v>
      </c>
      <c r="H272" s="40">
        <v>43474</v>
      </c>
      <c r="I272" s="41">
        <v>120195</v>
      </c>
      <c r="J272" s="42" t="str">
        <f>"Customer"</f>
        <v>Customer</v>
      </c>
      <c r="K272" s="42" t="str">
        <f>"C100049"</f>
        <v>C100049</v>
      </c>
      <c r="L272" s="42" t="str">
        <f>IF($J272="Customer",_xll.NL("first",$J272,"Name","No.","@@"&amp;$K272),"")</f>
        <v>Konberg Tapet AB</v>
      </c>
      <c r="M272" s="42" t="str">
        <f>""</f>
        <v/>
      </c>
      <c r="N272" s="42" t="str">
        <f>IF($J272="Item",_xll.NL("first",$J272,"Description","No.","@@"&amp;$K272),"")</f>
        <v/>
      </c>
      <c r="O272" s="43">
        <v>0</v>
      </c>
      <c r="P272" s="43">
        <v>-1</v>
      </c>
      <c r="Q272" s="43">
        <v>0</v>
      </c>
      <c r="R272" s="43">
        <v>0</v>
      </c>
      <c r="S272" s="43">
        <v>0</v>
      </c>
      <c r="T272" s="43">
        <v>0</v>
      </c>
      <c r="U272" s="56"/>
    </row>
    <row r="273" spans="1:21" ht="17.25" customHeight="1" x14ac:dyDescent="0.3">
      <c r="A273" s="15" t="s">
        <v>30</v>
      </c>
      <c r="C273" s="19"/>
      <c r="D273" s="33" t="str">
        <f t="shared" si="185"/>
        <v>E100018</v>
      </c>
      <c r="E273" s="33"/>
      <c r="F273" s="34"/>
      <c r="G273" s="34" t="str">
        <f>"""NAV Direct"",""CRONUS JetCorp USA"",""32"",""1"",""135819"""</f>
        <v>"NAV Direct","CRONUS JetCorp USA","32","1","135819"</v>
      </c>
      <c r="H273" s="40">
        <v>43474</v>
      </c>
      <c r="I273" s="41">
        <v>135819</v>
      </c>
      <c r="J273" s="42" t="str">
        <f>"Customer"</f>
        <v>Customer</v>
      </c>
      <c r="K273" s="42" t="str">
        <f>"C100050"</f>
        <v>C100050</v>
      </c>
      <c r="L273" s="42" t="str">
        <f>IF($J273="Customer",_xll.NL("first",$J273,"Name","No.","@@"&amp;$K273),"")</f>
        <v>Lauritzen Kontorm¢bler A/S</v>
      </c>
      <c r="M273" s="42" t="str">
        <f>""</f>
        <v/>
      </c>
      <c r="N273" s="42" t="str">
        <f>IF($J273="Item",_xll.NL("first",$J273,"Description","No.","@@"&amp;$K273),"")</f>
        <v/>
      </c>
      <c r="O273" s="43">
        <v>0</v>
      </c>
      <c r="P273" s="43">
        <v>-144</v>
      </c>
      <c r="Q273" s="43">
        <v>0</v>
      </c>
      <c r="R273" s="43">
        <v>0</v>
      </c>
      <c r="S273" s="43">
        <v>0</v>
      </c>
      <c r="T273" s="43">
        <v>0</v>
      </c>
      <c r="U273" s="56"/>
    </row>
    <row r="274" spans="1:21" ht="17.25" customHeight="1" x14ac:dyDescent="0.3">
      <c r="A274" s="15" t="s">
        <v>30</v>
      </c>
      <c r="C274" s="19"/>
      <c r="D274" s="33" t="str">
        <f t="shared" si="185"/>
        <v>E100018</v>
      </c>
      <c r="E274" s="33"/>
      <c r="F274" s="34"/>
      <c r="G274" s="34" t="str">
        <f>"""NAV Direct"",""CRONUS JetCorp USA"",""32"",""1"",""159986"""</f>
        <v>"NAV Direct","CRONUS JetCorp USA","32","1","159986"</v>
      </c>
      <c r="H274" s="40">
        <v>43475</v>
      </c>
      <c r="I274" s="41">
        <v>159986</v>
      </c>
      <c r="J274" s="42" t="str">
        <f>"Customer"</f>
        <v>Customer</v>
      </c>
      <c r="K274" s="42" t="str">
        <f>"C100058"</f>
        <v>C100058</v>
      </c>
      <c r="L274" s="42" t="str">
        <f>IF($J274="Customer",_xll.NL("first",$J274,"Name","No.","@@"&amp;$K274),"")</f>
        <v>Marsholm Karmstol</v>
      </c>
      <c r="M274" s="42" t="str">
        <f>""</f>
        <v/>
      </c>
      <c r="N274" s="42" t="str">
        <f>IF($J274="Item",_xll.NL("first",$J274,"Description","No.","@@"&amp;$K274),"")</f>
        <v/>
      </c>
      <c r="O274" s="43">
        <v>0</v>
      </c>
      <c r="P274" s="43">
        <v>1</v>
      </c>
      <c r="Q274" s="43">
        <v>0</v>
      </c>
      <c r="R274" s="43">
        <v>0</v>
      </c>
      <c r="S274" s="43">
        <v>0</v>
      </c>
      <c r="T274" s="43">
        <v>0</v>
      </c>
      <c r="U274" s="56"/>
    </row>
    <row r="275" spans="1:21" ht="17.25" customHeight="1" x14ac:dyDescent="0.3">
      <c r="A275" s="15" t="s">
        <v>30</v>
      </c>
      <c r="C275" s="19"/>
      <c r="D275" s="33"/>
      <c r="E275" s="33"/>
      <c r="F275" s="34"/>
      <c r="G275" s="34"/>
      <c r="H275" s="34"/>
      <c r="I275" s="34"/>
      <c r="J275" s="34"/>
      <c r="K275" s="34"/>
      <c r="L275" s="34"/>
      <c r="M275" s="34"/>
      <c r="N275" s="34"/>
      <c r="O275" s="44"/>
      <c r="P275" s="44"/>
      <c r="Q275" s="44"/>
      <c r="R275" s="44"/>
      <c r="S275" s="44"/>
      <c r="T275" s="44"/>
      <c r="U275" s="57"/>
    </row>
    <row r="276" spans="1:21" ht="17.25" customHeight="1" x14ac:dyDescent="0.3">
      <c r="A276" s="15" t="s">
        <v>30</v>
      </c>
      <c r="C276" s="19"/>
      <c r="D276" s="33"/>
      <c r="E276" s="33" t="s">
        <v>31</v>
      </c>
      <c r="F276" s="34" t="s">
        <v>31</v>
      </c>
      <c r="G276" s="34" t="s">
        <v>31</v>
      </c>
      <c r="H276" s="34"/>
      <c r="I276" s="34"/>
      <c r="J276" s="34" t="s">
        <v>31</v>
      </c>
      <c r="K276" s="34" t="s">
        <v>31</v>
      </c>
      <c r="L276" s="34" t="s">
        <v>31</v>
      </c>
      <c r="M276" s="34" t="s">
        <v>31</v>
      </c>
      <c r="N276" s="34"/>
      <c r="U276" s="58"/>
    </row>
    <row r="277" spans="1:21" ht="20.25" customHeight="1" x14ac:dyDescent="0.35">
      <c r="A277" s="15" t="s">
        <v>30</v>
      </c>
      <c r="C277" s="19"/>
      <c r="D277" s="35" t="str">
        <f t="shared" ref="D277" si="186">E277</f>
        <v>E100019</v>
      </c>
      <c r="E277" s="36" t="str">
        <f>"E100019"</f>
        <v>E100019</v>
      </c>
      <c r="F277" s="37" t="str">
        <f>"Mini Travel Alarm"</f>
        <v>Mini Travel Alarm</v>
      </c>
      <c r="G277" s="37"/>
      <c r="H277" s="38" t="str">
        <f>"EA"</f>
        <v>EA</v>
      </c>
      <c r="I277" s="37"/>
      <c r="J277" s="37"/>
      <c r="K277" s="37"/>
      <c r="L277" s="37"/>
      <c r="M277" s="37"/>
      <c r="N277" s="37"/>
      <c r="O277" s="39">
        <f>(SUBTOTAL(9,O278:O280))</f>
        <v>400</v>
      </c>
      <c r="P277" s="39">
        <f>(SUBTOTAL(9,P278:P280))</f>
        <v>-24</v>
      </c>
      <c r="Q277" s="39">
        <f>(SUBTOTAL(9,Q278:Q280))</f>
        <v>0</v>
      </c>
      <c r="R277" s="39">
        <f>(SUBTOTAL(9,R278:R280))</f>
        <v>0</v>
      </c>
      <c r="S277" s="39">
        <f>(SUBTOTAL(9,S278:S280))</f>
        <v>0</v>
      </c>
      <c r="T277" s="39">
        <f>(SUBTOTAL(9,T278:T280))</f>
        <v>0</v>
      </c>
      <c r="U277" s="55">
        <f t="shared" ref="U277" si="187">SUBTOTAL(9,O278:T280)</f>
        <v>376</v>
      </c>
    </row>
    <row r="278" spans="1:21" ht="17.25" customHeight="1" x14ac:dyDescent="0.3">
      <c r="A278" s="15" t="s">
        <v>30</v>
      </c>
      <c r="C278" s="19"/>
      <c r="D278" s="33" t="str">
        <f t="shared" ref="D278" si="188">D277</f>
        <v>E100019</v>
      </c>
      <c r="E278" s="33"/>
      <c r="F278" s="34"/>
      <c r="G278" s="34" t="str">
        <f>"""NAV Direct"",""CRONUS JetCorp USA"",""32"",""1"",""167511"""</f>
        <v>"NAV Direct","CRONUS JetCorp USA","32","1","167511"</v>
      </c>
      <c r="H278" s="40">
        <v>43466</v>
      </c>
      <c r="I278" s="41">
        <v>167511</v>
      </c>
      <c r="J278" s="42" t="str">
        <f>"Vendor"</f>
        <v>Vendor</v>
      </c>
      <c r="K278" s="42" t="str">
        <f>"V100009"</f>
        <v>V100009</v>
      </c>
      <c r="L278" s="42" t="str">
        <f>IF($J278="Customer",_xll.NL("first",$J278,"Name","No.","@@"&amp;$K278),"")</f>
        <v/>
      </c>
      <c r="M278" s="42" t="str">
        <f>"Malay-Dan Export Unit Sdn Bhd"</f>
        <v>Malay-Dan Export Unit Sdn Bhd</v>
      </c>
      <c r="N278" s="42" t="str">
        <f>IF($J278="Item",_xll.NL("first",$J278,"Description","No.","@@"&amp;$K278),"")</f>
        <v/>
      </c>
      <c r="O278" s="43">
        <v>400</v>
      </c>
      <c r="P278" s="43">
        <v>0</v>
      </c>
      <c r="Q278" s="43">
        <v>0</v>
      </c>
      <c r="R278" s="43">
        <v>0</v>
      </c>
      <c r="S278" s="43">
        <v>0</v>
      </c>
      <c r="T278" s="43">
        <v>0</v>
      </c>
      <c r="U278" s="56"/>
    </row>
    <row r="279" spans="1:21" ht="17.25" customHeight="1" x14ac:dyDescent="0.3">
      <c r="A279" s="15" t="s">
        <v>30</v>
      </c>
      <c r="C279" s="19"/>
      <c r="D279" s="33" t="str">
        <f t="shared" ref="D279" si="189">D278</f>
        <v>E100019</v>
      </c>
      <c r="E279" s="33"/>
      <c r="F279" s="34"/>
      <c r="G279" s="34" t="str">
        <f>"""NAV Direct"",""CRONUS JetCorp USA"",""32"",""1"",""78877"""</f>
        <v>"NAV Direct","CRONUS JetCorp USA","32","1","78877"</v>
      </c>
      <c r="H279" s="40">
        <v>43471</v>
      </c>
      <c r="I279" s="41">
        <v>78877</v>
      </c>
      <c r="J279" s="42" t="str">
        <f>"Customer"</f>
        <v>Customer</v>
      </c>
      <c r="K279" s="42" t="str">
        <f>"C100124"</f>
        <v>C100124</v>
      </c>
      <c r="L279" s="42" t="str">
        <f>IF($J279="Customer",_xll.NL("first",$J279,"Name","No.","@@"&amp;$K279),"")</f>
        <v>Ontocane Outdoors</v>
      </c>
      <c r="M279" s="42" t="str">
        <f>""</f>
        <v/>
      </c>
      <c r="N279" s="42" t="str">
        <f>IF($J279="Item",_xll.NL("first",$J279,"Description","No.","@@"&amp;$K279),"")</f>
        <v/>
      </c>
      <c r="O279" s="43">
        <v>0</v>
      </c>
      <c r="P279" s="43">
        <v>-24</v>
      </c>
      <c r="Q279" s="43">
        <v>0</v>
      </c>
      <c r="R279" s="43">
        <v>0</v>
      </c>
      <c r="S279" s="43">
        <v>0</v>
      </c>
      <c r="T279" s="43">
        <v>0</v>
      </c>
      <c r="U279" s="56"/>
    </row>
    <row r="280" spans="1:21" ht="17.25" customHeight="1" x14ac:dyDescent="0.3">
      <c r="A280" s="15" t="s">
        <v>30</v>
      </c>
      <c r="C280" s="19"/>
      <c r="D280" s="33"/>
      <c r="E280" s="33"/>
      <c r="F280" s="34"/>
      <c r="G280" s="34"/>
      <c r="H280" s="34"/>
      <c r="I280" s="34"/>
      <c r="J280" s="34"/>
      <c r="K280" s="34"/>
      <c r="L280" s="34"/>
      <c r="M280" s="34"/>
      <c r="N280" s="34"/>
      <c r="O280" s="44"/>
      <c r="P280" s="44"/>
      <c r="Q280" s="44"/>
      <c r="R280" s="44"/>
      <c r="S280" s="44"/>
      <c r="T280" s="44"/>
      <c r="U280" s="57"/>
    </row>
    <row r="281" spans="1:21" ht="17.25" customHeight="1" x14ac:dyDescent="0.3">
      <c r="A281" s="15" t="s">
        <v>30</v>
      </c>
      <c r="C281" s="19"/>
      <c r="D281" s="33"/>
      <c r="E281" s="33" t="s">
        <v>31</v>
      </c>
      <c r="F281" s="34" t="s">
        <v>31</v>
      </c>
      <c r="G281" s="34" t="s">
        <v>31</v>
      </c>
      <c r="H281" s="34"/>
      <c r="I281" s="34"/>
      <c r="J281" s="34" t="s">
        <v>31</v>
      </c>
      <c r="K281" s="34" t="s">
        <v>31</v>
      </c>
      <c r="L281" s="34" t="s">
        <v>31</v>
      </c>
      <c r="M281" s="34" t="s">
        <v>31</v>
      </c>
      <c r="N281" s="34"/>
      <c r="U281" s="58"/>
    </row>
    <row r="282" spans="1:21" ht="20.25" customHeight="1" x14ac:dyDescent="0.35">
      <c r="A282" s="15" t="s">
        <v>30</v>
      </c>
      <c r="C282" s="19"/>
      <c r="D282" s="35" t="str">
        <f t="shared" ref="D282" si="190">E282</f>
        <v>E100021</v>
      </c>
      <c r="E282" s="36" t="str">
        <f>"E100021"</f>
        <v>E100021</v>
      </c>
      <c r="F282" s="37" t="str">
        <f>"Slim Travel Alarm"</f>
        <v>Slim Travel Alarm</v>
      </c>
      <c r="G282" s="37"/>
      <c r="H282" s="38" t="str">
        <f>"EA"</f>
        <v>EA</v>
      </c>
      <c r="I282" s="37"/>
      <c r="J282" s="37"/>
      <c r="K282" s="37"/>
      <c r="L282" s="37"/>
      <c r="M282" s="37"/>
      <c r="N282" s="37"/>
      <c r="O282" s="39">
        <f>(SUBTOTAL(9,O283:O284))</f>
        <v>400</v>
      </c>
      <c r="P282" s="39">
        <f>(SUBTOTAL(9,P283:P284))</f>
        <v>0</v>
      </c>
      <c r="Q282" s="39">
        <f>(SUBTOTAL(9,Q283:Q284))</f>
        <v>0</v>
      </c>
      <c r="R282" s="39">
        <f>(SUBTOTAL(9,R283:R284))</f>
        <v>0</v>
      </c>
      <c r="S282" s="39">
        <f>(SUBTOTAL(9,S283:S284))</f>
        <v>0</v>
      </c>
      <c r="T282" s="39">
        <f>(SUBTOTAL(9,T283:T284))</f>
        <v>0</v>
      </c>
      <c r="U282" s="55">
        <f t="shared" ref="U282" si="191">SUBTOTAL(9,O283:T284)</f>
        <v>400</v>
      </c>
    </row>
    <row r="283" spans="1:21" ht="17.25" customHeight="1" x14ac:dyDescent="0.3">
      <c r="A283" s="15" t="s">
        <v>30</v>
      </c>
      <c r="C283" s="19"/>
      <c r="D283" s="33" t="str">
        <f t="shared" ref="D283" si="192">D282</f>
        <v>E100021</v>
      </c>
      <c r="E283" s="33"/>
      <c r="F283" s="34"/>
      <c r="G283" s="34" t="str">
        <f>"""NAV Direct"",""CRONUS JetCorp USA"",""32"",""1"",""167510"""</f>
        <v>"NAV Direct","CRONUS JetCorp USA","32","1","167510"</v>
      </c>
      <c r="H283" s="40">
        <v>43466</v>
      </c>
      <c r="I283" s="41">
        <v>167510</v>
      </c>
      <c r="J283" s="42" t="str">
        <f>"Vendor"</f>
        <v>Vendor</v>
      </c>
      <c r="K283" s="42" t="str">
        <f>"V100009"</f>
        <v>V100009</v>
      </c>
      <c r="L283" s="42" t="str">
        <f>IF($J283="Customer",_xll.NL("first",$J283,"Name","No.","@@"&amp;$K283),"")</f>
        <v/>
      </c>
      <c r="M283" s="42" t="str">
        <f>"Malay-Dan Export Unit Sdn Bhd"</f>
        <v>Malay-Dan Export Unit Sdn Bhd</v>
      </c>
      <c r="N283" s="42" t="str">
        <f>IF($J283="Item",_xll.NL("first",$J283,"Description","No.","@@"&amp;$K283),"")</f>
        <v/>
      </c>
      <c r="O283" s="43">
        <v>400</v>
      </c>
      <c r="P283" s="43">
        <v>0</v>
      </c>
      <c r="Q283" s="43">
        <v>0</v>
      </c>
      <c r="R283" s="43">
        <v>0</v>
      </c>
      <c r="S283" s="43">
        <v>0</v>
      </c>
      <c r="T283" s="43">
        <v>0</v>
      </c>
      <c r="U283" s="56"/>
    </row>
    <row r="284" spans="1:21" ht="17.25" customHeight="1" x14ac:dyDescent="0.3">
      <c r="A284" s="15" t="s">
        <v>30</v>
      </c>
      <c r="C284" s="19"/>
      <c r="D284" s="33"/>
      <c r="E284" s="33"/>
      <c r="F284" s="34"/>
      <c r="G284" s="34"/>
      <c r="H284" s="34"/>
      <c r="I284" s="34"/>
      <c r="J284" s="34"/>
      <c r="K284" s="34"/>
      <c r="L284" s="34"/>
      <c r="M284" s="34"/>
      <c r="N284" s="34"/>
      <c r="O284" s="44"/>
      <c r="P284" s="44"/>
      <c r="Q284" s="44"/>
      <c r="R284" s="44"/>
      <c r="S284" s="44"/>
      <c r="T284" s="44"/>
      <c r="U284" s="57"/>
    </row>
    <row r="285" spans="1:21" ht="17.25" customHeight="1" x14ac:dyDescent="0.3">
      <c r="A285" s="15" t="s">
        <v>30</v>
      </c>
      <c r="C285" s="19"/>
      <c r="D285" s="33"/>
      <c r="E285" s="33" t="s">
        <v>31</v>
      </c>
      <c r="F285" s="34" t="s">
        <v>31</v>
      </c>
      <c r="G285" s="34" t="s">
        <v>31</v>
      </c>
      <c r="H285" s="34"/>
      <c r="I285" s="34"/>
      <c r="J285" s="34" t="s">
        <v>31</v>
      </c>
      <c r="K285" s="34" t="s">
        <v>31</v>
      </c>
      <c r="L285" s="34" t="s">
        <v>31</v>
      </c>
      <c r="M285" s="34" t="s">
        <v>31</v>
      </c>
      <c r="N285" s="34"/>
      <c r="U285" s="58"/>
    </row>
    <row r="286" spans="1:21" ht="20.25" customHeight="1" x14ac:dyDescent="0.35">
      <c r="A286" s="15" t="s">
        <v>30</v>
      </c>
      <c r="C286" s="19"/>
      <c r="D286" s="35" t="str">
        <f t="shared" ref="D286" si="193">E286</f>
        <v>E100022</v>
      </c>
      <c r="E286" s="36" t="str">
        <f>"E100022"</f>
        <v>E100022</v>
      </c>
      <c r="F286" s="37" t="str">
        <f>"Wide Screen Alarm Clock"</f>
        <v>Wide Screen Alarm Clock</v>
      </c>
      <c r="G286" s="37"/>
      <c r="H286" s="38" t="str">
        <f>"EA"</f>
        <v>EA</v>
      </c>
      <c r="I286" s="37"/>
      <c r="J286" s="37"/>
      <c r="K286" s="37"/>
      <c r="L286" s="37"/>
      <c r="M286" s="37"/>
      <c r="N286" s="37"/>
      <c r="O286" s="39">
        <f>(SUBTOTAL(9,O287:O289))</f>
        <v>200</v>
      </c>
      <c r="P286" s="39">
        <f>(SUBTOTAL(9,P287:P289))</f>
        <v>-1</v>
      </c>
      <c r="Q286" s="39">
        <f>(SUBTOTAL(9,Q287:Q289))</f>
        <v>0</v>
      </c>
      <c r="R286" s="39">
        <f>(SUBTOTAL(9,R287:R289))</f>
        <v>0</v>
      </c>
      <c r="S286" s="39">
        <f>(SUBTOTAL(9,S287:S289))</f>
        <v>0</v>
      </c>
      <c r="T286" s="39">
        <f>(SUBTOTAL(9,T287:T289))</f>
        <v>0</v>
      </c>
      <c r="U286" s="55">
        <f t="shared" ref="U286" si="194">SUBTOTAL(9,O287:T289)</f>
        <v>199</v>
      </c>
    </row>
    <row r="287" spans="1:21" ht="17.25" customHeight="1" x14ac:dyDescent="0.3">
      <c r="A287" s="15" t="s">
        <v>30</v>
      </c>
      <c r="C287" s="19"/>
      <c r="D287" s="33" t="str">
        <f t="shared" ref="D287" si="195">D286</f>
        <v>E100022</v>
      </c>
      <c r="E287" s="33"/>
      <c r="F287" s="34"/>
      <c r="G287" s="34" t="str">
        <f>"""NAV Direct"",""CRONUS JetCorp USA"",""32"",""1"",""167509"""</f>
        <v>"NAV Direct","CRONUS JetCorp USA","32","1","167509"</v>
      </c>
      <c r="H287" s="40">
        <v>43466</v>
      </c>
      <c r="I287" s="41">
        <v>167509</v>
      </c>
      <c r="J287" s="42" t="str">
        <f>"Vendor"</f>
        <v>Vendor</v>
      </c>
      <c r="K287" s="42" t="str">
        <f>"V100009"</f>
        <v>V100009</v>
      </c>
      <c r="L287" s="42" t="str">
        <f>IF($J287="Customer",_xll.NL("first",$J287,"Name","No.","@@"&amp;$K287),"")</f>
        <v/>
      </c>
      <c r="M287" s="42" t="str">
        <f>"Malay-Dan Export Unit Sdn Bhd"</f>
        <v>Malay-Dan Export Unit Sdn Bhd</v>
      </c>
      <c r="N287" s="42" t="str">
        <f>IF($J287="Item",_xll.NL("first",$J287,"Description","No.","@@"&amp;$K287),"")</f>
        <v/>
      </c>
      <c r="O287" s="43">
        <v>200</v>
      </c>
      <c r="P287" s="43">
        <v>0</v>
      </c>
      <c r="Q287" s="43">
        <v>0</v>
      </c>
      <c r="R287" s="43">
        <v>0</v>
      </c>
      <c r="S287" s="43">
        <v>0</v>
      </c>
      <c r="T287" s="43">
        <v>0</v>
      </c>
      <c r="U287" s="56"/>
    </row>
    <row r="288" spans="1:21" ht="17.25" customHeight="1" x14ac:dyDescent="0.3">
      <c r="A288" s="15" t="s">
        <v>30</v>
      </c>
      <c r="C288" s="19"/>
      <c r="D288" s="33" t="str">
        <f t="shared" ref="D288" si="196">D287</f>
        <v>E100022</v>
      </c>
      <c r="E288" s="33"/>
      <c r="F288" s="34"/>
      <c r="G288" s="34" t="str">
        <f>"""NAV Direct"",""CRONUS JetCorp USA"",""32"",""1"",""120194"""</f>
        <v>"NAV Direct","CRONUS JetCorp USA","32","1","120194"</v>
      </c>
      <c r="H288" s="40">
        <v>43474</v>
      </c>
      <c r="I288" s="41">
        <v>120194</v>
      </c>
      <c r="J288" s="42" t="str">
        <f>"Customer"</f>
        <v>Customer</v>
      </c>
      <c r="K288" s="42" t="str">
        <f>"C100049"</f>
        <v>C100049</v>
      </c>
      <c r="L288" s="42" t="str">
        <f>IF($J288="Customer",_xll.NL("first",$J288,"Name","No.","@@"&amp;$K288),"")</f>
        <v>Konberg Tapet AB</v>
      </c>
      <c r="M288" s="42" t="str">
        <f>""</f>
        <v/>
      </c>
      <c r="N288" s="42" t="str">
        <f>IF($J288="Item",_xll.NL("first",$J288,"Description","No.","@@"&amp;$K288),"")</f>
        <v/>
      </c>
      <c r="O288" s="43">
        <v>0</v>
      </c>
      <c r="P288" s="43">
        <v>-1</v>
      </c>
      <c r="Q288" s="43">
        <v>0</v>
      </c>
      <c r="R288" s="43">
        <v>0</v>
      </c>
      <c r="S288" s="43">
        <v>0</v>
      </c>
      <c r="T288" s="43">
        <v>0</v>
      </c>
      <c r="U288" s="56"/>
    </row>
    <row r="289" spans="1:21" ht="17.25" customHeight="1" x14ac:dyDescent="0.3">
      <c r="A289" s="15" t="s">
        <v>30</v>
      </c>
      <c r="C289" s="19"/>
      <c r="D289" s="33"/>
      <c r="E289" s="33"/>
      <c r="F289" s="34"/>
      <c r="G289" s="34"/>
      <c r="H289" s="34"/>
      <c r="I289" s="34"/>
      <c r="J289" s="34"/>
      <c r="K289" s="34"/>
      <c r="L289" s="34"/>
      <c r="M289" s="34"/>
      <c r="N289" s="34"/>
      <c r="O289" s="44"/>
      <c r="P289" s="44"/>
      <c r="Q289" s="44"/>
      <c r="R289" s="44"/>
      <c r="S289" s="44"/>
      <c r="T289" s="44"/>
      <c r="U289" s="57"/>
    </row>
    <row r="290" spans="1:21" ht="17.25" customHeight="1" x14ac:dyDescent="0.3">
      <c r="A290" s="15" t="s">
        <v>30</v>
      </c>
      <c r="C290" s="19"/>
      <c r="D290" s="33"/>
      <c r="E290" s="33" t="s">
        <v>31</v>
      </c>
      <c r="F290" s="34" t="s">
        <v>31</v>
      </c>
      <c r="G290" s="34" t="s">
        <v>31</v>
      </c>
      <c r="H290" s="34"/>
      <c r="I290" s="34"/>
      <c r="J290" s="34" t="s">
        <v>31</v>
      </c>
      <c r="K290" s="34" t="s">
        <v>31</v>
      </c>
      <c r="L290" s="34" t="s">
        <v>31</v>
      </c>
      <c r="M290" s="34" t="s">
        <v>31</v>
      </c>
      <c r="N290" s="34"/>
      <c r="U290" s="58"/>
    </row>
    <row r="291" spans="1:21" ht="20.25" customHeight="1" x14ac:dyDescent="0.35">
      <c r="A291" s="15" t="s">
        <v>30</v>
      </c>
      <c r="C291" s="19"/>
      <c r="D291" s="35" t="str">
        <f t="shared" ref="D291" si="197">E291</f>
        <v>E100024</v>
      </c>
      <c r="E291" s="36" t="str">
        <f>"E100024"</f>
        <v>E100024</v>
      </c>
      <c r="F291" s="37" t="str">
        <f>"Arch Calculator"</f>
        <v>Arch Calculator</v>
      </c>
      <c r="G291" s="37"/>
      <c r="H291" s="38" t="str">
        <f>"EA"</f>
        <v>EA</v>
      </c>
      <c r="I291" s="37"/>
      <c r="J291" s="37"/>
      <c r="K291" s="37"/>
      <c r="L291" s="37"/>
      <c r="M291" s="37"/>
      <c r="N291" s="37"/>
      <c r="O291" s="39">
        <f>(SUBTOTAL(9,O292:O294))</f>
        <v>499.99999999999994</v>
      </c>
      <c r="P291" s="39">
        <f>(SUBTOTAL(9,P292:P294))</f>
        <v>-288</v>
      </c>
      <c r="Q291" s="39">
        <f>(SUBTOTAL(9,Q292:Q294))</f>
        <v>0</v>
      </c>
      <c r="R291" s="39">
        <f>(SUBTOTAL(9,R292:R294))</f>
        <v>0</v>
      </c>
      <c r="S291" s="39">
        <f>(SUBTOTAL(9,S292:S294))</f>
        <v>0</v>
      </c>
      <c r="T291" s="39">
        <f>(SUBTOTAL(9,T292:T294))</f>
        <v>0</v>
      </c>
      <c r="U291" s="55">
        <f t="shared" ref="U291" si="198">SUBTOTAL(9,O292:T294)</f>
        <v>211.99999999999994</v>
      </c>
    </row>
    <row r="292" spans="1:21" ht="17.25" customHeight="1" x14ac:dyDescent="0.3">
      <c r="A292" s="15" t="s">
        <v>30</v>
      </c>
      <c r="C292" s="19"/>
      <c r="D292" s="33" t="str">
        <f t="shared" ref="D292" si="199">D291</f>
        <v>E100024</v>
      </c>
      <c r="E292" s="33"/>
      <c r="F292" s="34"/>
      <c r="G292" s="34" t="str">
        <f>"""NAV Direct"",""CRONUS JetCorp USA"",""32"",""1"",""168309"""</f>
        <v>"NAV Direct","CRONUS JetCorp USA","32","1","168309"</v>
      </c>
      <c r="H292" s="40">
        <v>43466</v>
      </c>
      <c r="I292" s="41">
        <v>168309</v>
      </c>
      <c r="J292" s="42" t="str">
        <f>"Vendor"</f>
        <v>Vendor</v>
      </c>
      <c r="K292" s="42" t="str">
        <f>"V100025"</f>
        <v>V100025</v>
      </c>
      <c r="L292" s="42" t="str">
        <f>IF($J292="Customer",_xll.NL("first",$J292,"Name","No.","@@"&amp;$K292),"")</f>
        <v/>
      </c>
      <c r="M292" s="42" t="str">
        <f>"Club Euroamis"</f>
        <v>Club Euroamis</v>
      </c>
      <c r="N292" s="42" t="str">
        <f>IF($J292="Item",_xll.NL("first",$J292,"Description","No.","@@"&amp;$K292),"")</f>
        <v/>
      </c>
      <c r="O292" s="43">
        <v>499.99999999999994</v>
      </c>
      <c r="P292" s="43">
        <v>0</v>
      </c>
      <c r="Q292" s="43">
        <v>0</v>
      </c>
      <c r="R292" s="43">
        <v>0</v>
      </c>
      <c r="S292" s="43">
        <v>0</v>
      </c>
      <c r="T292" s="43">
        <v>0</v>
      </c>
      <c r="U292" s="56"/>
    </row>
    <row r="293" spans="1:21" ht="17.25" customHeight="1" x14ac:dyDescent="0.3">
      <c r="A293" s="15" t="s">
        <v>30</v>
      </c>
      <c r="C293" s="19"/>
      <c r="D293" s="33" t="str">
        <f t="shared" ref="D293" si="200">D292</f>
        <v>E100024</v>
      </c>
      <c r="E293" s="33"/>
      <c r="F293" s="34"/>
      <c r="G293" s="34" t="str">
        <f>"""NAV Direct"",""CRONUS JetCorp USA"",""32"",""1"",""78885"""</f>
        <v>"NAV Direct","CRONUS JetCorp USA","32","1","78885"</v>
      </c>
      <c r="H293" s="40">
        <v>43474</v>
      </c>
      <c r="I293" s="41">
        <v>78885</v>
      </c>
      <c r="J293" s="42" t="str">
        <f>"Customer"</f>
        <v>Customer</v>
      </c>
      <c r="K293" s="42" t="str">
        <f>"C100124"</f>
        <v>C100124</v>
      </c>
      <c r="L293" s="42" t="str">
        <f>IF($J293="Customer",_xll.NL("first",$J293,"Name","No.","@@"&amp;$K293),"")</f>
        <v>Ontocane Outdoors</v>
      </c>
      <c r="M293" s="42" t="str">
        <f>""</f>
        <v/>
      </c>
      <c r="N293" s="42" t="str">
        <f>IF($J293="Item",_xll.NL("first",$J293,"Description","No.","@@"&amp;$K293),"")</f>
        <v/>
      </c>
      <c r="O293" s="43">
        <v>0</v>
      </c>
      <c r="P293" s="43">
        <v>-288</v>
      </c>
      <c r="Q293" s="43">
        <v>0</v>
      </c>
      <c r="R293" s="43">
        <v>0</v>
      </c>
      <c r="S293" s="43">
        <v>0</v>
      </c>
      <c r="T293" s="43">
        <v>0</v>
      </c>
      <c r="U293" s="56"/>
    </row>
    <row r="294" spans="1:21" ht="17.25" customHeight="1" x14ac:dyDescent="0.3">
      <c r="A294" s="15" t="s">
        <v>30</v>
      </c>
      <c r="C294" s="19"/>
      <c r="D294" s="33"/>
      <c r="E294" s="33"/>
      <c r="F294" s="34"/>
      <c r="G294" s="34"/>
      <c r="H294" s="34"/>
      <c r="I294" s="34"/>
      <c r="J294" s="34"/>
      <c r="K294" s="34"/>
      <c r="L294" s="34"/>
      <c r="M294" s="34"/>
      <c r="N294" s="34"/>
      <c r="O294" s="44"/>
      <c r="P294" s="44"/>
      <c r="Q294" s="44"/>
      <c r="R294" s="44"/>
      <c r="S294" s="44"/>
      <c r="T294" s="44"/>
      <c r="U294" s="57"/>
    </row>
    <row r="295" spans="1:21" ht="17.25" customHeight="1" x14ac:dyDescent="0.3">
      <c r="A295" s="15" t="s">
        <v>30</v>
      </c>
      <c r="C295" s="19"/>
      <c r="D295" s="33"/>
      <c r="E295" s="33" t="s">
        <v>31</v>
      </c>
      <c r="F295" s="34" t="s">
        <v>31</v>
      </c>
      <c r="G295" s="34" t="s">
        <v>31</v>
      </c>
      <c r="H295" s="34"/>
      <c r="I295" s="34"/>
      <c r="J295" s="34" t="s">
        <v>31</v>
      </c>
      <c r="K295" s="34" t="s">
        <v>31</v>
      </c>
      <c r="L295" s="34" t="s">
        <v>31</v>
      </c>
      <c r="M295" s="34" t="s">
        <v>31</v>
      </c>
      <c r="N295" s="34"/>
      <c r="U295" s="58"/>
    </row>
    <row r="296" spans="1:21" ht="20.25" customHeight="1" x14ac:dyDescent="0.35">
      <c r="A296" s="15" t="s">
        <v>30</v>
      </c>
      <c r="C296" s="19"/>
      <c r="D296" s="35" t="str">
        <f t="shared" ref="D296" si="201">E296</f>
        <v>E100025</v>
      </c>
      <c r="E296" s="36" t="str">
        <f>"E100025"</f>
        <v>E100025</v>
      </c>
      <c r="F296" s="37" t="str">
        <f>"Calc-U-Note"</f>
        <v>Calc-U-Note</v>
      </c>
      <c r="G296" s="37"/>
      <c r="H296" s="38" t="str">
        <f>"EA"</f>
        <v>EA</v>
      </c>
      <c r="I296" s="37"/>
      <c r="J296" s="37"/>
      <c r="K296" s="37"/>
      <c r="L296" s="37"/>
      <c r="M296" s="37"/>
      <c r="N296" s="37"/>
      <c r="O296" s="39">
        <f>(SUBTOTAL(9,O297:O298))</f>
        <v>249.99999999999997</v>
      </c>
      <c r="P296" s="39">
        <f>(SUBTOTAL(9,P297:P298))</f>
        <v>0</v>
      </c>
      <c r="Q296" s="39">
        <f>(SUBTOTAL(9,Q297:Q298))</f>
        <v>0</v>
      </c>
      <c r="R296" s="39">
        <f>(SUBTOTAL(9,R297:R298))</f>
        <v>0</v>
      </c>
      <c r="S296" s="39">
        <f>(SUBTOTAL(9,S297:S298))</f>
        <v>0</v>
      </c>
      <c r="T296" s="39">
        <f>(SUBTOTAL(9,T297:T298))</f>
        <v>0</v>
      </c>
      <c r="U296" s="55">
        <f t="shared" ref="U296" si="202">SUBTOTAL(9,O297:T298)</f>
        <v>249.99999999999997</v>
      </c>
    </row>
    <row r="297" spans="1:21" ht="17.25" customHeight="1" x14ac:dyDescent="0.3">
      <c r="A297" s="15" t="s">
        <v>30</v>
      </c>
      <c r="C297" s="19"/>
      <c r="D297" s="33" t="str">
        <f t="shared" ref="D297" si="203">D296</f>
        <v>E100025</v>
      </c>
      <c r="E297" s="33"/>
      <c r="F297" s="34"/>
      <c r="G297" s="34" t="str">
        <f>"""NAV Direct"",""CRONUS JetCorp USA"",""32"",""1"",""168308"""</f>
        <v>"NAV Direct","CRONUS JetCorp USA","32","1","168308"</v>
      </c>
      <c r="H297" s="40">
        <v>43466</v>
      </c>
      <c r="I297" s="41">
        <v>168308</v>
      </c>
      <c r="J297" s="42" t="str">
        <f>"Vendor"</f>
        <v>Vendor</v>
      </c>
      <c r="K297" s="42" t="str">
        <f>"V100025"</f>
        <v>V100025</v>
      </c>
      <c r="L297" s="42" t="str">
        <f>IF($J297="Customer",_xll.NL("first",$J297,"Name","No.","@@"&amp;$K297),"")</f>
        <v/>
      </c>
      <c r="M297" s="42" t="str">
        <f>"Club Euroamis"</f>
        <v>Club Euroamis</v>
      </c>
      <c r="N297" s="42" t="str">
        <f>IF($J297="Item",_xll.NL("first",$J297,"Description","No.","@@"&amp;$K297),"")</f>
        <v/>
      </c>
      <c r="O297" s="43">
        <v>249.99999999999997</v>
      </c>
      <c r="P297" s="43">
        <v>0</v>
      </c>
      <c r="Q297" s="43">
        <v>0</v>
      </c>
      <c r="R297" s="43">
        <v>0</v>
      </c>
      <c r="S297" s="43">
        <v>0</v>
      </c>
      <c r="T297" s="43">
        <v>0</v>
      </c>
      <c r="U297" s="56"/>
    </row>
    <row r="298" spans="1:21" ht="17.25" customHeight="1" x14ac:dyDescent="0.3">
      <c r="A298" s="15" t="s">
        <v>30</v>
      </c>
      <c r="C298" s="19"/>
      <c r="D298" s="33"/>
      <c r="E298" s="33"/>
      <c r="F298" s="34"/>
      <c r="G298" s="34"/>
      <c r="H298" s="34"/>
      <c r="I298" s="34"/>
      <c r="J298" s="34"/>
      <c r="K298" s="34"/>
      <c r="L298" s="34"/>
      <c r="M298" s="34"/>
      <c r="N298" s="34"/>
      <c r="O298" s="44"/>
      <c r="P298" s="44"/>
      <c r="Q298" s="44"/>
      <c r="R298" s="44"/>
      <c r="S298" s="44"/>
      <c r="T298" s="44"/>
      <c r="U298" s="57"/>
    </row>
    <row r="299" spans="1:21" ht="17.25" customHeight="1" x14ac:dyDescent="0.3">
      <c r="A299" s="15" t="s">
        <v>30</v>
      </c>
      <c r="C299" s="19"/>
      <c r="D299" s="33"/>
      <c r="E299" s="33" t="s">
        <v>31</v>
      </c>
      <c r="F299" s="34" t="s">
        <v>31</v>
      </c>
      <c r="G299" s="34" t="s">
        <v>31</v>
      </c>
      <c r="H299" s="34"/>
      <c r="I299" s="34"/>
      <c r="J299" s="34" t="s">
        <v>31</v>
      </c>
      <c r="K299" s="34" t="s">
        <v>31</v>
      </c>
      <c r="L299" s="34" t="s">
        <v>31</v>
      </c>
      <c r="M299" s="34" t="s">
        <v>31</v>
      </c>
      <c r="N299" s="34"/>
      <c r="U299" s="58"/>
    </row>
    <row r="300" spans="1:21" ht="20.25" customHeight="1" x14ac:dyDescent="0.35">
      <c r="A300" s="15" t="s">
        <v>30</v>
      </c>
      <c r="C300" s="19"/>
      <c r="D300" s="35" t="str">
        <f t="shared" ref="D300" si="204">E300</f>
        <v>E100026</v>
      </c>
      <c r="E300" s="36" t="str">
        <f>"E100026"</f>
        <v>E100026</v>
      </c>
      <c r="F300" s="37" t="str">
        <f>"Desk Calculator"</f>
        <v>Desk Calculator</v>
      </c>
      <c r="G300" s="37"/>
      <c r="H300" s="38" t="str">
        <f>"EA"</f>
        <v>EA</v>
      </c>
      <c r="I300" s="37"/>
      <c r="J300" s="37"/>
      <c r="K300" s="37"/>
      <c r="L300" s="37"/>
      <c r="M300" s="37"/>
      <c r="N300" s="37"/>
      <c r="O300" s="39">
        <f>(SUBTOTAL(9,O301:O304))</f>
        <v>499.99999999999994</v>
      </c>
      <c r="P300" s="39">
        <f>(SUBTOTAL(9,P301:P304))</f>
        <v>-288</v>
      </c>
      <c r="Q300" s="39">
        <f>(SUBTOTAL(9,Q301:Q304))</f>
        <v>0</v>
      </c>
      <c r="R300" s="39">
        <f>(SUBTOTAL(9,R301:R304))</f>
        <v>0</v>
      </c>
      <c r="S300" s="39">
        <f>(SUBTOTAL(9,S301:S304))</f>
        <v>0</v>
      </c>
      <c r="T300" s="39">
        <f>(SUBTOTAL(9,T301:T304))</f>
        <v>0</v>
      </c>
      <c r="U300" s="55">
        <f t="shared" ref="U300" si="205">SUBTOTAL(9,O301:T304)</f>
        <v>211.99999999999994</v>
      </c>
    </row>
    <row r="301" spans="1:21" ht="17.25" customHeight="1" x14ac:dyDescent="0.3">
      <c r="A301" s="15" t="s">
        <v>30</v>
      </c>
      <c r="C301" s="19"/>
      <c r="D301" s="33" t="str">
        <f t="shared" ref="D301" si="206">D300</f>
        <v>E100026</v>
      </c>
      <c r="E301" s="33"/>
      <c r="F301" s="34"/>
      <c r="G301" s="34" t="str">
        <f>"""NAV Direct"",""CRONUS JetCorp USA"",""32"",""1"",""168307"""</f>
        <v>"NAV Direct","CRONUS JetCorp USA","32","1","168307"</v>
      </c>
      <c r="H301" s="40">
        <v>43466</v>
      </c>
      <c r="I301" s="41">
        <v>168307</v>
      </c>
      <c r="J301" s="42" t="str">
        <f>"Vendor"</f>
        <v>Vendor</v>
      </c>
      <c r="K301" s="42" t="str">
        <f>"V100025"</f>
        <v>V100025</v>
      </c>
      <c r="L301" s="42" t="str">
        <f>IF($J301="Customer",_xll.NL("first",$J301,"Name","No.","@@"&amp;$K301),"")</f>
        <v/>
      </c>
      <c r="M301" s="42" t="str">
        <f>"Club Euroamis"</f>
        <v>Club Euroamis</v>
      </c>
      <c r="N301" s="42" t="str">
        <f>IF($J301="Item",_xll.NL("first",$J301,"Description","No.","@@"&amp;$K301),"")</f>
        <v/>
      </c>
      <c r="O301" s="43">
        <v>499.99999999999994</v>
      </c>
      <c r="P301" s="43">
        <v>0</v>
      </c>
      <c r="Q301" s="43">
        <v>0</v>
      </c>
      <c r="R301" s="43">
        <v>0</v>
      </c>
      <c r="S301" s="43">
        <v>0</v>
      </c>
      <c r="T301" s="43">
        <v>0</v>
      </c>
      <c r="U301" s="56"/>
    </row>
    <row r="302" spans="1:21" ht="17.25" customHeight="1" x14ac:dyDescent="0.3">
      <c r="A302" s="15" t="s">
        <v>30</v>
      </c>
      <c r="C302" s="19"/>
      <c r="D302" s="33" t="str">
        <f t="shared" ref="D302:D303" si="207">D301</f>
        <v>E100026</v>
      </c>
      <c r="E302" s="33"/>
      <c r="F302" s="34"/>
      <c r="G302" s="34" t="str">
        <f>"""NAV Direct"",""CRONUS JetCorp USA"",""32"",""1"",""78876"""</f>
        <v>"NAV Direct","CRONUS JetCorp USA","32","1","78876"</v>
      </c>
      <c r="H302" s="40">
        <v>43471</v>
      </c>
      <c r="I302" s="41">
        <v>78876</v>
      </c>
      <c r="J302" s="42" t="str">
        <f>"Customer"</f>
        <v>Customer</v>
      </c>
      <c r="K302" s="42" t="str">
        <f>"C100124"</f>
        <v>C100124</v>
      </c>
      <c r="L302" s="42" t="str">
        <f>IF($J302="Customer",_xll.NL("first",$J302,"Name","No.","@@"&amp;$K302),"")</f>
        <v>Ontocane Outdoors</v>
      </c>
      <c r="M302" s="42" t="str">
        <f>""</f>
        <v/>
      </c>
      <c r="N302" s="42" t="str">
        <f>IF($J302="Item",_xll.NL("first",$J302,"Description","No.","@@"&amp;$K302),"")</f>
        <v/>
      </c>
      <c r="O302" s="43">
        <v>0</v>
      </c>
      <c r="P302" s="43">
        <v>-144</v>
      </c>
      <c r="Q302" s="43">
        <v>0</v>
      </c>
      <c r="R302" s="43">
        <v>0</v>
      </c>
      <c r="S302" s="43">
        <v>0</v>
      </c>
      <c r="T302" s="43">
        <v>0</v>
      </c>
      <c r="U302" s="56"/>
    </row>
    <row r="303" spans="1:21" ht="17.25" customHeight="1" x14ac:dyDescent="0.3">
      <c r="A303" s="15" t="s">
        <v>30</v>
      </c>
      <c r="C303" s="19"/>
      <c r="D303" s="33" t="str">
        <f t="shared" si="207"/>
        <v>E100026</v>
      </c>
      <c r="E303" s="33"/>
      <c r="F303" s="34"/>
      <c r="G303" s="34" t="str">
        <f>"""NAV Direct"",""CRONUS JetCorp USA"",""32"",""1"",""78891"""</f>
        <v>"NAV Direct","CRONUS JetCorp USA","32","1","78891"</v>
      </c>
      <c r="H303" s="40">
        <v>43474</v>
      </c>
      <c r="I303" s="41">
        <v>78891</v>
      </c>
      <c r="J303" s="42" t="str">
        <f>"Customer"</f>
        <v>Customer</v>
      </c>
      <c r="K303" s="42" t="str">
        <f>"C100124"</f>
        <v>C100124</v>
      </c>
      <c r="L303" s="42" t="str">
        <f>IF($J303="Customer",_xll.NL("first",$J303,"Name","No.","@@"&amp;$K303),"")</f>
        <v>Ontocane Outdoors</v>
      </c>
      <c r="M303" s="42" t="str">
        <f>""</f>
        <v/>
      </c>
      <c r="N303" s="42" t="str">
        <f>IF($J303="Item",_xll.NL("first",$J303,"Description","No.","@@"&amp;$K303),"")</f>
        <v/>
      </c>
      <c r="O303" s="43">
        <v>0</v>
      </c>
      <c r="P303" s="43">
        <v>-144</v>
      </c>
      <c r="Q303" s="43">
        <v>0</v>
      </c>
      <c r="R303" s="43">
        <v>0</v>
      </c>
      <c r="S303" s="43">
        <v>0</v>
      </c>
      <c r="T303" s="43">
        <v>0</v>
      </c>
      <c r="U303" s="56"/>
    </row>
    <row r="304" spans="1:21" ht="17.25" customHeight="1" x14ac:dyDescent="0.3">
      <c r="A304" s="15" t="s">
        <v>30</v>
      </c>
      <c r="C304" s="19"/>
      <c r="D304" s="33"/>
      <c r="E304" s="33"/>
      <c r="F304" s="34"/>
      <c r="G304" s="34"/>
      <c r="H304" s="34"/>
      <c r="I304" s="34"/>
      <c r="J304" s="34"/>
      <c r="K304" s="34"/>
      <c r="L304" s="34"/>
      <c r="M304" s="34"/>
      <c r="N304" s="34"/>
      <c r="O304" s="44"/>
      <c r="P304" s="44"/>
      <c r="Q304" s="44"/>
      <c r="R304" s="44"/>
      <c r="S304" s="44"/>
      <c r="T304" s="44"/>
      <c r="U304" s="57"/>
    </row>
    <row r="305" spans="1:21" ht="17.25" customHeight="1" x14ac:dyDescent="0.3">
      <c r="A305" s="15" t="s">
        <v>30</v>
      </c>
      <c r="C305" s="19"/>
      <c r="D305" s="33"/>
      <c r="E305" s="33" t="s">
        <v>31</v>
      </c>
      <c r="F305" s="34" t="s">
        <v>31</v>
      </c>
      <c r="G305" s="34" t="s">
        <v>31</v>
      </c>
      <c r="H305" s="34"/>
      <c r="I305" s="34"/>
      <c r="J305" s="34" t="s">
        <v>31</v>
      </c>
      <c r="K305" s="34" t="s">
        <v>31</v>
      </c>
      <c r="L305" s="34" t="s">
        <v>31</v>
      </c>
      <c r="M305" s="34" t="s">
        <v>31</v>
      </c>
      <c r="N305" s="34"/>
      <c r="U305" s="58"/>
    </row>
    <row r="306" spans="1:21" ht="20.25" customHeight="1" x14ac:dyDescent="0.35">
      <c r="A306" s="15" t="s">
        <v>30</v>
      </c>
      <c r="C306" s="19"/>
      <c r="D306" s="35" t="str">
        <f t="shared" ref="D306" si="208">E306</f>
        <v>E100027</v>
      </c>
      <c r="E306" s="36" t="str">
        <f>"E100027"</f>
        <v>E100027</v>
      </c>
      <c r="F306" s="37" t="str">
        <f>"Ergo-Calculator"</f>
        <v>Ergo-Calculator</v>
      </c>
      <c r="G306" s="37"/>
      <c r="H306" s="38" t="str">
        <f>"EA"</f>
        <v>EA</v>
      </c>
      <c r="I306" s="37"/>
      <c r="J306" s="37"/>
      <c r="K306" s="37"/>
      <c r="L306" s="37"/>
      <c r="M306" s="37"/>
      <c r="N306" s="37"/>
      <c r="O306" s="39">
        <f>(SUBTOTAL(9,O307:O309))</f>
        <v>0</v>
      </c>
      <c r="P306" s="39">
        <f>(SUBTOTAL(9,P307:P309))</f>
        <v>-25</v>
      </c>
      <c r="Q306" s="39">
        <f>(SUBTOTAL(9,Q307:Q309))</f>
        <v>0</v>
      </c>
      <c r="R306" s="39">
        <f>(SUBTOTAL(9,R307:R309))</f>
        <v>0</v>
      </c>
      <c r="S306" s="39">
        <f>(SUBTOTAL(9,S307:S309))</f>
        <v>0</v>
      </c>
      <c r="T306" s="39">
        <f>(SUBTOTAL(9,T307:T309))</f>
        <v>0</v>
      </c>
      <c r="U306" s="55">
        <f t="shared" ref="U306" si="209">SUBTOTAL(9,O307:T309)</f>
        <v>-25</v>
      </c>
    </row>
    <row r="307" spans="1:21" ht="17.25" customHeight="1" x14ac:dyDescent="0.3">
      <c r="A307" s="15" t="s">
        <v>30</v>
      </c>
      <c r="C307" s="19"/>
      <c r="D307" s="33" t="str">
        <f t="shared" ref="D307" si="210">D306</f>
        <v>E100027</v>
      </c>
      <c r="E307" s="33"/>
      <c r="F307" s="34"/>
      <c r="G307" s="34" t="str">
        <f>"""NAV Direct"",""CRONUS JetCorp USA"",""32"",""1"",""78878"""</f>
        <v>"NAV Direct","CRONUS JetCorp USA","32","1","78878"</v>
      </c>
      <c r="H307" s="40">
        <v>43471</v>
      </c>
      <c r="I307" s="41">
        <v>78878</v>
      </c>
      <c r="J307" s="42" t="str">
        <f>"Customer"</f>
        <v>Customer</v>
      </c>
      <c r="K307" s="42" t="str">
        <f>"C100124"</f>
        <v>C100124</v>
      </c>
      <c r="L307" s="42" t="str">
        <f>IF($J307="Customer",_xll.NL("first",$J307,"Name","No.","@@"&amp;$K307),"")</f>
        <v>Ontocane Outdoors</v>
      </c>
      <c r="M307" s="42" t="str">
        <f>""</f>
        <v/>
      </c>
      <c r="N307" s="42" t="str">
        <f>IF($J307="Item",_xll.NL("first",$J307,"Description","No.","@@"&amp;$K307),"")</f>
        <v/>
      </c>
      <c r="O307" s="43">
        <v>0</v>
      </c>
      <c r="P307" s="43">
        <v>-24</v>
      </c>
      <c r="Q307" s="43">
        <v>0</v>
      </c>
      <c r="R307" s="43">
        <v>0</v>
      </c>
      <c r="S307" s="43">
        <v>0</v>
      </c>
      <c r="T307" s="43">
        <v>0</v>
      </c>
      <c r="U307" s="56"/>
    </row>
    <row r="308" spans="1:21" ht="17.25" customHeight="1" x14ac:dyDescent="0.3">
      <c r="A308" s="15" t="s">
        <v>30</v>
      </c>
      <c r="C308" s="19"/>
      <c r="D308" s="33" t="str">
        <f t="shared" ref="D308" si="211">D307</f>
        <v>E100027</v>
      </c>
      <c r="E308" s="33"/>
      <c r="F308" s="34"/>
      <c r="G308" s="34" t="str">
        <f>"""NAV Direct"",""CRONUS JetCorp USA"",""32"",""1"",""78894"""</f>
        <v>"NAV Direct","CRONUS JetCorp USA","32","1","78894"</v>
      </c>
      <c r="H308" s="40">
        <v>43474</v>
      </c>
      <c r="I308" s="41">
        <v>78894</v>
      </c>
      <c r="J308" s="42" t="str">
        <f>"Customer"</f>
        <v>Customer</v>
      </c>
      <c r="K308" s="42" t="str">
        <f>"C100124"</f>
        <v>C100124</v>
      </c>
      <c r="L308" s="42" t="str">
        <f>IF($J308="Customer",_xll.NL("first",$J308,"Name","No.","@@"&amp;$K308),"")</f>
        <v>Ontocane Outdoors</v>
      </c>
      <c r="M308" s="42" t="str">
        <f>""</f>
        <v/>
      </c>
      <c r="N308" s="42" t="str">
        <f>IF($J308="Item",_xll.NL("first",$J308,"Description","No.","@@"&amp;$K308),"")</f>
        <v/>
      </c>
      <c r="O308" s="43">
        <v>0</v>
      </c>
      <c r="P308" s="43">
        <v>-1</v>
      </c>
      <c r="Q308" s="43">
        <v>0</v>
      </c>
      <c r="R308" s="43">
        <v>0</v>
      </c>
      <c r="S308" s="43">
        <v>0</v>
      </c>
      <c r="T308" s="43">
        <v>0</v>
      </c>
      <c r="U308" s="56"/>
    </row>
    <row r="309" spans="1:21" ht="17.25" customHeight="1" x14ac:dyDescent="0.3">
      <c r="A309" s="15" t="s">
        <v>30</v>
      </c>
      <c r="C309" s="19"/>
      <c r="D309" s="33"/>
      <c r="E309" s="33"/>
      <c r="F309" s="34"/>
      <c r="G309" s="34"/>
      <c r="H309" s="34"/>
      <c r="I309" s="34"/>
      <c r="J309" s="34"/>
      <c r="K309" s="34"/>
      <c r="L309" s="34"/>
      <c r="M309" s="34"/>
      <c r="N309" s="34"/>
      <c r="O309" s="44"/>
      <c r="P309" s="44"/>
      <c r="Q309" s="44"/>
      <c r="R309" s="44"/>
      <c r="S309" s="44"/>
      <c r="T309" s="44"/>
      <c r="U309" s="57"/>
    </row>
    <row r="310" spans="1:21" ht="17.25" customHeight="1" x14ac:dyDescent="0.3">
      <c r="A310" s="15" t="s">
        <v>30</v>
      </c>
      <c r="C310" s="19"/>
      <c r="D310" s="33"/>
      <c r="E310" s="33" t="s">
        <v>31</v>
      </c>
      <c r="F310" s="34" t="s">
        <v>31</v>
      </c>
      <c r="G310" s="34" t="s">
        <v>31</v>
      </c>
      <c r="H310" s="34"/>
      <c r="I310" s="34"/>
      <c r="J310" s="34" t="s">
        <v>31</v>
      </c>
      <c r="K310" s="34" t="s">
        <v>31</v>
      </c>
      <c r="L310" s="34" t="s">
        <v>31</v>
      </c>
      <c r="M310" s="34" t="s">
        <v>31</v>
      </c>
      <c r="N310" s="34"/>
      <c r="U310" s="58"/>
    </row>
    <row r="311" spans="1:21" ht="20.25" customHeight="1" x14ac:dyDescent="0.35">
      <c r="A311" s="15" t="s">
        <v>30</v>
      </c>
      <c r="C311" s="19"/>
      <c r="D311" s="35" t="str">
        <f t="shared" ref="D311" si="212">E311</f>
        <v>E100030</v>
      </c>
      <c r="E311" s="36" t="str">
        <f>"E100030"</f>
        <v>E100030</v>
      </c>
      <c r="F311" s="37" t="str">
        <f>"LED Keychain"</f>
        <v>LED Keychain</v>
      </c>
      <c r="G311" s="37"/>
      <c r="H311" s="38" t="str">
        <f>"EA"</f>
        <v>EA</v>
      </c>
      <c r="I311" s="37"/>
      <c r="J311" s="37"/>
      <c r="K311" s="37"/>
      <c r="L311" s="37"/>
      <c r="M311" s="37"/>
      <c r="N311" s="37"/>
      <c r="O311" s="39">
        <f>(SUBTOTAL(9,O312:O313))</f>
        <v>249.99999999999997</v>
      </c>
      <c r="P311" s="39">
        <f>(SUBTOTAL(9,P312:P313))</f>
        <v>0</v>
      </c>
      <c r="Q311" s="39">
        <f>(SUBTOTAL(9,Q312:Q313))</f>
        <v>0</v>
      </c>
      <c r="R311" s="39">
        <f>(SUBTOTAL(9,R312:R313))</f>
        <v>0</v>
      </c>
      <c r="S311" s="39">
        <f>(SUBTOTAL(9,S312:S313))</f>
        <v>0</v>
      </c>
      <c r="T311" s="39">
        <f>(SUBTOTAL(9,T312:T313))</f>
        <v>0</v>
      </c>
      <c r="U311" s="55">
        <f t="shared" ref="U311" si="213">SUBTOTAL(9,O312:T313)</f>
        <v>249.99999999999997</v>
      </c>
    </row>
    <row r="312" spans="1:21" ht="17.25" customHeight="1" x14ac:dyDescent="0.3">
      <c r="A312" s="15" t="s">
        <v>30</v>
      </c>
      <c r="C312" s="19"/>
      <c r="D312" s="33" t="str">
        <f t="shared" ref="D312" si="214">D311</f>
        <v>E100030</v>
      </c>
      <c r="E312" s="33"/>
      <c r="F312" s="34"/>
      <c r="G312" s="34" t="str">
        <f>"""NAV Direct"",""CRONUS JetCorp USA"",""32"",""1"",""168306"""</f>
        <v>"NAV Direct","CRONUS JetCorp USA","32","1","168306"</v>
      </c>
      <c r="H312" s="40">
        <v>43466</v>
      </c>
      <c r="I312" s="41">
        <v>168306</v>
      </c>
      <c r="J312" s="42" t="str">
        <f>"Vendor"</f>
        <v>Vendor</v>
      </c>
      <c r="K312" s="42" t="str">
        <f>"V100025"</f>
        <v>V100025</v>
      </c>
      <c r="L312" s="42" t="str">
        <f>IF($J312="Customer",_xll.NL("first",$J312,"Name","No.","@@"&amp;$K312),"")</f>
        <v/>
      </c>
      <c r="M312" s="42" t="str">
        <f>"Club Euroamis"</f>
        <v>Club Euroamis</v>
      </c>
      <c r="N312" s="42" t="str">
        <f>IF($J312="Item",_xll.NL("first",$J312,"Description","No.","@@"&amp;$K312),"")</f>
        <v/>
      </c>
      <c r="O312" s="43">
        <v>249.99999999999997</v>
      </c>
      <c r="P312" s="43">
        <v>0</v>
      </c>
      <c r="Q312" s="43">
        <v>0</v>
      </c>
      <c r="R312" s="43">
        <v>0</v>
      </c>
      <c r="S312" s="43">
        <v>0</v>
      </c>
      <c r="T312" s="43">
        <v>0</v>
      </c>
      <c r="U312" s="56"/>
    </row>
    <row r="313" spans="1:21" ht="17.25" customHeight="1" x14ac:dyDescent="0.3">
      <c r="A313" s="15" t="s">
        <v>30</v>
      </c>
      <c r="C313" s="19"/>
      <c r="D313" s="33"/>
      <c r="E313" s="33"/>
      <c r="F313" s="34"/>
      <c r="G313" s="34"/>
      <c r="H313" s="34"/>
      <c r="I313" s="34"/>
      <c r="J313" s="34"/>
      <c r="K313" s="34"/>
      <c r="L313" s="34"/>
      <c r="M313" s="34"/>
      <c r="N313" s="34"/>
      <c r="O313" s="44"/>
      <c r="P313" s="44"/>
      <c r="Q313" s="44"/>
      <c r="R313" s="44"/>
      <c r="S313" s="44"/>
      <c r="T313" s="44"/>
      <c r="U313" s="57"/>
    </row>
    <row r="314" spans="1:21" ht="17.25" customHeight="1" x14ac:dyDescent="0.3">
      <c r="A314" s="15" t="s">
        <v>30</v>
      </c>
      <c r="C314" s="19"/>
      <c r="D314" s="33"/>
      <c r="E314" s="33" t="s">
        <v>31</v>
      </c>
      <c r="F314" s="34" t="s">
        <v>31</v>
      </c>
      <c r="G314" s="34" t="s">
        <v>31</v>
      </c>
      <c r="H314" s="34"/>
      <c r="I314" s="34"/>
      <c r="J314" s="34" t="s">
        <v>31</v>
      </c>
      <c r="K314" s="34" t="s">
        <v>31</v>
      </c>
      <c r="L314" s="34" t="s">
        <v>31</v>
      </c>
      <c r="M314" s="34" t="s">
        <v>31</v>
      </c>
      <c r="N314" s="34"/>
      <c r="U314" s="58"/>
    </row>
    <row r="315" spans="1:21" ht="20.25" customHeight="1" x14ac:dyDescent="0.35">
      <c r="A315" s="15" t="s">
        <v>30</v>
      </c>
      <c r="C315" s="19"/>
      <c r="D315" s="35" t="str">
        <f t="shared" ref="D315" si="215">E315</f>
        <v>E100033</v>
      </c>
      <c r="E315" s="36" t="str">
        <f>"E100033"</f>
        <v>E100033</v>
      </c>
      <c r="F315" s="37" t="str">
        <f>"Dual Source Flashlight"</f>
        <v>Dual Source Flashlight</v>
      </c>
      <c r="G315" s="37"/>
      <c r="H315" s="38" t="str">
        <f>"EA"</f>
        <v>EA</v>
      </c>
      <c r="I315" s="37"/>
      <c r="J315" s="37"/>
      <c r="K315" s="37"/>
      <c r="L315" s="37"/>
      <c r="M315" s="37"/>
      <c r="N315" s="37"/>
      <c r="O315" s="39">
        <f>(SUBTOTAL(9,O316:O317))</f>
        <v>0</v>
      </c>
      <c r="P315" s="39">
        <f>(SUBTOTAL(9,P316:P317))</f>
        <v>-144</v>
      </c>
      <c r="Q315" s="39">
        <f>(SUBTOTAL(9,Q316:Q317))</f>
        <v>0</v>
      </c>
      <c r="R315" s="39">
        <f>(SUBTOTAL(9,R316:R317))</f>
        <v>0</v>
      </c>
      <c r="S315" s="39">
        <f>(SUBTOTAL(9,S316:S317))</f>
        <v>0</v>
      </c>
      <c r="T315" s="39">
        <f>(SUBTOTAL(9,T316:T317))</f>
        <v>0</v>
      </c>
      <c r="U315" s="55">
        <f t="shared" ref="U315" si="216">SUBTOTAL(9,O316:T317)</f>
        <v>-144</v>
      </c>
    </row>
    <row r="316" spans="1:21" ht="17.25" customHeight="1" x14ac:dyDescent="0.3">
      <c r="A316" s="15" t="s">
        <v>30</v>
      </c>
      <c r="C316" s="19"/>
      <c r="D316" s="33" t="str">
        <f t="shared" ref="D316" si="217">D315</f>
        <v>E100033</v>
      </c>
      <c r="E316" s="33"/>
      <c r="F316" s="34"/>
      <c r="G316" s="34" t="str">
        <f>"""NAV Direct"",""CRONUS JetCorp USA"",""32"",""1"",""78887"""</f>
        <v>"NAV Direct","CRONUS JetCorp USA","32","1","78887"</v>
      </c>
      <c r="H316" s="40">
        <v>43474</v>
      </c>
      <c r="I316" s="41">
        <v>78887</v>
      </c>
      <c r="J316" s="42" t="str">
        <f>"Customer"</f>
        <v>Customer</v>
      </c>
      <c r="K316" s="42" t="str">
        <f>"C100124"</f>
        <v>C100124</v>
      </c>
      <c r="L316" s="42" t="str">
        <f>IF($J316="Customer",_xll.NL("first",$J316,"Name","No.","@@"&amp;$K316),"")</f>
        <v>Ontocane Outdoors</v>
      </c>
      <c r="M316" s="42" t="str">
        <f>""</f>
        <v/>
      </c>
      <c r="N316" s="42" t="str">
        <f>IF($J316="Item",_xll.NL("first",$J316,"Description","No.","@@"&amp;$K316),"")</f>
        <v/>
      </c>
      <c r="O316" s="43">
        <v>0</v>
      </c>
      <c r="P316" s="43">
        <v>-144</v>
      </c>
      <c r="Q316" s="43">
        <v>0</v>
      </c>
      <c r="R316" s="43">
        <v>0</v>
      </c>
      <c r="S316" s="43">
        <v>0</v>
      </c>
      <c r="T316" s="43">
        <v>0</v>
      </c>
      <c r="U316" s="56"/>
    </row>
    <row r="317" spans="1:21" ht="17.25" customHeight="1" x14ac:dyDescent="0.3">
      <c r="A317" s="15" t="s">
        <v>30</v>
      </c>
      <c r="C317" s="19"/>
      <c r="D317" s="33"/>
      <c r="E317" s="33"/>
      <c r="F317" s="34"/>
      <c r="G317" s="34"/>
      <c r="H317" s="34"/>
      <c r="I317" s="34"/>
      <c r="J317" s="34"/>
      <c r="K317" s="34"/>
      <c r="L317" s="34"/>
      <c r="M317" s="34"/>
      <c r="N317" s="34"/>
      <c r="O317" s="44"/>
      <c r="P317" s="44"/>
      <c r="Q317" s="44"/>
      <c r="R317" s="44"/>
      <c r="S317" s="44"/>
      <c r="T317" s="44"/>
      <c r="U317" s="57"/>
    </row>
    <row r="318" spans="1:21" ht="17.25" customHeight="1" x14ac:dyDescent="0.3">
      <c r="A318" s="15" t="s">
        <v>30</v>
      </c>
      <c r="C318" s="19"/>
      <c r="D318" s="33"/>
      <c r="E318" s="33" t="s">
        <v>31</v>
      </c>
      <c r="F318" s="34" t="s">
        <v>31</v>
      </c>
      <c r="G318" s="34" t="s">
        <v>31</v>
      </c>
      <c r="H318" s="34"/>
      <c r="I318" s="34"/>
      <c r="J318" s="34" t="s">
        <v>31</v>
      </c>
      <c r="K318" s="34" t="s">
        <v>31</v>
      </c>
      <c r="L318" s="34" t="s">
        <v>31</v>
      </c>
      <c r="M318" s="34" t="s">
        <v>31</v>
      </c>
      <c r="N318" s="34"/>
      <c r="U318" s="58"/>
    </row>
    <row r="319" spans="1:21" ht="20.25" customHeight="1" x14ac:dyDescent="0.35">
      <c r="A319" s="15" t="s">
        <v>30</v>
      </c>
      <c r="C319" s="19"/>
      <c r="D319" s="35" t="str">
        <f t="shared" ref="D319" si="218">E319</f>
        <v>E100034</v>
      </c>
      <c r="E319" s="36" t="str">
        <f>"E100034"</f>
        <v>E100034</v>
      </c>
      <c r="F319" s="37" t="str">
        <f>"Bamboo 1GB USB Flash Drive"</f>
        <v>Bamboo 1GB USB Flash Drive</v>
      </c>
      <c r="G319" s="37"/>
      <c r="H319" s="38" t="str">
        <f>"EA"</f>
        <v>EA</v>
      </c>
      <c r="I319" s="37"/>
      <c r="J319" s="37"/>
      <c r="K319" s="37"/>
      <c r="L319" s="37"/>
      <c r="M319" s="37"/>
      <c r="N319" s="37"/>
      <c r="O319" s="39">
        <f>(SUBTOTAL(9,O320:O321))</f>
        <v>0</v>
      </c>
      <c r="P319" s="39">
        <f>(SUBTOTAL(9,P320:P321))</f>
        <v>-144</v>
      </c>
      <c r="Q319" s="39">
        <f>(SUBTOTAL(9,Q320:Q321))</f>
        <v>0</v>
      </c>
      <c r="R319" s="39">
        <f>(SUBTOTAL(9,R320:R321))</f>
        <v>0</v>
      </c>
      <c r="S319" s="39">
        <f>(SUBTOTAL(9,S320:S321))</f>
        <v>0</v>
      </c>
      <c r="T319" s="39">
        <f>(SUBTOTAL(9,T320:T321))</f>
        <v>0</v>
      </c>
      <c r="U319" s="55">
        <f t="shared" ref="U319" si="219">SUBTOTAL(9,O320:T321)</f>
        <v>-144</v>
      </c>
    </row>
    <row r="320" spans="1:21" ht="17.25" customHeight="1" x14ac:dyDescent="0.3">
      <c r="A320" s="15" t="s">
        <v>30</v>
      </c>
      <c r="C320" s="19"/>
      <c r="D320" s="33" t="str">
        <f t="shared" ref="D320" si="220">D319</f>
        <v>E100034</v>
      </c>
      <c r="E320" s="33"/>
      <c r="F320" s="34"/>
      <c r="G320" s="34" t="str">
        <f>"""NAV Direct"",""CRONUS JetCorp USA"",""32"",""1"",""78871"""</f>
        <v>"NAV Direct","CRONUS JetCorp USA","32","1","78871"</v>
      </c>
      <c r="H320" s="40">
        <v>43471</v>
      </c>
      <c r="I320" s="41">
        <v>78871</v>
      </c>
      <c r="J320" s="42" t="str">
        <f>"Customer"</f>
        <v>Customer</v>
      </c>
      <c r="K320" s="42" t="str">
        <f>"C100124"</f>
        <v>C100124</v>
      </c>
      <c r="L320" s="42" t="str">
        <f>IF($J320="Customer",_xll.NL("first",$J320,"Name","No.","@@"&amp;$K320),"")</f>
        <v>Ontocane Outdoors</v>
      </c>
      <c r="M320" s="42" t="str">
        <f>""</f>
        <v/>
      </c>
      <c r="N320" s="42" t="str">
        <f>IF($J320="Item",_xll.NL("first",$J320,"Description","No.","@@"&amp;$K320),"")</f>
        <v/>
      </c>
      <c r="O320" s="43">
        <v>0</v>
      </c>
      <c r="P320" s="43">
        <v>-144</v>
      </c>
      <c r="Q320" s="43">
        <v>0</v>
      </c>
      <c r="R320" s="43">
        <v>0</v>
      </c>
      <c r="S320" s="43">
        <v>0</v>
      </c>
      <c r="T320" s="43">
        <v>0</v>
      </c>
      <c r="U320" s="56"/>
    </row>
    <row r="321" spans="1:21" ht="17.25" customHeight="1" x14ac:dyDescent="0.3">
      <c r="A321" s="15" t="s">
        <v>30</v>
      </c>
      <c r="C321" s="19"/>
      <c r="D321" s="33"/>
      <c r="E321" s="33"/>
      <c r="F321" s="34"/>
      <c r="G321" s="34"/>
      <c r="H321" s="34"/>
      <c r="I321" s="34"/>
      <c r="J321" s="34"/>
      <c r="K321" s="34"/>
      <c r="L321" s="34"/>
      <c r="M321" s="34"/>
      <c r="N321" s="34"/>
      <c r="O321" s="44"/>
      <c r="P321" s="44"/>
      <c r="Q321" s="44"/>
      <c r="R321" s="44"/>
      <c r="S321" s="44"/>
      <c r="T321" s="44"/>
      <c r="U321" s="57"/>
    </row>
    <row r="322" spans="1:21" ht="17.25" customHeight="1" x14ac:dyDescent="0.3">
      <c r="A322" s="15" t="s">
        <v>30</v>
      </c>
      <c r="C322" s="19"/>
      <c r="D322" s="33"/>
      <c r="E322" s="33" t="s">
        <v>31</v>
      </c>
      <c r="F322" s="34" t="s">
        <v>31</v>
      </c>
      <c r="G322" s="34" t="s">
        <v>31</v>
      </c>
      <c r="H322" s="34"/>
      <c r="I322" s="34"/>
      <c r="J322" s="34" t="s">
        <v>31</v>
      </c>
      <c r="K322" s="34" t="s">
        <v>31</v>
      </c>
      <c r="L322" s="34" t="s">
        <v>31</v>
      </c>
      <c r="M322" s="34" t="s">
        <v>31</v>
      </c>
      <c r="N322" s="34"/>
      <c r="U322" s="58"/>
    </row>
    <row r="323" spans="1:21" ht="20.25" customHeight="1" x14ac:dyDescent="0.35">
      <c r="A323" s="15" t="s">
        <v>30</v>
      </c>
      <c r="C323" s="19"/>
      <c r="D323" s="35" t="str">
        <f t="shared" ref="D323" si="221">E323</f>
        <v>E100038</v>
      </c>
      <c r="E323" s="36" t="str">
        <f>"E100038"</f>
        <v>E100038</v>
      </c>
      <c r="F323" s="37" t="str">
        <f>"1GB USB Flash Drive Pen"</f>
        <v>1GB USB Flash Drive Pen</v>
      </c>
      <c r="G323" s="37"/>
      <c r="H323" s="38" t="str">
        <f>"EA"</f>
        <v>EA</v>
      </c>
      <c r="I323" s="37"/>
      <c r="J323" s="37"/>
      <c r="K323" s="37"/>
      <c r="L323" s="37"/>
      <c r="M323" s="37"/>
      <c r="N323" s="37"/>
      <c r="O323" s="39">
        <f>(SUBTOTAL(9,O324:O325))</f>
        <v>0</v>
      </c>
      <c r="P323" s="39">
        <f>(SUBTOTAL(9,P324:P325))</f>
        <v>-144</v>
      </c>
      <c r="Q323" s="39">
        <f>(SUBTOTAL(9,Q324:Q325))</f>
        <v>0</v>
      </c>
      <c r="R323" s="39">
        <f>(SUBTOTAL(9,R324:R325))</f>
        <v>0</v>
      </c>
      <c r="S323" s="39">
        <f>(SUBTOTAL(9,S324:S325))</f>
        <v>0</v>
      </c>
      <c r="T323" s="39">
        <f>(SUBTOTAL(9,T324:T325))</f>
        <v>0</v>
      </c>
      <c r="U323" s="55">
        <f t="shared" ref="U323" si="222">SUBTOTAL(9,O324:T325)</f>
        <v>-144</v>
      </c>
    </row>
    <row r="324" spans="1:21" ht="17.25" customHeight="1" x14ac:dyDescent="0.3">
      <c r="A324" s="15" t="s">
        <v>30</v>
      </c>
      <c r="C324" s="19"/>
      <c r="D324" s="33" t="str">
        <f t="shared" ref="D324" si="223">D323</f>
        <v>E100038</v>
      </c>
      <c r="E324" s="33"/>
      <c r="F324" s="34"/>
      <c r="G324" s="34" t="str">
        <f>"""NAV Direct"",""CRONUS JetCorp USA"",""32"",""1"",""78872"""</f>
        <v>"NAV Direct","CRONUS JetCorp USA","32","1","78872"</v>
      </c>
      <c r="H324" s="40">
        <v>43471</v>
      </c>
      <c r="I324" s="41">
        <v>78872</v>
      </c>
      <c r="J324" s="42" t="str">
        <f>"Customer"</f>
        <v>Customer</v>
      </c>
      <c r="K324" s="42" t="str">
        <f>"C100124"</f>
        <v>C100124</v>
      </c>
      <c r="L324" s="42" t="str">
        <f>IF($J324="Customer",_xll.NL("first",$J324,"Name","No.","@@"&amp;$K324),"")</f>
        <v>Ontocane Outdoors</v>
      </c>
      <c r="M324" s="42" t="str">
        <f>""</f>
        <v/>
      </c>
      <c r="N324" s="42" t="str">
        <f>IF($J324="Item",_xll.NL("first",$J324,"Description","No.","@@"&amp;$K324),"")</f>
        <v/>
      </c>
      <c r="O324" s="43">
        <v>0</v>
      </c>
      <c r="P324" s="43">
        <v>-144</v>
      </c>
      <c r="Q324" s="43">
        <v>0</v>
      </c>
      <c r="R324" s="43">
        <v>0</v>
      </c>
      <c r="S324" s="43">
        <v>0</v>
      </c>
      <c r="T324" s="43">
        <v>0</v>
      </c>
      <c r="U324" s="56"/>
    </row>
    <row r="325" spans="1:21" ht="17.25" customHeight="1" x14ac:dyDescent="0.3">
      <c r="A325" s="15" t="s">
        <v>30</v>
      </c>
      <c r="C325" s="19"/>
      <c r="D325" s="33"/>
      <c r="E325" s="33"/>
      <c r="F325" s="34"/>
      <c r="G325" s="34"/>
      <c r="H325" s="34"/>
      <c r="I325" s="34"/>
      <c r="J325" s="34"/>
      <c r="K325" s="34"/>
      <c r="L325" s="34"/>
      <c r="M325" s="34"/>
      <c r="N325" s="34"/>
      <c r="O325" s="44"/>
      <c r="P325" s="44"/>
      <c r="Q325" s="44"/>
      <c r="R325" s="44"/>
      <c r="S325" s="44"/>
      <c r="T325" s="44"/>
      <c r="U325" s="57"/>
    </row>
    <row r="326" spans="1:21" ht="17.25" customHeight="1" x14ac:dyDescent="0.3">
      <c r="A326" s="15" t="s">
        <v>30</v>
      </c>
      <c r="C326" s="19"/>
      <c r="D326" s="33"/>
      <c r="E326" s="33" t="s">
        <v>31</v>
      </c>
      <c r="F326" s="34" t="s">
        <v>31</v>
      </c>
      <c r="G326" s="34" t="s">
        <v>31</v>
      </c>
      <c r="H326" s="34"/>
      <c r="I326" s="34"/>
      <c r="J326" s="34" t="s">
        <v>31</v>
      </c>
      <c r="K326" s="34" t="s">
        <v>31</v>
      </c>
      <c r="L326" s="34" t="s">
        <v>31</v>
      </c>
      <c r="M326" s="34" t="s">
        <v>31</v>
      </c>
      <c r="N326" s="34"/>
      <c r="U326" s="58"/>
    </row>
    <row r="327" spans="1:21" ht="20.25" customHeight="1" x14ac:dyDescent="0.35">
      <c r="A327" s="15" t="s">
        <v>30</v>
      </c>
      <c r="C327" s="19"/>
      <c r="D327" s="35" t="str">
        <f t="shared" ref="D327" si="224">E327</f>
        <v>E100042</v>
      </c>
      <c r="E327" s="36" t="str">
        <f>"E100042"</f>
        <v>E100042</v>
      </c>
      <c r="F327" s="37" t="str">
        <f>"Soft Touch Travel Mug"</f>
        <v>Soft Touch Travel Mug</v>
      </c>
      <c r="G327" s="37"/>
      <c r="H327" s="38" t="str">
        <f>"EA"</f>
        <v>EA</v>
      </c>
      <c r="I327" s="37"/>
      <c r="J327" s="37"/>
      <c r="K327" s="37"/>
      <c r="L327" s="37"/>
      <c r="M327" s="37"/>
      <c r="N327" s="37"/>
      <c r="O327" s="39">
        <f>(SUBTOTAL(9,O328:O329))</f>
        <v>499.99999999999994</v>
      </c>
      <c r="P327" s="39">
        <f>(SUBTOTAL(9,P328:P329))</f>
        <v>0</v>
      </c>
      <c r="Q327" s="39">
        <f>(SUBTOTAL(9,Q328:Q329))</f>
        <v>0</v>
      </c>
      <c r="R327" s="39">
        <f>(SUBTOTAL(9,R328:R329))</f>
        <v>0</v>
      </c>
      <c r="S327" s="39">
        <f>(SUBTOTAL(9,S328:S329))</f>
        <v>0</v>
      </c>
      <c r="T327" s="39">
        <f>(SUBTOTAL(9,T328:T329))</f>
        <v>0</v>
      </c>
      <c r="U327" s="55">
        <f t="shared" ref="U327" si="225">SUBTOTAL(9,O328:T329)</f>
        <v>499.99999999999994</v>
      </c>
    </row>
    <row r="328" spans="1:21" ht="17.25" customHeight="1" x14ac:dyDescent="0.3">
      <c r="A328" s="15" t="s">
        <v>30</v>
      </c>
      <c r="C328" s="19"/>
      <c r="D328" s="33" t="str">
        <f t="shared" ref="D328" si="226">D327</f>
        <v>E100042</v>
      </c>
      <c r="E328" s="33"/>
      <c r="F328" s="34"/>
      <c r="G328" s="34" t="str">
        <f>"""NAV Direct"",""CRONUS JetCorp USA"",""32"",""1"",""168607"""</f>
        <v>"NAV Direct","CRONUS JetCorp USA","32","1","168607"</v>
      </c>
      <c r="H328" s="40">
        <v>43466</v>
      </c>
      <c r="I328" s="41">
        <v>168607</v>
      </c>
      <c r="J328" s="42" t="str">
        <f>"Vendor"</f>
        <v>Vendor</v>
      </c>
      <c r="K328" s="42" t="str">
        <f>"V100025"</f>
        <v>V100025</v>
      </c>
      <c r="L328" s="42" t="str">
        <f>IF($J328="Customer",_xll.NL("first",$J328,"Name","No.","@@"&amp;$K328),"")</f>
        <v/>
      </c>
      <c r="M328" s="42" t="str">
        <f>"Club Euroamis"</f>
        <v>Club Euroamis</v>
      </c>
      <c r="N328" s="42" t="str">
        <f>IF($J328="Item",_xll.NL("first",$J328,"Description","No.","@@"&amp;$K328),"")</f>
        <v/>
      </c>
      <c r="O328" s="43">
        <v>499.99999999999994</v>
      </c>
      <c r="P328" s="43">
        <v>0</v>
      </c>
      <c r="Q328" s="43">
        <v>0</v>
      </c>
      <c r="R328" s="43">
        <v>0</v>
      </c>
      <c r="S328" s="43">
        <v>0</v>
      </c>
      <c r="T328" s="43">
        <v>0</v>
      </c>
      <c r="U328" s="56"/>
    </row>
    <row r="329" spans="1:21" ht="17.25" customHeight="1" x14ac:dyDescent="0.3">
      <c r="A329" s="15" t="s">
        <v>30</v>
      </c>
      <c r="C329" s="19"/>
      <c r="D329" s="33"/>
      <c r="E329" s="33"/>
      <c r="F329" s="34"/>
      <c r="G329" s="34"/>
      <c r="H329" s="34"/>
      <c r="I329" s="34"/>
      <c r="J329" s="34"/>
      <c r="K329" s="34"/>
      <c r="L329" s="34"/>
      <c r="M329" s="34"/>
      <c r="N329" s="34"/>
      <c r="O329" s="44"/>
      <c r="P329" s="44"/>
      <c r="Q329" s="44"/>
      <c r="R329" s="44"/>
      <c r="S329" s="44"/>
      <c r="T329" s="44"/>
      <c r="U329" s="57"/>
    </row>
    <row r="330" spans="1:21" ht="17.25" customHeight="1" x14ac:dyDescent="0.3">
      <c r="A330" s="15" t="s">
        <v>30</v>
      </c>
      <c r="C330" s="19"/>
      <c r="D330" s="33"/>
      <c r="E330" s="33" t="s">
        <v>31</v>
      </c>
      <c r="F330" s="34" t="s">
        <v>31</v>
      </c>
      <c r="G330" s="34" t="s">
        <v>31</v>
      </c>
      <c r="H330" s="34"/>
      <c r="I330" s="34"/>
      <c r="J330" s="34" t="s">
        <v>31</v>
      </c>
      <c r="K330" s="34" t="s">
        <v>31</v>
      </c>
      <c r="L330" s="34" t="s">
        <v>31</v>
      </c>
      <c r="M330" s="34" t="s">
        <v>31</v>
      </c>
      <c r="N330" s="34"/>
      <c r="U330" s="58"/>
    </row>
    <row r="331" spans="1:21" ht="20.25" customHeight="1" x14ac:dyDescent="0.35">
      <c r="A331" s="15" t="s">
        <v>30</v>
      </c>
      <c r="C331" s="19"/>
      <c r="D331" s="35" t="str">
        <f t="shared" ref="D331" si="227">E331</f>
        <v>E100043</v>
      </c>
      <c r="E331" s="36" t="str">
        <f>"E100043"</f>
        <v>E100043</v>
      </c>
      <c r="F331" s="37" t="str">
        <f>"Pub Glass"</f>
        <v>Pub Glass</v>
      </c>
      <c r="G331" s="37"/>
      <c r="H331" s="38" t="str">
        <f>"EA"</f>
        <v>EA</v>
      </c>
      <c r="I331" s="37"/>
      <c r="J331" s="37"/>
      <c r="K331" s="37"/>
      <c r="L331" s="37"/>
      <c r="M331" s="37"/>
      <c r="N331" s="37"/>
      <c r="O331" s="39">
        <f>(SUBTOTAL(9,O332:O333))</f>
        <v>249.99999999999997</v>
      </c>
      <c r="P331" s="39">
        <f>(SUBTOTAL(9,P332:P333))</f>
        <v>0</v>
      </c>
      <c r="Q331" s="39">
        <f>(SUBTOTAL(9,Q332:Q333))</f>
        <v>0</v>
      </c>
      <c r="R331" s="39">
        <f>(SUBTOTAL(9,R332:R333))</f>
        <v>0</v>
      </c>
      <c r="S331" s="39">
        <f>(SUBTOTAL(9,S332:S333))</f>
        <v>0</v>
      </c>
      <c r="T331" s="39">
        <f>(SUBTOTAL(9,T332:T333))</f>
        <v>0</v>
      </c>
      <c r="U331" s="55">
        <f t="shared" ref="U331" si="228">SUBTOTAL(9,O332:T333)</f>
        <v>249.99999999999997</v>
      </c>
    </row>
    <row r="332" spans="1:21" ht="17.25" customHeight="1" x14ac:dyDescent="0.3">
      <c r="A332" s="15" t="s">
        <v>30</v>
      </c>
      <c r="C332" s="19"/>
      <c r="D332" s="33" t="str">
        <f t="shared" ref="D332" si="229">D331</f>
        <v>E100043</v>
      </c>
      <c r="E332" s="33"/>
      <c r="F332" s="34"/>
      <c r="G332" s="34" t="str">
        <f>"""NAV Direct"",""CRONUS JetCorp USA"",""32"",""1"",""168606"""</f>
        <v>"NAV Direct","CRONUS JetCorp USA","32","1","168606"</v>
      </c>
      <c r="H332" s="40">
        <v>43466</v>
      </c>
      <c r="I332" s="41">
        <v>168606</v>
      </c>
      <c r="J332" s="42" t="str">
        <f>"Vendor"</f>
        <v>Vendor</v>
      </c>
      <c r="K332" s="42" t="str">
        <f>"V100025"</f>
        <v>V100025</v>
      </c>
      <c r="L332" s="42" t="str">
        <f>IF($J332="Customer",_xll.NL("first",$J332,"Name","No.","@@"&amp;$K332),"")</f>
        <v/>
      </c>
      <c r="M332" s="42" t="str">
        <f>"Club Euroamis"</f>
        <v>Club Euroamis</v>
      </c>
      <c r="N332" s="42" t="str">
        <f>IF($J332="Item",_xll.NL("first",$J332,"Description","No.","@@"&amp;$K332),"")</f>
        <v/>
      </c>
      <c r="O332" s="43">
        <v>249.99999999999997</v>
      </c>
      <c r="P332" s="43">
        <v>0</v>
      </c>
      <c r="Q332" s="43">
        <v>0</v>
      </c>
      <c r="R332" s="43">
        <v>0</v>
      </c>
      <c r="S332" s="43">
        <v>0</v>
      </c>
      <c r="T332" s="43">
        <v>0</v>
      </c>
      <c r="U332" s="56"/>
    </row>
    <row r="333" spans="1:21" ht="17.25" customHeight="1" x14ac:dyDescent="0.3">
      <c r="A333" s="15" t="s">
        <v>30</v>
      </c>
      <c r="C333" s="19"/>
      <c r="D333" s="33"/>
      <c r="E333" s="33"/>
      <c r="F333" s="34"/>
      <c r="G333" s="34"/>
      <c r="H333" s="34"/>
      <c r="I333" s="34"/>
      <c r="J333" s="34"/>
      <c r="K333" s="34"/>
      <c r="L333" s="34"/>
      <c r="M333" s="34"/>
      <c r="N333" s="34"/>
      <c r="O333" s="44"/>
      <c r="P333" s="44"/>
      <c r="Q333" s="44"/>
      <c r="R333" s="44"/>
      <c r="S333" s="44"/>
      <c r="T333" s="44"/>
      <c r="U333" s="57"/>
    </row>
    <row r="334" spans="1:21" ht="17.25" customHeight="1" x14ac:dyDescent="0.3">
      <c r="A334" s="15" t="s">
        <v>30</v>
      </c>
      <c r="C334" s="19"/>
      <c r="D334" s="33"/>
      <c r="E334" s="33" t="s">
        <v>31</v>
      </c>
      <c r="F334" s="34" t="s">
        <v>31</v>
      </c>
      <c r="G334" s="34" t="s">
        <v>31</v>
      </c>
      <c r="H334" s="34"/>
      <c r="I334" s="34"/>
      <c r="J334" s="34" t="s">
        <v>31</v>
      </c>
      <c r="K334" s="34" t="s">
        <v>31</v>
      </c>
      <c r="L334" s="34" t="s">
        <v>31</v>
      </c>
      <c r="M334" s="34" t="s">
        <v>31</v>
      </c>
      <c r="N334" s="34"/>
      <c r="U334" s="58"/>
    </row>
    <row r="335" spans="1:21" ht="20.25" customHeight="1" x14ac:dyDescent="0.35">
      <c r="A335" s="15" t="s">
        <v>30</v>
      </c>
      <c r="C335" s="19"/>
      <c r="D335" s="35" t="str">
        <f t="shared" ref="D335" si="230">E335</f>
        <v>E100044</v>
      </c>
      <c r="E335" s="36" t="str">
        <f>"E100044"</f>
        <v>E100044</v>
      </c>
      <c r="F335" s="37" t="str">
        <f>"Juice Glass"</f>
        <v>Juice Glass</v>
      </c>
      <c r="G335" s="37"/>
      <c r="H335" s="38" t="str">
        <f>"EA"</f>
        <v>EA</v>
      </c>
      <c r="I335" s="37"/>
      <c r="J335" s="37"/>
      <c r="K335" s="37"/>
      <c r="L335" s="37"/>
      <c r="M335" s="37"/>
      <c r="N335" s="37"/>
      <c r="O335" s="39">
        <f>(SUBTOTAL(9,O336:O337))</f>
        <v>0</v>
      </c>
      <c r="P335" s="39">
        <f>(SUBTOTAL(9,P336:P337))</f>
        <v>1</v>
      </c>
      <c r="Q335" s="39">
        <f>(SUBTOTAL(9,Q336:Q337))</f>
        <v>0</v>
      </c>
      <c r="R335" s="39">
        <f>(SUBTOTAL(9,R336:R337))</f>
        <v>0</v>
      </c>
      <c r="S335" s="39">
        <f>(SUBTOTAL(9,S336:S337))</f>
        <v>0</v>
      </c>
      <c r="T335" s="39">
        <f>(SUBTOTAL(9,T336:T337))</f>
        <v>0</v>
      </c>
      <c r="U335" s="55">
        <f t="shared" ref="U335" si="231">SUBTOTAL(9,O336:T337)</f>
        <v>1</v>
      </c>
    </row>
    <row r="336" spans="1:21" ht="17.25" customHeight="1" x14ac:dyDescent="0.3">
      <c r="A336" s="15" t="s">
        <v>30</v>
      </c>
      <c r="C336" s="19"/>
      <c r="D336" s="33" t="str">
        <f t="shared" ref="D336" si="232">D335</f>
        <v>E100044</v>
      </c>
      <c r="E336" s="33"/>
      <c r="F336" s="34"/>
      <c r="G336" s="34" t="str">
        <f>"""NAV Direct"",""CRONUS JetCorp USA"",""32"",""1"",""159987"""</f>
        <v>"NAV Direct","CRONUS JetCorp USA","32","1","159987"</v>
      </c>
      <c r="H336" s="40">
        <v>43475</v>
      </c>
      <c r="I336" s="41">
        <v>159987</v>
      </c>
      <c r="J336" s="42" t="str">
        <f>"Customer"</f>
        <v>Customer</v>
      </c>
      <c r="K336" s="42" t="str">
        <f>"C100058"</f>
        <v>C100058</v>
      </c>
      <c r="L336" s="42" t="str">
        <f>IF($J336="Customer",_xll.NL("first",$J336,"Name","No.","@@"&amp;$K336),"")</f>
        <v>Marsholm Karmstol</v>
      </c>
      <c r="M336" s="42" t="str">
        <f>""</f>
        <v/>
      </c>
      <c r="N336" s="42" t="str">
        <f>IF($J336="Item",_xll.NL("first",$J336,"Description","No.","@@"&amp;$K336),"")</f>
        <v/>
      </c>
      <c r="O336" s="43">
        <v>0</v>
      </c>
      <c r="P336" s="43">
        <v>1</v>
      </c>
      <c r="Q336" s="43">
        <v>0</v>
      </c>
      <c r="R336" s="43">
        <v>0</v>
      </c>
      <c r="S336" s="43">
        <v>0</v>
      </c>
      <c r="T336" s="43">
        <v>0</v>
      </c>
      <c r="U336" s="56"/>
    </row>
    <row r="337" spans="1:21" ht="17.25" customHeight="1" x14ac:dyDescent="0.3">
      <c r="A337" s="15" t="s">
        <v>30</v>
      </c>
      <c r="C337" s="19"/>
      <c r="D337" s="33"/>
      <c r="E337" s="33"/>
      <c r="F337" s="34"/>
      <c r="G337" s="34"/>
      <c r="H337" s="34"/>
      <c r="I337" s="34"/>
      <c r="J337" s="34"/>
      <c r="K337" s="34"/>
      <c r="L337" s="34"/>
      <c r="M337" s="34"/>
      <c r="N337" s="34"/>
      <c r="O337" s="44"/>
      <c r="P337" s="44"/>
      <c r="Q337" s="44"/>
      <c r="R337" s="44"/>
      <c r="S337" s="44"/>
      <c r="T337" s="44"/>
      <c r="U337" s="57"/>
    </row>
    <row r="338" spans="1:21" ht="17.25" customHeight="1" x14ac:dyDescent="0.3">
      <c r="A338" s="15" t="s">
        <v>30</v>
      </c>
      <c r="C338" s="19"/>
      <c r="D338" s="33"/>
      <c r="E338" s="33" t="s">
        <v>31</v>
      </c>
      <c r="F338" s="34" t="s">
        <v>31</v>
      </c>
      <c r="G338" s="34" t="s">
        <v>31</v>
      </c>
      <c r="H338" s="34"/>
      <c r="I338" s="34"/>
      <c r="J338" s="34" t="s">
        <v>31</v>
      </c>
      <c r="K338" s="34" t="s">
        <v>31</v>
      </c>
      <c r="L338" s="34" t="s">
        <v>31</v>
      </c>
      <c r="M338" s="34" t="s">
        <v>31</v>
      </c>
      <c r="N338" s="34"/>
      <c r="U338" s="58"/>
    </row>
    <row r="339" spans="1:21" ht="20.25" customHeight="1" x14ac:dyDescent="0.35">
      <c r="A339" s="15" t="s">
        <v>30</v>
      </c>
      <c r="C339" s="19"/>
      <c r="D339" s="35" t="str">
        <f t="shared" ref="D339" si="233">E339</f>
        <v>E100045</v>
      </c>
      <c r="E339" s="36" t="str">
        <f>"E100045"</f>
        <v>E100045</v>
      </c>
      <c r="F339" s="37" t="str">
        <f>"Flute"</f>
        <v>Flute</v>
      </c>
      <c r="G339" s="37"/>
      <c r="H339" s="38" t="str">
        <f>"EA"</f>
        <v>EA</v>
      </c>
      <c r="I339" s="37"/>
      <c r="J339" s="37"/>
      <c r="K339" s="37"/>
      <c r="L339" s="37"/>
      <c r="M339" s="37"/>
      <c r="N339" s="37"/>
      <c r="O339" s="39">
        <f>(SUBTOTAL(9,O340:O341))</f>
        <v>249.99999999999997</v>
      </c>
      <c r="P339" s="39">
        <f>(SUBTOTAL(9,P340:P341))</f>
        <v>0</v>
      </c>
      <c r="Q339" s="39">
        <f>(SUBTOTAL(9,Q340:Q341))</f>
        <v>0</v>
      </c>
      <c r="R339" s="39">
        <f>(SUBTOTAL(9,R340:R341))</f>
        <v>0</v>
      </c>
      <c r="S339" s="39">
        <f>(SUBTOTAL(9,S340:S341))</f>
        <v>0</v>
      </c>
      <c r="T339" s="39">
        <f>(SUBTOTAL(9,T340:T341))</f>
        <v>0</v>
      </c>
      <c r="U339" s="55">
        <f t="shared" ref="U339" si="234">SUBTOTAL(9,O340:T341)</f>
        <v>249.99999999999997</v>
      </c>
    </row>
    <row r="340" spans="1:21" ht="17.25" customHeight="1" x14ac:dyDescent="0.3">
      <c r="A340" s="15" t="s">
        <v>30</v>
      </c>
      <c r="C340" s="19"/>
      <c r="D340" s="33" t="str">
        <f t="shared" ref="D340" si="235">D339</f>
        <v>E100045</v>
      </c>
      <c r="E340" s="33"/>
      <c r="F340" s="34"/>
      <c r="G340" s="34" t="str">
        <f>"""NAV Direct"",""CRONUS JetCorp USA"",""32"",""1"",""168605"""</f>
        <v>"NAV Direct","CRONUS JetCorp USA","32","1","168605"</v>
      </c>
      <c r="H340" s="40">
        <v>43466</v>
      </c>
      <c r="I340" s="41">
        <v>168605</v>
      </c>
      <c r="J340" s="42" t="str">
        <f>"Vendor"</f>
        <v>Vendor</v>
      </c>
      <c r="K340" s="42" t="str">
        <f>"V100025"</f>
        <v>V100025</v>
      </c>
      <c r="L340" s="42" t="str">
        <f>IF($J340="Customer",_xll.NL("first",$J340,"Name","No.","@@"&amp;$K340),"")</f>
        <v/>
      </c>
      <c r="M340" s="42" t="str">
        <f>"Club Euroamis"</f>
        <v>Club Euroamis</v>
      </c>
      <c r="N340" s="42" t="str">
        <f>IF($J340="Item",_xll.NL("first",$J340,"Description","No.","@@"&amp;$K340),"")</f>
        <v/>
      </c>
      <c r="O340" s="43">
        <v>249.99999999999997</v>
      </c>
      <c r="P340" s="43">
        <v>0</v>
      </c>
      <c r="Q340" s="43">
        <v>0</v>
      </c>
      <c r="R340" s="43">
        <v>0</v>
      </c>
      <c r="S340" s="43">
        <v>0</v>
      </c>
      <c r="T340" s="43">
        <v>0</v>
      </c>
      <c r="U340" s="56"/>
    </row>
    <row r="341" spans="1:21" ht="17.25" customHeight="1" x14ac:dyDescent="0.3">
      <c r="A341" s="15" t="s">
        <v>30</v>
      </c>
      <c r="C341" s="19"/>
      <c r="D341" s="33"/>
      <c r="E341" s="33"/>
      <c r="F341" s="34"/>
      <c r="G341" s="34"/>
      <c r="H341" s="34"/>
      <c r="I341" s="34"/>
      <c r="J341" s="34"/>
      <c r="K341" s="34"/>
      <c r="L341" s="34"/>
      <c r="M341" s="34"/>
      <c r="N341" s="34"/>
      <c r="O341" s="44"/>
      <c r="P341" s="44"/>
      <c r="Q341" s="44"/>
      <c r="R341" s="44"/>
      <c r="S341" s="44"/>
      <c r="T341" s="44"/>
      <c r="U341" s="57"/>
    </row>
    <row r="342" spans="1:21" ht="17.25" customHeight="1" x14ac:dyDescent="0.3">
      <c r="A342" s="15" t="s">
        <v>30</v>
      </c>
      <c r="C342" s="19"/>
      <c r="D342" s="33"/>
      <c r="E342" s="33" t="s">
        <v>31</v>
      </c>
      <c r="F342" s="34" t="s">
        <v>31</v>
      </c>
      <c r="G342" s="34" t="s">
        <v>31</v>
      </c>
      <c r="H342" s="34"/>
      <c r="I342" s="34"/>
      <c r="J342" s="34" t="s">
        <v>31</v>
      </c>
      <c r="K342" s="34" t="s">
        <v>31</v>
      </c>
      <c r="L342" s="34" t="s">
        <v>31</v>
      </c>
      <c r="M342" s="34" t="s">
        <v>31</v>
      </c>
      <c r="N342" s="34"/>
      <c r="U342" s="58"/>
    </row>
    <row r="343" spans="1:21" ht="20.25" customHeight="1" x14ac:dyDescent="0.35">
      <c r="A343" s="15" t="s">
        <v>30</v>
      </c>
      <c r="C343" s="19"/>
      <c r="D343" s="35" t="str">
        <f t="shared" ref="D343" si="236">E343</f>
        <v>E100046</v>
      </c>
      <c r="E343" s="36" t="str">
        <f>"E100046"</f>
        <v>E100046</v>
      </c>
      <c r="F343" s="37" t="str">
        <f>"Milk Bottle"</f>
        <v>Milk Bottle</v>
      </c>
      <c r="G343" s="37"/>
      <c r="H343" s="38" t="str">
        <f>"EA"</f>
        <v>EA</v>
      </c>
      <c r="I343" s="37"/>
      <c r="J343" s="37"/>
      <c r="K343" s="37"/>
      <c r="L343" s="37"/>
      <c r="M343" s="37"/>
      <c r="N343" s="37"/>
      <c r="O343" s="39">
        <f>(SUBTOTAL(9,O344:O345))</f>
        <v>0</v>
      </c>
      <c r="P343" s="39">
        <f>(SUBTOTAL(9,P344:P345))</f>
        <v>-12</v>
      </c>
      <c r="Q343" s="39">
        <f>(SUBTOTAL(9,Q344:Q345))</f>
        <v>0</v>
      </c>
      <c r="R343" s="39">
        <f>(SUBTOTAL(9,R344:R345))</f>
        <v>0</v>
      </c>
      <c r="S343" s="39">
        <f>(SUBTOTAL(9,S344:S345))</f>
        <v>0</v>
      </c>
      <c r="T343" s="39">
        <f>(SUBTOTAL(9,T344:T345))</f>
        <v>0</v>
      </c>
      <c r="U343" s="55">
        <f t="shared" ref="U343" si="237">SUBTOTAL(9,O344:T345)</f>
        <v>-12</v>
      </c>
    </row>
    <row r="344" spans="1:21" ht="17.25" customHeight="1" x14ac:dyDescent="0.3">
      <c r="A344" s="15" t="s">
        <v>30</v>
      </c>
      <c r="C344" s="19"/>
      <c r="D344" s="33" t="str">
        <f t="shared" ref="D344" si="238">D343</f>
        <v>E100046</v>
      </c>
      <c r="E344" s="33"/>
      <c r="F344" s="34"/>
      <c r="G344" s="34" t="str">
        <f>"""NAV Direct"",""CRONUS JetCorp USA"",""32"",""1"",""78893"""</f>
        <v>"NAV Direct","CRONUS JetCorp USA","32","1","78893"</v>
      </c>
      <c r="H344" s="40">
        <v>43474</v>
      </c>
      <c r="I344" s="41">
        <v>78893</v>
      </c>
      <c r="J344" s="42" t="str">
        <f>"Customer"</f>
        <v>Customer</v>
      </c>
      <c r="K344" s="42" t="str">
        <f>"C100124"</f>
        <v>C100124</v>
      </c>
      <c r="L344" s="42" t="str">
        <f>IF($J344="Customer",_xll.NL("first",$J344,"Name","No.","@@"&amp;$K344),"")</f>
        <v>Ontocane Outdoors</v>
      </c>
      <c r="M344" s="42" t="str">
        <f>""</f>
        <v/>
      </c>
      <c r="N344" s="42" t="str">
        <f>IF($J344="Item",_xll.NL("first",$J344,"Description","No.","@@"&amp;$K344),"")</f>
        <v/>
      </c>
      <c r="O344" s="43">
        <v>0</v>
      </c>
      <c r="P344" s="43">
        <v>-12</v>
      </c>
      <c r="Q344" s="43">
        <v>0</v>
      </c>
      <c r="R344" s="43">
        <v>0</v>
      </c>
      <c r="S344" s="43">
        <v>0</v>
      </c>
      <c r="T344" s="43">
        <v>0</v>
      </c>
      <c r="U344" s="56"/>
    </row>
    <row r="345" spans="1:21" ht="17.25" customHeight="1" x14ac:dyDescent="0.3">
      <c r="A345" s="15" t="s">
        <v>30</v>
      </c>
      <c r="C345" s="19"/>
      <c r="D345" s="33"/>
      <c r="E345" s="33"/>
      <c r="F345" s="34"/>
      <c r="G345" s="34"/>
      <c r="H345" s="34"/>
      <c r="I345" s="34"/>
      <c r="J345" s="34"/>
      <c r="K345" s="34"/>
      <c r="L345" s="34"/>
      <c r="M345" s="34"/>
      <c r="N345" s="34"/>
      <c r="O345" s="44"/>
      <c r="P345" s="44"/>
      <c r="Q345" s="44"/>
      <c r="R345" s="44"/>
      <c r="S345" s="44"/>
      <c r="T345" s="44"/>
      <c r="U345" s="57"/>
    </row>
    <row r="346" spans="1:21" ht="17.25" customHeight="1" x14ac:dyDescent="0.3">
      <c r="A346" s="15" t="s">
        <v>30</v>
      </c>
      <c r="C346" s="19"/>
      <c r="D346" s="33"/>
      <c r="E346" s="33" t="s">
        <v>31</v>
      </c>
      <c r="F346" s="34" t="s">
        <v>31</v>
      </c>
      <c r="G346" s="34" t="s">
        <v>31</v>
      </c>
      <c r="H346" s="34"/>
      <c r="I346" s="34"/>
      <c r="J346" s="34" t="s">
        <v>31</v>
      </c>
      <c r="K346" s="34" t="s">
        <v>31</v>
      </c>
      <c r="L346" s="34" t="s">
        <v>31</v>
      </c>
      <c r="M346" s="34" t="s">
        <v>31</v>
      </c>
      <c r="N346" s="34"/>
      <c r="U346" s="58"/>
    </row>
    <row r="347" spans="1:21" ht="20.25" customHeight="1" x14ac:dyDescent="0.35">
      <c r="A347" s="15" t="s">
        <v>30</v>
      </c>
      <c r="C347" s="19"/>
      <c r="D347" s="35" t="str">
        <f t="shared" ref="D347" si="239">E347</f>
        <v>E100047</v>
      </c>
      <c r="E347" s="36" t="str">
        <f>"E100047"</f>
        <v>E100047</v>
      </c>
      <c r="F347" s="37" t="str">
        <f>"Chardonnay Glass"</f>
        <v>Chardonnay Glass</v>
      </c>
      <c r="G347" s="37"/>
      <c r="H347" s="38" t="str">
        <f>"EA"</f>
        <v>EA</v>
      </c>
      <c r="I347" s="37"/>
      <c r="J347" s="37"/>
      <c r="K347" s="37"/>
      <c r="L347" s="37"/>
      <c r="M347" s="37"/>
      <c r="N347" s="37"/>
      <c r="O347" s="39">
        <f>(SUBTOTAL(9,O348:O350))</f>
        <v>249.99999999999997</v>
      </c>
      <c r="P347" s="39">
        <f>(SUBTOTAL(9,P348:P350))</f>
        <v>-1</v>
      </c>
      <c r="Q347" s="39">
        <f>(SUBTOTAL(9,Q348:Q350))</f>
        <v>0</v>
      </c>
      <c r="R347" s="39">
        <f>(SUBTOTAL(9,R348:R350))</f>
        <v>0</v>
      </c>
      <c r="S347" s="39">
        <f>(SUBTOTAL(9,S348:S350))</f>
        <v>0</v>
      </c>
      <c r="T347" s="39">
        <f>(SUBTOTAL(9,T348:T350))</f>
        <v>0</v>
      </c>
      <c r="U347" s="55">
        <f t="shared" ref="U347" si="240">SUBTOTAL(9,O348:T350)</f>
        <v>248.99999999999997</v>
      </c>
    </row>
    <row r="348" spans="1:21" ht="17.25" customHeight="1" x14ac:dyDescent="0.3">
      <c r="A348" s="15" t="s">
        <v>30</v>
      </c>
      <c r="C348" s="19"/>
      <c r="D348" s="33" t="str">
        <f t="shared" ref="D348" si="241">D347</f>
        <v>E100047</v>
      </c>
      <c r="E348" s="33"/>
      <c r="F348" s="34"/>
      <c r="G348" s="34" t="str">
        <f>"""NAV Direct"",""CRONUS JetCorp USA"",""32"",""1"",""168604"""</f>
        <v>"NAV Direct","CRONUS JetCorp USA","32","1","168604"</v>
      </c>
      <c r="H348" s="40">
        <v>43466</v>
      </c>
      <c r="I348" s="41">
        <v>168604</v>
      </c>
      <c r="J348" s="42" t="str">
        <f>"Vendor"</f>
        <v>Vendor</v>
      </c>
      <c r="K348" s="42" t="str">
        <f>"V100025"</f>
        <v>V100025</v>
      </c>
      <c r="L348" s="42" t="str">
        <f>IF($J348="Customer",_xll.NL("first",$J348,"Name","No.","@@"&amp;$K348),"")</f>
        <v/>
      </c>
      <c r="M348" s="42" t="str">
        <f>"Club Euroamis"</f>
        <v>Club Euroamis</v>
      </c>
      <c r="N348" s="42" t="str">
        <f>IF($J348="Item",_xll.NL("first",$J348,"Description","No.","@@"&amp;$K348),"")</f>
        <v/>
      </c>
      <c r="O348" s="43">
        <v>249.99999999999997</v>
      </c>
      <c r="P348" s="43">
        <v>0</v>
      </c>
      <c r="Q348" s="43">
        <v>0</v>
      </c>
      <c r="R348" s="43">
        <v>0</v>
      </c>
      <c r="S348" s="43">
        <v>0</v>
      </c>
      <c r="T348" s="43">
        <v>0</v>
      </c>
      <c r="U348" s="56"/>
    </row>
    <row r="349" spans="1:21" ht="17.25" customHeight="1" x14ac:dyDescent="0.3">
      <c r="A349" s="15" t="s">
        <v>30</v>
      </c>
      <c r="C349" s="19"/>
      <c r="D349" s="33" t="str">
        <f t="shared" ref="D349" si="242">D348</f>
        <v>E100047</v>
      </c>
      <c r="E349" s="33"/>
      <c r="F349" s="34"/>
      <c r="G349" s="34" t="str">
        <f>"""NAV Direct"",""CRONUS JetCorp USA"",""32"",""1"",""78883"""</f>
        <v>"NAV Direct","CRONUS JetCorp USA","32","1","78883"</v>
      </c>
      <c r="H349" s="40">
        <v>43471</v>
      </c>
      <c r="I349" s="41">
        <v>78883</v>
      </c>
      <c r="J349" s="42" t="str">
        <f>"Customer"</f>
        <v>Customer</v>
      </c>
      <c r="K349" s="42" t="str">
        <f>"C100124"</f>
        <v>C100124</v>
      </c>
      <c r="L349" s="42" t="str">
        <f>IF($J349="Customer",_xll.NL("first",$J349,"Name","No.","@@"&amp;$K349),"")</f>
        <v>Ontocane Outdoors</v>
      </c>
      <c r="M349" s="42" t="str">
        <f>""</f>
        <v/>
      </c>
      <c r="N349" s="42" t="str">
        <f>IF($J349="Item",_xll.NL("first",$J349,"Description","No.","@@"&amp;$K349),"")</f>
        <v/>
      </c>
      <c r="O349" s="43">
        <v>0</v>
      </c>
      <c r="P349" s="43">
        <v>-1</v>
      </c>
      <c r="Q349" s="43">
        <v>0</v>
      </c>
      <c r="R349" s="43">
        <v>0</v>
      </c>
      <c r="S349" s="43">
        <v>0</v>
      </c>
      <c r="T349" s="43">
        <v>0</v>
      </c>
      <c r="U349" s="56"/>
    </row>
    <row r="350" spans="1:21" ht="17.25" customHeight="1" x14ac:dyDescent="0.3">
      <c r="A350" s="15" t="s">
        <v>30</v>
      </c>
      <c r="C350" s="19"/>
      <c r="D350" s="33"/>
      <c r="E350" s="33"/>
      <c r="F350" s="34"/>
      <c r="G350" s="34"/>
      <c r="H350" s="34"/>
      <c r="I350" s="34"/>
      <c r="J350" s="34"/>
      <c r="K350" s="34"/>
      <c r="L350" s="34"/>
      <c r="M350" s="34"/>
      <c r="N350" s="34"/>
      <c r="O350" s="44"/>
      <c r="P350" s="44"/>
      <c r="Q350" s="44"/>
      <c r="R350" s="44"/>
      <c r="S350" s="44"/>
      <c r="T350" s="44"/>
      <c r="U350" s="57"/>
    </row>
    <row r="351" spans="1:21" ht="17.25" customHeight="1" x14ac:dyDescent="0.3">
      <c r="A351" s="15" t="s">
        <v>30</v>
      </c>
      <c r="C351" s="19"/>
      <c r="D351" s="33"/>
      <c r="E351" s="33" t="s">
        <v>31</v>
      </c>
      <c r="F351" s="34" t="s">
        <v>31</v>
      </c>
      <c r="G351" s="34" t="s">
        <v>31</v>
      </c>
      <c r="H351" s="34"/>
      <c r="I351" s="34"/>
      <c r="J351" s="34" t="s">
        <v>31</v>
      </c>
      <c r="K351" s="34" t="s">
        <v>31</v>
      </c>
      <c r="L351" s="34" t="s">
        <v>31</v>
      </c>
      <c r="M351" s="34" t="s">
        <v>31</v>
      </c>
      <c r="N351" s="34"/>
      <c r="U351" s="58"/>
    </row>
    <row r="352" spans="1:21" ht="20.25" customHeight="1" x14ac:dyDescent="0.35">
      <c r="A352" s="15" t="s">
        <v>30</v>
      </c>
      <c r="C352" s="19"/>
      <c r="D352" s="35" t="str">
        <f t="shared" ref="D352" si="243">E352</f>
        <v>S100001</v>
      </c>
      <c r="E352" s="36" t="str">
        <f>"S100001"</f>
        <v>S100001</v>
      </c>
      <c r="F352" s="37" t="str">
        <f>"Basketball Graphic Plaque"</f>
        <v>Basketball Graphic Plaque</v>
      </c>
      <c r="G352" s="37"/>
      <c r="H352" s="38" t="str">
        <f>"EA"</f>
        <v>EA</v>
      </c>
      <c r="I352" s="37"/>
      <c r="J352" s="37"/>
      <c r="K352" s="37"/>
      <c r="L352" s="37"/>
      <c r="M352" s="37"/>
      <c r="N352" s="37"/>
      <c r="O352" s="39">
        <f>(SUBTOTAL(9,O353:O354))</f>
        <v>100</v>
      </c>
      <c r="P352" s="39">
        <f>(SUBTOTAL(9,P353:P354))</f>
        <v>0</v>
      </c>
      <c r="Q352" s="39">
        <f>(SUBTOTAL(9,Q353:Q354))</f>
        <v>0</v>
      </c>
      <c r="R352" s="39">
        <f>(SUBTOTAL(9,R353:R354))</f>
        <v>0</v>
      </c>
      <c r="S352" s="39">
        <f>(SUBTOTAL(9,S353:S354))</f>
        <v>0</v>
      </c>
      <c r="T352" s="39">
        <f>(SUBTOTAL(9,T353:T354))</f>
        <v>0</v>
      </c>
      <c r="U352" s="55">
        <f t="shared" ref="U352" si="244">SUBTOTAL(9,O353:T354)</f>
        <v>100</v>
      </c>
    </row>
    <row r="353" spans="1:21" ht="17.25" customHeight="1" x14ac:dyDescent="0.3">
      <c r="A353" s="15" t="s">
        <v>30</v>
      </c>
      <c r="C353" s="19"/>
      <c r="D353" s="33" t="str">
        <f t="shared" ref="D353" si="245">D352</f>
        <v>S100001</v>
      </c>
      <c r="E353" s="33"/>
      <c r="F353" s="34"/>
      <c r="G353" s="34" t="str">
        <f>"""NAV Direct"",""CRONUS JetCorp USA"",""32"",""1"",""166327"""</f>
        <v>"NAV Direct","CRONUS JetCorp USA","32","1","166327"</v>
      </c>
      <c r="H353" s="40">
        <v>43466</v>
      </c>
      <c r="I353" s="41">
        <v>166327</v>
      </c>
      <c r="J353" s="42" t="str">
        <f>"Vendor"</f>
        <v>Vendor</v>
      </c>
      <c r="K353" s="42" t="str">
        <f>"V100009"</f>
        <v>V100009</v>
      </c>
      <c r="L353" s="42" t="str">
        <f>IF($J353="Customer",_xll.NL("first",$J353,"Name","No.","@@"&amp;$K353),"")</f>
        <v/>
      </c>
      <c r="M353" s="42" t="str">
        <f>"Malay-Dan Export Unit Sdn Bhd"</f>
        <v>Malay-Dan Export Unit Sdn Bhd</v>
      </c>
      <c r="N353" s="42" t="str">
        <f>IF($J353="Item",_xll.NL("first",$J353,"Description","No.","@@"&amp;$K353),"")</f>
        <v/>
      </c>
      <c r="O353" s="43">
        <v>100</v>
      </c>
      <c r="P353" s="43">
        <v>0</v>
      </c>
      <c r="Q353" s="43">
        <v>0</v>
      </c>
      <c r="R353" s="43">
        <v>0</v>
      </c>
      <c r="S353" s="43">
        <v>0</v>
      </c>
      <c r="T353" s="43">
        <v>0</v>
      </c>
      <c r="U353" s="56"/>
    </row>
    <row r="354" spans="1:21" ht="17.25" customHeight="1" x14ac:dyDescent="0.3">
      <c r="A354" s="15" t="s">
        <v>30</v>
      </c>
      <c r="C354" s="19"/>
      <c r="D354" s="33"/>
      <c r="E354" s="33"/>
      <c r="F354" s="34"/>
      <c r="G354" s="34"/>
      <c r="H354" s="34"/>
      <c r="I354" s="34"/>
      <c r="J354" s="34"/>
      <c r="K354" s="34"/>
      <c r="L354" s="34"/>
      <c r="M354" s="34"/>
      <c r="N354" s="34"/>
      <c r="O354" s="44"/>
      <c r="P354" s="44"/>
      <c r="Q354" s="44"/>
      <c r="R354" s="44"/>
      <c r="S354" s="44"/>
      <c r="T354" s="44"/>
      <c r="U354" s="57"/>
    </row>
    <row r="355" spans="1:21" ht="17.25" customHeight="1" x14ac:dyDescent="0.3">
      <c r="A355" s="15" t="s">
        <v>30</v>
      </c>
      <c r="C355" s="19"/>
      <c r="D355" s="33"/>
      <c r="E355" s="33" t="s">
        <v>31</v>
      </c>
      <c r="F355" s="34" t="s">
        <v>31</v>
      </c>
      <c r="G355" s="34" t="s">
        <v>31</v>
      </c>
      <c r="H355" s="34"/>
      <c r="I355" s="34"/>
      <c r="J355" s="34" t="s">
        <v>31</v>
      </c>
      <c r="K355" s="34" t="s">
        <v>31</v>
      </c>
      <c r="L355" s="34" t="s">
        <v>31</v>
      </c>
      <c r="M355" s="34" t="s">
        <v>31</v>
      </c>
      <c r="N355" s="34"/>
      <c r="U355" s="58"/>
    </row>
    <row r="356" spans="1:21" ht="20.25" customHeight="1" x14ac:dyDescent="0.35">
      <c r="A356" s="15" t="s">
        <v>30</v>
      </c>
      <c r="C356" s="19"/>
      <c r="D356" s="35" t="str">
        <f t="shared" ref="D356" si="246">E356</f>
        <v>S100002</v>
      </c>
      <c r="E356" s="36" t="str">
        <f>"S100002"</f>
        <v>S100002</v>
      </c>
      <c r="F356" s="37" t="str">
        <f>"Football Graphic Plaque"</f>
        <v>Football Graphic Plaque</v>
      </c>
      <c r="G356" s="37"/>
      <c r="H356" s="38" t="str">
        <f>"EA"</f>
        <v>EA</v>
      </c>
      <c r="I356" s="37"/>
      <c r="J356" s="37"/>
      <c r="K356" s="37"/>
      <c r="L356" s="37"/>
      <c r="M356" s="37"/>
      <c r="N356" s="37"/>
      <c r="O356" s="39">
        <f>(SUBTOTAL(9,O357:O358))</f>
        <v>499.99999999999994</v>
      </c>
      <c r="P356" s="39">
        <f>(SUBTOTAL(9,P357:P358))</f>
        <v>0</v>
      </c>
      <c r="Q356" s="39">
        <f>(SUBTOTAL(9,Q357:Q358))</f>
        <v>0</v>
      </c>
      <c r="R356" s="39">
        <f>(SUBTOTAL(9,R357:R358))</f>
        <v>0</v>
      </c>
      <c r="S356" s="39">
        <f>(SUBTOTAL(9,S357:S358))</f>
        <v>0</v>
      </c>
      <c r="T356" s="39">
        <f>(SUBTOTAL(9,T357:T358))</f>
        <v>0</v>
      </c>
      <c r="U356" s="55">
        <f t="shared" ref="U356" si="247">SUBTOTAL(9,O357:T358)</f>
        <v>499.99999999999994</v>
      </c>
    </row>
    <row r="357" spans="1:21" ht="17.25" customHeight="1" x14ac:dyDescent="0.3">
      <c r="A357" s="15" t="s">
        <v>30</v>
      </c>
      <c r="C357" s="19"/>
      <c r="D357" s="33" t="str">
        <f t="shared" ref="D357" si="248">D356</f>
        <v>S100002</v>
      </c>
      <c r="E357" s="33"/>
      <c r="F357" s="34"/>
      <c r="G357" s="34" t="str">
        <f>"""NAV Direct"",""CRONUS JetCorp USA"",""32"",""1"",""166326"""</f>
        <v>"NAV Direct","CRONUS JetCorp USA","32","1","166326"</v>
      </c>
      <c r="H357" s="40">
        <v>43466</v>
      </c>
      <c r="I357" s="41">
        <v>166326</v>
      </c>
      <c r="J357" s="42" t="str">
        <f>"Vendor"</f>
        <v>Vendor</v>
      </c>
      <c r="K357" s="42" t="str">
        <f>"V100009"</f>
        <v>V100009</v>
      </c>
      <c r="L357" s="42" t="str">
        <f>IF($J357="Customer",_xll.NL("first",$J357,"Name","No.","@@"&amp;$K357),"")</f>
        <v/>
      </c>
      <c r="M357" s="42" t="str">
        <f>"Malay-Dan Export Unit Sdn Bhd"</f>
        <v>Malay-Dan Export Unit Sdn Bhd</v>
      </c>
      <c r="N357" s="42" t="str">
        <f>IF($J357="Item",_xll.NL("first",$J357,"Description","No.","@@"&amp;$K357),"")</f>
        <v/>
      </c>
      <c r="O357" s="43">
        <v>499.99999999999994</v>
      </c>
      <c r="P357" s="43">
        <v>0</v>
      </c>
      <c r="Q357" s="43">
        <v>0</v>
      </c>
      <c r="R357" s="43">
        <v>0</v>
      </c>
      <c r="S357" s="43">
        <v>0</v>
      </c>
      <c r="T357" s="43">
        <v>0</v>
      </c>
      <c r="U357" s="56"/>
    </row>
    <row r="358" spans="1:21" ht="17.25" customHeight="1" x14ac:dyDescent="0.3">
      <c r="A358" s="15" t="s">
        <v>30</v>
      </c>
      <c r="C358" s="19"/>
      <c r="D358" s="33"/>
      <c r="E358" s="33"/>
      <c r="F358" s="34"/>
      <c r="G358" s="34"/>
      <c r="H358" s="34"/>
      <c r="I358" s="34"/>
      <c r="J358" s="34"/>
      <c r="K358" s="34"/>
      <c r="L358" s="34"/>
      <c r="M358" s="34"/>
      <c r="N358" s="34"/>
      <c r="O358" s="44"/>
      <c r="P358" s="44"/>
      <c r="Q358" s="44"/>
      <c r="R358" s="44"/>
      <c r="S358" s="44"/>
      <c r="T358" s="44"/>
      <c r="U358" s="57"/>
    </row>
    <row r="359" spans="1:21" ht="17.25" customHeight="1" x14ac:dyDescent="0.3">
      <c r="A359" s="15" t="s">
        <v>30</v>
      </c>
      <c r="C359" s="19"/>
      <c r="D359" s="33"/>
      <c r="E359" s="33" t="s">
        <v>31</v>
      </c>
      <c r="F359" s="34" t="s">
        <v>31</v>
      </c>
      <c r="G359" s="34" t="s">
        <v>31</v>
      </c>
      <c r="H359" s="34"/>
      <c r="I359" s="34"/>
      <c r="J359" s="34" t="s">
        <v>31</v>
      </c>
      <c r="K359" s="34" t="s">
        <v>31</v>
      </c>
      <c r="L359" s="34" t="s">
        <v>31</v>
      </c>
      <c r="M359" s="34" t="s">
        <v>31</v>
      </c>
      <c r="N359" s="34"/>
      <c r="U359" s="58"/>
    </row>
    <row r="360" spans="1:21" ht="20.25" customHeight="1" x14ac:dyDescent="0.35">
      <c r="A360" s="15" t="s">
        <v>30</v>
      </c>
      <c r="C360" s="19"/>
      <c r="D360" s="35" t="str">
        <f t="shared" ref="D360" si="249">E360</f>
        <v>S100003</v>
      </c>
      <c r="E360" s="36" t="str">
        <f>"S100003"</f>
        <v>S100003</v>
      </c>
      <c r="F360" s="37" t="str">
        <f>"Soccer #1 Pin"</f>
        <v>Soccer #1 Pin</v>
      </c>
      <c r="G360" s="37"/>
      <c r="H360" s="38" t="str">
        <f>"EA"</f>
        <v>EA</v>
      </c>
      <c r="I360" s="37"/>
      <c r="J360" s="37"/>
      <c r="K360" s="37"/>
      <c r="L360" s="37"/>
      <c r="M360" s="37"/>
      <c r="N360" s="37"/>
      <c r="O360" s="39">
        <f>(SUBTOTAL(9,O361:O365))</f>
        <v>700</v>
      </c>
      <c r="P360" s="39">
        <f>(SUBTOTAL(9,P361:P365))</f>
        <v>-158</v>
      </c>
      <c r="Q360" s="39">
        <f>(SUBTOTAL(9,Q361:Q365))</f>
        <v>0</v>
      </c>
      <c r="R360" s="39">
        <f>(SUBTOTAL(9,R361:R365))</f>
        <v>0</v>
      </c>
      <c r="S360" s="39">
        <f>(SUBTOTAL(9,S361:S365))</f>
        <v>0</v>
      </c>
      <c r="T360" s="39">
        <f>(SUBTOTAL(9,T361:T365))</f>
        <v>0</v>
      </c>
      <c r="U360" s="55">
        <f t="shared" ref="U360" si="250">SUBTOTAL(9,O361:T365)</f>
        <v>542</v>
      </c>
    </row>
    <row r="361" spans="1:21" ht="17.25" customHeight="1" x14ac:dyDescent="0.3">
      <c r="A361" s="15" t="s">
        <v>30</v>
      </c>
      <c r="C361" s="19"/>
      <c r="D361" s="33" t="str">
        <f t="shared" ref="D361" si="251">D360</f>
        <v>S100003</v>
      </c>
      <c r="E361" s="33"/>
      <c r="F361" s="34"/>
      <c r="G361" s="34" t="str">
        <f>"""NAV Direct"",""CRONUS JetCorp USA"",""32"",""1"",""166325"""</f>
        <v>"NAV Direct","CRONUS JetCorp USA","32","1","166325"</v>
      </c>
      <c r="H361" s="40">
        <v>43466</v>
      </c>
      <c r="I361" s="41">
        <v>166325</v>
      </c>
      <c r="J361" s="42" t="str">
        <f>"Vendor"</f>
        <v>Vendor</v>
      </c>
      <c r="K361" s="42" t="str">
        <f>"V100009"</f>
        <v>V100009</v>
      </c>
      <c r="L361" s="42" t="str">
        <f>IF($J361="Customer",_xll.NL("first",$J361,"Name","No.","@@"&amp;$K361),"")</f>
        <v/>
      </c>
      <c r="M361" s="42" t="str">
        <f>"Malay-Dan Export Unit Sdn Bhd"</f>
        <v>Malay-Dan Export Unit Sdn Bhd</v>
      </c>
      <c r="N361" s="42" t="str">
        <f>IF($J361="Item",_xll.NL("first",$J361,"Description","No.","@@"&amp;$K361),"")</f>
        <v/>
      </c>
      <c r="O361" s="43">
        <v>700</v>
      </c>
      <c r="P361" s="43">
        <v>0</v>
      </c>
      <c r="Q361" s="43">
        <v>0</v>
      </c>
      <c r="R361" s="43">
        <v>0</v>
      </c>
      <c r="S361" s="43">
        <v>0</v>
      </c>
      <c r="T361" s="43">
        <v>0</v>
      </c>
      <c r="U361" s="56"/>
    </row>
    <row r="362" spans="1:21" ht="17.25" customHeight="1" x14ac:dyDescent="0.3">
      <c r="A362" s="15" t="s">
        <v>30</v>
      </c>
      <c r="C362" s="19"/>
      <c r="D362" s="33" t="str">
        <f t="shared" ref="D362:D364" si="252">D361</f>
        <v>S100003</v>
      </c>
      <c r="E362" s="33"/>
      <c r="F362" s="34"/>
      <c r="G362" s="34" t="str">
        <f>"""NAV Direct"",""CRONUS JetCorp USA"",""32"",""1"",""34326"""</f>
        <v>"NAV Direct","CRONUS JetCorp USA","32","1","34326"</v>
      </c>
      <c r="H362" s="40">
        <v>43470</v>
      </c>
      <c r="I362" s="41">
        <v>34326</v>
      </c>
      <c r="J362" s="42" t="str">
        <f>"Customer"</f>
        <v>Customer</v>
      </c>
      <c r="K362" s="42" t="str">
        <f>"C100050"</f>
        <v>C100050</v>
      </c>
      <c r="L362" s="42" t="str">
        <f>IF($J362="Customer",_xll.NL("first",$J362,"Name","No.","@@"&amp;$K362),"")</f>
        <v>Lauritzen Kontorm¢bler A/S</v>
      </c>
      <c r="M362" s="42" t="str">
        <f>""</f>
        <v/>
      </c>
      <c r="N362" s="42" t="str">
        <f>IF($J362="Item",_xll.NL("first",$J362,"Description","No.","@@"&amp;$K362),"")</f>
        <v/>
      </c>
      <c r="O362" s="43">
        <v>0</v>
      </c>
      <c r="P362" s="43">
        <v>-2</v>
      </c>
      <c r="Q362" s="43">
        <v>0</v>
      </c>
      <c r="R362" s="43">
        <v>0</v>
      </c>
      <c r="S362" s="43">
        <v>0</v>
      </c>
      <c r="T362" s="43">
        <v>0</v>
      </c>
      <c r="U362" s="56"/>
    </row>
    <row r="363" spans="1:21" ht="17.25" customHeight="1" x14ac:dyDescent="0.3">
      <c r="A363" s="15" t="s">
        <v>30</v>
      </c>
      <c r="C363" s="19"/>
      <c r="D363" s="33" t="str">
        <f t="shared" si="252"/>
        <v>S100003</v>
      </c>
      <c r="E363" s="33"/>
      <c r="F363" s="34"/>
      <c r="G363" s="34" t="str">
        <f>"""NAV Direct"",""CRONUS JetCorp USA"",""32"",""1"",""135820"""</f>
        <v>"NAV Direct","CRONUS JetCorp USA","32","1","135820"</v>
      </c>
      <c r="H363" s="40">
        <v>43474</v>
      </c>
      <c r="I363" s="41">
        <v>135820</v>
      </c>
      <c r="J363" s="42" t="str">
        <f>"Customer"</f>
        <v>Customer</v>
      </c>
      <c r="K363" s="42" t="str">
        <f>"C100050"</f>
        <v>C100050</v>
      </c>
      <c r="L363" s="42" t="str">
        <f>IF($J363="Customer",_xll.NL("first",$J363,"Name","No.","@@"&amp;$K363),"")</f>
        <v>Lauritzen Kontorm¢bler A/S</v>
      </c>
      <c r="M363" s="42" t="str">
        <f>""</f>
        <v/>
      </c>
      <c r="N363" s="42" t="str">
        <f>IF($J363="Item",_xll.NL("first",$J363,"Description","No.","@@"&amp;$K363),"")</f>
        <v/>
      </c>
      <c r="O363" s="43">
        <v>0</v>
      </c>
      <c r="P363" s="43">
        <v>-12</v>
      </c>
      <c r="Q363" s="43">
        <v>0</v>
      </c>
      <c r="R363" s="43">
        <v>0</v>
      </c>
      <c r="S363" s="43">
        <v>0</v>
      </c>
      <c r="T363" s="43">
        <v>0</v>
      </c>
      <c r="U363" s="56"/>
    </row>
    <row r="364" spans="1:21" ht="17.25" customHeight="1" x14ac:dyDescent="0.3">
      <c r="A364" s="15" t="s">
        <v>30</v>
      </c>
      <c r="C364" s="19"/>
      <c r="D364" s="33" t="str">
        <f t="shared" si="252"/>
        <v>S100003</v>
      </c>
      <c r="E364" s="33"/>
      <c r="F364" s="34"/>
      <c r="G364" s="34" t="str">
        <f>"""NAV Direct"",""CRONUS JetCorp USA"",""32"",""1"",""138731"""</f>
        <v>"NAV Direct","CRONUS JetCorp USA","32","1","138731"</v>
      </c>
      <c r="H364" s="40">
        <v>43477</v>
      </c>
      <c r="I364" s="41">
        <v>138731</v>
      </c>
      <c r="J364" s="42" t="str">
        <f>"Customer"</f>
        <v>Customer</v>
      </c>
      <c r="K364" s="42" t="str">
        <f>"C100021"</f>
        <v>C100021</v>
      </c>
      <c r="L364" s="42" t="str">
        <f>IF($J364="Customer",_xll.NL("first",$J364,"Name","No.","@@"&amp;$K364),"")</f>
        <v>Cronus Cardoxy Sales</v>
      </c>
      <c r="M364" s="42" t="str">
        <f>""</f>
        <v/>
      </c>
      <c r="N364" s="42" t="str">
        <f>IF($J364="Item",_xll.NL("first",$J364,"Description","No.","@@"&amp;$K364),"")</f>
        <v/>
      </c>
      <c r="O364" s="43">
        <v>0</v>
      </c>
      <c r="P364" s="43">
        <v>-144</v>
      </c>
      <c r="Q364" s="43">
        <v>0</v>
      </c>
      <c r="R364" s="43">
        <v>0</v>
      </c>
      <c r="S364" s="43">
        <v>0</v>
      </c>
      <c r="T364" s="43">
        <v>0</v>
      </c>
      <c r="U364" s="56"/>
    </row>
    <row r="365" spans="1:21" ht="17.25" customHeight="1" x14ac:dyDescent="0.3">
      <c r="A365" s="15" t="s">
        <v>30</v>
      </c>
      <c r="C365" s="19"/>
      <c r="D365" s="33"/>
      <c r="E365" s="33"/>
      <c r="F365" s="34"/>
      <c r="G365" s="34"/>
      <c r="H365" s="34"/>
      <c r="I365" s="34"/>
      <c r="J365" s="34"/>
      <c r="K365" s="34"/>
      <c r="L365" s="34"/>
      <c r="M365" s="34"/>
      <c r="N365" s="34"/>
      <c r="O365" s="44"/>
      <c r="P365" s="44"/>
      <c r="Q365" s="44"/>
      <c r="R365" s="44"/>
      <c r="S365" s="44"/>
      <c r="T365" s="44"/>
      <c r="U365" s="57"/>
    </row>
    <row r="366" spans="1:21" ht="17.25" customHeight="1" x14ac:dyDescent="0.3">
      <c r="A366" s="15" t="s">
        <v>30</v>
      </c>
      <c r="C366" s="19"/>
      <c r="D366" s="33"/>
      <c r="E366" s="33" t="s">
        <v>31</v>
      </c>
      <c r="F366" s="34" t="s">
        <v>31</v>
      </c>
      <c r="G366" s="34" t="s">
        <v>31</v>
      </c>
      <c r="H366" s="34"/>
      <c r="I366" s="34"/>
      <c r="J366" s="34" t="s">
        <v>31</v>
      </c>
      <c r="K366" s="34" t="s">
        <v>31</v>
      </c>
      <c r="L366" s="34" t="s">
        <v>31</v>
      </c>
      <c r="M366" s="34" t="s">
        <v>31</v>
      </c>
      <c r="N366" s="34"/>
      <c r="U366" s="58"/>
    </row>
    <row r="367" spans="1:21" ht="20.25" customHeight="1" x14ac:dyDescent="0.35">
      <c r="A367" s="15" t="s">
        <v>30</v>
      </c>
      <c r="C367" s="19"/>
      <c r="D367" s="35" t="str">
        <f t="shared" ref="D367" si="253">E367</f>
        <v>S100004</v>
      </c>
      <c r="E367" s="36" t="str">
        <f>"S100004"</f>
        <v>S100004</v>
      </c>
      <c r="F367" s="37" t="str">
        <f>"Award Medallian - 2''"</f>
        <v>Award Medallian - 2''</v>
      </c>
      <c r="G367" s="37"/>
      <c r="H367" s="38" t="str">
        <f>"EA"</f>
        <v>EA</v>
      </c>
      <c r="I367" s="37"/>
      <c r="J367" s="37"/>
      <c r="K367" s="37"/>
      <c r="L367" s="37"/>
      <c r="M367" s="37"/>
      <c r="N367" s="37"/>
      <c r="O367" s="39">
        <f>(SUBTOTAL(9,O368:O369))</f>
        <v>200</v>
      </c>
      <c r="P367" s="39">
        <f>(SUBTOTAL(9,P368:P369))</f>
        <v>0</v>
      </c>
      <c r="Q367" s="39">
        <f>(SUBTOTAL(9,Q368:Q369))</f>
        <v>0</v>
      </c>
      <c r="R367" s="39">
        <f>(SUBTOTAL(9,R368:R369))</f>
        <v>0</v>
      </c>
      <c r="S367" s="39">
        <f>(SUBTOTAL(9,S368:S369))</f>
        <v>0</v>
      </c>
      <c r="T367" s="39">
        <f>(SUBTOTAL(9,T368:T369))</f>
        <v>0</v>
      </c>
      <c r="U367" s="55">
        <f t="shared" ref="U367" si="254">SUBTOTAL(9,O368:T369)</f>
        <v>200</v>
      </c>
    </row>
    <row r="368" spans="1:21" ht="17.25" customHeight="1" x14ac:dyDescent="0.3">
      <c r="A368" s="15" t="s">
        <v>30</v>
      </c>
      <c r="C368" s="19"/>
      <c r="D368" s="33" t="str">
        <f t="shared" ref="D368" si="255">D367</f>
        <v>S100004</v>
      </c>
      <c r="E368" s="33"/>
      <c r="F368" s="34"/>
      <c r="G368" s="34" t="str">
        <f>"""NAV Direct"",""CRONUS JetCorp USA"",""32"",""1"",""166324"""</f>
        <v>"NAV Direct","CRONUS JetCorp USA","32","1","166324"</v>
      </c>
      <c r="H368" s="40">
        <v>43466</v>
      </c>
      <c r="I368" s="41">
        <v>166324</v>
      </c>
      <c r="J368" s="42" t="str">
        <f>"Vendor"</f>
        <v>Vendor</v>
      </c>
      <c r="K368" s="42" t="str">
        <f>"V100009"</f>
        <v>V100009</v>
      </c>
      <c r="L368" s="42" t="str">
        <f>IF($J368="Customer",_xll.NL("first",$J368,"Name","No.","@@"&amp;$K368),"")</f>
        <v/>
      </c>
      <c r="M368" s="42" t="str">
        <f>"Malay-Dan Export Unit Sdn Bhd"</f>
        <v>Malay-Dan Export Unit Sdn Bhd</v>
      </c>
      <c r="N368" s="42" t="str">
        <f>IF($J368="Item",_xll.NL("first",$J368,"Description","No.","@@"&amp;$K368),"")</f>
        <v/>
      </c>
      <c r="O368" s="43">
        <v>200</v>
      </c>
      <c r="P368" s="43">
        <v>0</v>
      </c>
      <c r="Q368" s="43">
        <v>0</v>
      </c>
      <c r="R368" s="43">
        <v>0</v>
      </c>
      <c r="S368" s="43">
        <v>0</v>
      </c>
      <c r="T368" s="43">
        <v>0</v>
      </c>
      <c r="U368" s="56"/>
    </row>
    <row r="369" spans="1:21" ht="17.25" customHeight="1" x14ac:dyDescent="0.3">
      <c r="A369" s="15" t="s">
        <v>30</v>
      </c>
      <c r="C369" s="19"/>
      <c r="D369" s="33"/>
      <c r="E369" s="33"/>
      <c r="F369" s="34"/>
      <c r="G369" s="34"/>
      <c r="H369" s="34"/>
      <c r="I369" s="34"/>
      <c r="J369" s="34"/>
      <c r="K369" s="34"/>
      <c r="L369" s="34"/>
      <c r="M369" s="34"/>
      <c r="N369" s="34"/>
      <c r="O369" s="44"/>
      <c r="P369" s="44"/>
      <c r="Q369" s="44"/>
      <c r="R369" s="44"/>
      <c r="S369" s="44"/>
      <c r="T369" s="44"/>
      <c r="U369" s="57"/>
    </row>
    <row r="370" spans="1:21" ht="17.25" customHeight="1" x14ac:dyDescent="0.3">
      <c r="A370" s="15" t="s">
        <v>30</v>
      </c>
      <c r="C370" s="19"/>
      <c r="D370" s="33"/>
      <c r="E370" s="33" t="s">
        <v>31</v>
      </c>
      <c r="F370" s="34" t="s">
        <v>31</v>
      </c>
      <c r="G370" s="34" t="s">
        <v>31</v>
      </c>
      <c r="H370" s="34"/>
      <c r="I370" s="34"/>
      <c r="J370" s="34" t="s">
        <v>31</v>
      </c>
      <c r="K370" s="34" t="s">
        <v>31</v>
      </c>
      <c r="L370" s="34" t="s">
        <v>31</v>
      </c>
      <c r="M370" s="34" t="s">
        <v>31</v>
      </c>
      <c r="N370" s="34"/>
      <c r="U370" s="58"/>
    </row>
    <row r="371" spans="1:21" ht="20.25" customHeight="1" x14ac:dyDescent="0.35">
      <c r="A371" s="15" t="s">
        <v>30</v>
      </c>
      <c r="C371" s="19"/>
      <c r="D371" s="35" t="str">
        <f t="shared" ref="D371" si="256">E371</f>
        <v>S100006</v>
      </c>
      <c r="E371" s="36" t="str">
        <f>"S100006"</f>
        <v>S100006</v>
      </c>
      <c r="F371" s="37" t="str">
        <f>"Award Medallian - 3''"</f>
        <v>Award Medallian - 3''</v>
      </c>
      <c r="G371" s="37"/>
      <c r="H371" s="38" t="str">
        <f>"EA"</f>
        <v>EA</v>
      </c>
      <c r="I371" s="37"/>
      <c r="J371" s="37"/>
      <c r="K371" s="37"/>
      <c r="L371" s="37"/>
      <c r="M371" s="37"/>
      <c r="N371" s="37"/>
      <c r="O371" s="39">
        <f>(SUBTOTAL(9,O372:O373))</f>
        <v>400</v>
      </c>
      <c r="P371" s="39">
        <f>(SUBTOTAL(9,P372:P373))</f>
        <v>0</v>
      </c>
      <c r="Q371" s="39">
        <f>(SUBTOTAL(9,Q372:Q373))</f>
        <v>0</v>
      </c>
      <c r="R371" s="39">
        <f>(SUBTOTAL(9,R372:R373))</f>
        <v>0</v>
      </c>
      <c r="S371" s="39">
        <f>(SUBTOTAL(9,S372:S373))</f>
        <v>0</v>
      </c>
      <c r="T371" s="39">
        <f>(SUBTOTAL(9,T372:T373))</f>
        <v>0</v>
      </c>
      <c r="U371" s="55">
        <f t="shared" ref="U371" si="257">SUBTOTAL(9,O372:T373)</f>
        <v>400</v>
      </c>
    </row>
    <row r="372" spans="1:21" ht="17.25" customHeight="1" x14ac:dyDescent="0.3">
      <c r="A372" s="15" t="s">
        <v>30</v>
      </c>
      <c r="C372" s="19"/>
      <c r="D372" s="33" t="str">
        <f t="shared" ref="D372" si="258">D371</f>
        <v>S100006</v>
      </c>
      <c r="E372" s="33"/>
      <c r="F372" s="34"/>
      <c r="G372" s="34" t="str">
        <f>"""NAV Direct"",""CRONUS JetCorp USA"",""32"",""1"",""166323"""</f>
        <v>"NAV Direct","CRONUS JetCorp USA","32","1","166323"</v>
      </c>
      <c r="H372" s="40">
        <v>43466</v>
      </c>
      <c r="I372" s="41">
        <v>166323</v>
      </c>
      <c r="J372" s="42" t="str">
        <f>"Vendor"</f>
        <v>Vendor</v>
      </c>
      <c r="K372" s="42" t="str">
        <f>"V100009"</f>
        <v>V100009</v>
      </c>
      <c r="L372" s="42" t="str">
        <f>IF($J372="Customer",_xll.NL("first",$J372,"Name","No.","@@"&amp;$K372),"")</f>
        <v/>
      </c>
      <c r="M372" s="42" t="str">
        <f>"Malay-Dan Export Unit Sdn Bhd"</f>
        <v>Malay-Dan Export Unit Sdn Bhd</v>
      </c>
      <c r="N372" s="42" t="str">
        <f>IF($J372="Item",_xll.NL("first",$J372,"Description","No.","@@"&amp;$K372),"")</f>
        <v/>
      </c>
      <c r="O372" s="43">
        <v>400</v>
      </c>
      <c r="P372" s="43">
        <v>0</v>
      </c>
      <c r="Q372" s="43">
        <v>0</v>
      </c>
      <c r="R372" s="43">
        <v>0</v>
      </c>
      <c r="S372" s="43">
        <v>0</v>
      </c>
      <c r="T372" s="43">
        <v>0</v>
      </c>
      <c r="U372" s="56"/>
    </row>
    <row r="373" spans="1:21" ht="17.25" customHeight="1" x14ac:dyDescent="0.3">
      <c r="A373" s="15" t="s">
        <v>30</v>
      </c>
      <c r="C373" s="19"/>
      <c r="D373" s="33"/>
      <c r="E373" s="33"/>
      <c r="F373" s="34"/>
      <c r="G373" s="34"/>
      <c r="H373" s="34"/>
      <c r="I373" s="34"/>
      <c r="J373" s="34"/>
      <c r="K373" s="34"/>
      <c r="L373" s="34"/>
      <c r="M373" s="34"/>
      <c r="N373" s="34"/>
      <c r="O373" s="44"/>
      <c r="P373" s="44"/>
      <c r="Q373" s="44"/>
      <c r="R373" s="44"/>
      <c r="S373" s="44"/>
      <c r="T373" s="44"/>
      <c r="U373" s="57"/>
    </row>
    <row r="374" spans="1:21" ht="17.25" customHeight="1" x14ac:dyDescent="0.3">
      <c r="A374" s="15" t="s">
        <v>30</v>
      </c>
      <c r="C374" s="19"/>
      <c r="D374" s="33"/>
      <c r="E374" s="33" t="s">
        <v>31</v>
      </c>
      <c r="F374" s="34" t="s">
        <v>31</v>
      </c>
      <c r="G374" s="34" t="s">
        <v>31</v>
      </c>
      <c r="H374" s="34"/>
      <c r="I374" s="34"/>
      <c r="J374" s="34" t="s">
        <v>31</v>
      </c>
      <c r="K374" s="34" t="s">
        <v>31</v>
      </c>
      <c r="L374" s="34" t="s">
        <v>31</v>
      </c>
      <c r="M374" s="34" t="s">
        <v>31</v>
      </c>
      <c r="N374" s="34"/>
      <c r="U374" s="58"/>
    </row>
    <row r="375" spans="1:21" ht="20.25" customHeight="1" x14ac:dyDescent="0.35">
      <c r="A375" s="15" t="s">
        <v>30</v>
      </c>
      <c r="C375" s="19"/>
      <c r="D375" s="35" t="str">
        <f t="shared" ref="D375" si="259">E375</f>
        <v>S100007</v>
      </c>
      <c r="E375" s="36" t="str">
        <f>"S100007"</f>
        <v>S100007</v>
      </c>
      <c r="F375" s="37" t="str">
        <f>"Baseball Figure Trophy"</f>
        <v>Baseball Figure Trophy</v>
      </c>
      <c r="G375" s="37"/>
      <c r="H375" s="38" t="str">
        <f>"EA"</f>
        <v>EA</v>
      </c>
      <c r="I375" s="37"/>
      <c r="J375" s="37"/>
      <c r="K375" s="37"/>
      <c r="L375" s="37"/>
      <c r="M375" s="37"/>
      <c r="N375" s="37"/>
      <c r="O375" s="39">
        <f>(SUBTOTAL(9,O376:O377))</f>
        <v>300</v>
      </c>
      <c r="P375" s="39">
        <f>(SUBTOTAL(9,P376:P377))</f>
        <v>0</v>
      </c>
      <c r="Q375" s="39">
        <f>(SUBTOTAL(9,Q376:Q377))</f>
        <v>0</v>
      </c>
      <c r="R375" s="39">
        <f>(SUBTOTAL(9,R376:R377))</f>
        <v>0</v>
      </c>
      <c r="S375" s="39">
        <f>(SUBTOTAL(9,S376:S377))</f>
        <v>0</v>
      </c>
      <c r="T375" s="39">
        <f>(SUBTOTAL(9,T376:T377))</f>
        <v>0</v>
      </c>
      <c r="U375" s="55">
        <f t="shared" ref="U375" si="260">SUBTOTAL(9,O376:T377)</f>
        <v>300</v>
      </c>
    </row>
    <row r="376" spans="1:21" ht="17.25" customHeight="1" x14ac:dyDescent="0.3">
      <c r="A376" s="15" t="s">
        <v>30</v>
      </c>
      <c r="C376" s="19"/>
      <c r="D376" s="33" t="str">
        <f t="shared" ref="D376" si="261">D375</f>
        <v>S100007</v>
      </c>
      <c r="E376" s="33"/>
      <c r="F376" s="34"/>
      <c r="G376" s="34" t="str">
        <f>"""NAV Direct"",""CRONUS JetCorp USA"",""32"",""1"",""166322"""</f>
        <v>"NAV Direct","CRONUS JetCorp USA","32","1","166322"</v>
      </c>
      <c r="H376" s="40">
        <v>43466</v>
      </c>
      <c r="I376" s="41">
        <v>166322</v>
      </c>
      <c r="J376" s="42" t="str">
        <f>"Vendor"</f>
        <v>Vendor</v>
      </c>
      <c r="K376" s="42" t="str">
        <f>"V100009"</f>
        <v>V100009</v>
      </c>
      <c r="L376" s="42" t="str">
        <f>IF($J376="Customer",_xll.NL("first",$J376,"Name","No.","@@"&amp;$K376),"")</f>
        <v/>
      </c>
      <c r="M376" s="42" t="str">
        <f>"Malay-Dan Export Unit Sdn Bhd"</f>
        <v>Malay-Dan Export Unit Sdn Bhd</v>
      </c>
      <c r="N376" s="42" t="str">
        <f>IF($J376="Item",_xll.NL("first",$J376,"Description","No.","@@"&amp;$K376),"")</f>
        <v/>
      </c>
      <c r="O376" s="43">
        <v>300</v>
      </c>
      <c r="P376" s="43">
        <v>0</v>
      </c>
      <c r="Q376" s="43">
        <v>0</v>
      </c>
      <c r="R376" s="43">
        <v>0</v>
      </c>
      <c r="S376" s="43">
        <v>0</v>
      </c>
      <c r="T376" s="43">
        <v>0</v>
      </c>
      <c r="U376" s="56"/>
    </row>
    <row r="377" spans="1:21" ht="17.25" customHeight="1" x14ac:dyDescent="0.3">
      <c r="A377" s="15" t="s">
        <v>30</v>
      </c>
      <c r="C377" s="19"/>
      <c r="D377" s="33"/>
      <c r="E377" s="33"/>
      <c r="F377" s="34"/>
      <c r="G377" s="34"/>
      <c r="H377" s="34"/>
      <c r="I377" s="34"/>
      <c r="J377" s="34"/>
      <c r="K377" s="34"/>
      <c r="L377" s="34"/>
      <c r="M377" s="34"/>
      <c r="N377" s="34"/>
      <c r="O377" s="44"/>
      <c r="P377" s="44"/>
      <c r="Q377" s="44"/>
      <c r="R377" s="44"/>
      <c r="S377" s="44"/>
      <c r="T377" s="44"/>
      <c r="U377" s="57"/>
    </row>
    <row r="378" spans="1:21" ht="17.25" customHeight="1" x14ac:dyDescent="0.3">
      <c r="A378" s="15" t="s">
        <v>30</v>
      </c>
      <c r="C378" s="19"/>
      <c r="D378" s="33"/>
      <c r="E378" s="33" t="s">
        <v>31</v>
      </c>
      <c r="F378" s="34" t="s">
        <v>31</v>
      </c>
      <c r="G378" s="34" t="s">
        <v>31</v>
      </c>
      <c r="H378" s="34"/>
      <c r="I378" s="34"/>
      <c r="J378" s="34" t="s">
        <v>31</v>
      </c>
      <c r="K378" s="34" t="s">
        <v>31</v>
      </c>
      <c r="L378" s="34" t="s">
        <v>31</v>
      </c>
      <c r="M378" s="34" t="s">
        <v>31</v>
      </c>
      <c r="N378" s="34"/>
      <c r="U378" s="58"/>
    </row>
    <row r="379" spans="1:21" ht="20.25" customHeight="1" x14ac:dyDescent="0.35">
      <c r="A379" s="15" t="s">
        <v>30</v>
      </c>
      <c r="C379" s="19"/>
      <c r="D379" s="35" t="str">
        <f t="shared" ref="D379" si="262">E379</f>
        <v>S100008</v>
      </c>
      <c r="E379" s="36" t="str">
        <f>"S100008"</f>
        <v>S100008</v>
      </c>
      <c r="F379" s="37" t="str">
        <f>"Soccer Figure Trophy"</f>
        <v>Soccer Figure Trophy</v>
      </c>
      <c r="G379" s="37"/>
      <c r="H379" s="38" t="str">
        <f>"EA"</f>
        <v>EA</v>
      </c>
      <c r="I379" s="37"/>
      <c r="J379" s="37"/>
      <c r="K379" s="37"/>
      <c r="L379" s="37"/>
      <c r="M379" s="37"/>
      <c r="N379" s="37"/>
      <c r="O379" s="39">
        <f>(SUBTOTAL(9,O380:O381))</f>
        <v>0</v>
      </c>
      <c r="P379" s="39">
        <f>(SUBTOTAL(9,P380:P381))</f>
        <v>-1</v>
      </c>
      <c r="Q379" s="39">
        <f>(SUBTOTAL(9,Q380:Q381))</f>
        <v>0</v>
      </c>
      <c r="R379" s="39">
        <f>(SUBTOTAL(9,R380:R381))</f>
        <v>0</v>
      </c>
      <c r="S379" s="39">
        <f>(SUBTOTAL(9,S380:S381))</f>
        <v>0</v>
      </c>
      <c r="T379" s="39">
        <f>(SUBTOTAL(9,T380:T381))</f>
        <v>0</v>
      </c>
      <c r="U379" s="55">
        <f t="shared" ref="U379" si="263">SUBTOTAL(9,O380:T381)</f>
        <v>-1</v>
      </c>
    </row>
    <row r="380" spans="1:21" ht="17.25" customHeight="1" x14ac:dyDescent="0.3">
      <c r="A380" s="15" t="s">
        <v>30</v>
      </c>
      <c r="C380" s="19"/>
      <c r="D380" s="33" t="str">
        <f t="shared" ref="D380" si="264">D379</f>
        <v>S100008</v>
      </c>
      <c r="E380" s="33"/>
      <c r="F380" s="34"/>
      <c r="G380" s="34" t="str">
        <f>"""NAV Direct"",""CRONUS JetCorp USA"",""32"",""1"",""132517"""</f>
        <v>"NAV Direct","CRONUS JetCorp USA","32","1","132517"</v>
      </c>
      <c r="H380" s="40">
        <v>43470</v>
      </c>
      <c r="I380" s="41">
        <v>132517</v>
      </c>
      <c r="J380" s="42" t="str">
        <f>"Customer"</f>
        <v>Customer</v>
      </c>
      <c r="K380" s="42" t="str">
        <f>"C100029"</f>
        <v>C100029</v>
      </c>
      <c r="L380" s="42" t="str">
        <f>IF($J380="Customer",_xll.NL("first",$J380,"Name","No.","@@"&amp;$K380),"")</f>
        <v>Elkhorn Airport</v>
      </c>
      <c r="M380" s="42" t="str">
        <f>""</f>
        <v/>
      </c>
      <c r="N380" s="42" t="str">
        <f>IF($J380="Item",_xll.NL("first",$J380,"Description","No.","@@"&amp;$K380),"")</f>
        <v/>
      </c>
      <c r="O380" s="43">
        <v>0</v>
      </c>
      <c r="P380" s="43">
        <v>-1</v>
      </c>
      <c r="Q380" s="43">
        <v>0</v>
      </c>
      <c r="R380" s="43">
        <v>0</v>
      </c>
      <c r="S380" s="43">
        <v>0</v>
      </c>
      <c r="T380" s="43">
        <v>0</v>
      </c>
      <c r="U380" s="56"/>
    </row>
    <row r="381" spans="1:21" ht="17.25" customHeight="1" x14ac:dyDescent="0.3">
      <c r="A381" s="15" t="s">
        <v>30</v>
      </c>
      <c r="C381" s="19"/>
      <c r="D381" s="33"/>
      <c r="E381" s="33"/>
      <c r="F381" s="34"/>
      <c r="G381" s="34"/>
      <c r="H381" s="34"/>
      <c r="I381" s="34"/>
      <c r="J381" s="34"/>
      <c r="K381" s="34"/>
      <c r="L381" s="34"/>
      <c r="M381" s="34"/>
      <c r="N381" s="34"/>
      <c r="O381" s="44"/>
      <c r="P381" s="44"/>
      <c r="Q381" s="44"/>
      <c r="R381" s="44"/>
      <c r="S381" s="44"/>
      <c r="T381" s="44"/>
      <c r="U381" s="57"/>
    </row>
    <row r="382" spans="1:21" ht="17.25" customHeight="1" x14ac:dyDescent="0.3">
      <c r="A382" s="15" t="s">
        <v>30</v>
      </c>
      <c r="C382" s="19"/>
      <c r="D382" s="33"/>
      <c r="E382" s="33" t="s">
        <v>31</v>
      </c>
      <c r="F382" s="34" t="s">
        <v>31</v>
      </c>
      <c r="G382" s="34" t="s">
        <v>31</v>
      </c>
      <c r="H382" s="34"/>
      <c r="I382" s="34"/>
      <c r="J382" s="34" t="s">
        <v>31</v>
      </c>
      <c r="K382" s="34" t="s">
        <v>31</v>
      </c>
      <c r="L382" s="34" t="s">
        <v>31</v>
      </c>
      <c r="M382" s="34" t="s">
        <v>31</v>
      </c>
      <c r="N382" s="34"/>
      <c r="U382" s="58"/>
    </row>
    <row r="383" spans="1:21" ht="20.25" customHeight="1" x14ac:dyDescent="0.35">
      <c r="A383" s="15" t="s">
        <v>30</v>
      </c>
      <c r="C383" s="19"/>
      <c r="D383" s="35" t="str">
        <f t="shared" ref="D383" si="265">E383</f>
        <v>S100009</v>
      </c>
      <c r="E383" s="36" t="str">
        <f>"S100009"</f>
        <v>S100009</v>
      </c>
      <c r="F383" s="37" t="str">
        <f>"Engraved Basketball Award"</f>
        <v>Engraved Basketball Award</v>
      </c>
      <c r="G383" s="37"/>
      <c r="H383" s="38" t="str">
        <f>"EA"</f>
        <v>EA</v>
      </c>
      <c r="I383" s="37"/>
      <c r="J383" s="37"/>
      <c r="K383" s="37"/>
      <c r="L383" s="37"/>
      <c r="M383" s="37"/>
      <c r="N383" s="37"/>
      <c r="O383" s="39">
        <f>(SUBTOTAL(9,O384:O385))</f>
        <v>400</v>
      </c>
      <c r="P383" s="39">
        <f>(SUBTOTAL(9,P384:P385))</f>
        <v>0</v>
      </c>
      <c r="Q383" s="39">
        <f>(SUBTOTAL(9,Q384:Q385))</f>
        <v>0</v>
      </c>
      <c r="R383" s="39">
        <f>(SUBTOTAL(9,R384:R385))</f>
        <v>0</v>
      </c>
      <c r="S383" s="39">
        <f>(SUBTOTAL(9,S384:S385))</f>
        <v>0</v>
      </c>
      <c r="T383" s="39">
        <f>(SUBTOTAL(9,T384:T385))</f>
        <v>0</v>
      </c>
      <c r="U383" s="55">
        <f t="shared" ref="U383" si="266">SUBTOTAL(9,O384:T385)</f>
        <v>400</v>
      </c>
    </row>
    <row r="384" spans="1:21" ht="17.25" customHeight="1" x14ac:dyDescent="0.3">
      <c r="A384" s="15" t="s">
        <v>30</v>
      </c>
      <c r="C384" s="19"/>
      <c r="D384" s="33" t="str">
        <f t="shared" ref="D384" si="267">D383</f>
        <v>S100009</v>
      </c>
      <c r="E384" s="33"/>
      <c r="F384" s="34"/>
      <c r="G384" s="34" t="str">
        <f>"""NAV Direct"",""CRONUS JetCorp USA"",""32"",""1"",""166321"""</f>
        <v>"NAV Direct","CRONUS JetCorp USA","32","1","166321"</v>
      </c>
      <c r="H384" s="40">
        <v>43466</v>
      </c>
      <c r="I384" s="41">
        <v>166321</v>
      </c>
      <c r="J384" s="42" t="str">
        <f>"Vendor"</f>
        <v>Vendor</v>
      </c>
      <c r="K384" s="42" t="str">
        <f>"V100009"</f>
        <v>V100009</v>
      </c>
      <c r="L384" s="42" t="str">
        <f>IF($J384="Customer",_xll.NL("first",$J384,"Name","No.","@@"&amp;$K384),"")</f>
        <v/>
      </c>
      <c r="M384" s="42" t="str">
        <f>"Malay-Dan Export Unit Sdn Bhd"</f>
        <v>Malay-Dan Export Unit Sdn Bhd</v>
      </c>
      <c r="N384" s="42" t="str">
        <f>IF($J384="Item",_xll.NL("first",$J384,"Description","No.","@@"&amp;$K384),"")</f>
        <v/>
      </c>
      <c r="O384" s="43">
        <v>400</v>
      </c>
      <c r="P384" s="43">
        <v>0</v>
      </c>
      <c r="Q384" s="43">
        <v>0</v>
      </c>
      <c r="R384" s="43">
        <v>0</v>
      </c>
      <c r="S384" s="43">
        <v>0</v>
      </c>
      <c r="T384" s="43">
        <v>0</v>
      </c>
      <c r="U384" s="56"/>
    </row>
    <row r="385" spans="1:21" ht="17.25" customHeight="1" x14ac:dyDescent="0.3">
      <c r="A385" s="15" t="s">
        <v>30</v>
      </c>
      <c r="C385" s="19"/>
      <c r="D385" s="33"/>
      <c r="E385" s="33"/>
      <c r="F385" s="34"/>
      <c r="G385" s="34"/>
      <c r="H385" s="34"/>
      <c r="I385" s="34"/>
      <c r="J385" s="34"/>
      <c r="K385" s="34"/>
      <c r="L385" s="34"/>
      <c r="M385" s="34"/>
      <c r="N385" s="34"/>
      <c r="O385" s="44"/>
      <c r="P385" s="44"/>
      <c r="Q385" s="44"/>
      <c r="R385" s="44"/>
      <c r="S385" s="44"/>
      <c r="T385" s="44"/>
      <c r="U385" s="57"/>
    </row>
    <row r="386" spans="1:21" ht="17.25" customHeight="1" x14ac:dyDescent="0.3">
      <c r="A386" s="15" t="s">
        <v>30</v>
      </c>
      <c r="C386" s="19"/>
      <c r="D386" s="33"/>
      <c r="E386" s="33" t="s">
        <v>31</v>
      </c>
      <c r="F386" s="34" t="s">
        <v>31</v>
      </c>
      <c r="G386" s="34" t="s">
        <v>31</v>
      </c>
      <c r="H386" s="34"/>
      <c r="I386" s="34"/>
      <c r="J386" s="34" t="s">
        <v>31</v>
      </c>
      <c r="K386" s="34" t="s">
        <v>31</v>
      </c>
      <c r="L386" s="34" t="s">
        <v>31</v>
      </c>
      <c r="M386" s="34" t="s">
        <v>31</v>
      </c>
      <c r="N386" s="34"/>
      <c r="U386" s="58"/>
    </row>
    <row r="387" spans="1:21" ht="20.25" customHeight="1" x14ac:dyDescent="0.35">
      <c r="A387" s="15" t="s">
        <v>30</v>
      </c>
      <c r="C387" s="19"/>
      <c r="D387" s="35" t="str">
        <f t="shared" ref="D387" si="268">E387</f>
        <v>S100010</v>
      </c>
      <c r="E387" s="36" t="str">
        <f>"S100010"</f>
        <v>S100010</v>
      </c>
      <c r="F387" s="37" t="str">
        <f>"Golf Relaxed Cap"</f>
        <v>Golf Relaxed Cap</v>
      </c>
      <c r="G387" s="37"/>
      <c r="H387" s="38" t="str">
        <f>"EA"</f>
        <v>EA</v>
      </c>
      <c r="I387" s="37"/>
      <c r="J387" s="37"/>
      <c r="K387" s="37"/>
      <c r="L387" s="37"/>
      <c r="M387" s="37"/>
      <c r="N387" s="37"/>
      <c r="O387" s="39">
        <f>(SUBTOTAL(9,O388:O391))</f>
        <v>400</v>
      </c>
      <c r="P387" s="39">
        <f>(SUBTOTAL(9,P388:P391))</f>
        <v>-168</v>
      </c>
      <c r="Q387" s="39">
        <f>(SUBTOTAL(9,Q388:Q391))</f>
        <v>0</v>
      </c>
      <c r="R387" s="39">
        <f>(SUBTOTAL(9,R388:R391))</f>
        <v>0</v>
      </c>
      <c r="S387" s="39">
        <f>(SUBTOTAL(9,S388:S391))</f>
        <v>0</v>
      </c>
      <c r="T387" s="39">
        <f>(SUBTOTAL(9,T388:T391))</f>
        <v>0</v>
      </c>
      <c r="U387" s="55">
        <f t="shared" ref="U387" si="269">SUBTOTAL(9,O388:T391)</f>
        <v>232</v>
      </c>
    </row>
    <row r="388" spans="1:21" ht="17.25" customHeight="1" x14ac:dyDescent="0.3">
      <c r="A388" s="15" t="s">
        <v>30</v>
      </c>
      <c r="C388" s="19"/>
      <c r="D388" s="33" t="str">
        <f t="shared" ref="D388" si="270">D387</f>
        <v>S100010</v>
      </c>
      <c r="E388" s="33"/>
      <c r="F388" s="34"/>
      <c r="G388" s="34" t="str">
        <f>"""NAV Direct"",""CRONUS JetCorp USA"",""32"",""1"",""167079"""</f>
        <v>"NAV Direct","CRONUS JetCorp USA","32","1","167079"</v>
      </c>
      <c r="H388" s="40">
        <v>43466</v>
      </c>
      <c r="I388" s="41">
        <v>167079</v>
      </c>
      <c r="J388" s="42" t="str">
        <f>"Vendor"</f>
        <v>Vendor</v>
      </c>
      <c r="K388" s="42" t="str">
        <f>"V100009"</f>
        <v>V100009</v>
      </c>
      <c r="L388" s="42" t="str">
        <f>IF($J388="Customer",_xll.NL("first",$J388,"Name","No.","@@"&amp;$K388),"")</f>
        <v/>
      </c>
      <c r="M388" s="42" t="str">
        <f>"Malay-Dan Export Unit Sdn Bhd"</f>
        <v>Malay-Dan Export Unit Sdn Bhd</v>
      </c>
      <c r="N388" s="42" t="str">
        <f>IF($J388="Item",_xll.NL("first",$J388,"Description","No.","@@"&amp;$K388),"")</f>
        <v/>
      </c>
      <c r="O388" s="43">
        <v>400</v>
      </c>
      <c r="P388" s="43">
        <v>0</v>
      </c>
      <c r="Q388" s="43">
        <v>0</v>
      </c>
      <c r="R388" s="43">
        <v>0</v>
      </c>
      <c r="S388" s="43">
        <v>0</v>
      </c>
      <c r="T388" s="43">
        <v>0</v>
      </c>
      <c r="U388" s="56"/>
    </row>
    <row r="389" spans="1:21" ht="17.25" customHeight="1" x14ac:dyDescent="0.3">
      <c r="A389" s="15" t="s">
        <v>30</v>
      </c>
      <c r="C389" s="19"/>
      <c r="D389" s="33" t="str">
        <f t="shared" ref="D389:D390" si="271">D388</f>
        <v>S100010</v>
      </c>
      <c r="E389" s="33"/>
      <c r="F389" s="34"/>
      <c r="G389" s="34" t="str">
        <f>"""NAV Direct"",""CRONUS JetCorp USA"",""32"",""1"",""34320"""</f>
        <v>"NAV Direct","CRONUS JetCorp USA","32","1","34320"</v>
      </c>
      <c r="H389" s="40">
        <v>43470</v>
      </c>
      <c r="I389" s="41">
        <v>34320</v>
      </c>
      <c r="J389" s="42" t="str">
        <f>"Customer"</f>
        <v>Customer</v>
      </c>
      <c r="K389" s="42" t="str">
        <f>"C100050"</f>
        <v>C100050</v>
      </c>
      <c r="L389" s="42" t="str">
        <f>IF($J389="Customer",_xll.NL("first",$J389,"Name","No.","@@"&amp;$K389),"")</f>
        <v>Lauritzen Kontorm¢bler A/S</v>
      </c>
      <c r="M389" s="42" t="str">
        <f>""</f>
        <v/>
      </c>
      <c r="N389" s="42" t="str">
        <f>IF($J389="Item",_xll.NL("first",$J389,"Description","No.","@@"&amp;$K389),"")</f>
        <v/>
      </c>
      <c r="O389" s="43">
        <v>0</v>
      </c>
      <c r="P389" s="43">
        <v>-144</v>
      </c>
      <c r="Q389" s="43">
        <v>0</v>
      </c>
      <c r="R389" s="43">
        <v>0</v>
      </c>
      <c r="S389" s="43">
        <v>0</v>
      </c>
      <c r="T389" s="43">
        <v>0</v>
      </c>
      <c r="U389" s="56"/>
    </row>
    <row r="390" spans="1:21" ht="17.25" customHeight="1" x14ac:dyDescent="0.3">
      <c r="A390" s="15" t="s">
        <v>30</v>
      </c>
      <c r="C390" s="19"/>
      <c r="D390" s="33" t="str">
        <f t="shared" si="271"/>
        <v>S100010</v>
      </c>
      <c r="E390" s="33"/>
      <c r="F390" s="34"/>
      <c r="G390" s="34" t="str">
        <f>"""NAV Direct"",""CRONUS JetCorp USA"",""32"",""1"",""132515"""</f>
        <v>"NAV Direct","CRONUS JetCorp USA","32","1","132515"</v>
      </c>
      <c r="H390" s="40">
        <v>43470</v>
      </c>
      <c r="I390" s="41">
        <v>132515</v>
      </c>
      <c r="J390" s="42" t="str">
        <f>"Customer"</f>
        <v>Customer</v>
      </c>
      <c r="K390" s="42" t="str">
        <f>"C100029"</f>
        <v>C100029</v>
      </c>
      <c r="L390" s="42" t="str">
        <f>IF($J390="Customer",_xll.NL("first",$J390,"Name","No.","@@"&amp;$K390),"")</f>
        <v>Elkhorn Airport</v>
      </c>
      <c r="M390" s="42" t="str">
        <f>""</f>
        <v/>
      </c>
      <c r="N390" s="42" t="str">
        <f>IF($J390="Item",_xll.NL("first",$J390,"Description","No.","@@"&amp;$K390),"")</f>
        <v/>
      </c>
      <c r="O390" s="43">
        <v>0</v>
      </c>
      <c r="P390" s="43">
        <v>-24</v>
      </c>
      <c r="Q390" s="43">
        <v>0</v>
      </c>
      <c r="R390" s="43">
        <v>0</v>
      </c>
      <c r="S390" s="43">
        <v>0</v>
      </c>
      <c r="T390" s="43">
        <v>0</v>
      </c>
      <c r="U390" s="56"/>
    </row>
    <row r="391" spans="1:21" ht="17.25" customHeight="1" x14ac:dyDescent="0.3">
      <c r="A391" s="15" t="s">
        <v>30</v>
      </c>
      <c r="C391" s="19"/>
      <c r="D391" s="33"/>
      <c r="E391" s="33"/>
      <c r="F391" s="34"/>
      <c r="G391" s="34"/>
      <c r="H391" s="34"/>
      <c r="I391" s="34"/>
      <c r="J391" s="34"/>
      <c r="K391" s="34"/>
      <c r="L391" s="34"/>
      <c r="M391" s="34"/>
      <c r="N391" s="34"/>
      <c r="O391" s="44"/>
      <c r="P391" s="44"/>
      <c r="Q391" s="44"/>
      <c r="R391" s="44"/>
      <c r="S391" s="44"/>
      <c r="T391" s="44"/>
      <c r="U391" s="57"/>
    </row>
    <row r="392" spans="1:21" ht="17.25" customHeight="1" x14ac:dyDescent="0.3">
      <c r="A392" s="15" t="s">
        <v>30</v>
      </c>
      <c r="C392" s="19"/>
      <c r="D392" s="33"/>
      <c r="E392" s="33" t="s">
        <v>31</v>
      </c>
      <c r="F392" s="34" t="s">
        <v>31</v>
      </c>
      <c r="G392" s="34" t="s">
        <v>31</v>
      </c>
      <c r="H392" s="34"/>
      <c r="I392" s="34"/>
      <c r="J392" s="34" t="s">
        <v>31</v>
      </c>
      <c r="K392" s="34" t="s">
        <v>31</v>
      </c>
      <c r="L392" s="34" t="s">
        <v>31</v>
      </c>
      <c r="M392" s="34" t="s">
        <v>31</v>
      </c>
      <c r="N392" s="34"/>
      <c r="U392" s="58"/>
    </row>
    <row r="393" spans="1:21" ht="20.25" customHeight="1" x14ac:dyDescent="0.35">
      <c r="A393" s="15" t="s">
        <v>30</v>
      </c>
      <c r="C393" s="19"/>
      <c r="D393" s="35" t="str">
        <f t="shared" ref="D393" si="272">E393</f>
        <v>S100011</v>
      </c>
      <c r="E393" s="36" t="str">
        <f>"S100011"</f>
        <v>S100011</v>
      </c>
      <c r="F393" s="37" t="str">
        <f>"All Star Cap"</f>
        <v>All Star Cap</v>
      </c>
      <c r="G393" s="37"/>
      <c r="H393" s="38" t="str">
        <f>"EA"</f>
        <v>EA</v>
      </c>
      <c r="I393" s="37"/>
      <c r="J393" s="37"/>
      <c r="K393" s="37"/>
      <c r="L393" s="37"/>
      <c r="M393" s="37"/>
      <c r="N393" s="37"/>
      <c r="O393" s="39">
        <f>(SUBTOTAL(9,O394:O395))</f>
        <v>400</v>
      </c>
      <c r="P393" s="39">
        <f>(SUBTOTAL(9,P394:P395))</f>
        <v>0</v>
      </c>
      <c r="Q393" s="39">
        <f>(SUBTOTAL(9,Q394:Q395))</f>
        <v>0</v>
      </c>
      <c r="R393" s="39">
        <f>(SUBTOTAL(9,R394:R395))</f>
        <v>0</v>
      </c>
      <c r="S393" s="39">
        <f>(SUBTOTAL(9,S394:S395))</f>
        <v>0</v>
      </c>
      <c r="T393" s="39">
        <f>(SUBTOTAL(9,T394:T395))</f>
        <v>0</v>
      </c>
      <c r="U393" s="55">
        <f t="shared" ref="U393" si="273">SUBTOTAL(9,O394:T395)</f>
        <v>400</v>
      </c>
    </row>
    <row r="394" spans="1:21" ht="17.25" customHeight="1" x14ac:dyDescent="0.3">
      <c r="A394" s="15" t="s">
        <v>30</v>
      </c>
      <c r="C394" s="19"/>
      <c r="D394" s="33" t="str">
        <f t="shared" ref="D394" si="274">D393</f>
        <v>S100011</v>
      </c>
      <c r="E394" s="33"/>
      <c r="F394" s="34"/>
      <c r="G394" s="34" t="str">
        <f>"""NAV Direct"",""CRONUS JetCorp USA"",""32"",""1"",""167078"""</f>
        <v>"NAV Direct","CRONUS JetCorp USA","32","1","167078"</v>
      </c>
      <c r="H394" s="40">
        <v>43466</v>
      </c>
      <c r="I394" s="41">
        <v>167078</v>
      </c>
      <c r="J394" s="42" t="str">
        <f>"Vendor"</f>
        <v>Vendor</v>
      </c>
      <c r="K394" s="42" t="str">
        <f>"V100009"</f>
        <v>V100009</v>
      </c>
      <c r="L394" s="42" t="str">
        <f>IF($J394="Customer",_xll.NL("first",$J394,"Name","No.","@@"&amp;$K394),"")</f>
        <v/>
      </c>
      <c r="M394" s="42" t="str">
        <f>"Malay-Dan Export Unit Sdn Bhd"</f>
        <v>Malay-Dan Export Unit Sdn Bhd</v>
      </c>
      <c r="N394" s="42" t="str">
        <f>IF($J394="Item",_xll.NL("first",$J394,"Description","No.","@@"&amp;$K394),"")</f>
        <v/>
      </c>
      <c r="O394" s="43">
        <v>400</v>
      </c>
      <c r="P394" s="43">
        <v>0</v>
      </c>
      <c r="Q394" s="43">
        <v>0</v>
      </c>
      <c r="R394" s="43">
        <v>0</v>
      </c>
      <c r="S394" s="43">
        <v>0</v>
      </c>
      <c r="T394" s="43">
        <v>0</v>
      </c>
      <c r="U394" s="56"/>
    </row>
    <row r="395" spans="1:21" ht="17.25" customHeight="1" x14ac:dyDescent="0.3">
      <c r="A395" s="15" t="s">
        <v>30</v>
      </c>
      <c r="C395" s="19"/>
      <c r="D395" s="33"/>
      <c r="E395" s="33"/>
      <c r="F395" s="34"/>
      <c r="G395" s="34"/>
      <c r="H395" s="34"/>
      <c r="I395" s="34"/>
      <c r="J395" s="34"/>
      <c r="K395" s="34"/>
      <c r="L395" s="34"/>
      <c r="M395" s="34"/>
      <c r="N395" s="34"/>
      <c r="O395" s="44"/>
      <c r="P395" s="44"/>
      <c r="Q395" s="44"/>
      <c r="R395" s="44"/>
      <c r="S395" s="44"/>
      <c r="T395" s="44"/>
      <c r="U395" s="57"/>
    </row>
    <row r="396" spans="1:21" ht="17.25" customHeight="1" x14ac:dyDescent="0.3">
      <c r="A396" s="15" t="s">
        <v>30</v>
      </c>
      <c r="C396" s="19"/>
      <c r="D396" s="33"/>
      <c r="E396" s="33" t="s">
        <v>31</v>
      </c>
      <c r="F396" s="34" t="s">
        <v>31</v>
      </c>
      <c r="G396" s="34" t="s">
        <v>31</v>
      </c>
      <c r="H396" s="34"/>
      <c r="I396" s="34"/>
      <c r="J396" s="34" t="s">
        <v>31</v>
      </c>
      <c r="K396" s="34" t="s">
        <v>31</v>
      </c>
      <c r="L396" s="34" t="s">
        <v>31</v>
      </c>
      <c r="M396" s="34" t="s">
        <v>31</v>
      </c>
      <c r="N396" s="34"/>
      <c r="U396" s="58"/>
    </row>
    <row r="397" spans="1:21" ht="20.25" customHeight="1" x14ac:dyDescent="0.35">
      <c r="A397" s="15" t="s">
        <v>30</v>
      </c>
      <c r="C397" s="19"/>
      <c r="D397" s="35" t="str">
        <f t="shared" ref="D397" si="275">E397</f>
        <v>S100015</v>
      </c>
      <c r="E397" s="36" t="str">
        <f>"S100015"</f>
        <v>S100015</v>
      </c>
      <c r="F397" s="37" t="str">
        <f>"Raw-Edge Bucket Hat"</f>
        <v>Raw-Edge Bucket Hat</v>
      </c>
      <c r="G397" s="37"/>
      <c r="H397" s="38" t="str">
        <f>"EA"</f>
        <v>EA</v>
      </c>
      <c r="I397" s="37"/>
      <c r="J397" s="37"/>
      <c r="K397" s="37"/>
      <c r="L397" s="37"/>
      <c r="M397" s="37"/>
      <c r="N397" s="37"/>
      <c r="O397" s="39">
        <f>(SUBTOTAL(9,O398:O400))</f>
        <v>400</v>
      </c>
      <c r="P397" s="39">
        <f>(SUBTOTAL(9,P398:P400))</f>
        <v>-24</v>
      </c>
      <c r="Q397" s="39">
        <f>(SUBTOTAL(9,Q398:Q400))</f>
        <v>0</v>
      </c>
      <c r="R397" s="39">
        <f>(SUBTOTAL(9,R398:R400))</f>
        <v>0</v>
      </c>
      <c r="S397" s="39">
        <f>(SUBTOTAL(9,S398:S400))</f>
        <v>0</v>
      </c>
      <c r="T397" s="39">
        <f>(SUBTOTAL(9,T398:T400))</f>
        <v>0</v>
      </c>
      <c r="U397" s="55">
        <f t="shared" ref="U397" si="276">SUBTOTAL(9,O398:T400)</f>
        <v>376</v>
      </c>
    </row>
    <row r="398" spans="1:21" ht="17.25" customHeight="1" x14ac:dyDescent="0.3">
      <c r="A398" s="15" t="s">
        <v>30</v>
      </c>
      <c r="C398" s="19"/>
      <c r="D398" s="33" t="str">
        <f t="shared" ref="D398" si="277">D397</f>
        <v>S100015</v>
      </c>
      <c r="E398" s="33"/>
      <c r="F398" s="34"/>
      <c r="G398" s="34" t="str">
        <f>"""NAV Direct"",""CRONUS JetCorp USA"",""32"",""1"",""167077"""</f>
        <v>"NAV Direct","CRONUS JetCorp USA","32","1","167077"</v>
      </c>
      <c r="H398" s="40">
        <v>43466</v>
      </c>
      <c r="I398" s="41">
        <v>167077</v>
      </c>
      <c r="J398" s="42" t="str">
        <f>"Vendor"</f>
        <v>Vendor</v>
      </c>
      <c r="K398" s="42" t="str">
        <f>"V100009"</f>
        <v>V100009</v>
      </c>
      <c r="L398" s="42" t="str">
        <f>IF($J398="Customer",_xll.NL("first",$J398,"Name","No.","@@"&amp;$K398),"")</f>
        <v/>
      </c>
      <c r="M398" s="42" t="str">
        <f>"Malay-Dan Export Unit Sdn Bhd"</f>
        <v>Malay-Dan Export Unit Sdn Bhd</v>
      </c>
      <c r="N398" s="42" t="str">
        <f>IF($J398="Item",_xll.NL("first",$J398,"Description","No.","@@"&amp;$K398),"")</f>
        <v/>
      </c>
      <c r="O398" s="43">
        <v>400</v>
      </c>
      <c r="P398" s="43">
        <v>0</v>
      </c>
      <c r="Q398" s="43">
        <v>0</v>
      </c>
      <c r="R398" s="43">
        <v>0</v>
      </c>
      <c r="S398" s="43">
        <v>0</v>
      </c>
      <c r="T398" s="43">
        <v>0</v>
      </c>
      <c r="U398" s="56"/>
    </row>
    <row r="399" spans="1:21" ht="17.25" customHeight="1" x14ac:dyDescent="0.3">
      <c r="A399" s="15" t="s">
        <v>30</v>
      </c>
      <c r="C399" s="19"/>
      <c r="D399" s="33" t="str">
        <f t="shared" ref="D399" si="278">D398</f>
        <v>S100015</v>
      </c>
      <c r="E399" s="33"/>
      <c r="F399" s="34"/>
      <c r="G399" s="34" t="str">
        <f>"""NAV Direct"",""CRONUS JetCorp USA"",""32"",""1"",""138732"""</f>
        <v>"NAV Direct","CRONUS JetCorp USA","32","1","138732"</v>
      </c>
      <c r="H399" s="40">
        <v>43477</v>
      </c>
      <c r="I399" s="41">
        <v>138732</v>
      </c>
      <c r="J399" s="42" t="str">
        <f>"Customer"</f>
        <v>Customer</v>
      </c>
      <c r="K399" s="42" t="str">
        <f>"C100021"</f>
        <v>C100021</v>
      </c>
      <c r="L399" s="42" t="str">
        <f>IF($J399="Customer",_xll.NL("first",$J399,"Name","No.","@@"&amp;$K399),"")</f>
        <v>Cronus Cardoxy Sales</v>
      </c>
      <c r="M399" s="42" t="str">
        <f>""</f>
        <v/>
      </c>
      <c r="N399" s="42" t="str">
        <f>IF($J399="Item",_xll.NL("first",$J399,"Description","No.","@@"&amp;$K399),"")</f>
        <v/>
      </c>
      <c r="O399" s="43">
        <v>0</v>
      </c>
      <c r="P399" s="43">
        <v>-24</v>
      </c>
      <c r="Q399" s="43">
        <v>0</v>
      </c>
      <c r="R399" s="43">
        <v>0</v>
      </c>
      <c r="S399" s="43">
        <v>0</v>
      </c>
      <c r="T399" s="43">
        <v>0</v>
      </c>
      <c r="U399" s="56"/>
    </row>
    <row r="400" spans="1:21" ht="17.25" customHeight="1" x14ac:dyDescent="0.3">
      <c r="A400" s="15" t="s">
        <v>30</v>
      </c>
      <c r="C400" s="19"/>
      <c r="D400" s="33"/>
      <c r="E400" s="33"/>
      <c r="F400" s="34"/>
      <c r="G400" s="34"/>
      <c r="H400" s="34"/>
      <c r="I400" s="34"/>
      <c r="J400" s="34"/>
      <c r="K400" s="34"/>
      <c r="L400" s="34"/>
      <c r="M400" s="34"/>
      <c r="N400" s="34"/>
      <c r="O400" s="44"/>
      <c r="P400" s="44"/>
      <c r="Q400" s="44"/>
      <c r="R400" s="44"/>
      <c r="S400" s="44"/>
      <c r="T400" s="44"/>
      <c r="U400" s="57"/>
    </row>
    <row r="401" spans="1:21" ht="17.25" customHeight="1" x14ac:dyDescent="0.3">
      <c r="A401" s="15" t="s">
        <v>30</v>
      </c>
      <c r="C401" s="19"/>
      <c r="D401" s="33"/>
      <c r="E401" s="33" t="s">
        <v>31</v>
      </c>
      <c r="F401" s="34" t="s">
        <v>31</v>
      </c>
      <c r="G401" s="34" t="s">
        <v>31</v>
      </c>
      <c r="H401" s="34"/>
      <c r="I401" s="34"/>
      <c r="J401" s="34" t="s">
        <v>31</v>
      </c>
      <c r="K401" s="34" t="s">
        <v>31</v>
      </c>
      <c r="L401" s="34" t="s">
        <v>31</v>
      </c>
      <c r="M401" s="34" t="s">
        <v>31</v>
      </c>
      <c r="N401" s="34"/>
      <c r="U401" s="58"/>
    </row>
    <row r="402" spans="1:21" ht="20.25" customHeight="1" x14ac:dyDescent="0.35">
      <c r="A402" s="15" t="s">
        <v>30</v>
      </c>
      <c r="C402" s="19"/>
      <c r="D402" s="35" t="str">
        <f t="shared" ref="D402" si="279">E402</f>
        <v>S100016</v>
      </c>
      <c r="E402" s="36" t="str">
        <f>"S100016"</f>
        <v>S100016</v>
      </c>
      <c r="F402" s="37" t="str">
        <f>"Mesh Bucket Hat"</f>
        <v>Mesh Bucket Hat</v>
      </c>
      <c r="G402" s="37"/>
      <c r="H402" s="38" t="str">
        <f>"EA"</f>
        <v>EA</v>
      </c>
      <c r="I402" s="37"/>
      <c r="J402" s="37"/>
      <c r="K402" s="37"/>
      <c r="L402" s="37"/>
      <c r="M402" s="37"/>
      <c r="N402" s="37"/>
      <c r="O402" s="39">
        <f>(SUBTOTAL(9,O403:O405))</f>
        <v>800</v>
      </c>
      <c r="P402" s="39">
        <f>(SUBTOTAL(9,P403:P405))</f>
        <v>-144</v>
      </c>
      <c r="Q402" s="39">
        <f>(SUBTOTAL(9,Q403:Q405))</f>
        <v>0</v>
      </c>
      <c r="R402" s="39">
        <f>(SUBTOTAL(9,R403:R405))</f>
        <v>0</v>
      </c>
      <c r="S402" s="39">
        <f>(SUBTOTAL(9,S403:S405))</f>
        <v>0</v>
      </c>
      <c r="T402" s="39">
        <f>(SUBTOTAL(9,T403:T405))</f>
        <v>0</v>
      </c>
      <c r="U402" s="55">
        <f t="shared" ref="U402" si="280">SUBTOTAL(9,O403:T405)</f>
        <v>656</v>
      </c>
    </row>
    <row r="403" spans="1:21" ht="17.25" customHeight="1" x14ac:dyDescent="0.3">
      <c r="A403" s="15" t="s">
        <v>30</v>
      </c>
      <c r="C403" s="19"/>
      <c r="D403" s="33" t="str">
        <f t="shared" ref="D403" si="281">D402</f>
        <v>S100016</v>
      </c>
      <c r="E403" s="33"/>
      <c r="F403" s="34"/>
      <c r="G403" s="34" t="str">
        <f>"""NAV Direct"",""CRONUS JetCorp USA"",""32"",""1"",""167076"""</f>
        <v>"NAV Direct","CRONUS JetCorp USA","32","1","167076"</v>
      </c>
      <c r="H403" s="40">
        <v>43466</v>
      </c>
      <c r="I403" s="41">
        <v>167076</v>
      </c>
      <c r="J403" s="42" t="str">
        <f>"Vendor"</f>
        <v>Vendor</v>
      </c>
      <c r="K403" s="42" t="str">
        <f>"V100009"</f>
        <v>V100009</v>
      </c>
      <c r="L403" s="42" t="str">
        <f>IF($J403="Customer",_xll.NL("first",$J403,"Name","No.","@@"&amp;$K403),"")</f>
        <v/>
      </c>
      <c r="M403" s="42" t="str">
        <f>"Malay-Dan Export Unit Sdn Bhd"</f>
        <v>Malay-Dan Export Unit Sdn Bhd</v>
      </c>
      <c r="N403" s="42" t="str">
        <f>IF($J403="Item",_xll.NL("first",$J403,"Description","No.","@@"&amp;$K403),"")</f>
        <v/>
      </c>
      <c r="O403" s="43">
        <v>800</v>
      </c>
      <c r="P403" s="43">
        <v>0</v>
      </c>
      <c r="Q403" s="43">
        <v>0</v>
      </c>
      <c r="R403" s="43">
        <v>0</v>
      </c>
      <c r="S403" s="43">
        <v>0</v>
      </c>
      <c r="T403" s="43">
        <v>0</v>
      </c>
      <c r="U403" s="56"/>
    </row>
    <row r="404" spans="1:21" ht="17.25" customHeight="1" x14ac:dyDescent="0.3">
      <c r="A404" s="15" t="s">
        <v>30</v>
      </c>
      <c r="C404" s="19"/>
      <c r="D404" s="33" t="str">
        <f t="shared" ref="D404" si="282">D403</f>
        <v>S100016</v>
      </c>
      <c r="E404" s="33"/>
      <c r="F404" s="34"/>
      <c r="G404" s="34" t="str">
        <f>"""NAV Direct"",""CRONUS JetCorp USA"",""32"",""1"",""135817"""</f>
        <v>"NAV Direct","CRONUS JetCorp USA","32","1","135817"</v>
      </c>
      <c r="H404" s="40">
        <v>43474</v>
      </c>
      <c r="I404" s="41">
        <v>135817</v>
      </c>
      <c r="J404" s="42" t="str">
        <f>"Customer"</f>
        <v>Customer</v>
      </c>
      <c r="K404" s="42" t="str">
        <f>"C100050"</f>
        <v>C100050</v>
      </c>
      <c r="L404" s="42" t="str">
        <f>IF($J404="Customer",_xll.NL("first",$J404,"Name","No.","@@"&amp;$K404),"")</f>
        <v>Lauritzen Kontorm¢bler A/S</v>
      </c>
      <c r="M404" s="42" t="str">
        <f>""</f>
        <v/>
      </c>
      <c r="N404" s="42" t="str">
        <f>IF($J404="Item",_xll.NL("first",$J404,"Description","No.","@@"&amp;$K404),"")</f>
        <v/>
      </c>
      <c r="O404" s="43">
        <v>0</v>
      </c>
      <c r="P404" s="43">
        <v>-144</v>
      </c>
      <c r="Q404" s="43">
        <v>0</v>
      </c>
      <c r="R404" s="43">
        <v>0</v>
      </c>
      <c r="S404" s="43">
        <v>0</v>
      </c>
      <c r="T404" s="43">
        <v>0</v>
      </c>
      <c r="U404" s="56"/>
    </row>
    <row r="405" spans="1:21" ht="17.25" customHeight="1" x14ac:dyDescent="0.3">
      <c r="A405" s="15" t="s">
        <v>30</v>
      </c>
      <c r="C405" s="19"/>
      <c r="D405" s="33"/>
      <c r="E405" s="33"/>
      <c r="F405" s="34"/>
      <c r="G405" s="34"/>
      <c r="H405" s="34"/>
      <c r="I405" s="34"/>
      <c r="J405" s="34"/>
      <c r="K405" s="34"/>
      <c r="L405" s="34"/>
      <c r="M405" s="34"/>
      <c r="N405" s="34"/>
      <c r="O405" s="44"/>
      <c r="P405" s="44"/>
      <c r="Q405" s="44"/>
      <c r="R405" s="44"/>
      <c r="S405" s="44"/>
      <c r="T405" s="44"/>
      <c r="U405" s="57"/>
    </row>
    <row r="406" spans="1:21" ht="17.25" customHeight="1" x14ac:dyDescent="0.3">
      <c r="A406" s="15" t="s">
        <v>30</v>
      </c>
      <c r="C406" s="19"/>
      <c r="D406" s="33"/>
      <c r="E406" s="33" t="s">
        <v>31</v>
      </c>
      <c r="F406" s="34" t="s">
        <v>31</v>
      </c>
      <c r="G406" s="34" t="s">
        <v>31</v>
      </c>
      <c r="H406" s="34"/>
      <c r="I406" s="34"/>
      <c r="J406" s="34" t="s">
        <v>31</v>
      </c>
      <c r="K406" s="34" t="s">
        <v>31</v>
      </c>
      <c r="L406" s="34" t="s">
        <v>31</v>
      </c>
      <c r="M406" s="34" t="s">
        <v>31</v>
      </c>
      <c r="N406" s="34"/>
      <c r="U406" s="58"/>
    </row>
    <row r="407" spans="1:21" ht="20.25" customHeight="1" x14ac:dyDescent="0.35">
      <c r="A407" s="15" t="s">
        <v>30</v>
      </c>
      <c r="C407" s="19"/>
      <c r="D407" s="35" t="str">
        <f t="shared" ref="D407" si="283">E407</f>
        <v>S100017</v>
      </c>
      <c r="E407" s="36" t="str">
        <f>"S100017"</f>
        <v>S100017</v>
      </c>
      <c r="F407" s="37" t="str">
        <f>"Microfiber Bucket Hat"</f>
        <v>Microfiber Bucket Hat</v>
      </c>
      <c r="G407" s="37"/>
      <c r="H407" s="38" t="str">
        <f>"EA"</f>
        <v>EA</v>
      </c>
      <c r="I407" s="37"/>
      <c r="J407" s="37"/>
      <c r="K407" s="37"/>
      <c r="L407" s="37"/>
      <c r="M407" s="37"/>
      <c r="N407" s="37"/>
      <c r="O407" s="39">
        <f>(SUBTOTAL(9,O408:O411))</f>
        <v>400</v>
      </c>
      <c r="P407" s="39">
        <f>(SUBTOTAL(9,P408:P411))</f>
        <v>-145</v>
      </c>
      <c r="Q407" s="39">
        <f>(SUBTOTAL(9,Q408:Q411))</f>
        <v>0</v>
      </c>
      <c r="R407" s="39">
        <f>(SUBTOTAL(9,R408:R411))</f>
        <v>0</v>
      </c>
      <c r="S407" s="39">
        <f>(SUBTOTAL(9,S408:S411))</f>
        <v>0</v>
      </c>
      <c r="T407" s="39">
        <f>(SUBTOTAL(9,T408:T411))</f>
        <v>0</v>
      </c>
      <c r="U407" s="55">
        <f t="shared" ref="U407" si="284">SUBTOTAL(9,O408:T411)</f>
        <v>255</v>
      </c>
    </row>
    <row r="408" spans="1:21" ht="17.25" customHeight="1" x14ac:dyDescent="0.3">
      <c r="A408" s="15" t="s">
        <v>30</v>
      </c>
      <c r="C408" s="19"/>
      <c r="D408" s="33" t="str">
        <f t="shared" ref="D408" si="285">D407</f>
        <v>S100017</v>
      </c>
      <c r="E408" s="33"/>
      <c r="F408" s="34"/>
      <c r="G408" s="34" t="str">
        <f>"""NAV Direct"",""CRONUS JetCorp USA"",""32"",""1"",""167075"""</f>
        <v>"NAV Direct","CRONUS JetCorp USA","32","1","167075"</v>
      </c>
      <c r="H408" s="40">
        <v>43466</v>
      </c>
      <c r="I408" s="41">
        <v>167075</v>
      </c>
      <c r="J408" s="42" t="str">
        <f>"Vendor"</f>
        <v>Vendor</v>
      </c>
      <c r="K408" s="42" t="str">
        <f>"V100009"</f>
        <v>V100009</v>
      </c>
      <c r="L408" s="42" t="str">
        <f>IF($J408="Customer",_xll.NL("first",$J408,"Name","No.","@@"&amp;$K408),"")</f>
        <v/>
      </c>
      <c r="M408" s="42" t="str">
        <f>"Malay-Dan Export Unit Sdn Bhd"</f>
        <v>Malay-Dan Export Unit Sdn Bhd</v>
      </c>
      <c r="N408" s="42" t="str">
        <f>IF($J408="Item",_xll.NL("first",$J408,"Description","No.","@@"&amp;$K408),"")</f>
        <v/>
      </c>
      <c r="O408" s="43">
        <v>400</v>
      </c>
      <c r="P408" s="43">
        <v>0</v>
      </c>
      <c r="Q408" s="43">
        <v>0</v>
      </c>
      <c r="R408" s="43">
        <v>0</v>
      </c>
      <c r="S408" s="43">
        <v>0</v>
      </c>
      <c r="T408" s="43">
        <v>0</v>
      </c>
      <c r="U408" s="56"/>
    </row>
    <row r="409" spans="1:21" ht="17.25" customHeight="1" x14ac:dyDescent="0.3">
      <c r="A409" s="15" t="s">
        <v>30</v>
      </c>
      <c r="C409" s="19"/>
      <c r="D409" s="33" t="str">
        <f t="shared" ref="D409:D410" si="286">D408</f>
        <v>S100017</v>
      </c>
      <c r="E409" s="33"/>
      <c r="F409" s="34"/>
      <c r="G409" s="34" t="str">
        <f>"""NAV Direct"",""CRONUS JetCorp USA"",""32"",""1"",""34322"""</f>
        <v>"NAV Direct","CRONUS JetCorp USA","32","1","34322"</v>
      </c>
      <c r="H409" s="40">
        <v>43470</v>
      </c>
      <c r="I409" s="41">
        <v>34322</v>
      </c>
      <c r="J409" s="42" t="str">
        <f>"Customer"</f>
        <v>Customer</v>
      </c>
      <c r="K409" s="42" t="str">
        <f>"C100050"</f>
        <v>C100050</v>
      </c>
      <c r="L409" s="42" t="str">
        <f>IF($J409="Customer",_xll.NL("first",$J409,"Name","No.","@@"&amp;$K409),"")</f>
        <v>Lauritzen Kontorm¢bler A/S</v>
      </c>
      <c r="M409" s="42" t="str">
        <f>""</f>
        <v/>
      </c>
      <c r="N409" s="42" t="str">
        <f>IF($J409="Item",_xll.NL("first",$J409,"Description","No.","@@"&amp;$K409),"")</f>
        <v/>
      </c>
      <c r="O409" s="43">
        <v>0</v>
      </c>
      <c r="P409" s="43">
        <v>-144</v>
      </c>
      <c r="Q409" s="43">
        <v>0</v>
      </c>
      <c r="R409" s="43">
        <v>0</v>
      </c>
      <c r="S409" s="43">
        <v>0</v>
      </c>
      <c r="T409" s="43">
        <v>0</v>
      </c>
      <c r="U409" s="56"/>
    </row>
    <row r="410" spans="1:21" ht="17.25" customHeight="1" x14ac:dyDescent="0.3">
      <c r="A410" s="15" t="s">
        <v>30</v>
      </c>
      <c r="C410" s="19"/>
      <c r="D410" s="33" t="str">
        <f t="shared" si="286"/>
        <v>S100017</v>
      </c>
      <c r="E410" s="33"/>
      <c r="F410" s="34"/>
      <c r="G410" s="34" t="str">
        <f>"""NAV Direct"",""CRONUS JetCorp USA"",""32"",""1"",""138734"""</f>
        <v>"NAV Direct","CRONUS JetCorp USA","32","1","138734"</v>
      </c>
      <c r="H410" s="40">
        <v>43477</v>
      </c>
      <c r="I410" s="41">
        <v>138734</v>
      </c>
      <c r="J410" s="42" t="str">
        <f>"Customer"</f>
        <v>Customer</v>
      </c>
      <c r="K410" s="42" t="str">
        <f>"C100021"</f>
        <v>C100021</v>
      </c>
      <c r="L410" s="42" t="str">
        <f>IF($J410="Customer",_xll.NL("first",$J410,"Name","No.","@@"&amp;$K410),"")</f>
        <v>Cronus Cardoxy Sales</v>
      </c>
      <c r="M410" s="42" t="str">
        <f>""</f>
        <v/>
      </c>
      <c r="N410" s="42" t="str">
        <f>IF($J410="Item",_xll.NL("first",$J410,"Description","No.","@@"&amp;$K410),"")</f>
        <v/>
      </c>
      <c r="O410" s="43">
        <v>0</v>
      </c>
      <c r="P410" s="43">
        <v>-1</v>
      </c>
      <c r="Q410" s="43">
        <v>0</v>
      </c>
      <c r="R410" s="43">
        <v>0</v>
      </c>
      <c r="S410" s="43">
        <v>0</v>
      </c>
      <c r="T410" s="43">
        <v>0</v>
      </c>
      <c r="U410" s="56"/>
    </row>
    <row r="411" spans="1:21" ht="17.25" customHeight="1" x14ac:dyDescent="0.3">
      <c r="A411" s="15" t="s">
        <v>30</v>
      </c>
      <c r="C411" s="19"/>
      <c r="D411" s="33"/>
      <c r="E411" s="33"/>
      <c r="F411" s="34"/>
      <c r="G411" s="34"/>
      <c r="H411" s="34"/>
      <c r="I411" s="34"/>
      <c r="J411" s="34"/>
      <c r="K411" s="34"/>
      <c r="L411" s="34"/>
      <c r="M411" s="34"/>
      <c r="N411" s="34"/>
      <c r="O411" s="44"/>
      <c r="P411" s="44"/>
      <c r="Q411" s="44"/>
      <c r="R411" s="44"/>
      <c r="S411" s="44"/>
      <c r="T411" s="44"/>
      <c r="U411" s="57"/>
    </row>
    <row r="412" spans="1:21" ht="17.25" customHeight="1" x14ac:dyDescent="0.3">
      <c r="A412" s="15" t="s">
        <v>30</v>
      </c>
      <c r="C412" s="19"/>
      <c r="D412" s="33"/>
      <c r="E412" s="33" t="s">
        <v>31</v>
      </c>
      <c r="F412" s="34" t="s">
        <v>31</v>
      </c>
      <c r="G412" s="34" t="s">
        <v>31</v>
      </c>
      <c r="H412" s="34"/>
      <c r="I412" s="34"/>
      <c r="J412" s="34" t="s">
        <v>31</v>
      </c>
      <c r="K412" s="34" t="s">
        <v>31</v>
      </c>
      <c r="L412" s="34" t="s">
        <v>31</v>
      </c>
      <c r="M412" s="34" t="s">
        <v>31</v>
      </c>
      <c r="N412" s="34"/>
      <c r="U412" s="58"/>
    </row>
    <row r="413" spans="1:21" ht="20.25" customHeight="1" x14ac:dyDescent="0.35">
      <c r="A413" s="15" t="s">
        <v>30</v>
      </c>
      <c r="C413" s="19"/>
      <c r="D413" s="35" t="str">
        <f t="shared" ref="D413" si="287">E413</f>
        <v>S100018</v>
      </c>
      <c r="E413" s="36" t="str">
        <f>"S100018"</f>
        <v>S100018</v>
      </c>
      <c r="F413" s="37" t="str">
        <f>"Crusher Bucket Hat"</f>
        <v>Crusher Bucket Hat</v>
      </c>
      <c r="G413" s="37"/>
      <c r="H413" s="38" t="str">
        <f>"EA"</f>
        <v>EA</v>
      </c>
      <c r="I413" s="37"/>
      <c r="J413" s="37"/>
      <c r="K413" s="37"/>
      <c r="L413" s="37"/>
      <c r="M413" s="37"/>
      <c r="N413" s="37"/>
      <c r="O413" s="39">
        <f>(SUBTOTAL(9,O414:O415))</f>
        <v>0</v>
      </c>
      <c r="P413" s="39">
        <f>(SUBTOTAL(9,P414:P415))</f>
        <v>-1</v>
      </c>
      <c r="Q413" s="39">
        <f>(SUBTOTAL(9,Q414:Q415))</f>
        <v>0</v>
      </c>
      <c r="R413" s="39">
        <f>(SUBTOTAL(9,R414:R415))</f>
        <v>0</v>
      </c>
      <c r="S413" s="39">
        <f>(SUBTOTAL(9,S414:S415))</f>
        <v>0</v>
      </c>
      <c r="T413" s="39">
        <f>(SUBTOTAL(9,T414:T415))</f>
        <v>0</v>
      </c>
      <c r="U413" s="55">
        <f t="shared" ref="U413" si="288">SUBTOTAL(9,O414:T415)</f>
        <v>-1</v>
      </c>
    </row>
    <row r="414" spans="1:21" ht="17.25" customHeight="1" x14ac:dyDescent="0.3">
      <c r="A414" s="15" t="s">
        <v>30</v>
      </c>
      <c r="C414" s="19"/>
      <c r="D414" s="33" t="str">
        <f t="shared" ref="D414" si="289">D413</f>
        <v>S100018</v>
      </c>
      <c r="E414" s="33"/>
      <c r="F414" s="34"/>
      <c r="G414" s="34" t="str">
        <f>"""NAV Direct"",""CRONUS JetCorp USA"",""32"",""1"",""138733"""</f>
        <v>"NAV Direct","CRONUS JetCorp USA","32","1","138733"</v>
      </c>
      <c r="H414" s="40">
        <v>43477</v>
      </c>
      <c r="I414" s="41">
        <v>138733</v>
      </c>
      <c r="J414" s="42" t="str">
        <f>"Customer"</f>
        <v>Customer</v>
      </c>
      <c r="K414" s="42" t="str">
        <f>"C100021"</f>
        <v>C100021</v>
      </c>
      <c r="L414" s="42" t="str">
        <f>IF($J414="Customer",_xll.NL("first",$J414,"Name","No.","@@"&amp;$K414),"")</f>
        <v>Cronus Cardoxy Sales</v>
      </c>
      <c r="M414" s="42" t="str">
        <f>""</f>
        <v/>
      </c>
      <c r="N414" s="42" t="str">
        <f>IF($J414="Item",_xll.NL("first",$J414,"Description","No.","@@"&amp;$K414),"")</f>
        <v/>
      </c>
      <c r="O414" s="43">
        <v>0</v>
      </c>
      <c r="P414" s="43">
        <v>-1</v>
      </c>
      <c r="Q414" s="43">
        <v>0</v>
      </c>
      <c r="R414" s="43">
        <v>0</v>
      </c>
      <c r="S414" s="43">
        <v>0</v>
      </c>
      <c r="T414" s="43">
        <v>0</v>
      </c>
      <c r="U414" s="56"/>
    </row>
    <row r="415" spans="1:21" ht="17.25" customHeight="1" x14ac:dyDescent="0.3">
      <c r="A415" s="15" t="s">
        <v>30</v>
      </c>
      <c r="C415" s="19"/>
      <c r="D415" s="33"/>
      <c r="E415" s="33"/>
      <c r="F415" s="34"/>
      <c r="G415" s="34"/>
      <c r="H415" s="34"/>
      <c r="I415" s="34"/>
      <c r="J415" s="34"/>
      <c r="K415" s="34"/>
      <c r="L415" s="34"/>
      <c r="M415" s="34"/>
      <c r="N415" s="34"/>
      <c r="O415" s="44"/>
      <c r="P415" s="44"/>
      <c r="Q415" s="44"/>
      <c r="R415" s="44"/>
      <c r="S415" s="44"/>
      <c r="T415" s="44"/>
      <c r="U415" s="57"/>
    </row>
    <row r="416" spans="1:21" ht="17.25" customHeight="1" x14ac:dyDescent="0.3">
      <c r="A416" s="15" t="s">
        <v>30</v>
      </c>
      <c r="C416" s="19"/>
      <c r="D416" s="33"/>
      <c r="E416" s="33" t="s">
        <v>31</v>
      </c>
      <c r="F416" s="34" t="s">
        <v>31</v>
      </c>
      <c r="G416" s="34" t="s">
        <v>31</v>
      </c>
      <c r="H416" s="34"/>
      <c r="I416" s="34"/>
      <c r="J416" s="34" t="s">
        <v>31</v>
      </c>
      <c r="K416" s="34" t="s">
        <v>31</v>
      </c>
      <c r="L416" s="34" t="s">
        <v>31</v>
      </c>
      <c r="M416" s="34" t="s">
        <v>31</v>
      </c>
      <c r="N416" s="34"/>
      <c r="U416" s="58"/>
    </row>
    <row r="417" spans="1:21" ht="20.25" customHeight="1" x14ac:dyDescent="0.35">
      <c r="A417" s="15" t="s">
        <v>30</v>
      </c>
      <c r="C417" s="19"/>
      <c r="D417" s="35" t="str">
        <f t="shared" ref="D417" si="290">E417</f>
        <v>S100019</v>
      </c>
      <c r="E417" s="36" t="str">
        <f>"S100019"</f>
        <v>S100019</v>
      </c>
      <c r="F417" s="37" t="str">
        <f>"Sportsman Bucket Hat"</f>
        <v>Sportsman Bucket Hat</v>
      </c>
      <c r="G417" s="37"/>
      <c r="H417" s="38" t="str">
        <f>"EA"</f>
        <v>EA</v>
      </c>
      <c r="I417" s="37"/>
      <c r="J417" s="37"/>
      <c r="K417" s="37"/>
      <c r="L417" s="37"/>
      <c r="M417" s="37"/>
      <c r="N417" s="37"/>
      <c r="O417" s="39">
        <f>(SUBTOTAL(9,O418:O420))</f>
        <v>800</v>
      </c>
      <c r="P417" s="39">
        <f>(SUBTOTAL(9,P418:P420))</f>
        <v>-144</v>
      </c>
      <c r="Q417" s="39">
        <f>(SUBTOTAL(9,Q418:Q420))</f>
        <v>0</v>
      </c>
      <c r="R417" s="39">
        <f>(SUBTOTAL(9,R418:R420))</f>
        <v>0</v>
      </c>
      <c r="S417" s="39">
        <f>(SUBTOTAL(9,S418:S420))</f>
        <v>0</v>
      </c>
      <c r="T417" s="39">
        <f>(SUBTOTAL(9,T418:T420))</f>
        <v>0</v>
      </c>
      <c r="U417" s="55">
        <f t="shared" ref="U417" si="291">SUBTOTAL(9,O418:T420)</f>
        <v>656</v>
      </c>
    </row>
    <row r="418" spans="1:21" ht="17.25" customHeight="1" x14ac:dyDescent="0.3">
      <c r="A418" s="15" t="s">
        <v>30</v>
      </c>
      <c r="C418" s="19"/>
      <c r="D418" s="33" t="str">
        <f t="shared" ref="D418" si="292">D417</f>
        <v>S100019</v>
      </c>
      <c r="E418" s="33"/>
      <c r="F418" s="34"/>
      <c r="G418" s="34" t="str">
        <f>"""NAV Direct"",""CRONUS JetCorp USA"",""32"",""1"",""167074"""</f>
        <v>"NAV Direct","CRONUS JetCorp USA","32","1","167074"</v>
      </c>
      <c r="H418" s="40">
        <v>43466</v>
      </c>
      <c r="I418" s="41">
        <v>167074</v>
      </c>
      <c r="J418" s="42" t="str">
        <f>"Vendor"</f>
        <v>Vendor</v>
      </c>
      <c r="K418" s="42" t="str">
        <f>"V100009"</f>
        <v>V100009</v>
      </c>
      <c r="L418" s="42" t="str">
        <f>IF($J418="Customer",_xll.NL("first",$J418,"Name","No.","@@"&amp;$K418),"")</f>
        <v/>
      </c>
      <c r="M418" s="42" t="str">
        <f>"Malay-Dan Export Unit Sdn Bhd"</f>
        <v>Malay-Dan Export Unit Sdn Bhd</v>
      </c>
      <c r="N418" s="42" t="str">
        <f>IF($J418="Item",_xll.NL("first",$J418,"Description","No.","@@"&amp;$K418),"")</f>
        <v/>
      </c>
      <c r="O418" s="43">
        <v>800</v>
      </c>
      <c r="P418" s="43">
        <v>0</v>
      </c>
      <c r="Q418" s="43">
        <v>0</v>
      </c>
      <c r="R418" s="43">
        <v>0</v>
      </c>
      <c r="S418" s="43">
        <v>0</v>
      </c>
      <c r="T418" s="43">
        <v>0</v>
      </c>
      <c r="U418" s="56"/>
    </row>
    <row r="419" spans="1:21" ht="17.25" customHeight="1" x14ac:dyDescent="0.3">
      <c r="A419" s="15" t="s">
        <v>30</v>
      </c>
      <c r="C419" s="19"/>
      <c r="D419" s="33" t="str">
        <f t="shared" ref="D419" si="293">D418</f>
        <v>S100019</v>
      </c>
      <c r="E419" s="33"/>
      <c r="F419" s="34"/>
      <c r="G419" s="34" t="str">
        <f>"""NAV Direct"",""CRONUS JetCorp USA"",""32"",""1"",""78873"""</f>
        <v>"NAV Direct","CRONUS JetCorp USA","32","1","78873"</v>
      </c>
      <c r="H419" s="40">
        <v>43471</v>
      </c>
      <c r="I419" s="41">
        <v>78873</v>
      </c>
      <c r="J419" s="42" t="str">
        <f>"Customer"</f>
        <v>Customer</v>
      </c>
      <c r="K419" s="42" t="str">
        <f>"C100124"</f>
        <v>C100124</v>
      </c>
      <c r="L419" s="42" t="str">
        <f>IF($J419="Customer",_xll.NL("first",$J419,"Name","No.","@@"&amp;$K419),"")</f>
        <v>Ontocane Outdoors</v>
      </c>
      <c r="M419" s="42" t="str">
        <f>""</f>
        <v/>
      </c>
      <c r="N419" s="42" t="str">
        <f>IF($J419="Item",_xll.NL("first",$J419,"Description","No.","@@"&amp;$K419),"")</f>
        <v/>
      </c>
      <c r="O419" s="43">
        <v>0</v>
      </c>
      <c r="P419" s="43">
        <v>-144</v>
      </c>
      <c r="Q419" s="43">
        <v>0</v>
      </c>
      <c r="R419" s="43">
        <v>0</v>
      </c>
      <c r="S419" s="43">
        <v>0</v>
      </c>
      <c r="T419" s="43">
        <v>0</v>
      </c>
      <c r="U419" s="56"/>
    </row>
    <row r="420" spans="1:21" ht="17.25" customHeight="1" x14ac:dyDescent="0.3">
      <c r="A420" s="15" t="s">
        <v>30</v>
      </c>
      <c r="C420" s="19"/>
      <c r="D420" s="33"/>
      <c r="E420" s="33"/>
      <c r="F420" s="34"/>
      <c r="G420" s="34"/>
      <c r="H420" s="34"/>
      <c r="I420" s="34"/>
      <c r="J420" s="34"/>
      <c r="K420" s="34"/>
      <c r="L420" s="34"/>
      <c r="M420" s="34"/>
      <c r="N420" s="34"/>
      <c r="O420" s="44"/>
      <c r="P420" s="44"/>
      <c r="Q420" s="44"/>
      <c r="R420" s="44"/>
      <c r="S420" s="44"/>
      <c r="T420" s="44"/>
      <c r="U420" s="57"/>
    </row>
    <row r="421" spans="1:21" ht="17.25" customHeight="1" x14ac:dyDescent="0.3">
      <c r="A421" s="15" t="s">
        <v>30</v>
      </c>
      <c r="C421" s="19"/>
      <c r="D421" s="33"/>
      <c r="E421" s="33" t="s">
        <v>31</v>
      </c>
      <c r="F421" s="34" t="s">
        <v>31</v>
      </c>
      <c r="G421" s="34" t="s">
        <v>31</v>
      </c>
      <c r="H421" s="34"/>
      <c r="I421" s="34"/>
      <c r="J421" s="34" t="s">
        <v>31</v>
      </c>
      <c r="K421" s="34" t="s">
        <v>31</v>
      </c>
      <c r="L421" s="34" t="s">
        <v>31</v>
      </c>
      <c r="M421" s="34" t="s">
        <v>31</v>
      </c>
      <c r="N421" s="34"/>
      <c r="U421" s="58"/>
    </row>
    <row r="422" spans="1:21" ht="20.25" customHeight="1" x14ac:dyDescent="0.35">
      <c r="A422" s="15" t="s">
        <v>30</v>
      </c>
      <c r="C422" s="19"/>
      <c r="D422" s="35" t="str">
        <f t="shared" ref="D422" si="294">E422</f>
        <v>S100020</v>
      </c>
      <c r="E422" s="36" t="str">
        <f>"S100020"</f>
        <v>S100020</v>
      </c>
      <c r="F422" s="37" t="str">
        <f>"Super Sport Stopwatch"</f>
        <v>Super Sport Stopwatch</v>
      </c>
      <c r="G422" s="37"/>
      <c r="H422" s="38" t="str">
        <f>"EA"</f>
        <v>EA</v>
      </c>
      <c r="I422" s="37"/>
      <c r="J422" s="37"/>
      <c r="K422" s="37"/>
      <c r="L422" s="37"/>
      <c r="M422" s="37"/>
      <c r="N422" s="37"/>
      <c r="O422" s="39">
        <f>(SUBTOTAL(9,O423:O426))</f>
        <v>400</v>
      </c>
      <c r="P422" s="39">
        <f>(SUBTOTAL(9,P423:P426))</f>
        <v>-147</v>
      </c>
      <c r="Q422" s="39">
        <f>(SUBTOTAL(9,Q423:Q426))</f>
        <v>0</v>
      </c>
      <c r="R422" s="39">
        <f>(SUBTOTAL(9,R423:R426))</f>
        <v>0</v>
      </c>
      <c r="S422" s="39">
        <f>(SUBTOTAL(9,S423:S426))</f>
        <v>0</v>
      </c>
      <c r="T422" s="39">
        <f>(SUBTOTAL(9,T423:T426))</f>
        <v>0</v>
      </c>
      <c r="U422" s="55">
        <f t="shared" ref="U422" si="295">SUBTOTAL(9,O423:T426)</f>
        <v>253</v>
      </c>
    </row>
    <row r="423" spans="1:21" ht="17.25" customHeight="1" x14ac:dyDescent="0.3">
      <c r="A423" s="15" t="s">
        <v>30</v>
      </c>
      <c r="C423" s="19"/>
      <c r="D423" s="33" t="str">
        <f t="shared" ref="D423" si="296">D422</f>
        <v>S100020</v>
      </c>
      <c r="E423" s="33"/>
      <c r="F423" s="34"/>
      <c r="G423" s="34" t="str">
        <f>"""NAV Direct"",""CRONUS JetCorp USA"",""32"",""1"",""167508"""</f>
        <v>"NAV Direct","CRONUS JetCorp USA","32","1","167508"</v>
      </c>
      <c r="H423" s="40">
        <v>43466</v>
      </c>
      <c r="I423" s="41">
        <v>167508</v>
      </c>
      <c r="J423" s="42" t="str">
        <f>"Vendor"</f>
        <v>Vendor</v>
      </c>
      <c r="K423" s="42" t="str">
        <f>"V100009"</f>
        <v>V100009</v>
      </c>
      <c r="L423" s="42" t="str">
        <f>IF($J423="Customer",_xll.NL("first",$J423,"Name","No.","@@"&amp;$K423),"")</f>
        <v/>
      </c>
      <c r="M423" s="42" t="str">
        <f>"Malay-Dan Export Unit Sdn Bhd"</f>
        <v>Malay-Dan Export Unit Sdn Bhd</v>
      </c>
      <c r="N423" s="42" t="str">
        <f>IF($J423="Item",_xll.NL("first",$J423,"Description","No.","@@"&amp;$K423),"")</f>
        <v/>
      </c>
      <c r="O423" s="43">
        <v>400</v>
      </c>
      <c r="P423" s="43">
        <v>0</v>
      </c>
      <c r="Q423" s="43">
        <v>0</v>
      </c>
      <c r="R423" s="43">
        <v>0</v>
      </c>
      <c r="S423" s="43">
        <v>0</v>
      </c>
      <c r="T423" s="43">
        <v>0</v>
      </c>
      <c r="U423" s="56"/>
    </row>
    <row r="424" spans="1:21" ht="17.25" customHeight="1" x14ac:dyDescent="0.3">
      <c r="A424" s="15" t="s">
        <v>30</v>
      </c>
      <c r="C424" s="19"/>
      <c r="D424" s="33" t="str">
        <f t="shared" ref="D424:D425" si="297">D423</f>
        <v>S100020</v>
      </c>
      <c r="E424" s="33"/>
      <c r="F424" s="34"/>
      <c r="G424" s="34" t="str">
        <f>"""NAV Direct"",""CRONUS JetCorp USA"",""32"",""1"",""132514"""</f>
        <v>"NAV Direct","CRONUS JetCorp USA","32","1","132514"</v>
      </c>
      <c r="H424" s="40">
        <v>43470</v>
      </c>
      <c r="I424" s="41">
        <v>132514</v>
      </c>
      <c r="J424" s="42" t="str">
        <f>"Customer"</f>
        <v>Customer</v>
      </c>
      <c r="K424" s="42" t="str">
        <f>"C100029"</f>
        <v>C100029</v>
      </c>
      <c r="L424" s="42" t="str">
        <f>IF($J424="Customer",_xll.NL("first",$J424,"Name","No.","@@"&amp;$K424),"")</f>
        <v>Elkhorn Airport</v>
      </c>
      <c r="M424" s="42" t="str">
        <f>""</f>
        <v/>
      </c>
      <c r="N424" s="42" t="str">
        <f>IF($J424="Item",_xll.NL("first",$J424,"Description","No.","@@"&amp;$K424),"")</f>
        <v/>
      </c>
      <c r="O424" s="43">
        <v>0</v>
      </c>
      <c r="P424" s="43">
        <v>-145</v>
      </c>
      <c r="Q424" s="43">
        <v>0</v>
      </c>
      <c r="R424" s="43">
        <v>0</v>
      </c>
      <c r="S424" s="43">
        <v>0</v>
      </c>
      <c r="T424" s="43">
        <v>0</v>
      </c>
      <c r="U424" s="56"/>
    </row>
    <row r="425" spans="1:21" ht="17.25" customHeight="1" x14ac:dyDescent="0.3">
      <c r="A425" s="15" t="s">
        <v>30</v>
      </c>
      <c r="C425" s="19"/>
      <c r="D425" s="33" t="str">
        <f t="shared" si="297"/>
        <v>S100020</v>
      </c>
      <c r="E425" s="33"/>
      <c r="F425" s="34"/>
      <c r="G425" s="34" t="str">
        <f>"""NAV Direct"",""CRONUS JetCorp USA"",""32"",""1"",""135821"""</f>
        <v>"NAV Direct","CRONUS JetCorp USA","32","1","135821"</v>
      </c>
      <c r="H425" s="40">
        <v>43474</v>
      </c>
      <c r="I425" s="41">
        <v>135821</v>
      </c>
      <c r="J425" s="42" t="str">
        <f>"Customer"</f>
        <v>Customer</v>
      </c>
      <c r="K425" s="42" t="str">
        <f>"C100050"</f>
        <v>C100050</v>
      </c>
      <c r="L425" s="42" t="str">
        <f>IF($J425="Customer",_xll.NL("first",$J425,"Name","No.","@@"&amp;$K425),"")</f>
        <v>Lauritzen Kontorm¢bler A/S</v>
      </c>
      <c r="M425" s="42" t="str">
        <f>""</f>
        <v/>
      </c>
      <c r="N425" s="42" t="str">
        <f>IF($J425="Item",_xll.NL("first",$J425,"Description","No.","@@"&amp;$K425),"")</f>
        <v/>
      </c>
      <c r="O425" s="43">
        <v>0</v>
      </c>
      <c r="P425" s="43">
        <v>-2</v>
      </c>
      <c r="Q425" s="43">
        <v>0</v>
      </c>
      <c r="R425" s="43">
        <v>0</v>
      </c>
      <c r="S425" s="43">
        <v>0</v>
      </c>
      <c r="T425" s="43">
        <v>0</v>
      </c>
      <c r="U425" s="56"/>
    </row>
    <row r="426" spans="1:21" ht="17.25" customHeight="1" x14ac:dyDescent="0.3">
      <c r="A426" s="15" t="s">
        <v>30</v>
      </c>
      <c r="C426" s="19"/>
      <c r="D426" s="33"/>
      <c r="E426" s="33"/>
      <c r="F426" s="34"/>
      <c r="G426" s="34"/>
      <c r="H426" s="34"/>
      <c r="I426" s="34"/>
      <c r="J426" s="34"/>
      <c r="K426" s="34"/>
      <c r="L426" s="34"/>
      <c r="M426" s="34"/>
      <c r="N426" s="34"/>
      <c r="O426" s="44"/>
      <c r="P426" s="44"/>
      <c r="Q426" s="44"/>
      <c r="R426" s="44"/>
      <c r="S426" s="44"/>
      <c r="T426" s="44"/>
      <c r="U426" s="57"/>
    </row>
    <row r="427" spans="1:21" ht="17.25" customHeight="1" x14ac:dyDescent="0.3">
      <c r="A427" s="15" t="s">
        <v>30</v>
      </c>
      <c r="C427" s="19"/>
      <c r="D427" s="33"/>
      <c r="E427" s="33" t="s">
        <v>31</v>
      </c>
      <c r="F427" s="34" t="s">
        <v>31</v>
      </c>
      <c r="G427" s="34" t="s">
        <v>31</v>
      </c>
      <c r="H427" s="34"/>
      <c r="I427" s="34"/>
      <c r="J427" s="34" t="s">
        <v>31</v>
      </c>
      <c r="K427" s="34" t="s">
        <v>31</v>
      </c>
      <c r="L427" s="34" t="s">
        <v>31</v>
      </c>
      <c r="M427" s="34" t="s">
        <v>31</v>
      </c>
      <c r="N427" s="34"/>
      <c r="U427" s="58"/>
    </row>
    <row r="428" spans="1:21" ht="20.25" customHeight="1" x14ac:dyDescent="0.35">
      <c r="A428" s="15" t="s">
        <v>30</v>
      </c>
      <c r="C428" s="19"/>
      <c r="D428" s="35" t="str">
        <f t="shared" ref="D428" si="298">E428</f>
        <v>S100021</v>
      </c>
      <c r="E428" s="36" t="str">
        <f>"S100021"</f>
        <v>S100021</v>
      </c>
      <c r="F428" s="37" t="str">
        <f>"Translucent Stopwatch"</f>
        <v>Translucent Stopwatch</v>
      </c>
      <c r="G428" s="37"/>
      <c r="H428" s="38" t="str">
        <f>"EA"</f>
        <v>EA</v>
      </c>
      <c r="I428" s="37"/>
      <c r="J428" s="37"/>
      <c r="K428" s="37"/>
      <c r="L428" s="37"/>
      <c r="M428" s="37"/>
      <c r="N428" s="37"/>
      <c r="O428" s="39">
        <f>(SUBTOTAL(9,O429:O430))</f>
        <v>400</v>
      </c>
      <c r="P428" s="39">
        <f>(SUBTOTAL(9,P429:P430))</f>
        <v>0</v>
      </c>
      <c r="Q428" s="39">
        <f>(SUBTOTAL(9,Q429:Q430))</f>
        <v>0</v>
      </c>
      <c r="R428" s="39">
        <f>(SUBTOTAL(9,R429:R430))</f>
        <v>0</v>
      </c>
      <c r="S428" s="39">
        <f>(SUBTOTAL(9,S429:S430))</f>
        <v>0</v>
      </c>
      <c r="T428" s="39">
        <f>(SUBTOTAL(9,T429:T430))</f>
        <v>0</v>
      </c>
      <c r="U428" s="55">
        <f t="shared" ref="U428" si="299">SUBTOTAL(9,O429:T430)</f>
        <v>400</v>
      </c>
    </row>
    <row r="429" spans="1:21" ht="17.25" customHeight="1" x14ac:dyDescent="0.3">
      <c r="A429" s="15" t="s">
        <v>30</v>
      </c>
      <c r="C429" s="19"/>
      <c r="D429" s="33" t="str">
        <f t="shared" ref="D429" si="300">D428</f>
        <v>S100021</v>
      </c>
      <c r="E429" s="33"/>
      <c r="F429" s="34"/>
      <c r="G429" s="34" t="str">
        <f>"""NAV Direct"",""CRONUS JetCorp USA"",""32"",""1"",""167507"""</f>
        <v>"NAV Direct","CRONUS JetCorp USA","32","1","167507"</v>
      </c>
      <c r="H429" s="40">
        <v>43466</v>
      </c>
      <c r="I429" s="41">
        <v>167507</v>
      </c>
      <c r="J429" s="42" t="str">
        <f>"Vendor"</f>
        <v>Vendor</v>
      </c>
      <c r="K429" s="42" t="str">
        <f>"V100009"</f>
        <v>V100009</v>
      </c>
      <c r="L429" s="42" t="str">
        <f>IF($J429="Customer",_xll.NL("first",$J429,"Name","No.","@@"&amp;$K429),"")</f>
        <v/>
      </c>
      <c r="M429" s="42" t="str">
        <f>"Malay-Dan Export Unit Sdn Bhd"</f>
        <v>Malay-Dan Export Unit Sdn Bhd</v>
      </c>
      <c r="N429" s="42" t="str">
        <f>IF($J429="Item",_xll.NL("first",$J429,"Description","No.","@@"&amp;$K429),"")</f>
        <v/>
      </c>
      <c r="O429" s="43">
        <v>400</v>
      </c>
      <c r="P429" s="43">
        <v>0</v>
      </c>
      <c r="Q429" s="43">
        <v>0</v>
      </c>
      <c r="R429" s="43">
        <v>0</v>
      </c>
      <c r="S429" s="43">
        <v>0</v>
      </c>
      <c r="T429" s="43">
        <v>0</v>
      </c>
      <c r="U429" s="56"/>
    </row>
    <row r="430" spans="1:21" ht="17.25" customHeight="1" x14ac:dyDescent="0.3">
      <c r="A430" s="15" t="s">
        <v>30</v>
      </c>
      <c r="C430" s="19"/>
      <c r="D430" s="33"/>
      <c r="E430" s="33"/>
      <c r="F430" s="34"/>
      <c r="G430" s="34"/>
      <c r="H430" s="34"/>
      <c r="I430" s="34"/>
      <c r="J430" s="34"/>
      <c r="K430" s="34"/>
      <c r="L430" s="34"/>
      <c r="M430" s="34"/>
      <c r="N430" s="34"/>
      <c r="O430" s="44"/>
      <c r="P430" s="44"/>
      <c r="Q430" s="44"/>
      <c r="R430" s="44"/>
      <c r="S430" s="44"/>
      <c r="T430" s="44"/>
      <c r="U430" s="57"/>
    </row>
    <row r="431" spans="1:21" ht="17.25" customHeight="1" x14ac:dyDescent="0.3">
      <c r="A431" s="15" t="s">
        <v>30</v>
      </c>
      <c r="C431" s="19"/>
      <c r="D431" s="33"/>
      <c r="E431" s="33" t="s">
        <v>31</v>
      </c>
      <c r="F431" s="34" t="s">
        <v>31</v>
      </c>
      <c r="G431" s="34" t="s">
        <v>31</v>
      </c>
      <c r="H431" s="34"/>
      <c r="I431" s="34"/>
      <c r="J431" s="34" t="s">
        <v>31</v>
      </c>
      <c r="K431" s="34" t="s">
        <v>31</v>
      </c>
      <c r="L431" s="34" t="s">
        <v>31</v>
      </c>
      <c r="M431" s="34" t="s">
        <v>31</v>
      </c>
      <c r="N431" s="34"/>
      <c r="U431" s="58"/>
    </row>
    <row r="432" spans="1:21" ht="20.25" customHeight="1" x14ac:dyDescent="0.35">
      <c r="A432" s="15" t="s">
        <v>30</v>
      </c>
      <c r="C432" s="19"/>
      <c r="D432" s="35" t="str">
        <f t="shared" ref="D432" si="301">E432</f>
        <v>S100023</v>
      </c>
      <c r="E432" s="36" t="str">
        <f>"S100023"</f>
        <v>S100023</v>
      </c>
      <c r="F432" s="37" t="str">
        <f>"Gripper SPORT BOT"</f>
        <v>Gripper SPORT BOT</v>
      </c>
      <c r="G432" s="37"/>
      <c r="H432" s="38" t="str">
        <f>"EA"</f>
        <v>EA</v>
      </c>
      <c r="I432" s="37"/>
      <c r="J432" s="37"/>
      <c r="K432" s="37"/>
      <c r="L432" s="37"/>
      <c r="M432" s="37"/>
      <c r="N432" s="37"/>
      <c r="O432" s="39">
        <f>(SUBTOTAL(9,O433:O435))</f>
        <v>499.99999999999994</v>
      </c>
      <c r="P432" s="39">
        <f>(SUBTOTAL(9,P433:P435))</f>
        <v>-144</v>
      </c>
      <c r="Q432" s="39">
        <f>(SUBTOTAL(9,Q433:Q435))</f>
        <v>0</v>
      </c>
      <c r="R432" s="39">
        <f>(SUBTOTAL(9,R433:R435))</f>
        <v>0</v>
      </c>
      <c r="S432" s="39">
        <f>(SUBTOTAL(9,S433:S435))</f>
        <v>0</v>
      </c>
      <c r="T432" s="39">
        <f>(SUBTOTAL(9,T433:T435))</f>
        <v>0</v>
      </c>
      <c r="U432" s="55">
        <f t="shared" ref="U432" si="302">SUBTOTAL(9,O433:T435)</f>
        <v>355.99999999999994</v>
      </c>
    </row>
    <row r="433" spans="1:21" ht="17.25" customHeight="1" x14ac:dyDescent="0.3">
      <c r="A433" s="15" t="s">
        <v>30</v>
      </c>
      <c r="C433" s="19"/>
      <c r="D433" s="33" t="str">
        <f t="shared" ref="D433" si="303">D432</f>
        <v>S100023</v>
      </c>
      <c r="E433" s="33"/>
      <c r="F433" s="34"/>
      <c r="G433" s="34" t="str">
        <f>"""NAV Direct"",""CRONUS JetCorp USA"",""32"",""1"",""168603"""</f>
        <v>"NAV Direct","CRONUS JetCorp USA","32","1","168603"</v>
      </c>
      <c r="H433" s="40">
        <v>43466</v>
      </c>
      <c r="I433" s="41">
        <v>168603</v>
      </c>
      <c r="J433" s="42" t="str">
        <f>"Vendor"</f>
        <v>Vendor</v>
      </c>
      <c r="K433" s="42" t="str">
        <f>"V100025"</f>
        <v>V100025</v>
      </c>
      <c r="L433" s="42" t="str">
        <f>IF($J433="Customer",_xll.NL("first",$J433,"Name","No.","@@"&amp;$K433),"")</f>
        <v/>
      </c>
      <c r="M433" s="42" t="str">
        <f>"Club Euroamis"</f>
        <v>Club Euroamis</v>
      </c>
      <c r="N433" s="42" t="str">
        <f>IF($J433="Item",_xll.NL("first",$J433,"Description","No.","@@"&amp;$K433),"")</f>
        <v/>
      </c>
      <c r="O433" s="43">
        <v>499.99999999999994</v>
      </c>
      <c r="P433" s="43">
        <v>0</v>
      </c>
      <c r="Q433" s="43">
        <v>0</v>
      </c>
      <c r="R433" s="43">
        <v>0</v>
      </c>
      <c r="S433" s="43">
        <v>0</v>
      </c>
      <c r="T433" s="43">
        <v>0</v>
      </c>
      <c r="U433" s="56"/>
    </row>
    <row r="434" spans="1:21" ht="17.25" customHeight="1" x14ac:dyDescent="0.3">
      <c r="A434" s="15" t="s">
        <v>30</v>
      </c>
      <c r="C434" s="19"/>
      <c r="D434" s="33" t="str">
        <f t="shared" ref="D434" si="304">D433</f>
        <v>S100023</v>
      </c>
      <c r="E434" s="33"/>
      <c r="F434" s="34"/>
      <c r="G434" s="34" t="str">
        <f>"""NAV Direct"",""CRONUS JetCorp USA"",""32"",""1"",""78889"""</f>
        <v>"NAV Direct","CRONUS JetCorp USA","32","1","78889"</v>
      </c>
      <c r="H434" s="40">
        <v>43474</v>
      </c>
      <c r="I434" s="41">
        <v>78889</v>
      </c>
      <c r="J434" s="42" t="str">
        <f>"Customer"</f>
        <v>Customer</v>
      </c>
      <c r="K434" s="42" t="str">
        <f>"C100124"</f>
        <v>C100124</v>
      </c>
      <c r="L434" s="42" t="str">
        <f>IF($J434="Customer",_xll.NL("first",$J434,"Name","No.","@@"&amp;$K434),"")</f>
        <v>Ontocane Outdoors</v>
      </c>
      <c r="M434" s="42" t="str">
        <f>""</f>
        <v/>
      </c>
      <c r="N434" s="42" t="str">
        <f>IF($J434="Item",_xll.NL("first",$J434,"Description","No.","@@"&amp;$K434),"")</f>
        <v/>
      </c>
      <c r="O434" s="43">
        <v>0</v>
      </c>
      <c r="P434" s="43">
        <v>-144</v>
      </c>
      <c r="Q434" s="43">
        <v>0</v>
      </c>
      <c r="R434" s="43">
        <v>0</v>
      </c>
      <c r="S434" s="43">
        <v>0</v>
      </c>
      <c r="T434" s="43">
        <v>0</v>
      </c>
      <c r="U434" s="56"/>
    </row>
    <row r="435" spans="1:21" ht="17.25" customHeight="1" x14ac:dyDescent="0.3">
      <c r="A435" s="15" t="s">
        <v>30</v>
      </c>
      <c r="C435" s="19"/>
      <c r="D435" s="33"/>
      <c r="E435" s="33"/>
      <c r="F435" s="34"/>
      <c r="G435" s="34"/>
      <c r="H435" s="34"/>
      <c r="I435" s="34"/>
      <c r="J435" s="34"/>
      <c r="K435" s="34"/>
      <c r="L435" s="34"/>
      <c r="M435" s="34"/>
      <c r="N435" s="34"/>
      <c r="O435" s="44"/>
      <c r="P435" s="44"/>
      <c r="Q435" s="44"/>
      <c r="R435" s="44"/>
      <c r="S435" s="44"/>
      <c r="T435" s="44"/>
      <c r="U435" s="57"/>
    </row>
    <row r="436" spans="1:21" ht="17.25" customHeight="1" x14ac:dyDescent="0.3">
      <c r="A436" s="15" t="s">
        <v>30</v>
      </c>
      <c r="C436" s="19"/>
      <c r="D436" s="33"/>
      <c r="E436" s="33" t="s">
        <v>31</v>
      </c>
      <c r="F436" s="34" t="s">
        <v>31</v>
      </c>
      <c r="G436" s="34" t="s">
        <v>31</v>
      </c>
      <c r="H436" s="34"/>
      <c r="I436" s="34"/>
      <c r="J436" s="34" t="s">
        <v>31</v>
      </c>
      <c r="K436" s="34" t="s">
        <v>31</v>
      </c>
      <c r="L436" s="34" t="s">
        <v>31</v>
      </c>
      <c r="M436" s="34" t="s">
        <v>31</v>
      </c>
      <c r="N436" s="34"/>
      <c r="U436" s="58"/>
    </row>
    <row r="437" spans="1:21" ht="20.25" customHeight="1" x14ac:dyDescent="0.35">
      <c r="A437" s="15" t="s">
        <v>30</v>
      </c>
      <c r="C437" s="19"/>
      <c r="D437" s="35" t="str">
        <f t="shared" ref="D437" si="305">E437</f>
        <v>S100024</v>
      </c>
      <c r="E437" s="36" t="str">
        <f>"S100024"</f>
        <v>S100024</v>
      </c>
      <c r="F437" s="37" t="str">
        <f>"Aluminum SPORT BOT"</f>
        <v>Aluminum SPORT BOT</v>
      </c>
      <c r="G437" s="37"/>
      <c r="H437" s="38" t="str">
        <f>"EA"</f>
        <v>EA</v>
      </c>
      <c r="I437" s="37"/>
      <c r="J437" s="37"/>
      <c r="K437" s="37"/>
      <c r="L437" s="37"/>
      <c r="M437" s="37"/>
      <c r="N437" s="37"/>
      <c r="O437" s="39">
        <f>(SUBTOTAL(9,O438:O439))</f>
        <v>249.99999999999997</v>
      </c>
      <c r="P437" s="39">
        <f>(SUBTOTAL(9,P438:P439))</f>
        <v>0</v>
      </c>
      <c r="Q437" s="39">
        <f>(SUBTOTAL(9,Q438:Q439))</f>
        <v>0</v>
      </c>
      <c r="R437" s="39">
        <f>(SUBTOTAL(9,R438:R439))</f>
        <v>0</v>
      </c>
      <c r="S437" s="39">
        <f>(SUBTOTAL(9,S438:S439))</f>
        <v>0</v>
      </c>
      <c r="T437" s="39">
        <f>(SUBTOTAL(9,T438:T439))</f>
        <v>0</v>
      </c>
      <c r="U437" s="55">
        <f t="shared" ref="U437" si="306">SUBTOTAL(9,O438:T439)</f>
        <v>249.99999999999997</v>
      </c>
    </row>
    <row r="438" spans="1:21" ht="17.25" customHeight="1" x14ac:dyDescent="0.3">
      <c r="A438" s="15" t="s">
        <v>30</v>
      </c>
      <c r="C438" s="19"/>
      <c r="D438" s="33" t="str">
        <f t="shared" ref="D438:D444" si="307">D437</f>
        <v>S100024</v>
      </c>
      <c r="E438" s="33"/>
      <c r="F438" s="34"/>
      <c r="G438" s="34" t="str">
        <f>"""NAV Direct"",""CRONUS JetCorp USA"",""32"",""1"",""168602"""</f>
        <v>"NAV Direct","CRONUS JetCorp USA","32","1","168602"</v>
      </c>
      <c r="H438" s="40">
        <v>43466</v>
      </c>
      <c r="I438" s="41">
        <v>168602</v>
      </c>
      <c r="J438" s="42" t="str">
        <f>"Vendor"</f>
        <v>Vendor</v>
      </c>
      <c r="K438" s="42" t="str">
        <f>"V100025"</f>
        <v>V100025</v>
      </c>
      <c r="L438" s="42" t="str">
        <f>IF($J438="Customer",_xll.NL("first",$J438,"Name","No.","@@"&amp;$K438),"")</f>
        <v/>
      </c>
      <c r="M438" s="42" t="str">
        <f>"Club Euroamis"</f>
        <v>Club Euroamis</v>
      </c>
      <c r="N438" s="42" t="str">
        <f>IF($J438="Item",_xll.NL("first",$J438,"Description","No.","@@"&amp;$K438),"")</f>
        <v/>
      </c>
      <c r="O438" s="43">
        <v>249.99999999999997</v>
      </c>
      <c r="P438" s="43">
        <v>0</v>
      </c>
      <c r="Q438" s="43">
        <v>0</v>
      </c>
      <c r="R438" s="43">
        <v>0</v>
      </c>
      <c r="S438" s="43">
        <v>0</v>
      </c>
      <c r="T438" s="43">
        <v>0</v>
      </c>
      <c r="U438" s="56"/>
    </row>
    <row r="439" spans="1:21" ht="17.25" customHeight="1" x14ac:dyDescent="0.3">
      <c r="A439" s="15" t="s">
        <v>30</v>
      </c>
      <c r="C439" s="19"/>
      <c r="D439" s="33"/>
      <c r="E439" s="33"/>
      <c r="F439" s="34"/>
      <c r="G439" s="34"/>
      <c r="H439" s="34"/>
      <c r="I439" s="34"/>
      <c r="J439" s="34"/>
      <c r="K439" s="34"/>
      <c r="L439" s="34"/>
      <c r="M439" s="34"/>
      <c r="N439" s="34"/>
      <c r="O439" s="44"/>
      <c r="P439" s="44"/>
      <c r="Q439" s="44"/>
      <c r="R439" s="44"/>
      <c r="S439" s="44"/>
      <c r="T439" s="44"/>
      <c r="U439" s="57"/>
    </row>
    <row r="440" spans="1:21" ht="17.25" customHeight="1" x14ac:dyDescent="0.3">
      <c r="A440" s="15" t="s">
        <v>30</v>
      </c>
      <c r="C440" s="19"/>
      <c r="D440" s="33"/>
      <c r="E440" s="33" t="s">
        <v>31</v>
      </c>
      <c r="F440" s="34" t="s">
        <v>31</v>
      </c>
      <c r="G440" s="34" t="s">
        <v>31</v>
      </c>
      <c r="H440" s="34"/>
      <c r="I440" s="34"/>
      <c r="J440" s="34" t="s">
        <v>31</v>
      </c>
      <c r="K440" s="34" t="s">
        <v>31</v>
      </c>
      <c r="L440" s="34" t="s">
        <v>31</v>
      </c>
      <c r="M440" s="34" t="s">
        <v>31</v>
      </c>
      <c r="N440" s="34"/>
      <c r="U440" s="58"/>
    </row>
    <row r="441" spans="1:21" ht="20.25" customHeight="1" x14ac:dyDescent="0.35">
      <c r="A441" s="15" t="s">
        <v>30</v>
      </c>
      <c r="C441" s="19"/>
      <c r="D441" s="35" t="str">
        <f t="shared" ref="D441" si="308">E441</f>
        <v>S100025</v>
      </c>
      <c r="E441" s="36" t="str">
        <f>"S100025"</f>
        <v>S100025</v>
      </c>
      <c r="F441" s="37" t="str">
        <f>"SPORT BOT with Pop Lid"</f>
        <v>SPORT BOT with Pop Lid</v>
      </c>
      <c r="G441" s="37"/>
      <c r="H441" s="38" t="str">
        <f>"EA"</f>
        <v>EA</v>
      </c>
      <c r="I441" s="37"/>
      <c r="J441" s="37"/>
      <c r="K441" s="37"/>
      <c r="L441" s="37"/>
      <c r="M441" s="37"/>
      <c r="N441" s="37"/>
      <c r="O441" s="39">
        <f>(SUBTOTAL(9,O442:O443))</f>
        <v>499.99999999999994</v>
      </c>
      <c r="P441" s="39">
        <f>(SUBTOTAL(9,P442:P443))</f>
        <v>0</v>
      </c>
      <c r="Q441" s="39">
        <f>(SUBTOTAL(9,Q442:Q443))</f>
        <v>0</v>
      </c>
      <c r="R441" s="39">
        <f>(SUBTOTAL(9,R442:R443))</f>
        <v>0</v>
      </c>
      <c r="S441" s="39">
        <f>(SUBTOTAL(9,S442:S443))</f>
        <v>0</v>
      </c>
      <c r="T441" s="39">
        <f>(SUBTOTAL(9,T442:T443))</f>
        <v>0</v>
      </c>
      <c r="U441" s="55">
        <f t="shared" ref="U441" si="309">SUBTOTAL(9,O442:T443)</f>
        <v>499.99999999999994</v>
      </c>
    </row>
    <row r="442" spans="1:21" ht="17.25" customHeight="1" x14ac:dyDescent="0.3">
      <c r="A442" s="15" t="s">
        <v>30</v>
      </c>
      <c r="C442" s="19"/>
      <c r="D442" s="33" t="str">
        <f t="shared" ref="D442:D444" si="310">D441</f>
        <v>S100025</v>
      </c>
      <c r="E442" s="33"/>
      <c r="F442" s="34"/>
      <c r="G442" s="34" t="str">
        <f>"""NAV Direct"",""CRONUS JetCorp USA"",""32"",""1"",""168601"""</f>
        <v>"NAV Direct","CRONUS JetCorp USA","32","1","168601"</v>
      </c>
      <c r="H442" s="40">
        <v>43466</v>
      </c>
      <c r="I442" s="41">
        <v>168601</v>
      </c>
      <c r="J442" s="42" t="str">
        <f>"Vendor"</f>
        <v>Vendor</v>
      </c>
      <c r="K442" s="42" t="str">
        <f>"V100025"</f>
        <v>V100025</v>
      </c>
      <c r="L442" s="42" t="str">
        <f>IF($J442="Customer",_xll.NL("first",$J442,"Name","No.","@@"&amp;$K442),"")</f>
        <v/>
      </c>
      <c r="M442" s="42" t="str">
        <f>"Club Euroamis"</f>
        <v>Club Euroamis</v>
      </c>
      <c r="N442" s="42" t="str">
        <f>IF($J442="Item",_xll.NL("first",$J442,"Description","No.","@@"&amp;$K442),"")</f>
        <v/>
      </c>
      <c r="O442" s="43">
        <v>499.99999999999994</v>
      </c>
      <c r="P442" s="43">
        <v>0</v>
      </c>
      <c r="Q442" s="43">
        <v>0</v>
      </c>
      <c r="R442" s="43">
        <v>0</v>
      </c>
      <c r="S442" s="43">
        <v>0</v>
      </c>
      <c r="T442" s="43">
        <v>0</v>
      </c>
      <c r="U442" s="56"/>
    </row>
    <row r="443" spans="1:21" ht="17.25" customHeight="1" x14ac:dyDescent="0.3">
      <c r="A443" s="15" t="s">
        <v>30</v>
      </c>
      <c r="C443" s="19"/>
      <c r="D443" s="33"/>
      <c r="E443" s="33"/>
      <c r="F443" s="34"/>
      <c r="G443" s="34"/>
      <c r="H443" s="34"/>
      <c r="I443" s="34"/>
      <c r="J443" s="34"/>
      <c r="K443" s="34"/>
      <c r="L443" s="34"/>
      <c r="M443" s="34"/>
      <c r="N443" s="34"/>
      <c r="O443" s="44"/>
      <c r="P443" s="44"/>
      <c r="Q443" s="44"/>
      <c r="R443" s="44"/>
      <c r="S443" s="44"/>
      <c r="T443" s="44"/>
      <c r="U443" s="57"/>
    </row>
    <row r="444" spans="1:21" ht="17.25" customHeight="1" x14ac:dyDescent="0.3">
      <c r="A444" s="15" t="s">
        <v>30</v>
      </c>
      <c r="C444" s="19"/>
      <c r="D444" s="33"/>
      <c r="E444" s="33" t="s">
        <v>31</v>
      </c>
      <c r="F444" s="34" t="s">
        <v>31</v>
      </c>
      <c r="G444" s="34" t="s">
        <v>31</v>
      </c>
      <c r="H444" s="34"/>
      <c r="I444" s="34"/>
      <c r="J444" s="34" t="s">
        <v>31</v>
      </c>
      <c r="K444" s="34" t="s">
        <v>31</v>
      </c>
      <c r="L444" s="34" t="s">
        <v>31</v>
      </c>
      <c r="M444" s="34" t="s">
        <v>31</v>
      </c>
      <c r="N444" s="34"/>
      <c r="U444" s="58"/>
    </row>
    <row r="445" spans="1:21" ht="17.25" customHeight="1" x14ac:dyDescent="0.3">
      <c r="A445" s="15"/>
      <c r="C445" s="19"/>
      <c r="D445" s="33"/>
      <c r="E445" s="33"/>
      <c r="F445" s="34"/>
      <c r="G445" s="34"/>
      <c r="H445" s="34"/>
      <c r="I445" s="34"/>
      <c r="J445" s="34"/>
      <c r="K445" s="34"/>
      <c r="L445" s="34"/>
      <c r="M445" s="34"/>
      <c r="N445" s="34"/>
      <c r="O445" s="44"/>
      <c r="P445" s="44"/>
      <c r="Q445" s="44"/>
      <c r="R445" s="44"/>
      <c r="S445" s="44"/>
      <c r="T445" s="44"/>
      <c r="U445" s="57"/>
    </row>
    <row r="446" spans="1:21" ht="20.25" customHeight="1" thickBot="1" x14ac:dyDescent="0.4">
      <c r="A446" s="15"/>
      <c r="C446" s="19"/>
      <c r="D446" s="33"/>
      <c r="E446" s="33"/>
      <c r="F446" s="34"/>
      <c r="G446" s="34"/>
      <c r="H446" s="34"/>
      <c r="I446" s="34"/>
      <c r="J446" s="34"/>
      <c r="K446" s="34"/>
      <c r="L446" s="34"/>
      <c r="M446" s="34"/>
      <c r="N446" s="60" t="s">
        <v>32</v>
      </c>
      <c r="O446" s="61">
        <f>SUBTOTAL(9,O13:O445)</f>
        <v>27500</v>
      </c>
      <c r="P446" s="61">
        <f>SUBTOTAL(9,P13:P445)</f>
        <v>-6384</v>
      </c>
      <c r="Q446" s="61">
        <f>SUBTOTAL(9,Q13:Q445)</f>
        <v>0</v>
      </c>
      <c r="R446" s="61">
        <f>SUBTOTAL(9,R13:R445)</f>
        <v>0</v>
      </c>
      <c r="S446" s="61">
        <f>SUBTOTAL(9,S13:S445)</f>
        <v>0</v>
      </c>
      <c r="T446" s="61">
        <f>SUBTOTAL(9,T13:T445)</f>
        <v>0</v>
      </c>
      <c r="U446" s="62">
        <f>SUM(U12:U445)</f>
        <v>21116</v>
      </c>
    </row>
    <row r="447" spans="1:21" ht="17.25" customHeight="1" x14ac:dyDescent="0.3">
      <c r="A447" s="15"/>
      <c r="C447" s="19"/>
      <c r="D447" s="33"/>
      <c r="E447" s="33"/>
      <c r="F447" s="34"/>
      <c r="G447" s="34"/>
      <c r="H447" s="34"/>
      <c r="I447" s="34"/>
      <c r="J447" s="34"/>
      <c r="K447" s="34"/>
      <c r="L447" s="34"/>
      <c r="M447" s="34"/>
      <c r="N447" s="34"/>
      <c r="O447" s="44"/>
      <c r="P447" s="44"/>
      <c r="Q447" s="44"/>
      <c r="R447" s="44"/>
      <c r="S447" s="44"/>
      <c r="T447" s="44"/>
      <c r="U447" s="57"/>
    </row>
    <row r="448" spans="1:21" ht="17.25" customHeight="1" x14ac:dyDescent="0.3">
      <c r="A448" s="15"/>
      <c r="C448" s="19"/>
      <c r="D448" s="45"/>
      <c r="E448" s="45"/>
      <c r="F448" s="46"/>
      <c r="G448" s="46"/>
      <c r="H448" s="46"/>
      <c r="I448" s="46"/>
      <c r="J448" s="46"/>
      <c r="K448" s="46"/>
      <c r="L448" s="46"/>
      <c r="M448" s="46"/>
      <c r="N448" s="47"/>
      <c r="O448" s="48"/>
      <c r="P448" s="48"/>
      <c r="Q448" s="48"/>
      <c r="R448" s="48"/>
      <c r="S448" s="48"/>
      <c r="T448" s="48"/>
      <c r="U448" s="59"/>
    </row>
    <row r="449" spans="1:21" ht="17.25" customHeight="1" x14ac:dyDescent="0.3">
      <c r="A449" s="15"/>
      <c r="C449" s="19"/>
      <c r="D449" s="20"/>
      <c r="E449" s="20"/>
      <c r="F449" s="20"/>
      <c r="G449" s="20"/>
      <c r="H449" s="20"/>
      <c r="I449" s="20"/>
      <c r="J449" s="20"/>
      <c r="K449" s="20"/>
      <c r="L449" s="20"/>
      <c r="M449" s="20"/>
      <c r="N449" s="20"/>
      <c r="O449" s="20"/>
      <c r="P449" s="20"/>
      <c r="Q449" s="20"/>
      <c r="R449" s="20"/>
      <c r="S449" s="20"/>
      <c r="T449" s="20"/>
      <c r="U449" s="20"/>
    </row>
    <row r="450" spans="1:21" ht="17.25" customHeight="1" x14ac:dyDescent="0.3">
      <c r="A450" s="15"/>
      <c r="C450" s="19"/>
      <c r="D450" s="20"/>
      <c r="E450" s="20"/>
      <c r="F450" s="20"/>
      <c r="G450" s="20"/>
      <c r="H450" s="20"/>
      <c r="I450" s="20"/>
      <c r="J450" s="20"/>
      <c r="K450" s="20"/>
      <c r="L450" s="20"/>
      <c r="M450" s="20"/>
      <c r="N450" s="20"/>
      <c r="O450" s="20"/>
      <c r="P450" s="20"/>
      <c r="Q450" s="20"/>
      <c r="R450" s="20"/>
      <c r="S450" s="20"/>
      <c r="T450" s="20"/>
      <c r="U450" s="20"/>
    </row>
    <row r="451" spans="1:21" ht="17.25" customHeight="1" x14ac:dyDescent="0.3">
      <c r="A451" s="15"/>
      <c r="C451" s="19"/>
      <c r="D451" s="20"/>
      <c r="E451" s="20"/>
      <c r="F451" s="20"/>
      <c r="G451" s="20"/>
      <c r="H451" s="20"/>
      <c r="I451" s="20"/>
      <c r="J451" s="20"/>
      <c r="K451" s="20"/>
      <c r="L451" s="20"/>
      <c r="M451" s="20"/>
      <c r="N451" s="20"/>
      <c r="O451" s="20"/>
      <c r="P451" s="20"/>
      <c r="Q451" s="20"/>
      <c r="R451" s="20"/>
      <c r="S451" s="20"/>
      <c r="T451" s="20"/>
      <c r="U451" s="20"/>
    </row>
    <row r="452" spans="1:21" ht="17.25" customHeight="1" x14ac:dyDescent="0.3">
      <c r="A452" s="15"/>
      <c r="C452" s="19"/>
      <c r="D452" s="20"/>
      <c r="E452" s="20"/>
      <c r="F452" s="20"/>
      <c r="G452" s="20"/>
      <c r="H452" s="20"/>
      <c r="I452" s="20"/>
      <c r="J452" s="20"/>
      <c r="K452" s="20"/>
      <c r="L452" s="20"/>
      <c r="M452" s="20"/>
      <c r="N452" s="20"/>
      <c r="O452" s="20"/>
      <c r="P452" s="20"/>
      <c r="Q452" s="20"/>
      <c r="R452" s="20"/>
      <c r="S452" s="20"/>
      <c r="T452" s="20"/>
      <c r="U452" s="20"/>
    </row>
    <row r="453" spans="1:21" ht="17.25" customHeight="1" x14ac:dyDescent="0.3">
      <c r="A453" s="15"/>
      <c r="C453" s="19"/>
      <c r="D453" s="20"/>
      <c r="E453" s="20"/>
      <c r="F453" s="20"/>
      <c r="G453" s="20"/>
      <c r="H453" s="20"/>
      <c r="I453" s="20"/>
      <c r="J453" s="20"/>
      <c r="K453" s="20"/>
      <c r="L453" s="20"/>
      <c r="M453" s="20"/>
      <c r="N453" s="20"/>
      <c r="O453" s="20"/>
      <c r="P453" s="20"/>
      <c r="Q453" s="20"/>
      <c r="R453" s="20"/>
      <c r="S453" s="20"/>
      <c r="T453" s="20"/>
      <c r="U453" s="20"/>
    </row>
    <row r="454" spans="1:21" ht="17.25" customHeight="1" x14ac:dyDescent="0.3">
      <c r="A454" s="15"/>
      <c r="C454" s="19"/>
      <c r="D454" s="20"/>
      <c r="E454" s="20"/>
      <c r="F454" s="20"/>
      <c r="G454" s="20"/>
      <c r="H454" s="20"/>
      <c r="I454" s="20"/>
      <c r="J454" s="20"/>
      <c r="K454" s="20"/>
      <c r="L454" s="20"/>
      <c r="M454" s="20"/>
      <c r="N454" s="20"/>
      <c r="O454" s="20"/>
      <c r="P454" s="20"/>
      <c r="Q454" s="20"/>
      <c r="R454" s="20"/>
      <c r="S454" s="20"/>
      <c r="T454" s="20"/>
      <c r="U454" s="20"/>
    </row>
    <row r="455" spans="1:21" ht="17.25" customHeight="1" x14ac:dyDescent="0.3">
      <c r="A455" s="15"/>
      <c r="C455" s="19"/>
      <c r="D455" s="20"/>
      <c r="E455" s="20"/>
      <c r="F455" s="20"/>
      <c r="G455" s="20"/>
      <c r="H455" s="20"/>
      <c r="I455" s="20"/>
      <c r="J455" s="20"/>
      <c r="K455" s="20"/>
      <c r="L455" s="20"/>
      <c r="M455" s="20"/>
      <c r="N455" s="20"/>
      <c r="O455" s="20"/>
      <c r="P455" s="20"/>
      <c r="Q455" s="20"/>
      <c r="R455" s="20"/>
      <c r="S455" s="20"/>
      <c r="T455" s="20"/>
      <c r="U455" s="20"/>
    </row>
    <row r="456" spans="1:21" ht="17.25" customHeight="1" x14ac:dyDescent="0.3">
      <c r="A456" s="15"/>
      <c r="C456" s="19"/>
      <c r="D456" s="20"/>
      <c r="E456" s="20"/>
      <c r="F456" s="20"/>
      <c r="G456" s="20"/>
      <c r="H456" s="20"/>
      <c r="I456" s="20"/>
      <c r="J456" s="20"/>
      <c r="K456" s="20"/>
      <c r="L456" s="20"/>
      <c r="M456" s="20"/>
      <c r="N456" s="20"/>
      <c r="O456" s="20"/>
      <c r="P456" s="20"/>
      <c r="Q456" s="20"/>
      <c r="R456" s="20"/>
      <c r="S456" s="20"/>
      <c r="T456" s="20"/>
      <c r="U456" s="20"/>
    </row>
    <row r="457" spans="1:21" ht="17.25" customHeight="1" x14ac:dyDescent="0.3">
      <c r="A457" s="15"/>
      <c r="C457" s="19"/>
      <c r="D457" s="19"/>
      <c r="E457" s="19"/>
      <c r="F457" s="19"/>
      <c r="G457" s="19"/>
      <c r="H457" s="19"/>
      <c r="I457" s="19"/>
      <c r="J457" s="19"/>
      <c r="K457" s="19"/>
      <c r="L457" s="19"/>
      <c r="M457" s="19"/>
      <c r="N457" s="19"/>
      <c r="O457" s="19"/>
      <c r="P457" s="19"/>
      <c r="Q457" s="19"/>
      <c r="R457" s="19"/>
      <c r="S457" s="19"/>
      <c r="T457" s="19"/>
      <c r="U457" s="19"/>
    </row>
    <row r="458" spans="1:21" ht="17.25" customHeight="1" x14ac:dyDescent="0.3">
      <c r="A458" s="15"/>
      <c r="C458" s="19"/>
      <c r="D458" s="19"/>
      <c r="E458" s="19"/>
      <c r="F458" s="19"/>
      <c r="G458" s="19"/>
      <c r="H458" s="19"/>
      <c r="I458" s="19"/>
      <c r="J458" s="19"/>
      <c r="K458" s="19"/>
      <c r="L458" s="19"/>
      <c r="M458" s="19"/>
      <c r="N458" s="19"/>
      <c r="O458" s="19"/>
      <c r="P458" s="19"/>
      <c r="Q458" s="19"/>
      <c r="R458" s="19"/>
      <c r="S458" s="19"/>
      <c r="T458" s="19"/>
      <c r="U458" s="19"/>
    </row>
    <row r="459" spans="1:21" ht="14.25" customHeight="1" x14ac:dyDescent="0.25">
      <c r="A459" s="15"/>
    </row>
    <row r="460" spans="1:21" ht="14.25" customHeight="1" x14ac:dyDescent="0.25">
      <c r="A460" s="15"/>
    </row>
    <row r="461" spans="1:21" ht="14.25" customHeight="1" x14ac:dyDescent="0.25">
      <c r="A461" s="15"/>
    </row>
    <row r="462" spans="1:21" ht="14.25" customHeight="1" x14ac:dyDescent="0.25">
      <c r="A462" s="15"/>
    </row>
    <row r="463" spans="1:21" ht="14.25" customHeight="1" x14ac:dyDescent="0.25">
      <c r="A463" s="15"/>
    </row>
    <row r="464" spans="1:21" ht="14.25" customHeight="1" x14ac:dyDescent="0.25">
      <c r="A464" s="15"/>
    </row>
    <row r="465" spans="1:1" ht="14.25" customHeight="1" x14ac:dyDescent="0.25">
      <c r="A465" s="15"/>
    </row>
    <row r="466" spans="1:1" ht="14.25" customHeight="1" x14ac:dyDescent="0.25">
      <c r="A466" s="15"/>
    </row>
    <row r="467" spans="1:1" ht="14.25" customHeight="1" x14ac:dyDescent="0.25">
      <c r="A467" s="15"/>
    </row>
  </sheetData>
  <mergeCells count="1">
    <mergeCell ref="E3:F3"/>
  </mergeCells>
  <pageMargins left="0.25" right="0.25" top="0.75" bottom="0.75" header="0.3" footer="0.3"/>
  <pageSetup scale="35"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675"/>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19.5703125" style="65" bestFit="1" customWidth="1"/>
    <col min="6" max="6" width="48"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23.85546875" style="65" bestFit="1" customWidth="1"/>
    <col min="13" max="13" width="30.7109375" style="65" bestFit="1" customWidth="1"/>
    <col min="14" max="14" width="26.7109375" style="65" customWidth="1"/>
    <col min="15" max="15" width="15" style="65" bestFit="1" customWidth="1"/>
    <col min="16" max="16" width="11.570312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33033</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"AD-WHSE2"</f>
        <v>AD-WHSE2</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C100002</v>
      </c>
      <c r="E12" s="91" t="str">
        <f>"C100002"</f>
        <v>C100002</v>
      </c>
      <c r="F12" s="89" t="str">
        <f>"Border Style"</f>
        <v>Border Style</v>
      </c>
      <c r="G12" s="89"/>
      <c r="H12" s="90" t="str">
        <f>"EA"</f>
        <v>EA</v>
      </c>
      <c r="I12" s="89"/>
      <c r="J12" s="89"/>
      <c r="K12" s="89"/>
      <c r="L12" s="89"/>
      <c r="M12" s="89"/>
      <c r="N12" s="89"/>
      <c r="O12" s="88">
        <f>(SUBTOTAL(9,O13:O15))</f>
        <v>400</v>
      </c>
      <c r="P12" s="88">
        <f>(SUBTOTAL(9,P13:P15))</f>
        <v>-144</v>
      </c>
      <c r="Q12" s="88">
        <f>(SUBTOTAL(9,Q13:Q15))</f>
        <v>0</v>
      </c>
      <c r="R12" s="88">
        <f>(SUBTOTAL(9,R13:R15))</f>
        <v>0</v>
      </c>
      <c r="S12" s="88">
        <f>(SUBTOTAL(9,S13:S15))</f>
        <v>0</v>
      </c>
      <c r="T12" s="88">
        <f>(SUBTOTAL(9,T13:T15))</f>
        <v>0</v>
      </c>
      <c r="U12" s="87">
        <f>SUBTOTAL(9,O13:T15)</f>
        <v>256</v>
      </c>
    </row>
    <row r="13" spans="1:21" ht="17.25" customHeight="1" x14ac:dyDescent="0.3">
      <c r="A13" s="66"/>
      <c r="C13" s="67"/>
      <c r="D13" s="77" t="str">
        <f>D12</f>
        <v>C100002</v>
      </c>
      <c r="E13" s="77"/>
      <c r="F13" s="76"/>
      <c r="G13" s="76" t="str">
        <f>"""NAV Direct"",""CRONUS JetCorp USA"",""32"",""1"",""166353"""</f>
        <v>"NAV Direct","CRONUS JetCorp USA","32","1","166353"</v>
      </c>
      <c r="H13" s="86">
        <v>43466</v>
      </c>
      <c r="I13" s="85">
        <v>166353</v>
      </c>
      <c r="J13" s="84" t="str">
        <f>"Vendor"</f>
        <v>Vendor</v>
      </c>
      <c r="K13" s="84" t="str">
        <f>"V100040"</f>
        <v>V100040</v>
      </c>
      <c r="L13" s="84" t="str">
        <f>IF($J13="Customer",_xll.NL("first",$J13,"Name","No.","@@"&amp;$K13),"")</f>
        <v/>
      </c>
      <c r="M13" s="84" t="str">
        <f>"Technische Betriebe Rotkreuz"</f>
        <v>Technische Betriebe Rotkreuz</v>
      </c>
      <c r="N13" s="84" t="str">
        <f>IF($J13="Item",_xll.NL("first",$J13,"Description","No.","@@"&amp;$K13),"")</f>
        <v/>
      </c>
      <c r="O13" s="83">
        <v>400</v>
      </c>
      <c r="P13" s="83">
        <v>0</v>
      </c>
      <c r="Q13" s="83">
        <v>0</v>
      </c>
      <c r="R13" s="83">
        <v>0</v>
      </c>
      <c r="S13" s="83">
        <v>0</v>
      </c>
      <c r="T13" s="83">
        <v>0</v>
      </c>
      <c r="U13" s="82"/>
    </row>
    <row r="14" spans="1:21" ht="17.25" customHeight="1" x14ac:dyDescent="0.3">
      <c r="A14" s="66" t="s">
        <v>30</v>
      </c>
      <c r="C14" s="67"/>
      <c r="D14" s="77" t="str">
        <f>D13</f>
        <v>C100002</v>
      </c>
      <c r="E14" s="77"/>
      <c r="F14" s="76"/>
      <c r="G14" s="76" t="str">
        <f>"""NAV Direct"",""CRONUS JetCorp USA"",""32"",""1"",""12457"""</f>
        <v>"NAV Direct","CRONUS JetCorp USA","32","1","12457"</v>
      </c>
      <c r="H14" s="86">
        <v>43471</v>
      </c>
      <c r="I14" s="85">
        <v>12457</v>
      </c>
      <c r="J14" s="84" t="str">
        <f>"Customer"</f>
        <v>Customer</v>
      </c>
      <c r="K14" s="84" t="str">
        <f>"C100041"</f>
        <v>C100041</v>
      </c>
      <c r="L14" s="84" t="str">
        <f>IF($J14="Customer",_xll.NL("first",$J14,"Name","No.","@@"&amp;$K14),"")</f>
        <v>Heimilisprydi</v>
      </c>
      <c r="M14" s="84" t="str">
        <f>""</f>
        <v/>
      </c>
      <c r="N14" s="84" t="str">
        <f>IF($J14="Item",_xll.NL("first",$J14,"Description","No.","@@"&amp;$K14),"")</f>
        <v/>
      </c>
      <c r="O14" s="83">
        <v>0</v>
      </c>
      <c r="P14" s="83">
        <v>-144</v>
      </c>
      <c r="Q14" s="83">
        <v>0</v>
      </c>
      <c r="R14" s="83">
        <v>0</v>
      </c>
      <c r="S14" s="83">
        <v>0</v>
      </c>
      <c r="T14" s="83">
        <v>0</v>
      </c>
      <c r="U14" s="82"/>
    </row>
    <row r="15" spans="1:21" ht="17.25" customHeight="1" x14ac:dyDescent="0.3">
      <c r="A15" s="66"/>
      <c r="C15" s="67"/>
      <c r="D15" s="77"/>
      <c r="E15" s="77"/>
      <c r="F15" s="76"/>
      <c r="G15" s="76"/>
      <c r="H15" s="76"/>
      <c r="I15" s="76"/>
      <c r="J15" s="76"/>
      <c r="K15" s="76"/>
      <c r="L15" s="76"/>
      <c r="M15" s="76"/>
      <c r="N15" s="76"/>
      <c r="O15" s="75"/>
      <c r="P15" s="75"/>
      <c r="Q15" s="75"/>
      <c r="R15" s="75"/>
      <c r="S15" s="75"/>
      <c r="T15" s="75"/>
      <c r="U15" s="74"/>
    </row>
    <row r="16" spans="1:21" ht="17.25" customHeight="1" x14ac:dyDescent="0.3">
      <c r="A16" s="66"/>
      <c r="C16" s="67"/>
      <c r="D16" s="77"/>
      <c r="E16" s="77" t="s">
        <v>31</v>
      </c>
      <c r="F16" s="76" t="s">
        <v>31</v>
      </c>
      <c r="G16" s="76" t="s">
        <v>31</v>
      </c>
      <c r="H16" s="76"/>
      <c r="I16" s="76"/>
      <c r="J16" s="76" t="s">
        <v>31</v>
      </c>
      <c r="K16" s="76" t="s">
        <v>31</v>
      </c>
      <c r="L16" s="76" t="s">
        <v>31</v>
      </c>
      <c r="M16" s="76" t="s">
        <v>31</v>
      </c>
      <c r="N16" s="76"/>
      <c r="U16" s="81"/>
    </row>
    <row r="17" spans="1:21" ht="20.25" customHeight="1" x14ac:dyDescent="0.35">
      <c r="A17" s="66" t="s">
        <v>30</v>
      </c>
      <c r="C17" s="67"/>
      <c r="D17" s="92" t="str">
        <f t="shared" ref="D17" si="0">E17</f>
        <v>C100003</v>
      </c>
      <c r="E17" s="91" t="str">
        <f>"C100003"</f>
        <v>C100003</v>
      </c>
      <c r="F17" s="89" t="str">
        <f>"Cherry Finish Frame"</f>
        <v>Cherry Finish Frame</v>
      </c>
      <c r="G17" s="89"/>
      <c r="H17" s="90" t="str">
        <f>"EA"</f>
        <v>EA</v>
      </c>
      <c r="I17" s="89"/>
      <c r="J17" s="89"/>
      <c r="K17" s="89"/>
      <c r="L17" s="89"/>
      <c r="M17" s="89"/>
      <c r="N17" s="89"/>
      <c r="O17" s="88">
        <f>(SUBTOTAL(9,O18:O22))</f>
        <v>400</v>
      </c>
      <c r="P17" s="88">
        <f>(SUBTOTAL(9,P18:P22))</f>
        <v>-61</v>
      </c>
      <c r="Q17" s="88">
        <f>(SUBTOTAL(9,Q18:Q22))</f>
        <v>0</v>
      </c>
      <c r="R17" s="88">
        <f>(SUBTOTAL(9,R18:R22))</f>
        <v>0</v>
      </c>
      <c r="S17" s="88">
        <f>(SUBTOTAL(9,S18:S22))</f>
        <v>0</v>
      </c>
      <c r="T17" s="88">
        <f>(SUBTOTAL(9,T18:T22))</f>
        <v>0</v>
      </c>
      <c r="U17" s="87">
        <f t="shared" ref="U17" si="1">SUBTOTAL(9,O18:T22)</f>
        <v>339</v>
      </c>
    </row>
    <row r="18" spans="1:21" ht="17.25" customHeight="1" x14ac:dyDescent="0.3">
      <c r="A18" s="66" t="s">
        <v>30</v>
      </c>
      <c r="C18" s="67"/>
      <c r="D18" s="77" t="str">
        <f t="shared" ref="D18" si="2">D17</f>
        <v>C100003</v>
      </c>
      <c r="E18" s="77"/>
      <c r="F18" s="76"/>
      <c r="G18" s="76" t="str">
        <f>"""NAV Direct"",""CRONUS JetCorp USA"",""32"",""1"",""166352"""</f>
        <v>"NAV Direct","CRONUS JetCorp USA","32","1","166352"</v>
      </c>
      <c r="H18" s="86">
        <v>43466</v>
      </c>
      <c r="I18" s="85">
        <v>166352</v>
      </c>
      <c r="J18" s="84" t="str">
        <f>"Vendor"</f>
        <v>Vendor</v>
      </c>
      <c r="K18" s="84" t="str">
        <f>"V100040"</f>
        <v>V100040</v>
      </c>
      <c r="L18" s="84" t="str">
        <f>IF($J18="Customer",_xll.NL("first",$J18,"Name","No.","@@"&amp;$K18),"")</f>
        <v/>
      </c>
      <c r="M18" s="84" t="str">
        <f>"Technische Betriebe Rotkreuz"</f>
        <v>Technische Betriebe Rotkreuz</v>
      </c>
      <c r="N18" s="84" t="str">
        <f>IF($J18="Item",_xll.NL("first",$J18,"Description","No.","@@"&amp;$K18),"")</f>
        <v/>
      </c>
      <c r="O18" s="83">
        <v>400</v>
      </c>
      <c r="P18" s="83">
        <v>0</v>
      </c>
      <c r="Q18" s="83">
        <v>0</v>
      </c>
      <c r="R18" s="83">
        <v>0</v>
      </c>
      <c r="S18" s="83">
        <v>0</v>
      </c>
      <c r="T18" s="83">
        <v>0</v>
      </c>
      <c r="U18" s="82"/>
    </row>
    <row r="19" spans="1:21" ht="17.25" customHeight="1" x14ac:dyDescent="0.3">
      <c r="A19" s="66" t="s">
        <v>30</v>
      </c>
      <c r="C19" s="67"/>
      <c r="D19" s="77" t="str">
        <f t="shared" ref="D19:D21" si="3">D18</f>
        <v>C100003</v>
      </c>
      <c r="E19" s="77"/>
      <c r="F19" s="76"/>
      <c r="G19" s="76" t="str">
        <f>"""NAV Direct"",""CRONUS JetCorp USA"",""32"",""1"",""12460"""</f>
        <v>"NAV Direct","CRONUS JetCorp USA","32","1","12460"</v>
      </c>
      <c r="H19" s="86">
        <v>43471</v>
      </c>
      <c r="I19" s="85">
        <v>12460</v>
      </c>
      <c r="J19" s="84" t="str">
        <f>"Customer"</f>
        <v>Customer</v>
      </c>
      <c r="K19" s="84" t="str">
        <f>"C100041"</f>
        <v>C100041</v>
      </c>
      <c r="L19" s="84" t="str">
        <f>IF($J19="Customer",_xll.NL("first",$J19,"Name","No.","@@"&amp;$K19),"")</f>
        <v>Heimilisprydi</v>
      </c>
      <c r="M19" s="84" t="str">
        <f>""</f>
        <v/>
      </c>
      <c r="N19" s="84" t="str">
        <f>IF($J19="Item",_xll.NL("first",$J19,"Description","No.","@@"&amp;$K19),"")</f>
        <v/>
      </c>
      <c r="O19" s="83">
        <v>0</v>
      </c>
      <c r="P19" s="83">
        <v>-12</v>
      </c>
      <c r="Q19" s="83">
        <v>0</v>
      </c>
      <c r="R19" s="83">
        <v>0</v>
      </c>
      <c r="S19" s="83">
        <v>0</v>
      </c>
      <c r="T19" s="83">
        <v>0</v>
      </c>
      <c r="U19" s="82"/>
    </row>
    <row r="20" spans="1:21" ht="17.25" customHeight="1" x14ac:dyDescent="0.3">
      <c r="A20" s="66" t="s">
        <v>30</v>
      </c>
      <c r="C20" s="67"/>
      <c r="D20" s="77" t="str">
        <f t="shared" si="3"/>
        <v>C100003</v>
      </c>
      <c r="E20" s="77"/>
      <c r="F20" s="76"/>
      <c r="G20" s="76" t="str">
        <f>"""NAV Direct"",""CRONUS JetCorp USA"",""32"",""1"",""118070"""</f>
        <v>"NAV Direct","CRONUS JetCorp USA","32","1","118070"</v>
      </c>
      <c r="H20" s="86">
        <v>43471</v>
      </c>
      <c r="I20" s="85">
        <v>118070</v>
      </c>
      <c r="J20" s="84" t="str">
        <f>"Customer"</f>
        <v>Customer</v>
      </c>
      <c r="K20" s="84" t="str">
        <f>"C100060"</f>
        <v>C100060</v>
      </c>
      <c r="L20" s="84" t="str">
        <f>IF($J20="Customer",_xll.NL("first",$J20,"Name","No.","@@"&amp;$K20),"")</f>
        <v>MEMA Ljubljana d.o.o.</v>
      </c>
      <c r="M20" s="84" t="str">
        <f>""</f>
        <v/>
      </c>
      <c r="N20" s="84" t="str">
        <f>IF($J20="Item",_xll.NL("first",$J20,"Description","No.","@@"&amp;$K20),"")</f>
        <v/>
      </c>
      <c r="O20" s="83">
        <v>0</v>
      </c>
      <c r="P20" s="83">
        <v>-48</v>
      </c>
      <c r="Q20" s="83">
        <v>0</v>
      </c>
      <c r="R20" s="83">
        <v>0</v>
      </c>
      <c r="S20" s="83">
        <v>0</v>
      </c>
      <c r="T20" s="83">
        <v>0</v>
      </c>
      <c r="U20" s="82"/>
    </row>
    <row r="21" spans="1:21" ht="17.25" customHeight="1" x14ac:dyDescent="0.3">
      <c r="A21" s="66" t="s">
        <v>30</v>
      </c>
      <c r="C21" s="67"/>
      <c r="D21" s="77" t="str">
        <f t="shared" si="3"/>
        <v>C100003</v>
      </c>
      <c r="E21" s="77"/>
      <c r="F21" s="76"/>
      <c r="G21" s="76" t="str">
        <f>"""NAV Direct"",""CRONUS JetCorp USA"",""32"",""1"",""118084"""</f>
        <v>"NAV Direct","CRONUS JetCorp USA","32","1","118084"</v>
      </c>
      <c r="H21" s="86">
        <v>43471</v>
      </c>
      <c r="I21" s="85">
        <v>118084</v>
      </c>
      <c r="J21" s="84" t="str">
        <f>"Customer"</f>
        <v>Customer</v>
      </c>
      <c r="K21" s="84" t="str">
        <f>"C100060"</f>
        <v>C100060</v>
      </c>
      <c r="L21" s="84" t="str">
        <f>IF($J21="Customer",_xll.NL("first",$J21,"Name","No.","@@"&amp;$K21),"")</f>
        <v>MEMA Ljubljana d.o.o.</v>
      </c>
      <c r="M21" s="84" t="str">
        <f>""</f>
        <v/>
      </c>
      <c r="N21" s="84" t="str">
        <f>IF($J21="Item",_xll.NL("first",$J21,"Description","No.","@@"&amp;$K21),"")</f>
        <v/>
      </c>
      <c r="O21" s="83">
        <v>0</v>
      </c>
      <c r="P21" s="83">
        <v>-1</v>
      </c>
      <c r="Q21" s="83">
        <v>0</v>
      </c>
      <c r="R21" s="83">
        <v>0</v>
      </c>
      <c r="S21" s="83">
        <v>0</v>
      </c>
      <c r="T21" s="83">
        <v>0</v>
      </c>
      <c r="U21" s="82"/>
    </row>
    <row r="22" spans="1:21" ht="17.25" customHeight="1" x14ac:dyDescent="0.3">
      <c r="A22" s="66" t="s">
        <v>30</v>
      </c>
      <c r="C22" s="67"/>
      <c r="D22" s="77"/>
      <c r="E22" s="77"/>
      <c r="F22" s="76"/>
      <c r="G22" s="76"/>
      <c r="H22" s="76"/>
      <c r="I22" s="76"/>
      <c r="J22" s="76"/>
      <c r="K22" s="76"/>
      <c r="L22" s="76"/>
      <c r="M22" s="76"/>
      <c r="N22" s="76"/>
      <c r="O22" s="75"/>
      <c r="P22" s="75"/>
      <c r="Q22" s="75"/>
      <c r="R22" s="75"/>
      <c r="S22" s="75"/>
      <c r="T22" s="75"/>
      <c r="U22" s="74"/>
    </row>
    <row r="23" spans="1:21" ht="17.25" customHeight="1" x14ac:dyDescent="0.3">
      <c r="A23" s="66" t="s">
        <v>30</v>
      </c>
      <c r="C23" s="67"/>
      <c r="D23" s="77"/>
      <c r="E23" s="77" t="s">
        <v>31</v>
      </c>
      <c r="F23" s="76" t="s">
        <v>31</v>
      </c>
      <c r="G23" s="76" t="s">
        <v>31</v>
      </c>
      <c r="H23" s="76"/>
      <c r="I23" s="76"/>
      <c r="J23" s="76" t="s">
        <v>31</v>
      </c>
      <c r="K23" s="76" t="s">
        <v>31</v>
      </c>
      <c r="L23" s="76" t="s">
        <v>31</v>
      </c>
      <c r="M23" s="76" t="s">
        <v>31</v>
      </c>
      <c r="N23" s="76"/>
      <c r="U23" s="81"/>
    </row>
    <row r="24" spans="1:21" ht="20.25" customHeight="1" x14ac:dyDescent="0.35">
      <c r="A24" s="66" t="s">
        <v>30</v>
      </c>
      <c r="C24" s="67"/>
      <c r="D24" s="92" t="str">
        <f t="shared" ref="D24" si="4">E24</f>
        <v>C100004</v>
      </c>
      <c r="E24" s="91" t="str">
        <f>"C100004"</f>
        <v>C100004</v>
      </c>
      <c r="F24" s="89" t="str">
        <f>"Walnut Medallian Plate"</f>
        <v>Walnut Medallian Plate</v>
      </c>
      <c r="G24" s="89"/>
      <c r="H24" s="90" t="str">
        <f>"EA"</f>
        <v>EA</v>
      </c>
      <c r="I24" s="89"/>
      <c r="J24" s="89"/>
      <c r="K24" s="89"/>
      <c r="L24" s="89"/>
      <c r="M24" s="89"/>
      <c r="N24" s="89"/>
      <c r="O24" s="88">
        <f>(SUBTOTAL(9,O25:O29))</f>
        <v>700</v>
      </c>
      <c r="P24" s="88">
        <f>(SUBTOTAL(9,P25:P29))</f>
        <v>-336</v>
      </c>
      <c r="Q24" s="88">
        <f>(SUBTOTAL(9,Q25:Q29))</f>
        <v>0</v>
      </c>
      <c r="R24" s="88">
        <f>(SUBTOTAL(9,R25:R29))</f>
        <v>0</v>
      </c>
      <c r="S24" s="88">
        <f>(SUBTOTAL(9,S25:S29))</f>
        <v>0</v>
      </c>
      <c r="T24" s="88">
        <f>(SUBTOTAL(9,T25:T29))</f>
        <v>0</v>
      </c>
      <c r="U24" s="87">
        <f t="shared" ref="U24" si="5">SUBTOTAL(9,O25:T29)</f>
        <v>364</v>
      </c>
    </row>
    <row r="25" spans="1:21" ht="17.25" customHeight="1" x14ac:dyDescent="0.3">
      <c r="A25" s="66" t="s">
        <v>30</v>
      </c>
      <c r="C25" s="67"/>
      <c r="D25" s="77" t="str">
        <f t="shared" ref="D25" si="6">D24</f>
        <v>C100004</v>
      </c>
      <c r="E25" s="77"/>
      <c r="F25" s="76"/>
      <c r="G25" s="76" t="str">
        <f>"""NAV Direct"",""CRONUS JetCorp USA"",""32"",""1"",""166351"""</f>
        <v>"NAV Direct","CRONUS JetCorp USA","32","1","166351"</v>
      </c>
      <c r="H25" s="86">
        <v>43466</v>
      </c>
      <c r="I25" s="85">
        <v>166351</v>
      </c>
      <c r="J25" s="84" t="str">
        <f>"Vendor"</f>
        <v>Vendor</v>
      </c>
      <c r="K25" s="84" t="str">
        <f>"V100040"</f>
        <v>V100040</v>
      </c>
      <c r="L25" s="84" t="str">
        <f>IF($J25="Customer",_xll.NL("first",$J25,"Name","No.","@@"&amp;$K25),"")</f>
        <v/>
      </c>
      <c r="M25" s="84" t="str">
        <f>"Technische Betriebe Rotkreuz"</f>
        <v>Technische Betriebe Rotkreuz</v>
      </c>
      <c r="N25" s="84" t="str">
        <f>IF($J25="Item",_xll.NL("first",$J25,"Description","No.","@@"&amp;$K25),"")</f>
        <v/>
      </c>
      <c r="O25" s="83">
        <v>700</v>
      </c>
      <c r="P25" s="83">
        <v>0</v>
      </c>
      <c r="Q25" s="83">
        <v>0</v>
      </c>
      <c r="R25" s="83">
        <v>0</v>
      </c>
      <c r="S25" s="83">
        <v>0</v>
      </c>
      <c r="T25" s="83">
        <v>0</v>
      </c>
      <c r="U25" s="82"/>
    </row>
    <row r="26" spans="1:21" ht="17.25" customHeight="1" x14ac:dyDescent="0.3">
      <c r="A26" s="66" t="s">
        <v>30</v>
      </c>
      <c r="C26" s="67"/>
      <c r="D26" s="77" t="str">
        <f t="shared" ref="D26:D28" si="7">D25</f>
        <v>C100004</v>
      </c>
      <c r="E26" s="77"/>
      <c r="F26" s="76"/>
      <c r="G26" s="76" t="str">
        <f>"""NAV Direct"",""CRONUS JetCorp USA"",""32"",""1"",""38072"""</f>
        <v>"NAV Direct","CRONUS JetCorp USA","32","1","38072"</v>
      </c>
      <c r="H26" s="86">
        <v>43471</v>
      </c>
      <c r="I26" s="85">
        <v>38072</v>
      </c>
      <c r="J26" s="84" t="str">
        <f>"Customer"</f>
        <v>Customer</v>
      </c>
      <c r="K26" s="84" t="str">
        <f>"C100013"</f>
        <v>C100013</v>
      </c>
      <c r="L26" s="84" t="str">
        <f>IF($J26="Customer",_xll.NL("first",$J26,"Name","No.","@@"&amp;$K26),"")</f>
        <v>Candoxy Kontor A/S</v>
      </c>
      <c r="M26" s="84" t="str">
        <f>""</f>
        <v/>
      </c>
      <c r="N26" s="84" t="str">
        <f>IF($J26="Item",_xll.NL("first",$J26,"Description","No.","@@"&amp;$K26),"")</f>
        <v/>
      </c>
      <c r="O26" s="83">
        <v>0</v>
      </c>
      <c r="P26" s="83">
        <v>-144</v>
      </c>
      <c r="Q26" s="83">
        <v>0</v>
      </c>
      <c r="R26" s="83">
        <v>0</v>
      </c>
      <c r="S26" s="83">
        <v>0</v>
      </c>
      <c r="T26" s="83">
        <v>0</v>
      </c>
      <c r="U26" s="82"/>
    </row>
    <row r="27" spans="1:21" ht="17.25" customHeight="1" x14ac:dyDescent="0.3">
      <c r="A27" s="66" t="s">
        <v>30</v>
      </c>
      <c r="C27" s="67"/>
      <c r="D27" s="77" t="str">
        <f t="shared" si="7"/>
        <v>C100004</v>
      </c>
      <c r="E27" s="77"/>
      <c r="F27" s="76"/>
      <c r="G27" s="76" t="str">
        <f>"""NAV Direct"",""CRONUS JetCorp USA"",""32"",""1"",""36477"""</f>
        <v>"NAV Direct","CRONUS JetCorp USA","32","1","36477"</v>
      </c>
      <c r="H27" s="86">
        <v>43475</v>
      </c>
      <c r="I27" s="85">
        <v>36477</v>
      </c>
      <c r="J27" s="84" t="str">
        <f>"Customer"</f>
        <v>Customer</v>
      </c>
      <c r="K27" s="84" t="str">
        <f>"C100063"</f>
        <v>C100063</v>
      </c>
      <c r="L27" s="84" t="str">
        <f>IF($J27="Customer",_xll.NL("first",$J27,"Name","No.","@@"&amp;$K27),"")</f>
        <v>Möbel Scherrer AG</v>
      </c>
      <c r="M27" s="84" t="str">
        <f>""</f>
        <v/>
      </c>
      <c r="N27" s="84" t="str">
        <f>IF($J27="Item",_xll.NL("first",$J27,"Description","No.","@@"&amp;$K27),"")</f>
        <v/>
      </c>
      <c r="O27" s="83">
        <v>0</v>
      </c>
      <c r="P27" s="83">
        <v>-48</v>
      </c>
      <c r="Q27" s="83">
        <v>0</v>
      </c>
      <c r="R27" s="83">
        <v>0</v>
      </c>
      <c r="S27" s="83">
        <v>0</v>
      </c>
      <c r="T27" s="83">
        <v>0</v>
      </c>
      <c r="U27" s="82"/>
    </row>
    <row r="28" spans="1:21" ht="17.25" customHeight="1" x14ac:dyDescent="0.3">
      <c r="A28" s="66" t="s">
        <v>30</v>
      </c>
      <c r="C28" s="67"/>
      <c r="D28" s="77" t="str">
        <f t="shared" si="7"/>
        <v>C100004</v>
      </c>
      <c r="E28" s="77"/>
      <c r="F28" s="76"/>
      <c r="G28" s="76" t="str">
        <f>"""NAV Direct"",""CRONUS JetCorp USA"",""32"",""1"",""38084"""</f>
        <v>"NAV Direct","CRONUS JetCorp USA","32","1","38084"</v>
      </c>
      <c r="H28" s="86">
        <v>43477</v>
      </c>
      <c r="I28" s="85">
        <v>38084</v>
      </c>
      <c r="J28" s="84" t="str">
        <f>"Customer"</f>
        <v>Customer</v>
      </c>
      <c r="K28" s="84" t="str">
        <f>"C100038"</f>
        <v>C100038</v>
      </c>
      <c r="L28" s="84" t="str">
        <f>IF($J28="Customer",_xll.NL("first",$J28,"Name","No.","@@"&amp;$K28),"")</f>
        <v>Gagn &amp; Gaman</v>
      </c>
      <c r="M28" s="84" t="str">
        <f>""</f>
        <v/>
      </c>
      <c r="N28" s="84" t="str">
        <f>IF($J28="Item",_xll.NL("first",$J28,"Description","No.","@@"&amp;$K28),"")</f>
        <v/>
      </c>
      <c r="O28" s="83">
        <v>0</v>
      </c>
      <c r="P28" s="83">
        <v>-144</v>
      </c>
      <c r="Q28" s="83">
        <v>0</v>
      </c>
      <c r="R28" s="83">
        <v>0</v>
      </c>
      <c r="S28" s="83">
        <v>0</v>
      </c>
      <c r="T28" s="83">
        <v>0</v>
      </c>
      <c r="U28" s="82"/>
    </row>
    <row r="29" spans="1:21" ht="17.25" customHeight="1" x14ac:dyDescent="0.3">
      <c r="A29" s="66" t="s">
        <v>30</v>
      </c>
      <c r="C29" s="67"/>
      <c r="D29" s="77"/>
      <c r="E29" s="77"/>
      <c r="F29" s="76"/>
      <c r="G29" s="76"/>
      <c r="H29" s="76"/>
      <c r="I29" s="76"/>
      <c r="J29" s="76"/>
      <c r="K29" s="76"/>
      <c r="L29" s="76"/>
      <c r="M29" s="76"/>
      <c r="N29" s="76"/>
      <c r="O29" s="75"/>
      <c r="P29" s="75"/>
      <c r="Q29" s="75"/>
      <c r="R29" s="75"/>
      <c r="S29" s="75"/>
      <c r="T29" s="75"/>
      <c r="U29" s="74"/>
    </row>
    <row r="30" spans="1:21" ht="17.25" customHeight="1" x14ac:dyDescent="0.3">
      <c r="A30" s="66" t="s">
        <v>30</v>
      </c>
      <c r="C30" s="67"/>
      <c r="D30" s="77"/>
      <c r="E30" s="77" t="s">
        <v>31</v>
      </c>
      <c r="F30" s="76" t="s">
        <v>31</v>
      </c>
      <c r="G30" s="76" t="s">
        <v>31</v>
      </c>
      <c r="H30" s="76"/>
      <c r="I30" s="76"/>
      <c r="J30" s="76" t="s">
        <v>31</v>
      </c>
      <c r="K30" s="76" t="s">
        <v>31</v>
      </c>
      <c r="L30" s="76" t="s">
        <v>31</v>
      </c>
      <c r="M30" s="76" t="s">
        <v>31</v>
      </c>
      <c r="N30" s="76"/>
      <c r="U30" s="81"/>
    </row>
    <row r="31" spans="1:21" ht="20.25" customHeight="1" x14ac:dyDescent="0.35">
      <c r="A31" s="66" t="s">
        <v>30</v>
      </c>
      <c r="C31" s="67"/>
      <c r="D31" s="92" t="str">
        <f t="shared" ref="D31" si="8">E31</f>
        <v>C100005</v>
      </c>
      <c r="E31" s="91" t="str">
        <f>"C100005"</f>
        <v>C100005</v>
      </c>
      <c r="F31" s="89" t="str">
        <f>"Cherry Finished Crystal Award"</f>
        <v>Cherry Finished Crystal Award</v>
      </c>
      <c r="G31" s="89"/>
      <c r="H31" s="90" t="str">
        <f>"EA"</f>
        <v>EA</v>
      </c>
      <c r="I31" s="89"/>
      <c r="J31" s="89"/>
      <c r="K31" s="89"/>
      <c r="L31" s="89"/>
      <c r="M31" s="89"/>
      <c r="N31" s="89"/>
      <c r="O31" s="88">
        <f>(SUBTOTAL(9,O32:O35))</f>
        <v>200</v>
      </c>
      <c r="P31" s="88">
        <f>(SUBTOTAL(9,P32:P35))</f>
        <v>-96</v>
      </c>
      <c r="Q31" s="88">
        <f>(SUBTOTAL(9,Q32:Q35))</f>
        <v>0</v>
      </c>
      <c r="R31" s="88">
        <f>(SUBTOTAL(9,R32:R35))</f>
        <v>0</v>
      </c>
      <c r="S31" s="88">
        <f>(SUBTOTAL(9,S32:S35))</f>
        <v>0</v>
      </c>
      <c r="T31" s="88">
        <f>(SUBTOTAL(9,T32:T35))</f>
        <v>0</v>
      </c>
      <c r="U31" s="87">
        <f t="shared" ref="U31" si="9">SUBTOTAL(9,O32:T35)</f>
        <v>104</v>
      </c>
    </row>
    <row r="32" spans="1:21" ht="17.25" customHeight="1" x14ac:dyDescent="0.3">
      <c r="A32" s="66" t="s">
        <v>30</v>
      </c>
      <c r="C32" s="67"/>
      <c r="D32" s="77" t="str">
        <f t="shared" ref="D32" si="10">D31</f>
        <v>C100005</v>
      </c>
      <c r="E32" s="77"/>
      <c r="F32" s="76"/>
      <c r="G32" s="76" t="str">
        <f>"""NAV Direct"",""CRONUS JetCorp USA"",""32"",""1"",""166350"""</f>
        <v>"NAV Direct","CRONUS JetCorp USA","32","1","166350"</v>
      </c>
      <c r="H32" s="86">
        <v>43466</v>
      </c>
      <c r="I32" s="85">
        <v>166350</v>
      </c>
      <c r="J32" s="84" t="str">
        <f>"Vendor"</f>
        <v>Vendor</v>
      </c>
      <c r="K32" s="84" t="str">
        <f>"V100040"</f>
        <v>V100040</v>
      </c>
      <c r="L32" s="84" t="str">
        <f>IF($J32="Customer",_xll.NL("first",$J32,"Name","No.","@@"&amp;$K32),"")</f>
        <v/>
      </c>
      <c r="M32" s="84" t="str">
        <f>"Technische Betriebe Rotkreuz"</f>
        <v>Technische Betriebe Rotkreuz</v>
      </c>
      <c r="N32" s="84" t="str">
        <f>IF($J32="Item",_xll.NL("first",$J32,"Description","No.","@@"&amp;$K32),"")</f>
        <v/>
      </c>
      <c r="O32" s="83">
        <v>200</v>
      </c>
      <c r="P32" s="83">
        <v>0</v>
      </c>
      <c r="Q32" s="83">
        <v>0</v>
      </c>
      <c r="R32" s="83">
        <v>0</v>
      </c>
      <c r="S32" s="83">
        <v>0</v>
      </c>
      <c r="T32" s="83">
        <v>0</v>
      </c>
      <c r="U32" s="82"/>
    </row>
    <row r="33" spans="1:21" ht="17.25" customHeight="1" x14ac:dyDescent="0.3">
      <c r="A33" s="66" t="s">
        <v>30</v>
      </c>
      <c r="C33" s="67"/>
      <c r="D33" s="77" t="str">
        <f t="shared" ref="D33:D34" si="11">D32</f>
        <v>C100005</v>
      </c>
      <c r="E33" s="77"/>
      <c r="F33" s="76"/>
      <c r="G33" s="76" t="str">
        <f>"""NAV Direct"",""CRONUS JetCorp USA"",""32"",""1"",""34307"""</f>
        <v>"NAV Direct","CRONUS JetCorp USA","32","1","34307"</v>
      </c>
      <c r="H33" s="86">
        <v>43473</v>
      </c>
      <c r="I33" s="85">
        <v>34307</v>
      </c>
      <c r="J33" s="84" t="str">
        <f>"Customer"</f>
        <v>Customer</v>
      </c>
      <c r="K33" s="84" t="str">
        <f>"C100059"</f>
        <v>C100059</v>
      </c>
      <c r="L33" s="84" t="str">
        <f>IF($J33="Customer",_xll.NL("first",$J33,"Name","No.","@@"&amp;$K33),"")</f>
        <v>Meersen Meubelen</v>
      </c>
      <c r="M33" s="84" t="str">
        <f>""</f>
        <v/>
      </c>
      <c r="N33" s="84" t="str">
        <f>IF($J33="Item",_xll.NL("first",$J33,"Description","No.","@@"&amp;$K33),"")</f>
        <v/>
      </c>
      <c r="O33" s="83">
        <v>0</v>
      </c>
      <c r="P33" s="83">
        <v>-48</v>
      </c>
      <c r="Q33" s="83">
        <v>0</v>
      </c>
      <c r="R33" s="83">
        <v>0</v>
      </c>
      <c r="S33" s="83">
        <v>0</v>
      </c>
      <c r="T33" s="83">
        <v>0</v>
      </c>
      <c r="U33" s="82"/>
    </row>
    <row r="34" spans="1:21" ht="17.25" customHeight="1" x14ac:dyDescent="0.3">
      <c r="A34" s="66" t="s">
        <v>30</v>
      </c>
      <c r="C34" s="67"/>
      <c r="D34" s="77" t="str">
        <f t="shared" si="11"/>
        <v>C100005</v>
      </c>
      <c r="E34" s="77"/>
      <c r="F34" s="76"/>
      <c r="G34" s="76" t="str">
        <f>"""NAV Direct"",""CRONUS JetCorp USA"",""32"",""1"",""36475"""</f>
        <v>"NAV Direct","CRONUS JetCorp USA","32","1","36475"</v>
      </c>
      <c r="H34" s="86">
        <v>43475</v>
      </c>
      <c r="I34" s="85">
        <v>36475</v>
      </c>
      <c r="J34" s="84" t="str">
        <f>"Customer"</f>
        <v>Customer</v>
      </c>
      <c r="K34" s="84" t="str">
        <f>"C100063"</f>
        <v>C100063</v>
      </c>
      <c r="L34" s="84" t="str">
        <f>IF($J34="Customer",_xll.NL("first",$J34,"Name","No.","@@"&amp;$K34),"")</f>
        <v>Möbel Scherrer AG</v>
      </c>
      <c r="M34" s="84" t="str">
        <f>""</f>
        <v/>
      </c>
      <c r="N34" s="84" t="str">
        <f>IF($J34="Item",_xll.NL("first",$J34,"Description","No.","@@"&amp;$K34),"")</f>
        <v/>
      </c>
      <c r="O34" s="83">
        <v>0</v>
      </c>
      <c r="P34" s="83">
        <v>-48</v>
      </c>
      <c r="Q34" s="83">
        <v>0</v>
      </c>
      <c r="R34" s="83">
        <v>0</v>
      </c>
      <c r="S34" s="83">
        <v>0</v>
      </c>
      <c r="T34" s="83">
        <v>0</v>
      </c>
      <c r="U34" s="82"/>
    </row>
    <row r="35" spans="1:21" ht="17.25" customHeight="1" x14ac:dyDescent="0.3">
      <c r="A35" s="66" t="s">
        <v>30</v>
      </c>
      <c r="C35" s="67"/>
      <c r="D35" s="77"/>
      <c r="E35" s="77"/>
      <c r="F35" s="76"/>
      <c r="G35" s="76"/>
      <c r="H35" s="76"/>
      <c r="I35" s="76"/>
      <c r="J35" s="76"/>
      <c r="K35" s="76"/>
      <c r="L35" s="76"/>
      <c r="M35" s="76"/>
      <c r="N35" s="76"/>
      <c r="O35" s="75"/>
      <c r="P35" s="75"/>
      <c r="Q35" s="75"/>
      <c r="R35" s="75"/>
      <c r="S35" s="75"/>
      <c r="T35" s="75"/>
      <c r="U35" s="74"/>
    </row>
    <row r="36" spans="1:21" ht="17.25" customHeight="1" x14ac:dyDescent="0.3">
      <c r="A36" s="66" t="s">
        <v>30</v>
      </c>
      <c r="C36" s="67"/>
      <c r="D36" s="77"/>
      <c r="E36" s="77" t="s">
        <v>31</v>
      </c>
      <c r="F36" s="76" t="s">
        <v>31</v>
      </c>
      <c r="G36" s="76" t="s">
        <v>31</v>
      </c>
      <c r="H36" s="76"/>
      <c r="I36" s="76"/>
      <c r="J36" s="76" t="s">
        <v>31</v>
      </c>
      <c r="K36" s="76" t="s">
        <v>31</v>
      </c>
      <c r="L36" s="76" t="s">
        <v>31</v>
      </c>
      <c r="M36" s="76" t="s">
        <v>31</v>
      </c>
      <c r="N36" s="76"/>
      <c r="U36" s="81"/>
    </row>
    <row r="37" spans="1:21" ht="20.25" customHeight="1" x14ac:dyDescent="0.35">
      <c r="A37" s="66" t="s">
        <v>30</v>
      </c>
      <c r="C37" s="67"/>
      <c r="D37" s="92" t="str">
        <f t="shared" ref="D37" si="12">E37</f>
        <v>C100006</v>
      </c>
      <c r="E37" s="91" t="str">
        <f>"C100006"</f>
        <v>C100006</v>
      </c>
      <c r="F37" s="89" t="str">
        <f>"Cherry Finished Crystal Award- Large"</f>
        <v>Cherry Finished Crystal Award- Large</v>
      </c>
      <c r="G37" s="89"/>
      <c r="H37" s="90" t="str">
        <f>"EA"</f>
        <v>EA</v>
      </c>
      <c r="I37" s="89"/>
      <c r="J37" s="89"/>
      <c r="K37" s="89"/>
      <c r="L37" s="89"/>
      <c r="M37" s="89"/>
      <c r="N37" s="89"/>
      <c r="O37" s="88">
        <f>(SUBTOTAL(9,O38:O40))</f>
        <v>300</v>
      </c>
      <c r="P37" s="88">
        <f>(SUBTOTAL(9,P38:P40))</f>
        <v>-12</v>
      </c>
      <c r="Q37" s="88">
        <f>(SUBTOTAL(9,Q38:Q40))</f>
        <v>0</v>
      </c>
      <c r="R37" s="88">
        <f>(SUBTOTAL(9,R38:R40))</f>
        <v>0</v>
      </c>
      <c r="S37" s="88">
        <f>(SUBTOTAL(9,S38:S40))</f>
        <v>0</v>
      </c>
      <c r="T37" s="88">
        <f>(SUBTOTAL(9,T38:T40))</f>
        <v>0</v>
      </c>
      <c r="U37" s="87">
        <f t="shared" ref="U37" si="13">SUBTOTAL(9,O38:T40)</f>
        <v>288</v>
      </c>
    </row>
    <row r="38" spans="1:21" ht="17.25" customHeight="1" x14ac:dyDescent="0.3">
      <c r="A38" s="66" t="s">
        <v>30</v>
      </c>
      <c r="C38" s="67"/>
      <c r="D38" s="77" t="str">
        <f t="shared" ref="D38" si="14">D37</f>
        <v>C100006</v>
      </c>
      <c r="E38" s="77"/>
      <c r="F38" s="76"/>
      <c r="G38" s="76" t="str">
        <f>"""NAV Direct"",""CRONUS JetCorp USA"",""32"",""1"",""166349"""</f>
        <v>"NAV Direct","CRONUS JetCorp USA","32","1","166349"</v>
      </c>
      <c r="H38" s="86">
        <v>43466</v>
      </c>
      <c r="I38" s="85">
        <v>166349</v>
      </c>
      <c r="J38" s="84" t="str">
        <f>"Vendor"</f>
        <v>Vendor</v>
      </c>
      <c r="K38" s="84" t="str">
        <f>"V100040"</f>
        <v>V100040</v>
      </c>
      <c r="L38" s="84" t="str">
        <f>IF($J38="Customer",_xll.NL("first",$J38,"Name","No.","@@"&amp;$K38),"")</f>
        <v/>
      </c>
      <c r="M38" s="84" t="str">
        <f>"Technische Betriebe Rotkreuz"</f>
        <v>Technische Betriebe Rotkreuz</v>
      </c>
      <c r="N38" s="84" t="str">
        <f>IF($J38="Item",_xll.NL("first",$J38,"Description","No.","@@"&amp;$K38),"")</f>
        <v/>
      </c>
      <c r="O38" s="83">
        <v>300</v>
      </c>
      <c r="P38" s="83">
        <v>0</v>
      </c>
      <c r="Q38" s="83">
        <v>0</v>
      </c>
      <c r="R38" s="83">
        <v>0</v>
      </c>
      <c r="S38" s="83">
        <v>0</v>
      </c>
      <c r="T38" s="83">
        <v>0</v>
      </c>
      <c r="U38" s="82"/>
    </row>
    <row r="39" spans="1:21" ht="17.25" customHeight="1" x14ac:dyDescent="0.3">
      <c r="A39" s="66" t="s">
        <v>30</v>
      </c>
      <c r="C39" s="67"/>
      <c r="D39" s="77" t="str">
        <f t="shared" ref="D39" si="15">D38</f>
        <v>C100006</v>
      </c>
      <c r="E39" s="77"/>
      <c r="F39" s="76"/>
      <c r="G39" s="76" t="str">
        <f>"""NAV Direct"",""CRONUS JetCorp USA"",""32"",""1"",""38085"""</f>
        <v>"NAV Direct","CRONUS JetCorp USA","32","1","38085"</v>
      </c>
      <c r="H39" s="86">
        <v>43477</v>
      </c>
      <c r="I39" s="85">
        <v>38085</v>
      </c>
      <c r="J39" s="84" t="str">
        <f>"Customer"</f>
        <v>Customer</v>
      </c>
      <c r="K39" s="84" t="str">
        <f>"C100038"</f>
        <v>C100038</v>
      </c>
      <c r="L39" s="84" t="str">
        <f>IF($J39="Customer",_xll.NL("first",$J39,"Name","No.","@@"&amp;$K39),"")</f>
        <v>Gagn &amp; Gaman</v>
      </c>
      <c r="M39" s="84" t="str">
        <f>""</f>
        <v/>
      </c>
      <c r="N39" s="84" t="str">
        <f>IF($J39="Item",_xll.NL("first",$J39,"Description","No.","@@"&amp;$K39),"")</f>
        <v/>
      </c>
      <c r="O39" s="83">
        <v>0</v>
      </c>
      <c r="P39" s="83">
        <v>-12</v>
      </c>
      <c r="Q39" s="83">
        <v>0</v>
      </c>
      <c r="R39" s="83">
        <v>0</v>
      </c>
      <c r="S39" s="83">
        <v>0</v>
      </c>
      <c r="T39" s="83">
        <v>0</v>
      </c>
      <c r="U39" s="82"/>
    </row>
    <row r="40" spans="1:21" ht="17.25" customHeight="1" x14ac:dyDescent="0.3">
      <c r="A40" s="66" t="s">
        <v>30</v>
      </c>
      <c r="C40" s="67"/>
      <c r="D40" s="77"/>
      <c r="E40" s="77"/>
      <c r="F40" s="76"/>
      <c r="G40" s="76"/>
      <c r="H40" s="76"/>
      <c r="I40" s="76"/>
      <c r="J40" s="76"/>
      <c r="K40" s="76"/>
      <c r="L40" s="76"/>
      <c r="M40" s="76"/>
      <c r="N40" s="76"/>
      <c r="O40" s="75"/>
      <c r="P40" s="75"/>
      <c r="Q40" s="75"/>
      <c r="R40" s="75"/>
      <c r="S40" s="75"/>
      <c r="T40" s="75"/>
      <c r="U40" s="74"/>
    </row>
    <row r="41" spans="1:21" ht="17.25" customHeight="1" x14ac:dyDescent="0.3">
      <c r="A41" s="66" t="s">
        <v>30</v>
      </c>
      <c r="C41" s="67"/>
      <c r="D41" s="77"/>
      <c r="E41" s="77" t="s">
        <v>31</v>
      </c>
      <c r="F41" s="76" t="s">
        <v>31</v>
      </c>
      <c r="G41" s="76" t="s">
        <v>31</v>
      </c>
      <c r="H41" s="76"/>
      <c r="I41" s="76"/>
      <c r="J41" s="76" t="s">
        <v>31</v>
      </c>
      <c r="K41" s="76" t="s">
        <v>31</v>
      </c>
      <c r="L41" s="76" t="s">
        <v>31</v>
      </c>
      <c r="M41" s="76" t="s">
        <v>31</v>
      </c>
      <c r="N41" s="76"/>
      <c r="U41" s="81"/>
    </row>
    <row r="42" spans="1:21" ht="20.25" customHeight="1" x14ac:dyDescent="0.35">
      <c r="A42" s="66" t="s">
        <v>30</v>
      </c>
      <c r="C42" s="67"/>
      <c r="D42" s="92" t="str">
        <f t="shared" ref="D42" si="16">E42</f>
        <v>C100007</v>
      </c>
      <c r="E42" s="91" t="str">
        <f>"C100007"</f>
        <v>C100007</v>
      </c>
      <c r="F42" s="89" t="str">
        <f>"7.5'' Bud Vase"</f>
        <v>7.5'' Bud Vase</v>
      </c>
      <c r="G42" s="89"/>
      <c r="H42" s="90" t="str">
        <f>"EA"</f>
        <v>EA</v>
      </c>
      <c r="I42" s="89"/>
      <c r="J42" s="89"/>
      <c r="K42" s="89"/>
      <c r="L42" s="89"/>
      <c r="M42" s="89"/>
      <c r="N42" s="89"/>
      <c r="O42" s="88">
        <f>(SUBTOTAL(9,O43:O47))</f>
        <v>499.99999999999994</v>
      </c>
      <c r="P42" s="88">
        <f>(SUBTOTAL(9,P43:P47))</f>
        <v>-296</v>
      </c>
      <c r="Q42" s="88">
        <f>(SUBTOTAL(9,Q43:Q47))</f>
        <v>0</v>
      </c>
      <c r="R42" s="88">
        <f>(SUBTOTAL(9,R43:R47))</f>
        <v>0</v>
      </c>
      <c r="S42" s="88">
        <f>(SUBTOTAL(9,S43:S47))</f>
        <v>0</v>
      </c>
      <c r="T42" s="88">
        <f>(SUBTOTAL(9,T43:T47))</f>
        <v>0</v>
      </c>
      <c r="U42" s="87">
        <f t="shared" ref="U42" si="17">SUBTOTAL(9,O43:T47)</f>
        <v>203.99999999999994</v>
      </c>
    </row>
    <row r="43" spans="1:21" ht="17.25" customHeight="1" x14ac:dyDescent="0.3">
      <c r="A43" s="66" t="s">
        <v>30</v>
      </c>
      <c r="C43" s="67"/>
      <c r="D43" s="77" t="str">
        <f t="shared" ref="D43" si="18">D42</f>
        <v>C100007</v>
      </c>
      <c r="E43" s="77"/>
      <c r="F43" s="76"/>
      <c r="G43" s="76" t="str">
        <f>"""NAV Direct"",""CRONUS JetCorp USA"",""32"",""1"",""166348"""</f>
        <v>"NAV Direct","CRONUS JetCorp USA","32","1","166348"</v>
      </c>
      <c r="H43" s="86">
        <v>43466</v>
      </c>
      <c r="I43" s="85">
        <v>166348</v>
      </c>
      <c r="J43" s="84" t="str">
        <f>"Vendor"</f>
        <v>Vendor</v>
      </c>
      <c r="K43" s="84" t="str">
        <f>"V100040"</f>
        <v>V100040</v>
      </c>
      <c r="L43" s="84" t="str">
        <f>IF($J43="Customer",_xll.NL("first",$J43,"Name","No.","@@"&amp;$K43),"")</f>
        <v/>
      </c>
      <c r="M43" s="84" t="str">
        <f>"Technische Betriebe Rotkreuz"</f>
        <v>Technische Betriebe Rotkreuz</v>
      </c>
      <c r="N43" s="84" t="str">
        <f>IF($J43="Item",_xll.NL("first",$J43,"Description","No.","@@"&amp;$K43),"")</f>
        <v/>
      </c>
      <c r="O43" s="83">
        <v>499.99999999999994</v>
      </c>
      <c r="P43" s="83">
        <v>0</v>
      </c>
      <c r="Q43" s="83">
        <v>0</v>
      </c>
      <c r="R43" s="83">
        <v>0</v>
      </c>
      <c r="S43" s="83">
        <v>0</v>
      </c>
      <c r="T43" s="83">
        <v>0</v>
      </c>
      <c r="U43" s="82"/>
    </row>
    <row r="44" spans="1:21" ht="17.25" customHeight="1" x14ac:dyDescent="0.3">
      <c r="A44" s="66" t="s">
        <v>30</v>
      </c>
      <c r="C44" s="67"/>
      <c r="D44" s="77" t="str">
        <f t="shared" ref="D44:D46" si="19">D43</f>
        <v>C100007</v>
      </c>
      <c r="E44" s="77"/>
      <c r="F44" s="76"/>
      <c r="G44" s="76" t="str">
        <f>"""NAV Direct"",""CRONUS JetCorp USA"",""32"",""1"",""12454"""</f>
        <v>"NAV Direct","CRONUS JetCorp USA","32","1","12454"</v>
      </c>
      <c r="H44" s="86">
        <v>43469</v>
      </c>
      <c r="I44" s="85">
        <v>12454</v>
      </c>
      <c r="J44" s="84" t="str">
        <f>"Customer"</f>
        <v>Customer</v>
      </c>
      <c r="K44" s="84" t="str">
        <f>"C100064"</f>
        <v>C100064</v>
      </c>
      <c r="L44" s="84" t="str">
        <f>IF($J44="Customer",_xll.NL("first",$J44,"Name","No.","@@"&amp;$K44),"")</f>
        <v>Möbel Siegfried</v>
      </c>
      <c r="M44" s="84" t="str">
        <f>""</f>
        <v/>
      </c>
      <c r="N44" s="84" t="str">
        <f>IF($J44="Item",_xll.NL("first",$J44,"Description","No.","@@"&amp;$K44),"")</f>
        <v/>
      </c>
      <c r="O44" s="83">
        <v>0</v>
      </c>
      <c r="P44" s="83">
        <v>-144</v>
      </c>
      <c r="Q44" s="83">
        <v>0</v>
      </c>
      <c r="R44" s="83">
        <v>0</v>
      </c>
      <c r="S44" s="83">
        <v>0</v>
      </c>
      <c r="T44" s="83">
        <v>0</v>
      </c>
      <c r="U44" s="82"/>
    </row>
    <row r="45" spans="1:21" ht="17.25" customHeight="1" x14ac:dyDescent="0.3">
      <c r="A45" s="66" t="s">
        <v>30</v>
      </c>
      <c r="C45" s="67"/>
      <c r="D45" s="77" t="str">
        <f t="shared" si="19"/>
        <v>C100007</v>
      </c>
      <c r="E45" s="77"/>
      <c r="F45" s="76"/>
      <c r="G45" s="76" t="str">
        <f>"""NAV Direct"",""CRONUS JetCorp USA"",""32"",""1"",""15150"""</f>
        <v>"NAV Direct","CRONUS JetCorp USA","32","1","15150"</v>
      </c>
      <c r="H45" s="86">
        <v>43471</v>
      </c>
      <c r="I45" s="85">
        <v>15150</v>
      </c>
      <c r="J45" s="84" t="str">
        <f>"Customer"</f>
        <v>Customer</v>
      </c>
      <c r="K45" s="84" t="str">
        <f>"C100134"</f>
        <v>C100134</v>
      </c>
      <c r="L45" s="84" t="str">
        <f>IF($J45="Customer",_xll.NL("first",$J45,"Name","No.","@@"&amp;$K45),"")</f>
        <v>Iber Tech</v>
      </c>
      <c r="M45" s="84" t="str">
        <f>""</f>
        <v/>
      </c>
      <c r="N45" s="84" t="str">
        <f>IF($J45="Item",_xll.NL("first",$J45,"Description","No.","@@"&amp;$K45),"")</f>
        <v/>
      </c>
      <c r="O45" s="83">
        <v>0</v>
      </c>
      <c r="P45" s="83">
        <v>-151</v>
      </c>
      <c r="Q45" s="83">
        <v>0</v>
      </c>
      <c r="R45" s="83">
        <v>0</v>
      </c>
      <c r="S45" s="83">
        <v>0</v>
      </c>
      <c r="T45" s="83">
        <v>0</v>
      </c>
      <c r="U45" s="82"/>
    </row>
    <row r="46" spans="1:21" ht="17.25" customHeight="1" x14ac:dyDescent="0.3">
      <c r="A46" s="66" t="s">
        <v>30</v>
      </c>
      <c r="C46" s="67"/>
      <c r="D46" s="77" t="str">
        <f t="shared" si="19"/>
        <v>C100007</v>
      </c>
      <c r="E46" s="77"/>
      <c r="F46" s="76"/>
      <c r="G46" s="76" t="str">
        <f>"""NAV Direct"",""CRONUS JetCorp USA"",""32"",""1"",""118088"""</f>
        <v>"NAV Direct","CRONUS JetCorp USA","32","1","118088"</v>
      </c>
      <c r="H46" s="86">
        <v>43471</v>
      </c>
      <c r="I46" s="85">
        <v>118088</v>
      </c>
      <c r="J46" s="84" t="str">
        <f>"Customer"</f>
        <v>Customer</v>
      </c>
      <c r="K46" s="84" t="str">
        <f>"C100060"</f>
        <v>C100060</v>
      </c>
      <c r="L46" s="84" t="str">
        <f>IF($J46="Customer",_xll.NL("first",$J46,"Name","No.","@@"&amp;$K46),"")</f>
        <v>MEMA Ljubljana d.o.o.</v>
      </c>
      <c r="M46" s="84" t="str">
        <f>""</f>
        <v/>
      </c>
      <c r="N46" s="84" t="str">
        <f>IF($J46="Item",_xll.NL("first",$J46,"Description","No.","@@"&amp;$K46),"")</f>
        <v/>
      </c>
      <c r="O46" s="83">
        <v>0</v>
      </c>
      <c r="P46" s="83">
        <v>-1</v>
      </c>
      <c r="Q46" s="83">
        <v>0</v>
      </c>
      <c r="R46" s="83">
        <v>0</v>
      </c>
      <c r="S46" s="83">
        <v>0</v>
      </c>
      <c r="T46" s="83">
        <v>0</v>
      </c>
      <c r="U46" s="82"/>
    </row>
    <row r="47" spans="1:21" ht="17.25" customHeight="1" x14ac:dyDescent="0.3">
      <c r="A47" s="66" t="s">
        <v>30</v>
      </c>
      <c r="C47" s="67"/>
      <c r="D47" s="77"/>
      <c r="E47" s="77"/>
      <c r="F47" s="76"/>
      <c r="G47" s="76"/>
      <c r="H47" s="76"/>
      <c r="I47" s="76"/>
      <c r="J47" s="76"/>
      <c r="K47" s="76"/>
      <c r="L47" s="76"/>
      <c r="M47" s="76"/>
      <c r="N47" s="76"/>
      <c r="O47" s="75"/>
      <c r="P47" s="75"/>
      <c r="Q47" s="75"/>
      <c r="R47" s="75"/>
      <c r="S47" s="75"/>
      <c r="T47" s="75"/>
      <c r="U47" s="74"/>
    </row>
    <row r="48" spans="1:21" ht="17.25" customHeight="1" x14ac:dyDescent="0.3">
      <c r="A48" s="66" t="s">
        <v>30</v>
      </c>
      <c r="C48" s="67"/>
      <c r="D48" s="77"/>
      <c r="E48" s="77" t="s">
        <v>31</v>
      </c>
      <c r="F48" s="76" t="s">
        <v>31</v>
      </c>
      <c r="G48" s="76" t="s">
        <v>31</v>
      </c>
      <c r="H48" s="76"/>
      <c r="I48" s="76"/>
      <c r="J48" s="76" t="s">
        <v>31</v>
      </c>
      <c r="K48" s="76" t="s">
        <v>31</v>
      </c>
      <c r="L48" s="76" t="s">
        <v>31</v>
      </c>
      <c r="M48" s="76" t="s">
        <v>31</v>
      </c>
      <c r="N48" s="76"/>
      <c r="U48" s="81"/>
    </row>
    <row r="49" spans="1:21" ht="20.25" customHeight="1" x14ac:dyDescent="0.35">
      <c r="A49" s="66" t="s">
        <v>30</v>
      </c>
      <c r="C49" s="67"/>
      <c r="D49" s="92" t="str">
        <f t="shared" ref="D49" si="20">E49</f>
        <v>C100008</v>
      </c>
      <c r="E49" s="91" t="str">
        <f>"C100008"</f>
        <v>C100008</v>
      </c>
      <c r="F49" s="89" t="str">
        <f>"Glacier Vase"</f>
        <v>Glacier Vase</v>
      </c>
      <c r="G49" s="89"/>
      <c r="H49" s="90" t="str">
        <f>"EA"</f>
        <v>EA</v>
      </c>
      <c r="I49" s="89"/>
      <c r="J49" s="89"/>
      <c r="K49" s="89"/>
      <c r="L49" s="89"/>
      <c r="M49" s="89"/>
      <c r="N49" s="89"/>
      <c r="O49" s="88">
        <f>(SUBTOTAL(9,O50:O52))</f>
        <v>400</v>
      </c>
      <c r="P49" s="88">
        <f>(SUBTOTAL(9,P50:P52))</f>
        <v>-60</v>
      </c>
      <c r="Q49" s="88">
        <f>(SUBTOTAL(9,Q50:Q52))</f>
        <v>0</v>
      </c>
      <c r="R49" s="88">
        <f>(SUBTOTAL(9,R50:R52))</f>
        <v>0</v>
      </c>
      <c r="S49" s="88">
        <f>(SUBTOTAL(9,S50:S52))</f>
        <v>0</v>
      </c>
      <c r="T49" s="88">
        <f>(SUBTOTAL(9,T50:T52))</f>
        <v>0</v>
      </c>
      <c r="U49" s="87">
        <f t="shared" ref="U49" si="21">SUBTOTAL(9,O50:T52)</f>
        <v>340</v>
      </c>
    </row>
    <row r="50" spans="1:21" ht="17.25" customHeight="1" x14ac:dyDescent="0.3">
      <c r="A50" s="66" t="s">
        <v>30</v>
      </c>
      <c r="C50" s="67"/>
      <c r="D50" s="77" t="str">
        <f t="shared" ref="D50" si="22">D49</f>
        <v>C100008</v>
      </c>
      <c r="E50" s="77"/>
      <c r="F50" s="76"/>
      <c r="G50" s="76" t="str">
        <f>"""NAV Direct"",""CRONUS JetCorp USA"",""32"",""1"",""166347"""</f>
        <v>"NAV Direct","CRONUS JetCorp USA","32","1","166347"</v>
      </c>
      <c r="H50" s="86">
        <v>43466</v>
      </c>
      <c r="I50" s="85">
        <v>166347</v>
      </c>
      <c r="J50" s="84" t="str">
        <f>"Vendor"</f>
        <v>Vendor</v>
      </c>
      <c r="K50" s="84" t="str">
        <f>"V100040"</f>
        <v>V100040</v>
      </c>
      <c r="L50" s="84" t="str">
        <f>IF($J50="Customer",_xll.NL("first",$J50,"Name","No.","@@"&amp;$K50),"")</f>
        <v/>
      </c>
      <c r="M50" s="84" t="str">
        <f>"Technische Betriebe Rotkreuz"</f>
        <v>Technische Betriebe Rotkreuz</v>
      </c>
      <c r="N50" s="84" t="str">
        <f>IF($J50="Item",_xll.NL("first",$J50,"Description","No.","@@"&amp;$K50),"")</f>
        <v/>
      </c>
      <c r="O50" s="83">
        <v>400</v>
      </c>
      <c r="P50" s="83">
        <v>0</v>
      </c>
      <c r="Q50" s="83">
        <v>0</v>
      </c>
      <c r="R50" s="83">
        <v>0</v>
      </c>
      <c r="S50" s="83">
        <v>0</v>
      </c>
      <c r="T50" s="83">
        <v>0</v>
      </c>
      <c r="U50" s="82"/>
    </row>
    <row r="51" spans="1:21" ht="17.25" customHeight="1" x14ac:dyDescent="0.3">
      <c r="A51" s="66" t="s">
        <v>30</v>
      </c>
      <c r="C51" s="67"/>
      <c r="D51" s="77" t="str">
        <f t="shared" ref="D51" si="23">D50</f>
        <v>C100008</v>
      </c>
      <c r="E51" s="77"/>
      <c r="F51" s="76"/>
      <c r="G51" s="76" t="str">
        <f>"""NAV Direct"",""CRONUS JetCorp USA"",""32"",""1"",""118073"""</f>
        <v>"NAV Direct","CRONUS JetCorp USA","32","1","118073"</v>
      </c>
      <c r="H51" s="86">
        <v>43471</v>
      </c>
      <c r="I51" s="85">
        <v>118073</v>
      </c>
      <c r="J51" s="84" t="str">
        <f>"Customer"</f>
        <v>Customer</v>
      </c>
      <c r="K51" s="84" t="str">
        <f>"C100060"</f>
        <v>C100060</v>
      </c>
      <c r="L51" s="84" t="str">
        <f>IF($J51="Customer",_xll.NL("first",$J51,"Name","No.","@@"&amp;$K51),"")</f>
        <v>MEMA Ljubljana d.o.o.</v>
      </c>
      <c r="M51" s="84" t="str">
        <f>""</f>
        <v/>
      </c>
      <c r="N51" s="84" t="str">
        <f>IF($J51="Item",_xll.NL("first",$J51,"Description","No.","@@"&amp;$K51),"")</f>
        <v/>
      </c>
      <c r="O51" s="83">
        <v>0</v>
      </c>
      <c r="P51" s="83">
        <v>-60</v>
      </c>
      <c r="Q51" s="83">
        <v>0</v>
      </c>
      <c r="R51" s="83">
        <v>0</v>
      </c>
      <c r="S51" s="83">
        <v>0</v>
      </c>
      <c r="T51" s="83">
        <v>0</v>
      </c>
      <c r="U51" s="82"/>
    </row>
    <row r="52" spans="1:21" ht="17.25" customHeight="1" x14ac:dyDescent="0.3">
      <c r="A52" s="66" t="s">
        <v>30</v>
      </c>
      <c r="C52" s="67"/>
      <c r="D52" s="77"/>
      <c r="E52" s="77"/>
      <c r="F52" s="76"/>
      <c r="G52" s="76"/>
      <c r="H52" s="76"/>
      <c r="I52" s="76"/>
      <c r="J52" s="76"/>
      <c r="K52" s="76"/>
      <c r="L52" s="76"/>
      <c r="M52" s="76"/>
      <c r="N52" s="76"/>
      <c r="O52" s="75"/>
      <c r="P52" s="75"/>
      <c r="Q52" s="75"/>
      <c r="R52" s="75"/>
      <c r="S52" s="75"/>
      <c r="T52" s="75"/>
      <c r="U52" s="74"/>
    </row>
    <row r="53" spans="1:21" ht="17.25" customHeight="1" x14ac:dyDescent="0.3">
      <c r="A53" s="66" t="s">
        <v>30</v>
      </c>
      <c r="C53" s="67"/>
      <c r="D53" s="77"/>
      <c r="E53" s="77" t="s">
        <v>31</v>
      </c>
      <c r="F53" s="76" t="s">
        <v>31</v>
      </c>
      <c r="G53" s="76" t="s">
        <v>31</v>
      </c>
      <c r="H53" s="76"/>
      <c r="I53" s="76"/>
      <c r="J53" s="76" t="s">
        <v>31</v>
      </c>
      <c r="K53" s="76" t="s">
        <v>31</v>
      </c>
      <c r="L53" s="76" t="s">
        <v>31</v>
      </c>
      <c r="M53" s="76" t="s">
        <v>31</v>
      </c>
      <c r="N53" s="76"/>
      <c r="U53" s="81"/>
    </row>
    <row r="54" spans="1:21" ht="20.25" customHeight="1" x14ac:dyDescent="0.35">
      <c r="A54" s="66" t="s">
        <v>30</v>
      </c>
      <c r="C54" s="67"/>
      <c r="D54" s="92" t="str">
        <f t="shared" ref="D54" si="24">E54</f>
        <v>C100009</v>
      </c>
      <c r="E54" s="91" t="str">
        <f>"C100009"</f>
        <v>C100009</v>
      </c>
      <c r="F54" s="89" t="str">
        <f>"Normandy Vase"</f>
        <v>Normandy Vase</v>
      </c>
      <c r="G54" s="89"/>
      <c r="H54" s="90" t="str">
        <f>"EA"</f>
        <v>EA</v>
      </c>
      <c r="I54" s="89"/>
      <c r="J54" s="89"/>
      <c r="K54" s="89"/>
      <c r="L54" s="89"/>
      <c r="M54" s="89"/>
      <c r="N54" s="89"/>
      <c r="O54" s="88">
        <f>(SUBTOTAL(9,O55:O58))</f>
        <v>200</v>
      </c>
      <c r="P54" s="88">
        <f>(SUBTOTAL(9,P55:P58))</f>
        <v>-145</v>
      </c>
      <c r="Q54" s="88">
        <f>(SUBTOTAL(9,Q55:Q58))</f>
        <v>0</v>
      </c>
      <c r="R54" s="88">
        <f>(SUBTOTAL(9,R55:R58))</f>
        <v>0</v>
      </c>
      <c r="S54" s="88">
        <f>(SUBTOTAL(9,S55:S58))</f>
        <v>0</v>
      </c>
      <c r="T54" s="88">
        <f>(SUBTOTAL(9,T55:T58))</f>
        <v>0</v>
      </c>
      <c r="U54" s="87">
        <f t="shared" ref="U54" si="25">SUBTOTAL(9,O55:T58)</f>
        <v>55</v>
      </c>
    </row>
    <row r="55" spans="1:21" ht="17.25" customHeight="1" x14ac:dyDescent="0.3">
      <c r="A55" s="66" t="s">
        <v>30</v>
      </c>
      <c r="C55" s="67"/>
      <c r="D55" s="77" t="str">
        <f t="shared" ref="D55" si="26">D54</f>
        <v>C100009</v>
      </c>
      <c r="E55" s="77"/>
      <c r="F55" s="76"/>
      <c r="G55" s="76" t="str">
        <f>"""NAV Direct"",""CRONUS JetCorp USA"",""32"",""1"",""166346"""</f>
        <v>"NAV Direct","CRONUS JetCorp USA","32","1","166346"</v>
      </c>
      <c r="H55" s="86">
        <v>43466</v>
      </c>
      <c r="I55" s="85">
        <v>166346</v>
      </c>
      <c r="J55" s="84" t="str">
        <f>"Vendor"</f>
        <v>Vendor</v>
      </c>
      <c r="K55" s="84" t="str">
        <f>"V100040"</f>
        <v>V100040</v>
      </c>
      <c r="L55" s="84" t="str">
        <f>IF($J55="Customer",_xll.NL("first",$J55,"Name","No.","@@"&amp;$K55),"")</f>
        <v/>
      </c>
      <c r="M55" s="84" t="str">
        <f>"Technische Betriebe Rotkreuz"</f>
        <v>Technische Betriebe Rotkreuz</v>
      </c>
      <c r="N55" s="84" t="str">
        <f>IF($J55="Item",_xll.NL("first",$J55,"Description","No.","@@"&amp;$K55),"")</f>
        <v/>
      </c>
      <c r="O55" s="83">
        <v>200</v>
      </c>
      <c r="P55" s="83">
        <v>0</v>
      </c>
      <c r="Q55" s="83">
        <v>0</v>
      </c>
      <c r="R55" s="83">
        <v>0</v>
      </c>
      <c r="S55" s="83">
        <v>0</v>
      </c>
      <c r="T55" s="83">
        <v>0</v>
      </c>
      <c r="U55" s="82"/>
    </row>
    <row r="56" spans="1:21" ht="17.25" customHeight="1" x14ac:dyDescent="0.3">
      <c r="A56" s="66" t="s">
        <v>30</v>
      </c>
      <c r="C56" s="67"/>
      <c r="D56" s="77" t="str">
        <f t="shared" ref="D56:D57" si="27">D55</f>
        <v>C100009</v>
      </c>
      <c r="E56" s="77"/>
      <c r="F56" s="76"/>
      <c r="G56" s="76" t="str">
        <f>"""NAV Direct"",""CRONUS JetCorp USA"",""32"",""1"",""15153"""</f>
        <v>"NAV Direct","CRONUS JetCorp USA","32","1","15153"</v>
      </c>
      <c r="H56" s="86">
        <v>43471</v>
      </c>
      <c r="I56" s="85">
        <v>15153</v>
      </c>
      <c r="J56" s="84" t="str">
        <f>"Customer"</f>
        <v>Customer</v>
      </c>
      <c r="K56" s="84" t="str">
        <f>"C100134"</f>
        <v>C100134</v>
      </c>
      <c r="L56" s="84" t="str">
        <f>IF($J56="Customer",_xll.NL("first",$J56,"Name","No.","@@"&amp;$K56),"")</f>
        <v>Iber Tech</v>
      </c>
      <c r="M56" s="84" t="str">
        <f>""</f>
        <v/>
      </c>
      <c r="N56" s="84" t="str">
        <f>IF($J56="Item",_xll.NL("first",$J56,"Description","No.","@@"&amp;$K56),"")</f>
        <v/>
      </c>
      <c r="O56" s="83">
        <v>0</v>
      </c>
      <c r="P56" s="83">
        <v>-1</v>
      </c>
      <c r="Q56" s="83">
        <v>0</v>
      </c>
      <c r="R56" s="83">
        <v>0</v>
      </c>
      <c r="S56" s="83">
        <v>0</v>
      </c>
      <c r="T56" s="83">
        <v>0</v>
      </c>
      <c r="U56" s="82"/>
    </row>
    <row r="57" spans="1:21" ht="17.25" customHeight="1" x14ac:dyDescent="0.3">
      <c r="A57" s="66" t="s">
        <v>30</v>
      </c>
      <c r="C57" s="67"/>
      <c r="D57" s="77" t="str">
        <f t="shared" si="27"/>
        <v>C100009</v>
      </c>
      <c r="E57" s="77"/>
      <c r="F57" s="76"/>
      <c r="G57" s="76" t="str">
        <f>"""NAV Direct"",""CRONUS JetCorp USA"",""32"",""1"",""118081"""</f>
        <v>"NAV Direct","CRONUS JetCorp USA","32","1","118081"</v>
      </c>
      <c r="H57" s="86">
        <v>43471</v>
      </c>
      <c r="I57" s="85">
        <v>118081</v>
      </c>
      <c r="J57" s="84" t="str">
        <f>"Customer"</f>
        <v>Customer</v>
      </c>
      <c r="K57" s="84" t="str">
        <f>"C100060"</f>
        <v>C100060</v>
      </c>
      <c r="L57" s="84" t="str">
        <f>IF($J57="Customer",_xll.NL("first",$J57,"Name","No.","@@"&amp;$K57),"")</f>
        <v>MEMA Ljubljana d.o.o.</v>
      </c>
      <c r="M57" s="84" t="str">
        <f>""</f>
        <v/>
      </c>
      <c r="N57" s="84" t="str">
        <f>IF($J57="Item",_xll.NL("first",$J57,"Description","No.","@@"&amp;$K57),"")</f>
        <v/>
      </c>
      <c r="O57" s="83">
        <v>0</v>
      </c>
      <c r="P57" s="83">
        <v>-144</v>
      </c>
      <c r="Q57" s="83">
        <v>0</v>
      </c>
      <c r="R57" s="83">
        <v>0</v>
      </c>
      <c r="S57" s="83">
        <v>0</v>
      </c>
      <c r="T57" s="83">
        <v>0</v>
      </c>
      <c r="U57" s="82"/>
    </row>
    <row r="58" spans="1:21" ht="17.25" customHeight="1" x14ac:dyDescent="0.3">
      <c r="A58" s="66" t="s">
        <v>30</v>
      </c>
      <c r="C58" s="67"/>
      <c r="D58" s="77"/>
      <c r="E58" s="77"/>
      <c r="F58" s="76"/>
      <c r="G58" s="76"/>
      <c r="H58" s="76"/>
      <c r="I58" s="76"/>
      <c r="J58" s="76"/>
      <c r="K58" s="76"/>
      <c r="L58" s="76"/>
      <c r="M58" s="76"/>
      <c r="N58" s="76"/>
      <c r="O58" s="75"/>
      <c r="P58" s="75"/>
      <c r="Q58" s="75"/>
      <c r="R58" s="75"/>
      <c r="S58" s="75"/>
      <c r="T58" s="75"/>
      <c r="U58" s="74"/>
    </row>
    <row r="59" spans="1:21" ht="17.25" customHeight="1" x14ac:dyDescent="0.3">
      <c r="A59" s="66" t="s">
        <v>30</v>
      </c>
      <c r="C59" s="67"/>
      <c r="D59" s="77"/>
      <c r="E59" s="77" t="s">
        <v>31</v>
      </c>
      <c r="F59" s="76" t="s">
        <v>31</v>
      </c>
      <c r="G59" s="76" t="s">
        <v>31</v>
      </c>
      <c r="H59" s="76"/>
      <c r="I59" s="76"/>
      <c r="J59" s="76" t="s">
        <v>31</v>
      </c>
      <c r="K59" s="76" t="s">
        <v>31</v>
      </c>
      <c r="L59" s="76" t="s">
        <v>31</v>
      </c>
      <c r="M59" s="76" t="s">
        <v>31</v>
      </c>
      <c r="N59" s="76"/>
      <c r="U59" s="81"/>
    </row>
    <row r="60" spans="1:21" ht="20.25" customHeight="1" x14ac:dyDescent="0.35">
      <c r="A60" s="66" t="s">
        <v>30</v>
      </c>
      <c r="C60" s="67"/>
      <c r="D60" s="92" t="str">
        <f t="shared" ref="D60" si="28">E60</f>
        <v>C100010</v>
      </c>
      <c r="E60" s="91" t="str">
        <f>"C100010"</f>
        <v>C100010</v>
      </c>
      <c r="F60" s="89" t="str">
        <f>"Wisper-Cut Vase"</f>
        <v>Wisper-Cut Vase</v>
      </c>
      <c r="G60" s="89"/>
      <c r="H60" s="90" t="str">
        <f>"EA"</f>
        <v>EA</v>
      </c>
      <c r="I60" s="89"/>
      <c r="J60" s="89"/>
      <c r="K60" s="89"/>
      <c r="L60" s="89"/>
      <c r="M60" s="89"/>
      <c r="N60" s="89"/>
      <c r="O60" s="88">
        <f>(SUBTOTAL(9,O61:O63))</f>
        <v>100</v>
      </c>
      <c r="P60" s="88">
        <f>(SUBTOTAL(9,P61:P63))</f>
        <v>-48</v>
      </c>
      <c r="Q60" s="88">
        <f>(SUBTOTAL(9,Q61:Q63))</f>
        <v>0</v>
      </c>
      <c r="R60" s="88">
        <f>(SUBTOTAL(9,R61:R63))</f>
        <v>0</v>
      </c>
      <c r="S60" s="88">
        <f>(SUBTOTAL(9,S61:S63))</f>
        <v>0</v>
      </c>
      <c r="T60" s="88">
        <f>(SUBTOTAL(9,T61:T63))</f>
        <v>0</v>
      </c>
      <c r="U60" s="87">
        <f t="shared" ref="U60" si="29">SUBTOTAL(9,O61:T63)</f>
        <v>52</v>
      </c>
    </row>
    <row r="61" spans="1:21" ht="17.25" customHeight="1" x14ac:dyDescent="0.3">
      <c r="A61" s="66" t="s">
        <v>30</v>
      </c>
      <c r="C61" s="67"/>
      <c r="D61" s="77" t="str">
        <f t="shared" ref="D61" si="30">D60</f>
        <v>C100010</v>
      </c>
      <c r="E61" s="77"/>
      <c r="F61" s="76"/>
      <c r="G61" s="76" t="str">
        <f>"""NAV Direct"",""CRONUS JetCorp USA"",""32"",""1"",""166345"""</f>
        <v>"NAV Direct","CRONUS JetCorp USA","32","1","166345"</v>
      </c>
      <c r="H61" s="86">
        <v>43466</v>
      </c>
      <c r="I61" s="85">
        <v>166345</v>
      </c>
      <c r="J61" s="84" t="str">
        <f>"Vendor"</f>
        <v>Vendor</v>
      </c>
      <c r="K61" s="84" t="str">
        <f>"V100040"</f>
        <v>V100040</v>
      </c>
      <c r="L61" s="84" t="str">
        <f>IF($J61="Customer",_xll.NL("first",$J61,"Name","No.","@@"&amp;$K61),"")</f>
        <v/>
      </c>
      <c r="M61" s="84" t="str">
        <f>"Technische Betriebe Rotkreuz"</f>
        <v>Technische Betriebe Rotkreuz</v>
      </c>
      <c r="N61" s="84" t="str">
        <f>IF($J61="Item",_xll.NL("first",$J61,"Description","No.","@@"&amp;$K61),"")</f>
        <v/>
      </c>
      <c r="O61" s="83">
        <v>100</v>
      </c>
      <c r="P61" s="83">
        <v>0</v>
      </c>
      <c r="Q61" s="83">
        <v>0</v>
      </c>
      <c r="R61" s="83">
        <v>0</v>
      </c>
      <c r="S61" s="83">
        <v>0</v>
      </c>
      <c r="T61" s="83">
        <v>0</v>
      </c>
      <c r="U61" s="82"/>
    </row>
    <row r="62" spans="1:21" ht="17.25" customHeight="1" x14ac:dyDescent="0.3">
      <c r="A62" s="66" t="s">
        <v>30</v>
      </c>
      <c r="C62" s="67"/>
      <c r="D62" s="77" t="str">
        <f t="shared" ref="D62" si="31">D61</f>
        <v>C100010</v>
      </c>
      <c r="E62" s="77"/>
      <c r="F62" s="76"/>
      <c r="G62" s="76" t="str">
        <f>"""NAV Direct"",""CRONUS JetCorp USA"",""32"",""1"",""15147"""</f>
        <v>"NAV Direct","CRONUS JetCorp USA","32","1","15147"</v>
      </c>
      <c r="H62" s="86">
        <v>43471</v>
      </c>
      <c r="I62" s="85">
        <v>15147</v>
      </c>
      <c r="J62" s="84" t="str">
        <f>"Customer"</f>
        <v>Customer</v>
      </c>
      <c r="K62" s="84" t="str">
        <f>"C100134"</f>
        <v>C100134</v>
      </c>
      <c r="L62" s="84" t="str">
        <f>IF($J62="Customer",_xll.NL("first",$J62,"Name","No.","@@"&amp;$K62),"")</f>
        <v>Iber Tech</v>
      </c>
      <c r="M62" s="84" t="str">
        <f>""</f>
        <v/>
      </c>
      <c r="N62" s="84" t="str">
        <f>IF($J62="Item",_xll.NL("first",$J62,"Description","No.","@@"&amp;$K62),"")</f>
        <v/>
      </c>
      <c r="O62" s="83">
        <v>0</v>
      </c>
      <c r="P62" s="83">
        <v>-48</v>
      </c>
      <c r="Q62" s="83">
        <v>0</v>
      </c>
      <c r="R62" s="83">
        <v>0</v>
      </c>
      <c r="S62" s="83">
        <v>0</v>
      </c>
      <c r="T62" s="83">
        <v>0</v>
      </c>
      <c r="U62" s="82"/>
    </row>
    <row r="63" spans="1:21" ht="17.25" customHeight="1" x14ac:dyDescent="0.3">
      <c r="A63" s="66" t="s">
        <v>30</v>
      </c>
      <c r="C63" s="67"/>
      <c r="D63" s="77"/>
      <c r="E63" s="77"/>
      <c r="F63" s="76"/>
      <c r="G63" s="76"/>
      <c r="H63" s="76"/>
      <c r="I63" s="76"/>
      <c r="J63" s="76"/>
      <c r="K63" s="76"/>
      <c r="L63" s="76"/>
      <c r="M63" s="76"/>
      <c r="N63" s="76"/>
      <c r="O63" s="75"/>
      <c r="P63" s="75"/>
      <c r="Q63" s="75"/>
      <c r="R63" s="75"/>
      <c r="S63" s="75"/>
      <c r="T63" s="75"/>
      <c r="U63" s="74"/>
    </row>
    <row r="64" spans="1:21" ht="17.25" customHeight="1" x14ac:dyDescent="0.3">
      <c r="A64" s="66" t="s">
        <v>30</v>
      </c>
      <c r="C64" s="67"/>
      <c r="D64" s="77"/>
      <c r="E64" s="77" t="s">
        <v>31</v>
      </c>
      <c r="F64" s="76" t="s">
        <v>31</v>
      </c>
      <c r="G64" s="76" t="s">
        <v>31</v>
      </c>
      <c r="H64" s="76"/>
      <c r="I64" s="76"/>
      <c r="J64" s="76" t="s">
        <v>31</v>
      </c>
      <c r="K64" s="76" t="s">
        <v>31</v>
      </c>
      <c r="L64" s="76" t="s">
        <v>31</v>
      </c>
      <c r="M64" s="76" t="s">
        <v>31</v>
      </c>
      <c r="N64" s="76"/>
      <c r="U64" s="81"/>
    </row>
    <row r="65" spans="1:21" ht="20.25" customHeight="1" x14ac:dyDescent="0.35">
      <c r="A65" s="66" t="s">
        <v>30</v>
      </c>
      <c r="C65" s="67"/>
      <c r="D65" s="92" t="str">
        <f t="shared" ref="D65" si="32">E65</f>
        <v>C100011</v>
      </c>
      <c r="E65" s="91" t="str">
        <f>"C100011"</f>
        <v>C100011</v>
      </c>
      <c r="F65" s="89" t="str">
        <f>"Winter Frost Vase"</f>
        <v>Winter Frost Vase</v>
      </c>
      <c r="G65" s="89"/>
      <c r="H65" s="90" t="str">
        <f>"EA"</f>
        <v>EA</v>
      </c>
      <c r="I65" s="89"/>
      <c r="J65" s="89"/>
      <c r="K65" s="89"/>
      <c r="L65" s="89"/>
      <c r="M65" s="89"/>
      <c r="N65" s="89"/>
      <c r="O65" s="88">
        <f>(SUBTOTAL(9,O66:O69))</f>
        <v>200</v>
      </c>
      <c r="P65" s="88">
        <f>(SUBTOTAL(9,P66:P69))</f>
        <v>-145</v>
      </c>
      <c r="Q65" s="88">
        <f>(SUBTOTAL(9,Q66:Q69))</f>
        <v>0</v>
      </c>
      <c r="R65" s="88">
        <f>(SUBTOTAL(9,R66:R69))</f>
        <v>0</v>
      </c>
      <c r="S65" s="88">
        <f>(SUBTOTAL(9,S66:S69))</f>
        <v>0</v>
      </c>
      <c r="T65" s="88">
        <f>(SUBTOTAL(9,T66:T69))</f>
        <v>0</v>
      </c>
      <c r="U65" s="87">
        <f t="shared" ref="U65" si="33">SUBTOTAL(9,O66:T69)</f>
        <v>55</v>
      </c>
    </row>
    <row r="66" spans="1:21" ht="17.25" customHeight="1" x14ac:dyDescent="0.3">
      <c r="A66" s="66" t="s">
        <v>30</v>
      </c>
      <c r="C66" s="67"/>
      <c r="D66" s="77" t="str">
        <f t="shared" ref="D66" si="34">D65</f>
        <v>C100011</v>
      </c>
      <c r="E66" s="77"/>
      <c r="F66" s="76"/>
      <c r="G66" s="76" t="str">
        <f>"""NAV Direct"",""CRONUS JetCorp USA"",""32"",""1"",""166344"""</f>
        <v>"NAV Direct","CRONUS JetCorp USA","32","1","166344"</v>
      </c>
      <c r="H66" s="86">
        <v>43466</v>
      </c>
      <c r="I66" s="85">
        <v>166344</v>
      </c>
      <c r="J66" s="84" t="str">
        <f>"Vendor"</f>
        <v>Vendor</v>
      </c>
      <c r="K66" s="84" t="str">
        <f>"V100040"</f>
        <v>V100040</v>
      </c>
      <c r="L66" s="84" t="str">
        <f>IF($J66="Customer",_xll.NL("first",$J66,"Name","No.","@@"&amp;$K66),"")</f>
        <v/>
      </c>
      <c r="M66" s="84" t="str">
        <f>"Technische Betriebe Rotkreuz"</f>
        <v>Technische Betriebe Rotkreuz</v>
      </c>
      <c r="N66" s="84" t="str">
        <f>IF($J66="Item",_xll.NL("first",$J66,"Description","No.","@@"&amp;$K66),"")</f>
        <v/>
      </c>
      <c r="O66" s="83">
        <v>200</v>
      </c>
      <c r="P66" s="83">
        <v>0</v>
      </c>
      <c r="Q66" s="83">
        <v>0</v>
      </c>
      <c r="R66" s="83">
        <v>0</v>
      </c>
      <c r="S66" s="83">
        <v>0</v>
      </c>
      <c r="T66" s="83">
        <v>0</v>
      </c>
      <c r="U66" s="82"/>
    </row>
    <row r="67" spans="1:21" ht="17.25" customHeight="1" x14ac:dyDescent="0.3">
      <c r="A67" s="66" t="s">
        <v>30</v>
      </c>
      <c r="C67" s="67"/>
      <c r="D67" s="77" t="str">
        <f t="shared" ref="D67:D68" si="35">D66</f>
        <v>C100011</v>
      </c>
      <c r="E67" s="77"/>
      <c r="F67" s="76"/>
      <c r="G67" s="76" t="str">
        <f>"""NAV Direct"",""CRONUS JetCorp USA"",""32"",""1"",""15151"""</f>
        <v>"NAV Direct","CRONUS JetCorp USA","32","1","15151"</v>
      </c>
      <c r="H67" s="86">
        <v>43471</v>
      </c>
      <c r="I67" s="85">
        <v>15151</v>
      </c>
      <c r="J67" s="84" t="str">
        <f>"Customer"</f>
        <v>Customer</v>
      </c>
      <c r="K67" s="84" t="str">
        <f>"C100134"</f>
        <v>C100134</v>
      </c>
      <c r="L67" s="84" t="str">
        <f>IF($J67="Customer",_xll.NL("first",$J67,"Name","No.","@@"&amp;$K67),"")</f>
        <v>Iber Tech</v>
      </c>
      <c r="M67" s="84" t="str">
        <f>""</f>
        <v/>
      </c>
      <c r="N67" s="84" t="str">
        <f>IF($J67="Item",_xll.NL("first",$J67,"Description","No.","@@"&amp;$K67),"")</f>
        <v/>
      </c>
      <c r="O67" s="83">
        <v>0</v>
      </c>
      <c r="P67" s="83">
        <v>-1</v>
      </c>
      <c r="Q67" s="83">
        <v>0</v>
      </c>
      <c r="R67" s="83">
        <v>0</v>
      </c>
      <c r="S67" s="83">
        <v>0</v>
      </c>
      <c r="T67" s="83">
        <v>0</v>
      </c>
      <c r="U67" s="82"/>
    </row>
    <row r="68" spans="1:21" ht="17.25" customHeight="1" x14ac:dyDescent="0.3">
      <c r="A68" s="66" t="s">
        <v>30</v>
      </c>
      <c r="C68" s="67"/>
      <c r="D68" s="77" t="str">
        <f t="shared" si="35"/>
        <v>C100011</v>
      </c>
      <c r="E68" s="77"/>
      <c r="F68" s="76"/>
      <c r="G68" s="76" t="str">
        <f>"""NAV Direct"",""CRONUS JetCorp USA"",""32"",""1"",""118080"""</f>
        <v>"NAV Direct","CRONUS JetCorp USA","32","1","118080"</v>
      </c>
      <c r="H68" s="86">
        <v>43471</v>
      </c>
      <c r="I68" s="85">
        <v>118080</v>
      </c>
      <c r="J68" s="84" t="str">
        <f>"Customer"</f>
        <v>Customer</v>
      </c>
      <c r="K68" s="84" t="str">
        <f>"C100060"</f>
        <v>C100060</v>
      </c>
      <c r="L68" s="84" t="str">
        <f>IF($J68="Customer",_xll.NL("first",$J68,"Name","No.","@@"&amp;$K68),"")</f>
        <v>MEMA Ljubljana d.o.o.</v>
      </c>
      <c r="M68" s="84" t="str">
        <f>""</f>
        <v/>
      </c>
      <c r="N68" s="84" t="str">
        <f>IF($J68="Item",_xll.NL("first",$J68,"Description","No.","@@"&amp;$K68),"")</f>
        <v/>
      </c>
      <c r="O68" s="83">
        <v>0</v>
      </c>
      <c r="P68" s="83">
        <v>-144</v>
      </c>
      <c r="Q68" s="83">
        <v>0</v>
      </c>
      <c r="R68" s="83">
        <v>0</v>
      </c>
      <c r="S68" s="83">
        <v>0</v>
      </c>
      <c r="T68" s="83">
        <v>0</v>
      </c>
      <c r="U68" s="82"/>
    </row>
    <row r="69" spans="1:21" ht="17.25" customHeight="1" x14ac:dyDescent="0.3">
      <c r="A69" s="66" t="s">
        <v>30</v>
      </c>
      <c r="C69" s="67"/>
      <c r="D69" s="77"/>
      <c r="E69" s="77"/>
      <c r="F69" s="76"/>
      <c r="G69" s="76"/>
      <c r="H69" s="76"/>
      <c r="I69" s="76"/>
      <c r="J69" s="76"/>
      <c r="K69" s="76"/>
      <c r="L69" s="76"/>
      <c r="M69" s="76"/>
      <c r="N69" s="76"/>
      <c r="O69" s="75"/>
      <c r="P69" s="75"/>
      <c r="Q69" s="75"/>
      <c r="R69" s="75"/>
      <c r="S69" s="75"/>
      <c r="T69" s="75"/>
      <c r="U69" s="74"/>
    </row>
    <row r="70" spans="1:21" ht="17.25" customHeight="1" x14ac:dyDescent="0.3">
      <c r="A70" s="66" t="s">
        <v>30</v>
      </c>
      <c r="C70" s="67"/>
      <c r="D70" s="77"/>
      <c r="E70" s="77" t="s">
        <v>31</v>
      </c>
      <c r="F70" s="76" t="s">
        <v>31</v>
      </c>
      <c r="G70" s="76" t="s">
        <v>31</v>
      </c>
      <c r="H70" s="76"/>
      <c r="I70" s="76"/>
      <c r="J70" s="76" t="s">
        <v>31</v>
      </c>
      <c r="K70" s="76" t="s">
        <v>31</v>
      </c>
      <c r="L70" s="76" t="s">
        <v>31</v>
      </c>
      <c r="M70" s="76" t="s">
        <v>31</v>
      </c>
      <c r="N70" s="76"/>
      <c r="U70" s="81"/>
    </row>
    <row r="71" spans="1:21" ht="20.25" customHeight="1" x14ac:dyDescent="0.35">
      <c r="A71" s="66" t="s">
        <v>30</v>
      </c>
      <c r="C71" s="67"/>
      <c r="D71" s="92" t="str">
        <f t="shared" ref="D71" si="36">E71</f>
        <v>C100014</v>
      </c>
      <c r="E71" s="91" t="str">
        <f>"C100014"</f>
        <v>C100014</v>
      </c>
      <c r="F71" s="89" t="str">
        <f>"Canvas Field Bag"</f>
        <v>Canvas Field Bag</v>
      </c>
      <c r="G71" s="89"/>
      <c r="H71" s="90" t="str">
        <f>"EA"</f>
        <v>EA</v>
      </c>
      <c r="I71" s="89"/>
      <c r="J71" s="89"/>
      <c r="K71" s="89"/>
      <c r="L71" s="89"/>
      <c r="M71" s="89"/>
      <c r="N71" s="89"/>
      <c r="O71" s="88">
        <f>(SUBTOTAL(9,O72:O73))</f>
        <v>800</v>
      </c>
      <c r="P71" s="88">
        <f>(SUBTOTAL(9,P72:P73))</f>
        <v>0</v>
      </c>
      <c r="Q71" s="88">
        <f>(SUBTOTAL(9,Q72:Q73))</f>
        <v>0</v>
      </c>
      <c r="R71" s="88">
        <f>(SUBTOTAL(9,R72:R73))</f>
        <v>0</v>
      </c>
      <c r="S71" s="88">
        <f>(SUBTOTAL(9,S72:S73))</f>
        <v>0</v>
      </c>
      <c r="T71" s="88">
        <f>(SUBTOTAL(9,T72:T73))</f>
        <v>0</v>
      </c>
      <c r="U71" s="87">
        <f t="shared" ref="U71" si="37">SUBTOTAL(9,O72:T73)</f>
        <v>800</v>
      </c>
    </row>
    <row r="72" spans="1:21" ht="17.25" customHeight="1" x14ac:dyDescent="0.3">
      <c r="A72" s="66" t="s">
        <v>30</v>
      </c>
      <c r="C72" s="67"/>
      <c r="D72" s="77" t="str">
        <f t="shared" ref="D72" si="38">D71</f>
        <v>C100014</v>
      </c>
      <c r="E72" s="77"/>
      <c r="F72" s="76"/>
      <c r="G72" s="76" t="str">
        <f>"""NAV Direct"",""CRONUS JetCorp USA"",""32"",""1"",""166748"""</f>
        <v>"NAV Direct","CRONUS JetCorp USA","32","1","166748"</v>
      </c>
      <c r="H72" s="86">
        <v>43466</v>
      </c>
      <c r="I72" s="85">
        <v>166748</v>
      </c>
      <c r="J72" s="84" t="str">
        <f>"Vendor"</f>
        <v>Vendor</v>
      </c>
      <c r="K72" s="84" t="str">
        <f>"V100040"</f>
        <v>V100040</v>
      </c>
      <c r="L72" s="84" t="str">
        <f>IF($J72="Customer",_xll.NL("first",$J72,"Name","No.","@@"&amp;$K72),"")</f>
        <v/>
      </c>
      <c r="M72" s="84" t="str">
        <f>"Technische Betriebe Rotkreuz"</f>
        <v>Technische Betriebe Rotkreuz</v>
      </c>
      <c r="N72" s="84" t="str">
        <f>IF($J72="Item",_xll.NL("first",$J72,"Description","No.","@@"&amp;$K72),"")</f>
        <v/>
      </c>
      <c r="O72" s="83">
        <v>800</v>
      </c>
      <c r="P72" s="83">
        <v>0</v>
      </c>
      <c r="Q72" s="83">
        <v>0</v>
      </c>
      <c r="R72" s="83">
        <v>0</v>
      </c>
      <c r="S72" s="83">
        <v>0</v>
      </c>
      <c r="T72" s="83">
        <v>0</v>
      </c>
      <c r="U72" s="82"/>
    </row>
    <row r="73" spans="1:21" ht="17.25" customHeight="1" x14ac:dyDescent="0.3">
      <c r="A73" s="66" t="s">
        <v>30</v>
      </c>
      <c r="C73" s="67"/>
      <c r="D73" s="77"/>
      <c r="E73" s="77"/>
      <c r="F73" s="76"/>
      <c r="G73" s="76"/>
      <c r="H73" s="76"/>
      <c r="I73" s="76"/>
      <c r="J73" s="76"/>
      <c r="K73" s="76"/>
      <c r="L73" s="76"/>
      <c r="M73" s="76"/>
      <c r="N73" s="76"/>
      <c r="O73" s="75"/>
      <c r="P73" s="75"/>
      <c r="Q73" s="75"/>
      <c r="R73" s="75"/>
      <c r="S73" s="75"/>
      <c r="T73" s="75"/>
      <c r="U73" s="74"/>
    </row>
    <row r="74" spans="1:21" ht="17.25" customHeight="1" x14ac:dyDescent="0.3">
      <c r="A74" s="66" t="s">
        <v>30</v>
      </c>
      <c r="C74" s="67"/>
      <c r="D74" s="77"/>
      <c r="E74" s="77" t="s">
        <v>31</v>
      </c>
      <c r="F74" s="76" t="s">
        <v>31</v>
      </c>
      <c r="G74" s="76" t="s">
        <v>31</v>
      </c>
      <c r="H74" s="76"/>
      <c r="I74" s="76"/>
      <c r="J74" s="76" t="s">
        <v>31</v>
      </c>
      <c r="K74" s="76" t="s">
        <v>31</v>
      </c>
      <c r="L74" s="76" t="s">
        <v>31</v>
      </c>
      <c r="M74" s="76" t="s">
        <v>31</v>
      </c>
      <c r="N74" s="76"/>
      <c r="U74" s="81"/>
    </row>
    <row r="75" spans="1:21" ht="20.25" customHeight="1" x14ac:dyDescent="0.35">
      <c r="A75" s="66" t="s">
        <v>30</v>
      </c>
      <c r="C75" s="67"/>
      <c r="D75" s="92" t="str">
        <f t="shared" ref="D75" si="39">E75</f>
        <v>C100017</v>
      </c>
      <c r="E75" s="91" t="str">
        <f>"C100017"</f>
        <v>C100017</v>
      </c>
      <c r="F75" s="89" t="str">
        <f>"Wheeled Duffel"</f>
        <v>Wheeled Duffel</v>
      </c>
      <c r="G75" s="89"/>
      <c r="H75" s="90" t="str">
        <f>"EA"</f>
        <v>EA</v>
      </c>
      <c r="I75" s="89"/>
      <c r="J75" s="89"/>
      <c r="K75" s="89"/>
      <c r="L75" s="89"/>
      <c r="M75" s="89"/>
      <c r="N75" s="89"/>
      <c r="O75" s="88">
        <f>(SUBTOTAL(9,O76:O78))</f>
        <v>200</v>
      </c>
      <c r="P75" s="88">
        <f>(SUBTOTAL(9,P76:P78))</f>
        <v>-24</v>
      </c>
      <c r="Q75" s="88">
        <f>(SUBTOTAL(9,Q76:Q78))</f>
        <v>0</v>
      </c>
      <c r="R75" s="88">
        <f>(SUBTOTAL(9,R76:R78))</f>
        <v>0</v>
      </c>
      <c r="S75" s="88">
        <f>(SUBTOTAL(9,S76:S78))</f>
        <v>0</v>
      </c>
      <c r="T75" s="88">
        <f>(SUBTOTAL(9,T76:T78))</f>
        <v>0</v>
      </c>
      <c r="U75" s="87">
        <f t="shared" ref="U75" si="40">SUBTOTAL(9,O76:T78)</f>
        <v>176</v>
      </c>
    </row>
    <row r="76" spans="1:21" ht="17.25" customHeight="1" x14ac:dyDescent="0.3">
      <c r="A76" s="66" t="s">
        <v>30</v>
      </c>
      <c r="C76" s="67"/>
      <c r="D76" s="77" t="str">
        <f t="shared" ref="D76" si="41">D75</f>
        <v>C100017</v>
      </c>
      <c r="E76" s="77"/>
      <c r="F76" s="76"/>
      <c r="G76" s="76" t="str">
        <f>"""NAV Direct"",""CRONUS JetCorp USA"",""32"",""1"",""166747"""</f>
        <v>"NAV Direct","CRONUS JetCorp USA","32","1","166747"</v>
      </c>
      <c r="H76" s="86">
        <v>43466</v>
      </c>
      <c r="I76" s="85">
        <v>166747</v>
      </c>
      <c r="J76" s="84" t="str">
        <f>"Vendor"</f>
        <v>Vendor</v>
      </c>
      <c r="K76" s="84" t="str">
        <f>"V100040"</f>
        <v>V100040</v>
      </c>
      <c r="L76" s="84" t="str">
        <f>IF($J76="Customer",_xll.NL("first",$J76,"Name","No.","@@"&amp;$K76),"")</f>
        <v/>
      </c>
      <c r="M76" s="84" t="str">
        <f>"Technische Betriebe Rotkreuz"</f>
        <v>Technische Betriebe Rotkreuz</v>
      </c>
      <c r="N76" s="84" t="str">
        <f>IF($J76="Item",_xll.NL("first",$J76,"Description","No.","@@"&amp;$K76),"")</f>
        <v/>
      </c>
      <c r="O76" s="83">
        <v>200</v>
      </c>
      <c r="P76" s="83">
        <v>0</v>
      </c>
      <c r="Q76" s="83">
        <v>0</v>
      </c>
      <c r="R76" s="83">
        <v>0</v>
      </c>
      <c r="S76" s="83">
        <v>0</v>
      </c>
      <c r="T76" s="83">
        <v>0</v>
      </c>
      <c r="U76" s="82"/>
    </row>
    <row r="77" spans="1:21" ht="17.25" customHeight="1" x14ac:dyDescent="0.3">
      <c r="A77" s="66" t="s">
        <v>30</v>
      </c>
      <c r="C77" s="67"/>
      <c r="D77" s="77" t="str">
        <f t="shared" ref="D77" si="42">D76</f>
        <v>C100017</v>
      </c>
      <c r="E77" s="77"/>
      <c r="F77" s="76"/>
      <c r="G77" s="76" t="str">
        <f>"""NAV Direct"",""CRONUS JetCorp USA"",""32"",""1"",""36476"""</f>
        <v>"NAV Direct","CRONUS JetCorp USA","32","1","36476"</v>
      </c>
      <c r="H77" s="86">
        <v>43475</v>
      </c>
      <c r="I77" s="85">
        <v>36476</v>
      </c>
      <c r="J77" s="84" t="str">
        <f>"Customer"</f>
        <v>Customer</v>
      </c>
      <c r="K77" s="84" t="str">
        <f>"C100063"</f>
        <v>C100063</v>
      </c>
      <c r="L77" s="84" t="str">
        <f>IF($J77="Customer",_xll.NL("first",$J77,"Name","No.","@@"&amp;$K77),"")</f>
        <v>Möbel Scherrer AG</v>
      </c>
      <c r="M77" s="84" t="str">
        <f>""</f>
        <v/>
      </c>
      <c r="N77" s="84" t="str">
        <f>IF($J77="Item",_xll.NL("first",$J77,"Description","No.","@@"&amp;$K77),"")</f>
        <v/>
      </c>
      <c r="O77" s="83">
        <v>0</v>
      </c>
      <c r="P77" s="83">
        <v>-24</v>
      </c>
      <c r="Q77" s="83">
        <v>0</v>
      </c>
      <c r="R77" s="83">
        <v>0</v>
      </c>
      <c r="S77" s="83">
        <v>0</v>
      </c>
      <c r="T77" s="83">
        <v>0</v>
      </c>
      <c r="U77" s="82"/>
    </row>
    <row r="78" spans="1:21" ht="17.25" customHeight="1" x14ac:dyDescent="0.3">
      <c r="A78" s="66" t="s">
        <v>30</v>
      </c>
      <c r="C78" s="67"/>
      <c r="D78" s="77"/>
      <c r="E78" s="77"/>
      <c r="F78" s="76"/>
      <c r="G78" s="76"/>
      <c r="H78" s="76"/>
      <c r="I78" s="76"/>
      <c r="J78" s="76"/>
      <c r="K78" s="76"/>
      <c r="L78" s="76"/>
      <c r="M78" s="76"/>
      <c r="N78" s="76"/>
      <c r="O78" s="75"/>
      <c r="P78" s="75"/>
      <c r="Q78" s="75"/>
      <c r="R78" s="75"/>
      <c r="S78" s="75"/>
      <c r="T78" s="75"/>
      <c r="U78" s="74"/>
    </row>
    <row r="79" spans="1:21" ht="17.25" customHeight="1" x14ac:dyDescent="0.3">
      <c r="A79" s="66" t="s">
        <v>30</v>
      </c>
      <c r="C79" s="67"/>
      <c r="D79" s="77"/>
      <c r="E79" s="77" t="s">
        <v>31</v>
      </c>
      <c r="F79" s="76" t="s">
        <v>31</v>
      </c>
      <c r="G79" s="76" t="s">
        <v>31</v>
      </c>
      <c r="H79" s="76"/>
      <c r="I79" s="76"/>
      <c r="J79" s="76" t="s">
        <v>31</v>
      </c>
      <c r="K79" s="76" t="s">
        <v>31</v>
      </c>
      <c r="L79" s="76" t="s">
        <v>31</v>
      </c>
      <c r="M79" s="76" t="s">
        <v>31</v>
      </c>
      <c r="N79" s="76"/>
      <c r="U79" s="81"/>
    </row>
    <row r="80" spans="1:21" ht="20.25" customHeight="1" x14ac:dyDescent="0.35">
      <c r="A80" s="66" t="s">
        <v>30</v>
      </c>
      <c r="C80" s="67"/>
      <c r="D80" s="92" t="str">
        <f t="shared" ref="D80" si="43">E80</f>
        <v>C100018</v>
      </c>
      <c r="E80" s="91" t="str">
        <f>"C100018"</f>
        <v>C100018</v>
      </c>
      <c r="F80" s="89" t="str">
        <f>"Action Sport Duffel"</f>
        <v>Action Sport Duffel</v>
      </c>
      <c r="G80" s="89"/>
      <c r="H80" s="90" t="str">
        <f>"EA"</f>
        <v>EA</v>
      </c>
      <c r="I80" s="89"/>
      <c r="J80" s="89"/>
      <c r="K80" s="89"/>
      <c r="L80" s="89"/>
      <c r="M80" s="89"/>
      <c r="N80" s="89"/>
      <c r="O80" s="88">
        <f>(SUBTOTAL(9,O81:O82))</f>
        <v>200</v>
      </c>
      <c r="P80" s="88">
        <f>(SUBTOTAL(9,P81:P82))</f>
        <v>0</v>
      </c>
      <c r="Q80" s="88">
        <f>(SUBTOTAL(9,Q81:Q82))</f>
        <v>0</v>
      </c>
      <c r="R80" s="88">
        <f>(SUBTOTAL(9,R81:R82))</f>
        <v>0</v>
      </c>
      <c r="S80" s="88">
        <f>(SUBTOTAL(9,S81:S82))</f>
        <v>0</v>
      </c>
      <c r="T80" s="88">
        <f>(SUBTOTAL(9,T81:T82))</f>
        <v>0</v>
      </c>
      <c r="U80" s="87">
        <f t="shared" ref="U80" si="44">SUBTOTAL(9,O81:T82)</f>
        <v>200</v>
      </c>
    </row>
    <row r="81" spans="1:21" ht="17.25" customHeight="1" x14ac:dyDescent="0.3">
      <c r="A81" s="66" t="s">
        <v>30</v>
      </c>
      <c r="C81" s="67"/>
      <c r="D81" s="77" t="str">
        <f t="shared" ref="D81" si="45">D80</f>
        <v>C100018</v>
      </c>
      <c r="E81" s="77"/>
      <c r="F81" s="76"/>
      <c r="G81" s="76" t="str">
        <f>"""NAV Direct"",""CRONUS JetCorp USA"",""32"",""1"",""166746"""</f>
        <v>"NAV Direct","CRONUS JetCorp USA","32","1","166746"</v>
      </c>
      <c r="H81" s="86">
        <v>43466</v>
      </c>
      <c r="I81" s="85">
        <v>166746</v>
      </c>
      <c r="J81" s="84" t="str">
        <f>"Vendor"</f>
        <v>Vendor</v>
      </c>
      <c r="K81" s="84" t="str">
        <f>"V100040"</f>
        <v>V100040</v>
      </c>
      <c r="L81" s="84" t="str">
        <f>IF($J81="Customer",_xll.NL("first",$J81,"Name","No.","@@"&amp;$K81),"")</f>
        <v/>
      </c>
      <c r="M81" s="84" t="str">
        <f>"Technische Betriebe Rotkreuz"</f>
        <v>Technische Betriebe Rotkreuz</v>
      </c>
      <c r="N81" s="84" t="str">
        <f>IF($J81="Item",_xll.NL("first",$J81,"Description","No.","@@"&amp;$K81),"")</f>
        <v/>
      </c>
      <c r="O81" s="83">
        <v>200</v>
      </c>
      <c r="P81" s="83">
        <v>0</v>
      </c>
      <c r="Q81" s="83">
        <v>0</v>
      </c>
      <c r="R81" s="83">
        <v>0</v>
      </c>
      <c r="S81" s="83">
        <v>0</v>
      </c>
      <c r="T81" s="83">
        <v>0</v>
      </c>
      <c r="U81" s="82"/>
    </row>
    <row r="82" spans="1:21" ht="17.25" customHeight="1" x14ac:dyDescent="0.3">
      <c r="A82" s="66" t="s">
        <v>30</v>
      </c>
      <c r="C82" s="67"/>
      <c r="D82" s="77"/>
      <c r="E82" s="77"/>
      <c r="F82" s="76"/>
      <c r="G82" s="76"/>
      <c r="H82" s="76"/>
      <c r="I82" s="76"/>
      <c r="J82" s="76"/>
      <c r="K82" s="76"/>
      <c r="L82" s="76"/>
      <c r="M82" s="76"/>
      <c r="N82" s="76"/>
      <c r="O82" s="75"/>
      <c r="P82" s="75"/>
      <c r="Q82" s="75"/>
      <c r="R82" s="75"/>
      <c r="S82" s="75"/>
      <c r="T82" s="75"/>
      <c r="U82" s="74"/>
    </row>
    <row r="83" spans="1:21" ht="17.25" customHeight="1" x14ac:dyDescent="0.3">
      <c r="A83" s="66" t="s">
        <v>30</v>
      </c>
      <c r="C83" s="67"/>
      <c r="D83" s="77"/>
      <c r="E83" s="77" t="s">
        <v>31</v>
      </c>
      <c r="F83" s="76" t="s">
        <v>31</v>
      </c>
      <c r="G83" s="76" t="s">
        <v>31</v>
      </c>
      <c r="H83" s="76"/>
      <c r="I83" s="76"/>
      <c r="J83" s="76" t="s">
        <v>31</v>
      </c>
      <c r="K83" s="76" t="s">
        <v>31</v>
      </c>
      <c r="L83" s="76" t="s">
        <v>31</v>
      </c>
      <c r="M83" s="76" t="s">
        <v>31</v>
      </c>
      <c r="N83" s="76"/>
      <c r="U83" s="81"/>
    </row>
    <row r="84" spans="1:21" ht="20.25" customHeight="1" x14ac:dyDescent="0.35">
      <c r="A84" s="66" t="s">
        <v>30</v>
      </c>
      <c r="C84" s="67"/>
      <c r="D84" s="92" t="str">
        <f t="shared" ref="D84" si="46">E84</f>
        <v>C100019</v>
      </c>
      <c r="E84" s="91" t="str">
        <f>"C100019"</f>
        <v>C100019</v>
      </c>
      <c r="F84" s="89" t="str">
        <f>"Black Duffel Bag"</f>
        <v>Black Duffel Bag</v>
      </c>
      <c r="G84" s="89"/>
      <c r="H84" s="90" t="str">
        <f>"EA"</f>
        <v>EA</v>
      </c>
      <c r="I84" s="89"/>
      <c r="J84" s="89"/>
      <c r="K84" s="89"/>
      <c r="L84" s="89"/>
      <c r="M84" s="89"/>
      <c r="N84" s="89"/>
      <c r="O84" s="88">
        <f>(SUBTOTAL(9,O85:O86))</f>
        <v>0</v>
      </c>
      <c r="P84" s="88">
        <f>(SUBTOTAL(9,P85:P86))</f>
        <v>-24</v>
      </c>
      <c r="Q84" s="88">
        <f>(SUBTOTAL(9,Q85:Q86))</f>
        <v>0</v>
      </c>
      <c r="R84" s="88">
        <f>(SUBTOTAL(9,R85:R86))</f>
        <v>0</v>
      </c>
      <c r="S84" s="88">
        <f>(SUBTOTAL(9,S85:S86))</f>
        <v>0</v>
      </c>
      <c r="T84" s="88">
        <f>(SUBTOTAL(9,T85:T86))</f>
        <v>0</v>
      </c>
      <c r="U84" s="87">
        <f t="shared" ref="U84" si="47">SUBTOTAL(9,O85:T86)</f>
        <v>-24</v>
      </c>
    </row>
    <row r="85" spans="1:21" ht="17.25" customHeight="1" x14ac:dyDescent="0.3">
      <c r="A85" s="66" t="s">
        <v>30</v>
      </c>
      <c r="C85" s="67"/>
      <c r="D85" s="77" t="str">
        <f t="shared" ref="D85" si="48">D84</f>
        <v>C100019</v>
      </c>
      <c r="E85" s="77"/>
      <c r="F85" s="76"/>
      <c r="G85" s="76" t="str">
        <f>"""NAV Direct"",""CRONUS JetCorp USA"",""32"",""1"",""34310"""</f>
        <v>"NAV Direct","CRONUS JetCorp USA","32","1","34310"</v>
      </c>
      <c r="H85" s="86">
        <v>43473</v>
      </c>
      <c r="I85" s="85">
        <v>34310</v>
      </c>
      <c r="J85" s="84" t="str">
        <f>"Customer"</f>
        <v>Customer</v>
      </c>
      <c r="K85" s="84" t="str">
        <f>"C100059"</f>
        <v>C100059</v>
      </c>
      <c r="L85" s="84" t="str">
        <f>IF($J85="Customer",_xll.NL("first",$J85,"Name","No.","@@"&amp;$K85),"")</f>
        <v>Meersen Meubelen</v>
      </c>
      <c r="M85" s="84" t="str">
        <f>""</f>
        <v/>
      </c>
      <c r="N85" s="84" t="str">
        <f>IF($J85="Item",_xll.NL("first",$J85,"Description","No.","@@"&amp;$K85),"")</f>
        <v/>
      </c>
      <c r="O85" s="83">
        <v>0</v>
      </c>
      <c r="P85" s="83">
        <v>-24</v>
      </c>
      <c r="Q85" s="83">
        <v>0</v>
      </c>
      <c r="R85" s="83">
        <v>0</v>
      </c>
      <c r="S85" s="83">
        <v>0</v>
      </c>
      <c r="T85" s="83">
        <v>0</v>
      </c>
      <c r="U85" s="82"/>
    </row>
    <row r="86" spans="1:21" ht="17.25" customHeight="1" x14ac:dyDescent="0.3">
      <c r="A86" s="66" t="s">
        <v>30</v>
      </c>
      <c r="C86" s="67"/>
      <c r="D86" s="77"/>
      <c r="E86" s="77"/>
      <c r="F86" s="76"/>
      <c r="G86" s="76"/>
      <c r="H86" s="76"/>
      <c r="I86" s="76"/>
      <c r="J86" s="76"/>
      <c r="K86" s="76"/>
      <c r="L86" s="76"/>
      <c r="M86" s="76"/>
      <c r="N86" s="76"/>
      <c r="O86" s="75"/>
      <c r="P86" s="75"/>
      <c r="Q86" s="75"/>
      <c r="R86" s="75"/>
      <c r="S86" s="75"/>
      <c r="T86" s="75"/>
      <c r="U86" s="74"/>
    </row>
    <row r="87" spans="1:21" ht="17.25" customHeight="1" x14ac:dyDescent="0.3">
      <c r="A87" s="66" t="s">
        <v>30</v>
      </c>
      <c r="C87" s="67"/>
      <c r="D87" s="77"/>
      <c r="E87" s="77" t="s">
        <v>31</v>
      </c>
      <c r="F87" s="76" t="s">
        <v>31</v>
      </c>
      <c r="G87" s="76" t="s">
        <v>31</v>
      </c>
      <c r="H87" s="76"/>
      <c r="I87" s="76"/>
      <c r="J87" s="76" t="s">
        <v>31</v>
      </c>
      <c r="K87" s="76" t="s">
        <v>31</v>
      </c>
      <c r="L87" s="76" t="s">
        <v>31</v>
      </c>
      <c r="M87" s="76" t="s">
        <v>31</v>
      </c>
      <c r="N87" s="76"/>
      <c r="U87" s="81"/>
    </row>
    <row r="88" spans="1:21" ht="20.25" customHeight="1" x14ac:dyDescent="0.35">
      <c r="A88" s="66" t="s">
        <v>30</v>
      </c>
      <c r="C88" s="67"/>
      <c r="D88" s="92" t="str">
        <f t="shared" ref="D88" si="49">E88</f>
        <v>C100020</v>
      </c>
      <c r="E88" s="91" t="str">
        <f>"C100020"</f>
        <v>C100020</v>
      </c>
      <c r="F88" s="89" t="str">
        <f>"Gym Locker Bag"</f>
        <v>Gym Locker Bag</v>
      </c>
      <c r="G88" s="89"/>
      <c r="H88" s="90" t="str">
        <f>"EA"</f>
        <v>EA</v>
      </c>
      <c r="I88" s="89"/>
      <c r="J88" s="89"/>
      <c r="K88" s="89"/>
      <c r="L88" s="89"/>
      <c r="M88" s="89"/>
      <c r="N88" s="89"/>
      <c r="O88" s="88">
        <f>(SUBTOTAL(9,O89:O92))</f>
        <v>200</v>
      </c>
      <c r="P88" s="88">
        <f>(SUBTOTAL(9,P89:P92))</f>
        <v>-12</v>
      </c>
      <c r="Q88" s="88">
        <f>(SUBTOTAL(9,Q89:Q92))</f>
        <v>0</v>
      </c>
      <c r="R88" s="88">
        <f>(SUBTOTAL(9,R89:R92))</f>
        <v>0</v>
      </c>
      <c r="S88" s="88">
        <f>(SUBTOTAL(9,S89:S92))</f>
        <v>0</v>
      </c>
      <c r="T88" s="88">
        <f>(SUBTOTAL(9,T89:T92))</f>
        <v>0</v>
      </c>
      <c r="U88" s="87">
        <f t="shared" ref="U88" si="50">SUBTOTAL(9,O89:T92)</f>
        <v>188</v>
      </c>
    </row>
    <row r="89" spans="1:21" ht="17.25" customHeight="1" x14ac:dyDescent="0.3">
      <c r="A89" s="66" t="s">
        <v>30</v>
      </c>
      <c r="C89" s="67"/>
      <c r="D89" s="77" t="str">
        <f t="shared" ref="D89" si="51">D88</f>
        <v>C100020</v>
      </c>
      <c r="E89" s="77"/>
      <c r="F89" s="76"/>
      <c r="G89" s="76" t="str">
        <f>"""NAV Direct"",""CRONUS JetCorp USA"",""32"",""1"",""166745"""</f>
        <v>"NAV Direct","CRONUS JetCorp USA","32","1","166745"</v>
      </c>
      <c r="H89" s="86">
        <v>43466</v>
      </c>
      <c r="I89" s="85">
        <v>166745</v>
      </c>
      <c r="J89" s="84" t="str">
        <f>"Vendor"</f>
        <v>Vendor</v>
      </c>
      <c r="K89" s="84" t="str">
        <f>"V100040"</f>
        <v>V100040</v>
      </c>
      <c r="L89" s="84" t="str">
        <f>IF($J89="Customer",_xll.NL("first",$J89,"Name","No.","@@"&amp;$K89),"")</f>
        <v/>
      </c>
      <c r="M89" s="84" t="str">
        <f>"Technische Betriebe Rotkreuz"</f>
        <v>Technische Betriebe Rotkreuz</v>
      </c>
      <c r="N89" s="84" t="str">
        <f>IF($J89="Item",_xll.NL("first",$J89,"Description","No.","@@"&amp;$K89),"")</f>
        <v/>
      </c>
      <c r="O89" s="83">
        <v>200</v>
      </c>
      <c r="P89" s="83">
        <v>0</v>
      </c>
      <c r="Q89" s="83">
        <v>0</v>
      </c>
      <c r="R89" s="83">
        <v>0</v>
      </c>
      <c r="S89" s="83">
        <v>0</v>
      </c>
      <c r="T89" s="83">
        <v>0</v>
      </c>
      <c r="U89" s="82"/>
    </row>
    <row r="90" spans="1:21" ht="17.25" customHeight="1" x14ac:dyDescent="0.3">
      <c r="A90" s="66" t="s">
        <v>30</v>
      </c>
      <c r="C90" s="67"/>
      <c r="D90" s="77" t="str">
        <f t="shared" ref="D90:D91" si="52">D89</f>
        <v>C100020</v>
      </c>
      <c r="E90" s="77"/>
      <c r="F90" s="76"/>
      <c r="G90" s="76" t="str">
        <f>"""NAV Direct"",""CRONUS JetCorp USA"",""32"",""1"",""38080"""</f>
        <v>"NAV Direct","CRONUS JetCorp USA","32","1","38080"</v>
      </c>
      <c r="H90" s="86">
        <v>43471</v>
      </c>
      <c r="I90" s="85">
        <v>38080</v>
      </c>
      <c r="J90" s="84" t="str">
        <f>"Customer"</f>
        <v>Customer</v>
      </c>
      <c r="K90" s="84" t="str">
        <f>"C100013"</f>
        <v>C100013</v>
      </c>
      <c r="L90" s="84" t="str">
        <f>IF($J90="Customer",_xll.NL("first",$J90,"Name","No.","@@"&amp;$K90),"")</f>
        <v>Candoxy Kontor A/S</v>
      </c>
      <c r="M90" s="84" t="str">
        <f>""</f>
        <v/>
      </c>
      <c r="N90" s="84" t="str">
        <f>IF($J90="Item",_xll.NL("first",$J90,"Description","No.","@@"&amp;$K90),"")</f>
        <v/>
      </c>
      <c r="O90" s="83">
        <v>0</v>
      </c>
      <c r="P90" s="83">
        <v>-6</v>
      </c>
      <c r="Q90" s="83">
        <v>0</v>
      </c>
      <c r="R90" s="83">
        <v>0</v>
      </c>
      <c r="S90" s="83">
        <v>0</v>
      </c>
      <c r="T90" s="83">
        <v>0</v>
      </c>
      <c r="U90" s="82"/>
    </row>
    <row r="91" spans="1:21" ht="17.25" customHeight="1" x14ac:dyDescent="0.3">
      <c r="A91" s="66" t="s">
        <v>30</v>
      </c>
      <c r="C91" s="67"/>
      <c r="D91" s="77" t="str">
        <f t="shared" si="52"/>
        <v>C100020</v>
      </c>
      <c r="E91" s="77"/>
      <c r="F91" s="76"/>
      <c r="G91" s="76" t="str">
        <f>"""NAV Direct"",""CRONUS JetCorp USA"",""32"",""1"",""38092"""</f>
        <v>"NAV Direct","CRONUS JetCorp USA","32","1","38092"</v>
      </c>
      <c r="H91" s="86">
        <v>43477</v>
      </c>
      <c r="I91" s="85">
        <v>38092</v>
      </c>
      <c r="J91" s="84" t="str">
        <f>"Customer"</f>
        <v>Customer</v>
      </c>
      <c r="K91" s="84" t="str">
        <f>"C100038"</f>
        <v>C100038</v>
      </c>
      <c r="L91" s="84" t="str">
        <f>IF($J91="Customer",_xll.NL("first",$J91,"Name","No.","@@"&amp;$K91),"")</f>
        <v>Gagn &amp; Gaman</v>
      </c>
      <c r="M91" s="84" t="str">
        <f>""</f>
        <v/>
      </c>
      <c r="N91" s="84" t="str">
        <f>IF($J91="Item",_xll.NL("first",$J91,"Description","No.","@@"&amp;$K91),"")</f>
        <v/>
      </c>
      <c r="O91" s="83">
        <v>0</v>
      </c>
      <c r="P91" s="83">
        <v>-6</v>
      </c>
      <c r="Q91" s="83">
        <v>0</v>
      </c>
      <c r="R91" s="83">
        <v>0</v>
      </c>
      <c r="S91" s="83">
        <v>0</v>
      </c>
      <c r="T91" s="83">
        <v>0</v>
      </c>
      <c r="U91" s="82"/>
    </row>
    <row r="92" spans="1:21" ht="17.25" customHeight="1" x14ac:dyDescent="0.3">
      <c r="A92" s="66" t="s">
        <v>30</v>
      </c>
      <c r="C92" s="67"/>
      <c r="D92" s="77"/>
      <c r="E92" s="77"/>
      <c r="F92" s="76"/>
      <c r="G92" s="76"/>
      <c r="H92" s="76"/>
      <c r="I92" s="76"/>
      <c r="J92" s="76"/>
      <c r="K92" s="76"/>
      <c r="L92" s="76"/>
      <c r="M92" s="76"/>
      <c r="N92" s="76"/>
      <c r="O92" s="75"/>
      <c r="P92" s="75"/>
      <c r="Q92" s="75"/>
      <c r="R92" s="75"/>
      <c r="S92" s="75"/>
      <c r="T92" s="75"/>
      <c r="U92" s="74"/>
    </row>
    <row r="93" spans="1:21" ht="17.25" customHeight="1" x14ac:dyDescent="0.3">
      <c r="A93" s="66" t="s">
        <v>30</v>
      </c>
      <c r="C93" s="67"/>
      <c r="D93" s="77"/>
      <c r="E93" s="77" t="s">
        <v>31</v>
      </c>
      <c r="F93" s="76" t="s">
        <v>31</v>
      </c>
      <c r="G93" s="76" t="s">
        <v>31</v>
      </c>
      <c r="H93" s="76"/>
      <c r="I93" s="76"/>
      <c r="J93" s="76" t="s">
        <v>31</v>
      </c>
      <c r="K93" s="76" t="s">
        <v>31</v>
      </c>
      <c r="L93" s="76" t="s">
        <v>31</v>
      </c>
      <c r="M93" s="76" t="s">
        <v>31</v>
      </c>
      <c r="N93" s="76"/>
      <c r="U93" s="81"/>
    </row>
    <row r="94" spans="1:21" ht="20.25" customHeight="1" x14ac:dyDescent="0.35">
      <c r="A94" s="66" t="s">
        <v>30</v>
      </c>
      <c r="C94" s="67"/>
      <c r="D94" s="92" t="str">
        <f t="shared" ref="D94" si="53">E94</f>
        <v>C100021</v>
      </c>
      <c r="E94" s="91" t="str">
        <f>"C100021"</f>
        <v>C100021</v>
      </c>
      <c r="F94" s="89" t="str">
        <f>"Canvas Boat Bag"</f>
        <v>Canvas Boat Bag</v>
      </c>
      <c r="G94" s="89"/>
      <c r="H94" s="90" t="str">
        <f>"EA"</f>
        <v>EA</v>
      </c>
      <c r="I94" s="89"/>
      <c r="J94" s="89"/>
      <c r="K94" s="89"/>
      <c r="L94" s="89"/>
      <c r="M94" s="89"/>
      <c r="N94" s="89"/>
      <c r="O94" s="88">
        <f>(SUBTOTAL(9,O95:O97))</f>
        <v>200</v>
      </c>
      <c r="P94" s="88">
        <f>(SUBTOTAL(9,P95:P97))</f>
        <v>-48</v>
      </c>
      <c r="Q94" s="88">
        <f>(SUBTOTAL(9,Q95:Q97))</f>
        <v>0</v>
      </c>
      <c r="R94" s="88">
        <f>(SUBTOTAL(9,R95:R97))</f>
        <v>0</v>
      </c>
      <c r="S94" s="88">
        <f>(SUBTOTAL(9,S95:S97))</f>
        <v>0</v>
      </c>
      <c r="T94" s="88">
        <f>(SUBTOTAL(9,T95:T97))</f>
        <v>0</v>
      </c>
      <c r="U94" s="87">
        <f t="shared" ref="U94" si="54">SUBTOTAL(9,O95:T97)</f>
        <v>152</v>
      </c>
    </row>
    <row r="95" spans="1:21" ht="17.25" customHeight="1" x14ac:dyDescent="0.3">
      <c r="A95" s="66" t="s">
        <v>30</v>
      </c>
      <c r="C95" s="67"/>
      <c r="D95" s="77" t="str">
        <f t="shared" ref="D95" si="55">D94</f>
        <v>C100021</v>
      </c>
      <c r="E95" s="77"/>
      <c r="F95" s="76"/>
      <c r="G95" s="76" t="str">
        <f>"""NAV Direct"",""CRONUS JetCorp USA"",""32"",""1"",""166744"""</f>
        <v>"NAV Direct","CRONUS JetCorp USA","32","1","166744"</v>
      </c>
      <c r="H95" s="86">
        <v>43466</v>
      </c>
      <c r="I95" s="85">
        <v>166744</v>
      </c>
      <c r="J95" s="84" t="str">
        <f>"Vendor"</f>
        <v>Vendor</v>
      </c>
      <c r="K95" s="84" t="str">
        <f>"V100040"</f>
        <v>V100040</v>
      </c>
      <c r="L95" s="84" t="str">
        <f>IF($J95="Customer",_xll.NL("first",$J95,"Name","No.","@@"&amp;$K95),"")</f>
        <v/>
      </c>
      <c r="M95" s="84" t="str">
        <f>"Technische Betriebe Rotkreuz"</f>
        <v>Technische Betriebe Rotkreuz</v>
      </c>
      <c r="N95" s="84" t="str">
        <f>IF($J95="Item",_xll.NL("first",$J95,"Description","No.","@@"&amp;$K95),"")</f>
        <v/>
      </c>
      <c r="O95" s="83">
        <v>200</v>
      </c>
      <c r="P95" s="83">
        <v>0</v>
      </c>
      <c r="Q95" s="83">
        <v>0</v>
      </c>
      <c r="R95" s="83">
        <v>0</v>
      </c>
      <c r="S95" s="83">
        <v>0</v>
      </c>
      <c r="T95" s="83">
        <v>0</v>
      </c>
      <c r="U95" s="82"/>
    </row>
    <row r="96" spans="1:21" ht="17.25" customHeight="1" x14ac:dyDescent="0.3">
      <c r="A96" s="66" t="s">
        <v>30</v>
      </c>
      <c r="C96" s="67"/>
      <c r="D96" s="77" t="str">
        <f t="shared" ref="D96" si="56">D95</f>
        <v>C100021</v>
      </c>
      <c r="E96" s="77"/>
      <c r="F96" s="76"/>
      <c r="G96" s="76" t="str">
        <f>"""NAV Direct"",""CRONUS JetCorp USA"",""32"",""1"",""36482"""</f>
        <v>"NAV Direct","CRONUS JetCorp USA","32","1","36482"</v>
      </c>
      <c r="H96" s="86">
        <v>43475</v>
      </c>
      <c r="I96" s="85">
        <v>36482</v>
      </c>
      <c r="J96" s="84" t="str">
        <f>"Customer"</f>
        <v>Customer</v>
      </c>
      <c r="K96" s="84" t="str">
        <f>"C100063"</f>
        <v>C100063</v>
      </c>
      <c r="L96" s="84" t="str">
        <f>IF($J96="Customer",_xll.NL("first",$J96,"Name","No.","@@"&amp;$K96),"")</f>
        <v>Möbel Scherrer AG</v>
      </c>
      <c r="M96" s="84" t="str">
        <f>""</f>
        <v/>
      </c>
      <c r="N96" s="84" t="str">
        <f>IF($J96="Item",_xll.NL("first",$J96,"Description","No.","@@"&amp;$K96),"")</f>
        <v/>
      </c>
      <c r="O96" s="83">
        <v>0</v>
      </c>
      <c r="P96" s="83">
        <v>-48</v>
      </c>
      <c r="Q96" s="83">
        <v>0</v>
      </c>
      <c r="R96" s="83">
        <v>0</v>
      </c>
      <c r="S96" s="83">
        <v>0</v>
      </c>
      <c r="T96" s="83">
        <v>0</v>
      </c>
      <c r="U96" s="82"/>
    </row>
    <row r="97" spans="1:21" ht="17.25" customHeight="1" x14ac:dyDescent="0.3">
      <c r="A97" s="66" t="s">
        <v>30</v>
      </c>
      <c r="C97" s="67"/>
      <c r="D97" s="77"/>
      <c r="E97" s="77"/>
      <c r="F97" s="76"/>
      <c r="G97" s="76"/>
      <c r="H97" s="76"/>
      <c r="I97" s="76"/>
      <c r="J97" s="76"/>
      <c r="K97" s="76"/>
      <c r="L97" s="76"/>
      <c r="M97" s="76"/>
      <c r="N97" s="76"/>
      <c r="O97" s="75"/>
      <c r="P97" s="75"/>
      <c r="Q97" s="75"/>
      <c r="R97" s="75"/>
      <c r="S97" s="75"/>
      <c r="T97" s="75"/>
      <c r="U97" s="74"/>
    </row>
    <row r="98" spans="1:21" ht="17.25" customHeight="1" x14ac:dyDescent="0.3">
      <c r="A98" s="66" t="s">
        <v>30</v>
      </c>
      <c r="C98" s="67"/>
      <c r="D98" s="77"/>
      <c r="E98" s="77" t="s">
        <v>31</v>
      </c>
      <c r="F98" s="76" t="s">
        <v>31</v>
      </c>
      <c r="G98" s="76" t="s">
        <v>31</v>
      </c>
      <c r="H98" s="76"/>
      <c r="I98" s="76"/>
      <c r="J98" s="76" t="s">
        <v>31</v>
      </c>
      <c r="K98" s="76" t="s">
        <v>31</v>
      </c>
      <c r="L98" s="76" t="s">
        <v>31</v>
      </c>
      <c r="M98" s="76" t="s">
        <v>31</v>
      </c>
      <c r="N98" s="76"/>
      <c r="U98" s="81"/>
    </row>
    <row r="99" spans="1:21" ht="20.25" customHeight="1" x14ac:dyDescent="0.35">
      <c r="A99" s="66" t="s">
        <v>30</v>
      </c>
      <c r="C99" s="67"/>
      <c r="D99" s="92" t="str">
        <f t="shared" ref="D99" si="57">E99</f>
        <v>C100022</v>
      </c>
      <c r="E99" s="91" t="str">
        <f>"C100022"</f>
        <v>C100022</v>
      </c>
      <c r="F99" s="89" t="str">
        <f>"Two-Toned Cap"</f>
        <v>Two-Toned Cap</v>
      </c>
      <c r="G99" s="89"/>
      <c r="H99" s="90" t="str">
        <f>"EA"</f>
        <v>EA</v>
      </c>
      <c r="I99" s="89"/>
      <c r="J99" s="89"/>
      <c r="K99" s="89"/>
      <c r="L99" s="89"/>
      <c r="M99" s="89"/>
      <c r="N99" s="89"/>
      <c r="O99" s="88">
        <f>(SUBTOTAL(9,O100:O103))</f>
        <v>0</v>
      </c>
      <c r="P99" s="88">
        <f>(SUBTOTAL(9,P100:P103))</f>
        <v>-61</v>
      </c>
      <c r="Q99" s="88">
        <f>(SUBTOTAL(9,Q100:Q103))</f>
        <v>0</v>
      </c>
      <c r="R99" s="88">
        <f>(SUBTOTAL(9,R100:R103))</f>
        <v>0</v>
      </c>
      <c r="S99" s="88">
        <f>(SUBTOTAL(9,S100:S103))</f>
        <v>0</v>
      </c>
      <c r="T99" s="88">
        <f>(SUBTOTAL(9,T100:T103))</f>
        <v>0</v>
      </c>
      <c r="U99" s="87">
        <f t="shared" ref="U99" si="58">SUBTOTAL(9,O100:T103)</f>
        <v>-61</v>
      </c>
    </row>
    <row r="100" spans="1:21" ht="17.25" customHeight="1" x14ac:dyDescent="0.3">
      <c r="A100" s="66" t="s">
        <v>30</v>
      </c>
      <c r="C100" s="67"/>
      <c r="D100" s="77" t="str">
        <f t="shared" ref="D100" si="59">D99</f>
        <v>C100022</v>
      </c>
      <c r="E100" s="77"/>
      <c r="F100" s="76"/>
      <c r="G100" s="76" t="str">
        <f>"""NAV Direct"",""CRONUS JetCorp USA"",""32"",""1"",""38079"""</f>
        <v>"NAV Direct","CRONUS JetCorp USA","32","1","38079"</v>
      </c>
      <c r="H100" s="86">
        <v>43471</v>
      </c>
      <c r="I100" s="85">
        <v>38079</v>
      </c>
      <c r="J100" s="84" t="str">
        <f>"Customer"</f>
        <v>Customer</v>
      </c>
      <c r="K100" s="84" t="str">
        <f>"C100013"</f>
        <v>C100013</v>
      </c>
      <c r="L100" s="84" t="str">
        <f>IF($J100="Customer",_xll.NL("first",$J100,"Name","No.","@@"&amp;$K100),"")</f>
        <v>Candoxy Kontor A/S</v>
      </c>
      <c r="M100" s="84" t="str">
        <f>""</f>
        <v/>
      </c>
      <c r="N100" s="84" t="str">
        <f>IF($J100="Item",_xll.NL("first",$J100,"Description","No.","@@"&amp;$K100),"")</f>
        <v/>
      </c>
      <c r="O100" s="83">
        <v>0</v>
      </c>
      <c r="P100" s="83">
        <v>-48</v>
      </c>
      <c r="Q100" s="83">
        <v>0</v>
      </c>
      <c r="R100" s="83">
        <v>0</v>
      </c>
      <c r="S100" s="83">
        <v>0</v>
      </c>
      <c r="T100" s="83">
        <v>0</v>
      </c>
      <c r="U100" s="82"/>
    </row>
    <row r="101" spans="1:21" ht="17.25" customHeight="1" x14ac:dyDescent="0.3">
      <c r="A101" s="66" t="s">
        <v>30</v>
      </c>
      <c r="C101" s="67"/>
      <c r="D101" s="77" t="str">
        <f t="shared" ref="D101:D102" si="60">D100</f>
        <v>C100022</v>
      </c>
      <c r="E101" s="77"/>
      <c r="F101" s="76"/>
      <c r="G101" s="76" t="str">
        <f>"""NAV Direct"",""CRONUS JetCorp USA"",""32"",""1"",""36486"""</f>
        <v>"NAV Direct","CRONUS JetCorp USA","32","1","36486"</v>
      </c>
      <c r="H101" s="86">
        <v>43475</v>
      </c>
      <c r="I101" s="85">
        <v>36486</v>
      </c>
      <c r="J101" s="84" t="str">
        <f>"Customer"</f>
        <v>Customer</v>
      </c>
      <c r="K101" s="84" t="str">
        <f>"C100063"</f>
        <v>C100063</v>
      </c>
      <c r="L101" s="84" t="str">
        <f>IF($J101="Customer",_xll.NL("first",$J101,"Name","No.","@@"&amp;$K101),"")</f>
        <v>Möbel Scherrer AG</v>
      </c>
      <c r="M101" s="84" t="str">
        <f>""</f>
        <v/>
      </c>
      <c r="N101" s="84" t="str">
        <f>IF($J101="Item",_xll.NL("first",$J101,"Description","No.","@@"&amp;$K101),"")</f>
        <v/>
      </c>
      <c r="O101" s="83">
        <v>0</v>
      </c>
      <c r="P101" s="83">
        <v>-12</v>
      </c>
      <c r="Q101" s="83">
        <v>0</v>
      </c>
      <c r="R101" s="83">
        <v>0</v>
      </c>
      <c r="S101" s="83">
        <v>0</v>
      </c>
      <c r="T101" s="83">
        <v>0</v>
      </c>
      <c r="U101" s="82"/>
    </row>
    <row r="102" spans="1:21" ht="17.25" customHeight="1" x14ac:dyDescent="0.3">
      <c r="A102" s="66" t="s">
        <v>30</v>
      </c>
      <c r="C102" s="67"/>
      <c r="D102" s="77" t="str">
        <f t="shared" si="60"/>
        <v>C100022</v>
      </c>
      <c r="E102" s="77"/>
      <c r="F102" s="76"/>
      <c r="G102" s="76" t="str">
        <f>"""NAV Direct"",""CRONUS JetCorp USA"",""32"",""1"",""38094"""</f>
        <v>"NAV Direct","CRONUS JetCorp USA","32","1","38094"</v>
      </c>
      <c r="H102" s="86">
        <v>43477</v>
      </c>
      <c r="I102" s="85">
        <v>38094</v>
      </c>
      <c r="J102" s="84" t="str">
        <f>"Customer"</f>
        <v>Customer</v>
      </c>
      <c r="K102" s="84" t="str">
        <f>"C100038"</f>
        <v>C100038</v>
      </c>
      <c r="L102" s="84" t="str">
        <f>IF($J102="Customer",_xll.NL("first",$J102,"Name","No.","@@"&amp;$K102),"")</f>
        <v>Gagn &amp; Gaman</v>
      </c>
      <c r="M102" s="84" t="str">
        <f>""</f>
        <v/>
      </c>
      <c r="N102" s="84" t="str">
        <f>IF($J102="Item",_xll.NL("first",$J102,"Description","No.","@@"&amp;$K102),"")</f>
        <v/>
      </c>
      <c r="O102" s="83">
        <v>0</v>
      </c>
      <c r="P102" s="83">
        <v>-1</v>
      </c>
      <c r="Q102" s="83">
        <v>0</v>
      </c>
      <c r="R102" s="83">
        <v>0</v>
      </c>
      <c r="S102" s="83">
        <v>0</v>
      </c>
      <c r="T102" s="83">
        <v>0</v>
      </c>
      <c r="U102" s="82"/>
    </row>
    <row r="103" spans="1:21" ht="17.25" customHeight="1" x14ac:dyDescent="0.3">
      <c r="A103" s="66" t="s">
        <v>30</v>
      </c>
      <c r="C103" s="67"/>
      <c r="D103" s="77"/>
      <c r="E103" s="77"/>
      <c r="F103" s="76"/>
      <c r="G103" s="76"/>
      <c r="H103" s="76"/>
      <c r="I103" s="76"/>
      <c r="J103" s="76"/>
      <c r="K103" s="76"/>
      <c r="L103" s="76"/>
      <c r="M103" s="76"/>
      <c r="N103" s="76"/>
      <c r="O103" s="75"/>
      <c r="P103" s="75"/>
      <c r="Q103" s="75"/>
      <c r="R103" s="75"/>
      <c r="S103" s="75"/>
      <c r="T103" s="75"/>
      <c r="U103" s="74"/>
    </row>
    <row r="104" spans="1:21" ht="17.25" customHeight="1" x14ac:dyDescent="0.3">
      <c r="A104" s="66" t="s">
        <v>30</v>
      </c>
      <c r="C104" s="67"/>
      <c r="D104" s="77"/>
      <c r="E104" s="77" t="s">
        <v>31</v>
      </c>
      <c r="F104" s="76" t="s">
        <v>31</v>
      </c>
      <c r="G104" s="76" t="s">
        <v>31</v>
      </c>
      <c r="H104" s="76"/>
      <c r="I104" s="76"/>
      <c r="J104" s="76" t="s">
        <v>31</v>
      </c>
      <c r="K104" s="76" t="s">
        <v>31</v>
      </c>
      <c r="L104" s="76" t="s">
        <v>31</v>
      </c>
      <c r="M104" s="76" t="s">
        <v>31</v>
      </c>
      <c r="N104" s="76"/>
      <c r="U104" s="81"/>
    </row>
    <row r="105" spans="1:21" ht="20.25" customHeight="1" x14ac:dyDescent="0.35">
      <c r="A105" s="66" t="s">
        <v>30</v>
      </c>
      <c r="C105" s="67"/>
      <c r="D105" s="92" t="str">
        <f t="shared" ref="D105" si="61">E105</f>
        <v>C100023</v>
      </c>
      <c r="E105" s="91" t="str">
        <f>"C100023"</f>
        <v>C100023</v>
      </c>
      <c r="F105" s="89" t="str">
        <f>"Two-Toned Knit Hat"</f>
        <v>Two-Toned Knit Hat</v>
      </c>
      <c r="G105" s="89"/>
      <c r="H105" s="90" t="str">
        <f>"EA"</f>
        <v>EA</v>
      </c>
      <c r="I105" s="89"/>
      <c r="J105" s="89"/>
      <c r="K105" s="89"/>
      <c r="L105" s="89"/>
      <c r="M105" s="89"/>
      <c r="N105" s="89"/>
      <c r="O105" s="88">
        <f>(SUBTOTAL(9,O106:O108))</f>
        <v>400</v>
      </c>
      <c r="P105" s="88">
        <f>(SUBTOTAL(9,P106:P108))</f>
        <v>-1</v>
      </c>
      <c r="Q105" s="88">
        <f>(SUBTOTAL(9,Q106:Q108))</f>
        <v>0</v>
      </c>
      <c r="R105" s="88">
        <f>(SUBTOTAL(9,R106:R108))</f>
        <v>0</v>
      </c>
      <c r="S105" s="88">
        <f>(SUBTOTAL(9,S106:S108))</f>
        <v>0</v>
      </c>
      <c r="T105" s="88">
        <f>(SUBTOTAL(9,T106:T108))</f>
        <v>0</v>
      </c>
      <c r="U105" s="87">
        <f t="shared" ref="U105" si="62">SUBTOTAL(9,O106:T108)</f>
        <v>399</v>
      </c>
    </row>
    <row r="106" spans="1:21" ht="17.25" customHeight="1" x14ac:dyDescent="0.3">
      <c r="A106" s="66" t="s">
        <v>30</v>
      </c>
      <c r="C106" s="67"/>
      <c r="D106" s="77" t="str">
        <f t="shared" ref="D106" si="63">D105</f>
        <v>C100023</v>
      </c>
      <c r="E106" s="77"/>
      <c r="F106" s="76"/>
      <c r="G106" s="76" t="str">
        <f>"""NAV Direct"",""CRONUS JetCorp USA"",""32"",""1"",""167105"""</f>
        <v>"NAV Direct","CRONUS JetCorp USA","32","1","167105"</v>
      </c>
      <c r="H106" s="86">
        <v>43466</v>
      </c>
      <c r="I106" s="85">
        <v>167105</v>
      </c>
      <c r="J106" s="84" t="str">
        <f>"Vendor"</f>
        <v>Vendor</v>
      </c>
      <c r="K106" s="84" t="str">
        <f>"V100040"</f>
        <v>V100040</v>
      </c>
      <c r="L106" s="84" t="str">
        <f>IF($J106="Customer",_xll.NL("first",$J106,"Name","No.","@@"&amp;$K106),"")</f>
        <v/>
      </c>
      <c r="M106" s="84" t="str">
        <f>"Technische Betriebe Rotkreuz"</f>
        <v>Technische Betriebe Rotkreuz</v>
      </c>
      <c r="N106" s="84" t="str">
        <f>IF($J106="Item",_xll.NL("first",$J106,"Description","No.","@@"&amp;$K106),"")</f>
        <v/>
      </c>
      <c r="O106" s="83">
        <v>400</v>
      </c>
      <c r="P106" s="83">
        <v>0</v>
      </c>
      <c r="Q106" s="83">
        <v>0</v>
      </c>
      <c r="R106" s="83">
        <v>0</v>
      </c>
      <c r="S106" s="83">
        <v>0</v>
      </c>
      <c r="T106" s="83">
        <v>0</v>
      </c>
      <c r="U106" s="82"/>
    </row>
    <row r="107" spans="1:21" ht="17.25" customHeight="1" x14ac:dyDescent="0.3">
      <c r="A107" s="66" t="s">
        <v>30</v>
      </c>
      <c r="C107" s="67"/>
      <c r="D107" s="77" t="str">
        <f t="shared" ref="D107" si="64">D106</f>
        <v>C100023</v>
      </c>
      <c r="E107" s="77"/>
      <c r="F107" s="76"/>
      <c r="G107" s="76" t="str">
        <f>"""NAV Direct"",""CRONUS JetCorp USA"",""32"",""1"",""38096"""</f>
        <v>"NAV Direct","CRONUS JetCorp USA","32","1","38096"</v>
      </c>
      <c r="H107" s="86">
        <v>43477</v>
      </c>
      <c r="I107" s="85">
        <v>38096</v>
      </c>
      <c r="J107" s="84" t="str">
        <f>"Customer"</f>
        <v>Customer</v>
      </c>
      <c r="K107" s="84" t="str">
        <f>"C100038"</f>
        <v>C100038</v>
      </c>
      <c r="L107" s="84" t="str">
        <f>IF($J107="Customer",_xll.NL("first",$J107,"Name","No.","@@"&amp;$K107),"")</f>
        <v>Gagn &amp; Gaman</v>
      </c>
      <c r="M107" s="84" t="str">
        <f>""</f>
        <v/>
      </c>
      <c r="N107" s="84" t="str">
        <f>IF($J107="Item",_xll.NL("first",$J107,"Description","No.","@@"&amp;$K107),"")</f>
        <v/>
      </c>
      <c r="O107" s="83">
        <v>0</v>
      </c>
      <c r="P107" s="83">
        <v>-1</v>
      </c>
      <c r="Q107" s="83">
        <v>0</v>
      </c>
      <c r="R107" s="83">
        <v>0</v>
      </c>
      <c r="S107" s="83">
        <v>0</v>
      </c>
      <c r="T107" s="83">
        <v>0</v>
      </c>
      <c r="U107" s="82"/>
    </row>
    <row r="108" spans="1:21" ht="17.25" customHeight="1" x14ac:dyDescent="0.3">
      <c r="A108" s="66" t="s">
        <v>30</v>
      </c>
      <c r="C108" s="67"/>
      <c r="D108" s="77"/>
      <c r="E108" s="77"/>
      <c r="F108" s="76"/>
      <c r="G108" s="76"/>
      <c r="H108" s="76"/>
      <c r="I108" s="76"/>
      <c r="J108" s="76"/>
      <c r="K108" s="76"/>
      <c r="L108" s="76"/>
      <c r="M108" s="76"/>
      <c r="N108" s="76"/>
      <c r="O108" s="75"/>
      <c r="P108" s="75"/>
      <c r="Q108" s="75"/>
      <c r="R108" s="75"/>
      <c r="S108" s="75"/>
      <c r="T108" s="75"/>
      <c r="U108" s="74"/>
    </row>
    <row r="109" spans="1:21" ht="17.25" customHeight="1" x14ac:dyDescent="0.3">
      <c r="A109" s="66" t="s">
        <v>30</v>
      </c>
      <c r="C109" s="67"/>
      <c r="D109" s="77"/>
      <c r="E109" s="77" t="s">
        <v>31</v>
      </c>
      <c r="F109" s="76" t="s">
        <v>31</v>
      </c>
      <c r="G109" s="76" t="s">
        <v>31</v>
      </c>
      <c r="H109" s="76"/>
      <c r="I109" s="76"/>
      <c r="J109" s="76" t="s">
        <v>31</v>
      </c>
      <c r="K109" s="76" t="s">
        <v>31</v>
      </c>
      <c r="L109" s="76" t="s">
        <v>31</v>
      </c>
      <c r="M109" s="76" t="s">
        <v>31</v>
      </c>
      <c r="N109" s="76"/>
      <c r="U109" s="81"/>
    </row>
    <row r="110" spans="1:21" ht="20.25" customHeight="1" x14ac:dyDescent="0.35">
      <c r="A110" s="66" t="s">
        <v>30</v>
      </c>
      <c r="C110" s="67"/>
      <c r="D110" s="92" t="str">
        <f t="shared" ref="D110" si="65">E110</f>
        <v>C100024</v>
      </c>
      <c r="E110" s="91" t="str">
        <f>"C100024"</f>
        <v>C100024</v>
      </c>
      <c r="F110" s="89" t="str">
        <f>"Knit Hat with Bill"</f>
        <v>Knit Hat with Bill</v>
      </c>
      <c r="G110" s="89"/>
      <c r="H110" s="90" t="str">
        <f>"EA"</f>
        <v>EA</v>
      </c>
      <c r="I110" s="89"/>
      <c r="J110" s="89"/>
      <c r="K110" s="89"/>
      <c r="L110" s="89"/>
      <c r="M110" s="89"/>
      <c r="N110" s="89"/>
      <c r="O110" s="88">
        <f>(SUBTOTAL(9,O111:O113))</f>
        <v>800</v>
      </c>
      <c r="P110" s="88">
        <f>(SUBTOTAL(9,P111:P113))</f>
        <v>-144</v>
      </c>
      <c r="Q110" s="88">
        <f>(SUBTOTAL(9,Q111:Q113))</f>
        <v>0</v>
      </c>
      <c r="R110" s="88">
        <f>(SUBTOTAL(9,R111:R113))</f>
        <v>0</v>
      </c>
      <c r="S110" s="88">
        <f>(SUBTOTAL(9,S111:S113))</f>
        <v>0</v>
      </c>
      <c r="T110" s="88">
        <f>(SUBTOTAL(9,T111:T113))</f>
        <v>0</v>
      </c>
      <c r="U110" s="87">
        <f t="shared" ref="U110" si="66">SUBTOTAL(9,O111:T113)</f>
        <v>656</v>
      </c>
    </row>
    <row r="111" spans="1:21" ht="17.25" customHeight="1" x14ac:dyDescent="0.3">
      <c r="A111" s="66" t="s">
        <v>30</v>
      </c>
      <c r="C111" s="67"/>
      <c r="D111" s="77" t="str">
        <f t="shared" ref="D111" si="67">D110</f>
        <v>C100024</v>
      </c>
      <c r="E111" s="77"/>
      <c r="F111" s="76"/>
      <c r="G111" s="76" t="str">
        <f>"""NAV Direct"",""CRONUS JetCorp USA"",""32"",""1"",""167104"""</f>
        <v>"NAV Direct","CRONUS JetCorp USA","32","1","167104"</v>
      </c>
      <c r="H111" s="86">
        <v>43466</v>
      </c>
      <c r="I111" s="85">
        <v>167104</v>
      </c>
      <c r="J111" s="84" t="str">
        <f>"Vendor"</f>
        <v>Vendor</v>
      </c>
      <c r="K111" s="84" t="str">
        <f>"V100040"</f>
        <v>V100040</v>
      </c>
      <c r="L111" s="84" t="str">
        <f>IF($J111="Customer",_xll.NL("first",$J111,"Name","No.","@@"&amp;$K111),"")</f>
        <v/>
      </c>
      <c r="M111" s="84" t="str">
        <f>"Technische Betriebe Rotkreuz"</f>
        <v>Technische Betriebe Rotkreuz</v>
      </c>
      <c r="N111" s="84" t="str">
        <f>IF($J111="Item",_xll.NL("first",$J111,"Description","No.","@@"&amp;$K111),"")</f>
        <v/>
      </c>
      <c r="O111" s="83">
        <v>800</v>
      </c>
      <c r="P111" s="83">
        <v>0</v>
      </c>
      <c r="Q111" s="83">
        <v>0</v>
      </c>
      <c r="R111" s="83">
        <v>0</v>
      </c>
      <c r="S111" s="83">
        <v>0</v>
      </c>
      <c r="T111" s="83">
        <v>0</v>
      </c>
      <c r="U111" s="82"/>
    </row>
    <row r="112" spans="1:21" ht="17.25" customHeight="1" x14ac:dyDescent="0.3">
      <c r="A112" s="66" t="s">
        <v>30</v>
      </c>
      <c r="C112" s="67"/>
      <c r="D112" s="77" t="str">
        <f t="shared" ref="D112" si="68">D111</f>
        <v>C100024</v>
      </c>
      <c r="E112" s="77"/>
      <c r="F112" s="76"/>
      <c r="G112" s="76" t="str">
        <f>"""NAV Direct"",""CRONUS JetCorp USA"",""32"",""1"",""34312"""</f>
        <v>"NAV Direct","CRONUS JetCorp USA","32","1","34312"</v>
      </c>
      <c r="H112" s="86">
        <v>43473</v>
      </c>
      <c r="I112" s="85">
        <v>34312</v>
      </c>
      <c r="J112" s="84" t="str">
        <f>"Customer"</f>
        <v>Customer</v>
      </c>
      <c r="K112" s="84" t="str">
        <f>"C100059"</f>
        <v>C100059</v>
      </c>
      <c r="L112" s="84" t="str">
        <f>IF($J112="Customer",_xll.NL("first",$J112,"Name","No.","@@"&amp;$K112),"")</f>
        <v>Meersen Meubelen</v>
      </c>
      <c r="M112" s="84" t="str">
        <f>""</f>
        <v/>
      </c>
      <c r="N112" s="84" t="str">
        <f>IF($J112="Item",_xll.NL("first",$J112,"Description","No.","@@"&amp;$K112),"")</f>
        <v/>
      </c>
      <c r="O112" s="83">
        <v>0</v>
      </c>
      <c r="P112" s="83">
        <v>-144</v>
      </c>
      <c r="Q112" s="83">
        <v>0</v>
      </c>
      <c r="R112" s="83">
        <v>0</v>
      </c>
      <c r="S112" s="83">
        <v>0</v>
      </c>
      <c r="T112" s="83">
        <v>0</v>
      </c>
      <c r="U112" s="82"/>
    </row>
    <row r="113" spans="1:21" ht="17.25" customHeight="1" x14ac:dyDescent="0.3">
      <c r="A113" s="66" t="s">
        <v>30</v>
      </c>
      <c r="C113" s="67"/>
      <c r="D113" s="77"/>
      <c r="E113" s="77"/>
      <c r="F113" s="76"/>
      <c r="G113" s="76"/>
      <c r="H113" s="76"/>
      <c r="I113" s="76"/>
      <c r="J113" s="76"/>
      <c r="K113" s="76"/>
      <c r="L113" s="76"/>
      <c r="M113" s="76"/>
      <c r="N113" s="76"/>
      <c r="O113" s="75"/>
      <c r="P113" s="75"/>
      <c r="Q113" s="75"/>
      <c r="R113" s="75"/>
      <c r="S113" s="75"/>
      <c r="T113" s="75"/>
      <c r="U113" s="74"/>
    </row>
    <row r="114" spans="1:21" ht="17.25" customHeight="1" x14ac:dyDescent="0.3">
      <c r="A114" s="66" t="s">
        <v>30</v>
      </c>
      <c r="C114" s="67"/>
      <c r="D114" s="77"/>
      <c r="E114" s="77" t="s">
        <v>31</v>
      </c>
      <c r="F114" s="76" t="s">
        <v>31</v>
      </c>
      <c r="G114" s="76" t="s">
        <v>31</v>
      </c>
      <c r="H114" s="76"/>
      <c r="I114" s="76"/>
      <c r="J114" s="76" t="s">
        <v>31</v>
      </c>
      <c r="K114" s="76" t="s">
        <v>31</v>
      </c>
      <c r="L114" s="76" t="s">
        <v>31</v>
      </c>
      <c r="M114" s="76" t="s">
        <v>31</v>
      </c>
      <c r="N114" s="76"/>
      <c r="U114" s="81"/>
    </row>
    <row r="115" spans="1:21" ht="20.25" customHeight="1" x14ac:dyDescent="0.35">
      <c r="A115" s="66" t="s">
        <v>30</v>
      </c>
      <c r="C115" s="67"/>
      <c r="D115" s="92" t="str">
        <f t="shared" ref="D115" si="69">E115</f>
        <v>C100025</v>
      </c>
      <c r="E115" s="91" t="str">
        <f>"C100025"</f>
        <v>C100025</v>
      </c>
      <c r="F115" s="89" t="str">
        <f>"Striped Knit Hat"</f>
        <v>Striped Knit Hat</v>
      </c>
      <c r="G115" s="89"/>
      <c r="H115" s="90" t="str">
        <f>"EA"</f>
        <v>EA</v>
      </c>
      <c r="I115" s="89"/>
      <c r="J115" s="89"/>
      <c r="K115" s="89"/>
      <c r="L115" s="89"/>
      <c r="M115" s="89"/>
      <c r="N115" s="89"/>
      <c r="O115" s="88">
        <f>(SUBTOTAL(9,O116:O121))</f>
        <v>800</v>
      </c>
      <c r="P115" s="88">
        <f>(SUBTOTAL(9,P116:P121))</f>
        <v>-301</v>
      </c>
      <c r="Q115" s="88">
        <f>(SUBTOTAL(9,Q116:Q121))</f>
        <v>0</v>
      </c>
      <c r="R115" s="88">
        <f>(SUBTOTAL(9,R116:R121))</f>
        <v>0</v>
      </c>
      <c r="S115" s="88">
        <f>(SUBTOTAL(9,S116:S121))</f>
        <v>0</v>
      </c>
      <c r="T115" s="88">
        <f>(SUBTOTAL(9,T116:T121))</f>
        <v>0</v>
      </c>
      <c r="U115" s="87">
        <f t="shared" ref="U115" si="70">SUBTOTAL(9,O116:T121)</f>
        <v>499</v>
      </c>
    </row>
    <row r="116" spans="1:21" ht="17.25" customHeight="1" x14ac:dyDescent="0.3">
      <c r="A116" s="66" t="s">
        <v>30</v>
      </c>
      <c r="C116" s="67"/>
      <c r="D116" s="77" t="str">
        <f t="shared" ref="D116" si="71">D115</f>
        <v>C100025</v>
      </c>
      <c r="E116" s="77"/>
      <c r="F116" s="76"/>
      <c r="G116" s="76" t="str">
        <f>"""NAV Direct"",""CRONUS JetCorp USA"",""32"",""1"",""167103"""</f>
        <v>"NAV Direct","CRONUS JetCorp USA","32","1","167103"</v>
      </c>
      <c r="H116" s="86">
        <v>43466</v>
      </c>
      <c r="I116" s="85">
        <v>167103</v>
      </c>
      <c r="J116" s="84" t="str">
        <f>"Vendor"</f>
        <v>Vendor</v>
      </c>
      <c r="K116" s="84" t="str">
        <f>"V100040"</f>
        <v>V100040</v>
      </c>
      <c r="L116" s="84" t="str">
        <f>IF($J116="Customer",_xll.NL("first",$J116,"Name","No.","@@"&amp;$K116),"")</f>
        <v/>
      </c>
      <c r="M116" s="84" t="str">
        <f>"Technische Betriebe Rotkreuz"</f>
        <v>Technische Betriebe Rotkreuz</v>
      </c>
      <c r="N116" s="84" t="str">
        <f>IF($J116="Item",_xll.NL("first",$J116,"Description","No.","@@"&amp;$K116),"")</f>
        <v/>
      </c>
      <c r="O116" s="83">
        <v>800</v>
      </c>
      <c r="P116" s="83">
        <v>0</v>
      </c>
      <c r="Q116" s="83">
        <v>0</v>
      </c>
      <c r="R116" s="83">
        <v>0</v>
      </c>
      <c r="S116" s="83">
        <v>0</v>
      </c>
      <c r="T116" s="83">
        <v>0</v>
      </c>
      <c r="U116" s="82"/>
    </row>
    <row r="117" spans="1:21" ht="17.25" customHeight="1" x14ac:dyDescent="0.3">
      <c r="A117" s="66" t="s">
        <v>30</v>
      </c>
      <c r="C117" s="67"/>
      <c r="D117" s="77" t="str">
        <f t="shared" ref="D117:D120" si="72">D116</f>
        <v>C100025</v>
      </c>
      <c r="E117" s="77"/>
      <c r="F117" s="76"/>
      <c r="G117" s="76" t="str">
        <f>"""NAV Direct"",""CRONUS JetCorp USA"",""32"",""1"",""78855"""</f>
        <v>"NAV Direct","CRONUS JetCorp USA","32","1","78855"</v>
      </c>
      <c r="H117" s="86">
        <v>43470</v>
      </c>
      <c r="I117" s="85">
        <v>78855</v>
      </c>
      <c r="J117" s="84" t="str">
        <f>"Customer"</f>
        <v>Customer</v>
      </c>
      <c r="K117" s="84" t="str">
        <f>"C100117"</f>
        <v>C100117</v>
      </c>
      <c r="L117" s="84" t="str">
        <f>IF($J117="Customer",_xll.NL("first",$J117,"Name","No.","@@"&amp;$K117),"")</f>
        <v xml:space="preserve">Tintax </v>
      </c>
      <c r="M117" s="84" t="str">
        <f>""</f>
        <v/>
      </c>
      <c r="N117" s="84" t="str">
        <f>IF($J117="Item",_xll.NL("first",$J117,"Description","No.","@@"&amp;$K117),"")</f>
        <v/>
      </c>
      <c r="O117" s="83">
        <v>0</v>
      </c>
      <c r="P117" s="83">
        <v>-12</v>
      </c>
      <c r="Q117" s="83">
        <v>0</v>
      </c>
      <c r="R117" s="83">
        <v>0</v>
      </c>
      <c r="S117" s="83">
        <v>0</v>
      </c>
      <c r="T117" s="83">
        <v>0</v>
      </c>
      <c r="U117" s="82"/>
    </row>
    <row r="118" spans="1:21" ht="17.25" customHeight="1" x14ac:dyDescent="0.3">
      <c r="A118" s="66" t="s">
        <v>30</v>
      </c>
      <c r="C118" s="67"/>
      <c r="D118" s="77" t="str">
        <f t="shared" si="72"/>
        <v>C100025</v>
      </c>
      <c r="E118" s="77"/>
      <c r="F118" s="76"/>
      <c r="G118" s="76" t="str">
        <f>"""NAV Direct"",""CRONUS JetCorp USA"",""32"",""1"",""36483"""</f>
        <v>"NAV Direct","CRONUS JetCorp USA","32","1","36483"</v>
      </c>
      <c r="H118" s="86">
        <v>43475</v>
      </c>
      <c r="I118" s="85">
        <v>36483</v>
      </c>
      <c r="J118" s="84" t="str">
        <f>"Customer"</f>
        <v>Customer</v>
      </c>
      <c r="K118" s="84" t="str">
        <f>"C100063"</f>
        <v>C100063</v>
      </c>
      <c r="L118" s="84" t="str">
        <f>IF($J118="Customer",_xll.NL("first",$J118,"Name","No.","@@"&amp;$K118),"")</f>
        <v>Möbel Scherrer AG</v>
      </c>
      <c r="M118" s="84" t="str">
        <f>""</f>
        <v/>
      </c>
      <c r="N118" s="84" t="str">
        <f>IF($J118="Item",_xll.NL("first",$J118,"Description","No.","@@"&amp;$K118),"")</f>
        <v/>
      </c>
      <c r="O118" s="83">
        <v>0</v>
      </c>
      <c r="P118" s="83">
        <v>-146</v>
      </c>
      <c r="Q118" s="83">
        <v>0</v>
      </c>
      <c r="R118" s="83">
        <v>0</v>
      </c>
      <c r="S118" s="83">
        <v>0</v>
      </c>
      <c r="T118" s="83">
        <v>0</v>
      </c>
      <c r="U118" s="82"/>
    </row>
    <row r="119" spans="1:21" ht="17.25" customHeight="1" x14ac:dyDescent="0.3">
      <c r="A119" s="66" t="s">
        <v>30</v>
      </c>
      <c r="C119" s="67"/>
      <c r="D119" s="77" t="str">
        <f t="shared" si="72"/>
        <v>C100025</v>
      </c>
      <c r="E119" s="77"/>
      <c r="F119" s="76"/>
      <c r="G119" s="76" t="str">
        <f>"""NAV Direct"",""CRONUS JetCorp USA"",""32"",""1"",""78899"""</f>
        <v>"NAV Direct","CRONUS JetCorp USA","32","1","78899"</v>
      </c>
      <c r="H119" s="86">
        <v>43475</v>
      </c>
      <c r="I119" s="85">
        <v>78899</v>
      </c>
      <c r="J119" s="84" t="str">
        <f>"Customer"</f>
        <v>Customer</v>
      </c>
      <c r="K119" s="84" t="str">
        <f>"C100128"</f>
        <v>C100128</v>
      </c>
      <c r="L119" s="84" t="str">
        <f>IF($J119="Customer",_xll.NL("first",$J119,"Name","No.","@@"&amp;$K119),"")</f>
        <v>Solar Tech</v>
      </c>
      <c r="M119" s="84" t="str">
        <f>""</f>
        <v/>
      </c>
      <c r="N119" s="84" t="str">
        <f>IF($J119="Item",_xll.NL("first",$J119,"Description","No.","@@"&amp;$K119),"")</f>
        <v/>
      </c>
      <c r="O119" s="83">
        <v>0</v>
      </c>
      <c r="P119" s="83">
        <v>-144</v>
      </c>
      <c r="Q119" s="83">
        <v>0</v>
      </c>
      <c r="R119" s="83">
        <v>0</v>
      </c>
      <c r="S119" s="83">
        <v>0</v>
      </c>
      <c r="T119" s="83">
        <v>0</v>
      </c>
      <c r="U119" s="82"/>
    </row>
    <row r="120" spans="1:21" ht="17.25" customHeight="1" x14ac:dyDescent="0.3">
      <c r="A120" s="66" t="s">
        <v>30</v>
      </c>
      <c r="C120" s="67"/>
      <c r="D120" s="77" t="str">
        <f t="shared" si="72"/>
        <v>C100025</v>
      </c>
      <c r="E120" s="77"/>
      <c r="F120" s="76"/>
      <c r="G120" s="76" t="str">
        <f>"""NAV Direct"",""CRONUS JetCorp USA"",""32"",""1"",""158197"""</f>
        <v>"NAV Direct","CRONUS JetCorp USA","32","1","158197"</v>
      </c>
      <c r="H120" s="86">
        <v>43477</v>
      </c>
      <c r="I120" s="85">
        <v>158197</v>
      </c>
      <c r="J120" s="84" t="str">
        <f>"Customer"</f>
        <v>Customer</v>
      </c>
      <c r="K120" s="84" t="str">
        <f>"C100059"</f>
        <v>C100059</v>
      </c>
      <c r="L120" s="84" t="str">
        <f>IF($J120="Customer",_xll.NL("first",$J120,"Name","No.","@@"&amp;$K120),"")</f>
        <v>Meersen Meubelen</v>
      </c>
      <c r="M120" s="84" t="str">
        <f>""</f>
        <v/>
      </c>
      <c r="N120" s="84" t="str">
        <f>IF($J120="Item",_xll.NL("first",$J120,"Description","No.","@@"&amp;$K120),"")</f>
        <v/>
      </c>
      <c r="O120" s="83">
        <v>0</v>
      </c>
      <c r="P120" s="83">
        <v>1</v>
      </c>
      <c r="Q120" s="83">
        <v>0</v>
      </c>
      <c r="R120" s="83">
        <v>0</v>
      </c>
      <c r="S120" s="83">
        <v>0</v>
      </c>
      <c r="T120" s="83">
        <v>0</v>
      </c>
      <c r="U120" s="82"/>
    </row>
    <row r="121" spans="1:21" ht="17.25" customHeight="1" x14ac:dyDescent="0.3">
      <c r="A121" s="66" t="s">
        <v>30</v>
      </c>
      <c r="C121" s="67"/>
      <c r="D121" s="77"/>
      <c r="E121" s="77"/>
      <c r="F121" s="76"/>
      <c r="G121" s="76"/>
      <c r="H121" s="76"/>
      <c r="I121" s="76"/>
      <c r="J121" s="76"/>
      <c r="K121" s="76"/>
      <c r="L121" s="76"/>
      <c r="M121" s="76"/>
      <c r="N121" s="76"/>
      <c r="O121" s="75"/>
      <c r="P121" s="75"/>
      <c r="Q121" s="75"/>
      <c r="R121" s="75"/>
      <c r="S121" s="75"/>
      <c r="T121" s="75"/>
      <c r="U121" s="74"/>
    </row>
    <row r="122" spans="1:21" ht="17.25" customHeight="1" x14ac:dyDescent="0.3">
      <c r="A122" s="66" t="s">
        <v>30</v>
      </c>
      <c r="C122" s="67"/>
      <c r="D122" s="77"/>
      <c r="E122" s="77" t="s">
        <v>31</v>
      </c>
      <c r="F122" s="76" t="s">
        <v>31</v>
      </c>
      <c r="G122" s="76" t="s">
        <v>31</v>
      </c>
      <c r="H122" s="76"/>
      <c r="I122" s="76"/>
      <c r="J122" s="76" t="s">
        <v>31</v>
      </c>
      <c r="K122" s="76" t="s">
        <v>31</v>
      </c>
      <c r="L122" s="76" t="s">
        <v>31</v>
      </c>
      <c r="M122" s="76" t="s">
        <v>31</v>
      </c>
      <c r="N122" s="76"/>
      <c r="U122" s="81"/>
    </row>
    <row r="123" spans="1:21" ht="20.25" customHeight="1" x14ac:dyDescent="0.35">
      <c r="A123" s="66" t="s">
        <v>30</v>
      </c>
      <c r="C123" s="67"/>
      <c r="D123" s="92" t="str">
        <f t="shared" ref="D123" si="73">E123</f>
        <v>C100026</v>
      </c>
      <c r="E123" s="91" t="str">
        <f>"C100026"</f>
        <v>C100026</v>
      </c>
      <c r="F123" s="89" t="str">
        <f>"Fleece Beanie"</f>
        <v>Fleece Beanie</v>
      </c>
      <c r="G123" s="89"/>
      <c r="H123" s="90" t="str">
        <f>"EA"</f>
        <v>EA</v>
      </c>
      <c r="I123" s="89"/>
      <c r="J123" s="89"/>
      <c r="K123" s="89"/>
      <c r="L123" s="89"/>
      <c r="M123" s="89"/>
      <c r="N123" s="89"/>
      <c r="O123" s="88">
        <f>(SUBTOTAL(9,O124:O127))</f>
        <v>1200</v>
      </c>
      <c r="P123" s="88">
        <f>(SUBTOTAL(9,P124:P127))</f>
        <v>47</v>
      </c>
      <c r="Q123" s="88">
        <f>(SUBTOTAL(9,Q124:Q127))</f>
        <v>0</v>
      </c>
      <c r="R123" s="88">
        <f>(SUBTOTAL(9,R124:R127))</f>
        <v>0</v>
      </c>
      <c r="S123" s="88">
        <f>(SUBTOTAL(9,S124:S127))</f>
        <v>0</v>
      </c>
      <c r="T123" s="88">
        <f>(SUBTOTAL(9,T124:T127))</f>
        <v>0</v>
      </c>
      <c r="U123" s="87">
        <f t="shared" ref="U123" si="74">SUBTOTAL(9,O124:T127)</f>
        <v>1247</v>
      </c>
    </row>
    <row r="124" spans="1:21" ht="17.25" customHeight="1" x14ac:dyDescent="0.3">
      <c r="A124" s="66" t="s">
        <v>30</v>
      </c>
      <c r="C124" s="67"/>
      <c r="D124" s="77" t="str">
        <f t="shared" ref="D124" si="75">D123</f>
        <v>C100026</v>
      </c>
      <c r="E124" s="77"/>
      <c r="F124" s="76"/>
      <c r="G124" s="76" t="str">
        <f>"""NAV Direct"",""CRONUS JetCorp USA"",""32"",""1"",""167102"""</f>
        <v>"NAV Direct","CRONUS JetCorp USA","32","1","167102"</v>
      </c>
      <c r="H124" s="86">
        <v>43466</v>
      </c>
      <c r="I124" s="85">
        <v>167102</v>
      </c>
      <c r="J124" s="84" t="str">
        <f>"Vendor"</f>
        <v>Vendor</v>
      </c>
      <c r="K124" s="84" t="str">
        <f>"V100040"</f>
        <v>V100040</v>
      </c>
      <c r="L124" s="84" t="str">
        <f>IF($J124="Customer",_xll.NL("first",$J124,"Name","No.","@@"&amp;$K124),"")</f>
        <v/>
      </c>
      <c r="M124" s="84" t="str">
        <f>"Technische Betriebe Rotkreuz"</f>
        <v>Technische Betriebe Rotkreuz</v>
      </c>
      <c r="N124" s="84" t="str">
        <f>IF($J124="Item",_xll.NL("first",$J124,"Description","No.","@@"&amp;$K124),"")</f>
        <v/>
      </c>
      <c r="O124" s="83">
        <v>1200</v>
      </c>
      <c r="P124" s="83">
        <v>0</v>
      </c>
      <c r="Q124" s="83">
        <v>0</v>
      </c>
      <c r="R124" s="83">
        <v>0</v>
      </c>
      <c r="S124" s="83">
        <v>0</v>
      </c>
      <c r="T124" s="83">
        <v>0</v>
      </c>
      <c r="U124" s="82"/>
    </row>
    <row r="125" spans="1:21" ht="17.25" customHeight="1" x14ac:dyDescent="0.3">
      <c r="A125" s="66" t="s">
        <v>30</v>
      </c>
      <c r="C125" s="67"/>
      <c r="D125" s="77" t="str">
        <f t="shared" ref="D125:D126" si="76">D124</f>
        <v>C100026</v>
      </c>
      <c r="E125" s="77"/>
      <c r="F125" s="76"/>
      <c r="G125" s="76" t="str">
        <f>"""NAV Direct"",""CRONUS JetCorp USA"",""32"",""1"",""38081"""</f>
        <v>"NAV Direct","CRONUS JetCorp USA","32","1","38081"</v>
      </c>
      <c r="H125" s="86">
        <v>43471</v>
      </c>
      <c r="I125" s="85">
        <v>38081</v>
      </c>
      <c r="J125" s="84" t="str">
        <f>"Customer"</f>
        <v>Customer</v>
      </c>
      <c r="K125" s="84" t="str">
        <f>"C100013"</f>
        <v>C100013</v>
      </c>
      <c r="L125" s="84" t="str">
        <f>IF($J125="Customer",_xll.NL("first",$J125,"Name","No.","@@"&amp;$K125),"")</f>
        <v>Candoxy Kontor A/S</v>
      </c>
      <c r="M125" s="84" t="str">
        <f>""</f>
        <v/>
      </c>
      <c r="N125" s="84" t="str">
        <f>IF($J125="Item",_xll.NL("first",$J125,"Description","No.","@@"&amp;$K125),"")</f>
        <v/>
      </c>
      <c r="O125" s="83">
        <v>0</v>
      </c>
      <c r="P125" s="83">
        <v>-1</v>
      </c>
      <c r="Q125" s="83">
        <v>0</v>
      </c>
      <c r="R125" s="83">
        <v>0</v>
      </c>
      <c r="S125" s="83">
        <v>0</v>
      </c>
      <c r="T125" s="83">
        <v>0</v>
      </c>
      <c r="U125" s="82"/>
    </row>
    <row r="126" spans="1:21" ht="17.25" customHeight="1" x14ac:dyDescent="0.3">
      <c r="A126" s="66" t="s">
        <v>30</v>
      </c>
      <c r="C126" s="67"/>
      <c r="D126" s="77" t="str">
        <f t="shared" si="76"/>
        <v>C100026</v>
      </c>
      <c r="E126" s="77"/>
      <c r="F126" s="76"/>
      <c r="G126" s="76" t="str">
        <f>"""NAV Direct"",""CRONUS JetCorp USA"",""32"",""1"",""158196"""</f>
        <v>"NAV Direct","CRONUS JetCorp USA","32","1","158196"</v>
      </c>
      <c r="H126" s="86">
        <v>43477</v>
      </c>
      <c r="I126" s="85">
        <v>158196</v>
      </c>
      <c r="J126" s="84" t="str">
        <f>"Customer"</f>
        <v>Customer</v>
      </c>
      <c r="K126" s="84" t="str">
        <f>"C100059"</f>
        <v>C100059</v>
      </c>
      <c r="L126" s="84" t="str">
        <f>IF($J126="Customer",_xll.NL("first",$J126,"Name","No.","@@"&amp;$K126),"")</f>
        <v>Meersen Meubelen</v>
      </c>
      <c r="M126" s="84" t="str">
        <f>""</f>
        <v/>
      </c>
      <c r="N126" s="84" t="str">
        <f>IF($J126="Item",_xll.NL("first",$J126,"Description","No.","@@"&amp;$K126),"")</f>
        <v/>
      </c>
      <c r="O126" s="83">
        <v>0</v>
      </c>
      <c r="P126" s="83">
        <v>48</v>
      </c>
      <c r="Q126" s="83">
        <v>0</v>
      </c>
      <c r="R126" s="83">
        <v>0</v>
      </c>
      <c r="S126" s="83">
        <v>0</v>
      </c>
      <c r="T126" s="83">
        <v>0</v>
      </c>
      <c r="U126" s="82"/>
    </row>
    <row r="127" spans="1:21" ht="17.25" customHeight="1" x14ac:dyDescent="0.3">
      <c r="A127" s="66" t="s">
        <v>30</v>
      </c>
      <c r="C127" s="67"/>
      <c r="D127" s="77"/>
      <c r="E127" s="77"/>
      <c r="F127" s="76"/>
      <c r="G127" s="76"/>
      <c r="H127" s="76"/>
      <c r="I127" s="76"/>
      <c r="J127" s="76"/>
      <c r="K127" s="76"/>
      <c r="L127" s="76"/>
      <c r="M127" s="76"/>
      <c r="N127" s="76"/>
      <c r="O127" s="75"/>
      <c r="P127" s="75"/>
      <c r="Q127" s="75"/>
      <c r="R127" s="75"/>
      <c r="S127" s="75"/>
      <c r="T127" s="75"/>
      <c r="U127" s="74"/>
    </row>
    <row r="128" spans="1:21" ht="17.25" customHeight="1" x14ac:dyDescent="0.3">
      <c r="A128" s="66" t="s">
        <v>30</v>
      </c>
      <c r="C128" s="67"/>
      <c r="D128" s="77"/>
      <c r="E128" s="77" t="s">
        <v>31</v>
      </c>
      <c r="F128" s="76" t="s">
        <v>31</v>
      </c>
      <c r="G128" s="76" t="s">
        <v>31</v>
      </c>
      <c r="H128" s="76"/>
      <c r="I128" s="76"/>
      <c r="J128" s="76" t="s">
        <v>31</v>
      </c>
      <c r="K128" s="76" t="s">
        <v>31</v>
      </c>
      <c r="L128" s="76" t="s">
        <v>31</v>
      </c>
      <c r="M128" s="76" t="s">
        <v>31</v>
      </c>
      <c r="N128" s="76"/>
      <c r="U128" s="81"/>
    </row>
    <row r="129" spans="1:21" ht="20.25" customHeight="1" x14ac:dyDescent="0.35">
      <c r="A129" s="66" t="s">
        <v>30</v>
      </c>
      <c r="C129" s="67"/>
      <c r="D129" s="92" t="str">
        <f t="shared" ref="D129" si="77">E129</f>
        <v>C100027</v>
      </c>
      <c r="E129" s="91" t="str">
        <f>"C100027"</f>
        <v>C100027</v>
      </c>
      <c r="F129" s="89" t="str">
        <f>"Pique Visor"</f>
        <v>Pique Visor</v>
      </c>
      <c r="G129" s="89"/>
      <c r="H129" s="90" t="str">
        <f>"EA"</f>
        <v>EA</v>
      </c>
      <c r="I129" s="89"/>
      <c r="J129" s="89"/>
      <c r="K129" s="89"/>
      <c r="L129" s="89"/>
      <c r="M129" s="89"/>
      <c r="N129" s="89"/>
      <c r="O129" s="88">
        <f>(SUBTOTAL(9,O130:O131))</f>
        <v>800</v>
      </c>
      <c r="P129" s="88">
        <f>(SUBTOTAL(9,P130:P131))</f>
        <v>0</v>
      </c>
      <c r="Q129" s="88">
        <f>(SUBTOTAL(9,Q130:Q131))</f>
        <v>0</v>
      </c>
      <c r="R129" s="88">
        <f>(SUBTOTAL(9,R130:R131))</f>
        <v>0</v>
      </c>
      <c r="S129" s="88">
        <f>(SUBTOTAL(9,S130:S131))</f>
        <v>0</v>
      </c>
      <c r="T129" s="88">
        <f>(SUBTOTAL(9,T130:T131))</f>
        <v>0</v>
      </c>
      <c r="U129" s="87">
        <f t="shared" ref="U129" si="78">SUBTOTAL(9,O130:T131)</f>
        <v>800</v>
      </c>
    </row>
    <row r="130" spans="1:21" ht="17.25" customHeight="1" x14ac:dyDescent="0.3">
      <c r="A130" s="66" t="s">
        <v>30</v>
      </c>
      <c r="C130" s="67"/>
      <c r="D130" s="77" t="str">
        <f t="shared" ref="D130" si="79">D129</f>
        <v>C100027</v>
      </c>
      <c r="E130" s="77"/>
      <c r="F130" s="76"/>
      <c r="G130" s="76" t="str">
        <f>"""NAV Direct"",""CRONUS JetCorp USA"",""32"",""1"",""167101"""</f>
        <v>"NAV Direct","CRONUS JetCorp USA","32","1","167101"</v>
      </c>
      <c r="H130" s="86">
        <v>43466</v>
      </c>
      <c r="I130" s="85">
        <v>167101</v>
      </c>
      <c r="J130" s="84" t="str">
        <f>"Vendor"</f>
        <v>Vendor</v>
      </c>
      <c r="K130" s="84" t="str">
        <f>"V100040"</f>
        <v>V100040</v>
      </c>
      <c r="L130" s="84" t="str">
        <f>IF($J130="Customer",_xll.NL("first",$J130,"Name","No.","@@"&amp;$K130),"")</f>
        <v/>
      </c>
      <c r="M130" s="84" t="str">
        <f>"Technische Betriebe Rotkreuz"</f>
        <v>Technische Betriebe Rotkreuz</v>
      </c>
      <c r="N130" s="84" t="str">
        <f>IF($J130="Item",_xll.NL("first",$J130,"Description","No.","@@"&amp;$K130),"")</f>
        <v/>
      </c>
      <c r="O130" s="83">
        <v>800</v>
      </c>
      <c r="P130" s="83">
        <v>0</v>
      </c>
      <c r="Q130" s="83">
        <v>0</v>
      </c>
      <c r="R130" s="83">
        <v>0</v>
      </c>
      <c r="S130" s="83">
        <v>0</v>
      </c>
      <c r="T130" s="83">
        <v>0</v>
      </c>
      <c r="U130" s="82"/>
    </row>
    <row r="131" spans="1:21" ht="17.25" customHeight="1" x14ac:dyDescent="0.3">
      <c r="A131" s="66" t="s">
        <v>30</v>
      </c>
      <c r="C131" s="67"/>
      <c r="D131" s="77"/>
      <c r="E131" s="77"/>
      <c r="F131" s="76"/>
      <c r="G131" s="76"/>
      <c r="H131" s="76"/>
      <c r="I131" s="76"/>
      <c r="J131" s="76"/>
      <c r="K131" s="76"/>
      <c r="L131" s="76"/>
      <c r="M131" s="76"/>
      <c r="N131" s="76"/>
      <c r="O131" s="75"/>
      <c r="P131" s="75"/>
      <c r="Q131" s="75"/>
      <c r="R131" s="75"/>
      <c r="S131" s="75"/>
      <c r="T131" s="75"/>
      <c r="U131" s="74"/>
    </row>
    <row r="132" spans="1:21" ht="17.25" customHeight="1" x14ac:dyDescent="0.3">
      <c r="A132" s="66" t="s">
        <v>30</v>
      </c>
      <c r="C132" s="67"/>
      <c r="D132" s="77"/>
      <c r="E132" s="77" t="s">
        <v>31</v>
      </c>
      <c r="F132" s="76" t="s">
        <v>31</v>
      </c>
      <c r="G132" s="76" t="s">
        <v>31</v>
      </c>
      <c r="H132" s="76"/>
      <c r="I132" s="76"/>
      <c r="J132" s="76" t="s">
        <v>31</v>
      </c>
      <c r="K132" s="76" t="s">
        <v>31</v>
      </c>
      <c r="L132" s="76" t="s">
        <v>31</v>
      </c>
      <c r="M132" s="76" t="s">
        <v>31</v>
      </c>
      <c r="N132" s="76"/>
      <c r="U132" s="81"/>
    </row>
    <row r="133" spans="1:21" ht="20.25" customHeight="1" x14ac:dyDescent="0.35">
      <c r="A133" s="66" t="s">
        <v>30</v>
      </c>
      <c r="C133" s="67"/>
      <c r="D133" s="92" t="str">
        <f t="shared" ref="D133" si="80">E133</f>
        <v>C100028</v>
      </c>
      <c r="E133" s="91" t="str">
        <f>"C100028"</f>
        <v>C100028</v>
      </c>
      <c r="F133" s="89" t="str">
        <f>"Twill Visor"</f>
        <v>Twill Visor</v>
      </c>
      <c r="G133" s="89"/>
      <c r="H133" s="90" t="str">
        <f>"EA"</f>
        <v>EA</v>
      </c>
      <c r="I133" s="89"/>
      <c r="J133" s="89"/>
      <c r="K133" s="89"/>
      <c r="L133" s="89"/>
      <c r="M133" s="89"/>
      <c r="N133" s="89"/>
      <c r="O133" s="88">
        <f>(SUBTOTAL(9,O134:O136))</f>
        <v>400</v>
      </c>
      <c r="P133" s="88">
        <f>(SUBTOTAL(9,P134:P136))</f>
        <v>-12</v>
      </c>
      <c r="Q133" s="88">
        <f>(SUBTOTAL(9,Q134:Q136))</f>
        <v>0</v>
      </c>
      <c r="R133" s="88">
        <f>(SUBTOTAL(9,R134:R136))</f>
        <v>0</v>
      </c>
      <c r="S133" s="88">
        <f>(SUBTOTAL(9,S134:S136))</f>
        <v>0</v>
      </c>
      <c r="T133" s="88">
        <f>(SUBTOTAL(9,T134:T136))</f>
        <v>0</v>
      </c>
      <c r="U133" s="87">
        <f t="shared" ref="U133" si="81">SUBTOTAL(9,O134:T136)</f>
        <v>388</v>
      </c>
    </row>
    <row r="134" spans="1:21" ht="17.25" customHeight="1" x14ac:dyDescent="0.3">
      <c r="A134" s="66" t="s">
        <v>30</v>
      </c>
      <c r="C134" s="67"/>
      <c r="D134" s="77" t="str">
        <f t="shared" ref="D134" si="82">D133</f>
        <v>C100028</v>
      </c>
      <c r="E134" s="77"/>
      <c r="F134" s="76"/>
      <c r="G134" s="76" t="str">
        <f>"""NAV Direct"",""CRONUS JetCorp USA"",""32"",""1"",""167100"""</f>
        <v>"NAV Direct","CRONUS JetCorp USA","32","1","167100"</v>
      </c>
      <c r="H134" s="86">
        <v>43466</v>
      </c>
      <c r="I134" s="85">
        <v>167100</v>
      </c>
      <c r="J134" s="84" t="str">
        <f>"Vendor"</f>
        <v>Vendor</v>
      </c>
      <c r="K134" s="84" t="str">
        <f>"V100040"</f>
        <v>V100040</v>
      </c>
      <c r="L134" s="84" t="str">
        <f>IF($J134="Customer",_xll.NL("first",$J134,"Name","No.","@@"&amp;$K134),"")</f>
        <v/>
      </c>
      <c r="M134" s="84" t="str">
        <f>"Technische Betriebe Rotkreuz"</f>
        <v>Technische Betriebe Rotkreuz</v>
      </c>
      <c r="N134" s="84" t="str">
        <f>IF($J134="Item",_xll.NL("first",$J134,"Description","No.","@@"&amp;$K134),"")</f>
        <v/>
      </c>
      <c r="O134" s="83">
        <v>400</v>
      </c>
      <c r="P134" s="83">
        <v>0</v>
      </c>
      <c r="Q134" s="83">
        <v>0</v>
      </c>
      <c r="R134" s="83">
        <v>0</v>
      </c>
      <c r="S134" s="83">
        <v>0</v>
      </c>
      <c r="T134" s="83">
        <v>0</v>
      </c>
      <c r="U134" s="82"/>
    </row>
    <row r="135" spans="1:21" ht="17.25" customHeight="1" x14ac:dyDescent="0.3">
      <c r="A135" s="66" t="s">
        <v>30</v>
      </c>
      <c r="C135" s="67"/>
      <c r="D135" s="77" t="str">
        <f t="shared" ref="D135" si="83">D134</f>
        <v>C100028</v>
      </c>
      <c r="E135" s="77"/>
      <c r="F135" s="76"/>
      <c r="G135" s="76" t="str">
        <f>"""NAV Direct"",""CRONUS JetCorp USA"",""32"",""1"",""38093"""</f>
        <v>"NAV Direct","CRONUS JetCorp USA","32","1","38093"</v>
      </c>
      <c r="H135" s="86">
        <v>43477</v>
      </c>
      <c r="I135" s="85">
        <v>38093</v>
      </c>
      <c r="J135" s="84" t="str">
        <f>"Customer"</f>
        <v>Customer</v>
      </c>
      <c r="K135" s="84" t="str">
        <f>"C100038"</f>
        <v>C100038</v>
      </c>
      <c r="L135" s="84" t="str">
        <f>IF($J135="Customer",_xll.NL("first",$J135,"Name","No.","@@"&amp;$K135),"")</f>
        <v>Gagn &amp; Gaman</v>
      </c>
      <c r="M135" s="84" t="str">
        <f>""</f>
        <v/>
      </c>
      <c r="N135" s="84" t="str">
        <f>IF($J135="Item",_xll.NL("first",$J135,"Description","No.","@@"&amp;$K135),"")</f>
        <v/>
      </c>
      <c r="O135" s="83">
        <v>0</v>
      </c>
      <c r="P135" s="83">
        <v>-12</v>
      </c>
      <c r="Q135" s="83">
        <v>0</v>
      </c>
      <c r="R135" s="83">
        <v>0</v>
      </c>
      <c r="S135" s="83">
        <v>0</v>
      </c>
      <c r="T135" s="83">
        <v>0</v>
      </c>
      <c r="U135" s="82"/>
    </row>
    <row r="136" spans="1:21" ht="17.25" customHeight="1" x14ac:dyDescent="0.3">
      <c r="A136" s="66" t="s">
        <v>30</v>
      </c>
      <c r="C136" s="67"/>
      <c r="D136" s="77"/>
      <c r="E136" s="77"/>
      <c r="F136" s="76"/>
      <c r="G136" s="76"/>
      <c r="H136" s="76"/>
      <c r="I136" s="76"/>
      <c r="J136" s="76"/>
      <c r="K136" s="76"/>
      <c r="L136" s="76"/>
      <c r="M136" s="76"/>
      <c r="N136" s="76"/>
      <c r="O136" s="75"/>
      <c r="P136" s="75"/>
      <c r="Q136" s="75"/>
      <c r="R136" s="75"/>
      <c r="S136" s="75"/>
      <c r="T136" s="75"/>
      <c r="U136" s="74"/>
    </row>
    <row r="137" spans="1:21" ht="17.25" customHeight="1" x14ac:dyDescent="0.3">
      <c r="A137" s="66" t="s">
        <v>30</v>
      </c>
      <c r="C137" s="67"/>
      <c r="D137" s="77"/>
      <c r="E137" s="77" t="s">
        <v>31</v>
      </c>
      <c r="F137" s="76" t="s">
        <v>31</v>
      </c>
      <c r="G137" s="76" t="s">
        <v>31</v>
      </c>
      <c r="H137" s="76"/>
      <c r="I137" s="76"/>
      <c r="J137" s="76" t="s">
        <v>31</v>
      </c>
      <c r="K137" s="76" t="s">
        <v>31</v>
      </c>
      <c r="L137" s="76" t="s">
        <v>31</v>
      </c>
      <c r="M137" s="76" t="s">
        <v>31</v>
      </c>
      <c r="N137" s="76"/>
      <c r="U137" s="81"/>
    </row>
    <row r="138" spans="1:21" ht="20.25" customHeight="1" x14ac:dyDescent="0.35">
      <c r="A138" s="66" t="s">
        <v>30</v>
      </c>
      <c r="C138" s="67"/>
      <c r="D138" s="92" t="str">
        <f t="shared" ref="D138" si="84">E138</f>
        <v>C100029</v>
      </c>
      <c r="E138" s="91" t="str">
        <f>"C100029"</f>
        <v>C100029</v>
      </c>
      <c r="F138" s="89" t="str">
        <f>"Distressed Twill Visor"</f>
        <v>Distressed Twill Visor</v>
      </c>
      <c r="G138" s="89"/>
      <c r="H138" s="90" t="str">
        <f>"EA"</f>
        <v>EA</v>
      </c>
      <c r="I138" s="89"/>
      <c r="J138" s="89"/>
      <c r="K138" s="89"/>
      <c r="L138" s="89"/>
      <c r="M138" s="89"/>
      <c r="N138" s="89"/>
      <c r="O138" s="88">
        <f>(SUBTOTAL(9,O139:O141))</f>
        <v>1200</v>
      </c>
      <c r="P138" s="88">
        <f>(SUBTOTAL(9,P139:P141))</f>
        <v>-192</v>
      </c>
      <c r="Q138" s="88">
        <f>(SUBTOTAL(9,Q139:Q141))</f>
        <v>0</v>
      </c>
      <c r="R138" s="88">
        <f>(SUBTOTAL(9,R139:R141))</f>
        <v>0</v>
      </c>
      <c r="S138" s="88">
        <f>(SUBTOTAL(9,S139:S141))</f>
        <v>0</v>
      </c>
      <c r="T138" s="88">
        <f>(SUBTOTAL(9,T139:T141))</f>
        <v>0</v>
      </c>
      <c r="U138" s="87">
        <f t="shared" ref="U138" si="85">SUBTOTAL(9,O139:T141)</f>
        <v>1008</v>
      </c>
    </row>
    <row r="139" spans="1:21" ht="17.25" customHeight="1" x14ac:dyDescent="0.3">
      <c r="A139" s="66" t="s">
        <v>30</v>
      </c>
      <c r="C139" s="67"/>
      <c r="D139" s="77" t="str">
        <f t="shared" ref="D139" si="86">D138</f>
        <v>C100029</v>
      </c>
      <c r="E139" s="77"/>
      <c r="F139" s="76"/>
      <c r="G139" s="76" t="str">
        <f>"""NAV Direct"",""CRONUS JetCorp USA"",""32"",""1"",""167099"""</f>
        <v>"NAV Direct","CRONUS JetCorp USA","32","1","167099"</v>
      </c>
      <c r="H139" s="86">
        <v>43466</v>
      </c>
      <c r="I139" s="85">
        <v>167099</v>
      </c>
      <c r="J139" s="84" t="str">
        <f>"Vendor"</f>
        <v>Vendor</v>
      </c>
      <c r="K139" s="84" t="str">
        <f>"V100040"</f>
        <v>V100040</v>
      </c>
      <c r="L139" s="84" t="str">
        <f>IF($J139="Customer",_xll.NL("first",$J139,"Name","No.","@@"&amp;$K139),"")</f>
        <v/>
      </c>
      <c r="M139" s="84" t="str">
        <f>"Technische Betriebe Rotkreuz"</f>
        <v>Technische Betriebe Rotkreuz</v>
      </c>
      <c r="N139" s="84" t="str">
        <f>IF($J139="Item",_xll.NL("first",$J139,"Description","No.","@@"&amp;$K139),"")</f>
        <v/>
      </c>
      <c r="O139" s="83">
        <v>1200</v>
      </c>
      <c r="P139" s="83">
        <v>0</v>
      </c>
      <c r="Q139" s="83">
        <v>0</v>
      </c>
      <c r="R139" s="83">
        <v>0</v>
      </c>
      <c r="S139" s="83">
        <v>0</v>
      </c>
      <c r="T139" s="83">
        <v>0</v>
      </c>
      <c r="U139" s="82"/>
    </row>
    <row r="140" spans="1:21" ht="17.25" customHeight="1" x14ac:dyDescent="0.3">
      <c r="A140" s="66" t="s">
        <v>30</v>
      </c>
      <c r="C140" s="67"/>
      <c r="D140" s="77" t="str">
        <f t="shared" ref="D140" si="87">D139</f>
        <v>C100029</v>
      </c>
      <c r="E140" s="77"/>
      <c r="F140" s="76"/>
      <c r="G140" s="76" t="str">
        <f>"""NAV Direct"",""CRONUS JetCorp USA"",""32"",""1"",""36481"""</f>
        <v>"NAV Direct","CRONUS JetCorp USA","32","1","36481"</v>
      </c>
      <c r="H140" s="86">
        <v>43475</v>
      </c>
      <c r="I140" s="85">
        <v>36481</v>
      </c>
      <c r="J140" s="84" t="str">
        <f>"Customer"</f>
        <v>Customer</v>
      </c>
      <c r="K140" s="84" t="str">
        <f>"C100063"</f>
        <v>C100063</v>
      </c>
      <c r="L140" s="84" t="str">
        <f>IF($J140="Customer",_xll.NL("first",$J140,"Name","No.","@@"&amp;$K140),"")</f>
        <v>Möbel Scherrer AG</v>
      </c>
      <c r="M140" s="84" t="str">
        <f>""</f>
        <v/>
      </c>
      <c r="N140" s="84" t="str">
        <f>IF($J140="Item",_xll.NL("first",$J140,"Description","No.","@@"&amp;$K140),"")</f>
        <v/>
      </c>
      <c r="O140" s="83">
        <v>0</v>
      </c>
      <c r="P140" s="83">
        <v>-192</v>
      </c>
      <c r="Q140" s="83">
        <v>0</v>
      </c>
      <c r="R140" s="83">
        <v>0</v>
      </c>
      <c r="S140" s="83">
        <v>0</v>
      </c>
      <c r="T140" s="83">
        <v>0</v>
      </c>
      <c r="U140" s="82"/>
    </row>
    <row r="141" spans="1:21" ht="17.25" customHeight="1" x14ac:dyDescent="0.3">
      <c r="A141" s="66" t="s">
        <v>30</v>
      </c>
      <c r="C141" s="67"/>
      <c r="D141" s="77"/>
      <c r="E141" s="77"/>
      <c r="F141" s="76"/>
      <c r="G141" s="76"/>
      <c r="H141" s="76"/>
      <c r="I141" s="76"/>
      <c r="J141" s="76"/>
      <c r="K141" s="76"/>
      <c r="L141" s="76"/>
      <c r="M141" s="76"/>
      <c r="N141" s="76"/>
      <c r="O141" s="75"/>
      <c r="P141" s="75"/>
      <c r="Q141" s="75"/>
      <c r="R141" s="75"/>
      <c r="S141" s="75"/>
      <c r="T141" s="75"/>
      <c r="U141" s="74"/>
    </row>
    <row r="142" spans="1:21" ht="17.25" customHeight="1" x14ac:dyDescent="0.3">
      <c r="A142" s="66" t="s">
        <v>30</v>
      </c>
      <c r="C142" s="67"/>
      <c r="D142" s="77"/>
      <c r="E142" s="77" t="s">
        <v>31</v>
      </c>
      <c r="F142" s="76" t="s">
        <v>31</v>
      </c>
      <c r="G142" s="76" t="s">
        <v>31</v>
      </c>
      <c r="H142" s="76"/>
      <c r="I142" s="76"/>
      <c r="J142" s="76" t="s">
        <v>31</v>
      </c>
      <c r="K142" s="76" t="s">
        <v>31</v>
      </c>
      <c r="L142" s="76" t="s">
        <v>31</v>
      </c>
      <c r="M142" s="76" t="s">
        <v>31</v>
      </c>
      <c r="N142" s="76"/>
      <c r="U142" s="81"/>
    </row>
    <row r="143" spans="1:21" ht="20.25" customHeight="1" x14ac:dyDescent="0.35">
      <c r="A143" s="66" t="s">
        <v>30</v>
      </c>
      <c r="C143" s="67"/>
      <c r="D143" s="92" t="str">
        <f t="shared" ref="D143" si="88">E143</f>
        <v>C100030</v>
      </c>
      <c r="E143" s="91" t="str">
        <f>"C100030"</f>
        <v>C100030</v>
      </c>
      <c r="F143" s="89" t="str">
        <f>"Fashion Visor"</f>
        <v>Fashion Visor</v>
      </c>
      <c r="G143" s="89"/>
      <c r="H143" s="90" t="str">
        <f>"EA"</f>
        <v>EA</v>
      </c>
      <c r="I143" s="89"/>
      <c r="J143" s="89"/>
      <c r="K143" s="89"/>
      <c r="L143" s="89"/>
      <c r="M143" s="89"/>
      <c r="N143" s="89"/>
      <c r="O143" s="88">
        <f>(SUBTOTAL(9,O144:O148))</f>
        <v>400</v>
      </c>
      <c r="P143" s="88">
        <f>(SUBTOTAL(9,P144:P148))</f>
        <v>-336</v>
      </c>
      <c r="Q143" s="88">
        <f>(SUBTOTAL(9,Q144:Q148))</f>
        <v>0</v>
      </c>
      <c r="R143" s="88">
        <f>(SUBTOTAL(9,R144:R148))</f>
        <v>0</v>
      </c>
      <c r="S143" s="88">
        <f>(SUBTOTAL(9,S144:S148))</f>
        <v>0</v>
      </c>
      <c r="T143" s="88">
        <f>(SUBTOTAL(9,T144:T148))</f>
        <v>0</v>
      </c>
      <c r="U143" s="87">
        <f t="shared" ref="U143" si="89">SUBTOTAL(9,O144:T148)</f>
        <v>64</v>
      </c>
    </row>
    <row r="144" spans="1:21" ht="17.25" customHeight="1" x14ac:dyDescent="0.3">
      <c r="A144" s="66" t="s">
        <v>30</v>
      </c>
      <c r="C144" s="67"/>
      <c r="D144" s="77" t="str">
        <f t="shared" ref="D144" si="90">D143</f>
        <v>C100030</v>
      </c>
      <c r="E144" s="77"/>
      <c r="F144" s="76"/>
      <c r="G144" s="76" t="str">
        <f>"""NAV Direct"",""CRONUS JetCorp USA"",""32"",""1"",""167098"""</f>
        <v>"NAV Direct","CRONUS JetCorp USA","32","1","167098"</v>
      </c>
      <c r="H144" s="86">
        <v>43466</v>
      </c>
      <c r="I144" s="85">
        <v>167098</v>
      </c>
      <c r="J144" s="84" t="str">
        <f>"Vendor"</f>
        <v>Vendor</v>
      </c>
      <c r="K144" s="84" t="str">
        <f>"V100040"</f>
        <v>V100040</v>
      </c>
      <c r="L144" s="84" t="str">
        <f>IF($J144="Customer",_xll.NL("first",$J144,"Name","No.","@@"&amp;$K144),"")</f>
        <v/>
      </c>
      <c r="M144" s="84" t="str">
        <f>"Technische Betriebe Rotkreuz"</f>
        <v>Technische Betriebe Rotkreuz</v>
      </c>
      <c r="N144" s="84" t="str">
        <f>IF($J144="Item",_xll.NL("first",$J144,"Description","No.","@@"&amp;$K144),"")</f>
        <v/>
      </c>
      <c r="O144" s="83">
        <v>400</v>
      </c>
      <c r="P144" s="83">
        <v>0</v>
      </c>
      <c r="Q144" s="83">
        <v>0</v>
      </c>
      <c r="R144" s="83">
        <v>0</v>
      </c>
      <c r="S144" s="83">
        <v>0</v>
      </c>
      <c r="T144" s="83">
        <v>0</v>
      </c>
      <c r="U144" s="82"/>
    </row>
    <row r="145" spans="1:21" ht="17.25" customHeight="1" x14ac:dyDescent="0.3">
      <c r="A145" s="66" t="s">
        <v>30</v>
      </c>
      <c r="C145" s="67"/>
      <c r="D145" s="77" t="str">
        <f t="shared" ref="D145:D147" si="91">D144</f>
        <v>C100030</v>
      </c>
      <c r="E145" s="77"/>
      <c r="F145" s="76"/>
      <c r="G145" s="76" t="str">
        <f>"""NAV Direct"",""CRONUS JetCorp USA"",""32"",""1"",""78838"""</f>
        <v>"NAV Direct","CRONUS JetCorp USA","32","1","78838"</v>
      </c>
      <c r="H145" s="86">
        <v>43468</v>
      </c>
      <c r="I145" s="85">
        <v>78838</v>
      </c>
      <c r="J145" s="84" t="str">
        <f>"Customer"</f>
        <v>Customer</v>
      </c>
      <c r="K145" s="84" t="str">
        <f>"C100117"</f>
        <v>C100117</v>
      </c>
      <c r="L145" s="84" t="str">
        <f>IF($J145="Customer",_xll.NL("first",$J145,"Name","No.","@@"&amp;$K145),"")</f>
        <v xml:space="preserve">Tintax </v>
      </c>
      <c r="M145" s="84" t="str">
        <f>""</f>
        <v/>
      </c>
      <c r="N145" s="84" t="str">
        <f>IF($J145="Item",_xll.NL("first",$J145,"Description","No.","@@"&amp;$K145),"")</f>
        <v/>
      </c>
      <c r="O145" s="83">
        <v>0</v>
      </c>
      <c r="P145" s="83">
        <v>-48</v>
      </c>
      <c r="Q145" s="83">
        <v>0</v>
      </c>
      <c r="R145" s="83">
        <v>0</v>
      </c>
      <c r="S145" s="83">
        <v>0</v>
      </c>
      <c r="T145" s="83">
        <v>0</v>
      </c>
      <c r="U145" s="82"/>
    </row>
    <row r="146" spans="1:21" ht="17.25" customHeight="1" x14ac:dyDescent="0.3">
      <c r="A146" s="66" t="s">
        <v>30</v>
      </c>
      <c r="C146" s="67"/>
      <c r="D146" s="77" t="str">
        <f t="shared" si="91"/>
        <v>C100030</v>
      </c>
      <c r="E146" s="77"/>
      <c r="F146" s="76"/>
      <c r="G146" s="76" t="str">
        <f>"""NAV Direct"",""CRONUS JetCorp USA"",""32"",""1"",""38075"""</f>
        <v>"NAV Direct","CRONUS JetCorp USA","32","1","38075"</v>
      </c>
      <c r="H146" s="86">
        <v>43471</v>
      </c>
      <c r="I146" s="85">
        <v>38075</v>
      </c>
      <c r="J146" s="84" t="str">
        <f>"Customer"</f>
        <v>Customer</v>
      </c>
      <c r="K146" s="84" t="str">
        <f>"C100013"</f>
        <v>C100013</v>
      </c>
      <c r="L146" s="84" t="str">
        <f>IF($J146="Customer",_xll.NL("first",$J146,"Name","No.","@@"&amp;$K146),"")</f>
        <v>Candoxy Kontor A/S</v>
      </c>
      <c r="M146" s="84" t="str">
        <f>""</f>
        <v/>
      </c>
      <c r="N146" s="84" t="str">
        <f>IF($J146="Item",_xll.NL("first",$J146,"Description","No.","@@"&amp;$K146),"")</f>
        <v/>
      </c>
      <c r="O146" s="83">
        <v>0</v>
      </c>
      <c r="P146" s="83">
        <v>-144</v>
      </c>
      <c r="Q146" s="83">
        <v>0</v>
      </c>
      <c r="R146" s="83">
        <v>0</v>
      </c>
      <c r="S146" s="83">
        <v>0</v>
      </c>
      <c r="T146" s="83">
        <v>0</v>
      </c>
      <c r="U146" s="82"/>
    </row>
    <row r="147" spans="1:21" ht="17.25" customHeight="1" x14ac:dyDescent="0.3">
      <c r="A147" s="66" t="s">
        <v>30</v>
      </c>
      <c r="C147" s="67"/>
      <c r="D147" s="77" t="str">
        <f t="shared" si="91"/>
        <v>C100030</v>
      </c>
      <c r="E147" s="77"/>
      <c r="F147" s="76"/>
      <c r="G147" s="76" t="str">
        <f>"""NAV Direct"",""CRONUS JetCorp USA"",""32"",""1"",""72510"""</f>
        <v>"NAV Direct","CRONUS JetCorp USA","32","1","72510"</v>
      </c>
      <c r="H147" s="86">
        <v>43471</v>
      </c>
      <c r="I147" s="85">
        <v>72510</v>
      </c>
      <c r="J147" s="84" t="str">
        <f>"Customer"</f>
        <v>Customer</v>
      </c>
      <c r="K147" s="84" t="str">
        <f>"C100107"</f>
        <v>C100107</v>
      </c>
      <c r="L147" s="84" t="str">
        <f>IF($J147="Customer",_xll.NL("first",$J147,"Name","No.","@@"&amp;$K147),"")</f>
        <v>Lexitechnology</v>
      </c>
      <c r="M147" s="84" t="str">
        <f>""</f>
        <v/>
      </c>
      <c r="N147" s="84" t="str">
        <f>IF($J147="Item",_xll.NL("first",$J147,"Description","No.","@@"&amp;$K147),"")</f>
        <v/>
      </c>
      <c r="O147" s="83">
        <v>0</v>
      </c>
      <c r="P147" s="83">
        <v>-144</v>
      </c>
      <c r="Q147" s="83">
        <v>0</v>
      </c>
      <c r="R147" s="83">
        <v>0</v>
      </c>
      <c r="S147" s="83">
        <v>0</v>
      </c>
      <c r="T147" s="83">
        <v>0</v>
      </c>
      <c r="U147" s="82"/>
    </row>
    <row r="148" spans="1:21" ht="17.25" customHeight="1" x14ac:dyDescent="0.3">
      <c r="A148" s="66" t="s">
        <v>30</v>
      </c>
      <c r="C148" s="67"/>
      <c r="D148" s="77"/>
      <c r="E148" s="77"/>
      <c r="F148" s="76"/>
      <c r="G148" s="76"/>
      <c r="H148" s="76"/>
      <c r="I148" s="76"/>
      <c r="J148" s="76"/>
      <c r="K148" s="76"/>
      <c r="L148" s="76"/>
      <c r="M148" s="76"/>
      <c r="N148" s="76"/>
      <c r="O148" s="75"/>
      <c r="P148" s="75"/>
      <c r="Q148" s="75"/>
      <c r="R148" s="75"/>
      <c r="S148" s="75"/>
      <c r="T148" s="75"/>
      <c r="U148" s="74"/>
    </row>
    <row r="149" spans="1:21" ht="17.25" customHeight="1" x14ac:dyDescent="0.3">
      <c r="A149" s="66" t="s">
        <v>30</v>
      </c>
      <c r="C149" s="67"/>
      <c r="D149" s="77"/>
      <c r="E149" s="77" t="s">
        <v>31</v>
      </c>
      <c r="F149" s="76" t="s">
        <v>31</v>
      </c>
      <c r="G149" s="76" t="s">
        <v>31</v>
      </c>
      <c r="H149" s="76"/>
      <c r="I149" s="76"/>
      <c r="J149" s="76" t="s">
        <v>31</v>
      </c>
      <c r="K149" s="76" t="s">
        <v>31</v>
      </c>
      <c r="L149" s="76" t="s">
        <v>31</v>
      </c>
      <c r="M149" s="76" t="s">
        <v>31</v>
      </c>
      <c r="N149" s="76"/>
      <c r="U149" s="81"/>
    </row>
    <row r="150" spans="1:21" ht="20.25" customHeight="1" x14ac:dyDescent="0.35">
      <c r="A150" s="66" t="s">
        <v>30</v>
      </c>
      <c r="C150" s="67"/>
      <c r="D150" s="92" t="str">
        <f t="shared" ref="D150" si="92">E150</f>
        <v>C100031</v>
      </c>
      <c r="E150" s="91" t="str">
        <f>"C100031"</f>
        <v>C100031</v>
      </c>
      <c r="F150" s="89" t="str">
        <f>"Carabiner Watch"</f>
        <v>Carabiner Watch</v>
      </c>
      <c r="G150" s="89"/>
      <c r="H150" s="90" t="str">
        <f>"EA"</f>
        <v>EA</v>
      </c>
      <c r="I150" s="89"/>
      <c r="J150" s="89"/>
      <c r="K150" s="89"/>
      <c r="L150" s="89"/>
      <c r="M150" s="89"/>
      <c r="N150" s="89"/>
      <c r="O150" s="88">
        <f>(SUBTOTAL(9,O151:O155))</f>
        <v>1400</v>
      </c>
      <c r="P150" s="88">
        <f>(SUBTOTAL(9,P151:P155))</f>
        <v>-289</v>
      </c>
      <c r="Q150" s="88">
        <f>(SUBTOTAL(9,Q151:Q155))</f>
        <v>0</v>
      </c>
      <c r="R150" s="88">
        <f>(SUBTOTAL(9,R151:R155))</f>
        <v>0</v>
      </c>
      <c r="S150" s="88">
        <f>(SUBTOTAL(9,S151:S155))</f>
        <v>0</v>
      </c>
      <c r="T150" s="88">
        <f>(SUBTOTAL(9,T151:T155))</f>
        <v>0</v>
      </c>
      <c r="U150" s="87">
        <f t="shared" ref="U150" si="93">SUBTOTAL(9,O151:T155)</f>
        <v>1111</v>
      </c>
    </row>
    <row r="151" spans="1:21" ht="17.25" customHeight="1" x14ac:dyDescent="0.3">
      <c r="A151" s="66" t="s">
        <v>30</v>
      </c>
      <c r="C151" s="67"/>
      <c r="D151" s="77" t="str">
        <f t="shared" ref="D151" si="94">D150</f>
        <v>C100031</v>
      </c>
      <c r="E151" s="77"/>
      <c r="F151" s="76"/>
      <c r="G151" s="76" t="str">
        <f>"""NAV Direct"",""CRONUS JetCorp USA"",""32"",""1"",""167541"""</f>
        <v>"NAV Direct","CRONUS JetCorp USA","32","1","167541"</v>
      </c>
      <c r="H151" s="86">
        <v>43466</v>
      </c>
      <c r="I151" s="85">
        <v>167541</v>
      </c>
      <c r="J151" s="84" t="str">
        <f>"Vendor"</f>
        <v>Vendor</v>
      </c>
      <c r="K151" s="84" t="str">
        <f>"V100040"</f>
        <v>V100040</v>
      </c>
      <c r="L151" s="84" t="str">
        <f>IF($J151="Customer",_xll.NL("first",$J151,"Name","No.","@@"&amp;$K151),"")</f>
        <v/>
      </c>
      <c r="M151" s="84" t="str">
        <f>"Technische Betriebe Rotkreuz"</f>
        <v>Technische Betriebe Rotkreuz</v>
      </c>
      <c r="N151" s="84" t="str">
        <f>IF($J151="Item",_xll.NL("first",$J151,"Description","No.","@@"&amp;$K151),"")</f>
        <v/>
      </c>
      <c r="O151" s="83">
        <v>1400</v>
      </c>
      <c r="P151" s="83">
        <v>0</v>
      </c>
      <c r="Q151" s="83">
        <v>0</v>
      </c>
      <c r="R151" s="83">
        <v>0</v>
      </c>
      <c r="S151" s="83">
        <v>0</v>
      </c>
      <c r="T151" s="83">
        <v>0</v>
      </c>
      <c r="U151" s="82"/>
    </row>
    <row r="152" spans="1:21" ht="17.25" customHeight="1" x14ac:dyDescent="0.3">
      <c r="A152" s="66" t="s">
        <v>30</v>
      </c>
      <c r="C152" s="67"/>
      <c r="D152" s="77" t="str">
        <f t="shared" ref="D152:D154" si="95">D151</f>
        <v>C100031</v>
      </c>
      <c r="E152" s="77"/>
      <c r="F152" s="76"/>
      <c r="G152" s="76" t="str">
        <f>"""NAV Direct"",""CRONUS JetCorp USA"",""32"",""1"",""120180"""</f>
        <v>"NAV Direct","CRONUS JetCorp USA","32","1","120180"</v>
      </c>
      <c r="H152" s="86">
        <v>43469</v>
      </c>
      <c r="I152" s="85">
        <v>120180</v>
      </c>
      <c r="J152" s="84" t="str">
        <f>"Customer"</f>
        <v>Customer</v>
      </c>
      <c r="K152" s="84" t="str">
        <f>"C100134"</f>
        <v>C100134</v>
      </c>
      <c r="L152" s="84" t="str">
        <f>IF($J152="Customer",_xll.NL("first",$J152,"Name","No.","@@"&amp;$K152),"")</f>
        <v>Iber Tech</v>
      </c>
      <c r="M152" s="84" t="str">
        <f>""</f>
        <v/>
      </c>
      <c r="N152" s="84" t="str">
        <f>IF($J152="Item",_xll.NL("first",$J152,"Description","No.","@@"&amp;$K152),"")</f>
        <v/>
      </c>
      <c r="O152" s="83">
        <v>0</v>
      </c>
      <c r="P152" s="83">
        <v>-144</v>
      </c>
      <c r="Q152" s="83">
        <v>0</v>
      </c>
      <c r="R152" s="83">
        <v>0</v>
      </c>
      <c r="S152" s="83">
        <v>0</v>
      </c>
      <c r="T152" s="83">
        <v>0</v>
      </c>
      <c r="U152" s="82"/>
    </row>
    <row r="153" spans="1:21" ht="17.25" customHeight="1" x14ac:dyDescent="0.3">
      <c r="A153" s="66" t="s">
        <v>30</v>
      </c>
      <c r="C153" s="67"/>
      <c r="D153" s="77" t="str">
        <f t="shared" si="95"/>
        <v>C100031</v>
      </c>
      <c r="E153" s="77"/>
      <c r="F153" s="76"/>
      <c r="G153" s="76" t="str">
        <f>"""NAV Direct"",""CRONUS JetCorp USA"",""32"",""1"",""12465"""</f>
        <v>"NAV Direct","CRONUS JetCorp USA","32","1","12465"</v>
      </c>
      <c r="H153" s="86">
        <v>43471</v>
      </c>
      <c r="I153" s="85">
        <v>12465</v>
      </c>
      <c r="J153" s="84" t="str">
        <f>"Customer"</f>
        <v>Customer</v>
      </c>
      <c r="K153" s="84" t="str">
        <f>"C100041"</f>
        <v>C100041</v>
      </c>
      <c r="L153" s="84" t="str">
        <f>IF($J153="Customer",_xll.NL("first",$J153,"Name","No.","@@"&amp;$K153),"")</f>
        <v>Heimilisprydi</v>
      </c>
      <c r="M153" s="84" t="str">
        <f>""</f>
        <v/>
      </c>
      <c r="N153" s="84" t="str">
        <f>IF($J153="Item",_xll.NL("first",$J153,"Description","No.","@@"&amp;$K153),"")</f>
        <v/>
      </c>
      <c r="O153" s="83">
        <v>0</v>
      </c>
      <c r="P153" s="83">
        <v>-1</v>
      </c>
      <c r="Q153" s="83">
        <v>0</v>
      </c>
      <c r="R153" s="83">
        <v>0</v>
      </c>
      <c r="S153" s="83">
        <v>0</v>
      </c>
      <c r="T153" s="83">
        <v>0</v>
      </c>
      <c r="U153" s="82"/>
    </row>
    <row r="154" spans="1:21" ht="17.25" customHeight="1" x14ac:dyDescent="0.3">
      <c r="A154" s="66" t="s">
        <v>30</v>
      </c>
      <c r="C154" s="67"/>
      <c r="D154" s="77" t="str">
        <f t="shared" si="95"/>
        <v>C100031</v>
      </c>
      <c r="E154" s="77"/>
      <c r="F154" s="76"/>
      <c r="G154" s="76" t="str">
        <f>"""NAV Direct"",""CRONUS JetCorp USA"",""32"",""1"",""38073"""</f>
        <v>"NAV Direct","CRONUS JetCorp USA","32","1","38073"</v>
      </c>
      <c r="H154" s="86">
        <v>43471</v>
      </c>
      <c r="I154" s="85">
        <v>38073</v>
      </c>
      <c r="J154" s="84" t="str">
        <f>"Customer"</f>
        <v>Customer</v>
      </c>
      <c r="K154" s="84" t="str">
        <f>"C100013"</f>
        <v>C100013</v>
      </c>
      <c r="L154" s="84" t="str">
        <f>IF($J154="Customer",_xll.NL("first",$J154,"Name","No.","@@"&amp;$K154),"")</f>
        <v>Candoxy Kontor A/S</v>
      </c>
      <c r="M154" s="84" t="str">
        <f>""</f>
        <v/>
      </c>
      <c r="N154" s="84" t="str">
        <f>IF($J154="Item",_xll.NL("first",$J154,"Description","No.","@@"&amp;$K154),"")</f>
        <v/>
      </c>
      <c r="O154" s="83">
        <v>0</v>
      </c>
      <c r="P154" s="83">
        <v>-144</v>
      </c>
      <c r="Q154" s="83">
        <v>0</v>
      </c>
      <c r="R154" s="83">
        <v>0</v>
      </c>
      <c r="S154" s="83">
        <v>0</v>
      </c>
      <c r="T154" s="83">
        <v>0</v>
      </c>
      <c r="U154" s="82"/>
    </row>
    <row r="155" spans="1:21" ht="17.25" customHeight="1" x14ac:dyDescent="0.3">
      <c r="A155" s="66" t="s">
        <v>30</v>
      </c>
      <c r="C155" s="67"/>
      <c r="D155" s="77"/>
      <c r="E155" s="77"/>
      <c r="F155" s="76"/>
      <c r="G155" s="76"/>
      <c r="H155" s="76"/>
      <c r="I155" s="76"/>
      <c r="J155" s="76"/>
      <c r="K155" s="76"/>
      <c r="L155" s="76"/>
      <c r="M155" s="76"/>
      <c r="N155" s="76"/>
      <c r="O155" s="75"/>
      <c r="P155" s="75"/>
      <c r="Q155" s="75"/>
      <c r="R155" s="75"/>
      <c r="S155" s="75"/>
      <c r="T155" s="75"/>
      <c r="U155" s="74"/>
    </row>
    <row r="156" spans="1:21" ht="17.25" customHeight="1" x14ac:dyDescent="0.3">
      <c r="A156" s="66" t="s">
        <v>30</v>
      </c>
      <c r="C156" s="67"/>
      <c r="D156" s="77"/>
      <c r="E156" s="77" t="s">
        <v>31</v>
      </c>
      <c r="F156" s="76" t="s">
        <v>31</v>
      </c>
      <c r="G156" s="76" t="s">
        <v>31</v>
      </c>
      <c r="H156" s="76"/>
      <c r="I156" s="76"/>
      <c r="J156" s="76" t="s">
        <v>31</v>
      </c>
      <c r="K156" s="76" t="s">
        <v>31</v>
      </c>
      <c r="L156" s="76" t="s">
        <v>31</v>
      </c>
      <c r="M156" s="76" t="s">
        <v>31</v>
      </c>
      <c r="N156" s="76"/>
      <c r="U156" s="81"/>
    </row>
    <row r="157" spans="1:21" ht="20.25" customHeight="1" x14ac:dyDescent="0.35">
      <c r="A157" s="66" t="s">
        <v>30</v>
      </c>
      <c r="C157" s="67"/>
      <c r="D157" s="92" t="str">
        <f t="shared" ref="D157" si="96">E157</f>
        <v>C100032</v>
      </c>
      <c r="E157" s="91" t="str">
        <f>"C100032"</f>
        <v>C100032</v>
      </c>
      <c r="F157" s="89" t="str">
        <f>"Clip-on Clock"</f>
        <v>Clip-on Clock</v>
      </c>
      <c r="G157" s="89"/>
      <c r="H157" s="90" t="str">
        <f>"EA"</f>
        <v>EA</v>
      </c>
      <c r="I157" s="89"/>
      <c r="J157" s="89"/>
      <c r="K157" s="89"/>
      <c r="L157" s="89"/>
      <c r="M157" s="89"/>
      <c r="N157" s="89"/>
      <c r="O157" s="88">
        <f>(SUBTOTAL(9,O158:O162))</f>
        <v>600</v>
      </c>
      <c r="P157" s="88">
        <f>(SUBTOTAL(9,P158:P162))</f>
        <v>-216</v>
      </c>
      <c r="Q157" s="88">
        <f>(SUBTOTAL(9,Q158:Q162))</f>
        <v>0</v>
      </c>
      <c r="R157" s="88">
        <f>(SUBTOTAL(9,R158:R162))</f>
        <v>0</v>
      </c>
      <c r="S157" s="88">
        <f>(SUBTOTAL(9,S158:S162))</f>
        <v>0</v>
      </c>
      <c r="T157" s="88">
        <f>(SUBTOTAL(9,T158:T162))</f>
        <v>0</v>
      </c>
      <c r="U157" s="87">
        <f t="shared" ref="U157" si="97">SUBTOTAL(9,O158:T162)</f>
        <v>384</v>
      </c>
    </row>
    <row r="158" spans="1:21" ht="17.25" customHeight="1" x14ac:dyDescent="0.3">
      <c r="A158" s="66" t="s">
        <v>30</v>
      </c>
      <c r="C158" s="67"/>
      <c r="D158" s="77" t="str">
        <f t="shared" ref="D158" si="98">D157</f>
        <v>C100032</v>
      </c>
      <c r="E158" s="77"/>
      <c r="F158" s="76"/>
      <c r="G158" s="76" t="str">
        <f>"""NAV Direct"",""CRONUS JetCorp USA"",""32"",""1"",""167540"""</f>
        <v>"NAV Direct","CRONUS JetCorp USA","32","1","167540"</v>
      </c>
      <c r="H158" s="86">
        <v>43466</v>
      </c>
      <c r="I158" s="85">
        <v>167540</v>
      </c>
      <c r="J158" s="84" t="str">
        <f>"Vendor"</f>
        <v>Vendor</v>
      </c>
      <c r="K158" s="84" t="str">
        <f>"V100040"</f>
        <v>V100040</v>
      </c>
      <c r="L158" s="84" t="str">
        <f>IF($J158="Customer",_xll.NL("first",$J158,"Name","No.","@@"&amp;$K158),"")</f>
        <v/>
      </c>
      <c r="M158" s="84" t="str">
        <f>"Technische Betriebe Rotkreuz"</f>
        <v>Technische Betriebe Rotkreuz</v>
      </c>
      <c r="N158" s="84" t="str">
        <f>IF($J158="Item",_xll.NL("first",$J158,"Description","No.","@@"&amp;$K158),"")</f>
        <v/>
      </c>
      <c r="O158" s="83">
        <v>600</v>
      </c>
      <c r="P158" s="83">
        <v>0</v>
      </c>
      <c r="Q158" s="83">
        <v>0</v>
      </c>
      <c r="R158" s="83">
        <v>0</v>
      </c>
      <c r="S158" s="83">
        <v>0</v>
      </c>
      <c r="T158" s="83">
        <v>0</v>
      </c>
      <c r="U158" s="82"/>
    </row>
    <row r="159" spans="1:21" ht="17.25" customHeight="1" x14ac:dyDescent="0.3">
      <c r="A159" s="66" t="s">
        <v>30</v>
      </c>
      <c r="C159" s="67"/>
      <c r="D159" s="77" t="str">
        <f t="shared" ref="D159:D161" si="99">D158</f>
        <v>C100032</v>
      </c>
      <c r="E159" s="77"/>
      <c r="F159" s="76"/>
      <c r="G159" s="76" t="str">
        <f>"""NAV Direct"",""CRONUS JetCorp USA"",""32"",""1"",""12453"""</f>
        <v>"NAV Direct","CRONUS JetCorp USA","32","1","12453"</v>
      </c>
      <c r="H159" s="86">
        <v>43469</v>
      </c>
      <c r="I159" s="85">
        <v>12453</v>
      </c>
      <c r="J159" s="84" t="str">
        <f>"Customer"</f>
        <v>Customer</v>
      </c>
      <c r="K159" s="84" t="str">
        <f>"C100064"</f>
        <v>C100064</v>
      </c>
      <c r="L159" s="84" t="str">
        <f>IF($J159="Customer",_xll.NL("first",$J159,"Name","No.","@@"&amp;$K159),"")</f>
        <v>Möbel Siegfried</v>
      </c>
      <c r="M159" s="84" t="str">
        <f>""</f>
        <v/>
      </c>
      <c r="N159" s="84" t="str">
        <f>IF($J159="Item",_xll.NL("first",$J159,"Description","No.","@@"&amp;$K159),"")</f>
        <v/>
      </c>
      <c r="O159" s="83">
        <v>0</v>
      </c>
      <c r="P159" s="83">
        <v>-48</v>
      </c>
      <c r="Q159" s="83">
        <v>0</v>
      </c>
      <c r="R159" s="83">
        <v>0</v>
      </c>
      <c r="S159" s="83">
        <v>0</v>
      </c>
      <c r="T159" s="83">
        <v>0</v>
      </c>
      <c r="U159" s="82"/>
    </row>
    <row r="160" spans="1:21" ht="17.25" customHeight="1" x14ac:dyDescent="0.3">
      <c r="A160" s="66" t="s">
        <v>30</v>
      </c>
      <c r="C160" s="67"/>
      <c r="D160" s="77" t="str">
        <f t="shared" si="99"/>
        <v>C100032</v>
      </c>
      <c r="E160" s="77"/>
      <c r="F160" s="76"/>
      <c r="G160" s="76" t="str">
        <f>"""NAV Direct"",""CRONUS JetCorp USA"",""32"",""1"",""118072"""</f>
        <v>"NAV Direct","CRONUS JetCorp USA","32","1","118072"</v>
      </c>
      <c r="H160" s="86">
        <v>43471</v>
      </c>
      <c r="I160" s="85">
        <v>118072</v>
      </c>
      <c r="J160" s="84" t="str">
        <f>"Customer"</f>
        <v>Customer</v>
      </c>
      <c r="K160" s="84" t="str">
        <f>"C100060"</f>
        <v>C100060</v>
      </c>
      <c r="L160" s="84" t="str">
        <f>IF($J160="Customer",_xll.NL("first",$J160,"Name","No.","@@"&amp;$K160),"")</f>
        <v>MEMA Ljubljana d.o.o.</v>
      </c>
      <c r="M160" s="84" t="str">
        <f>""</f>
        <v/>
      </c>
      <c r="N160" s="84" t="str">
        <f>IF($J160="Item",_xll.NL("first",$J160,"Description","No.","@@"&amp;$K160),"")</f>
        <v/>
      </c>
      <c r="O160" s="83">
        <v>0</v>
      </c>
      <c r="P160" s="83">
        <v>-144</v>
      </c>
      <c r="Q160" s="83">
        <v>0</v>
      </c>
      <c r="R160" s="83">
        <v>0</v>
      </c>
      <c r="S160" s="83">
        <v>0</v>
      </c>
      <c r="T160" s="83">
        <v>0</v>
      </c>
      <c r="U160" s="82"/>
    </row>
    <row r="161" spans="1:21" ht="17.25" customHeight="1" x14ac:dyDescent="0.3">
      <c r="A161" s="66" t="s">
        <v>30</v>
      </c>
      <c r="C161" s="67"/>
      <c r="D161" s="77" t="str">
        <f t="shared" si="99"/>
        <v>C100032</v>
      </c>
      <c r="E161" s="77"/>
      <c r="F161" s="76"/>
      <c r="G161" s="76" t="str">
        <f>"""NAV Direct"",""CRONUS JetCorp USA"",""32"",""1"",""36484"""</f>
        <v>"NAV Direct","CRONUS JetCorp USA","32","1","36484"</v>
      </c>
      <c r="H161" s="86">
        <v>43475</v>
      </c>
      <c r="I161" s="85">
        <v>36484</v>
      </c>
      <c r="J161" s="84" t="str">
        <f>"Customer"</f>
        <v>Customer</v>
      </c>
      <c r="K161" s="84" t="str">
        <f>"C100063"</f>
        <v>C100063</v>
      </c>
      <c r="L161" s="84" t="str">
        <f>IF($J161="Customer",_xll.NL("first",$J161,"Name","No.","@@"&amp;$K161),"")</f>
        <v>Möbel Scherrer AG</v>
      </c>
      <c r="M161" s="84" t="str">
        <f>""</f>
        <v/>
      </c>
      <c r="N161" s="84" t="str">
        <f>IF($J161="Item",_xll.NL("first",$J161,"Description","No.","@@"&amp;$K161),"")</f>
        <v/>
      </c>
      <c r="O161" s="83">
        <v>0</v>
      </c>
      <c r="P161" s="83">
        <v>-24</v>
      </c>
      <c r="Q161" s="83">
        <v>0</v>
      </c>
      <c r="R161" s="83">
        <v>0</v>
      </c>
      <c r="S161" s="83">
        <v>0</v>
      </c>
      <c r="T161" s="83">
        <v>0</v>
      </c>
      <c r="U161" s="82"/>
    </row>
    <row r="162" spans="1:21" ht="17.25" customHeight="1" x14ac:dyDescent="0.3">
      <c r="A162" s="66" t="s">
        <v>30</v>
      </c>
      <c r="C162" s="67"/>
      <c r="D162" s="77"/>
      <c r="E162" s="77"/>
      <c r="F162" s="76"/>
      <c r="G162" s="76"/>
      <c r="H162" s="76"/>
      <c r="I162" s="76"/>
      <c r="J162" s="76"/>
      <c r="K162" s="76"/>
      <c r="L162" s="76"/>
      <c r="M162" s="76"/>
      <c r="N162" s="76"/>
      <c r="O162" s="75"/>
      <c r="P162" s="75"/>
      <c r="Q162" s="75"/>
      <c r="R162" s="75"/>
      <c r="S162" s="75"/>
      <c r="T162" s="75"/>
      <c r="U162" s="74"/>
    </row>
    <row r="163" spans="1:21" ht="17.25" customHeight="1" x14ac:dyDescent="0.3">
      <c r="A163" s="66" t="s">
        <v>30</v>
      </c>
      <c r="C163" s="67"/>
      <c r="D163" s="77"/>
      <c r="E163" s="77" t="s">
        <v>31</v>
      </c>
      <c r="F163" s="76" t="s">
        <v>31</v>
      </c>
      <c r="G163" s="76" t="s">
        <v>31</v>
      </c>
      <c r="H163" s="76"/>
      <c r="I163" s="76"/>
      <c r="J163" s="76" t="s">
        <v>31</v>
      </c>
      <c r="K163" s="76" t="s">
        <v>31</v>
      </c>
      <c r="L163" s="76" t="s">
        <v>31</v>
      </c>
      <c r="M163" s="76" t="s">
        <v>31</v>
      </c>
      <c r="N163" s="76"/>
      <c r="U163" s="81"/>
    </row>
    <row r="164" spans="1:21" ht="20.25" customHeight="1" x14ac:dyDescent="0.35">
      <c r="A164" s="66" t="s">
        <v>30</v>
      </c>
      <c r="C164" s="67"/>
      <c r="D164" s="92" t="str">
        <f t="shared" ref="D164" si="100">E164</f>
        <v>C100033</v>
      </c>
      <c r="E164" s="91" t="str">
        <f>"C100033"</f>
        <v>C100033</v>
      </c>
      <c r="F164" s="89" t="str">
        <f>"Frames &amp; Clock"</f>
        <v>Frames &amp; Clock</v>
      </c>
      <c r="G164" s="89"/>
      <c r="H164" s="90" t="str">
        <f>"EA"</f>
        <v>EA</v>
      </c>
      <c r="I164" s="89"/>
      <c r="J164" s="89"/>
      <c r="K164" s="89"/>
      <c r="L164" s="89"/>
      <c r="M164" s="89"/>
      <c r="N164" s="89"/>
      <c r="O164" s="88">
        <f>(SUBTOTAL(9,O165:O170))</f>
        <v>200</v>
      </c>
      <c r="P164" s="88">
        <f>(SUBTOTAL(9,P165:P170))</f>
        <v>-170</v>
      </c>
      <c r="Q164" s="88">
        <f>(SUBTOTAL(9,Q165:Q170))</f>
        <v>0</v>
      </c>
      <c r="R164" s="88">
        <f>(SUBTOTAL(9,R165:R170))</f>
        <v>0</v>
      </c>
      <c r="S164" s="88">
        <f>(SUBTOTAL(9,S165:S170))</f>
        <v>0</v>
      </c>
      <c r="T164" s="88">
        <f>(SUBTOTAL(9,T165:T170))</f>
        <v>0</v>
      </c>
      <c r="U164" s="87">
        <f t="shared" ref="U164" si="101">SUBTOTAL(9,O165:T170)</f>
        <v>30</v>
      </c>
    </row>
    <row r="165" spans="1:21" ht="17.25" customHeight="1" x14ac:dyDescent="0.3">
      <c r="A165" s="66" t="s">
        <v>30</v>
      </c>
      <c r="C165" s="67"/>
      <c r="D165" s="77" t="str">
        <f t="shared" ref="D165" si="102">D164</f>
        <v>C100033</v>
      </c>
      <c r="E165" s="77"/>
      <c r="F165" s="76"/>
      <c r="G165" s="76" t="str">
        <f>"""NAV Direct"",""CRONUS JetCorp USA"",""32"",""1"",""167539"""</f>
        <v>"NAV Direct","CRONUS JetCorp USA","32","1","167539"</v>
      </c>
      <c r="H165" s="86">
        <v>43466</v>
      </c>
      <c r="I165" s="85">
        <v>167539</v>
      </c>
      <c r="J165" s="84" t="str">
        <f>"Vendor"</f>
        <v>Vendor</v>
      </c>
      <c r="K165" s="84" t="str">
        <f>"V100040"</f>
        <v>V100040</v>
      </c>
      <c r="L165" s="84" t="str">
        <f>IF($J165="Customer",_xll.NL("first",$J165,"Name","No.","@@"&amp;$K165),"")</f>
        <v/>
      </c>
      <c r="M165" s="84" t="str">
        <f>"Technische Betriebe Rotkreuz"</f>
        <v>Technische Betriebe Rotkreuz</v>
      </c>
      <c r="N165" s="84" t="str">
        <f>IF($J165="Item",_xll.NL("first",$J165,"Description","No.","@@"&amp;$K165),"")</f>
        <v/>
      </c>
      <c r="O165" s="83">
        <v>200</v>
      </c>
      <c r="P165" s="83">
        <v>0</v>
      </c>
      <c r="Q165" s="83">
        <v>0</v>
      </c>
      <c r="R165" s="83">
        <v>0</v>
      </c>
      <c r="S165" s="83">
        <v>0</v>
      </c>
      <c r="T165" s="83">
        <v>0</v>
      </c>
      <c r="U165" s="82"/>
    </row>
    <row r="166" spans="1:21" ht="17.25" customHeight="1" x14ac:dyDescent="0.3">
      <c r="A166" s="66" t="s">
        <v>30</v>
      </c>
      <c r="C166" s="67"/>
      <c r="D166" s="77" t="str">
        <f t="shared" ref="D166:D169" si="103">D165</f>
        <v>C100033</v>
      </c>
      <c r="E166" s="77"/>
      <c r="F166" s="76"/>
      <c r="G166" s="76" t="str">
        <f>"""NAV Direct"",""CRONUS JetCorp USA"",""32"",""1"",""12466"""</f>
        <v>"NAV Direct","CRONUS JetCorp USA","32","1","12466"</v>
      </c>
      <c r="H166" s="86">
        <v>43471</v>
      </c>
      <c r="I166" s="85">
        <v>12466</v>
      </c>
      <c r="J166" s="84" t="str">
        <f>"Customer"</f>
        <v>Customer</v>
      </c>
      <c r="K166" s="84" t="str">
        <f>"C100041"</f>
        <v>C100041</v>
      </c>
      <c r="L166" s="84" t="str">
        <f>IF($J166="Customer",_xll.NL("first",$J166,"Name","No.","@@"&amp;$K166),"")</f>
        <v>Heimilisprydi</v>
      </c>
      <c r="M166" s="84" t="str">
        <f>""</f>
        <v/>
      </c>
      <c r="N166" s="84" t="str">
        <f>IF($J166="Item",_xll.NL("first",$J166,"Description","No.","@@"&amp;$K166),"")</f>
        <v/>
      </c>
      <c r="O166" s="83">
        <v>0</v>
      </c>
      <c r="P166" s="83">
        <v>-1</v>
      </c>
      <c r="Q166" s="83">
        <v>0</v>
      </c>
      <c r="R166" s="83">
        <v>0</v>
      </c>
      <c r="S166" s="83">
        <v>0</v>
      </c>
      <c r="T166" s="83">
        <v>0</v>
      </c>
      <c r="U166" s="82"/>
    </row>
    <row r="167" spans="1:21" ht="17.25" customHeight="1" x14ac:dyDescent="0.3">
      <c r="A167" s="66" t="s">
        <v>30</v>
      </c>
      <c r="C167" s="67"/>
      <c r="D167" s="77" t="str">
        <f t="shared" si="103"/>
        <v>C100033</v>
      </c>
      <c r="E167" s="77"/>
      <c r="F167" s="76"/>
      <c r="G167" s="76" t="str">
        <f>"""NAV Direct"",""CRONUS JetCorp USA"",""32"",""1"",""72509"""</f>
        <v>"NAV Direct","CRONUS JetCorp USA","32","1","72509"</v>
      </c>
      <c r="H167" s="86">
        <v>43471</v>
      </c>
      <c r="I167" s="85">
        <v>72509</v>
      </c>
      <c r="J167" s="84" t="str">
        <f>"Customer"</f>
        <v>Customer</v>
      </c>
      <c r="K167" s="84" t="str">
        <f>"C100107"</f>
        <v>C100107</v>
      </c>
      <c r="L167" s="84" t="str">
        <f>IF($J167="Customer",_xll.NL("first",$J167,"Name","No.","@@"&amp;$K167),"")</f>
        <v>Lexitechnology</v>
      </c>
      <c r="M167" s="84" t="str">
        <f>""</f>
        <v/>
      </c>
      <c r="N167" s="84" t="str">
        <f>IF($J167="Item",_xll.NL("first",$J167,"Description","No.","@@"&amp;$K167),"")</f>
        <v/>
      </c>
      <c r="O167" s="83">
        <v>0</v>
      </c>
      <c r="P167" s="83">
        <v>-144</v>
      </c>
      <c r="Q167" s="83">
        <v>0</v>
      </c>
      <c r="R167" s="83">
        <v>0</v>
      </c>
      <c r="S167" s="83">
        <v>0</v>
      </c>
      <c r="T167" s="83">
        <v>0</v>
      </c>
      <c r="U167" s="82"/>
    </row>
    <row r="168" spans="1:21" ht="17.25" customHeight="1" x14ac:dyDescent="0.3">
      <c r="A168" s="66" t="s">
        <v>30</v>
      </c>
      <c r="C168" s="67"/>
      <c r="D168" s="77" t="str">
        <f t="shared" si="103"/>
        <v>C100033</v>
      </c>
      <c r="E168" s="77"/>
      <c r="F168" s="76"/>
      <c r="G168" s="76" t="str">
        <f>"""NAV Direct"",""CRONUS JetCorp USA"",""32"",""1"",""118085"""</f>
        <v>"NAV Direct","CRONUS JetCorp USA","32","1","118085"</v>
      </c>
      <c r="H168" s="86">
        <v>43471</v>
      </c>
      <c r="I168" s="85">
        <v>118085</v>
      </c>
      <c r="J168" s="84" t="str">
        <f>"Customer"</f>
        <v>Customer</v>
      </c>
      <c r="K168" s="84" t="str">
        <f>"C100060"</f>
        <v>C100060</v>
      </c>
      <c r="L168" s="84" t="str">
        <f>IF($J168="Customer",_xll.NL("first",$J168,"Name","No.","@@"&amp;$K168),"")</f>
        <v>MEMA Ljubljana d.o.o.</v>
      </c>
      <c r="M168" s="84" t="str">
        <f>""</f>
        <v/>
      </c>
      <c r="N168" s="84" t="str">
        <f>IF($J168="Item",_xll.NL("first",$J168,"Description","No.","@@"&amp;$K168),"")</f>
        <v/>
      </c>
      <c r="O168" s="83">
        <v>0</v>
      </c>
      <c r="P168" s="83">
        <v>-1</v>
      </c>
      <c r="Q168" s="83">
        <v>0</v>
      </c>
      <c r="R168" s="83">
        <v>0</v>
      </c>
      <c r="S168" s="83">
        <v>0</v>
      </c>
      <c r="T168" s="83">
        <v>0</v>
      </c>
      <c r="U168" s="82"/>
    </row>
    <row r="169" spans="1:21" ht="17.25" customHeight="1" x14ac:dyDescent="0.3">
      <c r="A169" s="66" t="s">
        <v>30</v>
      </c>
      <c r="C169" s="67"/>
      <c r="D169" s="77" t="str">
        <f t="shared" si="103"/>
        <v>C100033</v>
      </c>
      <c r="E169" s="77"/>
      <c r="F169" s="76"/>
      <c r="G169" s="76" t="str">
        <f>"""NAV Direct"",""CRONUS JetCorp USA"",""32"",""1"",""78904"""</f>
        <v>"NAV Direct","CRONUS JetCorp USA","32","1","78904"</v>
      </c>
      <c r="H169" s="86">
        <v>43475</v>
      </c>
      <c r="I169" s="85">
        <v>78904</v>
      </c>
      <c r="J169" s="84" t="str">
        <f>"Customer"</f>
        <v>Customer</v>
      </c>
      <c r="K169" s="84" t="str">
        <f>"C100128"</f>
        <v>C100128</v>
      </c>
      <c r="L169" s="84" t="str">
        <f>IF($J169="Customer",_xll.NL("first",$J169,"Name","No.","@@"&amp;$K169),"")</f>
        <v>Solar Tech</v>
      </c>
      <c r="M169" s="84" t="str">
        <f>""</f>
        <v/>
      </c>
      <c r="N169" s="84" t="str">
        <f>IF($J169="Item",_xll.NL("first",$J169,"Description","No.","@@"&amp;$K169),"")</f>
        <v/>
      </c>
      <c r="O169" s="83">
        <v>0</v>
      </c>
      <c r="P169" s="83">
        <v>-24</v>
      </c>
      <c r="Q169" s="83">
        <v>0</v>
      </c>
      <c r="R169" s="83">
        <v>0</v>
      </c>
      <c r="S169" s="83">
        <v>0</v>
      </c>
      <c r="T169" s="83">
        <v>0</v>
      </c>
      <c r="U169" s="82"/>
    </row>
    <row r="170" spans="1:21" ht="17.25" customHeight="1" x14ac:dyDescent="0.3">
      <c r="A170" s="66" t="s">
        <v>30</v>
      </c>
      <c r="C170" s="67"/>
      <c r="D170" s="77"/>
      <c r="E170" s="77"/>
      <c r="F170" s="76"/>
      <c r="G170" s="76"/>
      <c r="H170" s="76"/>
      <c r="I170" s="76"/>
      <c r="J170" s="76"/>
      <c r="K170" s="76"/>
      <c r="L170" s="76"/>
      <c r="M170" s="76"/>
      <c r="N170" s="76"/>
      <c r="O170" s="75"/>
      <c r="P170" s="75"/>
      <c r="Q170" s="75"/>
      <c r="R170" s="75"/>
      <c r="S170" s="75"/>
      <c r="T170" s="75"/>
      <c r="U170" s="74"/>
    </row>
    <row r="171" spans="1:21" ht="17.25" customHeight="1" x14ac:dyDescent="0.3">
      <c r="A171" s="66" t="s">
        <v>30</v>
      </c>
      <c r="C171" s="67"/>
      <c r="D171" s="77"/>
      <c r="E171" s="77" t="s">
        <v>31</v>
      </c>
      <c r="F171" s="76" t="s">
        <v>31</v>
      </c>
      <c r="G171" s="76" t="s">
        <v>31</v>
      </c>
      <c r="H171" s="76"/>
      <c r="I171" s="76"/>
      <c r="J171" s="76" t="s">
        <v>31</v>
      </c>
      <c r="K171" s="76" t="s">
        <v>31</v>
      </c>
      <c r="L171" s="76" t="s">
        <v>31</v>
      </c>
      <c r="M171" s="76" t="s">
        <v>31</v>
      </c>
      <c r="N171" s="76"/>
      <c r="U171" s="81"/>
    </row>
    <row r="172" spans="1:21" ht="20.25" customHeight="1" x14ac:dyDescent="0.35">
      <c r="A172" s="66" t="s">
        <v>30</v>
      </c>
      <c r="C172" s="67"/>
      <c r="D172" s="92" t="str">
        <f t="shared" ref="D172" si="104">E172</f>
        <v>C100034</v>
      </c>
      <c r="E172" s="91" t="str">
        <f>"C100034"</f>
        <v>C100034</v>
      </c>
      <c r="F172" s="89" t="str">
        <f>"Clock &amp; Pen Holder"</f>
        <v>Clock &amp; Pen Holder</v>
      </c>
      <c r="G172" s="89"/>
      <c r="H172" s="90" t="str">
        <f>"EA"</f>
        <v>EA</v>
      </c>
      <c r="I172" s="89"/>
      <c r="J172" s="89"/>
      <c r="K172" s="89"/>
      <c r="L172" s="89"/>
      <c r="M172" s="89"/>
      <c r="N172" s="89"/>
      <c r="O172" s="88">
        <f>(SUBTOTAL(9,O173:O175))</f>
        <v>200</v>
      </c>
      <c r="P172" s="88">
        <f>(SUBTOTAL(9,P173:P175))</f>
        <v>-13</v>
      </c>
      <c r="Q172" s="88">
        <f>(SUBTOTAL(9,Q173:Q175))</f>
        <v>0</v>
      </c>
      <c r="R172" s="88">
        <f>(SUBTOTAL(9,R173:R175))</f>
        <v>0</v>
      </c>
      <c r="S172" s="88">
        <f>(SUBTOTAL(9,S173:S175))</f>
        <v>0</v>
      </c>
      <c r="T172" s="88">
        <f>(SUBTOTAL(9,T173:T175))</f>
        <v>0</v>
      </c>
      <c r="U172" s="87">
        <f t="shared" ref="U172" si="105">SUBTOTAL(9,O173:T175)</f>
        <v>187</v>
      </c>
    </row>
    <row r="173" spans="1:21" ht="17.25" customHeight="1" x14ac:dyDescent="0.3">
      <c r="A173" s="66" t="s">
        <v>30</v>
      </c>
      <c r="C173" s="67"/>
      <c r="D173" s="77" t="str">
        <f t="shared" ref="D173" si="106">D172</f>
        <v>C100034</v>
      </c>
      <c r="E173" s="77"/>
      <c r="F173" s="76"/>
      <c r="G173" s="76" t="str">
        <f>"""NAV Direct"",""CRONUS JetCorp USA"",""32"",""1"",""167538"""</f>
        <v>"NAV Direct","CRONUS JetCorp USA","32","1","167538"</v>
      </c>
      <c r="H173" s="86">
        <v>43466</v>
      </c>
      <c r="I173" s="85">
        <v>167538</v>
      </c>
      <c r="J173" s="84" t="str">
        <f>"Vendor"</f>
        <v>Vendor</v>
      </c>
      <c r="K173" s="84" t="str">
        <f>"V100040"</f>
        <v>V100040</v>
      </c>
      <c r="L173" s="84" t="str">
        <f>IF($J173="Customer",_xll.NL("first",$J173,"Name","No.","@@"&amp;$K173),"")</f>
        <v/>
      </c>
      <c r="M173" s="84" t="str">
        <f>"Technische Betriebe Rotkreuz"</f>
        <v>Technische Betriebe Rotkreuz</v>
      </c>
      <c r="N173" s="84" t="str">
        <f>IF($J173="Item",_xll.NL("first",$J173,"Description","No.","@@"&amp;$K173),"")</f>
        <v/>
      </c>
      <c r="O173" s="83">
        <v>200</v>
      </c>
      <c r="P173" s="83">
        <v>0</v>
      </c>
      <c r="Q173" s="83">
        <v>0</v>
      </c>
      <c r="R173" s="83">
        <v>0</v>
      </c>
      <c r="S173" s="83">
        <v>0</v>
      </c>
      <c r="T173" s="83">
        <v>0</v>
      </c>
      <c r="U173" s="82"/>
    </row>
    <row r="174" spans="1:21" ht="17.25" customHeight="1" x14ac:dyDescent="0.3">
      <c r="A174" s="66" t="s">
        <v>30</v>
      </c>
      <c r="C174" s="67"/>
      <c r="D174" s="77" t="str">
        <f t="shared" ref="D174" si="107">D173</f>
        <v>C100034</v>
      </c>
      <c r="E174" s="77"/>
      <c r="F174" s="76"/>
      <c r="G174" s="76" t="str">
        <f>"""NAV Direct"",""CRONUS JetCorp USA"",""32"",""1"",""118075"""</f>
        <v>"NAV Direct","CRONUS JetCorp USA","32","1","118075"</v>
      </c>
      <c r="H174" s="86">
        <v>43471</v>
      </c>
      <c r="I174" s="85">
        <v>118075</v>
      </c>
      <c r="J174" s="84" t="str">
        <f>"Customer"</f>
        <v>Customer</v>
      </c>
      <c r="K174" s="84" t="str">
        <f>"C100060"</f>
        <v>C100060</v>
      </c>
      <c r="L174" s="84" t="str">
        <f>IF($J174="Customer",_xll.NL("first",$J174,"Name","No.","@@"&amp;$K174),"")</f>
        <v>MEMA Ljubljana d.o.o.</v>
      </c>
      <c r="M174" s="84" t="str">
        <f>""</f>
        <v/>
      </c>
      <c r="N174" s="84" t="str">
        <f>IF($J174="Item",_xll.NL("first",$J174,"Description","No.","@@"&amp;$K174),"")</f>
        <v/>
      </c>
      <c r="O174" s="83">
        <v>0</v>
      </c>
      <c r="P174" s="83">
        <v>-13</v>
      </c>
      <c r="Q174" s="83">
        <v>0</v>
      </c>
      <c r="R174" s="83">
        <v>0</v>
      </c>
      <c r="S174" s="83">
        <v>0</v>
      </c>
      <c r="T174" s="83">
        <v>0</v>
      </c>
      <c r="U174" s="82"/>
    </row>
    <row r="175" spans="1:21" ht="17.25" customHeight="1" x14ac:dyDescent="0.3">
      <c r="A175" s="66" t="s">
        <v>30</v>
      </c>
      <c r="C175" s="67"/>
      <c r="D175" s="77"/>
      <c r="E175" s="77"/>
      <c r="F175" s="76"/>
      <c r="G175" s="76"/>
      <c r="H175" s="76"/>
      <c r="I175" s="76"/>
      <c r="J175" s="76"/>
      <c r="K175" s="76"/>
      <c r="L175" s="76"/>
      <c r="M175" s="76"/>
      <c r="N175" s="76"/>
      <c r="O175" s="75"/>
      <c r="P175" s="75"/>
      <c r="Q175" s="75"/>
      <c r="R175" s="75"/>
      <c r="S175" s="75"/>
      <c r="T175" s="75"/>
      <c r="U175" s="74"/>
    </row>
    <row r="176" spans="1:21" ht="17.25" customHeight="1" x14ac:dyDescent="0.3">
      <c r="A176" s="66" t="s">
        <v>30</v>
      </c>
      <c r="C176" s="67"/>
      <c r="D176" s="77"/>
      <c r="E176" s="77" t="s">
        <v>31</v>
      </c>
      <c r="F176" s="76" t="s">
        <v>31</v>
      </c>
      <c r="G176" s="76" t="s">
        <v>31</v>
      </c>
      <c r="H176" s="76"/>
      <c r="I176" s="76"/>
      <c r="J176" s="76" t="s">
        <v>31</v>
      </c>
      <c r="K176" s="76" t="s">
        <v>31</v>
      </c>
      <c r="L176" s="76" t="s">
        <v>31</v>
      </c>
      <c r="M176" s="76" t="s">
        <v>31</v>
      </c>
      <c r="N176" s="76"/>
      <c r="U176" s="81"/>
    </row>
    <row r="177" spans="1:21" ht="20.25" customHeight="1" x14ac:dyDescent="0.35">
      <c r="A177" s="66" t="s">
        <v>30</v>
      </c>
      <c r="C177" s="67"/>
      <c r="D177" s="92" t="str">
        <f t="shared" ref="D177" si="108">E177</f>
        <v>C100035</v>
      </c>
      <c r="E177" s="91" t="str">
        <f>"C100035"</f>
        <v>C100035</v>
      </c>
      <c r="F177" s="89" t="str">
        <f>"Calculator &amp; World Time Clock"</f>
        <v>Calculator &amp; World Time Clock</v>
      </c>
      <c r="G177" s="89"/>
      <c r="H177" s="90" t="str">
        <f>"EA"</f>
        <v>EA</v>
      </c>
      <c r="I177" s="89"/>
      <c r="J177" s="89"/>
      <c r="K177" s="89"/>
      <c r="L177" s="89"/>
      <c r="M177" s="89"/>
      <c r="N177" s="89"/>
      <c r="O177" s="88">
        <f>(SUBTOTAL(9,O178:O180))</f>
        <v>1200</v>
      </c>
      <c r="P177" s="88">
        <f>(SUBTOTAL(9,P178:P180))</f>
        <v>-1</v>
      </c>
      <c r="Q177" s="88">
        <f>(SUBTOTAL(9,Q178:Q180))</f>
        <v>0</v>
      </c>
      <c r="R177" s="88">
        <f>(SUBTOTAL(9,R178:R180))</f>
        <v>0</v>
      </c>
      <c r="S177" s="88">
        <f>(SUBTOTAL(9,S178:S180))</f>
        <v>0</v>
      </c>
      <c r="T177" s="88">
        <f>(SUBTOTAL(9,T178:T180))</f>
        <v>0</v>
      </c>
      <c r="U177" s="87">
        <f t="shared" ref="U177" si="109">SUBTOTAL(9,O178:T180)</f>
        <v>1199</v>
      </c>
    </row>
    <row r="178" spans="1:21" ht="17.25" customHeight="1" x14ac:dyDescent="0.3">
      <c r="A178" s="66" t="s">
        <v>30</v>
      </c>
      <c r="C178" s="67"/>
      <c r="D178" s="77" t="str">
        <f t="shared" ref="D178" si="110">D177</f>
        <v>C100035</v>
      </c>
      <c r="E178" s="77"/>
      <c r="F178" s="76"/>
      <c r="G178" s="76" t="str">
        <f>"""NAV Direct"",""CRONUS JetCorp USA"",""32"",""1"",""167537"""</f>
        <v>"NAV Direct","CRONUS JetCorp USA","32","1","167537"</v>
      </c>
      <c r="H178" s="86">
        <v>43466</v>
      </c>
      <c r="I178" s="85">
        <v>167537</v>
      </c>
      <c r="J178" s="84" t="str">
        <f>"Vendor"</f>
        <v>Vendor</v>
      </c>
      <c r="K178" s="84" t="str">
        <f>"V100040"</f>
        <v>V100040</v>
      </c>
      <c r="L178" s="84" t="str">
        <f>IF($J178="Customer",_xll.NL("first",$J178,"Name","No.","@@"&amp;$K178),"")</f>
        <v/>
      </c>
      <c r="M178" s="84" t="str">
        <f>"Technische Betriebe Rotkreuz"</f>
        <v>Technische Betriebe Rotkreuz</v>
      </c>
      <c r="N178" s="84" t="str">
        <f>IF($J178="Item",_xll.NL("first",$J178,"Description","No.","@@"&amp;$K178),"")</f>
        <v/>
      </c>
      <c r="O178" s="83">
        <v>1200</v>
      </c>
      <c r="P178" s="83">
        <v>0</v>
      </c>
      <c r="Q178" s="83">
        <v>0</v>
      </c>
      <c r="R178" s="83">
        <v>0</v>
      </c>
      <c r="S178" s="83">
        <v>0</v>
      </c>
      <c r="T178" s="83">
        <v>0</v>
      </c>
      <c r="U178" s="82"/>
    </row>
    <row r="179" spans="1:21" ht="17.25" customHeight="1" x14ac:dyDescent="0.3">
      <c r="A179" s="66" t="s">
        <v>30</v>
      </c>
      <c r="C179" s="67"/>
      <c r="D179" s="77" t="str">
        <f t="shared" ref="D179" si="111">D178</f>
        <v>C100035</v>
      </c>
      <c r="E179" s="77"/>
      <c r="F179" s="76"/>
      <c r="G179" s="76" t="str">
        <f>"""NAV Direct"",""CRONUS JetCorp USA"",""32"",""1"",""118086"""</f>
        <v>"NAV Direct","CRONUS JetCorp USA","32","1","118086"</v>
      </c>
      <c r="H179" s="86">
        <v>43471</v>
      </c>
      <c r="I179" s="85">
        <v>118086</v>
      </c>
      <c r="J179" s="84" t="str">
        <f>"Customer"</f>
        <v>Customer</v>
      </c>
      <c r="K179" s="84" t="str">
        <f>"C100060"</f>
        <v>C100060</v>
      </c>
      <c r="L179" s="84" t="str">
        <f>IF($J179="Customer",_xll.NL("first",$J179,"Name","No.","@@"&amp;$K179),"")</f>
        <v>MEMA Ljubljana d.o.o.</v>
      </c>
      <c r="M179" s="84" t="str">
        <f>""</f>
        <v/>
      </c>
      <c r="N179" s="84" t="str">
        <f>IF($J179="Item",_xll.NL("first",$J179,"Description","No.","@@"&amp;$K179),"")</f>
        <v/>
      </c>
      <c r="O179" s="83">
        <v>0</v>
      </c>
      <c r="P179" s="83">
        <v>-1</v>
      </c>
      <c r="Q179" s="83">
        <v>0</v>
      </c>
      <c r="R179" s="83">
        <v>0</v>
      </c>
      <c r="S179" s="83">
        <v>0</v>
      </c>
      <c r="T179" s="83">
        <v>0</v>
      </c>
      <c r="U179" s="82"/>
    </row>
    <row r="180" spans="1:21" ht="17.25" customHeight="1" x14ac:dyDescent="0.3">
      <c r="A180" s="66" t="s">
        <v>30</v>
      </c>
      <c r="C180" s="67"/>
      <c r="D180" s="77"/>
      <c r="E180" s="77"/>
      <c r="F180" s="76"/>
      <c r="G180" s="76"/>
      <c r="H180" s="76"/>
      <c r="I180" s="76"/>
      <c r="J180" s="76"/>
      <c r="K180" s="76"/>
      <c r="L180" s="76"/>
      <c r="M180" s="76"/>
      <c r="N180" s="76"/>
      <c r="O180" s="75"/>
      <c r="P180" s="75"/>
      <c r="Q180" s="75"/>
      <c r="R180" s="75"/>
      <c r="S180" s="75"/>
      <c r="T180" s="75"/>
      <c r="U180" s="74"/>
    </row>
    <row r="181" spans="1:21" ht="17.25" customHeight="1" x14ac:dyDescent="0.3">
      <c r="A181" s="66" t="s">
        <v>30</v>
      </c>
      <c r="C181" s="67"/>
      <c r="D181" s="77"/>
      <c r="E181" s="77" t="s">
        <v>31</v>
      </c>
      <c r="F181" s="76" t="s">
        <v>31</v>
      </c>
      <c r="G181" s="76" t="s">
        <v>31</v>
      </c>
      <c r="H181" s="76"/>
      <c r="I181" s="76"/>
      <c r="J181" s="76" t="s">
        <v>31</v>
      </c>
      <c r="K181" s="76" t="s">
        <v>31</v>
      </c>
      <c r="L181" s="76" t="s">
        <v>31</v>
      </c>
      <c r="M181" s="76" t="s">
        <v>31</v>
      </c>
      <c r="N181" s="76"/>
      <c r="U181" s="81"/>
    </row>
    <row r="182" spans="1:21" ht="20.25" customHeight="1" x14ac:dyDescent="0.35">
      <c r="A182" s="66" t="s">
        <v>30</v>
      </c>
      <c r="C182" s="67"/>
      <c r="D182" s="92" t="str">
        <f t="shared" ref="D182" si="112">E182</f>
        <v>C100036</v>
      </c>
      <c r="E182" s="91" t="str">
        <f>"C100036"</f>
        <v>C100036</v>
      </c>
      <c r="F182" s="89" t="str">
        <f>"Clock &amp; Business Card Holder"</f>
        <v>Clock &amp; Business Card Holder</v>
      </c>
      <c r="G182" s="89"/>
      <c r="H182" s="90" t="str">
        <f>"EA"</f>
        <v>EA</v>
      </c>
      <c r="I182" s="89"/>
      <c r="J182" s="89"/>
      <c r="K182" s="89"/>
      <c r="L182" s="89"/>
      <c r="M182" s="89"/>
      <c r="N182" s="89"/>
      <c r="O182" s="88">
        <f>(SUBTOTAL(9,O183:O184))</f>
        <v>0</v>
      </c>
      <c r="P182" s="88">
        <f>(SUBTOTAL(9,P183:P184))</f>
        <v>-1</v>
      </c>
      <c r="Q182" s="88">
        <f>(SUBTOTAL(9,Q183:Q184))</f>
        <v>0</v>
      </c>
      <c r="R182" s="88">
        <f>(SUBTOTAL(9,R183:R184))</f>
        <v>0</v>
      </c>
      <c r="S182" s="88">
        <f>(SUBTOTAL(9,S183:S184))</f>
        <v>0</v>
      </c>
      <c r="T182" s="88">
        <f>(SUBTOTAL(9,T183:T184))</f>
        <v>0</v>
      </c>
      <c r="U182" s="87">
        <f t="shared" ref="U182" si="113">SUBTOTAL(9,O183:T184)</f>
        <v>-1</v>
      </c>
    </row>
    <row r="183" spans="1:21" ht="17.25" customHeight="1" x14ac:dyDescent="0.3">
      <c r="A183" s="66" t="s">
        <v>30</v>
      </c>
      <c r="C183" s="67"/>
      <c r="D183" s="77" t="str">
        <f t="shared" ref="D183" si="114">D182</f>
        <v>C100036</v>
      </c>
      <c r="E183" s="77"/>
      <c r="F183" s="76"/>
      <c r="G183" s="76" t="str">
        <f>"""NAV Direct"",""CRONUS JetCorp USA"",""32"",""1"",""118078"""</f>
        <v>"NAV Direct","CRONUS JetCorp USA","32","1","118078"</v>
      </c>
      <c r="H183" s="86">
        <v>43471</v>
      </c>
      <c r="I183" s="85">
        <v>118078</v>
      </c>
      <c r="J183" s="84" t="str">
        <f>"Customer"</f>
        <v>Customer</v>
      </c>
      <c r="K183" s="84" t="str">
        <f>"C100060"</f>
        <v>C100060</v>
      </c>
      <c r="L183" s="84" t="str">
        <f>IF($J183="Customer",_xll.NL("first",$J183,"Name","No.","@@"&amp;$K183),"")</f>
        <v>MEMA Ljubljana d.o.o.</v>
      </c>
      <c r="M183" s="84" t="str">
        <f>""</f>
        <v/>
      </c>
      <c r="N183" s="84" t="str">
        <f>IF($J183="Item",_xll.NL("first",$J183,"Description","No.","@@"&amp;$K183),"")</f>
        <v/>
      </c>
      <c r="O183" s="83">
        <v>0</v>
      </c>
      <c r="P183" s="83">
        <v>-1</v>
      </c>
      <c r="Q183" s="83">
        <v>0</v>
      </c>
      <c r="R183" s="83">
        <v>0</v>
      </c>
      <c r="S183" s="83">
        <v>0</v>
      </c>
      <c r="T183" s="83">
        <v>0</v>
      </c>
      <c r="U183" s="82"/>
    </row>
    <row r="184" spans="1:21" ht="17.25" customHeight="1" x14ac:dyDescent="0.3">
      <c r="A184" s="66" t="s">
        <v>30</v>
      </c>
      <c r="C184" s="67"/>
      <c r="D184" s="77"/>
      <c r="E184" s="77"/>
      <c r="F184" s="76"/>
      <c r="G184" s="76"/>
      <c r="H184" s="76"/>
      <c r="I184" s="76"/>
      <c r="J184" s="76"/>
      <c r="K184" s="76"/>
      <c r="L184" s="76"/>
      <c r="M184" s="76"/>
      <c r="N184" s="76"/>
      <c r="O184" s="75"/>
      <c r="P184" s="75"/>
      <c r="Q184" s="75"/>
      <c r="R184" s="75"/>
      <c r="S184" s="75"/>
      <c r="T184" s="75"/>
      <c r="U184" s="74"/>
    </row>
    <row r="185" spans="1:21" ht="17.25" customHeight="1" x14ac:dyDescent="0.3">
      <c r="A185" s="66" t="s">
        <v>30</v>
      </c>
      <c r="C185" s="67"/>
      <c r="D185" s="77"/>
      <c r="E185" s="77" t="s">
        <v>31</v>
      </c>
      <c r="F185" s="76" t="s">
        <v>31</v>
      </c>
      <c r="G185" s="76" t="s">
        <v>31</v>
      </c>
      <c r="H185" s="76"/>
      <c r="I185" s="76"/>
      <c r="J185" s="76" t="s">
        <v>31</v>
      </c>
      <c r="K185" s="76" t="s">
        <v>31</v>
      </c>
      <c r="L185" s="76" t="s">
        <v>31</v>
      </c>
      <c r="M185" s="76" t="s">
        <v>31</v>
      </c>
      <c r="N185" s="76"/>
      <c r="U185" s="81"/>
    </row>
    <row r="186" spans="1:21" ht="20.25" customHeight="1" x14ac:dyDescent="0.35">
      <c r="A186" s="66" t="s">
        <v>30</v>
      </c>
      <c r="C186" s="67"/>
      <c r="D186" s="92" t="str">
        <f t="shared" ref="D186" si="115">E186</f>
        <v>C100037</v>
      </c>
      <c r="E186" s="91" t="str">
        <f>"C100037"</f>
        <v>C100037</v>
      </c>
      <c r="F186" s="89" t="str">
        <f>"World Time Travel Alarm"</f>
        <v>World Time Travel Alarm</v>
      </c>
      <c r="G186" s="89"/>
      <c r="H186" s="90" t="str">
        <f>"EA"</f>
        <v>EA</v>
      </c>
      <c r="I186" s="89"/>
      <c r="J186" s="89"/>
      <c r="K186" s="89"/>
      <c r="L186" s="89"/>
      <c r="M186" s="89"/>
      <c r="N186" s="89"/>
      <c r="O186" s="88">
        <f>(SUBTOTAL(9,O187:O188))</f>
        <v>200</v>
      </c>
      <c r="P186" s="88">
        <f>(SUBTOTAL(9,P187:P188))</f>
        <v>0</v>
      </c>
      <c r="Q186" s="88">
        <f>(SUBTOTAL(9,Q187:Q188))</f>
        <v>0</v>
      </c>
      <c r="R186" s="88">
        <f>(SUBTOTAL(9,R187:R188))</f>
        <v>0</v>
      </c>
      <c r="S186" s="88">
        <f>(SUBTOTAL(9,S187:S188))</f>
        <v>0</v>
      </c>
      <c r="T186" s="88">
        <f>(SUBTOTAL(9,T187:T188))</f>
        <v>0</v>
      </c>
      <c r="U186" s="87">
        <f t="shared" ref="U186" si="116">SUBTOTAL(9,O187:T188)</f>
        <v>200</v>
      </c>
    </row>
    <row r="187" spans="1:21" ht="17.25" customHeight="1" x14ac:dyDescent="0.3">
      <c r="A187" s="66" t="s">
        <v>30</v>
      </c>
      <c r="C187" s="67"/>
      <c r="D187" s="77" t="str">
        <f t="shared" ref="D187" si="117">D186</f>
        <v>C100037</v>
      </c>
      <c r="E187" s="77"/>
      <c r="F187" s="76"/>
      <c r="G187" s="76" t="str">
        <f>"""NAV Direct"",""CRONUS JetCorp USA"",""32"",""1"",""167536"""</f>
        <v>"NAV Direct","CRONUS JetCorp USA","32","1","167536"</v>
      </c>
      <c r="H187" s="86">
        <v>43466</v>
      </c>
      <c r="I187" s="85">
        <v>167536</v>
      </c>
      <c r="J187" s="84" t="str">
        <f>"Vendor"</f>
        <v>Vendor</v>
      </c>
      <c r="K187" s="84" t="str">
        <f>"V100040"</f>
        <v>V100040</v>
      </c>
      <c r="L187" s="84" t="str">
        <f>IF($J187="Customer",_xll.NL("first",$J187,"Name","No.","@@"&amp;$K187),"")</f>
        <v/>
      </c>
      <c r="M187" s="84" t="str">
        <f>"Technische Betriebe Rotkreuz"</f>
        <v>Technische Betriebe Rotkreuz</v>
      </c>
      <c r="N187" s="84" t="str">
        <f>IF($J187="Item",_xll.NL("first",$J187,"Description","No.","@@"&amp;$K187),"")</f>
        <v/>
      </c>
      <c r="O187" s="83">
        <v>200</v>
      </c>
      <c r="P187" s="83">
        <v>0</v>
      </c>
      <c r="Q187" s="83">
        <v>0</v>
      </c>
      <c r="R187" s="83">
        <v>0</v>
      </c>
      <c r="S187" s="83">
        <v>0</v>
      </c>
      <c r="T187" s="83">
        <v>0</v>
      </c>
      <c r="U187" s="82"/>
    </row>
    <row r="188" spans="1:21" ht="17.25" customHeight="1" x14ac:dyDescent="0.3">
      <c r="A188" s="66" t="s">
        <v>30</v>
      </c>
      <c r="C188" s="67"/>
      <c r="D188" s="77"/>
      <c r="E188" s="77"/>
      <c r="F188" s="76"/>
      <c r="G188" s="76"/>
      <c r="H188" s="76"/>
      <c r="I188" s="76"/>
      <c r="J188" s="76"/>
      <c r="K188" s="76"/>
      <c r="L188" s="76"/>
      <c r="M188" s="76"/>
      <c r="N188" s="76"/>
      <c r="O188" s="75"/>
      <c r="P188" s="75"/>
      <c r="Q188" s="75"/>
      <c r="R188" s="75"/>
      <c r="S188" s="75"/>
      <c r="T188" s="75"/>
      <c r="U188" s="74"/>
    </row>
    <row r="189" spans="1:21" ht="17.25" customHeight="1" x14ac:dyDescent="0.3">
      <c r="A189" s="66" t="s">
        <v>30</v>
      </c>
      <c r="C189" s="67"/>
      <c r="D189" s="77"/>
      <c r="E189" s="77" t="s">
        <v>31</v>
      </c>
      <c r="F189" s="76" t="s">
        <v>31</v>
      </c>
      <c r="G189" s="76" t="s">
        <v>31</v>
      </c>
      <c r="H189" s="76"/>
      <c r="I189" s="76"/>
      <c r="J189" s="76" t="s">
        <v>31</v>
      </c>
      <c r="K189" s="76" t="s">
        <v>31</v>
      </c>
      <c r="L189" s="76" t="s">
        <v>31</v>
      </c>
      <c r="M189" s="76" t="s">
        <v>31</v>
      </c>
      <c r="N189" s="76"/>
      <c r="U189" s="81"/>
    </row>
    <row r="190" spans="1:21" ht="20.25" customHeight="1" x14ac:dyDescent="0.35">
      <c r="A190" s="66" t="s">
        <v>30</v>
      </c>
      <c r="C190" s="67"/>
      <c r="D190" s="92" t="str">
        <f t="shared" ref="D190" si="118">E190</f>
        <v>C100038</v>
      </c>
      <c r="E190" s="91" t="str">
        <f>"C100038"</f>
        <v>C100038</v>
      </c>
      <c r="F190" s="89" t="str">
        <f>"Foldable Travel Speakers"</f>
        <v>Foldable Travel Speakers</v>
      </c>
      <c r="G190" s="89"/>
      <c r="H190" s="90" t="str">
        <f>"EA"</f>
        <v>EA</v>
      </c>
      <c r="I190" s="89"/>
      <c r="J190" s="89"/>
      <c r="K190" s="89"/>
      <c r="L190" s="89"/>
      <c r="M190" s="89"/>
      <c r="N190" s="89"/>
      <c r="O190" s="88">
        <f>(SUBTOTAL(9,O191:O193))</f>
        <v>300</v>
      </c>
      <c r="P190" s="88">
        <f>(SUBTOTAL(9,P191:P193))</f>
        <v>-144</v>
      </c>
      <c r="Q190" s="88">
        <f>(SUBTOTAL(9,Q191:Q193))</f>
        <v>0</v>
      </c>
      <c r="R190" s="88">
        <f>(SUBTOTAL(9,R191:R193))</f>
        <v>0</v>
      </c>
      <c r="S190" s="88">
        <f>(SUBTOTAL(9,S191:S193))</f>
        <v>0</v>
      </c>
      <c r="T190" s="88">
        <f>(SUBTOTAL(9,T191:T193))</f>
        <v>0</v>
      </c>
      <c r="U190" s="87">
        <f t="shared" ref="U190" si="119">SUBTOTAL(9,O191:T193)</f>
        <v>156</v>
      </c>
    </row>
    <row r="191" spans="1:21" ht="17.25" customHeight="1" x14ac:dyDescent="0.3">
      <c r="A191" s="66" t="s">
        <v>30</v>
      </c>
      <c r="C191" s="67"/>
      <c r="D191" s="77" t="str">
        <f t="shared" ref="D191" si="120">D190</f>
        <v>C100038</v>
      </c>
      <c r="E191" s="77"/>
      <c r="F191" s="76"/>
      <c r="G191" s="76" t="str">
        <f>"""NAV Direct"",""CRONUS JetCorp USA"",""32"",""1"",""168019"""</f>
        <v>"NAV Direct","CRONUS JetCorp USA","32","1","168019"</v>
      </c>
      <c r="H191" s="86">
        <v>43466</v>
      </c>
      <c r="I191" s="85">
        <v>168019</v>
      </c>
      <c r="J191" s="84" t="str">
        <f>"Vendor"</f>
        <v>Vendor</v>
      </c>
      <c r="K191" s="84" t="str">
        <f>"V100040"</f>
        <v>V100040</v>
      </c>
      <c r="L191" s="84" t="str">
        <f>IF($J191="Customer",_xll.NL("first",$J191,"Name","No.","@@"&amp;$K191),"")</f>
        <v/>
      </c>
      <c r="M191" s="84" t="str">
        <f>"Technische Betriebe Rotkreuz"</f>
        <v>Technische Betriebe Rotkreuz</v>
      </c>
      <c r="N191" s="84" t="str">
        <f>IF($J191="Item",_xll.NL("first",$J191,"Description","No.","@@"&amp;$K191),"")</f>
        <v/>
      </c>
      <c r="O191" s="83">
        <v>300</v>
      </c>
      <c r="P191" s="83">
        <v>0</v>
      </c>
      <c r="Q191" s="83">
        <v>0</v>
      </c>
      <c r="R191" s="83">
        <v>0</v>
      </c>
      <c r="S191" s="83">
        <v>0</v>
      </c>
      <c r="T191" s="83">
        <v>0</v>
      </c>
      <c r="U191" s="82"/>
    </row>
    <row r="192" spans="1:21" ht="17.25" customHeight="1" x14ac:dyDescent="0.3">
      <c r="A192" s="66" t="s">
        <v>30</v>
      </c>
      <c r="C192" s="67"/>
      <c r="D192" s="77" t="str">
        <f t="shared" ref="D192" si="121">D191</f>
        <v>C100038</v>
      </c>
      <c r="E192" s="77"/>
      <c r="F192" s="76"/>
      <c r="G192" s="76" t="str">
        <f>"""NAV Direct"",""CRONUS JetCorp USA"",""32"",""1"",""120182"""</f>
        <v>"NAV Direct","CRONUS JetCorp USA","32","1","120182"</v>
      </c>
      <c r="H192" s="86">
        <v>43469</v>
      </c>
      <c r="I192" s="85">
        <v>120182</v>
      </c>
      <c r="J192" s="84" t="str">
        <f>"Customer"</f>
        <v>Customer</v>
      </c>
      <c r="K192" s="84" t="str">
        <f>"C100134"</f>
        <v>C100134</v>
      </c>
      <c r="L192" s="84" t="str">
        <f>IF($J192="Customer",_xll.NL("first",$J192,"Name","No.","@@"&amp;$K192),"")</f>
        <v>Iber Tech</v>
      </c>
      <c r="M192" s="84" t="str">
        <f>""</f>
        <v/>
      </c>
      <c r="N192" s="84" t="str">
        <f>IF($J192="Item",_xll.NL("first",$J192,"Description","No.","@@"&amp;$K192),"")</f>
        <v/>
      </c>
      <c r="O192" s="83">
        <v>0</v>
      </c>
      <c r="P192" s="83">
        <v>-144</v>
      </c>
      <c r="Q192" s="83">
        <v>0</v>
      </c>
      <c r="R192" s="83">
        <v>0</v>
      </c>
      <c r="S192" s="83">
        <v>0</v>
      </c>
      <c r="T192" s="83">
        <v>0</v>
      </c>
      <c r="U192" s="82"/>
    </row>
    <row r="193" spans="1:21" ht="17.25" customHeight="1" x14ac:dyDescent="0.3">
      <c r="A193" s="66" t="s">
        <v>30</v>
      </c>
      <c r="C193" s="67"/>
      <c r="D193" s="77"/>
      <c r="E193" s="77"/>
      <c r="F193" s="76"/>
      <c r="G193" s="76"/>
      <c r="H193" s="76"/>
      <c r="I193" s="76"/>
      <c r="J193" s="76"/>
      <c r="K193" s="76"/>
      <c r="L193" s="76"/>
      <c r="M193" s="76"/>
      <c r="N193" s="76"/>
      <c r="O193" s="75"/>
      <c r="P193" s="75"/>
      <c r="Q193" s="75"/>
      <c r="R193" s="75"/>
      <c r="S193" s="75"/>
      <c r="T193" s="75"/>
      <c r="U193" s="74"/>
    </row>
    <row r="194" spans="1:21" ht="17.25" customHeight="1" x14ac:dyDescent="0.3">
      <c r="A194" s="66" t="s">
        <v>30</v>
      </c>
      <c r="C194" s="67"/>
      <c r="D194" s="77"/>
      <c r="E194" s="77" t="s">
        <v>31</v>
      </c>
      <c r="F194" s="76" t="s">
        <v>31</v>
      </c>
      <c r="G194" s="76" t="s">
        <v>31</v>
      </c>
      <c r="H194" s="76"/>
      <c r="I194" s="76"/>
      <c r="J194" s="76" t="s">
        <v>31</v>
      </c>
      <c r="K194" s="76" t="s">
        <v>31</v>
      </c>
      <c r="L194" s="76" t="s">
        <v>31</v>
      </c>
      <c r="M194" s="76" t="s">
        <v>31</v>
      </c>
      <c r="N194" s="76"/>
      <c r="U194" s="81"/>
    </row>
    <row r="195" spans="1:21" ht="20.25" customHeight="1" x14ac:dyDescent="0.35">
      <c r="A195" s="66" t="s">
        <v>30</v>
      </c>
      <c r="C195" s="67"/>
      <c r="D195" s="92" t="str">
        <f t="shared" ref="D195" si="122">E195</f>
        <v>C100039</v>
      </c>
      <c r="E195" s="91" t="str">
        <f>"C100039"</f>
        <v>C100039</v>
      </c>
      <c r="F195" s="89" t="str">
        <f>"Portable Speaker &amp; MP3 Dock"</f>
        <v>Portable Speaker &amp; MP3 Dock</v>
      </c>
      <c r="G195" s="89"/>
      <c r="H195" s="90" t="str">
        <f>"EA"</f>
        <v>EA</v>
      </c>
      <c r="I195" s="89"/>
      <c r="J195" s="89"/>
      <c r="K195" s="89"/>
      <c r="L195" s="89"/>
      <c r="M195" s="89"/>
      <c r="N195" s="89"/>
      <c r="O195" s="88">
        <f>(SUBTOTAL(9,O196:O198))</f>
        <v>200</v>
      </c>
      <c r="P195" s="88">
        <f>(SUBTOTAL(9,P196:P198))</f>
        <v>-144</v>
      </c>
      <c r="Q195" s="88">
        <f>(SUBTOTAL(9,Q196:Q198))</f>
        <v>0</v>
      </c>
      <c r="R195" s="88">
        <f>(SUBTOTAL(9,R196:R198))</f>
        <v>0</v>
      </c>
      <c r="S195" s="88">
        <f>(SUBTOTAL(9,S196:S198))</f>
        <v>0</v>
      </c>
      <c r="T195" s="88">
        <f>(SUBTOTAL(9,T196:T198))</f>
        <v>0</v>
      </c>
      <c r="U195" s="87">
        <f t="shared" ref="U195" si="123">SUBTOTAL(9,O196:T198)</f>
        <v>56</v>
      </c>
    </row>
    <row r="196" spans="1:21" ht="17.25" customHeight="1" x14ac:dyDescent="0.3">
      <c r="A196" s="66" t="s">
        <v>30</v>
      </c>
      <c r="C196" s="67"/>
      <c r="D196" s="77" t="str">
        <f t="shared" ref="D196" si="124">D195</f>
        <v>C100039</v>
      </c>
      <c r="E196" s="77"/>
      <c r="F196" s="76"/>
      <c r="G196" s="76" t="str">
        <f>"""NAV Direct"",""CRONUS JetCorp USA"",""32"",""1"",""168018"""</f>
        <v>"NAV Direct","CRONUS JetCorp USA","32","1","168018"</v>
      </c>
      <c r="H196" s="86">
        <v>43466</v>
      </c>
      <c r="I196" s="85">
        <v>168018</v>
      </c>
      <c r="J196" s="84" t="str">
        <f>"Vendor"</f>
        <v>Vendor</v>
      </c>
      <c r="K196" s="84" t="str">
        <f>"V100040"</f>
        <v>V100040</v>
      </c>
      <c r="L196" s="84" t="str">
        <f>IF($J196="Customer",_xll.NL("first",$J196,"Name","No.","@@"&amp;$K196),"")</f>
        <v/>
      </c>
      <c r="M196" s="84" t="str">
        <f>"Technische Betriebe Rotkreuz"</f>
        <v>Technische Betriebe Rotkreuz</v>
      </c>
      <c r="N196" s="84" t="str">
        <f>IF($J196="Item",_xll.NL("first",$J196,"Description","No.","@@"&amp;$K196),"")</f>
        <v/>
      </c>
      <c r="O196" s="83">
        <v>200</v>
      </c>
      <c r="P196" s="83">
        <v>0</v>
      </c>
      <c r="Q196" s="83">
        <v>0</v>
      </c>
      <c r="R196" s="83">
        <v>0</v>
      </c>
      <c r="S196" s="83">
        <v>0</v>
      </c>
      <c r="T196" s="83">
        <v>0</v>
      </c>
      <c r="U196" s="82"/>
    </row>
    <row r="197" spans="1:21" ht="17.25" customHeight="1" x14ac:dyDescent="0.3">
      <c r="A197" s="66" t="s">
        <v>30</v>
      </c>
      <c r="C197" s="67"/>
      <c r="D197" s="77" t="str">
        <f t="shared" ref="D197" si="125">D196</f>
        <v>C100039</v>
      </c>
      <c r="E197" s="77"/>
      <c r="F197" s="76"/>
      <c r="G197" s="76" t="str">
        <f>"""NAV Direct"",""CRONUS JetCorp USA"",""32"",""1"",""118071"""</f>
        <v>"NAV Direct","CRONUS JetCorp USA","32","1","118071"</v>
      </c>
      <c r="H197" s="86">
        <v>43471</v>
      </c>
      <c r="I197" s="85">
        <v>118071</v>
      </c>
      <c r="J197" s="84" t="str">
        <f>"Customer"</f>
        <v>Customer</v>
      </c>
      <c r="K197" s="84" t="str">
        <f>"C100060"</f>
        <v>C100060</v>
      </c>
      <c r="L197" s="84" t="str">
        <f>IF($J197="Customer",_xll.NL("first",$J197,"Name","No.","@@"&amp;$K197),"")</f>
        <v>MEMA Ljubljana d.o.o.</v>
      </c>
      <c r="M197" s="84" t="str">
        <f>""</f>
        <v/>
      </c>
      <c r="N197" s="84" t="str">
        <f>IF($J197="Item",_xll.NL("first",$J197,"Description","No.","@@"&amp;$K197),"")</f>
        <v/>
      </c>
      <c r="O197" s="83">
        <v>0</v>
      </c>
      <c r="P197" s="83">
        <v>-144</v>
      </c>
      <c r="Q197" s="83">
        <v>0</v>
      </c>
      <c r="R197" s="83">
        <v>0</v>
      </c>
      <c r="S197" s="83">
        <v>0</v>
      </c>
      <c r="T197" s="83">
        <v>0</v>
      </c>
      <c r="U197" s="82"/>
    </row>
    <row r="198" spans="1:21" ht="17.25" customHeight="1" x14ac:dyDescent="0.3">
      <c r="A198" s="66" t="s">
        <v>30</v>
      </c>
      <c r="C198" s="67"/>
      <c r="D198" s="77"/>
      <c r="E198" s="77"/>
      <c r="F198" s="76"/>
      <c r="G198" s="76"/>
      <c r="H198" s="76"/>
      <c r="I198" s="76"/>
      <c r="J198" s="76"/>
      <c r="K198" s="76"/>
      <c r="L198" s="76"/>
      <c r="M198" s="76"/>
      <c r="N198" s="76"/>
      <c r="O198" s="75"/>
      <c r="P198" s="75"/>
      <c r="Q198" s="75"/>
      <c r="R198" s="75"/>
      <c r="S198" s="75"/>
      <c r="T198" s="75"/>
      <c r="U198" s="74"/>
    </row>
    <row r="199" spans="1:21" ht="17.25" customHeight="1" x14ac:dyDescent="0.3">
      <c r="A199" s="66" t="s">
        <v>30</v>
      </c>
      <c r="C199" s="67"/>
      <c r="D199" s="77"/>
      <c r="E199" s="77" t="s">
        <v>31</v>
      </c>
      <c r="F199" s="76" t="s">
        <v>31</v>
      </c>
      <c r="G199" s="76" t="s">
        <v>31</v>
      </c>
      <c r="H199" s="76"/>
      <c r="I199" s="76"/>
      <c r="J199" s="76" t="s">
        <v>31</v>
      </c>
      <c r="K199" s="76" t="s">
        <v>31</v>
      </c>
      <c r="L199" s="76" t="s">
        <v>31</v>
      </c>
      <c r="M199" s="76" t="s">
        <v>31</v>
      </c>
      <c r="N199" s="76"/>
      <c r="U199" s="81"/>
    </row>
    <row r="200" spans="1:21" ht="20.25" customHeight="1" x14ac:dyDescent="0.35">
      <c r="A200" s="66" t="s">
        <v>30</v>
      </c>
      <c r="C200" s="67"/>
      <c r="D200" s="92" t="str">
        <f t="shared" ref="D200" si="126">E200</f>
        <v>C100040</v>
      </c>
      <c r="E200" s="91" t="str">
        <f>"C100040"</f>
        <v>C100040</v>
      </c>
      <c r="F200" s="89" t="str">
        <f>"Channel Speaker System"</f>
        <v>Channel Speaker System</v>
      </c>
      <c r="G200" s="89"/>
      <c r="H200" s="90" t="str">
        <f>"EA"</f>
        <v>EA</v>
      </c>
      <c r="I200" s="89"/>
      <c r="J200" s="89"/>
      <c r="K200" s="89"/>
      <c r="L200" s="89"/>
      <c r="M200" s="89"/>
      <c r="N200" s="89"/>
      <c r="O200" s="88">
        <f>(SUBTOTAL(9,O201:O203))</f>
        <v>100</v>
      </c>
      <c r="P200" s="88">
        <f>(SUBTOTAL(9,P201:P203))</f>
        <v>-48</v>
      </c>
      <c r="Q200" s="88">
        <f>(SUBTOTAL(9,Q201:Q203))</f>
        <v>0</v>
      </c>
      <c r="R200" s="88">
        <f>(SUBTOTAL(9,R201:R203))</f>
        <v>0</v>
      </c>
      <c r="S200" s="88">
        <f>(SUBTOTAL(9,S201:S203))</f>
        <v>0</v>
      </c>
      <c r="T200" s="88">
        <f>(SUBTOTAL(9,T201:T203))</f>
        <v>0</v>
      </c>
      <c r="U200" s="87">
        <f t="shared" ref="U200" si="127">SUBTOTAL(9,O201:T203)</f>
        <v>52</v>
      </c>
    </row>
    <row r="201" spans="1:21" ht="17.25" customHeight="1" x14ac:dyDescent="0.3">
      <c r="A201" s="66" t="s">
        <v>30</v>
      </c>
      <c r="C201" s="67"/>
      <c r="D201" s="77" t="str">
        <f t="shared" ref="D201" si="128">D200</f>
        <v>C100040</v>
      </c>
      <c r="E201" s="77"/>
      <c r="F201" s="76"/>
      <c r="G201" s="76" t="str">
        <f>"""NAV Direct"",""CRONUS JetCorp USA"",""32"",""1"",""168017"""</f>
        <v>"NAV Direct","CRONUS JetCorp USA","32","1","168017"</v>
      </c>
      <c r="H201" s="86">
        <v>43466</v>
      </c>
      <c r="I201" s="85">
        <v>168017</v>
      </c>
      <c r="J201" s="84" t="str">
        <f>"Vendor"</f>
        <v>Vendor</v>
      </c>
      <c r="K201" s="84" t="str">
        <f>"V100040"</f>
        <v>V100040</v>
      </c>
      <c r="L201" s="84" t="str">
        <f>IF($J201="Customer",_xll.NL("first",$J201,"Name","No.","@@"&amp;$K201),"")</f>
        <v/>
      </c>
      <c r="M201" s="84" t="str">
        <f>"Technische Betriebe Rotkreuz"</f>
        <v>Technische Betriebe Rotkreuz</v>
      </c>
      <c r="N201" s="84" t="str">
        <f>IF($J201="Item",_xll.NL("first",$J201,"Description","No.","@@"&amp;$K201),"")</f>
        <v/>
      </c>
      <c r="O201" s="83">
        <v>100</v>
      </c>
      <c r="P201" s="83">
        <v>0</v>
      </c>
      <c r="Q201" s="83">
        <v>0</v>
      </c>
      <c r="R201" s="83">
        <v>0</v>
      </c>
      <c r="S201" s="83">
        <v>0</v>
      </c>
      <c r="T201" s="83">
        <v>0</v>
      </c>
      <c r="U201" s="82"/>
    </row>
    <row r="202" spans="1:21" ht="17.25" customHeight="1" x14ac:dyDescent="0.3">
      <c r="A202" s="66" t="s">
        <v>30</v>
      </c>
      <c r="C202" s="67"/>
      <c r="D202" s="77" t="str">
        <f t="shared" ref="D202" si="129">D201</f>
        <v>C100040</v>
      </c>
      <c r="E202" s="77"/>
      <c r="F202" s="76"/>
      <c r="G202" s="76" t="str">
        <f>"""NAV Direct"",""CRONUS JetCorp USA"",""32"",""1"",""120181"""</f>
        <v>"NAV Direct","CRONUS JetCorp USA","32","1","120181"</v>
      </c>
      <c r="H202" s="86">
        <v>43469</v>
      </c>
      <c r="I202" s="85">
        <v>120181</v>
      </c>
      <c r="J202" s="84" t="str">
        <f>"Customer"</f>
        <v>Customer</v>
      </c>
      <c r="K202" s="84" t="str">
        <f>"C100134"</f>
        <v>C100134</v>
      </c>
      <c r="L202" s="84" t="str">
        <f>IF($J202="Customer",_xll.NL("first",$J202,"Name","No.","@@"&amp;$K202),"")</f>
        <v>Iber Tech</v>
      </c>
      <c r="M202" s="84" t="str">
        <f>""</f>
        <v/>
      </c>
      <c r="N202" s="84" t="str">
        <f>IF($J202="Item",_xll.NL("first",$J202,"Description","No.","@@"&amp;$K202),"")</f>
        <v/>
      </c>
      <c r="O202" s="83">
        <v>0</v>
      </c>
      <c r="P202" s="83">
        <v>-48</v>
      </c>
      <c r="Q202" s="83">
        <v>0</v>
      </c>
      <c r="R202" s="83">
        <v>0</v>
      </c>
      <c r="S202" s="83">
        <v>0</v>
      </c>
      <c r="T202" s="83">
        <v>0</v>
      </c>
      <c r="U202" s="82"/>
    </row>
    <row r="203" spans="1:21" ht="17.25" customHeight="1" x14ac:dyDescent="0.3">
      <c r="A203" s="66" t="s">
        <v>30</v>
      </c>
      <c r="C203" s="67"/>
      <c r="D203" s="77"/>
      <c r="E203" s="77"/>
      <c r="F203" s="76"/>
      <c r="G203" s="76"/>
      <c r="H203" s="76"/>
      <c r="I203" s="76"/>
      <c r="J203" s="76"/>
      <c r="K203" s="76"/>
      <c r="L203" s="76"/>
      <c r="M203" s="76"/>
      <c r="N203" s="76"/>
      <c r="O203" s="75"/>
      <c r="P203" s="75"/>
      <c r="Q203" s="75"/>
      <c r="R203" s="75"/>
      <c r="S203" s="75"/>
      <c r="T203" s="75"/>
      <c r="U203" s="74"/>
    </row>
    <row r="204" spans="1:21" ht="17.25" customHeight="1" x14ac:dyDescent="0.3">
      <c r="A204" s="66" t="s">
        <v>30</v>
      </c>
      <c r="C204" s="67"/>
      <c r="D204" s="77"/>
      <c r="E204" s="77" t="s">
        <v>31</v>
      </c>
      <c r="F204" s="76" t="s">
        <v>31</v>
      </c>
      <c r="G204" s="76" t="s">
        <v>31</v>
      </c>
      <c r="H204" s="76"/>
      <c r="I204" s="76"/>
      <c r="J204" s="76" t="s">
        <v>31</v>
      </c>
      <c r="K204" s="76" t="s">
        <v>31</v>
      </c>
      <c r="L204" s="76" t="s">
        <v>31</v>
      </c>
      <c r="M204" s="76" t="s">
        <v>31</v>
      </c>
      <c r="N204" s="76"/>
      <c r="U204" s="81"/>
    </row>
    <row r="205" spans="1:21" ht="20.25" customHeight="1" x14ac:dyDescent="0.35">
      <c r="A205" s="66" t="s">
        <v>30</v>
      </c>
      <c r="C205" s="67"/>
      <c r="D205" s="92" t="str">
        <f t="shared" ref="D205" si="130">E205</f>
        <v>C100041</v>
      </c>
      <c r="E205" s="91" t="str">
        <f>"C100041"</f>
        <v>C100041</v>
      </c>
      <c r="F205" s="89" t="str">
        <f>"Folding Stereo Speakers"</f>
        <v>Folding Stereo Speakers</v>
      </c>
      <c r="G205" s="89"/>
      <c r="H205" s="90" t="str">
        <f>"EA"</f>
        <v>EA</v>
      </c>
      <c r="I205" s="89"/>
      <c r="J205" s="89"/>
      <c r="K205" s="89"/>
      <c r="L205" s="89"/>
      <c r="M205" s="89"/>
      <c r="N205" s="89"/>
      <c r="O205" s="88">
        <f>(SUBTOTAL(9,O206:O209))</f>
        <v>300</v>
      </c>
      <c r="P205" s="88">
        <f>(SUBTOTAL(9,P206:P209))</f>
        <v>-49</v>
      </c>
      <c r="Q205" s="88">
        <f>(SUBTOTAL(9,Q206:Q209))</f>
        <v>0</v>
      </c>
      <c r="R205" s="88">
        <f>(SUBTOTAL(9,R206:R209))</f>
        <v>0</v>
      </c>
      <c r="S205" s="88">
        <f>(SUBTOTAL(9,S206:S209))</f>
        <v>0</v>
      </c>
      <c r="T205" s="88">
        <f>(SUBTOTAL(9,T206:T209))</f>
        <v>0</v>
      </c>
      <c r="U205" s="87">
        <f t="shared" ref="U205" si="131">SUBTOTAL(9,O206:T209)</f>
        <v>251</v>
      </c>
    </row>
    <row r="206" spans="1:21" ht="17.25" customHeight="1" x14ac:dyDescent="0.3">
      <c r="A206" s="66" t="s">
        <v>30</v>
      </c>
      <c r="C206" s="67"/>
      <c r="D206" s="77" t="str">
        <f t="shared" ref="D206" si="132">D205</f>
        <v>C100041</v>
      </c>
      <c r="E206" s="77"/>
      <c r="F206" s="76"/>
      <c r="G206" s="76" t="str">
        <f>"""NAV Direct"",""CRONUS JetCorp USA"",""32"",""1"",""168016"""</f>
        <v>"NAV Direct","CRONUS JetCorp USA","32","1","168016"</v>
      </c>
      <c r="H206" s="86">
        <v>43466</v>
      </c>
      <c r="I206" s="85">
        <v>168016</v>
      </c>
      <c r="J206" s="84" t="str">
        <f>"Vendor"</f>
        <v>Vendor</v>
      </c>
      <c r="K206" s="84" t="str">
        <f>"V100040"</f>
        <v>V100040</v>
      </c>
      <c r="L206" s="84" t="str">
        <f>IF($J206="Customer",_xll.NL("first",$J206,"Name","No.","@@"&amp;$K206),"")</f>
        <v/>
      </c>
      <c r="M206" s="84" t="str">
        <f>"Technische Betriebe Rotkreuz"</f>
        <v>Technische Betriebe Rotkreuz</v>
      </c>
      <c r="N206" s="84" t="str">
        <f>IF($J206="Item",_xll.NL("first",$J206,"Description","No.","@@"&amp;$K206),"")</f>
        <v/>
      </c>
      <c r="O206" s="83">
        <v>300</v>
      </c>
      <c r="P206" s="83">
        <v>0</v>
      </c>
      <c r="Q206" s="83">
        <v>0</v>
      </c>
      <c r="R206" s="83">
        <v>0</v>
      </c>
      <c r="S206" s="83">
        <v>0</v>
      </c>
      <c r="T206" s="83">
        <v>0</v>
      </c>
      <c r="U206" s="82"/>
    </row>
    <row r="207" spans="1:21" ht="17.25" customHeight="1" x14ac:dyDescent="0.3">
      <c r="A207" s="66" t="s">
        <v>30</v>
      </c>
      <c r="C207" s="67"/>
      <c r="D207" s="77" t="str">
        <f t="shared" ref="D207:D208" si="133">D206</f>
        <v>C100041</v>
      </c>
      <c r="E207" s="77"/>
      <c r="F207" s="76"/>
      <c r="G207" s="76" t="str">
        <f>"""NAV Direct"",""CRONUS JetCorp USA"",""32"",""1"",""15148"""</f>
        <v>"NAV Direct","CRONUS JetCorp USA","32","1","15148"</v>
      </c>
      <c r="H207" s="86">
        <v>43471</v>
      </c>
      <c r="I207" s="85">
        <v>15148</v>
      </c>
      <c r="J207" s="84" t="str">
        <f>"Customer"</f>
        <v>Customer</v>
      </c>
      <c r="K207" s="84" t="str">
        <f>"C100134"</f>
        <v>C100134</v>
      </c>
      <c r="L207" s="84" t="str">
        <f>IF($J207="Customer",_xll.NL("first",$J207,"Name","No.","@@"&amp;$K207),"")</f>
        <v>Iber Tech</v>
      </c>
      <c r="M207" s="84" t="str">
        <f>""</f>
        <v/>
      </c>
      <c r="N207" s="84" t="str">
        <f>IF($J207="Item",_xll.NL("first",$J207,"Description","No.","@@"&amp;$K207),"")</f>
        <v/>
      </c>
      <c r="O207" s="83">
        <v>0</v>
      </c>
      <c r="P207" s="83">
        <v>-48</v>
      </c>
      <c r="Q207" s="83">
        <v>0</v>
      </c>
      <c r="R207" s="83">
        <v>0</v>
      </c>
      <c r="S207" s="83">
        <v>0</v>
      </c>
      <c r="T207" s="83">
        <v>0</v>
      </c>
      <c r="U207" s="82"/>
    </row>
    <row r="208" spans="1:21" ht="17.25" customHeight="1" x14ac:dyDescent="0.3">
      <c r="A208" s="66" t="s">
        <v>30</v>
      </c>
      <c r="C208" s="67"/>
      <c r="D208" s="77" t="str">
        <f t="shared" si="133"/>
        <v>C100041</v>
      </c>
      <c r="E208" s="77"/>
      <c r="F208" s="76"/>
      <c r="G208" s="76" t="str">
        <f>"""NAV Direct"",""CRONUS JetCorp USA"",""32"",""1"",""118077"""</f>
        <v>"NAV Direct","CRONUS JetCorp USA","32","1","118077"</v>
      </c>
      <c r="H208" s="86">
        <v>43471</v>
      </c>
      <c r="I208" s="85">
        <v>118077</v>
      </c>
      <c r="J208" s="84" t="str">
        <f>"Customer"</f>
        <v>Customer</v>
      </c>
      <c r="K208" s="84" t="str">
        <f>"C100060"</f>
        <v>C100060</v>
      </c>
      <c r="L208" s="84" t="str">
        <f>IF($J208="Customer",_xll.NL("first",$J208,"Name","No.","@@"&amp;$K208),"")</f>
        <v>MEMA Ljubljana d.o.o.</v>
      </c>
      <c r="M208" s="84" t="str">
        <f>""</f>
        <v/>
      </c>
      <c r="N208" s="84" t="str">
        <f>IF($J208="Item",_xll.NL("first",$J208,"Description","No.","@@"&amp;$K208),"")</f>
        <v/>
      </c>
      <c r="O208" s="83">
        <v>0</v>
      </c>
      <c r="P208" s="83">
        <v>-1</v>
      </c>
      <c r="Q208" s="83">
        <v>0</v>
      </c>
      <c r="R208" s="83">
        <v>0</v>
      </c>
      <c r="S208" s="83">
        <v>0</v>
      </c>
      <c r="T208" s="83">
        <v>0</v>
      </c>
      <c r="U208" s="82"/>
    </row>
    <row r="209" spans="1:21" ht="17.25" customHeight="1" x14ac:dyDescent="0.3">
      <c r="A209" s="66" t="s">
        <v>30</v>
      </c>
      <c r="C209" s="67"/>
      <c r="D209" s="77"/>
      <c r="E209" s="77"/>
      <c r="F209" s="76"/>
      <c r="G209" s="76"/>
      <c r="H209" s="76"/>
      <c r="I209" s="76"/>
      <c r="J209" s="76"/>
      <c r="K209" s="76"/>
      <c r="L209" s="76"/>
      <c r="M209" s="76"/>
      <c r="N209" s="76"/>
      <c r="O209" s="75"/>
      <c r="P209" s="75"/>
      <c r="Q209" s="75"/>
      <c r="R209" s="75"/>
      <c r="S209" s="75"/>
      <c r="T209" s="75"/>
      <c r="U209" s="74"/>
    </row>
    <row r="210" spans="1:21" ht="17.25" customHeight="1" x14ac:dyDescent="0.3">
      <c r="A210" s="66" t="s">
        <v>30</v>
      </c>
      <c r="C210" s="67"/>
      <c r="D210" s="77"/>
      <c r="E210" s="77" t="s">
        <v>31</v>
      </c>
      <c r="F210" s="76" t="s">
        <v>31</v>
      </c>
      <c r="G210" s="76" t="s">
        <v>31</v>
      </c>
      <c r="H210" s="76"/>
      <c r="I210" s="76"/>
      <c r="J210" s="76" t="s">
        <v>31</v>
      </c>
      <c r="K210" s="76" t="s">
        <v>31</v>
      </c>
      <c r="L210" s="76" t="s">
        <v>31</v>
      </c>
      <c r="M210" s="76" t="s">
        <v>31</v>
      </c>
      <c r="N210" s="76"/>
      <c r="U210" s="81"/>
    </row>
    <row r="211" spans="1:21" ht="20.25" customHeight="1" x14ac:dyDescent="0.35">
      <c r="A211" s="66" t="s">
        <v>30</v>
      </c>
      <c r="C211" s="67"/>
      <c r="D211" s="92" t="str">
        <f t="shared" ref="D211" si="134">E211</f>
        <v>C100042</v>
      </c>
      <c r="E211" s="91" t="str">
        <f>"C100042"</f>
        <v>C100042</v>
      </c>
      <c r="F211" s="89" t="str">
        <f>"Retractable Earbuds"</f>
        <v>Retractable Earbuds</v>
      </c>
      <c r="G211" s="89"/>
      <c r="H211" s="90" t="str">
        <f>"EA"</f>
        <v>EA</v>
      </c>
      <c r="I211" s="89"/>
      <c r="J211" s="89"/>
      <c r="K211" s="89"/>
      <c r="L211" s="89"/>
      <c r="M211" s="89"/>
      <c r="N211" s="89"/>
      <c r="O211" s="88">
        <f>(SUBTOTAL(9,O212:O214))</f>
        <v>400</v>
      </c>
      <c r="P211" s="88">
        <f>(SUBTOTAL(9,P212:P214))</f>
        <v>-144</v>
      </c>
      <c r="Q211" s="88">
        <f>(SUBTOTAL(9,Q212:Q214))</f>
        <v>0</v>
      </c>
      <c r="R211" s="88">
        <f>(SUBTOTAL(9,R212:R214))</f>
        <v>0</v>
      </c>
      <c r="S211" s="88">
        <f>(SUBTOTAL(9,S212:S214))</f>
        <v>0</v>
      </c>
      <c r="T211" s="88">
        <f>(SUBTOTAL(9,T212:T214))</f>
        <v>0</v>
      </c>
      <c r="U211" s="87">
        <f t="shared" ref="U211" si="135">SUBTOTAL(9,O212:T214)</f>
        <v>256</v>
      </c>
    </row>
    <row r="212" spans="1:21" ht="17.25" customHeight="1" x14ac:dyDescent="0.3">
      <c r="A212" s="66" t="s">
        <v>30</v>
      </c>
      <c r="C212" s="67"/>
      <c r="D212" s="77" t="str">
        <f t="shared" ref="D212" si="136">D211</f>
        <v>C100042</v>
      </c>
      <c r="E212" s="77"/>
      <c r="F212" s="76"/>
      <c r="G212" s="76" t="str">
        <f>"""NAV Direct"",""CRONUS JetCorp USA"",""32"",""1"",""168015"""</f>
        <v>"NAV Direct","CRONUS JetCorp USA","32","1","168015"</v>
      </c>
      <c r="H212" s="86">
        <v>43466</v>
      </c>
      <c r="I212" s="85">
        <v>168015</v>
      </c>
      <c r="J212" s="84" t="str">
        <f>"Vendor"</f>
        <v>Vendor</v>
      </c>
      <c r="K212" s="84" t="str">
        <f>"V100040"</f>
        <v>V100040</v>
      </c>
      <c r="L212" s="84" t="str">
        <f>IF($J212="Customer",_xll.NL("first",$J212,"Name","No.","@@"&amp;$K212),"")</f>
        <v/>
      </c>
      <c r="M212" s="84" t="str">
        <f>"Technische Betriebe Rotkreuz"</f>
        <v>Technische Betriebe Rotkreuz</v>
      </c>
      <c r="N212" s="84" t="str">
        <f>IF($J212="Item",_xll.NL("first",$J212,"Description","No.","@@"&amp;$K212),"")</f>
        <v/>
      </c>
      <c r="O212" s="83">
        <v>400</v>
      </c>
      <c r="P212" s="83">
        <v>0</v>
      </c>
      <c r="Q212" s="83">
        <v>0</v>
      </c>
      <c r="R212" s="83">
        <v>0</v>
      </c>
      <c r="S212" s="83">
        <v>0</v>
      </c>
      <c r="T212" s="83">
        <v>0</v>
      </c>
      <c r="U212" s="82"/>
    </row>
    <row r="213" spans="1:21" ht="17.25" customHeight="1" x14ac:dyDescent="0.3">
      <c r="A213" s="66" t="s">
        <v>30</v>
      </c>
      <c r="C213" s="67"/>
      <c r="D213" s="77" t="str">
        <f t="shared" ref="D213" si="137">D212</f>
        <v>C100042</v>
      </c>
      <c r="E213" s="77"/>
      <c r="F213" s="76"/>
      <c r="G213" s="76" t="str">
        <f>"""NAV Direct"",""CRONUS JetCorp USA"",""32"",""1"",""72517"""</f>
        <v>"NAV Direct","CRONUS JetCorp USA","32","1","72517"</v>
      </c>
      <c r="H213" s="86">
        <v>43471</v>
      </c>
      <c r="I213" s="85">
        <v>72517</v>
      </c>
      <c r="J213" s="84" t="str">
        <f>"Customer"</f>
        <v>Customer</v>
      </c>
      <c r="K213" s="84" t="str">
        <f>"C100107"</f>
        <v>C100107</v>
      </c>
      <c r="L213" s="84" t="str">
        <f>IF($J213="Customer",_xll.NL("first",$J213,"Name","No.","@@"&amp;$K213),"")</f>
        <v>Lexitechnology</v>
      </c>
      <c r="M213" s="84" t="str">
        <f>""</f>
        <v/>
      </c>
      <c r="N213" s="84" t="str">
        <f>IF($J213="Item",_xll.NL("first",$J213,"Description","No.","@@"&amp;$K213),"")</f>
        <v/>
      </c>
      <c r="O213" s="83">
        <v>0</v>
      </c>
      <c r="P213" s="83">
        <v>-144</v>
      </c>
      <c r="Q213" s="83">
        <v>0</v>
      </c>
      <c r="R213" s="83">
        <v>0</v>
      </c>
      <c r="S213" s="83">
        <v>0</v>
      </c>
      <c r="T213" s="83">
        <v>0</v>
      </c>
      <c r="U213" s="82"/>
    </row>
    <row r="214" spans="1:21" ht="17.25" customHeight="1" x14ac:dyDescent="0.3">
      <c r="A214" s="66" t="s">
        <v>30</v>
      </c>
      <c r="C214" s="67"/>
      <c r="D214" s="77"/>
      <c r="E214" s="77"/>
      <c r="F214" s="76"/>
      <c r="G214" s="76"/>
      <c r="H214" s="76"/>
      <c r="I214" s="76"/>
      <c r="J214" s="76"/>
      <c r="K214" s="76"/>
      <c r="L214" s="76"/>
      <c r="M214" s="76"/>
      <c r="N214" s="76"/>
      <c r="O214" s="75"/>
      <c r="P214" s="75"/>
      <c r="Q214" s="75"/>
      <c r="R214" s="75"/>
      <c r="S214" s="75"/>
      <c r="T214" s="75"/>
      <c r="U214" s="74"/>
    </row>
    <row r="215" spans="1:21" ht="17.25" customHeight="1" x14ac:dyDescent="0.3">
      <c r="A215" s="66" t="s">
        <v>30</v>
      </c>
      <c r="C215" s="67"/>
      <c r="D215" s="77"/>
      <c r="E215" s="77" t="s">
        <v>31</v>
      </c>
      <c r="F215" s="76" t="s">
        <v>31</v>
      </c>
      <c r="G215" s="76" t="s">
        <v>31</v>
      </c>
      <c r="H215" s="76"/>
      <c r="I215" s="76"/>
      <c r="J215" s="76" t="s">
        <v>31</v>
      </c>
      <c r="K215" s="76" t="s">
        <v>31</v>
      </c>
      <c r="L215" s="76" t="s">
        <v>31</v>
      </c>
      <c r="M215" s="76" t="s">
        <v>31</v>
      </c>
      <c r="N215" s="76"/>
      <c r="U215" s="81"/>
    </row>
    <row r="216" spans="1:21" ht="20.25" customHeight="1" x14ac:dyDescent="0.35">
      <c r="A216" s="66" t="s">
        <v>30</v>
      </c>
      <c r="C216" s="67"/>
      <c r="D216" s="92" t="str">
        <f t="shared" ref="D216" si="138">E216</f>
        <v>C100043</v>
      </c>
      <c r="E216" s="91" t="str">
        <f>"C100043"</f>
        <v>C100043</v>
      </c>
      <c r="F216" s="89" t="str">
        <f>"Pro-Travel Technology Set"</f>
        <v>Pro-Travel Technology Set</v>
      </c>
      <c r="G216" s="89"/>
      <c r="H216" s="90" t="str">
        <f>"EA"</f>
        <v>EA</v>
      </c>
      <c r="I216" s="89"/>
      <c r="J216" s="89"/>
      <c r="K216" s="89"/>
      <c r="L216" s="89"/>
      <c r="M216" s="89"/>
      <c r="N216" s="89"/>
      <c r="O216" s="88">
        <f>(SUBTOTAL(9,O217:O218))</f>
        <v>0</v>
      </c>
      <c r="P216" s="88">
        <f>(SUBTOTAL(9,P217:P218))</f>
        <v>-6</v>
      </c>
      <c r="Q216" s="88">
        <f>(SUBTOTAL(9,Q217:Q218))</f>
        <v>0</v>
      </c>
      <c r="R216" s="88">
        <f>(SUBTOTAL(9,R217:R218))</f>
        <v>0</v>
      </c>
      <c r="S216" s="88">
        <f>(SUBTOTAL(9,S217:S218))</f>
        <v>0</v>
      </c>
      <c r="T216" s="88">
        <f>(SUBTOTAL(9,T217:T218))</f>
        <v>0</v>
      </c>
      <c r="U216" s="87">
        <f t="shared" ref="U216" si="139">SUBTOTAL(9,O217:T218)</f>
        <v>-6</v>
      </c>
    </row>
    <row r="217" spans="1:21" ht="17.25" customHeight="1" x14ac:dyDescent="0.3">
      <c r="A217" s="66" t="s">
        <v>30</v>
      </c>
      <c r="C217" s="67"/>
      <c r="D217" s="77" t="str">
        <f t="shared" ref="D217" si="140">D216</f>
        <v>C100043</v>
      </c>
      <c r="E217" s="77"/>
      <c r="F217" s="76"/>
      <c r="G217" s="76" t="str">
        <f>"""NAV Direct"",""CRONUS JetCorp USA"",""32"",""1"",""12455"""</f>
        <v>"NAV Direct","CRONUS JetCorp USA","32","1","12455"</v>
      </c>
      <c r="H217" s="86">
        <v>43469</v>
      </c>
      <c r="I217" s="85">
        <v>12455</v>
      </c>
      <c r="J217" s="84" t="str">
        <f>"Customer"</f>
        <v>Customer</v>
      </c>
      <c r="K217" s="84" t="str">
        <f>"C100064"</f>
        <v>C100064</v>
      </c>
      <c r="L217" s="84" t="str">
        <f>IF($J217="Customer",_xll.NL("first",$J217,"Name","No.","@@"&amp;$K217),"")</f>
        <v>Möbel Siegfried</v>
      </c>
      <c r="M217" s="84" t="str">
        <f>""</f>
        <v/>
      </c>
      <c r="N217" s="84" t="str">
        <f>IF($J217="Item",_xll.NL("first",$J217,"Description","No.","@@"&amp;$K217),"")</f>
        <v/>
      </c>
      <c r="O217" s="83">
        <v>0</v>
      </c>
      <c r="P217" s="83">
        <v>-6</v>
      </c>
      <c r="Q217" s="83">
        <v>0</v>
      </c>
      <c r="R217" s="83">
        <v>0</v>
      </c>
      <c r="S217" s="83">
        <v>0</v>
      </c>
      <c r="T217" s="83">
        <v>0</v>
      </c>
      <c r="U217" s="82"/>
    </row>
    <row r="218" spans="1:21" ht="17.25" customHeight="1" x14ac:dyDescent="0.3">
      <c r="A218" s="66" t="s">
        <v>30</v>
      </c>
      <c r="C218" s="67"/>
      <c r="D218" s="77"/>
      <c r="E218" s="77"/>
      <c r="F218" s="76"/>
      <c r="G218" s="76"/>
      <c r="H218" s="76"/>
      <c r="I218" s="76"/>
      <c r="J218" s="76"/>
      <c r="K218" s="76"/>
      <c r="L218" s="76"/>
      <c r="M218" s="76"/>
      <c r="N218" s="76"/>
      <c r="O218" s="75"/>
      <c r="P218" s="75"/>
      <c r="Q218" s="75"/>
      <c r="R218" s="75"/>
      <c r="S218" s="75"/>
      <c r="T218" s="75"/>
      <c r="U218" s="74"/>
    </row>
    <row r="219" spans="1:21" ht="17.25" customHeight="1" x14ac:dyDescent="0.3">
      <c r="A219" s="66" t="s">
        <v>30</v>
      </c>
      <c r="C219" s="67"/>
      <c r="D219" s="77"/>
      <c r="E219" s="77" t="s">
        <v>31</v>
      </c>
      <c r="F219" s="76" t="s">
        <v>31</v>
      </c>
      <c r="G219" s="76" t="s">
        <v>31</v>
      </c>
      <c r="H219" s="76"/>
      <c r="I219" s="76"/>
      <c r="J219" s="76" t="s">
        <v>31</v>
      </c>
      <c r="K219" s="76" t="s">
        <v>31</v>
      </c>
      <c r="L219" s="76" t="s">
        <v>31</v>
      </c>
      <c r="M219" s="76" t="s">
        <v>31</v>
      </c>
      <c r="N219" s="76"/>
      <c r="U219" s="81"/>
    </row>
    <row r="220" spans="1:21" ht="20.25" customHeight="1" x14ac:dyDescent="0.35">
      <c r="A220" s="66" t="s">
        <v>30</v>
      </c>
      <c r="C220" s="67"/>
      <c r="D220" s="92" t="str">
        <f t="shared" ref="D220" si="141">E220</f>
        <v>C100044</v>
      </c>
      <c r="E220" s="91" t="str">
        <f>"C100044"</f>
        <v>C100044</v>
      </c>
      <c r="F220" s="89" t="str">
        <f>"VOIP Headset with Mic"</f>
        <v>VOIP Headset with Mic</v>
      </c>
      <c r="G220" s="89"/>
      <c r="H220" s="90" t="str">
        <f>"EA"</f>
        <v>EA</v>
      </c>
      <c r="I220" s="89"/>
      <c r="J220" s="89"/>
      <c r="K220" s="89"/>
      <c r="L220" s="89"/>
      <c r="M220" s="89"/>
      <c r="N220" s="89"/>
      <c r="O220" s="88">
        <f>(SUBTOTAL(9,O221:O225))</f>
        <v>900</v>
      </c>
      <c r="P220" s="88">
        <f>(SUBTOTAL(9,P221:P225))</f>
        <v>-90</v>
      </c>
      <c r="Q220" s="88">
        <f>(SUBTOTAL(9,Q221:Q225))</f>
        <v>0</v>
      </c>
      <c r="R220" s="88">
        <f>(SUBTOTAL(9,R221:R225))</f>
        <v>0</v>
      </c>
      <c r="S220" s="88">
        <f>(SUBTOTAL(9,S221:S225))</f>
        <v>0</v>
      </c>
      <c r="T220" s="88">
        <f>(SUBTOTAL(9,T221:T225))</f>
        <v>0</v>
      </c>
      <c r="U220" s="87">
        <f t="shared" ref="U220" si="142">SUBTOTAL(9,O221:T225)</f>
        <v>810</v>
      </c>
    </row>
    <row r="221" spans="1:21" ht="17.25" customHeight="1" x14ac:dyDescent="0.3">
      <c r="A221" s="66" t="s">
        <v>30</v>
      </c>
      <c r="C221" s="67"/>
      <c r="D221" s="77" t="str">
        <f t="shared" ref="D221" si="143">D220</f>
        <v>C100044</v>
      </c>
      <c r="E221" s="77"/>
      <c r="F221" s="76"/>
      <c r="G221" s="76" t="str">
        <f>"""NAV Direct"",""CRONUS JetCorp USA"",""32"",""1"",""168014"""</f>
        <v>"NAV Direct","CRONUS JetCorp USA","32","1","168014"</v>
      </c>
      <c r="H221" s="86">
        <v>43466</v>
      </c>
      <c r="I221" s="85">
        <v>168014</v>
      </c>
      <c r="J221" s="84" t="str">
        <f>"Vendor"</f>
        <v>Vendor</v>
      </c>
      <c r="K221" s="84" t="str">
        <f>"V100040"</f>
        <v>V100040</v>
      </c>
      <c r="L221" s="84" t="str">
        <f>IF($J221="Customer",_xll.NL("first",$J221,"Name","No.","@@"&amp;$K221),"")</f>
        <v/>
      </c>
      <c r="M221" s="84" t="str">
        <f>"Technische Betriebe Rotkreuz"</f>
        <v>Technische Betriebe Rotkreuz</v>
      </c>
      <c r="N221" s="84" t="str">
        <f>IF($J221="Item",_xll.NL("first",$J221,"Description","No.","@@"&amp;$K221),"")</f>
        <v/>
      </c>
      <c r="O221" s="83">
        <v>900</v>
      </c>
      <c r="P221" s="83">
        <v>0</v>
      </c>
      <c r="Q221" s="83">
        <v>0</v>
      </c>
      <c r="R221" s="83">
        <v>0</v>
      </c>
      <c r="S221" s="83">
        <v>0</v>
      </c>
      <c r="T221" s="83">
        <v>0</v>
      </c>
      <c r="U221" s="82"/>
    </row>
    <row r="222" spans="1:21" ht="17.25" customHeight="1" x14ac:dyDescent="0.3">
      <c r="A222" s="66" t="s">
        <v>30</v>
      </c>
      <c r="C222" s="67"/>
      <c r="D222" s="77" t="str">
        <f t="shared" ref="D222:D224" si="144">D221</f>
        <v>C100044</v>
      </c>
      <c r="E222" s="77"/>
      <c r="F222" s="76"/>
      <c r="G222" s="76" t="str">
        <f>"""NAV Direct"",""CRONUS JetCorp USA"",""32"",""1"",""120184"""</f>
        <v>"NAV Direct","CRONUS JetCorp USA","32","1","120184"</v>
      </c>
      <c r="H222" s="86">
        <v>43469</v>
      </c>
      <c r="I222" s="85">
        <v>120184</v>
      </c>
      <c r="J222" s="84" t="str">
        <f>"Customer"</f>
        <v>Customer</v>
      </c>
      <c r="K222" s="84" t="str">
        <f>"C100134"</f>
        <v>C100134</v>
      </c>
      <c r="L222" s="84" t="str">
        <f>IF($J222="Customer",_xll.NL("first",$J222,"Name","No.","@@"&amp;$K222),"")</f>
        <v>Iber Tech</v>
      </c>
      <c r="M222" s="84" t="str">
        <f>""</f>
        <v/>
      </c>
      <c r="N222" s="84" t="str">
        <f>IF($J222="Item",_xll.NL("first",$J222,"Description","No.","@@"&amp;$K222),"")</f>
        <v/>
      </c>
      <c r="O222" s="83">
        <v>0</v>
      </c>
      <c r="P222" s="83">
        <v>-12</v>
      </c>
      <c r="Q222" s="83">
        <v>0</v>
      </c>
      <c r="R222" s="83">
        <v>0</v>
      </c>
      <c r="S222" s="83">
        <v>0</v>
      </c>
      <c r="T222" s="83">
        <v>0</v>
      </c>
      <c r="U222" s="82"/>
    </row>
    <row r="223" spans="1:21" ht="17.25" customHeight="1" x14ac:dyDescent="0.3">
      <c r="A223" s="66" t="s">
        <v>30</v>
      </c>
      <c r="C223" s="67"/>
      <c r="D223" s="77" t="str">
        <f t="shared" si="144"/>
        <v>C100044</v>
      </c>
      <c r="E223" s="77"/>
      <c r="F223" s="76"/>
      <c r="G223" s="76" t="str">
        <f>"""NAV Direct"",""CRONUS JetCorp USA"",""32"",""1"",""15152"""</f>
        <v>"NAV Direct","CRONUS JetCorp USA","32","1","15152"</v>
      </c>
      <c r="H223" s="86">
        <v>43471</v>
      </c>
      <c r="I223" s="85">
        <v>15152</v>
      </c>
      <c r="J223" s="84" t="str">
        <f>"Customer"</f>
        <v>Customer</v>
      </c>
      <c r="K223" s="84" t="str">
        <f>"C100134"</f>
        <v>C100134</v>
      </c>
      <c r="L223" s="84" t="str">
        <f>IF($J223="Customer",_xll.NL("first",$J223,"Name","No.","@@"&amp;$K223),"")</f>
        <v>Iber Tech</v>
      </c>
      <c r="M223" s="84" t="str">
        <f>""</f>
        <v/>
      </c>
      <c r="N223" s="84" t="str">
        <f>IF($J223="Item",_xll.NL("first",$J223,"Description","No.","@@"&amp;$K223),"")</f>
        <v/>
      </c>
      <c r="O223" s="83">
        <v>0</v>
      </c>
      <c r="P223" s="83">
        <v>-24</v>
      </c>
      <c r="Q223" s="83">
        <v>0</v>
      </c>
      <c r="R223" s="83">
        <v>0</v>
      </c>
      <c r="S223" s="83">
        <v>0</v>
      </c>
      <c r="T223" s="83">
        <v>0</v>
      </c>
      <c r="U223" s="82"/>
    </row>
    <row r="224" spans="1:21" ht="17.25" customHeight="1" x14ac:dyDescent="0.3">
      <c r="A224" s="66" t="s">
        <v>30</v>
      </c>
      <c r="C224" s="67"/>
      <c r="D224" s="77" t="str">
        <f t="shared" si="144"/>
        <v>C100044</v>
      </c>
      <c r="E224" s="77"/>
      <c r="F224" s="76"/>
      <c r="G224" s="76" t="str">
        <f>"""NAV Direct"",""CRONUS JetCorp USA"",""32"",""1"",""118083"""</f>
        <v>"NAV Direct","CRONUS JetCorp USA","32","1","118083"</v>
      </c>
      <c r="H224" s="86">
        <v>43471</v>
      </c>
      <c r="I224" s="85">
        <v>118083</v>
      </c>
      <c r="J224" s="84" t="str">
        <f>"Customer"</f>
        <v>Customer</v>
      </c>
      <c r="K224" s="84" t="str">
        <f>"C100060"</f>
        <v>C100060</v>
      </c>
      <c r="L224" s="84" t="str">
        <f>IF($J224="Customer",_xll.NL("first",$J224,"Name","No.","@@"&amp;$K224),"")</f>
        <v>MEMA Ljubljana d.o.o.</v>
      </c>
      <c r="M224" s="84" t="str">
        <f>""</f>
        <v/>
      </c>
      <c r="N224" s="84" t="str">
        <f>IF($J224="Item",_xll.NL("first",$J224,"Description","No.","@@"&amp;$K224),"")</f>
        <v/>
      </c>
      <c r="O224" s="83">
        <v>0</v>
      </c>
      <c r="P224" s="83">
        <v>-54</v>
      </c>
      <c r="Q224" s="83">
        <v>0</v>
      </c>
      <c r="R224" s="83">
        <v>0</v>
      </c>
      <c r="S224" s="83">
        <v>0</v>
      </c>
      <c r="T224" s="83">
        <v>0</v>
      </c>
      <c r="U224" s="82"/>
    </row>
    <row r="225" spans="1:21" ht="17.25" customHeight="1" x14ac:dyDescent="0.3">
      <c r="A225" s="66" t="s">
        <v>30</v>
      </c>
      <c r="C225" s="67"/>
      <c r="D225" s="77"/>
      <c r="E225" s="77"/>
      <c r="F225" s="76"/>
      <c r="G225" s="76"/>
      <c r="H225" s="76"/>
      <c r="I225" s="76"/>
      <c r="J225" s="76"/>
      <c r="K225" s="76"/>
      <c r="L225" s="76"/>
      <c r="M225" s="76"/>
      <c r="N225" s="76"/>
      <c r="O225" s="75"/>
      <c r="P225" s="75"/>
      <c r="Q225" s="75"/>
      <c r="R225" s="75"/>
      <c r="S225" s="75"/>
      <c r="T225" s="75"/>
      <c r="U225" s="74"/>
    </row>
    <row r="226" spans="1:21" ht="17.25" customHeight="1" x14ac:dyDescent="0.3">
      <c r="A226" s="66" t="s">
        <v>30</v>
      </c>
      <c r="C226" s="67"/>
      <c r="D226" s="77"/>
      <c r="E226" s="77" t="s">
        <v>31</v>
      </c>
      <c r="F226" s="76" t="s">
        <v>31</v>
      </c>
      <c r="G226" s="76" t="s">
        <v>31</v>
      </c>
      <c r="H226" s="76"/>
      <c r="I226" s="76"/>
      <c r="J226" s="76" t="s">
        <v>31</v>
      </c>
      <c r="K226" s="76" t="s">
        <v>31</v>
      </c>
      <c r="L226" s="76" t="s">
        <v>31</v>
      </c>
      <c r="M226" s="76" t="s">
        <v>31</v>
      </c>
      <c r="N226" s="76"/>
      <c r="U226" s="81"/>
    </row>
    <row r="227" spans="1:21" ht="20.25" customHeight="1" x14ac:dyDescent="0.35">
      <c r="A227" s="66" t="s">
        <v>30</v>
      </c>
      <c r="C227" s="67"/>
      <c r="D227" s="92" t="str">
        <f t="shared" ref="D227" si="145">E227</f>
        <v>C100045</v>
      </c>
      <c r="E227" s="91" t="str">
        <f>"C100045"</f>
        <v>C100045</v>
      </c>
      <c r="F227" s="89" t="str">
        <f>"Wireless Headphones"</f>
        <v>Wireless Headphones</v>
      </c>
      <c r="G227" s="89"/>
      <c r="H227" s="90" t="str">
        <f>"EA"</f>
        <v>EA</v>
      </c>
      <c r="I227" s="89"/>
      <c r="J227" s="89"/>
      <c r="K227" s="89"/>
      <c r="L227" s="89"/>
      <c r="M227" s="89"/>
      <c r="N227" s="89"/>
      <c r="O227" s="88">
        <f>(SUBTOTAL(9,O228:O229))</f>
        <v>100</v>
      </c>
      <c r="P227" s="88">
        <f>(SUBTOTAL(9,P228:P229))</f>
        <v>0</v>
      </c>
      <c r="Q227" s="88">
        <f>(SUBTOTAL(9,Q228:Q229))</f>
        <v>0</v>
      </c>
      <c r="R227" s="88">
        <f>(SUBTOTAL(9,R228:R229))</f>
        <v>0</v>
      </c>
      <c r="S227" s="88">
        <f>(SUBTOTAL(9,S228:S229))</f>
        <v>0</v>
      </c>
      <c r="T227" s="88">
        <f>(SUBTOTAL(9,T228:T229))</f>
        <v>0</v>
      </c>
      <c r="U227" s="87">
        <f t="shared" ref="U227" si="146">SUBTOTAL(9,O228:T229)</f>
        <v>100</v>
      </c>
    </row>
    <row r="228" spans="1:21" ht="17.25" customHeight="1" x14ac:dyDescent="0.3">
      <c r="A228" s="66" t="s">
        <v>30</v>
      </c>
      <c r="C228" s="67"/>
      <c r="D228" s="77" t="str">
        <f t="shared" ref="D228" si="147">D227</f>
        <v>C100045</v>
      </c>
      <c r="E228" s="77"/>
      <c r="F228" s="76"/>
      <c r="G228" s="76" t="str">
        <f>"""NAV Direct"",""CRONUS JetCorp USA"",""32"",""1"",""168013"""</f>
        <v>"NAV Direct","CRONUS JetCorp USA","32","1","168013"</v>
      </c>
      <c r="H228" s="86">
        <v>43466</v>
      </c>
      <c r="I228" s="85">
        <v>168013</v>
      </c>
      <c r="J228" s="84" t="str">
        <f>"Vendor"</f>
        <v>Vendor</v>
      </c>
      <c r="K228" s="84" t="str">
        <f>"V100040"</f>
        <v>V100040</v>
      </c>
      <c r="L228" s="84" t="str">
        <f>IF($J228="Customer",_xll.NL("first",$J228,"Name","No.","@@"&amp;$K228),"")</f>
        <v/>
      </c>
      <c r="M228" s="84" t="str">
        <f>"Technische Betriebe Rotkreuz"</f>
        <v>Technische Betriebe Rotkreuz</v>
      </c>
      <c r="N228" s="84" t="str">
        <f>IF($J228="Item",_xll.NL("first",$J228,"Description","No.","@@"&amp;$K228),"")</f>
        <v/>
      </c>
      <c r="O228" s="83">
        <v>100</v>
      </c>
      <c r="P228" s="83">
        <v>0</v>
      </c>
      <c r="Q228" s="83">
        <v>0</v>
      </c>
      <c r="R228" s="83">
        <v>0</v>
      </c>
      <c r="S228" s="83">
        <v>0</v>
      </c>
      <c r="T228" s="83">
        <v>0</v>
      </c>
      <c r="U228" s="82"/>
    </row>
    <row r="229" spans="1:21" ht="17.25" customHeight="1" x14ac:dyDescent="0.3">
      <c r="A229" s="66" t="s">
        <v>30</v>
      </c>
      <c r="C229" s="67"/>
      <c r="D229" s="77"/>
      <c r="E229" s="77"/>
      <c r="F229" s="76"/>
      <c r="G229" s="76"/>
      <c r="H229" s="76"/>
      <c r="I229" s="76"/>
      <c r="J229" s="76"/>
      <c r="K229" s="76"/>
      <c r="L229" s="76"/>
      <c r="M229" s="76"/>
      <c r="N229" s="76"/>
      <c r="O229" s="75"/>
      <c r="P229" s="75"/>
      <c r="Q229" s="75"/>
      <c r="R229" s="75"/>
      <c r="S229" s="75"/>
      <c r="T229" s="75"/>
      <c r="U229" s="74"/>
    </row>
    <row r="230" spans="1:21" ht="17.25" customHeight="1" x14ac:dyDescent="0.3">
      <c r="A230" s="66" t="s">
        <v>30</v>
      </c>
      <c r="C230" s="67"/>
      <c r="D230" s="77"/>
      <c r="E230" s="77" t="s">
        <v>31</v>
      </c>
      <c r="F230" s="76" t="s">
        <v>31</v>
      </c>
      <c r="G230" s="76" t="s">
        <v>31</v>
      </c>
      <c r="H230" s="76"/>
      <c r="I230" s="76"/>
      <c r="J230" s="76" t="s">
        <v>31</v>
      </c>
      <c r="K230" s="76" t="s">
        <v>31</v>
      </c>
      <c r="L230" s="76" t="s">
        <v>31</v>
      </c>
      <c r="M230" s="76" t="s">
        <v>31</v>
      </c>
      <c r="N230" s="76"/>
      <c r="U230" s="81"/>
    </row>
    <row r="231" spans="1:21" ht="20.25" customHeight="1" x14ac:dyDescent="0.35">
      <c r="A231" s="66" t="s">
        <v>30</v>
      </c>
      <c r="C231" s="67"/>
      <c r="D231" s="92" t="str">
        <f t="shared" ref="D231" si="148">E231</f>
        <v>C100046</v>
      </c>
      <c r="E231" s="91" t="str">
        <f>"C100046"</f>
        <v>C100046</v>
      </c>
      <c r="F231" s="89" t="str">
        <f>"1GB MP3 Player"</f>
        <v>1GB MP3 Player</v>
      </c>
      <c r="G231" s="89"/>
      <c r="H231" s="90" t="str">
        <f>"EA"</f>
        <v>EA</v>
      </c>
      <c r="I231" s="89"/>
      <c r="J231" s="89"/>
      <c r="K231" s="89"/>
      <c r="L231" s="89"/>
      <c r="M231" s="89"/>
      <c r="N231" s="89"/>
      <c r="O231" s="88">
        <f>(SUBTOTAL(9,O232:O235))</f>
        <v>200</v>
      </c>
      <c r="P231" s="88">
        <f>(SUBTOTAL(9,P232:P235))</f>
        <v>-13</v>
      </c>
      <c r="Q231" s="88">
        <f>(SUBTOTAL(9,Q232:Q235))</f>
        <v>0</v>
      </c>
      <c r="R231" s="88">
        <f>(SUBTOTAL(9,R232:R235))</f>
        <v>0</v>
      </c>
      <c r="S231" s="88">
        <f>(SUBTOTAL(9,S232:S235))</f>
        <v>0</v>
      </c>
      <c r="T231" s="88">
        <f>(SUBTOTAL(9,T232:T235))</f>
        <v>0</v>
      </c>
      <c r="U231" s="87">
        <f t="shared" ref="U231" si="149">SUBTOTAL(9,O232:T235)</f>
        <v>187</v>
      </c>
    </row>
    <row r="232" spans="1:21" ht="17.25" customHeight="1" x14ac:dyDescent="0.3">
      <c r="A232" s="66" t="s">
        <v>30</v>
      </c>
      <c r="C232" s="67"/>
      <c r="D232" s="77" t="str">
        <f t="shared" ref="D232" si="150">D231</f>
        <v>C100046</v>
      </c>
      <c r="E232" s="77"/>
      <c r="F232" s="76"/>
      <c r="G232" s="76" t="str">
        <f>"""NAV Direct"",""CRONUS JetCorp USA"",""32"",""1"",""168012"""</f>
        <v>"NAV Direct","CRONUS JetCorp USA","32","1","168012"</v>
      </c>
      <c r="H232" s="86">
        <v>43466</v>
      </c>
      <c r="I232" s="85">
        <v>168012</v>
      </c>
      <c r="J232" s="84" t="str">
        <f>"Vendor"</f>
        <v>Vendor</v>
      </c>
      <c r="K232" s="84" t="str">
        <f>"V100040"</f>
        <v>V100040</v>
      </c>
      <c r="L232" s="84" t="str">
        <f>IF($J232="Customer",_xll.NL("first",$J232,"Name","No.","@@"&amp;$K232),"")</f>
        <v/>
      </c>
      <c r="M232" s="84" t="str">
        <f>"Technische Betriebe Rotkreuz"</f>
        <v>Technische Betriebe Rotkreuz</v>
      </c>
      <c r="N232" s="84" t="str">
        <f>IF($J232="Item",_xll.NL("first",$J232,"Description","No.","@@"&amp;$K232),"")</f>
        <v/>
      </c>
      <c r="O232" s="83">
        <v>200</v>
      </c>
      <c r="P232" s="83">
        <v>0</v>
      </c>
      <c r="Q232" s="83">
        <v>0</v>
      </c>
      <c r="R232" s="83">
        <v>0</v>
      </c>
      <c r="S232" s="83">
        <v>0</v>
      </c>
      <c r="T232" s="83">
        <v>0</v>
      </c>
      <c r="U232" s="82"/>
    </row>
    <row r="233" spans="1:21" ht="17.25" customHeight="1" x14ac:dyDescent="0.3">
      <c r="A233" s="66" t="s">
        <v>30</v>
      </c>
      <c r="C233" s="67"/>
      <c r="D233" s="77" t="str">
        <f t="shared" ref="D233:D234" si="151">D232</f>
        <v>C100046</v>
      </c>
      <c r="E233" s="77"/>
      <c r="F233" s="76"/>
      <c r="G233" s="76" t="str">
        <f>"""NAV Direct"",""CRONUS JetCorp USA"",""32"",""1"",""120183"""</f>
        <v>"NAV Direct","CRONUS JetCorp USA","32","1","120183"</v>
      </c>
      <c r="H233" s="86">
        <v>43469</v>
      </c>
      <c r="I233" s="85">
        <v>120183</v>
      </c>
      <c r="J233" s="84" t="str">
        <f>"Customer"</f>
        <v>Customer</v>
      </c>
      <c r="K233" s="84" t="str">
        <f>"C100134"</f>
        <v>C100134</v>
      </c>
      <c r="L233" s="84" t="str">
        <f>IF($J233="Customer",_xll.NL("first",$J233,"Name","No.","@@"&amp;$K233),"")</f>
        <v>Iber Tech</v>
      </c>
      <c r="M233" s="84" t="str">
        <f>""</f>
        <v/>
      </c>
      <c r="N233" s="84" t="str">
        <f>IF($J233="Item",_xll.NL("first",$J233,"Description","No.","@@"&amp;$K233),"")</f>
        <v/>
      </c>
      <c r="O233" s="83">
        <v>0</v>
      </c>
      <c r="P233" s="83">
        <v>-12</v>
      </c>
      <c r="Q233" s="83">
        <v>0</v>
      </c>
      <c r="R233" s="83">
        <v>0</v>
      </c>
      <c r="S233" s="83">
        <v>0</v>
      </c>
      <c r="T233" s="83">
        <v>0</v>
      </c>
      <c r="U233" s="82"/>
    </row>
    <row r="234" spans="1:21" ht="17.25" customHeight="1" x14ac:dyDescent="0.3">
      <c r="A234" s="66" t="s">
        <v>30</v>
      </c>
      <c r="C234" s="67"/>
      <c r="D234" s="77" t="str">
        <f t="shared" si="151"/>
        <v>C100046</v>
      </c>
      <c r="E234" s="77"/>
      <c r="F234" s="76"/>
      <c r="G234" s="76" t="str">
        <f>"""NAV Direct"",""CRONUS JetCorp USA"",""32"",""1"",""15154"""</f>
        <v>"NAV Direct","CRONUS JetCorp USA","32","1","15154"</v>
      </c>
      <c r="H234" s="86">
        <v>43471</v>
      </c>
      <c r="I234" s="85">
        <v>15154</v>
      </c>
      <c r="J234" s="84" t="str">
        <f>"Customer"</f>
        <v>Customer</v>
      </c>
      <c r="K234" s="84" t="str">
        <f>"C100134"</f>
        <v>C100134</v>
      </c>
      <c r="L234" s="84" t="str">
        <f>IF($J234="Customer",_xll.NL("first",$J234,"Name","No.","@@"&amp;$K234),"")</f>
        <v>Iber Tech</v>
      </c>
      <c r="M234" s="84" t="str">
        <f>""</f>
        <v/>
      </c>
      <c r="N234" s="84" t="str">
        <f>IF($J234="Item",_xll.NL("first",$J234,"Description","No.","@@"&amp;$K234),"")</f>
        <v/>
      </c>
      <c r="O234" s="83">
        <v>0</v>
      </c>
      <c r="P234" s="83">
        <v>-1</v>
      </c>
      <c r="Q234" s="83">
        <v>0</v>
      </c>
      <c r="R234" s="83">
        <v>0</v>
      </c>
      <c r="S234" s="83">
        <v>0</v>
      </c>
      <c r="T234" s="83">
        <v>0</v>
      </c>
      <c r="U234" s="82"/>
    </row>
    <row r="235" spans="1:21" ht="17.25" customHeight="1" x14ac:dyDescent="0.3">
      <c r="A235" s="66" t="s">
        <v>30</v>
      </c>
      <c r="C235" s="67"/>
      <c r="D235" s="77"/>
      <c r="E235" s="77"/>
      <c r="F235" s="76"/>
      <c r="G235" s="76"/>
      <c r="H235" s="76"/>
      <c r="I235" s="76"/>
      <c r="J235" s="76"/>
      <c r="K235" s="76"/>
      <c r="L235" s="76"/>
      <c r="M235" s="76"/>
      <c r="N235" s="76"/>
      <c r="O235" s="75"/>
      <c r="P235" s="75"/>
      <c r="Q235" s="75"/>
      <c r="R235" s="75"/>
      <c r="S235" s="75"/>
      <c r="T235" s="75"/>
      <c r="U235" s="74"/>
    </row>
    <row r="236" spans="1:21" ht="17.25" customHeight="1" x14ac:dyDescent="0.3">
      <c r="A236" s="66" t="s">
        <v>30</v>
      </c>
      <c r="C236" s="67"/>
      <c r="D236" s="77"/>
      <c r="E236" s="77" t="s">
        <v>31</v>
      </c>
      <c r="F236" s="76" t="s">
        <v>31</v>
      </c>
      <c r="G236" s="76" t="s">
        <v>31</v>
      </c>
      <c r="H236" s="76"/>
      <c r="I236" s="76"/>
      <c r="J236" s="76" t="s">
        <v>31</v>
      </c>
      <c r="K236" s="76" t="s">
        <v>31</v>
      </c>
      <c r="L236" s="76" t="s">
        <v>31</v>
      </c>
      <c r="M236" s="76" t="s">
        <v>31</v>
      </c>
      <c r="N236" s="76"/>
      <c r="U236" s="81"/>
    </row>
    <row r="237" spans="1:21" ht="20.25" customHeight="1" x14ac:dyDescent="0.35">
      <c r="A237" s="66" t="s">
        <v>30</v>
      </c>
      <c r="C237" s="67"/>
      <c r="D237" s="92" t="str">
        <f t="shared" ref="D237" si="152">E237</f>
        <v>C100047</v>
      </c>
      <c r="E237" s="91" t="str">
        <f>"C100047"</f>
        <v>C100047</v>
      </c>
      <c r="F237" s="89" t="str">
        <f>"2GB MP3 Player"</f>
        <v>2GB MP3 Player</v>
      </c>
      <c r="G237" s="89"/>
      <c r="H237" s="90" t="str">
        <f>"EA"</f>
        <v>EA</v>
      </c>
      <c r="I237" s="89"/>
      <c r="J237" s="89"/>
      <c r="K237" s="89"/>
      <c r="L237" s="89"/>
      <c r="M237" s="89"/>
      <c r="N237" s="89"/>
      <c r="O237" s="88">
        <f>(SUBTOTAL(9,O238:O240))</f>
        <v>200</v>
      </c>
      <c r="P237" s="88">
        <f>(SUBTOTAL(9,P238:P240))</f>
        <v>-12</v>
      </c>
      <c r="Q237" s="88">
        <f>(SUBTOTAL(9,Q238:Q240))</f>
        <v>0</v>
      </c>
      <c r="R237" s="88">
        <f>(SUBTOTAL(9,R238:R240))</f>
        <v>0</v>
      </c>
      <c r="S237" s="88">
        <f>(SUBTOTAL(9,S238:S240))</f>
        <v>0</v>
      </c>
      <c r="T237" s="88">
        <f>(SUBTOTAL(9,T238:T240))</f>
        <v>0</v>
      </c>
      <c r="U237" s="87">
        <f t="shared" ref="U237" si="153">SUBTOTAL(9,O238:T240)</f>
        <v>188</v>
      </c>
    </row>
    <row r="238" spans="1:21" ht="17.25" customHeight="1" x14ac:dyDescent="0.3">
      <c r="A238" s="66" t="s">
        <v>30</v>
      </c>
      <c r="C238" s="67"/>
      <c r="D238" s="77" t="str">
        <f t="shared" ref="D238" si="154">D237</f>
        <v>C100047</v>
      </c>
      <c r="E238" s="77"/>
      <c r="F238" s="76"/>
      <c r="G238" s="76" t="str">
        <f>"""NAV Direct"",""CRONUS JetCorp USA"",""32"",""1"",""168011"""</f>
        <v>"NAV Direct","CRONUS JetCorp USA","32","1","168011"</v>
      </c>
      <c r="H238" s="86">
        <v>43466</v>
      </c>
      <c r="I238" s="85">
        <v>168011</v>
      </c>
      <c r="J238" s="84" t="str">
        <f>"Vendor"</f>
        <v>Vendor</v>
      </c>
      <c r="K238" s="84" t="str">
        <f>"V100040"</f>
        <v>V100040</v>
      </c>
      <c r="L238" s="84" t="str">
        <f>IF($J238="Customer",_xll.NL("first",$J238,"Name","No.","@@"&amp;$K238),"")</f>
        <v/>
      </c>
      <c r="M238" s="84" t="str">
        <f>"Technische Betriebe Rotkreuz"</f>
        <v>Technische Betriebe Rotkreuz</v>
      </c>
      <c r="N238" s="84" t="str">
        <f>IF($J238="Item",_xll.NL("first",$J238,"Description","No.","@@"&amp;$K238),"")</f>
        <v/>
      </c>
      <c r="O238" s="83">
        <v>200</v>
      </c>
      <c r="P238" s="83">
        <v>0</v>
      </c>
      <c r="Q238" s="83">
        <v>0</v>
      </c>
      <c r="R238" s="83">
        <v>0</v>
      </c>
      <c r="S238" s="83">
        <v>0</v>
      </c>
      <c r="T238" s="83">
        <v>0</v>
      </c>
      <c r="U238" s="82"/>
    </row>
    <row r="239" spans="1:21" ht="17.25" customHeight="1" x14ac:dyDescent="0.3">
      <c r="A239" s="66" t="s">
        <v>30</v>
      </c>
      <c r="C239" s="67"/>
      <c r="D239" s="77" t="str">
        <f t="shared" ref="D239" si="155">D238</f>
        <v>C100047</v>
      </c>
      <c r="E239" s="77"/>
      <c r="F239" s="76"/>
      <c r="G239" s="76" t="str">
        <f>"""NAV Direct"",""CRONUS JetCorp USA"",""32"",""1"",""12462"""</f>
        <v>"NAV Direct","CRONUS JetCorp USA","32","1","12462"</v>
      </c>
      <c r="H239" s="86">
        <v>43471</v>
      </c>
      <c r="I239" s="85">
        <v>12462</v>
      </c>
      <c r="J239" s="84" t="str">
        <f>"Customer"</f>
        <v>Customer</v>
      </c>
      <c r="K239" s="84" t="str">
        <f>"C100041"</f>
        <v>C100041</v>
      </c>
      <c r="L239" s="84" t="str">
        <f>IF($J239="Customer",_xll.NL("first",$J239,"Name","No.","@@"&amp;$K239),"")</f>
        <v>Heimilisprydi</v>
      </c>
      <c r="M239" s="84" t="str">
        <f>""</f>
        <v/>
      </c>
      <c r="N239" s="84" t="str">
        <f>IF($J239="Item",_xll.NL("first",$J239,"Description","No.","@@"&amp;$K239),"")</f>
        <v/>
      </c>
      <c r="O239" s="83">
        <v>0</v>
      </c>
      <c r="P239" s="83">
        <v>-12</v>
      </c>
      <c r="Q239" s="83">
        <v>0</v>
      </c>
      <c r="R239" s="83">
        <v>0</v>
      </c>
      <c r="S239" s="83">
        <v>0</v>
      </c>
      <c r="T239" s="83">
        <v>0</v>
      </c>
      <c r="U239" s="82"/>
    </row>
    <row r="240" spans="1:21" ht="17.25" customHeight="1" x14ac:dyDescent="0.3">
      <c r="A240" s="66" t="s">
        <v>30</v>
      </c>
      <c r="C240" s="67"/>
      <c r="D240" s="77"/>
      <c r="E240" s="77"/>
      <c r="F240" s="76"/>
      <c r="G240" s="76"/>
      <c r="H240" s="76"/>
      <c r="I240" s="76"/>
      <c r="J240" s="76"/>
      <c r="K240" s="76"/>
      <c r="L240" s="76"/>
      <c r="M240" s="76"/>
      <c r="N240" s="76"/>
      <c r="O240" s="75"/>
      <c r="P240" s="75"/>
      <c r="Q240" s="75"/>
      <c r="R240" s="75"/>
      <c r="S240" s="75"/>
      <c r="T240" s="75"/>
      <c r="U240" s="74"/>
    </row>
    <row r="241" spans="1:21" ht="17.25" customHeight="1" x14ac:dyDescent="0.3">
      <c r="A241" s="66" t="s">
        <v>30</v>
      </c>
      <c r="C241" s="67"/>
      <c r="D241" s="77"/>
      <c r="E241" s="77" t="s">
        <v>31</v>
      </c>
      <c r="F241" s="76" t="s">
        <v>31</v>
      </c>
      <c r="G241" s="76" t="s">
        <v>31</v>
      </c>
      <c r="H241" s="76"/>
      <c r="I241" s="76"/>
      <c r="J241" s="76" t="s">
        <v>31</v>
      </c>
      <c r="K241" s="76" t="s">
        <v>31</v>
      </c>
      <c r="L241" s="76" t="s">
        <v>31</v>
      </c>
      <c r="M241" s="76" t="s">
        <v>31</v>
      </c>
      <c r="N241" s="76"/>
      <c r="U241" s="81"/>
    </row>
    <row r="242" spans="1:21" ht="20.25" customHeight="1" x14ac:dyDescent="0.35">
      <c r="A242" s="66" t="s">
        <v>30</v>
      </c>
      <c r="C242" s="67"/>
      <c r="D242" s="92" t="str">
        <f t="shared" ref="D242" si="156">E242</f>
        <v>C100048</v>
      </c>
      <c r="E242" s="91" t="str">
        <f>"C100048"</f>
        <v>C100048</v>
      </c>
      <c r="F242" s="89" t="str">
        <f>"USB MP3 Player"</f>
        <v>USB MP3 Player</v>
      </c>
      <c r="G242" s="89"/>
      <c r="H242" s="90" t="str">
        <f>"EA"</f>
        <v>EA</v>
      </c>
      <c r="I242" s="89"/>
      <c r="J242" s="89"/>
      <c r="K242" s="89"/>
      <c r="L242" s="89"/>
      <c r="M242" s="89"/>
      <c r="N242" s="89"/>
      <c r="O242" s="88">
        <f>(SUBTOTAL(9,O243:O245))</f>
        <v>300</v>
      </c>
      <c r="P242" s="88">
        <f>(SUBTOTAL(9,P243:P245))</f>
        <v>-144</v>
      </c>
      <c r="Q242" s="88">
        <f>(SUBTOTAL(9,Q243:Q245))</f>
        <v>0</v>
      </c>
      <c r="R242" s="88">
        <f>(SUBTOTAL(9,R243:R245))</f>
        <v>0</v>
      </c>
      <c r="S242" s="88">
        <f>(SUBTOTAL(9,S243:S245))</f>
        <v>0</v>
      </c>
      <c r="T242" s="88">
        <f>(SUBTOTAL(9,T243:T245))</f>
        <v>0</v>
      </c>
      <c r="U242" s="87">
        <f t="shared" ref="U242" si="157">SUBTOTAL(9,O243:T245)</f>
        <v>156</v>
      </c>
    </row>
    <row r="243" spans="1:21" ht="17.25" customHeight="1" x14ac:dyDescent="0.3">
      <c r="A243" s="66" t="s">
        <v>30</v>
      </c>
      <c r="C243" s="67"/>
      <c r="D243" s="77" t="str">
        <f t="shared" ref="D243" si="158">D242</f>
        <v>C100048</v>
      </c>
      <c r="E243" s="77"/>
      <c r="F243" s="76"/>
      <c r="G243" s="76" t="str">
        <f>"""NAV Direct"",""CRONUS JetCorp USA"",""32"",""1"",""168010"""</f>
        <v>"NAV Direct","CRONUS JetCorp USA","32","1","168010"</v>
      </c>
      <c r="H243" s="86">
        <v>43466</v>
      </c>
      <c r="I243" s="85">
        <v>168010</v>
      </c>
      <c r="J243" s="84" t="str">
        <f>"Vendor"</f>
        <v>Vendor</v>
      </c>
      <c r="K243" s="84" t="str">
        <f>"V100040"</f>
        <v>V100040</v>
      </c>
      <c r="L243" s="84" t="str">
        <f>IF($J243="Customer",_xll.NL("first",$J243,"Name","No.","@@"&amp;$K243),"")</f>
        <v/>
      </c>
      <c r="M243" s="84" t="str">
        <f>"Technische Betriebe Rotkreuz"</f>
        <v>Technische Betriebe Rotkreuz</v>
      </c>
      <c r="N243" s="84" t="str">
        <f>IF($J243="Item",_xll.NL("first",$J243,"Description","No.","@@"&amp;$K243),"")</f>
        <v/>
      </c>
      <c r="O243" s="83">
        <v>300</v>
      </c>
      <c r="P243" s="83">
        <v>0</v>
      </c>
      <c r="Q243" s="83">
        <v>0</v>
      </c>
      <c r="R243" s="83">
        <v>0</v>
      </c>
      <c r="S243" s="83">
        <v>0</v>
      </c>
      <c r="T243" s="83">
        <v>0</v>
      </c>
      <c r="U243" s="82"/>
    </row>
    <row r="244" spans="1:21" ht="17.25" customHeight="1" x14ac:dyDescent="0.3">
      <c r="A244" s="66" t="s">
        <v>30</v>
      </c>
      <c r="C244" s="67"/>
      <c r="D244" s="77" t="str">
        <f t="shared" ref="D244" si="159">D243</f>
        <v>C100048</v>
      </c>
      <c r="E244" s="77"/>
      <c r="F244" s="76"/>
      <c r="G244" s="76" t="str">
        <f>"""NAV Direct"",""CRONUS JetCorp USA"",""32"",""1"",""12459"""</f>
        <v>"NAV Direct","CRONUS JetCorp USA","32","1","12459"</v>
      </c>
      <c r="H244" s="86">
        <v>43471</v>
      </c>
      <c r="I244" s="85">
        <v>12459</v>
      </c>
      <c r="J244" s="84" t="str">
        <f>"Customer"</f>
        <v>Customer</v>
      </c>
      <c r="K244" s="84" t="str">
        <f>"C100041"</f>
        <v>C100041</v>
      </c>
      <c r="L244" s="84" t="str">
        <f>IF($J244="Customer",_xll.NL("first",$J244,"Name","No.","@@"&amp;$K244),"")</f>
        <v>Heimilisprydi</v>
      </c>
      <c r="M244" s="84" t="str">
        <f>""</f>
        <v/>
      </c>
      <c r="N244" s="84" t="str">
        <f>IF($J244="Item",_xll.NL("first",$J244,"Description","No.","@@"&amp;$K244),"")</f>
        <v/>
      </c>
      <c r="O244" s="83">
        <v>0</v>
      </c>
      <c r="P244" s="83">
        <v>-144</v>
      </c>
      <c r="Q244" s="83">
        <v>0</v>
      </c>
      <c r="R244" s="83">
        <v>0</v>
      </c>
      <c r="S244" s="83">
        <v>0</v>
      </c>
      <c r="T244" s="83">
        <v>0</v>
      </c>
      <c r="U244" s="82"/>
    </row>
    <row r="245" spans="1:21" ht="17.25" customHeight="1" x14ac:dyDescent="0.3">
      <c r="A245" s="66" t="s">
        <v>30</v>
      </c>
      <c r="C245" s="67"/>
      <c r="D245" s="77"/>
      <c r="E245" s="77"/>
      <c r="F245" s="76"/>
      <c r="G245" s="76"/>
      <c r="H245" s="76"/>
      <c r="I245" s="76"/>
      <c r="J245" s="76"/>
      <c r="K245" s="76"/>
      <c r="L245" s="76"/>
      <c r="M245" s="76"/>
      <c r="N245" s="76"/>
      <c r="O245" s="75"/>
      <c r="P245" s="75"/>
      <c r="Q245" s="75"/>
      <c r="R245" s="75"/>
      <c r="S245" s="75"/>
      <c r="T245" s="75"/>
      <c r="U245" s="74"/>
    </row>
    <row r="246" spans="1:21" ht="17.25" customHeight="1" x14ac:dyDescent="0.3">
      <c r="A246" s="66" t="s">
        <v>30</v>
      </c>
      <c r="C246" s="67"/>
      <c r="D246" s="77"/>
      <c r="E246" s="77" t="s">
        <v>31</v>
      </c>
      <c r="F246" s="76" t="s">
        <v>31</v>
      </c>
      <c r="G246" s="76" t="s">
        <v>31</v>
      </c>
      <c r="H246" s="76"/>
      <c r="I246" s="76"/>
      <c r="J246" s="76" t="s">
        <v>31</v>
      </c>
      <c r="K246" s="76" t="s">
        <v>31</v>
      </c>
      <c r="L246" s="76" t="s">
        <v>31</v>
      </c>
      <c r="M246" s="76" t="s">
        <v>31</v>
      </c>
      <c r="N246" s="76"/>
      <c r="U246" s="81"/>
    </row>
    <row r="247" spans="1:21" ht="20.25" customHeight="1" x14ac:dyDescent="0.35">
      <c r="A247" s="66" t="s">
        <v>30</v>
      </c>
      <c r="C247" s="67"/>
      <c r="D247" s="92" t="str">
        <f t="shared" ref="D247" si="160">E247</f>
        <v>C100050</v>
      </c>
      <c r="E247" s="91" t="str">
        <f>"C100050"</f>
        <v>C100050</v>
      </c>
      <c r="F247" s="89" t="str">
        <f>"Clip-on MP3 Player"</f>
        <v>Clip-on MP3 Player</v>
      </c>
      <c r="G247" s="89"/>
      <c r="H247" s="90" t="str">
        <f>"EA"</f>
        <v>EA</v>
      </c>
      <c r="I247" s="89"/>
      <c r="J247" s="89"/>
      <c r="K247" s="89"/>
      <c r="L247" s="89"/>
      <c r="M247" s="89"/>
      <c r="N247" s="89"/>
      <c r="O247" s="88">
        <f>(SUBTOTAL(9,O248:O249))</f>
        <v>0</v>
      </c>
      <c r="P247" s="88">
        <f>(SUBTOTAL(9,P248:P249))</f>
        <v>-6</v>
      </c>
      <c r="Q247" s="88">
        <f>(SUBTOTAL(9,Q248:Q249))</f>
        <v>0</v>
      </c>
      <c r="R247" s="88">
        <f>(SUBTOTAL(9,R248:R249))</f>
        <v>0</v>
      </c>
      <c r="S247" s="88">
        <f>(SUBTOTAL(9,S248:S249))</f>
        <v>0</v>
      </c>
      <c r="T247" s="88">
        <f>(SUBTOTAL(9,T248:T249))</f>
        <v>0</v>
      </c>
      <c r="U247" s="87">
        <f t="shared" ref="U247" si="161">SUBTOTAL(9,O248:T249)</f>
        <v>-6</v>
      </c>
    </row>
    <row r="248" spans="1:21" ht="17.25" customHeight="1" x14ac:dyDescent="0.3">
      <c r="A248" s="66" t="s">
        <v>30</v>
      </c>
      <c r="C248" s="67"/>
      <c r="D248" s="77" t="str">
        <f t="shared" ref="D248" si="162">D247</f>
        <v>C100050</v>
      </c>
      <c r="E248" s="77"/>
      <c r="F248" s="76"/>
      <c r="G248" s="76" t="str">
        <f>"""NAV Direct"",""CRONUS JetCorp USA"",""32"",""1"",""12456"""</f>
        <v>"NAV Direct","CRONUS JetCorp USA","32","1","12456"</v>
      </c>
      <c r="H248" s="86">
        <v>43469</v>
      </c>
      <c r="I248" s="85">
        <v>12456</v>
      </c>
      <c r="J248" s="84" t="str">
        <f>"Customer"</f>
        <v>Customer</v>
      </c>
      <c r="K248" s="84" t="str">
        <f>"C100064"</f>
        <v>C100064</v>
      </c>
      <c r="L248" s="84" t="str">
        <f>IF($J248="Customer",_xll.NL("first",$J248,"Name","No.","@@"&amp;$K248),"")</f>
        <v>Möbel Siegfried</v>
      </c>
      <c r="M248" s="84" t="str">
        <f>""</f>
        <v/>
      </c>
      <c r="N248" s="84" t="str">
        <f>IF($J248="Item",_xll.NL("first",$J248,"Description","No.","@@"&amp;$K248),"")</f>
        <v/>
      </c>
      <c r="O248" s="83">
        <v>0</v>
      </c>
      <c r="P248" s="83">
        <v>-6</v>
      </c>
      <c r="Q248" s="83">
        <v>0</v>
      </c>
      <c r="R248" s="83">
        <v>0</v>
      </c>
      <c r="S248" s="83">
        <v>0</v>
      </c>
      <c r="T248" s="83">
        <v>0</v>
      </c>
      <c r="U248" s="82"/>
    </row>
    <row r="249" spans="1:21" ht="17.25" customHeight="1" x14ac:dyDescent="0.3">
      <c r="A249" s="66" t="s">
        <v>30</v>
      </c>
      <c r="C249" s="67"/>
      <c r="D249" s="77"/>
      <c r="E249" s="77"/>
      <c r="F249" s="76"/>
      <c r="G249" s="76"/>
      <c r="H249" s="76"/>
      <c r="I249" s="76"/>
      <c r="J249" s="76"/>
      <c r="K249" s="76"/>
      <c r="L249" s="76"/>
      <c r="M249" s="76"/>
      <c r="N249" s="76"/>
      <c r="O249" s="75"/>
      <c r="P249" s="75"/>
      <c r="Q249" s="75"/>
      <c r="R249" s="75"/>
      <c r="S249" s="75"/>
      <c r="T249" s="75"/>
      <c r="U249" s="74"/>
    </row>
    <row r="250" spans="1:21" ht="17.25" customHeight="1" x14ac:dyDescent="0.3">
      <c r="A250" s="66" t="s">
        <v>30</v>
      </c>
      <c r="C250" s="67"/>
      <c r="D250" s="77"/>
      <c r="E250" s="77" t="s">
        <v>31</v>
      </c>
      <c r="F250" s="76" t="s">
        <v>31</v>
      </c>
      <c r="G250" s="76" t="s">
        <v>31</v>
      </c>
      <c r="H250" s="76"/>
      <c r="I250" s="76"/>
      <c r="J250" s="76" t="s">
        <v>31</v>
      </c>
      <c r="K250" s="76" t="s">
        <v>31</v>
      </c>
      <c r="L250" s="76" t="s">
        <v>31</v>
      </c>
      <c r="M250" s="76" t="s">
        <v>31</v>
      </c>
      <c r="N250" s="76"/>
      <c r="U250" s="81"/>
    </row>
    <row r="251" spans="1:21" ht="20.25" customHeight="1" x14ac:dyDescent="0.35">
      <c r="A251" s="66" t="s">
        <v>30</v>
      </c>
      <c r="C251" s="67"/>
      <c r="D251" s="92" t="str">
        <f t="shared" ref="D251" si="163">E251</f>
        <v>C100051</v>
      </c>
      <c r="E251" s="91" t="str">
        <f>"C100051"</f>
        <v>C100051</v>
      </c>
      <c r="F251" s="89" t="str">
        <f>"Bamboo Digital Picutre Frame"</f>
        <v>Bamboo Digital Picutre Frame</v>
      </c>
      <c r="G251" s="89"/>
      <c r="H251" s="90" t="str">
        <f>"EA"</f>
        <v>EA</v>
      </c>
      <c r="I251" s="89"/>
      <c r="J251" s="89"/>
      <c r="K251" s="89"/>
      <c r="L251" s="89"/>
      <c r="M251" s="89"/>
      <c r="N251" s="89"/>
      <c r="O251" s="88">
        <f>(SUBTOTAL(9,O252:O253))</f>
        <v>0</v>
      </c>
      <c r="P251" s="88">
        <f>(SUBTOTAL(9,P252:P253))</f>
        <v>-144</v>
      </c>
      <c r="Q251" s="88">
        <f>(SUBTOTAL(9,Q252:Q253))</f>
        <v>0</v>
      </c>
      <c r="R251" s="88">
        <f>(SUBTOTAL(9,R252:R253))</f>
        <v>0</v>
      </c>
      <c r="S251" s="88">
        <f>(SUBTOTAL(9,S252:S253))</f>
        <v>0</v>
      </c>
      <c r="T251" s="88">
        <f>(SUBTOTAL(9,T252:T253))</f>
        <v>0</v>
      </c>
      <c r="U251" s="87">
        <f t="shared" ref="U251" si="164">SUBTOTAL(9,O252:T253)</f>
        <v>-144</v>
      </c>
    </row>
    <row r="252" spans="1:21" ht="17.25" customHeight="1" x14ac:dyDescent="0.3">
      <c r="A252" s="66" t="s">
        <v>30</v>
      </c>
      <c r="C252" s="67"/>
      <c r="D252" s="77" t="str">
        <f t="shared" ref="D252" si="165">D251</f>
        <v>C100051</v>
      </c>
      <c r="E252" s="77"/>
      <c r="F252" s="76"/>
      <c r="G252" s="76" t="str">
        <f>"""NAV Direct"",""CRONUS JetCorp USA"",""32"",""1"",""12450"""</f>
        <v>"NAV Direct","CRONUS JetCorp USA","32","1","12450"</v>
      </c>
      <c r="H252" s="86">
        <v>43469</v>
      </c>
      <c r="I252" s="85">
        <v>12450</v>
      </c>
      <c r="J252" s="84" t="str">
        <f>"Customer"</f>
        <v>Customer</v>
      </c>
      <c r="K252" s="84" t="str">
        <f>"C100064"</f>
        <v>C100064</v>
      </c>
      <c r="L252" s="84" t="str">
        <f>IF($J252="Customer",_xll.NL("first",$J252,"Name","No.","@@"&amp;$K252),"")</f>
        <v>Möbel Siegfried</v>
      </c>
      <c r="M252" s="84" t="str">
        <f>""</f>
        <v/>
      </c>
      <c r="N252" s="84" t="str">
        <f>IF($J252="Item",_xll.NL("first",$J252,"Description","No.","@@"&amp;$K252),"")</f>
        <v/>
      </c>
      <c r="O252" s="83">
        <v>0</v>
      </c>
      <c r="P252" s="83">
        <v>-144</v>
      </c>
      <c r="Q252" s="83">
        <v>0</v>
      </c>
      <c r="R252" s="83">
        <v>0</v>
      </c>
      <c r="S252" s="83">
        <v>0</v>
      </c>
      <c r="T252" s="83">
        <v>0</v>
      </c>
      <c r="U252" s="82"/>
    </row>
    <row r="253" spans="1:21" ht="17.25" customHeight="1" x14ac:dyDescent="0.3">
      <c r="A253" s="66" t="s">
        <v>30</v>
      </c>
      <c r="C253" s="67"/>
      <c r="D253" s="77"/>
      <c r="E253" s="77"/>
      <c r="F253" s="76"/>
      <c r="G253" s="76"/>
      <c r="H253" s="76"/>
      <c r="I253" s="76"/>
      <c r="J253" s="76"/>
      <c r="K253" s="76"/>
      <c r="L253" s="76"/>
      <c r="M253" s="76"/>
      <c r="N253" s="76"/>
      <c r="O253" s="75"/>
      <c r="P253" s="75"/>
      <c r="Q253" s="75"/>
      <c r="R253" s="75"/>
      <c r="S253" s="75"/>
      <c r="T253" s="75"/>
      <c r="U253" s="74"/>
    </row>
    <row r="254" spans="1:21" ht="17.25" customHeight="1" x14ac:dyDescent="0.3">
      <c r="A254" s="66" t="s">
        <v>30</v>
      </c>
      <c r="C254" s="67"/>
      <c r="D254" s="77"/>
      <c r="E254" s="77" t="s">
        <v>31</v>
      </c>
      <c r="F254" s="76" t="s">
        <v>31</v>
      </c>
      <c r="G254" s="76" t="s">
        <v>31</v>
      </c>
      <c r="H254" s="76"/>
      <c r="I254" s="76"/>
      <c r="J254" s="76" t="s">
        <v>31</v>
      </c>
      <c r="K254" s="76" t="s">
        <v>31</v>
      </c>
      <c r="L254" s="76" t="s">
        <v>31</v>
      </c>
      <c r="M254" s="76" t="s">
        <v>31</v>
      </c>
      <c r="N254" s="76"/>
      <c r="U254" s="81"/>
    </row>
    <row r="255" spans="1:21" ht="20.25" customHeight="1" x14ac:dyDescent="0.35">
      <c r="A255" s="66" t="s">
        <v>30</v>
      </c>
      <c r="C255" s="67"/>
      <c r="D255" s="92" t="str">
        <f t="shared" ref="D255" si="166">E255</f>
        <v>C100052</v>
      </c>
      <c r="E255" s="91" t="str">
        <f>"C100052"</f>
        <v>C100052</v>
      </c>
      <c r="F255" s="89" t="str">
        <f>"Black Digital Picture Frame"</f>
        <v>Black Digital Picture Frame</v>
      </c>
      <c r="G255" s="89"/>
      <c r="H255" s="90" t="str">
        <f>"EA"</f>
        <v>EA</v>
      </c>
      <c r="I255" s="89"/>
      <c r="J255" s="89"/>
      <c r="K255" s="89"/>
      <c r="L255" s="89"/>
      <c r="M255" s="89"/>
      <c r="N255" s="89"/>
      <c r="O255" s="88">
        <f>(SUBTOTAL(9,O256:O258))</f>
        <v>300</v>
      </c>
      <c r="P255" s="88">
        <f>(SUBTOTAL(9,P256:P258))</f>
        <v>-144</v>
      </c>
      <c r="Q255" s="88">
        <f>(SUBTOTAL(9,Q256:Q258))</f>
        <v>0</v>
      </c>
      <c r="R255" s="88">
        <f>(SUBTOTAL(9,R256:R258))</f>
        <v>0</v>
      </c>
      <c r="S255" s="88">
        <f>(SUBTOTAL(9,S256:S258))</f>
        <v>0</v>
      </c>
      <c r="T255" s="88">
        <f>(SUBTOTAL(9,T256:T258))</f>
        <v>0</v>
      </c>
      <c r="U255" s="87">
        <f t="shared" ref="U255" si="167">SUBTOTAL(9,O256:T258)</f>
        <v>156</v>
      </c>
    </row>
    <row r="256" spans="1:21" ht="17.25" customHeight="1" x14ac:dyDescent="0.3">
      <c r="A256" s="66" t="s">
        <v>30</v>
      </c>
      <c r="C256" s="67"/>
      <c r="D256" s="77" t="str">
        <f t="shared" ref="D256" si="168">D255</f>
        <v>C100052</v>
      </c>
      <c r="E256" s="77"/>
      <c r="F256" s="76"/>
      <c r="G256" s="76" t="str">
        <f>"""NAV Direct"",""CRONUS JetCorp USA"",""32"",""1"",""168009"""</f>
        <v>"NAV Direct","CRONUS JetCorp USA","32","1","168009"</v>
      </c>
      <c r="H256" s="86">
        <v>43466</v>
      </c>
      <c r="I256" s="85">
        <v>168009</v>
      </c>
      <c r="J256" s="84" t="str">
        <f>"Vendor"</f>
        <v>Vendor</v>
      </c>
      <c r="K256" s="84" t="str">
        <f>"V100040"</f>
        <v>V100040</v>
      </c>
      <c r="L256" s="84" t="str">
        <f>IF($J256="Customer",_xll.NL("first",$J256,"Name","No.","@@"&amp;$K256),"")</f>
        <v/>
      </c>
      <c r="M256" s="84" t="str">
        <f>"Technische Betriebe Rotkreuz"</f>
        <v>Technische Betriebe Rotkreuz</v>
      </c>
      <c r="N256" s="84" t="str">
        <f>IF($J256="Item",_xll.NL("first",$J256,"Description","No.","@@"&amp;$K256),"")</f>
        <v/>
      </c>
      <c r="O256" s="83">
        <v>300</v>
      </c>
      <c r="P256" s="83">
        <v>0</v>
      </c>
      <c r="Q256" s="83">
        <v>0</v>
      </c>
      <c r="R256" s="83">
        <v>0</v>
      </c>
      <c r="S256" s="83">
        <v>0</v>
      </c>
      <c r="T256" s="83">
        <v>0</v>
      </c>
      <c r="U256" s="82"/>
    </row>
    <row r="257" spans="1:21" ht="17.25" customHeight="1" x14ac:dyDescent="0.3">
      <c r="A257" s="66" t="s">
        <v>30</v>
      </c>
      <c r="C257" s="67"/>
      <c r="D257" s="77" t="str">
        <f t="shared" ref="D257" si="169">D256</f>
        <v>C100052</v>
      </c>
      <c r="E257" s="77"/>
      <c r="F257" s="76"/>
      <c r="G257" s="76" t="str">
        <f>"""NAV Direct"",""CRONUS JetCorp USA"",""32"",""1"",""118069"""</f>
        <v>"NAV Direct","CRONUS JetCorp USA","32","1","118069"</v>
      </c>
      <c r="H257" s="86">
        <v>43471</v>
      </c>
      <c r="I257" s="85">
        <v>118069</v>
      </c>
      <c r="J257" s="84" t="str">
        <f>"Customer"</f>
        <v>Customer</v>
      </c>
      <c r="K257" s="84" t="str">
        <f>"C100060"</f>
        <v>C100060</v>
      </c>
      <c r="L257" s="84" t="str">
        <f>IF($J257="Customer",_xll.NL("first",$J257,"Name","No.","@@"&amp;$K257),"")</f>
        <v>MEMA Ljubljana d.o.o.</v>
      </c>
      <c r="M257" s="84" t="str">
        <f>""</f>
        <v/>
      </c>
      <c r="N257" s="84" t="str">
        <f>IF($J257="Item",_xll.NL("first",$J257,"Description","No.","@@"&amp;$K257),"")</f>
        <v/>
      </c>
      <c r="O257" s="83">
        <v>0</v>
      </c>
      <c r="P257" s="83">
        <v>-144</v>
      </c>
      <c r="Q257" s="83">
        <v>0</v>
      </c>
      <c r="R257" s="83">
        <v>0</v>
      </c>
      <c r="S257" s="83">
        <v>0</v>
      </c>
      <c r="T257" s="83">
        <v>0</v>
      </c>
      <c r="U257" s="82"/>
    </row>
    <row r="258" spans="1:21" ht="17.25" customHeight="1" x14ac:dyDescent="0.3">
      <c r="A258" s="66" t="s">
        <v>30</v>
      </c>
      <c r="C258" s="67"/>
      <c r="D258" s="77"/>
      <c r="E258" s="77"/>
      <c r="F258" s="76"/>
      <c r="G258" s="76"/>
      <c r="H258" s="76"/>
      <c r="I258" s="76"/>
      <c r="J258" s="76"/>
      <c r="K258" s="76"/>
      <c r="L258" s="76"/>
      <c r="M258" s="76"/>
      <c r="N258" s="76"/>
      <c r="O258" s="75"/>
      <c r="P258" s="75"/>
      <c r="Q258" s="75"/>
      <c r="R258" s="75"/>
      <c r="S258" s="75"/>
      <c r="T258" s="75"/>
      <c r="U258" s="74"/>
    </row>
    <row r="259" spans="1:21" ht="17.25" customHeight="1" x14ac:dyDescent="0.3">
      <c r="A259" s="66" t="s">
        <v>30</v>
      </c>
      <c r="C259" s="67"/>
      <c r="D259" s="77"/>
      <c r="E259" s="77" t="s">
        <v>31</v>
      </c>
      <c r="F259" s="76" t="s">
        <v>31</v>
      </c>
      <c r="G259" s="76" t="s">
        <v>31</v>
      </c>
      <c r="H259" s="76"/>
      <c r="I259" s="76"/>
      <c r="J259" s="76" t="s">
        <v>31</v>
      </c>
      <c r="K259" s="76" t="s">
        <v>31</v>
      </c>
      <c r="L259" s="76" t="s">
        <v>31</v>
      </c>
      <c r="M259" s="76" t="s">
        <v>31</v>
      </c>
      <c r="N259" s="76"/>
      <c r="U259" s="81"/>
    </row>
    <row r="260" spans="1:21" ht="20.25" customHeight="1" x14ac:dyDescent="0.35">
      <c r="A260" s="66" t="s">
        <v>30</v>
      </c>
      <c r="C260" s="67"/>
      <c r="D260" s="92" t="str">
        <f t="shared" ref="D260" si="170">E260</f>
        <v>C100053</v>
      </c>
      <c r="E260" s="91" t="str">
        <f>"C100053"</f>
        <v>C100053</v>
      </c>
      <c r="F260" s="89" t="str">
        <f>"Book Style Photo Frame &amp; Clock"</f>
        <v>Book Style Photo Frame &amp; Clock</v>
      </c>
      <c r="G260" s="89"/>
      <c r="H260" s="90" t="str">
        <f>"EA"</f>
        <v>EA</v>
      </c>
      <c r="I260" s="89"/>
      <c r="J260" s="89"/>
      <c r="K260" s="89"/>
      <c r="L260" s="89"/>
      <c r="M260" s="89"/>
      <c r="N260" s="89"/>
      <c r="O260" s="88">
        <f>(SUBTOTAL(9,O261:O262))</f>
        <v>200</v>
      </c>
      <c r="P260" s="88">
        <f>(SUBTOTAL(9,P261:P262))</f>
        <v>0</v>
      </c>
      <c r="Q260" s="88">
        <f>(SUBTOTAL(9,Q261:Q262))</f>
        <v>0</v>
      </c>
      <c r="R260" s="88">
        <f>(SUBTOTAL(9,R261:R262))</f>
        <v>0</v>
      </c>
      <c r="S260" s="88">
        <f>(SUBTOTAL(9,S261:S262))</f>
        <v>0</v>
      </c>
      <c r="T260" s="88">
        <f>(SUBTOTAL(9,T261:T262))</f>
        <v>0</v>
      </c>
      <c r="U260" s="87">
        <f t="shared" ref="U260" si="171">SUBTOTAL(9,O261:T262)</f>
        <v>200</v>
      </c>
    </row>
    <row r="261" spans="1:21" ht="17.25" customHeight="1" x14ac:dyDescent="0.3">
      <c r="A261" s="66" t="s">
        <v>30</v>
      </c>
      <c r="C261" s="67"/>
      <c r="D261" s="77" t="str">
        <f t="shared" ref="D261" si="172">D260</f>
        <v>C100053</v>
      </c>
      <c r="E261" s="77"/>
      <c r="F261" s="76"/>
      <c r="G261" s="76" t="str">
        <f>"""NAV Direct"",""CRONUS JetCorp USA"",""32"",""1"",""168008"""</f>
        <v>"NAV Direct","CRONUS JetCorp USA","32","1","168008"</v>
      </c>
      <c r="H261" s="86">
        <v>43466</v>
      </c>
      <c r="I261" s="85">
        <v>168008</v>
      </c>
      <c r="J261" s="84" t="str">
        <f>"Vendor"</f>
        <v>Vendor</v>
      </c>
      <c r="K261" s="84" t="str">
        <f>"V100040"</f>
        <v>V100040</v>
      </c>
      <c r="L261" s="84" t="str">
        <f>IF($J261="Customer",_xll.NL("first",$J261,"Name","No.","@@"&amp;$K261),"")</f>
        <v/>
      </c>
      <c r="M261" s="84" t="str">
        <f>"Technische Betriebe Rotkreuz"</f>
        <v>Technische Betriebe Rotkreuz</v>
      </c>
      <c r="N261" s="84" t="str">
        <f>IF($J261="Item",_xll.NL("first",$J261,"Description","No.","@@"&amp;$K261),"")</f>
        <v/>
      </c>
      <c r="O261" s="83">
        <v>200</v>
      </c>
      <c r="P261" s="83">
        <v>0</v>
      </c>
      <c r="Q261" s="83">
        <v>0</v>
      </c>
      <c r="R261" s="83">
        <v>0</v>
      </c>
      <c r="S261" s="83">
        <v>0</v>
      </c>
      <c r="T261" s="83">
        <v>0</v>
      </c>
      <c r="U261" s="82"/>
    </row>
    <row r="262" spans="1:21" ht="17.25" customHeight="1" x14ac:dyDescent="0.3">
      <c r="A262" s="66" t="s">
        <v>30</v>
      </c>
      <c r="C262" s="67"/>
      <c r="D262" s="77"/>
      <c r="E262" s="77"/>
      <c r="F262" s="76"/>
      <c r="G262" s="76"/>
      <c r="H262" s="76"/>
      <c r="I262" s="76"/>
      <c r="J262" s="76"/>
      <c r="K262" s="76"/>
      <c r="L262" s="76"/>
      <c r="M262" s="76"/>
      <c r="N262" s="76"/>
      <c r="O262" s="75"/>
      <c r="P262" s="75"/>
      <c r="Q262" s="75"/>
      <c r="R262" s="75"/>
      <c r="S262" s="75"/>
      <c r="T262" s="75"/>
      <c r="U262" s="74"/>
    </row>
    <row r="263" spans="1:21" ht="17.25" customHeight="1" x14ac:dyDescent="0.3">
      <c r="A263" s="66" t="s">
        <v>30</v>
      </c>
      <c r="C263" s="67"/>
      <c r="D263" s="77"/>
      <c r="E263" s="77" t="s">
        <v>31</v>
      </c>
      <c r="F263" s="76" t="s">
        <v>31</v>
      </c>
      <c r="G263" s="76" t="s">
        <v>31</v>
      </c>
      <c r="H263" s="76"/>
      <c r="I263" s="76"/>
      <c r="J263" s="76" t="s">
        <v>31</v>
      </c>
      <c r="K263" s="76" t="s">
        <v>31</v>
      </c>
      <c r="L263" s="76" t="s">
        <v>31</v>
      </c>
      <c r="M263" s="76" t="s">
        <v>31</v>
      </c>
      <c r="N263" s="76"/>
      <c r="U263" s="81"/>
    </row>
    <row r="264" spans="1:21" ht="20.25" customHeight="1" x14ac:dyDescent="0.35">
      <c r="A264" s="66" t="s">
        <v>30</v>
      </c>
      <c r="C264" s="67"/>
      <c r="D264" s="92" t="str">
        <f t="shared" ref="D264" si="173">E264</f>
        <v>C100054</v>
      </c>
      <c r="E264" s="91" t="str">
        <f>"C100054"</f>
        <v>C100054</v>
      </c>
      <c r="F264" s="89" t="str">
        <f>"Cherry Finish Photo Frame &amp; Clock"</f>
        <v>Cherry Finish Photo Frame &amp; Clock</v>
      </c>
      <c r="G264" s="89"/>
      <c r="H264" s="90" t="str">
        <f>"EA"</f>
        <v>EA</v>
      </c>
      <c r="I264" s="89"/>
      <c r="J264" s="89"/>
      <c r="K264" s="89"/>
      <c r="L264" s="89"/>
      <c r="M264" s="89"/>
      <c r="N264" s="89"/>
      <c r="O264" s="88">
        <f>(SUBTOTAL(9,O265:O268))</f>
        <v>499.99999999999994</v>
      </c>
      <c r="P264" s="88">
        <f>(SUBTOTAL(9,P265:P268))</f>
        <v>-145</v>
      </c>
      <c r="Q264" s="88">
        <f>(SUBTOTAL(9,Q265:Q268))</f>
        <v>0</v>
      </c>
      <c r="R264" s="88">
        <f>(SUBTOTAL(9,R265:R268))</f>
        <v>0</v>
      </c>
      <c r="S264" s="88">
        <f>(SUBTOTAL(9,S265:S268))</f>
        <v>0</v>
      </c>
      <c r="T264" s="88">
        <f>(SUBTOTAL(9,T265:T268))</f>
        <v>0</v>
      </c>
      <c r="U264" s="87">
        <f t="shared" ref="U264" si="174">SUBTOTAL(9,O265:T268)</f>
        <v>354.99999999999994</v>
      </c>
    </row>
    <row r="265" spans="1:21" ht="17.25" customHeight="1" x14ac:dyDescent="0.3">
      <c r="A265" s="66" t="s">
        <v>30</v>
      </c>
      <c r="C265" s="67"/>
      <c r="D265" s="77" t="str">
        <f t="shared" ref="D265" si="175">D264</f>
        <v>C100054</v>
      </c>
      <c r="E265" s="77"/>
      <c r="F265" s="76"/>
      <c r="G265" s="76" t="str">
        <f>"""NAV Direct"",""CRONUS JetCorp USA"",""32"",""1"",""168007"""</f>
        <v>"NAV Direct","CRONUS JetCorp USA","32","1","168007"</v>
      </c>
      <c r="H265" s="86">
        <v>43466</v>
      </c>
      <c r="I265" s="85">
        <v>168007</v>
      </c>
      <c r="J265" s="84" t="str">
        <f>"Vendor"</f>
        <v>Vendor</v>
      </c>
      <c r="K265" s="84" t="str">
        <f>"V100040"</f>
        <v>V100040</v>
      </c>
      <c r="L265" s="84" t="str">
        <f>IF($J265="Customer",_xll.NL("first",$J265,"Name","No.","@@"&amp;$K265),"")</f>
        <v/>
      </c>
      <c r="M265" s="84" t="str">
        <f>"Technische Betriebe Rotkreuz"</f>
        <v>Technische Betriebe Rotkreuz</v>
      </c>
      <c r="N265" s="84" t="str">
        <f>IF($J265="Item",_xll.NL("first",$J265,"Description","No.","@@"&amp;$K265),"")</f>
        <v/>
      </c>
      <c r="O265" s="83">
        <v>499.99999999999994</v>
      </c>
      <c r="P265" s="83">
        <v>0</v>
      </c>
      <c r="Q265" s="83">
        <v>0</v>
      </c>
      <c r="R265" s="83">
        <v>0</v>
      </c>
      <c r="S265" s="83">
        <v>0</v>
      </c>
      <c r="T265" s="83">
        <v>0</v>
      </c>
      <c r="U265" s="82"/>
    </row>
    <row r="266" spans="1:21" ht="17.25" customHeight="1" x14ac:dyDescent="0.3">
      <c r="A266" s="66" t="s">
        <v>30</v>
      </c>
      <c r="C266" s="67"/>
      <c r="D266" s="77" t="str">
        <f t="shared" ref="D266:D267" si="176">D265</f>
        <v>C100054</v>
      </c>
      <c r="E266" s="77"/>
      <c r="F266" s="76"/>
      <c r="G266" s="76" t="str">
        <f>"""NAV Direct"",""CRONUS JetCorp USA"",""32"",""1"",""12458"""</f>
        <v>"NAV Direct","CRONUS JetCorp USA","32","1","12458"</v>
      </c>
      <c r="H266" s="86">
        <v>43471</v>
      </c>
      <c r="I266" s="85">
        <v>12458</v>
      </c>
      <c r="J266" s="84" t="str">
        <f>"Customer"</f>
        <v>Customer</v>
      </c>
      <c r="K266" s="84" t="str">
        <f>"C100041"</f>
        <v>C100041</v>
      </c>
      <c r="L266" s="84" t="str">
        <f>IF($J266="Customer",_xll.NL("first",$J266,"Name","No.","@@"&amp;$K266),"")</f>
        <v>Heimilisprydi</v>
      </c>
      <c r="M266" s="84" t="str">
        <f>""</f>
        <v/>
      </c>
      <c r="N266" s="84" t="str">
        <f>IF($J266="Item",_xll.NL("first",$J266,"Description","No.","@@"&amp;$K266),"")</f>
        <v/>
      </c>
      <c r="O266" s="83">
        <v>0</v>
      </c>
      <c r="P266" s="83">
        <v>-144</v>
      </c>
      <c r="Q266" s="83">
        <v>0</v>
      </c>
      <c r="R266" s="83">
        <v>0</v>
      </c>
      <c r="S266" s="83">
        <v>0</v>
      </c>
      <c r="T266" s="83">
        <v>0</v>
      </c>
      <c r="U266" s="82"/>
    </row>
    <row r="267" spans="1:21" ht="17.25" customHeight="1" x14ac:dyDescent="0.3">
      <c r="A267" s="66" t="s">
        <v>30</v>
      </c>
      <c r="C267" s="67"/>
      <c r="D267" s="77" t="str">
        <f t="shared" si="176"/>
        <v>C100054</v>
      </c>
      <c r="E267" s="77"/>
      <c r="F267" s="76"/>
      <c r="G267" s="76" t="str">
        <f>"""NAV Direct"",""CRONUS JetCorp USA"",""32"",""1"",""118076"""</f>
        <v>"NAV Direct","CRONUS JetCorp USA","32","1","118076"</v>
      </c>
      <c r="H267" s="86">
        <v>43471</v>
      </c>
      <c r="I267" s="85">
        <v>118076</v>
      </c>
      <c r="J267" s="84" t="str">
        <f>"Customer"</f>
        <v>Customer</v>
      </c>
      <c r="K267" s="84" t="str">
        <f>"C100060"</f>
        <v>C100060</v>
      </c>
      <c r="L267" s="84" t="str">
        <f>IF($J267="Customer",_xll.NL("first",$J267,"Name","No.","@@"&amp;$K267),"")</f>
        <v>MEMA Ljubljana d.o.o.</v>
      </c>
      <c r="M267" s="84" t="str">
        <f>""</f>
        <v/>
      </c>
      <c r="N267" s="84" t="str">
        <f>IF($J267="Item",_xll.NL("first",$J267,"Description","No.","@@"&amp;$K267),"")</f>
        <v/>
      </c>
      <c r="O267" s="83">
        <v>0</v>
      </c>
      <c r="P267" s="83">
        <v>-1</v>
      </c>
      <c r="Q267" s="83">
        <v>0</v>
      </c>
      <c r="R267" s="83">
        <v>0</v>
      </c>
      <c r="S267" s="83">
        <v>0</v>
      </c>
      <c r="T267" s="83">
        <v>0</v>
      </c>
      <c r="U267" s="82"/>
    </row>
    <row r="268" spans="1:21" ht="17.25" customHeight="1" x14ac:dyDescent="0.3">
      <c r="A268" s="66" t="s">
        <v>30</v>
      </c>
      <c r="C268" s="67"/>
      <c r="D268" s="77"/>
      <c r="E268" s="77"/>
      <c r="F268" s="76"/>
      <c r="G268" s="76"/>
      <c r="H268" s="76"/>
      <c r="I268" s="76"/>
      <c r="J268" s="76"/>
      <c r="K268" s="76"/>
      <c r="L268" s="76"/>
      <c r="M268" s="76"/>
      <c r="N268" s="76"/>
      <c r="O268" s="75"/>
      <c r="P268" s="75"/>
      <c r="Q268" s="75"/>
      <c r="R268" s="75"/>
      <c r="S268" s="75"/>
      <c r="T268" s="75"/>
      <c r="U268" s="74"/>
    </row>
    <row r="269" spans="1:21" ht="17.25" customHeight="1" x14ac:dyDescent="0.3">
      <c r="A269" s="66" t="s">
        <v>30</v>
      </c>
      <c r="C269" s="67"/>
      <c r="D269" s="77"/>
      <c r="E269" s="77" t="s">
        <v>31</v>
      </c>
      <c r="F269" s="76" t="s">
        <v>31</v>
      </c>
      <c r="G269" s="76" t="s">
        <v>31</v>
      </c>
      <c r="H269" s="76"/>
      <c r="I269" s="76"/>
      <c r="J269" s="76" t="s">
        <v>31</v>
      </c>
      <c r="K269" s="76" t="s">
        <v>31</v>
      </c>
      <c r="L269" s="76" t="s">
        <v>31</v>
      </c>
      <c r="M269" s="76" t="s">
        <v>31</v>
      </c>
      <c r="N269" s="76"/>
      <c r="U269" s="81"/>
    </row>
    <row r="270" spans="1:21" ht="20.25" customHeight="1" x14ac:dyDescent="0.35">
      <c r="A270" s="66" t="s">
        <v>30</v>
      </c>
      <c r="C270" s="67"/>
      <c r="D270" s="92" t="str">
        <f t="shared" ref="D270" si="177">E270</f>
        <v>C100055</v>
      </c>
      <c r="E270" s="91" t="str">
        <f>"C100055"</f>
        <v>C100055</v>
      </c>
      <c r="F270" s="89" t="str">
        <f>"Silver Plated Photo Frame"</f>
        <v>Silver Plated Photo Frame</v>
      </c>
      <c r="G270" s="89"/>
      <c r="H270" s="90" t="str">
        <f>"EA"</f>
        <v>EA</v>
      </c>
      <c r="I270" s="89"/>
      <c r="J270" s="89"/>
      <c r="K270" s="89"/>
      <c r="L270" s="89"/>
      <c r="M270" s="89"/>
      <c r="N270" s="89"/>
      <c r="O270" s="88">
        <f>(SUBTOTAL(9,O271:O274))</f>
        <v>0</v>
      </c>
      <c r="P270" s="88">
        <f>(SUBTOTAL(9,P271:P274))</f>
        <v>-168</v>
      </c>
      <c r="Q270" s="88">
        <f>(SUBTOTAL(9,Q271:Q274))</f>
        <v>0</v>
      </c>
      <c r="R270" s="88">
        <f>(SUBTOTAL(9,R271:R274))</f>
        <v>0</v>
      </c>
      <c r="S270" s="88">
        <f>(SUBTOTAL(9,S271:S274))</f>
        <v>0</v>
      </c>
      <c r="T270" s="88">
        <f>(SUBTOTAL(9,T271:T274))</f>
        <v>0</v>
      </c>
      <c r="U270" s="87">
        <f t="shared" ref="U270" si="178">SUBTOTAL(9,O271:T274)</f>
        <v>-168</v>
      </c>
    </row>
    <row r="271" spans="1:21" ht="17.25" customHeight="1" x14ac:dyDescent="0.3">
      <c r="A271" s="66" t="s">
        <v>30</v>
      </c>
      <c r="C271" s="67"/>
      <c r="D271" s="77" t="str">
        <f t="shared" ref="D271" si="179">D270</f>
        <v>C100055</v>
      </c>
      <c r="E271" s="77"/>
      <c r="F271" s="76"/>
      <c r="G271" s="76" t="str">
        <f>"""NAV Direct"",""CRONUS JetCorp USA"",""32"",""1"",""12451"""</f>
        <v>"NAV Direct","CRONUS JetCorp USA","32","1","12451"</v>
      </c>
      <c r="H271" s="86">
        <v>43469</v>
      </c>
      <c r="I271" s="85">
        <v>12451</v>
      </c>
      <c r="J271" s="84" t="str">
        <f>"Customer"</f>
        <v>Customer</v>
      </c>
      <c r="K271" s="84" t="str">
        <f>"C100064"</f>
        <v>C100064</v>
      </c>
      <c r="L271" s="84" t="str">
        <f>IF($J271="Customer",_xll.NL("first",$J271,"Name","No.","@@"&amp;$K271),"")</f>
        <v>Möbel Siegfried</v>
      </c>
      <c r="M271" s="84" t="str">
        <f>""</f>
        <v/>
      </c>
      <c r="N271" s="84" t="str">
        <f>IF($J271="Item",_xll.NL("first",$J271,"Description","No.","@@"&amp;$K271),"")</f>
        <v/>
      </c>
      <c r="O271" s="83">
        <v>0</v>
      </c>
      <c r="P271" s="83">
        <v>-144</v>
      </c>
      <c r="Q271" s="83">
        <v>0</v>
      </c>
      <c r="R271" s="83">
        <v>0</v>
      </c>
      <c r="S271" s="83">
        <v>0</v>
      </c>
      <c r="T271" s="83">
        <v>0</v>
      </c>
      <c r="U271" s="82"/>
    </row>
    <row r="272" spans="1:21" ht="17.25" customHeight="1" x14ac:dyDescent="0.3">
      <c r="A272" s="66" t="s">
        <v>30</v>
      </c>
      <c r="C272" s="67"/>
      <c r="D272" s="77" t="str">
        <f t="shared" ref="D272:D273" si="180">D271</f>
        <v>C100055</v>
      </c>
      <c r="E272" s="77"/>
      <c r="F272" s="76"/>
      <c r="G272" s="76" t="str">
        <f>"""NAV Direct"",""CRONUS JetCorp USA"",""32"",""1"",""15149"""</f>
        <v>"NAV Direct","CRONUS JetCorp USA","32","1","15149"</v>
      </c>
      <c r="H272" s="86">
        <v>43471</v>
      </c>
      <c r="I272" s="85">
        <v>15149</v>
      </c>
      <c r="J272" s="84" t="str">
        <f>"Customer"</f>
        <v>Customer</v>
      </c>
      <c r="K272" s="84" t="str">
        <f>"C100134"</f>
        <v>C100134</v>
      </c>
      <c r="L272" s="84" t="str">
        <f>IF($J272="Customer",_xll.NL("first",$J272,"Name","No.","@@"&amp;$K272),"")</f>
        <v>Iber Tech</v>
      </c>
      <c r="M272" s="84" t="str">
        <f>""</f>
        <v/>
      </c>
      <c r="N272" s="84" t="str">
        <f>IF($J272="Item",_xll.NL("first",$J272,"Description","No.","@@"&amp;$K272),"")</f>
        <v/>
      </c>
      <c r="O272" s="83">
        <v>0</v>
      </c>
      <c r="P272" s="83">
        <v>-12</v>
      </c>
      <c r="Q272" s="83">
        <v>0</v>
      </c>
      <c r="R272" s="83">
        <v>0</v>
      </c>
      <c r="S272" s="83">
        <v>0</v>
      </c>
      <c r="T272" s="83">
        <v>0</v>
      </c>
      <c r="U272" s="82"/>
    </row>
    <row r="273" spans="1:21" ht="17.25" customHeight="1" x14ac:dyDescent="0.3">
      <c r="A273" s="66" t="s">
        <v>30</v>
      </c>
      <c r="C273" s="67"/>
      <c r="D273" s="77" t="str">
        <f t="shared" si="180"/>
        <v>C100055</v>
      </c>
      <c r="E273" s="77"/>
      <c r="F273" s="76"/>
      <c r="G273" s="76" t="str">
        <f>"""NAV Direct"",""CRONUS JetCorp USA"",""32"",""1"",""118074"""</f>
        <v>"NAV Direct","CRONUS JetCorp USA","32","1","118074"</v>
      </c>
      <c r="H273" s="86">
        <v>43471</v>
      </c>
      <c r="I273" s="85">
        <v>118074</v>
      </c>
      <c r="J273" s="84" t="str">
        <f>"Customer"</f>
        <v>Customer</v>
      </c>
      <c r="K273" s="84" t="str">
        <f>"C100060"</f>
        <v>C100060</v>
      </c>
      <c r="L273" s="84" t="str">
        <f>IF($J273="Customer",_xll.NL("first",$J273,"Name","No.","@@"&amp;$K273),"")</f>
        <v>MEMA Ljubljana d.o.o.</v>
      </c>
      <c r="M273" s="84" t="str">
        <f>""</f>
        <v/>
      </c>
      <c r="N273" s="84" t="str">
        <f>IF($J273="Item",_xll.NL("first",$J273,"Description","No.","@@"&amp;$K273),"")</f>
        <v/>
      </c>
      <c r="O273" s="83">
        <v>0</v>
      </c>
      <c r="P273" s="83">
        <v>-12</v>
      </c>
      <c r="Q273" s="83">
        <v>0</v>
      </c>
      <c r="R273" s="83">
        <v>0</v>
      </c>
      <c r="S273" s="83">
        <v>0</v>
      </c>
      <c r="T273" s="83">
        <v>0</v>
      </c>
      <c r="U273" s="82"/>
    </row>
    <row r="274" spans="1:21" ht="17.25" customHeight="1" x14ac:dyDescent="0.3">
      <c r="A274" s="66" t="s">
        <v>30</v>
      </c>
      <c r="C274" s="67"/>
      <c r="D274" s="77"/>
      <c r="E274" s="77"/>
      <c r="F274" s="76"/>
      <c r="G274" s="76"/>
      <c r="H274" s="76"/>
      <c r="I274" s="76"/>
      <c r="J274" s="76"/>
      <c r="K274" s="76"/>
      <c r="L274" s="76"/>
      <c r="M274" s="76"/>
      <c r="N274" s="76"/>
      <c r="O274" s="75"/>
      <c r="P274" s="75"/>
      <c r="Q274" s="75"/>
      <c r="R274" s="75"/>
      <c r="S274" s="75"/>
      <c r="T274" s="75"/>
      <c r="U274" s="74"/>
    </row>
    <row r="275" spans="1:21" ht="17.25" customHeight="1" x14ac:dyDescent="0.3">
      <c r="A275" s="66" t="s">
        <v>30</v>
      </c>
      <c r="C275" s="67"/>
      <c r="D275" s="77"/>
      <c r="E275" s="77" t="s">
        <v>31</v>
      </c>
      <c r="F275" s="76" t="s">
        <v>31</v>
      </c>
      <c r="G275" s="76" t="s">
        <v>31</v>
      </c>
      <c r="H275" s="76"/>
      <c r="I275" s="76"/>
      <c r="J275" s="76" t="s">
        <v>31</v>
      </c>
      <c r="K275" s="76" t="s">
        <v>31</v>
      </c>
      <c r="L275" s="76" t="s">
        <v>31</v>
      </c>
      <c r="M275" s="76" t="s">
        <v>31</v>
      </c>
      <c r="N275" s="76"/>
      <c r="U275" s="81"/>
    </row>
    <row r="276" spans="1:21" ht="20.25" customHeight="1" x14ac:dyDescent="0.35">
      <c r="A276" s="66" t="s">
        <v>30</v>
      </c>
      <c r="C276" s="67"/>
      <c r="D276" s="92" t="str">
        <f t="shared" ref="D276" si="181">E276</f>
        <v>C100056</v>
      </c>
      <c r="E276" s="91" t="str">
        <f>"C100056"</f>
        <v>C100056</v>
      </c>
      <c r="F276" s="89" t="str">
        <f>"Contemporary Desk Calculator"</f>
        <v>Contemporary Desk Calculator</v>
      </c>
      <c r="G276" s="89"/>
      <c r="H276" s="90" t="str">
        <f>"EA"</f>
        <v>EA</v>
      </c>
      <c r="I276" s="89"/>
      <c r="J276" s="89"/>
      <c r="K276" s="89"/>
      <c r="L276" s="89"/>
      <c r="M276" s="89"/>
      <c r="N276" s="89"/>
      <c r="O276" s="88">
        <f>(SUBTOTAL(9,O277:O279))</f>
        <v>499.99999999999994</v>
      </c>
      <c r="P276" s="88">
        <f>(SUBTOTAL(9,P277:P279))</f>
        <v>-144</v>
      </c>
      <c r="Q276" s="88">
        <f>(SUBTOTAL(9,Q277:Q279))</f>
        <v>0</v>
      </c>
      <c r="R276" s="88">
        <f>(SUBTOTAL(9,R277:R279))</f>
        <v>0</v>
      </c>
      <c r="S276" s="88">
        <f>(SUBTOTAL(9,S277:S279))</f>
        <v>0</v>
      </c>
      <c r="T276" s="88">
        <f>(SUBTOTAL(9,T277:T279))</f>
        <v>0</v>
      </c>
      <c r="U276" s="87">
        <f t="shared" ref="U276" si="182">SUBTOTAL(9,O277:T279)</f>
        <v>355.99999999999994</v>
      </c>
    </row>
    <row r="277" spans="1:21" ht="17.25" customHeight="1" x14ac:dyDescent="0.3">
      <c r="A277" s="66" t="s">
        <v>30</v>
      </c>
      <c r="C277" s="67"/>
      <c r="D277" s="77" t="str">
        <f t="shared" ref="D277" si="183">D276</f>
        <v>C100056</v>
      </c>
      <c r="E277" s="77"/>
      <c r="F277" s="76"/>
      <c r="G277" s="76" t="str">
        <f>"""NAV Direct"",""CRONUS JetCorp USA"",""32"",""1"",""168320"""</f>
        <v>"NAV Direct","CRONUS JetCorp USA","32","1","168320"</v>
      </c>
      <c r="H277" s="86">
        <v>43466</v>
      </c>
      <c r="I277" s="85">
        <v>168320</v>
      </c>
      <c r="J277" s="84" t="str">
        <f>"Vendor"</f>
        <v>Vendor</v>
      </c>
      <c r="K277" s="84" t="str">
        <f>"V100040"</f>
        <v>V100040</v>
      </c>
      <c r="L277" s="84" t="str">
        <f>IF($J277="Customer",_xll.NL("first",$J277,"Name","No.","@@"&amp;$K277),"")</f>
        <v/>
      </c>
      <c r="M277" s="84" t="str">
        <f>"Technische Betriebe Rotkreuz"</f>
        <v>Technische Betriebe Rotkreuz</v>
      </c>
      <c r="N277" s="84" t="str">
        <f>IF($J277="Item",_xll.NL("first",$J277,"Description","No.","@@"&amp;$K277),"")</f>
        <v/>
      </c>
      <c r="O277" s="83">
        <v>499.99999999999994</v>
      </c>
      <c r="P277" s="83">
        <v>0</v>
      </c>
      <c r="Q277" s="83">
        <v>0</v>
      </c>
      <c r="R277" s="83">
        <v>0</v>
      </c>
      <c r="S277" s="83">
        <v>0</v>
      </c>
      <c r="T277" s="83">
        <v>0</v>
      </c>
      <c r="U277" s="82"/>
    </row>
    <row r="278" spans="1:21" ht="17.25" customHeight="1" x14ac:dyDescent="0.3">
      <c r="A278" s="66" t="s">
        <v>30</v>
      </c>
      <c r="C278" s="67"/>
      <c r="D278" s="77" t="str">
        <f t="shared" ref="D278" si="184">D277</f>
        <v>C100056</v>
      </c>
      <c r="E278" s="77"/>
      <c r="F278" s="76"/>
      <c r="G278" s="76" t="str">
        <f>"""NAV Direct"",""CRONUS JetCorp USA"",""32"",""1"",""78844"""</f>
        <v>"NAV Direct","CRONUS JetCorp USA","32","1","78844"</v>
      </c>
      <c r="H278" s="86">
        <v>43470</v>
      </c>
      <c r="I278" s="85">
        <v>78844</v>
      </c>
      <c r="J278" s="84" t="str">
        <f>"Customer"</f>
        <v>Customer</v>
      </c>
      <c r="K278" s="84" t="str">
        <f>"C100117"</f>
        <v>C100117</v>
      </c>
      <c r="L278" s="84" t="str">
        <f>IF($J278="Customer",_xll.NL("first",$J278,"Name","No.","@@"&amp;$K278),"")</f>
        <v xml:space="preserve">Tintax </v>
      </c>
      <c r="M278" s="84" t="str">
        <f>""</f>
        <v/>
      </c>
      <c r="N278" s="84" t="str">
        <f>IF($J278="Item",_xll.NL("first",$J278,"Description","No.","@@"&amp;$K278),"")</f>
        <v/>
      </c>
      <c r="O278" s="83">
        <v>0</v>
      </c>
      <c r="P278" s="83">
        <v>-144</v>
      </c>
      <c r="Q278" s="83">
        <v>0</v>
      </c>
      <c r="R278" s="83">
        <v>0</v>
      </c>
      <c r="S278" s="83">
        <v>0</v>
      </c>
      <c r="T278" s="83">
        <v>0</v>
      </c>
      <c r="U278" s="82"/>
    </row>
    <row r="279" spans="1:21" ht="17.25" customHeight="1" x14ac:dyDescent="0.3">
      <c r="A279" s="66" t="s">
        <v>30</v>
      </c>
      <c r="C279" s="67"/>
      <c r="D279" s="77"/>
      <c r="E279" s="77"/>
      <c r="F279" s="76"/>
      <c r="G279" s="76"/>
      <c r="H279" s="76"/>
      <c r="I279" s="76"/>
      <c r="J279" s="76"/>
      <c r="K279" s="76"/>
      <c r="L279" s="76"/>
      <c r="M279" s="76"/>
      <c r="N279" s="76"/>
      <c r="O279" s="75"/>
      <c r="P279" s="75"/>
      <c r="Q279" s="75"/>
      <c r="R279" s="75"/>
      <c r="S279" s="75"/>
      <c r="T279" s="75"/>
      <c r="U279" s="74"/>
    </row>
    <row r="280" spans="1:21" ht="17.25" customHeight="1" x14ac:dyDescent="0.3">
      <c r="A280" s="66" t="s">
        <v>30</v>
      </c>
      <c r="C280" s="67"/>
      <c r="D280" s="77"/>
      <c r="E280" s="77" t="s">
        <v>31</v>
      </c>
      <c r="F280" s="76" t="s">
        <v>31</v>
      </c>
      <c r="G280" s="76" t="s">
        <v>31</v>
      </c>
      <c r="H280" s="76"/>
      <c r="I280" s="76"/>
      <c r="J280" s="76" t="s">
        <v>31</v>
      </c>
      <c r="K280" s="76" t="s">
        <v>31</v>
      </c>
      <c r="L280" s="76" t="s">
        <v>31</v>
      </c>
      <c r="M280" s="76" t="s">
        <v>31</v>
      </c>
      <c r="N280" s="76"/>
      <c r="U280" s="81"/>
    </row>
    <row r="281" spans="1:21" ht="20.25" customHeight="1" x14ac:dyDescent="0.35">
      <c r="A281" s="66" t="s">
        <v>30</v>
      </c>
      <c r="C281" s="67"/>
      <c r="D281" s="92" t="str">
        <f t="shared" ref="D281" si="185">E281</f>
        <v>C100061</v>
      </c>
      <c r="E281" s="91" t="str">
        <f>"C100061"</f>
        <v>C100061</v>
      </c>
      <c r="F281" s="89" t="str">
        <f>"Bistro Mug"</f>
        <v>Bistro Mug</v>
      </c>
      <c r="G281" s="89"/>
      <c r="H281" s="90" t="str">
        <f>"EA"</f>
        <v>EA</v>
      </c>
      <c r="I281" s="89"/>
      <c r="J281" s="89"/>
      <c r="K281" s="89"/>
      <c r="L281" s="89"/>
      <c r="M281" s="89"/>
      <c r="N281" s="89"/>
      <c r="O281" s="88">
        <f>(SUBTOTAL(9,O282:O284))</f>
        <v>249.99999999999997</v>
      </c>
      <c r="P281" s="88">
        <f>(SUBTOTAL(9,P282:P284))</f>
        <v>-144</v>
      </c>
      <c r="Q281" s="88">
        <f>(SUBTOTAL(9,Q282:Q284))</f>
        <v>0</v>
      </c>
      <c r="R281" s="88">
        <f>(SUBTOTAL(9,R282:R284))</f>
        <v>0</v>
      </c>
      <c r="S281" s="88">
        <f>(SUBTOTAL(9,S282:S284))</f>
        <v>0</v>
      </c>
      <c r="T281" s="88">
        <f>(SUBTOTAL(9,T282:T284))</f>
        <v>0</v>
      </c>
      <c r="U281" s="87">
        <f t="shared" ref="U281" si="186">SUBTOTAL(9,O282:T284)</f>
        <v>105.99999999999997</v>
      </c>
    </row>
    <row r="282" spans="1:21" ht="17.25" customHeight="1" x14ac:dyDescent="0.3">
      <c r="A282" s="66" t="s">
        <v>30</v>
      </c>
      <c r="C282" s="67"/>
      <c r="D282" s="77" t="str">
        <f t="shared" ref="D282" si="187">D281</f>
        <v>C100061</v>
      </c>
      <c r="E282" s="77"/>
      <c r="F282" s="76"/>
      <c r="G282" s="76" t="str">
        <f>"""NAV Direct"",""CRONUS JetCorp USA"",""32"",""1"",""168619"""</f>
        <v>"NAV Direct","CRONUS JetCorp USA","32","1","168619"</v>
      </c>
      <c r="H282" s="86">
        <v>43466</v>
      </c>
      <c r="I282" s="85">
        <v>168619</v>
      </c>
      <c r="J282" s="84" t="str">
        <f>"Vendor"</f>
        <v>Vendor</v>
      </c>
      <c r="K282" s="84" t="str">
        <f>"V100040"</f>
        <v>V100040</v>
      </c>
      <c r="L282" s="84" t="str">
        <f>IF($J282="Customer",_xll.NL("first",$J282,"Name","No.","@@"&amp;$K282),"")</f>
        <v/>
      </c>
      <c r="M282" s="84" t="str">
        <f>"Technische Betriebe Rotkreuz"</f>
        <v>Technische Betriebe Rotkreuz</v>
      </c>
      <c r="N282" s="84" t="str">
        <f>IF($J282="Item",_xll.NL("first",$J282,"Description","No.","@@"&amp;$K282),"")</f>
        <v/>
      </c>
      <c r="O282" s="83">
        <v>249.99999999999997</v>
      </c>
      <c r="P282" s="83">
        <v>0</v>
      </c>
      <c r="Q282" s="83">
        <v>0</v>
      </c>
      <c r="R282" s="83">
        <v>0</v>
      </c>
      <c r="S282" s="83">
        <v>0</v>
      </c>
      <c r="T282" s="83">
        <v>0</v>
      </c>
      <c r="U282" s="82"/>
    </row>
    <row r="283" spans="1:21" ht="17.25" customHeight="1" x14ac:dyDescent="0.3">
      <c r="A283" s="66" t="s">
        <v>30</v>
      </c>
      <c r="C283" s="67"/>
      <c r="D283" s="77" t="str">
        <f t="shared" ref="D283" si="188">D282</f>
        <v>C100061</v>
      </c>
      <c r="E283" s="77"/>
      <c r="F283" s="76"/>
      <c r="G283" s="76" t="str">
        <f>"""NAV Direct"",""CRONUS JetCorp USA"",""32"",""1"",""78902"""</f>
        <v>"NAV Direct","CRONUS JetCorp USA","32","1","78902"</v>
      </c>
      <c r="H283" s="86">
        <v>43475</v>
      </c>
      <c r="I283" s="85">
        <v>78902</v>
      </c>
      <c r="J283" s="84" t="str">
        <f>"Customer"</f>
        <v>Customer</v>
      </c>
      <c r="K283" s="84" t="str">
        <f>"C100128"</f>
        <v>C100128</v>
      </c>
      <c r="L283" s="84" t="str">
        <f>IF($J283="Customer",_xll.NL("first",$J283,"Name","No.","@@"&amp;$K283),"")</f>
        <v>Solar Tech</v>
      </c>
      <c r="M283" s="84" t="str">
        <f>""</f>
        <v/>
      </c>
      <c r="N283" s="84" t="str">
        <f>IF($J283="Item",_xll.NL("first",$J283,"Description","No.","@@"&amp;$K283),"")</f>
        <v/>
      </c>
      <c r="O283" s="83">
        <v>0</v>
      </c>
      <c r="P283" s="83">
        <v>-144</v>
      </c>
      <c r="Q283" s="83">
        <v>0</v>
      </c>
      <c r="R283" s="83">
        <v>0</v>
      </c>
      <c r="S283" s="83">
        <v>0</v>
      </c>
      <c r="T283" s="83">
        <v>0</v>
      </c>
      <c r="U283" s="82"/>
    </row>
    <row r="284" spans="1:21" ht="17.25" customHeight="1" x14ac:dyDescent="0.3">
      <c r="A284" s="66" t="s">
        <v>30</v>
      </c>
      <c r="C284" s="67"/>
      <c r="D284" s="77"/>
      <c r="E284" s="77"/>
      <c r="F284" s="76"/>
      <c r="G284" s="76"/>
      <c r="H284" s="76"/>
      <c r="I284" s="76"/>
      <c r="J284" s="76"/>
      <c r="K284" s="76"/>
      <c r="L284" s="76"/>
      <c r="M284" s="76"/>
      <c r="N284" s="76"/>
      <c r="O284" s="75"/>
      <c r="P284" s="75"/>
      <c r="Q284" s="75"/>
      <c r="R284" s="75"/>
      <c r="S284" s="75"/>
      <c r="T284" s="75"/>
      <c r="U284" s="74"/>
    </row>
    <row r="285" spans="1:21" ht="17.25" customHeight="1" x14ac:dyDescent="0.3">
      <c r="A285" s="66" t="s">
        <v>30</v>
      </c>
      <c r="C285" s="67"/>
      <c r="D285" s="77"/>
      <c r="E285" s="77" t="s">
        <v>31</v>
      </c>
      <c r="F285" s="76" t="s">
        <v>31</v>
      </c>
      <c r="G285" s="76" t="s">
        <v>31</v>
      </c>
      <c r="H285" s="76"/>
      <c r="I285" s="76"/>
      <c r="J285" s="76" t="s">
        <v>31</v>
      </c>
      <c r="K285" s="76" t="s">
        <v>31</v>
      </c>
      <c r="L285" s="76" t="s">
        <v>31</v>
      </c>
      <c r="M285" s="76" t="s">
        <v>31</v>
      </c>
      <c r="N285" s="76"/>
      <c r="U285" s="81"/>
    </row>
    <row r="286" spans="1:21" ht="20.25" customHeight="1" x14ac:dyDescent="0.35">
      <c r="A286" s="66" t="s">
        <v>30</v>
      </c>
      <c r="C286" s="67"/>
      <c r="D286" s="92" t="str">
        <f t="shared" ref="D286" si="189">E286</f>
        <v>C100062</v>
      </c>
      <c r="E286" s="91" t="str">
        <f>"C100062"</f>
        <v>C100062</v>
      </c>
      <c r="F286" s="89" t="str">
        <f>"Tall Matte Finish Mug"</f>
        <v>Tall Matte Finish Mug</v>
      </c>
      <c r="G286" s="89"/>
      <c r="H286" s="90" t="str">
        <f>"EA"</f>
        <v>EA</v>
      </c>
      <c r="I286" s="89"/>
      <c r="J286" s="89"/>
      <c r="K286" s="89"/>
      <c r="L286" s="89"/>
      <c r="M286" s="89"/>
      <c r="N286" s="89"/>
      <c r="O286" s="88">
        <f>(SUBTOTAL(9,O287:O290))</f>
        <v>249.99999999999997</v>
      </c>
      <c r="P286" s="88">
        <f>(SUBTOTAL(9,P287:P290))</f>
        <v>-143</v>
      </c>
      <c r="Q286" s="88">
        <f>(SUBTOTAL(9,Q287:Q290))</f>
        <v>0</v>
      </c>
      <c r="R286" s="88">
        <f>(SUBTOTAL(9,R287:R290))</f>
        <v>0</v>
      </c>
      <c r="S286" s="88">
        <f>(SUBTOTAL(9,S287:S290))</f>
        <v>0</v>
      </c>
      <c r="T286" s="88">
        <f>(SUBTOTAL(9,T287:T290))</f>
        <v>0</v>
      </c>
      <c r="U286" s="87">
        <f t="shared" ref="U286" si="190">SUBTOTAL(9,O287:T290)</f>
        <v>106.99999999999997</v>
      </c>
    </row>
    <row r="287" spans="1:21" ht="17.25" customHeight="1" x14ac:dyDescent="0.3">
      <c r="A287" s="66" t="s">
        <v>30</v>
      </c>
      <c r="C287" s="67"/>
      <c r="D287" s="77" t="str">
        <f t="shared" ref="D287" si="191">D286</f>
        <v>C100062</v>
      </c>
      <c r="E287" s="77"/>
      <c r="F287" s="76"/>
      <c r="G287" s="76" t="str">
        <f>"""NAV Direct"",""CRONUS JetCorp USA"",""32"",""1"",""168618"""</f>
        <v>"NAV Direct","CRONUS JetCorp USA","32","1","168618"</v>
      </c>
      <c r="H287" s="86">
        <v>43466</v>
      </c>
      <c r="I287" s="85">
        <v>168618</v>
      </c>
      <c r="J287" s="84" t="str">
        <f>"Vendor"</f>
        <v>Vendor</v>
      </c>
      <c r="K287" s="84" t="str">
        <f>"V100040"</f>
        <v>V100040</v>
      </c>
      <c r="L287" s="84" t="str">
        <f>IF($J287="Customer",_xll.NL("first",$J287,"Name","No.","@@"&amp;$K287),"")</f>
        <v/>
      </c>
      <c r="M287" s="84" t="str">
        <f>"Technische Betriebe Rotkreuz"</f>
        <v>Technische Betriebe Rotkreuz</v>
      </c>
      <c r="N287" s="84" t="str">
        <f>IF($J287="Item",_xll.NL("first",$J287,"Description","No.","@@"&amp;$K287),"")</f>
        <v/>
      </c>
      <c r="O287" s="83">
        <v>249.99999999999997</v>
      </c>
      <c r="P287" s="83">
        <v>0</v>
      </c>
      <c r="Q287" s="83">
        <v>0</v>
      </c>
      <c r="R287" s="83">
        <v>0</v>
      </c>
      <c r="S287" s="83">
        <v>0</v>
      </c>
      <c r="T287" s="83">
        <v>0</v>
      </c>
      <c r="U287" s="82"/>
    </row>
    <row r="288" spans="1:21" ht="17.25" customHeight="1" x14ac:dyDescent="0.3">
      <c r="A288" s="66" t="s">
        <v>30</v>
      </c>
      <c r="C288" s="67"/>
      <c r="D288" s="77" t="str">
        <f t="shared" ref="D288:D289" si="192">D287</f>
        <v>C100062</v>
      </c>
      <c r="E288" s="77"/>
      <c r="F288" s="76"/>
      <c r="G288" s="76" t="str">
        <f>"""NAV Direct"",""CRONUS JetCorp USA"",""32"",""1"",""72521"""</f>
        <v>"NAV Direct","CRONUS JetCorp USA","32","1","72521"</v>
      </c>
      <c r="H288" s="86">
        <v>43471</v>
      </c>
      <c r="I288" s="85">
        <v>72521</v>
      </c>
      <c r="J288" s="84" t="str">
        <f>"Customer"</f>
        <v>Customer</v>
      </c>
      <c r="K288" s="84" t="str">
        <f>"C100107"</f>
        <v>C100107</v>
      </c>
      <c r="L288" s="84" t="str">
        <f>IF($J288="Customer",_xll.NL("first",$J288,"Name","No.","@@"&amp;$K288),"")</f>
        <v>Lexitechnology</v>
      </c>
      <c r="M288" s="84" t="str">
        <f>""</f>
        <v/>
      </c>
      <c r="N288" s="84" t="str">
        <f>IF($J288="Item",_xll.NL("first",$J288,"Description","No.","@@"&amp;$K288),"")</f>
        <v/>
      </c>
      <c r="O288" s="83">
        <v>0</v>
      </c>
      <c r="P288" s="83">
        <v>-144</v>
      </c>
      <c r="Q288" s="83">
        <v>0</v>
      </c>
      <c r="R288" s="83">
        <v>0</v>
      </c>
      <c r="S288" s="83">
        <v>0</v>
      </c>
      <c r="T288" s="83">
        <v>0</v>
      </c>
      <c r="U288" s="82"/>
    </row>
    <row r="289" spans="1:21" ht="17.25" customHeight="1" x14ac:dyDescent="0.3">
      <c r="A289" s="66" t="s">
        <v>30</v>
      </c>
      <c r="C289" s="67"/>
      <c r="D289" s="77" t="str">
        <f t="shared" si="192"/>
        <v>C100062</v>
      </c>
      <c r="E289" s="77"/>
      <c r="F289" s="76"/>
      <c r="G289" s="76" t="str">
        <f>"""NAV Direct"",""CRONUS JetCorp USA"",""32"",""1"",""159981"""</f>
        <v>"NAV Direct","CRONUS JetCorp USA","32","1","159981"</v>
      </c>
      <c r="H289" s="86">
        <v>43474</v>
      </c>
      <c r="I289" s="85">
        <v>159981</v>
      </c>
      <c r="J289" s="84" t="str">
        <f>"Customer"</f>
        <v>Customer</v>
      </c>
      <c r="K289" s="84" t="str">
        <f>"C100107"</f>
        <v>C100107</v>
      </c>
      <c r="L289" s="84" t="str">
        <f>IF($J289="Customer",_xll.NL("first",$J289,"Name","No.","@@"&amp;$K289),"")</f>
        <v>Lexitechnology</v>
      </c>
      <c r="M289" s="84" t="str">
        <f>""</f>
        <v/>
      </c>
      <c r="N289" s="84" t="str">
        <f>IF($J289="Item",_xll.NL("first",$J289,"Description","No.","@@"&amp;$K289),"")</f>
        <v/>
      </c>
      <c r="O289" s="83">
        <v>0</v>
      </c>
      <c r="P289" s="83">
        <v>1</v>
      </c>
      <c r="Q289" s="83">
        <v>0</v>
      </c>
      <c r="R289" s="83">
        <v>0</v>
      </c>
      <c r="S289" s="83">
        <v>0</v>
      </c>
      <c r="T289" s="83">
        <v>0</v>
      </c>
      <c r="U289" s="82"/>
    </row>
    <row r="290" spans="1:21" ht="17.25" customHeight="1" x14ac:dyDescent="0.3">
      <c r="A290" s="66" t="s">
        <v>30</v>
      </c>
      <c r="C290" s="67"/>
      <c r="D290" s="77"/>
      <c r="E290" s="77"/>
      <c r="F290" s="76"/>
      <c r="G290" s="76"/>
      <c r="H290" s="76"/>
      <c r="I290" s="76"/>
      <c r="J290" s="76"/>
      <c r="K290" s="76"/>
      <c r="L290" s="76"/>
      <c r="M290" s="76"/>
      <c r="N290" s="76"/>
      <c r="O290" s="75"/>
      <c r="P290" s="75"/>
      <c r="Q290" s="75"/>
      <c r="R290" s="75"/>
      <c r="S290" s="75"/>
      <c r="T290" s="75"/>
      <c r="U290" s="74"/>
    </row>
    <row r="291" spans="1:21" ht="17.25" customHeight="1" x14ac:dyDescent="0.3">
      <c r="A291" s="66" t="s">
        <v>30</v>
      </c>
      <c r="C291" s="67"/>
      <c r="D291" s="77"/>
      <c r="E291" s="77" t="s">
        <v>31</v>
      </c>
      <c r="F291" s="76" t="s">
        <v>31</v>
      </c>
      <c r="G291" s="76" t="s">
        <v>31</v>
      </c>
      <c r="H291" s="76"/>
      <c r="I291" s="76"/>
      <c r="J291" s="76" t="s">
        <v>31</v>
      </c>
      <c r="K291" s="76" t="s">
        <v>31</v>
      </c>
      <c r="L291" s="76" t="s">
        <v>31</v>
      </c>
      <c r="M291" s="76" t="s">
        <v>31</v>
      </c>
      <c r="N291" s="76"/>
      <c r="U291" s="81"/>
    </row>
    <row r="292" spans="1:21" ht="20.25" customHeight="1" x14ac:dyDescent="0.35">
      <c r="A292" s="66" t="s">
        <v>30</v>
      </c>
      <c r="C292" s="67"/>
      <c r="D292" s="92" t="str">
        <f t="shared" ref="D292" si="193">E292</f>
        <v>C100066</v>
      </c>
      <c r="E292" s="91" t="str">
        <f>"C100066"</f>
        <v>C100066</v>
      </c>
      <c r="F292" s="89" t="str">
        <f>"Fashion Travel Mug"</f>
        <v>Fashion Travel Mug</v>
      </c>
      <c r="G292" s="89"/>
      <c r="H292" s="90" t="str">
        <f>"EA"</f>
        <v>EA</v>
      </c>
      <c r="I292" s="89"/>
      <c r="J292" s="89"/>
      <c r="K292" s="89"/>
      <c r="L292" s="89"/>
      <c r="M292" s="89"/>
      <c r="N292" s="89"/>
      <c r="O292" s="88">
        <f>(SUBTOTAL(9,O293:O295))</f>
        <v>0</v>
      </c>
      <c r="P292" s="88">
        <f>(SUBTOTAL(9,P293:P295))</f>
        <v>-150</v>
      </c>
      <c r="Q292" s="88">
        <f>(SUBTOTAL(9,Q293:Q295))</f>
        <v>0</v>
      </c>
      <c r="R292" s="88">
        <f>(SUBTOTAL(9,R293:R295))</f>
        <v>0</v>
      </c>
      <c r="S292" s="88">
        <f>(SUBTOTAL(9,S293:S295))</f>
        <v>0</v>
      </c>
      <c r="T292" s="88">
        <f>(SUBTOTAL(9,T293:T295))</f>
        <v>0</v>
      </c>
      <c r="U292" s="87">
        <f t="shared" ref="U292" si="194">SUBTOTAL(9,O293:T295)</f>
        <v>-150</v>
      </c>
    </row>
    <row r="293" spans="1:21" ht="17.25" customHeight="1" x14ac:dyDescent="0.3">
      <c r="A293" s="66" t="s">
        <v>30</v>
      </c>
      <c r="C293" s="67"/>
      <c r="D293" s="77" t="str">
        <f t="shared" ref="D293" si="195">D292</f>
        <v>C100066</v>
      </c>
      <c r="E293" s="77"/>
      <c r="F293" s="76"/>
      <c r="G293" s="76" t="str">
        <f>"""NAV Direct"",""CRONUS JetCorp USA"",""32"",""1"",""72512"""</f>
        <v>"NAV Direct","CRONUS JetCorp USA","32","1","72512"</v>
      </c>
      <c r="H293" s="86">
        <v>43471</v>
      </c>
      <c r="I293" s="85">
        <v>72512</v>
      </c>
      <c r="J293" s="84" t="str">
        <f>"Customer"</f>
        <v>Customer</v>
      </c>
      <c r="K293" s="84" t="str">
        <f>"C100107"</f>
        <v>C100107</v>
      </c>
      <c r="L293" s="84" t="str">
        <f>IF($J293="Customer",_xll.NL("first",$J293,"Name","No.","@@"&amp;$K293),"")</f>
        <v>Lexitechnology</v>
      </c>
      <c r="M293" s="84" t="str">
        <f>""</f>
        <v/>
      </c>
      <c r="N293" s="84" t="str">
        <f>IF($J293="Item",_xll.NL("first",$J293,"Description","No.","@@"&amp;$K293),"")</f>
        <v/>
      </c>
      <c r="O293" s="83">
        <v>0</v>
      </c>
      <c r="P293" s="83">
        <v>-144</v>
      </c>
      <c r="Q293" s="83">
        <v>0</v>
      </c>
      <c r="R293" s="83">
        <v>0</v>
      </c>
      <c r="S293" s="83">
        <v>0</v>
      </c>
      <c r="T293" s="83">
        <v>0</v>
      </c>
      <c r="U293" s="82"/>
    </row>
    <row r="294" spans="1:21" ht="17.25" customHeight="1" x14ac:dyDescent="0.3">
      <c r="A294" s="66" t="s">
        <v>30</v>
      </c>
      <c r="C294" s="67"/>
      <c r="D294" s="77" t="str">
        <f t="shared" ref="D294" si="196">D293</f>
        <v>C100066</v>
      </c>
      <c r="E294" s="77"/>
      <c r="F294" s="76"/>
      <c r="G294" s="76" t="str">
        <f>"""NAV Direct"",""CRONUS JetCorp USA"",""32"",""1"",""78865"""</f>
        <v>"NAV Direct","CRONUS JetCorp USA","32","1","78865"</v>
      </c>
      <c r="H294" s="86">
        <v>43476</v>
      </c>
      <c r="I294" s="85">
        <v>78865</v>
      </c>
      <c r="J294" s="84" t="str">
        <f>"Customer"</f>
        <v>Customer</v>
      </c>
      <c r="K294" s="84" t="str">
        <f>"C100117"</f>
        <v>C100117</v>
      </c>
      <c r="L294" s="84" t="str">
        <f>IF($J294="Customer",_xll.NL("first",$J294,"Name","No.","@@"&amp;$K294),"")</f>
        <v xml:space="preserve">Tintax </v>
      </c>
      <c r="M294" s="84" t="str">
        <f>""</f>
        <v/>
      </c>
      <c r="N294" s="84" t="str">
        <f>IF($J294="Item",_xll.NL("first",$J294,"Description","No.","@@"&amp;$K294),"")</f>
        <v/>
      </c>
      <c r="O294" s="83">
        <v>0</v>
      </c>
      <c r="P294" s="83">
        <v>-6</v>
      </c>
      <c r="Q294" s="83">
        <v>0</v>
      </c>
      <c r="R294" s="83">
        <v>0</v>
      </c>
      <c r="S294" s="83">
        <v>0</v>
      </c>
      <c r="T294" s="83">
        <v>0</v>
      </c>
      <c r="U294" s="82"/>
    </row>
    <row r="295" spans="1:21" ht="17.25" customHeight="1" x14ac:dyDescent="0.3">
      <c r="A295" s="66" t="s">
        <v>30</v>
      </c>
      <c r="C295" s="67"/>
      <c r="D295" s="77"/>
      <c r="E295" s="77"/>
      <c r="F295" s="76"/>
      <c r="G295" s="76"/>
      <c r="H295" s="76"/>
      <c r="I295" s="76"/>
      <c r="J295" s="76"/>
      <c r="K295" s="76"/>
      <c r="L295" s="76"/>
      <c r="M295" s="76"/>
      <c r="N295" s="76"/>
      <c r="O295" s="75"/>
      <c r="P295" s="75"/>
      <c r="Q295" s="75"/>
      <c r="R295" s="75"/>
      <c r="S295" s="75"/>
      <c r="T295" s="75"/>
      <c r="U295" s="74"/>
    </row>
    <row r="296" spans="1:21" ht="17.25" customHeight="1" x14ac:dyDescent="0.3">
      <c r="A296" s="66" t="s">
        <v>30</v>
      </c>
      <c r="C296" s="67"/>
      <c r="D296" s="77"/>
      <c r="E296" s="77" t="s">
        <v>31</v>
      </c>
      <c r="F296" s="76" t="s">
        <v>31</v>
      </c>
      <c r="G296" s="76" t="s">
        <v>31</v>
      </c>
      <c r="H296" s="76"/>
      <c r="I296" s="76"/>
      <c r="J296" s="76" t="s">
        <v>31</v>
      </c>
      <c r="K296" s="76" t="s">
        <v>31</v>
      </c>
      <c r="L296" s="76" t="s">
        <v>31</v>
      </c>
      <c r="M296" s="76" t="s">
        <v>31</v>
      </c>
      <c r="N296" s="76"/>
      <c r="U296" s="81"/>
    </row>
    <row r="297" spans="1:21" ht="20.25" customHeight="1" x14ac:dyDescent="0.35">
      <c r="A297" s="66" t="s">
        <v>30</v>
      </c>
      <c r="C297" s="67"/>
      <c r="D297" s="92" t="str">
        <f t="shared" ref="D297" si="197">E297</f>
        <v>C100067</v>
      </c>
      <c r="E297" s="91" t="str">
        <f>"C100067"</f>
        <v>C100067</v>
      </c>
      <c r="F297" s="89" t="str">
        <f>"Stainless Thermos"</f>
        <v>Stainless Thermos</v>
      </c>
      <c r="G297" s="89"/>
      <c r="H297" s="90" t="str">
        <f>"EA"</f>
        <v>EA</v>
      </c>
      <c r="I297" s="89"/>
      <c r="J297" s="89"/>
      <c r="K297" s="89"/>
      <c r="L297" s="89"/>
      <c r="M297" s="89"/>
      <c r="N297" s="89"/>
      <c r="O297" s="88">
        <f>(SUBTOTAL(9,O298:O299))</f>
        <v>0</v>
      </c>
      <c r="P297" s="88">
        <f>(SUBTOTAL(9,P298:P299))</f>
        <v>-48</v>
      </c>
      <c r="Q297" s="88">
        <f>(SUBTOTAL(9,Q298:Q299))</f>
        <v>0</v>
      </c>
      <c r="R297" s="88">
        <f>(SUBTOTAL(9,R298:R299))</f>
        <v>0</v>
      </c>
      <c r="S297" s="88">
        <f>(SUBTOTAL(9,S298:S299))</f>
        <v>0</v>
      </c>
      <c r="T297" s="88">
        <f>(SUBTOTAL(9,T298:T299))</f>
        <v>0</v>
      </c>
      <c r="U297" s="87">
        <f t="shared" ref="U297" si="198">SUBTOTAL(9,O298:T299)</f>
        <v>-48</v>
      </c>
    </row>
    <row r="298" spans="1:21" ht="17.25" customHeight="1" x14ac:dyDescent="0.3">
      <c r="A298" s="66" t="s">
        <v>30</v>
      </c>
      <c r="C298" s="67"/>
      <c r="D298" s="77" t="str">
        <f t="shared" ref="D298" si="199">D297</f>
        <v>C100067</v>
      </c>
      <c r="E298" s="77"/>
      <c r="F298" s="76"/>
      <c r="G298" s="76" t="str">
        <f>"""NAV Direct"",""CRONUS JetCorp USA"",""32"",""1"",""78837"""</f>
        <v>"NAV Direct","CRONUS JetCorp USA","32","1","78837"</v>
      </c>
      <c r="H298" s="86">
        <v>43468</v>
      </c>
      <c r="I298" s="85">
        <v>78837</v>
      </c>
      <c r="J298" s="84" t="str">
        <f>"Customer"</f>
        <v>Customer</v>
      </c>
      <c r="K298" s="84" t="str">
        <f>"C100117"</f>
        <v>C100117</v>
      </c>
      <c r="L298" s="84" t="str">
        <f>IF($J298="Customer",_xll.NL("first",$J298,"Name","No.","@@"&amp;$K298),"")</f>
        <v xml:space="preserve">Tintax </v>
      </c>
      <c r="M298" s="84" t="str">
        <f>""</f>
        <v/>
      </c>
      <c r="N298" s="84" t="str">
        <f>IF($J298="Item",_xll.NL("first",$J298,"Description","No.","@@"&amp;$K298),"")</f>
        <v/>
      </c>
      <c r="O298" s="83">
        <v>0</v>
      </c>
      <c r="P298" s="83">
        <v>-48</v>
      </c>
      <c r="Q298" s="83">
        <v>0</v>
      </c>
      <c r="R298" s="83">
        <v>0</v>
      </c>
      <c r="S298" s="83">
        <v>0</v>
      </c>
      <c r="T298" s="83">
        <v>0</v>
      </c>
      <c r="U298" s="82"/>
    </row>
    <row r="299" spans="1:21" ht="17.25" customHeight="1" x14ac:dyDescent="0.3">
      <c r="A299" s="66" t="s">
        <v>30</v>
      </c>
      <c r="C299" s="67"/>
      <c r="D299" s="77"/>
      <c r="E299" s="77"/>
      <c r="F299" s="76"/>
      <c r="G299" s="76"/>
      <c r="H299" s="76"/>
      <c r="I299" s="76"/>
      <c r="J299" s="76"/>
      <c r="K299" s="76"/>
      <c r="L299" s="76"/>
      <c r="M299" s="76"/>
      <c r="N299" s="76"/>
      <c r="O299" s="75"/>
      <c r="P299" s="75"/>
      <c r="Q299" s="75"/>
      <c r="R299" s="75"/>
      <c r="S299" s="75"/>
      <c r="T299" s="75"/>
      <c r="U299" s="74"/>
    </row>
    <row r="300" spans="1:21" ht="17.25" customHeight="1" x14ac:dyDescent="0.3">
      <c r="A300" s="66" t="s">
        <v>30</v>
      </c>
      <c r="C300" s="67"/>
      <c r="D300" s="77"/>
      <c r="E300" s="77" t="s">
        <v>31</v>
      </c>
      <c r="F300" s="76" t="s">
        <v>31</v>
      </c>
      <c r="G300" s="76" t="s">
        <v>31</v>
      </c>
      <c r="H300" s="76"/>
      <c r="I300" s="76"/>
      <c r="J300" s="76" t="s">
        <v>31</v>
      </c>
      <c r="K300" s="76" t="s">
        <v>31</v>
      </c>
      <c r="L300" s="76" t="s">
        <v>31</v>
      </c>
      <c r="M300" s="76" t="s">
        <v>31</v>
      </c>
      <c r="N300" s="76"/>
      <c r="U300" s="81"/>
    </row>
    <row r="301" spans="1:21" ht="20.25" customHeight="1" x14ac:dyDescent="0.35">
      <c r="A301" s="66" t="s">
        <v>30</v>
      </c>
      <c r="C301" s="67"/>
      <c r="D301" s="92" t="str">
        <f t="shared" ref="D301" si="200">E301</f>
        <v>E100001</v>
      </c>
      <c r="E301" s="91" t="str">
        <f>"E100001"</f>
        <v>E100001</v>
      </c>
      <c r="F301" s="89" t="str">
        <f>"Sport Bag"</f>
        <v>Sport Bag</v>
      </c>
      <c r="G301" s="89"/>
      <c r="H301" s="90" t="str">
        <f>"EA"</f>
        <v>EA</v>
      </c>
      <c r="I301" s="89"/>
      <c r="J301" s="89"/>
      <c r="K301" s="89"/>
      <c r="L301" s="89"/>
      <c r="M301" s="89"/>
      <c r="N301" s="89"/>
      <c r="O301" s="88">
        <f>(SUBTOTAL(9,O302:O305))</f>
        <v>400</v>
      </c>
      <c r="P301" s="88">
        <f>(SUBTOTAL(9,P302:P305))</f>
        <v>-289</v>
      </c>
      <c r="Q301" s="88">
        <f>(SUBTOTAL(9,Q302:Q305))</f>
        <v>0</v>
      </c>
      <c r="R301" s="88">
        <f>(SUBTOTAL(9,R302:R305))</f>
        <v>0</v>
      </c>
      <c r="S301" s="88">
        <f>(SUBTOTAL(9,S302:S305))</f>
        <v>0</v>
      </c>
      <c r="T301" s="88">
        <f>(SUBTOTAL(9,T302:T305))</f>
        <v>0</v>
      </c>
      <c r="U301" s="87">
        <f t="shared" ref="U301" si="201">SUBTOTAL(9,O302:T305)</f>
        <v>111</v>
      </c>
    </row>
    <row r="302" spans="1:21" ht="17.25" customHeight="1" x14ac:dyDescent="0.3">
      <c r="A302" s="66" t="s">
        <v>30</v>
      </c>
      <c r="C302" s="67"/>
      <c r="D302" s="77" t="str">
        <f t="shared" ref="D302" si="202">D301</f>
        <v>E100001</v>
      </c>
      <c r="E302" s="77"/>
      <c r="F302" s="76"/>
      <c r="G302" s="76" t="str">
        <f>"""NAV Direct"",""CRONUS JetCorp USA"",""32"",""1"",""166743"""</f>
        <v>"NAV Direct","CRONUS JetCorp USA","32","1","166743"</v>
      </c>
      <c r="H302" s="86">
        <v>43466</v>
      </c>
      <c r="I302" s="85">
        <v>166743</v>
      </c>
      <c r="J302" s="84" t="str">
        <f>"Vendor"</f>
        <v>Vendor</v>
      </c>
      <c r="K302" s="84" t="str">
        <f>"V100040"</f>
        <v>V100040</v>
      </c>
      <c r="L302" s="84" t="str">
        <f>IF($J302="Customer",_xll.NL("first",$J302,"Name","No.","@@"&amp;$K302),"")</f>
        <v/>
      </c>
      <c r="M302" s="84" t="str">
        <f>"Technische Betriebe Rotkreuz"</f>
        <v>Technische Betriebe Rotkreuz</v>
      </c>
      <c r="N302" s="84" t="str">
        <f>IF($J302="Item",_xll.NL("first",$J302,"Description","No.","@@"&amp;$K302),"")</f>
        <v/>
      </c>
      <c r="O302" s="83">
        <v>400</v>
      </c>
      <c r="P302" s="83">
        <v>0</v>
      </c>
      <c r="Q302" s="83">
        <v>0</v>
      </c>
      <c r="R302" s="83">
        <v>0</v>
      </c>
      <c r="S302" s="83">
        <v>0</v>
      </c>
      <c r="T302" s="83">
        <v>0</v>
      </c>
      <c r="U302" s="82"/>
    </row>
    <row r="303" spans="1:21" ht="17.25" customHeight="1" x14ac:dyDescent="0.3">
      <c r="A303" s="66" t="s">
        <v>30</v>
      </c>
      <c r="C303" s="67"/>
      <c r="D303" s="77" t="str">
        <f t="shared" ref="D303:D304" si="203">D302</f>
        <v>E100001</v>
      </c>
      <c r="E303" s="77"/>
      <c r="F303" s="76"/>
      <c r="G303" s="76" t="str">
        <f>"""NAV Direct"",""CRONUS JetCorp USA"",""32"",""1"",""38078"""</f>
        <v>"NAV Direct","CRONUS JetCorp USA","32","1","38078"</v>
      </c>
      <c r="H303" s="86">
        <v>43471</v>
      </c>
      <c r="I303" s="85">
        <v>38078</v>
      </c>
      <c r="J303" s="84" t="str">
        <f>"Customer"</f>
        <v>Customer</v>
      </c>
      <c r="K303" s="84" t="str">
        <f>"C100013"</f>
        <v>C100013</v>
      </c>
      <c r="L303" s="84" t="str">
        <f>IF($J303="Customer",_xll.NL("first",$J303,"Name","No.","@@"&amp;$K303),"")</f>
        <v>Candoxy Kontor A/S</v>
      </c>
      <c r="M303" s="84" t="str">
        <f>""</f>
        <v/>
      </c>
      <c r="N303" s="84" t="str">
        <f>IF($J303="Item",_xll.NL("first",$J303,"Description","No.","@@"&amp;$K303),"")</f>
        <v/>
      </c>
      <c r="O303" s="83">
        <v>0</v>
      </c>
      <c r="P303" s="83">
        <v>-144</v>
      </c>
      <c r="Q303" s="83">
        <v>0</v>
      </c>
      <c r="R303" s="83">
        <v>0</v>
      </c>
      <c r="S303" s="83">
        <v>0</v>
      </c>
      <c r="T303" s="83">
        <v>0</v>
      </c>
      <c r="U303" s="82"/>
    </row>
    <row r="304" spans="1:21" ht="17.25" customHeight="1" x14ac:dyDescent="0.3">
      <c r="A304" s="66" t="s">
        <v>30</v>
      </c>
      <c r="C304" s="67"/>
      <c r="D304" s="77" t="str">
        <f t="shared" si="203"/>
        <v>E100001</v>
      </c>
      <c r="E304" s="77"/>
      <c r="F304" s="76"/>
      <c r="G304" s="76" t="str">
        <f>"""NAV Direct"",""CRONUS JetCorp USA"",""32"",""1"",""38089"""</f>
        <v>"NAV Direct","CRONUS JetCorp USA","32","1","38089"</v>
      </c>
      <c r="H304" s="86">
        <v>43477</v>
      </c>
      <c r="I304" s="85">
        <v>38089</v>
      </c>
      <c r="J304" s="84" t="str">
        <f>"Customer"</f>
        <v>Customer</v>
      </c>
      <c r="K304" s="84" t="str">
        <f>"C100038"</f>
        <v>C100038</v>
      </c>
      <c r="L304" s="84" t="str">
        <f>IF($J304="Customer",_xll.NL("first",$J304,"Name","No.","@@"&amp;$K304),"")</f>
        <v>Gagn &amp; Gaman</v>
      </c>
      <c r="M304" s="84" t="str">
        <f>""</f>
        <v/>
      </c>
      <c r="N304" s="84" t="str">
        <f>IF($J304="Item",_xll.NL("first",$J304,"Description","No.","@@"&amp;$K304),"")</f>
        <v/>
      </c>
      <c r="O304" s="83">
        <v>0</v>
      </c>
      <c r="P304" s="83">
        <v>-145</v>
      </c>
      <c r="Q304" s="83">
        <v>0</v>
      </c>
      <c r="R304" s="83">
        <v>0</v>
      </c>
      <c r="S304" s="83">
        <v>0</v>
      </c>
      <c r="T304" s="83">
        <v>0</v>
      </c>
      <c r="U304" s="82"/>
    </row>
    <row r="305" spans="1:21" ht="17.25" customHeight="1" x14ac:dyDescent="0.3">
      <c r="A305" s="66" t="s">
        <v>30</v>
      </c>
      <c r="C305" s="67"/>
      <c r="D305" s="77"/>
      <c r="E305" s="77"/>
      <c r="F305" s="76"/>
      <c r="G305" s="76"/>
      <c r="H305" s="76"/>
      <c r="I305" s="76"/>
      <c r="J305" s="76"/>
      <c r="K305" s="76"/>
      <c r="L305" s="76"/>
      <c r="M305" s="76"/>
      <c r="N305" s="76"/>
      <c r="O305" s="75"/>
      <c r="P305" s="75"/>
      <c r="Q305" s="75"/>
      <c r="R305" s="75"/>
      <c r="S305" s="75"/>
      <c r="T305" s="75"/>
      <c r="U305" s="74"/>
    </row>
    <row r="306" spans="1:21" ht="17.25" customHeight="1" x14ac:dyDescent="0.3">
      <c r="A306" s="66" t="s">
        <v>30</v>
      </c>
      <c r="C306" s="67"/>
      <c r="D306" s="77"/>
      <c r="E306" s="77" t="s">
        <v>31</v>
      </c>
      <c r="F306" s="76" t="s">
        <v>31</v>
      </c>
      <c r="G306" s="76" t="s">
        <v>31</v>
      </c>
      <c r="H306" s="76"/>
      <c r="I306" s="76"/>
      <c r="J306" s="76" t="s">
        <v>31</v>
      </c>
      <c r="K306" s="76" t="s">
        <v>31</v>
      </c>
      <c r="L306" s="76" t="s">
        <v>31</v>
      </c>
      <c r="M306" s="76" t="s">
        <v>31</v>
      </c>
      <c r="N306" s="76"/>
      <c r="U306" s="81"/>
    </row>
    <row r="307" spans="1:21" ht="20.25" customHeight="1" x14ac:dyDescent="0.35">
      <c r="A307" s="66" t="s">
        <v>30</v>
      </c>
      <c r="C307" s="67"/>
      <c r="D307" s="92" t="str">
        <f t="shared" ref="D307" si="204">E307</f>
        <v>E100002</v>
      </c>
      <c r="E307" s="91" t="str">
        <f>"E100002"</f>
        <v>E100002</v>
      </c>
      <c r="F307" s="89" t="str">
        <f>"Cotton Classic Tote"</f>
        <v>Cotton Classic Tote</v>
      </c>
      <c r="G307" s="89"/>
      <c r="H307" s="90" t="str">
        <f>"EA"</f>
        <v>EA</v>
      </c>
      <c r="I307" s="89"/>
      <c r="J307" s="89"/>
      <c r="K307" s="89"/>
      <c r="L307" s="89"/>
      <c r="M307" s="89"/>
      <c r="N307" s="89"/>
      <c r="O307" s="88">
        <f>(SUBTOTAL(9,O308:O311))</f>
        <v>200</v>
      </c>
      <c r="P307" s="88">
        <f>(SUBTOTAL(9,P308:P311))</f>
        <v>-312</v>
      </c>
      <c r="Q307" s="88">
        <f>(SUBTOTAL(9,Q308:Q311))</f>
        <v>0</v>
      </c>
      <c r="R307" s="88">
        <f>(SUBTOTAL(9,R308:R311))</f>
        <v>0</v>
      </c>
      <c r="S307" s="88">
        <f>(SUBTOTAL(9,S308:S311))</f>
        <v>0</v>
      </c>
      <c r="T307" s="88">
        <f>(SUBTOTAL(9,T308:T311))</f>
        <v>0</v>
      </c>
      <c r="U307" s="87">
        <f t="shared" ref="U307" si="205">SUBTOTAL(9,O308:T311)</f>
        <v>-112</v>
      </c>
    </row>
    <row r="308" spans="1:21" ht="17.25" customHeight="1" x14ac:dyDescent="0.3">
      <c r="A308" s="66" t="s">
        <v>30</v>
      </c>
      <c r="C308" s="67"/>
      <c r="D308" s="77" t="str">
        <f t="shared" ref="D308" si="206">D307</f>
        <v>E100002</v>
      </c>
      <c r="E308" s="77"/>
      <c r="F308" s="76"/>
      <c r="G308" s="76" t="str">
        <f>"""NAV Direct"",""CRONUS JetCorp USA"",""32"",""1"",""166742"""</f>
        <v>"NAV Direct","CRONUS JetCorp USA","32","1","166742"</v>
      </c>
      <c r="H308" s="86">
        <v>43466</v>
      </c>
      <c r="I308" s="85">
        <v>166742</v>
      </c>
      <c r="J308" s="84" t="str">
        <f>"Vendor"</f>
        <v>Vendor</v>
      </c>
      <c r="K308" s="84" t="str">
        <f>"V100040"</f>
        <v>V100040</v>
      </c>
      <c r="L308" s="84" t="str">
        <f>IF($J308="Customer",_xll.NL("first",$J308,"Name","No.","@@"&amp;$K308),"")</f>
        <v/>
      </c>
      <c r="M308" s="84" t="str">
        <f>"Technische Betriebe Rotkreuz"</f>
        <v>Technische Betriebe Rotkreuz</v>
      </c>
      <c r="N308" s="84" t="str">
        <f>IF($J308="Item",_xll.NL("first",$J308,"Description","No.","@@"&amp;$K308),"")</f>
        <v/>
      </c>
      <c r="O308" s="83">
        <v>200</v>
      </c>
      <c r="P308" s="83">
        <v>0</v>
      </c>
      <c r="Q308" s="83">
        <v>0</v>
      </c>
      <c r="R308" s="83">
        <v>0</v>
      </c>
      <c r="S308" s="83">
        <v>0</v>
      </c>
      <c r="T308" s="83">
        <v>0</v>
      </c>
      <c r="U308" s="82"/>
    </row>
    <row r="309" spans="1:21" ht="17.25" customHeight="1" x14ac:dyDescent="0.3">
      <c r="A309" s="66" t="s">
        <v>30</v>
      </c>
      <c r="C309" s="67"/>
      <c r="D309" s="77" t="str">
        <f t="shared" ref="D309:D310" si="207">D308</f>
        <v>E100002</v>
      </c>
      <c r="E309" s="77"/>
      <c r="F309" s="76"/>
      <c r="G309" s="76" t="str">
        <f>"""NAV Direct"",""CRONUS JetCorp USA"",""32"",""1"",""72515"""</f>
        <v>"NAV Direct","CRONUS JetCorp USA","32","1","72515"</v>
      </c>
      <c r="H309" s="86">
        <v>43471</v>
      </c>
      <c r="I309" s="85">
        <v>72515</v>
      </c>
      <c r="J309" s="84" t="str">
        <f>"Customer"</f>
        <v>Customer</v>
      </c>
      <c r="K309" s="84" t="str">
        <f>"C100107"</f>
        <v>C100107</v>
      </c>
      <c r="L309" s="84" t="str">
        <f>IF($J309="Customer",_xll.NL("first",$J309,"Name","No.","@@"&amp;$K309),"")</f>
        <v>Lexitechnology</v>
      </c>
      <c r="M309" s="84" t="str">
        <f>""</f>
        <v/>
      </c>
      <c r="N309" s="84" t="str">
        <f>IF($J309="Item",_xll.NL("first",$J309,"Description","No.","@@"&amp;$K309),"")</f>
        <v/>
      </c>
      <c r="O309" s="83">
        <v>0</v>
      </c>
      <c r="P309" s="83">
        <v>-288</v>
      </c>
      <c r="Q309" s="83">
        <v>0</v>
      </c>
      <c r="R309" s="83">
        <v>0</v>
      </c>
      <c r="S309" s="83">
        <v>0</v>
      </c>
      <c r="T309" s="83">
        <v>0</v>
      </c>
      <c r="U309" s="82"/>
    </row>
    <row r="310" spans="1:21" ht="17.25" customHeight="1" x14ac:dyDescent="0.3">
      <c r="A310" s="66" t="s">
        <v>30</v>
      </c>
      <c r="C310" s="67"/>
      <c r="D310" s="77" t="str">
        <f t="shared" si="207"/>
        <v>E100002</v>
      </c>
      <c r="E310" s="77"/>
      <c r="F310" s="76"/>
      <c r="G310" s="76" t="str">
        <f>"""NAV Direct"",""CRONUS JetCorp USA"",""32"",""1"",""78909"""</f>
        <v>"NAV Direct","CRONUS JetCorp USA","32","1","78909"</v>
      </c>
      <c r="H310" s="86">
        <v>43475</v>
      </c>
      <c r="I310" s="85">
        <v>78909</v>
      </c>
      <c r="J310" s="84" t="str">
        <f>"Customer"</f>
        <v>Customer</v>
      </c>
      <c r="K310" s="84" t="str">
        <f>"C100128"</f>
        <v>C100128</v>
      </c>
      <c r="L310" s="84" t="str">
        <f>IF($J310="Customer",_xll.NL("first",$J310,"Name","No.","@@"&amp;$K310),"")</f>
        <v>Solar Tech</v>
      </c>
      <c r="M310" s="84" t="str">
        <f>""</f>
        <v/>
      </c>
      <c r="N310" s="84" t="str">
        <f>IF($J310="Item",_xll.NL("first",$J310,"Description","No.","@@"&amp;$K310),"")</f>
        <v/>
      </c>
      <c r="O310" s="83">
        <v>0</v>
      </c>
      <c r="P310" s="83">
        <v>-24</v>
      </c>
      <c r="Q310" s="83">
        <v>0</v>
      </c>
      <c r="R310" s="83">
        <v>0</v>
      </c>
      <c r="S310" s="83">
        <v>0</v>
      </c>
      <c r="T310" s="83">
        <v>0</v>
      </c>
      <c r="U310" s="82"/>
    </row>
    <row r="311" spans="1:21" ht="17.25" customHeight="1" x14ac:dyDescent="0.3">
      <c r="A311" s="66" t="s">
        <v>30</v>
      </c>
      <c r="C311" s="67"/>
      <c r="D311" s="77"/>
      <c r="E311" s="77"/>
      <c r="F311" s="76"/>
      <c r="G311" s="76"/>
      <c r="H311" s="76"/>
      <c r="I311" s="76"/>
      <c r="J311" s="76"/>
      <c r="K311" s="76"/>
      <c r="L311" s="76"/>
      <c r="M311" s="76"/>
      <c r="N311" s="76"/>
      <c r="O311" s="75"/>
      <c r="P311" s="75"/>
      <c r="Q311" s="75"/>
      <c r="R311" s="75"/>
      <c r="S311" s="75"/>
      <c r="T311" s="75"/>
      <c r="U311" s="74"/>
    </row>
    <row r="312" spans="1:21" ht="17.25" customHeight="1" x14ac:dyDescent="0.3">
      <c r="A312" s="66" t="s">
        <v>30</v>
      </c>
      <c r="C312" s="67"/>
      <c r="D312" s="77"/>
      <c r="E312" s="77" t="s">
        <v>31</v>
      </c>
      <c r="F312" s="76" t="s">
        <v>31</v>
      </c>
      <c r="G312" s="76" t="s">
        <v>31</v>
      </c>
      <c r="H312" s="76"/>
      <c r="I312" s="76"/>
      <c r="J312" s="76" t="s">
        <v>31</v>
      </c>
      <c r="K312" s="76" t="s">
        <v>31</v>
      </c>
      <c r="L312" s="76" t="s">
        <v>31</v>
      </c>
      <c r="M312" s="76" t="s">
        <v>31</v>
      </c>
      <c r="N312" s="76"/>
      <c r="U312" s="81"/>
    </row>
    <row r="313" spans="1:21" ht="20.25" customHeight="1" x14ac:dyDescent="0.35">
      <c r="A313" s="66" t="s">
        <v>30</v>
      </c>
      <c r="C313" s="67"/>
      <c r="D313" s="92" t="str">
        <f t="shared" ref="D313" si="208">E313</f>
        <v>E100003</v>
      </c>
      <c r="E313" s="91" t="str">
        <f>"E100003"</f>
        <v>E100003</v>
      </c>
      <c r="F313" s="89" t="str">
        <f>"Recycled Tote"</f>
        <v>Recycled Tote</v>
      </c>
      <c r="G313" s="89"/>
      <c r="H313" s="90" t="str">
        <f>"EA"</f>
        <v>EA</v>
      </c>
      <c r="I313" s="89"/>
      <c r="J313" s="89"/>
      <c r="K313" s="89"/>
      <c r="L313" s="89"/>
      <c r="M313" s="89"/>
      <c r="N313" s="89"/>
      <c r="O313" s="88">
        <f>(SUBTOTAL(9,O314:O315))</f>
        <v>0</v>
      </c>
      <c r="P313" s="88">
        <f>(SUBTOTAL(9,P314:P315))</f>
        <v>-144</v>
      </c>
      <c r="Q313" s="88">
        <f>(SUBTOTAL(9,Q314:Q315))</f>
        <v>0</v>
      </c>
      <c r="R313" s="88">
        <f>(SUBTOTAL(9,R314:R315))</f>
        <v>0</v>
      </c>
      <c r="S313" s="88">
        <f>(SUBTOTAL(9,S314:S315))</f>
        <v>0</v>
      </c>
      <c r="T313" s="88">
        <f>(SUBTOTAL(9,T314:T315))</f>
        <v>0</v>
      </c>
      <c r="U313" s="87">
        <f t="shared" ref="U313" si="209">SUBTOTAL(9,O314:T315)</f>
        <v>-144</v>
      </c>
    </row>
    <row r="314" spans="1:21" ht="17.25" customHeight="1" x14ac:dyDescent="0.3">
      <c r="A314" s="66" t="s">
        <v>30</v>
      </c>
      <c r="C314" s="67"/>
      <c r="D314" s="77" t="str">
        <f t="shared" ref="D314" si="210">D313</f>
        <v>E100003</v>
      </c>
      <c r="E314" s="77"/>
      <c r="F314" s="76"/>
      <c r="G314" s="76" t="str">
        <f>"""NAV Direct"",""CRONUS JetCorp USA"",""32"",""1"",""78898"""</f>
        <v>"NAV Direct","CRONUS JetCorp USA","32","1","78898"</v>
      </c>
      <c r="H314" s="86">
        <v>43475</v>
      </c>
      <c r="I314" s="85">
        <v>78898</v>
      </c>
      <c r="J314" s="84" t="str">
        <f>"Customer"</f>
        <v>Customer</v>
      </c>
      <c r="K314" s="84" t="str">
        <f>"C100128"</f>
        <v>C100128</v>
      </c>
      <c r="L314" s="84" t="str">
        <f>IF($J314="Customer",_xll.NL("first",$J314,"Name","No.","@@"&amp;$K314),"")</f>
        <v>Solar Tech</v>
      </c>
      <c r="M314" s="84" t="str">
        <f>""</f>
        <v/>
      </c>
      <c r="N314" s="84" t="str">
        <f>IF($J314="Item",_xll.NL("first",$J314,"Description","No.","@@"&amp;$K314),"")</f>
        <v/>
      </c>
      <c r="O314" s="83">
        <v>0</v>
      </c>
      <c r="P314" s="83">
        <v>-144</v>
      </c>
      <c r="Q314" s="83">
        <v>0</v>
      </c>
      <c r="R314" s="83">
        <v>0</v>
      </c>
      <c r="S314" s="83">
        <v>0</v>
      </c>
      <c r="T314" s="83">
        <v>0</v>
      </c>
      <c r="U314" s="82"/>
    </row>
    <row r="315" spans="1:21" ht="17.25" customHeight="1" x14ac:dyDescent="0.3">
      <c r="A315" s="66" t="s">
        <v>30</v>
      </c>
      <c r="C315" s="67"/>
      <c r="D315" s="77"/>
      <c r="E315" s="77"/>
      <c r="F315" s="76"/>
      <c r="G315" s="76"/>
      <c r="H315" s="76"/>
      <c r="I315" s="76"/>
      <c r="J315" s="76"/>
      <c r="K315" s="76"/>
      <c r="L315" s="76"/>
      <c r="M315" s="76"/>
      <c r="N315" s="76"/>
      <c r="O315" s="75"/>
      <c r="P315" s="75"/>
      <c r="Q315" s="75"/>
      <c r="R315" s="75"/>
      <c r="S315" s="75"/>
      <c r="T315" s="75"/>
      <c r="U315" s="74"/>
    </row>
    <row r="316" spans="1:21" ht="17.25" customHeight="1" x14ac:dyDescent="0.3">
      <c r="A316" s="66" t="s">
        <v>30</v>
      </c>
      <c r="C316" s="67"/>
      <c r="D316" s="77"/>
      <c r="E316" s="77" t="s">
        <v>31</v>
      </c>
      <c r="F316" s="76" t="s">
        <v>31</v>
      </c>
      <c r="G316" s="76" t="s">
        <v>31</v>
      </c>
      <c r="H316" s="76"/>
      <c r="I316" s="76"/>
      <c r="J316" s="76" t="s">
        <v>31</v>
      </c>
      <c r="K316" s="76" t="s">
        <v>31</v>
      </c>
      <c r="L316" s="76" t="s">
        <v>31</v>
      </c>
      <c r="M316" s="76" t="s">
        <v>31</v>
      </c>
      <c r="N316" s="76"/>
      <c r="U316" s="81"/>
    </row>
    <row r="317" spans="1:21" ht="20.25" customHeight="1" x14ac:dyDescent="0.35">
      <c r="A317" s="66" t="s">
        <v>30</v>
      </c>
      <c r="C317" s="67"/>
      <c r="D317" s="92" t="str">
        <f t="shared" ref="D317" si="211">E317</f>
        <v>E100004</v>
      </c>
      <c r="E317" s="91" t="str">
        <f>"E100004"</f>
        <v>E100004</v>
      </c>
      <c r="F317" s="89" t="str">
        <f>"Laminated Tote"</f>
        <v>Laminated Tote</v>
      </c>
      <c r="G317" s="89"/>
      <c r="H317" s="90" t="str">
        <f>"EA"</f>
        <v>EA</v>
      </c>
      <c r="I317" s="89"/>
      <c r="J317" s="89"/>
      <c r="K317" s="89"/>
      <c r="L317" s="89"/>
      <c r="M317" s="89"/>
      <c r="N317" s="89"/>
      <c r="O317" s="88">
        <f>(SUBTOTAL(9,O318:O321))</f>
        <v>200</v>
      </c>
      <c r="P317" s="88">
        <f>(SUBTOTAL(9,P318:P321))</f>
        <v>-294</v>
      </c>
      <c r="Q317" s="88">
        <f>(SUBTOTAL(9,Q318:Q321))</f>
        <v>0</v>
      </c>
      <c r="R317" s="88">
        <f>(SUBTOTAL(9,R318:R321))</f>
        <v>0</v>
      </c>
      <c r="S317" s="88">
        <f>(SUBTOTAL(9,S318:S321))</f>
        <v>0</v>
      </c>
      <c r="T317" s="88">
        <f>(SUBTOTAL(9,T318:T321))</f>
        <v>0</v>
      </c>
      <c r="U317" s="87">
        <f t="shared" ref="U317" si="212">SUBTOTAL(9,O318:T321)</f>
        <v>-94</v>
      </c>
    </row>
    <row r="318" spans="1:21" ht="17.25" customHeight="1" x14ac:dyDescent="0.3">
      <c r="A318" s="66" t="s">
        <v>30</v>
      </c>
      <c r="C318" s="67"/>
      <c r="D318" s="77" t="str">
        <f t="shared" ref="D318" si="213">D317</f>
        <v>E100004</v>
      </c>
      <c r="E318" s="77"/>
      <c r="F318" s="76"/>
      <c r="G318" s="76" t="str">
        <f>"""NAV Direct"",""CRONUS JetCorp USA"",""32"",""1"",""166741"""</f>
        <v>"NAV Direct","CRONUS JetCorp USA","32","1","166741"</v>
      </c>
      <c r="H318" s="86">
        <v>43466</v>
      </c>
      <c r="I318" s="85">
        <v>166741</v>
      </c>
      <c r="J318" s="84" t="str">
        <f>"Vendor"</f>
        <v>Vendor</v>
      </c>
      <c r="K318" s="84" t="str">
        <f>"V100040"</f>
        <v>V100040</v>
      </c>
      <c r="L318" s="84" t="str">
        <f>IF($J318="Customer",_xll.NL("first",$J318,"Name","No.","@@"&amp;$K318),"")</f>
        <v/>
      </c>
      <c r="M318" s="84" t="str">
        <f>"Technische Betriebe Rotkreuz"</f>
        <v>Technische Betriebe Rotkreuz</v>
      </c>
      <c r="N318" s="84" t="str">
        <f>IF($J318="Item",_xll.NL("first",$J318,"Description","No.","@@"&amp;$K318),"")</f>
        <v/>
      </c>
      <c r="O318" s="83">
        <v>200</v>
      </c>
      <c r="P318" s="83">
        <v>0</v>
      </c>
      <c r="Q318" s="83">
        <v>0</v>
      </c>
      <c r="R318" s="83">
        <v>0</v>
      </c>
      <c r="S318" s="83">
        <v>0</v>
      </c>
      <c r="T318" s="83">
        <v>0</v>
      </c>
      <c r="U318" s="82"/>
    </row>
    <row r="319" spans="1:21" ht="17.25" customHeight="1" x14ac:dyDescent="0.3">
      <c r="A319" s="66" t="s">
        <v>30</v>
      </c>
      <c r="C319" s="67"/>
      <c r="D319" s="77" t="str">
        <f t="shared" ref="D319:D320" si="214">D318</f>
        <v>E100004</v>
      </c>
      <c r="E319" s="77"/>
      <c r="F319" s="76"/>
      <c r="G319" s="76" t="str">
        <f>"""NAV Direct"",""CRONUS JetCorp USA"",""32"",""1"",""78845"""</f>
        <v>"NAV Direct","CRONUS JetCorp USA","32","1","78845"</v>
      </c>
      <c r="H319" s="86">
        <v>43470</v>
      </c>
      <c r="I319" s="85">
        <v>78845</v>
      </c>
      <c r="J319" s="84" t="str">
        <f>"Customer"</f>
        <v>Customer</v>
      </c>
      <c r="K319" s="84" t="str">
        <f>"C100117"</f>
        <v>C100117</v>
      </c>
      <c r="L319" s="84" t="str">
        <f>IF($J319="Customer",_xll.NL("first",$J319,"Name","No.","@@"&amp;$K319),"")</f>
        <v xml:space="preserve">Tintax </v>
      </c>
      <c r="M319" s="84" t="str">
        <f>""</f>
        <v/>
      </c>
      <c r="N319" s="84" t="str">
        <f>IF($J319="Item",_xll.NL("first",$J319,"Description","No.","@@"&amp;$K319),"")</f>
        <v/>
      </c>
      <c r="O319" s="83">
        <v>0</v>
      </c>
      <c r="P319" s="83">
        <v>-288</v>
      </c>
      <c r="Q319" s="83">
        <v>0</v>
      </c>
      <c r="R319" s="83">
        <v>0</v>
      </c>
      <c r="S319" s="83">
        <v>0</v>
      </c>
      <c r="T319" s="83">
        <v>0</v>
      </c>
      <c r="U319" s="82"/>
    </row>
    <row r="320" spans="1:21" ht="17.25" customHeight="1" x14ac:dyDescent="0.3">
      <c r="A320" s="66" t="s">
        <v>30</v>
      </c>
      <c r="C320" s="67"/>
      <c r="D320" s="77" t="str">
        <f t="shared" si="214"/>
        <v>E100004</v>
      </c>
      <c r="E320" s="77"/>
      <c r="F320" s="76"/>
      <c r="G320" s="76" t="str">
        <f>"""NAV Direct"",""CRONUS JetCorp USA"",""32"",""1"",""78866"""</f>
        <v>"NAV Direct","CRONUS JetCorp USA","32","1","78866"</v>
      </c>
      <c r="H320" s="86">
        <v>43476</v>
      </c>
      <c r="I320" s="85">
        <v>78866</v>
      </c>
      <c r="J320" s="84" t="str">
        <f>"Customer"</f>
        <v>Customer</v>
      </c>
      <c r="K320" s="84" t="str">
        <f>"C100117"</f>
        <v>C100117</v>
      </c>
      <c r="L320" s="84" t="str">
        <f>IF($J320="Customer",_xll.NL("first",$J320,"Name","No.","@@"&amp;$K320),"")</f>
        <v xml:space="preserve">Tintax </v>
      </c>
      <c r="M320" s="84" t="str">
        <f>""</f>
        <v/>
      </c>
      <c r="N320" s="84" t="str">
        <f>IF($J320="Item",_xll.NL("first",$J320,"Description","No.","@@"&amp;$K320),"")</f>
        <v/>
      </c>
      <c r="O320" s="83">
        <v>0</v>
      </c>
      <c r="P320" s="83">
        <v>-6</v>
      </c>
      <c r="Q320" s="83">
        <v>0</v>
      </c>
      <c r="R320" s="83">
        <v>0</v>
      </c>
      <c r="S320" s="83">
        <v>0</v>
      </c>
      <c r="T320" s="83">
        <v>0</v>
      </c>
      <c r="U320" s="82"/>
    </row>
    <row r="321" spans="1:21" ht="17.25" customHeight="1" x14ac:dyDescent="0.3">
      <c r="A321" s="66" t="s">
        <v>30</v>
      </c>
      <c r="C321" s="67"/>
      <c r="D321" s="77"/>
      <c r="E321" s="77"/>
      <c r="F321" s="76"/>
      <c r="G321" s="76"/>
      <c r="H321" s="76"/>
      <c r="I321" s="76"/>
      <c r="J321" s="76"/>
      <c r="K321" s="76"/>
      <c r="L321" s="76"/>
      <c r="M321" s="76"/>
      <c r="N321" s="76"/>
      <c r="O321" s="75"/>
      <c r="P321" s="75"/>
      <c r="Q321" s="75"/>
      <c r="R321" s="75"/>
      <c r="S321" s="75"/>
      <c r="T321" s="75"/>
      <c r="U321" s="74"/>
    </row>
    <row r="322" spans="1:21" ht="17.25" customHeight="1" x14ac:dyDescent="0.3">
      <c r="A322" s="66" t="s">
        <v>30</v>
      </c>
      <c r="C322" s="67"/>
      <c r="D322" s="77"/>
      <c r="E322" s="77" t="s">
        <v>31</v>
      </c>
      <c r="F322" s="76" t="s">
        <v>31</v>
      </c>
      <c r="G322" s="76" t="s">
        <v>31</v>
      </c>
      <c r="H322" s="76"/>
      <c r="I322" s="76"/>
      <c r="J322" s="76" t="s">
        <v>31</v>
      </c>
      <c r="K322" s="76" t="s">
        <v>31</v>
      </c>
      <c r="L322" s="76" t="s">
        <v>31</v>
      </c>
      <c r="M322" s="76" t="s">
        <v>31</v>
      </c>
      <c r="N322" s="76"/>
      <c r="U322" s="81"/>
    </row>
    <row r="323" spans="1:21" ht="20.25" customHeight="1" x14ac:dyDescent="0.35">
      <c r="A323" s="66" t="s">
        <v>30</v>
      </c>
      <c r="C323" s="67"/>
      <c r="D323" s="92" t="str">
        <f t="shared" ref="D323" si="215">E323</f>
        <v>E100005</v>
      </c>
      <c r="E323" s="91" t="str">
        <f>"E100005"</f>
        <v>E100005</v>
      </c>
      <c r="F323" s="89" t="str">
        <f>"All Purpose Tote"</f>
        <v>All Purpose Tote</v>
      </c>
      <c r="G323" s="89"/>
      <c r="H323" s="90" t="str">
        <f>"EA"</f>
        <v>EA</v>
      </c>
      <c r="I323" s="89"/>
      <c r="J323" s="89"/>
      <c r="K323" s="89"/>
      <c r="L323" s="89"/>
      <c r="M323" s="89"/>
      <c r="N323" s="89"/>
      <c r="O323" s="88">
        <f>(SUBTOTAL(9,O324:O325))</f>
        <v>400</v>
      </c>
      <c r="P323" s="88">
        <f>(SUBTOTAL(9,P324:P325))</f>
        <v>0</v>
      </c>
      <c r="Q323" s="88">
        <f>(SUBTOTAL(9,Q324:Q325))</f>
        <v>0</v>
      </c>
      <c r="R323" s="88">
        <f>(SUBTOTAL(9,R324:R325))</f>
        <v>0</v>
      </c>
      <c r="S323" s="88">
        <f>(SUBTOTAL(9,S324:S325))</f>
        <v>0</v>
      </c>
      <c r="T323" s="88">
        <f>(SUBTOTAL(9,T324:T325))</f>
        <v>0</v>
      </c>
      <c r="U323" s="87">
        <f t="shared" ref="U323" si="216">SUBTOTAL(9,O324:T325)</f>
        <v>400</v>
      </c>
    </row>
    <row r="324" spans="1:21" ht="17.25" customHeight="1" x14ac:dyDescent="0.3">
      <c r="A324" s="66" t="s">
        <v>30</v>
      </c>
      <c r="C324" s="67"/>
      <c r="D324" s="77" t="str">
        <f t="shared" ref="D324" si="217">D323</f>
        <v>E100005</v>
      </c>
      <c r="E324" s="77"/>
      <c r="F324" s="76"/>
      <c r="G324" s="76" t="str">
        <f>"""NAV Direct"",""CRONUS JetCorp USA"",""32"",""1"",""166740"""</f>
        <v>"NAV Direct","CRONUS JetCorp USA","32","1","166740"</v>
      </c>
      <c r="H324" s="86">
        <v>43466</v>
      </c>
      <c r="I324" s="85">
        <v>166740</v>
      </c>
      <c r="J324" s="84" t="str">
        <f>"Vendor"</f>
        <v>Vendor</v>
      </c>
      <c r="K324" s="84" t="str">
        <f>"V100040"</f>
        <v>V100040</v>
      </c>
      <c r="L324" s="84" t="str">
        <f>IF($J324="Customer",_xll.NL("first",$J324,"Name","No.","@@"&amp;$K324),"")</f>
        <v/>
      </c>
      <c r="M324" s="84" t="str">
        <f>"Technische Betriebe Rotkreuz"</f>
        <v>Technische Betriebe Rotkreuz</v>
      </c>
      <c r="N324" s="84" t="str">
        <f>IF($J324="Item",_xll.NL("first",$J324,"Description","No.","@@"&amp;$K324),"")</f>
        <v/>
      </c>
      <c r="O324" s="83">
        <v>400</v>
      </c>
      <c r="P324" s="83">
        <v>0</v>
      </c>
      <c r="Q324" s="83">
        <v>0</v>
      </c>
      <c r="R324" s="83">
        <v>0</v>
      </c>
      <c r="S324" s="83">
        <v>0</v>
      </c>
      <c r="T324" s="83">
        <v>0</v>
      </c>
      <c r="U324" s="82"/>
    </row>
    <row r="325" spans="1:21" ht="17.25" customHeight="1" x14ac:dyDescent="0.3">
      <c r="A325" s="66" t="s">
        <v>30</v>
      </c>
      <c r="C325" s="67"/>
      <c r="D325" s="77"/>
      <c r="E325" s="77"/>
      <c r="F325" s="76"/>
      <c r="G325" s="76"/>
      <c r="H325" s="76"/>
      <c r="I325" s="76"/>
      <c r="J325" s="76"/>
      <c r="K325" s="76"/>
      <c r="L325" s="76"/>
      <c r="M325" s="76"/>
      <c r="N325" s="76"/>
      <c r="O325" s="75"/>
      <c r="P325" s="75"/>
      <c r="Q325" s="75"/>
      <c r="R325" s="75"/>
      <c r="S325" s="75"/>
      <c r="T325" s="75"/>
      <c r="U325" s="74"/>
    </row>
    <row r="326" spans="1:21" ht="17.25" customHeight="1" x14ac:dyDescent="0.3">
      <c r="A326" s="66" t="s">
        <v>30</v>
      </c>
      <c r="C326" s="67"/>
      <c r="D326" s="77"/>
      <c r="E326" s="77" t="s">
        <v>31</v>
      </c>
      <c r="F326" s="76" t="s">
        <v>31</v>
      </c>
      <c r="G326" s="76" t="s">
        <v>31</v>
      </c>
      <c r="H326" s="76"/>
      <c r="I326" s="76"/>
      <c r="J326" s="76" t="s">
        <v>31</v>
      </c>
      <c r="K326" s="76" t="s">
        <v>31</v>
      </c>
      <c r="L326" s="76" t="s">
        <v>31</v>
      </c>
      <c r="M326" s="76" t="s">
        <v>31</v>
      </c>
      <c r="N326" s="76"/>
      <c r="U326" s="81"/>
    </row>
    <row r="327" spans="1:21" ht="20.25" customHeight="1" x14ac:dyDescent="0.35">
      <c r="A327" s="66" t="s">
        <v>30</v>
      </c>
      <c r="C327" s="67"/>
      <c r="D327" s="92" t="str">
        <f t="shared" ref="D327" si="218">E327</f>
        <v>E100006</v>
      </c>
      <c r="E327" s="91" t="str">
        <f>"E100006"</f>
        <v>E100006</v>
      </c>
      <c r="F327" s="89" t="str">
        <f>"Budget Tote Bag"</f>
        <v>Budget Tote Bag</v>
      </c>
      <c r="G327" s="89"/>
      <c r="H327" s="90" t="str">
        <f>"EA"</f>
        <v>EA</v>
      </c>
      <c r="I327" s="89"/>
      <c r="J327" s="89"/>
      <c r="K327" s="89"/>
      <c r="L327" s="89"/>
      <c r="M327" s="89"/>
      <c r="N327" s="89"/>
      <c r="O327" s="88">
        <f>(SUBTOTAL(9,O328:O331))</f>
        <v>200</v>
      </c>
      <c r="P327" s="88">
        <f>(SUBTOTAL(9,P328:P331))</f>
        <v>0</v>
      </c>
      <c r="Q327" s="88">
        <f>(SUBTOTAL(9,Q328:Q331))</f>
        <v>0</v>
      </c>
      <c r="R327" s="88">
        <f>(SUBTOTAL(9,R328:R331))</f>
        <v>0</v>
      </c>
      <c r="S327" s="88">
        <f>(SUBTOTAL(9,S328:S331))</f>
        <v>0</v>
      </c>
      <c r="T327" s="88">
        <f>(SUBTOTAL(9,T328:T331))</f>
        <v>0</v>
      </c>
      <c r="U327" s="87">
        <f t="shared" ref="U327" si="219">SUBTOTAL(9,O328:T331)</f>
        <v>200</v>
      </c>
    </row>
    <row r="328" spans="1:21" ht="17.25" customHeight="1" x14ac:dyDescent="0.3">
      <c r="A328" s="66" t="s">
        <v>30</v>
      </c>
      <c r="C328" s="67"/>
      <c r="D328" s="77" t="str">
        <f t="shared" ref="D328" si="220">D327</f>
        <v>E100006</v>
      </c>
      <c r="E328" s="77"/>
      <c r="F328" s="76"/>
      <c r="G328" s="76" t="str">
        <f>"""NAV Direct"",""CRONUS JetCorp USA"",""32"",""1"",""166739"""</f>
        <v>"NAV Direct","CRONUS JetCorp USA","32","1","166739"</v>
      </c>
      <c r="H328" s="86">
        <v>43466</v>
      </c>
      <c r="I328" s="85">
        <v>166739</v>
      </c>
      <c r="J328" s="84" t="str">
        <f>"Vendor"</f>
        <v>Vendor</v>
      </c>
      <c r="K328" s="84" t="str">
        <f>"V100040"</f>
        <v>V100040</v>
      </c>
      <c r="L328" s="84" t="str">
        <f>IF($J328="Customer",_xll.NL("first",$J328,"Name","No.","@@"&amp;$K328),"")</f>
        <v/>
      </c>
      <c r="M328" s="84" t="str">
        <f>"Technische Betriebe Rotkreuz"</f>
        <v>Technische Betriebe Rotkreuz</v>
      </c>
      <c r="N328" s="84" t="str">
        <f>IF($J328="Item",_xll.NL("first",$J328,"Description","No.","@@"&amp;$K328),"")</f>
        <v/>
      </c>
      <c r="O328" s="83">
        <v>200</v>
      </c>
      <c r="P328" s="83">
        <v>0</v>
      </c>
      <c r="Q328" s="83">
        <v>0</v>
      </c>
      <c r="R328" s="83">
        <v>0</v>
      </c>
      <c r="S328" s="83">
        <v>0</v>
      </c>
      <c r="T328" s="83">
        <v>0</v>
      </c>
      <c r="U328" s="82"/>
    </row>
    <row r="329" spans="1:21" ht="17.25" customHeight="1" x14ac:dyDescent="0.3">
      <c r="A329" s="66" t="s">
        <v>30</v>
      </c>
      <c r="C329" s="67"/>
      <c r="D329" s="77" t="str">
        <f t="shared" ref="D329:D330" si="221">D328</f>
        <v>E100006</v>
      </c>
      <c r="E329" s="77"/>
      <c r="F329" s="76"/>
      <c r="G329" s="76" t="str">
        <f>"""NAV Direct"",""CRONUS JetCorp USA"",""32"",""1"",""78858"""</f>
        <v>"NAV Direct","CRONUS JetCorp USA","32","1","78858"</v>
      </c>
      <c r="H329" s="86">
        <v>43470</v>
      </c>
      <c r="I329" s="85">
        <v>78858</v>
      </c>
      <c r="J329" s="84" t="str">
        <f>"Customer"</f>
        <v>Customer</v>
      </c>
      <c r="K329" s="84" t="str">
        <f>"C100117"</f>
        <v>C100117</v>
      </c>
      <c r="L329" s="84" t="str">
        <f>IF($J329="Customer",_xll.NL("first",$J329,"Name","No.","@@"&amp;$K329),"")</f>
        <v xml:space="preserve">Tintax </v>
      </c>
      <c r="M329" s="84" t="str">
        <f>""</f>
        <v/>
      </c>
      <c r="N329" s="84" t="str">
        <f>IF($J329="Item",_xll.NL("first",$J329,"Description","No.","@@"&amp;$K329),"")</f>
        <v/>
      </c>
      <c r="O329" s="83">
        <v>0</v>
      </c>
      <c r="P329" s="83">
        <v>-1</v>
      </c>
      <c r="Q329" s="83">
        <v>0</v>
      </c>
      <c r="R329" s="83">
        <v>0</v>
      </c>
      <c r="S329" s="83">
        <v>0</v>
      </c>
      <c r="T329" s="83">
        <v>0</v>
      </c>
      <c r="U329" s="82"/>
    </row>
    <row r="330" spans="1:21" ht="17.25" customHeight="1" x14ac:dyDescent="0.3">
      <c r="A330" s="66" t="s">
        <v>30</v>
      </c>
      <c r="C330" s="67"/>
      <c r="D330" s="77" t="str">
        <f t="shared" si="221"/>
        <v>E100006</v>
      </c>
      <c r="E330" s="77"/>
      <c r="F330" s="76"/>
      <c r="G330" s="76" t="str">
        <f>"""NAV Direct"",""CRONUS JetCorp USA"",""32"",""1"",""159983"""</f>
        <v>"NAV Direct","CRONUS JetCorp USA","32","1","159983"</v>
      </c>
      <c r="H330" s="86">
        <v>43474</v>
      </c>
      <c r="I330" s="85">
        <v>159983</v>
      </c>
      <c r="J330" s="84" t="str">
        <f>"Customer"</f>
        <v>Customer</v>
      </c>
      <c r="K330" s="84" t="str">
        <f>"C100107"</f>
        <v>C100107</v>
      </c>
      <c r="L330" s="84" t="str">
        <f>IF($J330="Customer",_xll.NL("first",$J330,"Name","No.","@@"&amp;$K330),"")</f>
        <v>Lexitechnology</v>
      </c>
      <c r="M330" s="84" t="str">
        <f>""</f>
        <v/>
      </c>
      <c r="N330" s="84" t="str">
        <f>IF($J330="Item",_xll.NL("first",$J330,"Description","No.","@@"&amp;$K330),"")</f>
        <v/>
      </c>
      <c r="O330" s="83">
        <v>0</v>
      </c>
      <c r="P330" s="83">
        <v>1</v>
      </c>
      <c r="Q330" s="83">
        <v>0</v>
      </c>
      <c r="R330" s="83">
        <v>0</v>
      </c>
      <c r="S330" s="83">
        <v>0</v>
      </c>
      <c r="T330" s="83">
        <v>0</v>
      </c>
      <c r="U330" s="82"/>
    </row>
    <row r="331" spans="1:21" ht="17.25" customHeight="1" x14ac:dyDescent="0.3">
      <c r="A331" s="66" t="s">
        <v>30</v>
      </c>
      <c r="C331" s="67"/>
      <c r="D331" s="77"/>
      <c r="E331" s="77"/>
      <c r="F331" s="76"/>
      <c r="G331" s="76"/>
      <c r="H331" s="76"/>
      <c r="I331" s="76"/>
      <c r="J331" s="76"/>
      <c r="K331" s="76"/>
      <c r="L331" s="76"/>
      <c r="M331" s="76"/>
      <c r="N331" s="76"/>
      <c r="O331" s="75"/>
      <c r="P331" s="75"/>
      <c r="Q331" s="75"/>
      <c r="R331" s="75"/>
      <c r="S331" s="75"/>
      <c r="T331" s="75"/>
      <c r="U331" s="74"/>
    </row>
    <row r="332" spans="1:21" ht="17.25" customHeight="1" x14ac:dyDescent="0.3">
      <c r="A332" s="66" t="s">
        <v>30</v>
      </c>
      <c r="C332" s="67"/>
      <c r="D332" s="77"/>
      <c r="E332" s="77" t="s">
        <v>31</v>
      </c>
      <c r="F332" s="76" t="s">
        <v>31</v>
      </c>
      <c r="G332" s="76" t="s">
        <v>31</v>
      </c>
      <c r="H332" s="76"/>
      <c r="I332" s="76"/>
      <c r="J332" s="76" t="s">
        <v>31</v>
      </c>
      <c r="K332" s="76" t="s">
        <v>31</v>
      </c>
      <c r="L332" s="76" t="s">
        <v>31</v>
      </c>
      <c r="M332" s="76" t="s">
        <v>31</v>
      </c>
      <c r="N332" s="76"/>
      <c r="U332" s="81"/>
    </row>
    <row r="333" spans="1:21" ht="20.25" customHeight="1" x14ac:dyDescent="0.35">
      <c r="A333" s="66" t="s">
        <v>30</v>
      </c>
      <c r="C333" s="67"/>
      <c r="D333" s="92" t="str">
        <f t="shared" ref="D333" si="222">E333</f>
        <v>E100007</v>
      </c>
      <c r="E333" s="91" t="str">
        <f>"E100007"</f>
        <v>E100007</v>
      </c>
      <c r="F333" s="89" t="str">
        <f>"Plastic Handle Bag"</f>
        <v>Plastic Handle Bag</v>
      </c>
      <c r="G333" s="89"/>
      <c r="H333" s="90" t="str">
        <f>"EA"</f>
        <v>EA</v>
      </c>
      <c r="I333" s="89"/>
      <c r="J333" s="89"/>
      <c r="K333" s="89"/>
      <c r="L333" s="89"/>
      <c r="M333" s="89"/>
      <c r="N333" s="89"/>
      <c r="O333" s="88">
        <f>(SUBTOTAL(9,O334:O338))</f>
        <v>600</v>
      </c>
      <c r="P333" s="88">
        <f>(SUBTOTAL(9,P334:P338))</f>
        <v>-481</v>
      </c>
      <c r="Q333" s="88">
        <f>(SUBTOTAL(9,Q334:Q338))</f>
        <v>0</v>
      </c>
      <c r="R333" s="88">
        <f>(SUBTOTAL(9,R334:R338))</f>
        <v>0</v>
      </c>
      <c r="S333" s="88">
        <f>(SUBTOTAL(9,S334:S338))</f>
        <v>0</v>
      </c>
      <c r="T333" s="88">
        <f>(SUBTOTAL(9,T334:T338))</f>
        <v>0</v>
      </c>
      <c r="U333" s="87">
        <f t="shared" ref="U333" si="223">SUBTOTAL(9,O334:T338)</f>
        <v>119</v>
      </c>
    </row>
    <row r="334" spans="1:21" ht="17.25" customHeight="1" x14ac:dyDescent="0.3">
      <c r="A334" s="66" t="s">
        <v>30</v>
      </c>
      <c r="C334" s="67"/>
      <c r="D334" s="77" t="str">
        <f t="shared" ref="D334" si="224">D333</f>
        <v>E100007</v>
      </c>
      <c r="E334" s="77"/>
      <c r="F334" s="76"/>
      <c r="G334" s="76" t="str">
        <f>"""NAV Direct"",""CRONUS JetCorp USA"",""32"",""1"",""166738"""</f>
        <v>"NAV Direct","CRONUS JetCorp USA","32","1","166738"</v>
      </c>
      <c r="H334" s="86">
        <v>43466</v>
      </c>
      <c r="I334" s="85">
        <v>166738</v>
      </c>
      <c r="J334" s="84" t="str">
        <f>"Vendor"</f>
        <v>Vendor</v>
      </c>
      <c r="K334" s="84" t="str">
        <f>"V100040"</f>
        <v>V100040</v>
      </c>
      <c r="L334" s="84" t="str">
        <f>IF($J334="Customer",_xll.NL("first",$J334,"Name","No.","@@"&amp;$K334),"")</f>
        <v/>
      </c>
      <c r="M334" s="84" t="str">
        <f>"Technische Betriebe Rotkreuz"</f>
        <v>Technische Betriebe Rotkreuz</v>
      </c>
      <c r="N334" s="84" t="str">
        <f>IF($J334="Item",_xll.NL("first",$J334,"Description","No.","@@"&amp;$K334),"")</f>
        <v/>
      </c>
      <c r="O334" s="83">
        <v>600</v>
      </c>
      <c r="P334" s="83">
        <v>0</v>
      </c>
      <c r="Q334" s="83">
        <v>0</v>
      </c>
      <c r="R334" s="83">
        <v>0</v>
      </c>
      <c r="S334" s="83">
        <v>0</v>
      </c>
      <c r="T334" s="83">
        <v>0</v>
      </c>
      <c r="U334" s="82"/>
    </row>
    <row r="335" spans="1:21" ht="17.25" customHeight="1" x14ac:dyDescent="0.3">
      <c r="A335" s="66" t="s">
        <v>30</v>
      </c>
      <c r="C335" s="67"/>
      <c r="D335" s="77" t="str">
        <f t="shared" ref="D335:D337" si="225">D334</f>
        <v>E100007</v>
      </c>
      <c r="E335" s="77"/>
      <c r="F335" s="76"/>
      <c r="G335" s="76" t="str">
        <f>"""NAV Direct"",""CRONUS JetCorp USA"",""32"",""1"",""78853"""</f>
        <v>"NAV Direct","CRONUS JetCorp USA","32","1","78853"</v>
      </c>
      <c r="H335" s="86">
        <v>43470</v>
      </c>
      <c r="I335" s="85">
        <v>78853</v>
      </c>
      <c r="J335" s="84" t="str">
        <f>"Customer"</f>
        <v>Customer</v>
      </c>
      <c r="K335" s="84" t="str">
        <f>"C100117"</f>
        <v>C100117</v>
      </c>
      <c r="L335" s="84" t="str">
        <f>IF($J335="Customer",_xll.NL("first",$J335,"Name","No.","@@"&amp;$K335),"")</f>
        <v xml:space="preserve">Tintax </v>
      </c>
      <c r="M335" s="84" t="str">
        <f>""</f>
        <v/>
      </c>
      <c r="N335" s="84" t="str">
        <f>IF($J335="Item",_xll.NL("first",$J335,"Description","No.","@@"&amp;$K335),"")</f>
        <v/>
      </c>
      <c r="O335" s="83">
        <v>0</v>
      </c>
      <c r="P335" s="83">
        <v>-144</v>
      </c>
      <c r="Q335" s="83">
        <v>0</v>
      </c>
      <c r="R335" s="83">
        <v>0</v>
      </c>
      <c r="S335" s="83">
        <v>0</v>
      </c>
      <c r="T335" s="83">
        <v>0</v>
      </c>
      <c r="U335" s="82"/>
    </row>
    <row r="336" spans="1:21" ht="17.25" customHeight="1" x14ac:dyDescent="0.3">
      <c r="A336" s="66" t="s">
        <v>30</v>
      </c>
      <c r="C336" s="67"/>
      <c r="D336" s="77" t="str">
        <f t="shared" si="225"/>
        <v>E100007</v>
      </c>
      <c r="E336" s="77"/>
      <c r="F336" s="76"/>
      <c r="G336" s="76" t="str">
        <f>"""NAV Direct"",""CRONUS JetCorp USA"",""32"",""1"",""72526"""</f>
        <v>"NAV Direct","CRONUS JetCorp USA","32","1","72526"</v>
      </c>
      <c r="H336" s="86">
        <v>43471</v>
      </c>
      <c r="I336" s="85">
        <v>72526</v>
      </c>
      <c r="J336" s="84" t="str">
        <f>"Customer"</f>
        <v>Customer</v>
      </c>
      <c r="K336" s="84" t="str">
        <f>"C100107"</f>
        <v>C100107</v>
      </c>
      <c r="L336" s="84" t="str">
        <f>IF($J336="Customer",_xll.NL("first",$J336,"Name","No.","@@"&amp;$K336),"")</f>
        <v>Lexitechnology</v>
      </c>
      <c r="M336" s="84" t="str">
        <f>""</f>
        <v/>
      </c>
      <c r="N336" s="84" t="str">
        <f>IF($J336="Item",_xll.NL("first",$J336,"Description","No.","@@"&amp;$K336),"")</f>
        <v/>
      </c>
      <c r="O336" s="83">
        <v>0</v>
      </c>
      <c r="P336" s="83">
        <v>-48</v>
      </c>
      <c r="Q336" s="83">
        <v>0</v>
      </c>
      <c r="R336" s="83">
        <v>0</v>
      </c>
      <c r="S336" s="83">
        <v>0</v>
      </c>
      <c r="T336" s="83">
        <v>0</v>
      </c>
      <c r="U336" s="82"/>
    </row>
    <row r="337" spans="1:21" ht="17.25" customHeight="1" x14ac:dyDescent="0.3">
      <c r="A337" s="66" t="s">
        <v>30</v>
      </c>
      <c r="C337" s="67"/>
      <c r="D337" s="77" t="str">
        <f t="shared" si="225"/>
        <v>E100007</v>
      </c>
      <c r="E337" s="77"/>
      <c r="F337" s="76"/>
      <c r="G337" s="76" t="str">
        <f>"""NAV Direct"",""CRONUS JetCorp USA"",""32"",""1"",""78905"""</f>
        <v>"NAV Direct","CRONUS JetCorp USA","32","1","78905"</v>
      </c>
      <c r="H337" s="86">
        <v>43475</v>
      </c>
      <c r="I337" s="85">
        <v>78905</v>
      </c>
      <c r="J337" s="84" t="str">
        <f>"Customer"</f>
        <v>Customer</v>
      </c>
      <c r="K337" s="84" t="str">
        <f>"C100128"</f>
        <v>C100128</v>
      </c>
      <c r="L337" s="84" t="str">
        <f>IF($J337="Customer",_xll.NL("first",$J337,"Name","No.","@@"&amp;$K337),"")</f>
        <v>Solar Tech</v>
      </c>
      <c r="M337" s="84" t="str">
        <f>""</f>
        <v/>
      </c>
      <c r="N337" s="84" t="str">
        <f>IF($J337="Item",_xll.NL("first",$J337,"Description","No.","@@"&amp;$K337),"")</f>
        <v/>
      </c>
      <c r="O337" s="83">
        <v>0</v>
      </c>
      <c r="P337" s="83">
        <v>-289</v>
      </c>
      <c r="Q337" s="83">
        <v>0</v>
      </c>
      <c r="R337" s="83">
        <v>0</v>
      </c>
      <c r="S337" s="83">
        <v>0</v>
      </c>
      <c r="T337" s="83">
        <v>0</v>
      </c>
      <c r="U337" s="82"/>
    </row>
    <row r="338" spans="1:21" ht="17.25" customHeight="1" x14ac:dyDescent="0.3">
      <c r="A338" s="66" t="s">
        <v>30</v>
      </c>
      <c r="C338" s="67"/>
      <c r="D338" s="77"/>
      <c r="E338" s="77"/>
      <c r="F338" s="76"/>
      <c r="G338" s="76"/>
      <c r="H338" s="76"/>
      <c r="I338" s="76"/>
      <c r="J338" s="76"/>
      <c r="K338" s="76"/>
      <c r="L338" s="76"/>
      <c r="M338" s="76"/>
      <c r="N338" s="76"/>
      <c r="O338" s="75"/>
      <c r="P338" s="75"/>
      <c r="Q338" s="75"/>
      <c r="R338" s="75"/>
      <c r="S338" s="75"/>
      <c r="T338" s="75"/>
      <c r="U338" s="74"/>
    </row>
    <row r="339" spans="1:21" ht="17.25" customHeight="1" x14ac:dyDescent="0.3">
      <c r="A339" s="66" t="s">
        <v>30</v>
      </c>
      <c r="C339" s="67"/>
      <c r="D339" s="77"/>
      <c r="E339" s="77" t="s">
        <v>31</v>
      </c>
      <c r="F339" s="76" t="s">
        <v>31</v>
      </c>
      <c r="G339" s="76" t="s">
        <v>31</v>
      </c>
      <c r="H339" s="76"/>
      <c r="I339" s="76"/>
      <c r="J339" s="76" t="s">
        <v>31</v>
      </c>
      <c r="K339" s="76" t="s">
        <v>31</v>
      </c>
      <c r="L339" s="76" t="s">
        <v>31</v>
      </c>
      <c r="M339" s="76" t="s">
        <v>31</v>
      </c>
      <c r="N339" s="76"/>
      <c r="U339" s="81"/>
    </row>
    <row r="340" spans="1:21" ht="20.25" customHeight="1" x14ac:dyDescent="0.35">
      <c r="A340" s="66" t="s">
        <v>30</v>
      </c>
      <c r="C340" s="67"/>
      <c r="D340" s="92" t="str">
        <f t="shared" ref="D340" si="226">E340</f>
        <v>E100008</v>
      </c>
      <c r="E340" s="91" t="str">
        <f>"E100008"</f>
        <v>E100008</v>
      </c>
      <c r="F340" s="89" t="str">
        <f>"Super Shopper"</f>
        <v>Super Shopper</v>
      </c>
      <c r="G340" s="89"/>
      <c r="H340" s="90" t="str">
        <f>"EA"</f>
        <v>EA</v>
      </c>
      <c r="I340" s="89"/>
      <c r="J340" s="89"/>
      <c r="K340" s="89"/>
      <c r="L340" s="89"/>
      <c r="M340" s="89"/>
      <c r="N340" s="89"/>
      <c r="O340" s="88">
        <f>(SUBTOTAL(9,O341:O344))</f>
        <v>200</v>
      </c>
      <c r="P340" s="88">
        <f>(SUBTOTAL(9,P341:P344))</f>
        <v>-145</v>
      </c>
      <c r="Q340" s="88">
        <f>(SUBTOTAL(9,Q341:Q344))</f>
        <v>0</v>
      </c>
      <c r="R340" s="88">
        <f>(SUBTOTAL(9,R341:R344))</f>
        <v>0</v>
      </c>
      <c r="S340" s="88">
        <f>(SUBTOTAL(9,S341:S344))</f>
        <v>0</v>
      </c>
      <c r="T340" s="88">
        <f>(SUBTOTAL(9,T341:T344))</f>
        <v>0</v>
      </c>
      <c r="U340" s="87">
        <f t="shared" ref="U340" si="227">SUBTOTAL(9,O341:T344)</f>
        <v>55</v>
      </c>
    </row>
    <row r="341" spans="1:21" ht="17.25" customHeight="1" x14ac:dyDescent="0.3">
      <c r="A341" s="66" t="s">
        <v>30</v>
      </c>
      <c r="C341" s="67"/>
      <c r="D341" s="77" t="str">
        <f t="shared" ref="D341" si="228">D340</f>
        <v>E100008</v>
      </c>
      <c r="E341" s="77"/>
      <c r="F341" s="76"/>
      <c r="G341" s="76" t="str">
        <f>"""NAV Direct"",""CRONUS JetCorp USA"",""32"",""1"",""166737"""</f>
        <v>"NAV Direct","CRONUS JetCorp USA","32","1","166737"</v>
      </c>
      <c r="H341" s="86">
        <v>43466</v>
      </c>
      <c r="I341" s="85">
        <v>166737</v>
      </c>
      <c r="J341" s="84" t="str">
        <f>"Vendor"</f>
        <v>Vendor</v>
      </c>
      <c r="K341" s="84" t="str">
        <f>"V100040"</f>
        <v>V100040</v>
      </c>
      <c r="L341" s="84" t="str">
        <f>IF($J341="Customer",_xll.NL("first",$J341,"Name","No.","@@"&amp;$K341),"")</f>
        <v/>
      </c>
      <c r="M341" s="84" t="str">
        <f>"Technische Betriebe Rotkreuz"</f>
        <v>Technische Betriebe Rotkreuz</v>
      </c>
      <c r="N341" s="84" t="str">
        <f>IF($J341="Item",_xll.NL("first",$J341,"Description","No.","@@"&amp;$K341),"")</f>
        <v/>
      </c>
      <c r="O341" s="83">
        <v>200</v>
      </c>
      <c r="P341" s="83">
        <v>0</v>
      </c>
      <c r="Q341" s="83">
        <v>0</v>
      </c>
      <c r="R341" s="83">
        <v>0</v>
      </c>
      <c r="S341" s="83">
        <v>0</v>
      </c>
      <c r="T341" s="83">
        <v>0</v>
      </c>
      <c r="U341" s="82"/>
    </row>
    <row r="342" spans="1:21" ht="17.25" customHeight="1" x14ac:dyDescent="0.3">
      <c r="A342" s="66" t="s">
        <v>30</v>
      </c>
      <c r="C342" s="67"/>
      <c r="D342" s="77" t="str">
        <f t="shared" ref="D342:D343" si="229">D341</f>
        <v>E100008</v>
      </c>
      <c r="E342" s="77"/>
      <c r="F342" s="76"/>
      <c r="G342" s="76" t="str">
        <f>"""NAV Direct"",""CRONUS JetCorp USA"",""32"",""1"",""72528"""</f>
        <v>"NAV Direct","CRONUS JetCorp USA","32","1","72528"</v>
      </c>
      <c r="H342" s="86">
        <v>43471</v>
      </c>
      <c r="I342" s="85">
        <v>72528</v>
      </c>
      <c r="J342" s="84" t="str">
        <f>"Customer"</f>
        <v>Customer</v>
      </c>
      <c r="K342" s="84" t="str">
        <f>"C100107"</f>
        <v>C100107</v>
      </c>
      <c r="L342" s="84" t="str">
        <f>IF($J342="Customer",_xll.NL("first",$J342,"Name","No.","@@"&amp;$K342),"")</f>
        <v>Lexitechnology</v>
      </c>
      <c r="M342" s="84" t="str">
        <f>""</f>
        <v/>
      </c>
      <c r="N342" s="84" t="str">
        <f>IF($J342="Item",_xll.NL("first",$J342,"Description","No.","@@"&amp;$K342),"")</f>
        <v/>
      </c>
      <c r="O342" s="83">
        <v>0</v>
      </c>
      <c r="P342" s="83">
        <v>-1</v>
      </c>
      <c r="Q342" s="83">
        <v>0</v>
      </c>
      <c r="R342" s="83">
        <v>0</v>
      </c>
      <c r="S342" s="83">
        <v>0</v>
      </c>
      <c r="T342" s="83">
        <v>0</v>
      </c>
      <c r="U342" s="82"/>
    </row>
    <row r="343" spans="1:21" ht="17.25" customHeight="1" x14ac:dyDescent="0.3">
      <c r="A343" s="66" t="s">
        <v>30</v>
      </c>
      <c r="C343" s="67"/>
      <c r="D343" s="77" t="str">
        <f t="shared" si="229"/>
        <v>E100008</v>
      </c>
      <c r="E343" s="77"/>
      <c r="F343" s="76"/>
      <c r="G343" s="76" t="str">
        <f>"""NAV Direct"",""CRONUS JetCorp USA"",""32"",""1"",""78908"""</f>
        <v>"NAV Direct","CRONUS JetCorp USA","32","1","78908"</v>
      </c>
      <c r="H343" s="86">
        <v>43475</v>
      </c>
      <c r="I343" s="85">
        <v>78908</v>
      </c>
      <c r="J343" s="84" t="str">
        <f>"Customer"</f>
        <v>Customer</v>
      </c>
      <c r="K343" s="84" t="str">
        <f>"C100128"</f>
        <v>C100128</v>
      </c>
      <c r="L343" s="84" t="str">
        <f>IF($J343="Customer",_xll.NL("first",$J343,"Name","No.","@@"&amp;$K343),"")</f>
        <v>Solar Tech</v>
      </c>
      <c r="M343" s="84" t="str">
        <f>""</f>
        <v/>
      </c>
      <c r="N343" s="84" t="str">
        <f>IF($J343="Item",_xll.NL("first",$J343,"Description","No.","@@"&amp;$K343),"")</f>
        <v/>
      </c>
      <c r="O343" s="83">
        <v>0</v>
      </c>
      <c r="P343" s="83">
        <v>-144</v>
      </c>
      <c r="Q343" s="83">
        <v>0</v>
      </c>
      <c r="R343" s="83">
        <v>0</v>
      </c>
      <c r="S343" s="83">
        <v>0</v>
      </c>
      <c r="T343" s="83">
        <v>0</v>
      </c>
      <c r="U343" s="82"/>
    </row>
    <row r="344" spans="1:21" ht="17.25" customHeight="1" x14ac:dyDescent="0.3">
      <c r="A344" s="66" t="s">
        <v>30</v>
      </c>
      <c r="C344" s="67"/>
      <c r="D344" s="77"/>
      <c r="E344" s="77"/>
      <c r="F344" s="76"/>
      <c r="G344" s="76"/>
      <c r="H344" s="76"/>
      <c r="I344" s="76"/>
      <c r="J344" s="76"/>
      <c r="K344" s="76"/>
      <c r="L344" s="76"/>
      <c r="M344" s="76"/>
      <c r="N344" s="76"/>
      <c r="O344" s="75"/>
      <c r="P344" s="75"/>
      <c r="Q344" s="75"/>
      <c r="R344" s="75"/>
      <c r="S344" s="75"/>
      <c r="T344" s="75"/>
      <c r="U344" s="74"/>
    </row>
    <row r="345" spans="1:21" ht="17.25" customHeight="1" x14ac:dyDescent="0.3">
      <c r="A345" s="66" t="s">
        <v>30</v>
      </c>
      <c r="C345" s="67"/>
      <c r="D345" s="77"/>
      <c r="E345" s="77" t="s">
        <v>31</v>
      </c>
      <c r="F345" s="76" t="s">
        <v>31</v>
      </c>
      <c r="G345" s="76" t="s">
        <v>31</v>
      </c>
      <c r="H345" s="76"/>
      <c r="I345" s="76"/>
      <c r="J345" s="76" t="s">
        <v>31</v>
      </c>
      <c r="K345" s="76" t="s">
        <v>31</v>
      </c>
      <c r="L345" s="76" t="s">
        <v>31</v>
      </c>
      <c r="M345" s="76" t="s">
        <v>31</v>
      </c>
      <c r="N345" s="76"/>
      <c r="U345" s="81"/>
    </row>
    <row r="346" spans="1:21" ht="20.25" customHeight="1" x14ac:dyDescent="0.35">
      <c r="A346" s="66" t="s">
        <v>30</v>
      </c>
      <c r="C346" s="67"/>
      <c r="D346" s="92" t="str">
        <f t="shared" ref="D346" si="230">E346</f>
        <v>E100009</v>
      </c>
      <c r="E346" s="91" t="str">
        <f>"E100009"</f>
        <v>E100009</v>
      </c>
      <c r="F346" s="89" t="str">
        <f>"Die-Cut Tote"</f>
        <v>Die-Cut Tote</v>
      </c>
      <c r="G346" s="89"/>
      <c r="H346" s="90" t="str">
        <f>"EA"</f>
        <v>EA</v>
      </c>
      <c r="I346" s="89"/>
      <c r="J346" s="89"/>
      <c r="K346" s="89"/>
      <c r="L346" s="89"/>
      <c r="M346" s="89"/>
      <c r="N346" s="89"/>
      <c r="O346" s="88">
        <f>(SUBTOTAL(9,O347:O350))</f>
        <v>400</v>
      </c>
      <c r="P346" s="88">
        <f>(SUBTOTAL(9,P347:P350))</f>
        <v>-143</v>
      </c>
      <c r="Q346" s="88">
        <f>(SUBTOTAL(9,Q347:Q350))</f>
        <v>0</v>
      </c>
      <c r="R346" s="88">
        <f>(SUBTOTAL(9,R347:R350))</f>
        <v>0</v>
      </c>
      <c r="S346" s="88">
        <f>(SUBTOTAL(9,S347:S350))</f>
        <v>0</v>
      </c>
      <c r="T346" s="88">
        <f>(SUBTOTAL(9,T347:T350))</f>
        <v>0</v>
      </c>
      <c r="U346" s="87">
        <f t="shared" ref="U346" si="231">SUBTOTAL(9,O347:T350)</f>
        <v>257</v>
      </c>
    </row>
    <row r="347" spans="1:21" ht="17.25" customHeight="1" x14ac:dyDescent="0.3">
      <c r="A347" s="66" t="s">
        <v>30</v>
      </c>
      <c r="C347" s="67"/>
      <c r="D347" s="77" t="str">
        <f t="shared" ref="D347" si="232">D346</f>
        <v>E100009</v>
      </c>
      <c r="E347" s="77"/>
      <c r="F347" s="76"/>
      <c r="G347" s="76" t="str">
        <f>"""NAV Direct"",""CRONUS JetCorp USA"",""32"",""1"",""166736"""</f>
        <v>"NAV Direct","CRONUS JetCorp USA","32","1","166736"</v>
      </c>
      <c r="H347" s="86">
        <v>43466</v>
      </c>
      <c r="I347" s="85">
        <v>166736</v>
      </c>
      <c r="J347" s="84" t="str">
        <f>"Vendor"</f>
        <v>Vendor</v>
      </c>
      <c r="K347" s="84" t="str">
        <f>"V100040"</f>
        <v>V100040</v>
      </c>
      <c r="L347" s="84" t="str">
        <f>IF($J347="Customer",_xll.NL("first",$J347,"Name","No.","@@"&amp;$K347),"")</f>
        <v/>
      </c>
      <c r="M347" s="84" t="str">
        <f>"Technische Betriebe Rotkreuz"</f>
        <v>Technische Betriebe Rotkreuz</v>
      </c>
      <c r="N347" s="84" t="str">
        <f>IF($J347="Item",_xll.NL("first",$J347,"Description","No.","@@"&amp;$K347),"")</f>
        <v/>
      </c>
      <c r="O347" s="83">
        <v>400</v>
      </c>
      <c r="P347" s="83">
        <v>0</v>
      </c>
      <c r="Q347" s="83">
        <v>0</v>
      </c>
      <c r="R347" s="83">
        <v>0</v>
      </c>
      <c r="S347" s="83">
        <v>0</v>
      </c>
      <c r="T347" s="83">
        <v>0</v>
      </c>
      <c r="U347" s="82"/>
    </row>
    <row r="348" spans="1:21" ht="17.25" customHeight="1" x14ac:dyDescent="0.3">
      <c r="A348" s="66" t="s">
        <v>30</v>
      </c>
      <c r="C348" s="67"/>
      <c r="D348" s="77" t="str">
        <f t="shared" ref="D348:D349" si="233">D347</f>
        <v>E100009</v>
      </c>
      <c r="E348" s="77"/>
      <c r="F348" s="76"/>
      <c r="G348" s="76" t="str">
        <f>"""NAV Direct"",""CRONUS JetCorp USA"",""32"",""1"",""159982"""</f>
        <v>"NAV Direct","CRONUS JetCorp USA","32","1","159982"</v>
      </c>
      <c r="H348" s="86">
        <v>43474</v>
      </c>
      <c r="I348" s="85">
        <v>159982</v>
      </c>
      <c r="J348" s="84" t="str">
        <f>"Customer"</f>
        <v>Customer</v>
      </c>
      <c r="K348" s="84" t="str">
        <f>"C100107"</f>
        <v>C100107</v>
      </c>
      <c r="L348" s="84" t="str">
        <f>IF($J348="Customer",_xll.NL("first",$J348,"Name","No.","@@"&amp;$K348),"")</f>
        <v>Lexitechnology</v>
      </c>
      <c r="M348" s="84" t="str">
        <f>""</f>
        <v/>
      </c>
      <c r="N348" s="84" t="str">
        <f>IF($J348="Item",_xll.NL("first",$J348,"Description","No.","@@"&amp;$K348),"")</f>
        <v/>
      </c>
      <c r="O348" s="83">
        <v>0</v>
      </c>
      <c r="P348" s="83">
        <v>1</v>
      </c>
      <c r="Q348" s="83">
        <v>0</v>
      </c>
      <c r="R348" s="83">
        <v>0</v>
      </c>
      <c r="S348" s="83">
        <v>0</v>
      </c>
      <c r="T348" s="83">
        <v>0</v>
      </c>
      <c r="U348" s="82"/>
    </row>
    <row r="349" spans="1:21" ht="17.25" customHeight="1" x14ac:dyDescent="0.3">
      <c r="A349" s="66" t="s">
        <v>30</v>
      </c>
      <c r="C349" s="67"/>
      <c r="D349" s="77" t="str">
        <f t="shared" si="233"/>
        <v>E100009</v>
      </c>
      <c r="E349" s="77"/>
      <c r="F349" s="76"/>
      <c r="G349" s="76" t="str">
        <f>"""NAV Direct"",""CRONUS JetCorp USA"",""32"",""1"",""78907"""</f>
        <v>"NAV Direct","CRONUS JetCorp USA","32","1","78907"</v>
      </c>
      <c r="H349" s="86">
        <v>43475</v>
      </c>
      <c r="I349" s="85">
        <v>78907</v>
      </c>
      <c r="J349" s="84" t="str">
        <f>"Customer"</f>
        <v>Customer</v>
      </c>
      <c r="K349" s="84" t="str">
        <f>"C100128"</f>
        <v>C100128</v>
      </c>
      <c r="L349" s="84" t="str">
        <f>IF($J349="Customer",_xll.NL("first",$J349,"Name","No.","@@"&amp;$K349),"")</f>
        <v>Solar Tech</v>
      </c>
      <c r="M349" s="84" t="str">
        <f>""</f>
        <v/>
      </c>
      <c r="N349" s="84" t="str">
        <f>IF($J349="Item",_xll.NL("first",$J349,"Description","No.","@@"&amp;$K349),"")</f>
        <v/>
      </c>
      <c r="O349" s="83">
        <v>0</v>
      </c>
      <c r="P349" s="83">
        <v>-144</v>
      </c>
      <c r="Q349" s="83">
        <v>0</v>
      </c>
      <c r="R349" s="83">
        <v>0</v>
      </c>
      <c r="S349" s="83">
        <v>0</v>
      </c>
      <c r="T349" s="83">
        <v>0</v>
      </c>
      <c r="U349" s="82"/>
    </row>
    <row r="350" spans="1:21" ht="17.25" customHeight="1" x14ac:dyDescent="0.3">
      <c r="A350" s="66" t="s">
        <v>30</v>
      </c>
      <c r="C350" s="67"/>
      <c r="D350" s="77"/>
      <c r="E350" s="77"/>
      <c r="F350" s="76"/>
      <c r="G350" s="76"/>
      <c r="H350" s="76"/>
      <c r="I350" s="76"/>
      <c r="J350" s="76"/>
      <c r="K350" s="76"/>
      <c r="L350" s="76"/>
      <c r="M350" s="76"/>
      <c r="N350" s="76"/>
      <c r="O350" s="75"/>
      <c r="P350" s="75"/>
      <c r="Q350" s="75"/>
      <c r="R350" s="75"/>
      <c r="S350" s="75"/>
      <c r="T350" s="75"/>
      <c r="U350" s="74"/>
    </row>
    <row r="351" spans="1:21" ht="17.25" customHeight="1" x14ac:dyDescent="0.3">
      <c r="A351" s="66" t="s">
        <v>30</v>
      </c>
      <c r="C351" s="67"/>
      <c r="D351" s="77"/>
      <c r="E351" s="77" t="s">
        <v>31</v>
      </c>
      <c r="F351" s="76" t="s">
        <v>31</v>
      </c>
      <c r="G351" s="76" t="s">
        <v>31</v>
      </c>
      <c r="H351" s="76"/>
      <c r="I351" s="76"/>
      <c r="J351" s="76" t="s">
        <v>31</v>
      </c>
      <c r="K351" s="76" t="s">
        <v>31</v>
      </c>
      <c r="L351" s="76" t="s">
        <v>31</v>
      </c>
      <c r="M351" s="76" t="s">
        <v>31</v>
      </c>
      <c r="N351" s="76"/>
      <c r="U351" s="81"/>
    </row>
    <row r="352" spans="1:21" ht="20.25" customHeight="1" x14ac:dyDescent="0.35">
      <c r="A352" s="66" t="s">
        <v>30</v>
      </c>
      <c r="C352" s="67"/>
      <c r="D352" s="92" t="str">
        <f t="shared" ref="D352" si="234">E352</f>
        <v>E100010</v>
      </c>
      <c r="E352" s="91" t="str">
        <f>"E100010"</f>
        <v>E100010</v>
      </c>
      <c r="F352" s="89" t="str">
        <f>"Vinyl Tote"</f>
        <v>Vinyl Tote</v>
      </c>
      <c r="G352" s="89"/>
      <c r="H352" s="90" t="str">
        <f>"EA"</f>
        <v>EA</v>
      </c>
      <c r="I352" s="89"/>
      <c r="J352" s="89"/>
      <c r="K352" s="89"/>
      <c r="L352" s="89"/>
      <c r="M352" s="89"/>
      <c r="N352" s="89"/>
      <c r="O352" s="88">
        <f>(SUBTOTAL(9,O353:O357))</f>
        <v>200</v>
      </c>
      <c r="P352" s="88">
        <f>(SUBTOTAL(9,P353:P357))</f>
        <v>-156</v>
      </c>
      <c r="Q352" s="88">
        <f>(SUBTOTAL(9,Q353:Q357))</f>
        <v>0</v>
      </c>
      <c r="R352" s="88">
        <f>(SUBTOTAL(9,R353:R357))</f>
        <v>0</v>
      </c>
      <c r="S352" s="88">
        <f>(SUBTOTAL(9,S353:S357))</f>
        <v>0</v>
      </c>
      <c r="T352" s="88">
        <f>(SUBTOTAL(9,T353:T357))</f>
        <v>0</v>
      </c>
      <c r="U352" s="87">
        <f t="shared" ref="U352" si="235">SUBTOTAL(9,O353:T357)</f>
        <v>44</v>
      </c>
    </row>
    <row r="353" spans="1:21" ht="17.25" customHeight="1" x14ac:dyDescent="0.3">
      <c r="A353" s="66" t="s">
        <v>30</v>
      </c>
      <c r="C353" s="67"/>
      <c r="D353" s="77" t="str">
        <f t="shared" ref="D353" si="236">D352</f>
        <v>E100010</v>
      </c>
      <c r="E353" s="77"/>
      <c r="F353" s="76"/>
      <c r="G353" s="76" t="str">
        <f>"""NAV Direct"",""CRONUS JetCorp USA"",""32"",""1"",""166735"""</f>
        <v>"NAV Direct","CRONUS JetCorp USA","32","1","166735"</v>
      </c>
      <c r="H353" s="86">
        <v>43466</v>
      </c>
      <c r="I353" s="85">
        <v>166735</v>
      </c>
      <c r="J353" s="84" t="str">
        <f>"Vendor"</f>
        <v>Vendor</v>
      </c>
      <c r="K353" s="84" t="str">
        <f>"V100040"</f>
        <v>V100040</v>
      </c>
      <c r="L353" s="84" t="str">
        <f>IF($J353="Customer",_xll.NL("first",$J353,"Name","No.","@@"&amp;$K353),"")</f>
        <v/>
      </c>
      <c r="M353" s="84" t="str">
        <f>"Technische Betriebe Rotkreuz"</f>
        <v>Technische Betriebe Rotkreuz</v>
      </c>
      <c r="N353" s="84" t="str">
        <f>IF($J353="Item",_xll.NL("first",$J353,"Description","No.","@@"&amp;$K353),"")</f>
        <v/>
      </c>
      <c r="O353" s="83">
        <v>200</v>
      </c>
      <c r="P353" s="83">
        <v>0</v>
      </c>
      <c r="Q353" s="83">
        <v>0</v>
      </c>
      <c r="R353" s="83">
        <v>0</v>
      </c>
      <c r="S353" s="83">
        <v>0</v>
      </c>
      <c r="T353" s="83">
        <v>0</v>
      </c>
      <c r="U353" s="82"/>
    </row>
    <row r="354" spans="1:21" ht="17.25" customHeight="1" x14ac:dyDescent="0.3">
      <c r="A354" s="66" t="s">
        <v>30</v>
      </c>
      <c r="C354" s="67"/>
      <c r="D354" s="77" t="str">
        <f t="shared" ref="D354:D356" si="237">D353</f>
        <v>E100010</v>
      </c>
      <c r="E354" s="77"/>
      <c r="F354" s="76"/>
      <c r="G354" s="76" t="str">
        <f>"""NAV Direct"",""CRONUS JetCorp USA"",""32"",""1"",""78854"""</f>
        <v>"NAV Direct","CRONUS JetCorp USA","32","1","78854"</v>
      </c>
      <c r="H354" s="86">
        <v>43470</v>
      </c>
      <c r="I354" s="85">
        <v>78854</v>
      </c>
      <c r="J354" s="84" t="str">
        <f>"Customer"</f>
        <v>Customer</v>
      </c>
      <c r="K354" s="84" t="str">
        <f>"C100117"</f>
        <v>C100117</v>
      </c>
      <c r="L354" s="84" t="str">
        <f>IF($J354="Customer",_xll.NL("first",$J354,"Name","No.","@@"&amp;$K354),"")</f>
        <v xml:space="preserve">Tintax </v>
      </c>
      <c r="M354" s="84" t="str">
        <f>""</f>
        <v/>
      </c>
      <c r="N354" s="84" t="str">
        <f>IF($J354="Item",_xll.NL("first",$J354,"Description","No.","@@"&amp;$K354),"")</f>
        <v/>
      </c>
      <c r="O354" s="83">
        <v>0</v>
      </c>
      <c r="P354" s="83">
        <v>-144</v>
      </c>
      <c r="Q354" s="83">
        <v>0</v>
      </c>
      <c r="R354" s="83">
        <v>0</v>
      </c>
      <c r="S354" s="83">
        <v>0</v>
      </c>
      <c r="T354" s="83">
        <v>0</v>
      </c>
      <c r="U354" s="82"/>
    </row>
    <row r="355" spans="1:21" ht="17.25" customHeight="1" x14ac:dyDescent="0.3">
      <c r="A355" s="66" t="s">
        <v>30</v>
      </c>
      <c r="C355" s="67"/>
      <c r="D355" s="77" t="str">
        <f t="shared" si="237"/>
        <v>E100010</v>
      </c>
      <c r="E355" s="77"/>
      <c r="F355" s="76"/>
      <c r="G355" s="76" t="str">
        <f>"""NAV Direct"",""CRONUS JetCorp USA"",""32"",""1"",""72527"""</f>
        <v>"NAV Direct","CRONUS JetCorp USA","32","1","72527"</v>
      </c>
      <c r="H355" s="86">
        <v>43471</v>
      </c>
      <c r="I355" s="85">
        <v>72527</v>
      </c>
      <c r="J355" s="84" t="str">
        <f>"Customer"</f>
        <v>Customer</v>
      </c>
      <c r="K355" s="84" t="str">
        <f>"C100107"</f>
        <v>C100107</v>
      </c>
      <c r="L355" s="84" t="str">
        <f>IF($J355="Customer",_xll.NL("first",$J355,"Name","No.","@@"&amp;$K355),"")</f>
        <v>Lexitechnology</v>
      </c>
      <c r="M355" s="84" t="str">
        <f>""</f>
        <v/>
      </c>
      <c r="N355" s="84" t="str">
        <f>IF($J355="Item",_xll.NL("first",$J355,"Description","No.","@@"&amp;$K355),"")</f>
        <v/>
      </c>
      <c r="O355" s="83">
        <v>0</v>
      </c>
      <c r="P355" s="83">
        <v>-6</v>
      </c>
      <c r="Q355" s="83">
        <v>0</v>
      </c>
      <c r="R355" s="83">
        <v>0</v>
      </c>
      <c r="S355" s="83">
        <v>0</v>
      </c>
      <c r="T355" s="83">
        <v>0</v>
      </c>
      <c r="U355" s="82"/>
    </row>
    <row r="356" spans="1:21" ht="17.25" customHeight="1" x14ac:dyDescent="0.3">
      <c r="A356" s="66" t="s">
        <v>30</v>
      </c>
      <c r="C356" s="67"/>
      <c r="D356" s="77" t="str">
        <f t="shared" si="237"/>
        <v>E100010</v>
      </c>
      <c r="E356" s="77"/>
      <c r="F356" s="76"/>
      <c r="G356" s="76" t="str">
        <f>"""NAV Direct"",""CRONUS JetCorp USA"",""32"",""1"",""78869"""</f>
        <v>"NAV Direct","CRONUS JetCorp USA","32","1","78869"</v>
      </c>
      <c r="H356" s="86">
        <v>43476</v>
      </c>
      <c r="I356" s="85">
        <v>78869</v>
      </c>
      <c r="J356" s="84" t="str">
        <f>"Customer"</f>
        <v>Customer</v>
      </c>
      <c r="K356" s="84" t="str">
        <f>"C100117"</f>
        <v>C100117</v>
      </c>
      <c r="L356" s="84" t="str">
        <f>IF($J356="Customer",_xll.NL("first",$J356,"Name","No.","@@"&amp;$K356),"")</f>
        <v xml:space="preserve">Tintax </v>
      </c>
      <c r="M356" s="84" t="str">
        <f>""</f>
        <v/>
      </c>
      <c r="N356" s="84" t="str">
        <f>IF($J356="Item",_xll.NL("first",$J356,"Description","No.","@@"&amp;$K356),"")</f>
        <v/>
      </c>
      <c r="O356" s="83">
        <v>0</v>
      </c>
      <c r="P356" s="83">
        <v>-6</v>
      </c>
      <c r="Q356" s="83">
        <v>0</v>
      </c>
      <c r="R356" s="83">
        <v>0</v>
      </c>
      <c r="S356" s="83">
        <v>0</v>
      </c>
      <c r="T356" s="83">
        <v>0</v>
      </c>
      <c r="U356" s="82"/>
    </row>
    <row r="357" spans="1:21" ht="17.25" customHeight="1" x14ac:dyDescent="0.3">
      <c r="A357" s="66" t="s">
        <v>30</v>
      </c>
      <c r="C357" s="67"/>
      <c r="D357" s="77"/>
      <c r="E357" s="77"/>
      <c r="F357" s="76"/>
      <c r="G357" s="76"/>
      <c r="H357" s="76"/>
      <c r="I357" s="76"/>
      <c r="J357" s="76"/>
      <c r="K357" s="76"/>
      <c r="L357" s="76"/>
      <c r="M357" s="76"/>
      <c r="N357" s="76"/>
      <c r="O357" s="75"/>
      <c r="P357" s="75"/>
      <c r="Q357" s="75"/>
      <c r="R357" s="75"/>
      <c r="S357" s="75"/>
      <c r="T357" s="75"/>
      <c r="U357" s="74"/>
    </row>
    <row r="358" spans="1:21" ht="17.25" customHeight="1" x14ac:dyDescent="0.3">
      <c r="A358" s="66" t="s">
        <v>30</v>
      </c>
      <c r="C358" s="67"/>
      <c r="D358" s="77"/>
      <c r="E358" s="77" t="s">
        <v>31</v>
      </c>
      <c r="F358" s="76" t="s">
        <v>31</v>
      </c>
      <c r="G358" s="76" t="s">
        <v>31</v>
      </c>
      <c r="H358" s="76"/>
      <c r="I358" s="76"/>
      <c r="J358" s="76" t="s">
        <v>31</v>
      </c>
      <c r="K358" s="76" t="s">
        <v>31</v>
      </c>
      <c r="L358" s="76" t="s">
        <v>31</v>
      </c>
      <c r="M358" s="76" t="s">
        <v>31</v>
      </c>
      <c r="N358" s="76"/>
      <c r="U358" s="81"/>
    </row>
    <row r="359" spans="1:21" ht="20.25" customHeight="1" x14ac:dyDescent="0.35">
      <c r="A359" s="66" t="s">
        <v>30</v>
      </c>
      <c r="C359" s="67"/>
      <c r="D359" s="92" t="str">
        <f t="shared" ref="D359" si="238">E359</f>
        <v>E100011</v>
      </c>
      <c r="E359" s="91" t="str">
        <f>"E100011"</f>
        <v>E100011</v>
      </c>
      <c r="F359" s="89" t="str">
        <f>"Plastic Sun Visor"</f>
        <v>Plastic Sun Visor</v>
      </c>
      <c r="G359" s="89"/>
      <c r="H359" s="90" t="str">
        <f>"EA"</f>
        <v>EA</v>
      </c>
      <c r="I359" s="89"/>
      <c r="J359" s="89"/>
      <c r="K359" s="89"/>
      <c r="L359" s="89"/>
      <c r="M359" s="89"/>
      <c r="N359" s="89"/>
      <c r="O359" s="88">
        <f>(SUBTOTAL(9,O360:O362))</f>
        <v>400</v>
      </c>
      <c r="P359" s="88">
        <f>(SUBTOTAL(9,P360:P362))</f>
        <v>-1</v>
      </c>
      <c r="Q359" s="88">
        <f>(SUBTOTAL(9,Q360:Q362))</f>
        <v>0</v>
      </c>
      <c r="R359" s="88">
        <f>(SUBTOTAL(9,R360:R362))</f>
        <v>0</v>
      </c>
      <c r="S359" s="88">
        <f>(SUBTOTAL(9,S360:S362))</f>
        <v>0</v>
      </c>
      <c r="T359" s="88">
        <f>(SUBTOTAL(9,T360:T362))</f>
        <v>0</v>
      </c>
      <c r="U359" s="87">
        <f t="shared" ref="U359" si="239">SUBTOTAL(9,O360:T362)</f>
        <v>399</v>
      </c>
    </row>
    <row r="360" spans="1:21" ht="17.25" customHeight="1" x14ac:dyDescent="0.3">
      <c r="A360" s="66" t="s">
        <v>30</v>
      </c>
      <c r="C360" s="67"/>
      <c r="D360" s="77" t="str">
        <f t="shared" ref="D360" si="240">D359</f>
        <v>E100011</v>
      </c>
      <c r="E360" s="77"/>
      <c r="F360" s="76"/>
      <c r="G360" s="76" t="str">
        <f>"""NAV Direct"",""CRONUS JetCorp USA"",""32"",""1"",""167097"""</f>
        <v>"NAV Direct","CRONUS JetCorp USA","32","1","167097"</v>
      </c>
      <c r="H360" s="86">
        <v>43466</v>
      </c>
      <c r="I360" s="85">
        <v>167097</v>
      </c>
      <c r="J360" s="84" t="str">
        <f>"Vendor"</f>
        <v>Vendor</v>
      </c>
      <c r="K360" s="84" t="str">
        <f>"V100040"</f>
        <v>V100040</v>
      </c>
      <c r="L360" s="84" t="str">
        <f>IF($J360="Customer",_xll.NL("first",$J360,"Name","No.","@@"&amp;$K360),"")</f>
        <v/>
      </c>
      <c r="M360" s="84" t="str">
        <f>"Technische Betriebe Rotkreuz"</f>
        <v>Technische Betriebe Rotkreuz</v>
      </c>
      <c r="N360" s="84" t="str">
        <f>IF($J360="Item",_xll.NL("first",$J360,"Description","No.","@@"&amp;$K360),"")</f>
        <v/>
      </c>
      <c r="O360" s="83">
        <v>400</v>
      </c>
      <c r="P360" s="83">
        <v>0</v>
      </c>
      <c r="Q360" s="83">
        <v>0</v>
      </c>
      <c r="R360" s="83">
        <v>0</v>
      </c>
      <c r="S360" s="83">
        <v>0</v>
      </c>
      <c r="T360" s="83">
        <v>0</v>
      </c>
      <c r="U360" s="82"/>
    </row>
    <row r="361" spans="1:21" ht="17.25" customHeight="1" x14ac:dyDescent="0.3">
      <c r="A361" s="66" t="s">
        <v>30</v>
      </c>
      <c r="C361" s="67"/>
      <c r="D361" s="77" t="str">
        <f t="shared" ref="D361" si="241">D360</f>
        <v>E100011</v>
      </c>
      <c r="E361" s="77"/>
      <c r="F361" s="76"/>
      <c r="G361" s="76" t="str">
        <f>"""NAV Direct"",""CRONUS JetCorp USA"",""32"",""1"",""38097"""</f>
        <v>"NAV Direct","CRONUS JetCorp USA","32","1","38097"</v>
      </c>
      <c r="H361" s="86">
        <v>43477</v>
      </c>
      <c r="I361" s="85">
        <v>38097</v>
      </c>
      <c r="J361" s="84" t="str">
        <f>"Customer"</f>
        <v>Customer</v>
      </c>
      <c r="K361" s="84" t="str">
        <f>"C100038"</f>
        <v>C100038</v>
      </c>
      <c r="L361" s="84" t="str">
        <f>IF($J361="Customer",_xll.NL("first",$J361,"Name","No.","@@"&amp;$K361),"")</f>
        <v>Gagn &amp; Gaman</v>
      </c>
      <c r="M361" s="84" t="str">
        <f>""</f>
        <v/>
      </c>
      <c r="N361" s="84" t="str">
        <f>IF($J361="Item",_xll.NL("first",$J361,"Description","No.","@@"&amp;$K361),"")</f>
        <v/>
      </c>
      <c r="O361" s="83">
        <v>0</v>
      </c>
      <c r="P361" s="83">
        <v>-1</v>
      </c>
      <c r="Q361" s="83">
        <v>0</v>
      </c>
      <c r="R361" s="83">
        <v>0</v>
      </c>
      <c r="S361" s="83">
        <v>0</v>
      </c>
      <c r="T361" s="83">
        <v>0</v>
      </c>
      <c r="U361" s="82"/>
    </row>
    <row r="362" spans="1:21" ht="17.25" customHeight="1" x14ac:dyDescent="0.3">
      <c r="A362" s="66" t="s">
        <v>30</v>
      </c>
      <c r="C362" s="67"/>
      <c r="D362" s="77"/>
      <c r="E362" s="77"/>
      <c r="F362" s="76"/>
      <c r="G362" s="76"/>
      <c r="H362" s="76"/>
      <c r="I362" s="76"/>
      <c r="J362" s="76"/>
      <c r="K362" s="76"/>
      <c r="L362" s="76"/>
      <c r="M362" s="76"/>
      <c r="N362" s="76"/>
      <c r="O362" s="75"/>
      <c r="P362" s="75"/>
      <c r="Q362" s="75"/>
      <c r="R362" s="75"/>
      <c r="S362" s="75"/>
      <c r="T362" s="75"/>
      <c r="U362" s="74"/>
    </row>
    <row r="363" spans="1:21" ht="17.25" customHeight="1" x14ac:dyDescent="0.3">
      <c r="A363" s="66" t="s">
        <v>30</v>
      </c>
      <c r="C363" s="67"/>
      <c r="D363" s="77"/>
      <c r="E363" s="77" t="s">
        <v>31</v>
      </c>
      <c r="F363" s="76" t="s">
        <v>31</v>
      </c>
      <c r="G363" s="76" t="s">
        <v>31</v>
      </c>
      <c r="H363" s="76"/>
      <c r="I363" s="76"/>
      <c r="J363" s="76" t="s">
        <v>31</v>
      </c>
      <c r="K363" s="76" t="s">
        <v>31</v>
      </c>
      <c r="L363" s="76" t="s">
        <v>31</v>
      </c>
      <c r="M363" s="76" t="s">
        <v>31</v>
      </c>
      <c r="N363" s="76"/>
      <c r="U363" s="81"/>
    </row>
    <row r="364" spans="1:21" ht="20.25" customHeight="1" x14ac:dyDescent="0.35">
      <c r="A364" s="66" t="s">
        <v>30</v>
      </c>
      <c r="C364" s="67"/>
      <c r="D364" s="92" t="str">
        <f t="shared" ref="D364" si="242">E364</f>
        <v>E100012</v>
      </c>
      <c r="E364" s="91" t="str">
        <f>"E100012"</f>
        <v>E100012</v>
      </c>
      <c r="F364" s="89" t="str">
        <f>"Canvas Stopwatch"</f>
        <v>Canvas Stopwatch</v>
      </c>
      <c r="G364" s="89"/>
      <c r="H364" s="90" t="str">
        <f>"EA"</f>
        <v>EA</v>
      </c>
      <c r="I364" s="89"/>
      <c r="J364" s="89"/>
      <c r="K364" s="89"/>
      <c r="L364" s="89"/>
      <c r="M364" s="89"/>
      <c r="N364" s="89"/>
      <c r="O364" s="88">
        <f>(SUBTOTAL(9,O365:O367))</f>
        <v>1200</v>
      </c>
      <c r="P364" s="88">
        <f>(SUBTOTAL(9,P365:P367))</f>
        <v>-288</v>
      </c>
      <c r="Q364" s="88">
        <f>(SUBTOTAL(9,Q365:Q367))</f>
        <v>0</v>
      </c>
      <c r="R364" s="88">
        <f>(SUBTOTAL(9,R365:R367))</f>
        <v>0</v>
      </c>
      <c r="S364" s="88">
        <f>(SUBTOTAL(9,S365:S367))</f>
        <v>0</v>
      </c>
      <c r="T364" s="88">
        <f>(SUBTOTAL(9,T365:T367))</f>
        <v>0</v>
      </c>
      <c r="U364" s="87">
        <f t="shared" ref="U364" si="243">SUBTOTAL(9,O365:T367)</f>
        <v>912</v>
      </c>
    </row>
    <row r="365" spans="1:21" ht="17.25" customHeight="1" x14ac:dyDescent="0.3">
      <c r="A365" s="66" t="s">
        <v>30</v>
      </c>
      <c r="C365" s="67"/>
      <c r="D365" s="77" t="str">
        <f t="shared" ref="D365" si="244">D364</f>
        <v>E100012</v>
      </c>
      <c r="E365" s="77"/>
      <c r="F365" s="76"/>
      <c r="G365" s="76" t="str">
        <f>"""NAV Direct"",""CRONUS JetCorp USA"",""32"",""1"",""167535"""</f>
        <v>"NAV Direct","CRONUS JetCorp USA","32","1","167535"</v>
      </c>
      <c r="H365" s="86">
        <v>43466</v>
      </c>
      <c r="I365" s="85">
        <v>167535</v>
      </c>
      <c r="J365" s="84" t="str">
        <f>"Vendor"</f>
        <v>Vendor</v>
      </c>
      <c r="K365" s="84" t="str">
        <f>"V100040"</f>
        <v>V100040</v>
      </c>
      <c r="L365" s="84" t="str">
        <f>IF($J365="Customer",_xll.NL("first",$J365,"Name","No.","@@"&amp;$K365),"")</f>
        <v/>
      </c>
      <c r="M365" s="84" t="str">
        <f>"Technische Betriebe Rotkreuz"</f>
        <v>Technische Betriebe Rotkreuz</v>
      </c>
      <c r="N365" s="84" t="str">
        <f>IF($J365="Item",_xll.NL("first",$J365,"Description","No.","@@"&amp;$K365),"")</f>
        <v/>
      </c>
      <c r="O365" s="83">
        <v>1200</v>
      </c>
      <c r="P365" s="83">
        <v>0</v>
      </c>
      <c r="Q365" s="83">
        <v>0</v>
      </c>
      <c r="R365" s="83">
        <v>0</v>
      </c>
      <c r="S365" s="83">
        <v>0</v>
      </c>
      <c r="T365" s="83">
        <v>0</v>
      </c>
      <c r="U365" s="82"/>
    </row>
    <row r="366" spans="1:21" ht="17.25" customHeight="1" x14ac:dyDescent="0.3">
      <c r="A366" s="66" t="s">
        <v>30</v>
      </c>
      <c r="C366" s="67"/>
      <c r="D366" s="77" t="str">
        <f t="shared" ref="D366" si="245">D365</f>
        <v>E100012</v>
      </c>
      <c r="E366" s="77"/>
      <c r="F366" s="76"/>
      <c r="G366" s="76" t="str">
        <f>"""NAV Direct"",""CRONUS JetCorp USA"",""32"",""1"",""36479"""</f>
        <v>"NAV Direct","CRONUS JetCorp USA","32","1","36479"</v>
      </c>
      <c r="H366" s="86">
        <v>43475</v>
      </c>
      <c r="I366" s="85">
        <v>36479</v>
      </c>
      <c r="J366" s="84" t="str">
        <f>"Customer"</f>
        <v>Customer</v>
      </c>
      <c r="K366" s="84" t="str">
        <f>"C100063"</f>
        <v>C100063</v>
      </c>
      <c r="L366" s="84" t="str">
        <f>IF($J366="Customer",_xll.NL("first",$J366,"Name","No.","@@"&amp;$K366),"")</f>
        <v>Möbel Scherrer AG</v>
      </c>
      <c r="M366" s="84" t="str">
        <f>""</f>
        <v/>
      </c>
      <c r="N366" s="84" t="str">
        <f>IF($J366="Item",_xll.NL("first",$J366,"Description","No.","@@"&amp;$K366),"")</f>
        <v/>
      </c>
      <c r="O366" s="83">
        <v>0</v>
      </c>
      <c r="P366" s="83">
        <v>-288</v>
      </c>
      <c r="Q366" s="83">
        <v>0</v>
      </c>
      <c r="R366" s="83">
        <v>0</v>
      </c>
      <c r="S366" s="83">
        <v>0</v>
      </c>
      <c r="T366" s="83">
        <v>0</v>
      </c>
      <c r="U366" s="82"/>
    </row>
    <row r="367" spans="1:21" ht="17.25" customHeight="1" x14ac:dyDescent="0.3">
      <c r="A367" s="66" t="s">
        <v>30</v>
      </c>
      <c r="C367" s="67"/>
      <c r="D367" s="77"/>
      <c r="E367" s="77"/>
      <c r="F367" s="76"/>
      <c r="G367" s="76"/>
      <c r="H367" s="76"/>
      <c r="I367" s="76"/>
      <c r="J367" s="76"/>
      <c r="K367" s="76"/>
      <c r="L367" s="76"/>
      <c r="M367" s="76"/>
      <c r="N367" s="76"/>
      <c r="O367" s="75"/>
      <c r="P367" s="75"/>
      <c r="Q367" s="75"/>
      <c r="R367" s="75"/>
      <c r="S367" s="75"/>
      <c r="T367" s="75"/>
      <c r="U367" s="74"/>
    </row>
    <row r="368" spans="1:21" ht="17.25" customHeight="1" x14ac:dyDescent="0.3">
      <c r="A368" s="66" t="s">
        <v>30</v>
      </c>
      <c r="C368" s="67"/>
      <c r="D368" s="77"/>
      <c r="E368" s="77" t="s">
        <v>31</v>
      </c>
      <c r="F368" s="76" t="s">
        <v>31</v>
      </c>
      <c r="G368" s="76" t="s">
        <v>31</v>
      </c>
      <c r="H368" s="76"/>
      <c r="I368" s="76"/>
      <c r="J368" s="76" t="s">
        <v>31</v>
      </c>
      <c r="K368" s="76" t="s">
        <v>31</v>
      </c>
      <c r="L368" s="76" t="s">
        <v>31</v>
      </c>
      <c r="M368" s="76" t="s">
        <v>31</v>
      </c>
      <c r="N368" s="76"/>
      <c r="U368" s="81"/>
    </row>
    <row r="369" spans="1:21" ht="20.25" customHeight="1" x14ac:dyDescent="0.35">
      <c r="A369" s="66" t="s">
        <v>30</v>
      </c>
      <c r="C369" s="67"/>
      <c r="D369" s="92" t="str">
        <f t="shared" ref="D369" si="246">E369</f>
        <v>E100013</v>
      </c>
      <c r="E369" s="91" t="str">
        <f>"E100013"</f>
        <v>E100013</v>
      </c>
      <c r="F369" s="89" t="str">
        <f>"Clip-on Stopwatch"</f>
        <v>Clip-on Stopwatch</v>
      </c>
      <c r="G369" s="89"/>
      <c r="H369" s="90" t="str">
        <f>"EA"</f>
        <v>EA</v>
      </c>
      <c r="I369" s="89"/>
      <c r="J369" s="89"/>
      <c r="K369" s="89"/>
      <c r="L369" s="89"/>
      <c r="M369" s="89"/>
      <c r="N369" s="89"/>
      <c r="O369" s="88">
        <f>(SUBTOTAL(9,O370:O373))</f>
        <v>999.99999999999989</v>
      </c>
      <c r="P369" s="88">
        <f>(SUBTOTAL(9,P370:P373))</f>
        <v>-145</v>
      </c>
      <c r="Q369" s="88">
        <f>(SUBTOTAL(9,Q370:Q373))</f>
        <v>0</v>
      </c>
      <c r="R369" s="88">
        <f>(SUBTOTAL(9,R370:R373))</f>
        <v>0</v>
      </c>
      <c r="S369" s="88">
        <f>(SUBTOTAL(9,S370:S373))</f>
        <v>0</v>
      </c>
      <c r="T369" s="88">
        <f>(SUBTOTAL(9,T370:T373))</f>
        <v>0</v>
      </c>
      <c r="U369" s="87">
        <f t="shared" ref="U369" si="247">SUBTOTAL(9,O370:T373)</f>
        <v>854.99999999999989</v>
      </c>
    </row>
    <row r="370" spans="1:21" ht="17.25" customHeight="1" x14ac:dyDescent="0.3">
      <c r="A370" s="66" t="s">
        <v>30</v>
      </c>
      <c r="C370" s="67"/>
      <c r="D370" s="77" t="str">
        <f t="shared" ref="D370" si="248">D369</f>
        <v>E100013</v>
      </c>
      <c r="E370" s="77"/>
      <c r="F370" s="76"/>
      <c r="G370" s="76" t="str">
        <f>"""NAV Direct"",""CRONUS JetCorp USA"",""32"",""1"",""167534"""</f>
        <v>"NAV Direct","CRONUS JetCorp USA","32","1","167534"</v>
      </c>
      <c r="H370" s="86">
        <v>43466</v>
      </c>
      <c r="I370" s="85">
        <v>167534</v>
      </c>
      <c r="J370" s="84" t="str">
        <f>"Vendor"</f>
        <v>Vendor</v>
      </c>
      <c r="K370" s="84" t="str">
        <f>"V100040"</f>
        <v>V100040</v>
      </c>
      <c r="L370" s="84" t="str">
        <f>IF($J370="Customer",_xll.NL("first",$J370,"Name","No.","@@"&amp;$K370),"")</f>
        <v/>
      </c>
      <c r="M370" s="84" t="str">
        <f>"Technische Betriebe Rotkreuz"</f>
        <v>Technische Betriebe Rotkreuz</v>
      </c>
      <c r="N370" s="84" t="str">
        <f>IF($J370="Item",_xll.NL("first",$J370,"Description","No.","@@"&amp;$K370),"")</f>
        <v/>
      </c>
      <c r="O370" s="83">
        <v>999.99999999999989</v>
      </c>
      <c r="P370" s="83">
        <v>0</v>
      </c>
      <c r="Q370" s="83">
        <v>0</v>
      </c>
      <c r="R370" s="83">
        <v>0</v>
      </c>
      <c r="S370" s="83">
        <v>0</v>
      </c>
      <c r="T370" s="83">
        <v>0</v>
      </c>
      <c r="U370" s="82"/>
    </row>
    <row r="371" spans="1:21" ht="17.25" customHeight="1" x14ac:dyDescent="0.3">
      <c r="A371" s="66" t="s">
        <v>30</v>
      </c>
      <c r="C371" s="67"/>
      <c r="D371" s="77" t="str">
        <f t="shared" ref="D371:D372" si="249">D370</f>
        <v>E100013</v>
      </c>
      <c r="E371" s="77"/>
      <c r="F371" s="76"/>
      <c r="G371" s="76" t="str">
        <f>"""NAV Direct"",""CRONUS JetCorp USA"",""32"",""1"",""72514"""</f>
        <v>"NAV Direct","CRONUS JetCorp USA","32","1","72514"</v>
      </c>
      <c r="H371" s="86">
        <v>43471</v>
      </c>
      <c r="I371" s="85">
        <v>72514</v>
      </c>
      <c r="J371" s="84" t="str">
        <f>"Customer"</f>
        <v>Customer</v>
      </c>
      <c r="K371" s="84" t="str">
        <f>"C100107"</f>
        <v>C100107</v>
      </c>
      <c r="L371" s="84" t="str">
        <f>IF($J371="Customer",_xll.NL("first",$J371,"Name","No.","@@"&amp;$K371),"")</f>
        <v>Lexitechnology</v>
      </c>
      <c r="M371" s="84" t="str">
        <f>""</f>
        <v/>
      </c>
      <c r="N371" s="84" t="str">
        <f>IF($J371="Item",_xll.NL("first",$J371,"Description","No.","@@"&amp;$K371),"")</f>
        <v/>
      </c>
      <c r="O371" s="83">
        <v>0</v>
      </c>
      <c r="P371" s="83">
        <v>-144</v>
      </c>
      <c r="Q371" s="83">
        <v>0</v>
      </c>
      <c r="R371" s="83">
        <v>0</v>
      </c>
      <c r="S371" s="83">
        <v>0</v>
      </c>
      <c r="T371" s="83">
        <v>0</v>
      </c>
      <c r="U371" s="82"/>
    </row>
    <row r="372" spans="1:21" ht="17.25" customHeight="1" x14ac:dyDescent="0.3">
      <c r="A372" s="66" t="s">
        <v>30</v>
      </c>
      <c r="C372" s="67"/>
      <c r="D372" s="77" t="str">
        <f t="shared" si="249"/>
        <v>E100013</v>
      </c>
      <c r="E372" s="77"/>
      <c r="F372" s="76"/>
      <c r="G372" s="76" t="str">
        <f>"""NAV Direct"",""CRONUS JetCorp USA"",""32"",""1"",""38095"""</f>
        <v>"NAV Direct","CRONUS JetCorp USA","32","1","38095"</v>
      </c>
      <c r="H372" s="86">
        <v>43477</v>
      </c>
      <c r="I372" s="85">
        <v>38095</v>
      </c>
      <c r="J372" s="84" t="str">
        <f>"Customer"</f>
        <v>Customer</v>
      </c>
      <c r="K372" s="84" t="str">
        <f>"C100038"</f>
        <v>C100038</v>
      </c>
      <c r="L372" s="84" t="str">
        <f>IF($J372="Customer",_xll.NL("first",$J372,"Name","No.","@@"&amp;$K372),"")</f>
        <v>Gagn &amp; Gaman</v>
      </c>
      <c r="M372" s="84" t="str">
        <f>""</f>
        <v/>
      </c>
      <c r="N372" s="84" t="str">
        <f>IF($J372="Item",_xll.NL("first",$J372,"Description","No.","@@"&amp;$K372),"")</f>
        <v/>
      </c>
      <c r="O372" s="83">
        <v>0</v>
      </c>
      <c r="P372" s="83">
        <v>-1</v>
      </c>
      <c r="Q372" s="83">
        <v>0</v>
      </c>
      <c r="R372" s="83">
        <v>0</v>
      </c>
      <c r="S372" s="83">
        <v>0</v>
      </c>
      <c r="T372" s="83">
        <v>0</v>
      </c>
      <c r="U372" s="82"/>
    </row>
    <row r="373" spans="1:21" ht="17.25" customHeight="1" x14ac:dyDescent="0.3">
      <c r="A373" s="66" t="s">
        <v>30</v>
      </c>
      <c r="C373" s="67"/>
      <c r="D373" s="77"/>
      <c r="E373" s="77"/>
      <c r="F373" s="76"/>
      <c r="G373" s="76"/>
      <c r="H373" s="76"/>
      <c r="I373" s="76"/>
      <c r="J373" s="76"/>
      <c r="K373" s="76"/>
      <c r="L373" s="76"/>
      <c r="M373" s="76"/>
      <c r="N373" s="76"/>
      <c r="O373" s="75"/>
      <c r="P373" s="75"/>
      <c r="Q373" s="75"/>
      <c r="R373" s="75"/>
      <c r="S373" s="75"/>
      <c r="T373" s="75"/>
      <c r="U373" s="74"/>
    </row>
    <row r="374" spans="1:21" ht="17.25" customHeight="1" x14ac:dyDescent="0.3">
      <c r="A374" s="66" t="s">
        <v>30</v>
      </c>
      <c r="C374" s="67"/>
      <c r="D374" s="77"/>
      <c r="E374" s="77" t="s">
        <v>31</v>
      </c>
      <c r="F374" s="76" t="s">
        <v>31</v>
      </c>
      <c r="G374" s="76" t="s">
        <v>31</v>
      </c>
      <c r="H374" s="76"/>
      <c r="I374" s="76"/>
      <c r="J374" s="76" t="s">
        <v>31</v>
      </c>
      <c r="K374" s="76" t="s">
        <v>31</v>
      </c>
      <c r="L374" s="76" t="s">
        <v>31</v>
      </c>
      <c r="M374" s="76" t="s">
        <v>31</v>
      </c>
      <c r="N374" s="76"/>
      <c r="U374" s="81"/>
    </row>
    <row r="375" spans="1:21" ht="20.25" customHeight="1" x14ac:dyDescent="0.35">
      <c r="A375" s="66" t="s">
        <v>30</v>
      </c>
      <c r="C375" s="67"/>
      <c r="D375" s="92" t="str">
        <f t="shared" ref="D375" si="250">E375</f>
        <v>E100014</v>
      </c>
      <c r="E375" s="91" t="str">
        <f>"E100014"</f>
        <v>E100014</v>
      </c>
      <c r="F375" s="89" t="str">
        <f>"Stopwatch with Neck Rope"</f>
        <v>Stopwatch with Neck Rope</v>
      </c>
      <c r="G375" s="89"/>
      <c r="H375" s="90" t="str">
        <f>"EA"</f>
        <v>EA</v>
      </c>
      <c r="I375" s="89"/>
      <c r="J375" s="89"/>
      <c r="K375" s="89"/>
      <c r="L375" s="89"/>
      <c r="M375" s="89"/>
      <c r="N375" s="89"/>
      <c r="O375" s="88">
        <f>(SUBTOTAL(9,O376:O380))</f>
        <v>1200</v>
      </c>
      <c r="P375" s="88">
        <f>(SUBTOTAL(9,P376:P380))</f>
        <v>-289</v>
      </c>
      <c r="Q375" s="88">
        <f>(SUBTOTAL(9,Q376:Q380))</f>
        <v>0</v>
      </c>
      <c r="R375" s="88">
        <f>(SUBTOTAL(9,R376:R380))</f>
        <v>0</v>
      </c>
      <c r="S375" s="88">
        <f>(SUBTOTAL(9,S376:S380))</f>
        <v>0</v>
      </c>
      <c r="T375" s="88">
        <f>(SUBTOTAL(9,T376:T380))</f>
        <v>0</v>
      </c>
      <c r="U375" s="87">
        <f t="shared" ref="U375" si="251">SUBTOTAL(9,O376:T380)</f>
        <v>911</v>
      </c>
    </row>
    <row r="376" spans="1:21" ht="17.25" customHeight="1" x14ac:dyDescent="0.3">
      <c r="A376" s="66" t="s">
        <v>30</v>
      </c>
      <c r="C376" s="67"/>
      <c r="D376" s="77" t="str">
        <f t="shared" ref="D376" si="252">D375</f>
        <v>E100014</v>
      </c>
      <c r="E376" s="77"/>
      <c r="F376" s="76"/>
      <c r="G376" s="76" t="str">
        <f>"""NAV Direct"",""CRONUS JetCorp USA"",""32"",""1"",""167533"""</f>
        <v>"NAV Direct","CRONUS JetCorp USA","32","1","167533"</v>
      </c>
      <c r="H376" s="86">
        <v>43466</v>
      </c>
      <c r="I376" s="85">
        <v>167533</v>
      </c>
      <c r="J376" s="84" t="str">
        <f>"Vendor"</f>
        <v>Vendor</v>
      </c>
      <c r="K376" s="84" t="str">
        <f>"V100040"</f>
        <v>V100040</v>
      </c>
      <c r="L376" s="84" t="str">
        <f>IF($J376="Customer",_xll.NL("first",$J376,"Name","No.","@@"&amp;$K376),"")</f>
        <v/>
      </c>
      <c r="M376" s="84" t="str">
        <f>"Technische Betriebe Rotkreuz"</f>
        <v>Technische Betriebe Rotkreuz</v>
      </c>
      <c r="N376" s="84" t="str">
        <f>IF($J376="Item",_xll.NL("first",$J376,"Description","No.","@@"&amp;$K376),"")</f>
        <v/>
      </c>
      <c r="O376" s="83">
        <v>1200</v>
      </c>
      <c r="P376" s="83">
        <v>0</v>
      </c>
      <c r="Q376" s="83">
        <v>0</v>
      </c>
      <c r="R376" s="83">
        <v>0</v>
      </c>
      <c r="S376" s="83">
        <v>0</v>
      </c>
      <c r="T376" s="83">
        <v>0</v>
      </c>
      <c r="U376" s="82"/>
    </row>
    <row r="377" spans="1:21" ht="17.25" customHeight="1" x14ac:dyDescent="0.3">
      <c r="A377" s="66" t="s">
        <v>30</v>
      </c>
      <c r="C377" s="67"/>
      <c r="D377" s="77" t="str">
        <f t="shared" ref="D377:D379" si="253">D376</f>
        <v>E100014</v>
      </c>
      <c r="E377" s="77"/>
      <c r="F377" s="76"/>
      <c r="G377" s="76" t="str">
        <f>"""NAV Direct"",""CRONUS JetCorp USA"",""32"",""1"",""78834"""</f>
        <v>"NAV Direct","CRONUS JetCorp USA","32","1","78834"</v>
      </c>
      <c r="H377" s="86">
        <v>43468</v>
      </c>
      <c r="I377" s="85">
        <v>78834</v>
      </c>
      <c r="J377" s="84" t="str">
        <f>"Customer"</f>
        <v>Customer</v>
      </c>
      <c r="K377" s="84" t="str">
        <f>"C100117"</f>
        <v>C100117</v>
      </c>
      <c r="L377" s="84" t="str">
        <f>IF($J377="Customer",_xll.NL("first",$J377,"Name","No.","@@"&amp;$K377),"")</f>
        <v xml:space="preserve">Tintax </v>
      </c>
      <c r="M377" s="84" t="str">
        <f>""</f>
        <v/>
      </c>
      <c r="N377" s="84" t="str">
        <f>IF($J377="Item",_xll.NL("first",$J377,"Description","No.","@@"&amp;$K377),"")</f>
        <v/>
      </c>
      <c r="O377" s="83">
        <v>0</v>
      </c>
      <c r="P377" s="83">
        <v>-144</v>
      </c>
      <c r="Q377" s="83">
        <v>0</v>
      </c>
      <c r="R377" s="83">
        <v>0</v>
      </c>
      <c r="S377" s="83">
        <v>0</v>
      </c>
      <c r="T377" s="83">
        <v>0</v>
      </c>
      <c r="U377" s="82"/>
    </row>
    <row r="378" spans="1:21" ht="17.25" customHeight="1" x14ac:dyDescent="0.3">
      <c r="A378" s="66" t="s">
        <v>30</v>
      </c>
      <c r="C378" s="67"/>
      <c r="D378" s="77" t="str">
        <f t="shared" si="253"/>
        <v>E100014</v>
      </c>
      <c r="E378" s="77"/>
      <c r="F378" s="76"/>
      <c r="G378" s="76" t="str">
        <f>"""NAV Direct"",""CRONUS JetCorp USA"",""32"",""1"",""78847"""</f>
        <v>"NAV Direct","CRONUS JetCorp USA","32","1","78847"</v>
      </c>
      <c r="H378" s="86">
        <v>43470</v>
      </c>
      <c r="I378" s="85">
        <v>78847</v>
      </c>
      <c r="J378" s="84" t="str">
        <f>"Customer"</f>
        <v>Customer</v>
      </c>
      <c r="K378" s="84" t="str">
        <f>"C100117"</f>
        <v>C100117</v>
      </c>
      <c r="L378" s="84" t="str">
        <f>IF($J378="Customer",_xll.NL("first",$J378,"Name","No.","@@"&amp;$K378),"")</f>
        <v xml:space="preserve">Tintax </v>
      </c>
      <c r="M378" s="84" t="str">
        <f>""</f>
        <v/>
      </c>
      <c r="N378" s="84" t="str">
        <f>IF($J378="Item",_xll.NL("first",$J378,"Description","No.","@@"&amp;$K378),"")</f>
        <v/>
      </c>
      <c r="O378" s="83">
        <v>0</v>
      </c>
      <c r="P378" s="83">
        <v>-144</v>
      </c>
      <c r="Q378" s="83">
        <v>0</v>
      </c>
      <c r="R378" s="83">
        <v>0</v>
      </c>
      <c r="S378" s="83">
        <v>0</v>
      </c>
      <c r="T378" s="83">
        <v>0</v>
      </c>
      <c r="U378" s="82"/>
    </row>
    <row r="379" spans="1:21" ht="17.25" customHeight="1" x14ac:dyDescent="0.3">
      <c r="A379" s="66" t="s">
        <v>30</v>
      </c>
      <c r="C379" s="67"/>
      <c r="D379" s="77" t="str">
        <f t="shared" si="253"/>
        <v>E100014</v>
      </c>
      <c r="E379" s="77"/>
      <c r="F379" s="76"/>
      <c r="G379" s="76" t="str">
        <f>"""NAV Direct"",""CRONUS JetCorp USA"",""32"",""1"",""38082"""</f>
        <v>"NAV Direct","CRONUS JetCorp USA","32","1","38082"</v>
      </c>
      <c r="H379" s="86">
        <v>43471</v>
      </c>
      <c r="I379" s="85">
        <v>38082</v>
      </c>
      <c r="J379" s="84" t="str">
        <f>"Customer"</f>
        <v>Customer</v>
      </c>
      <c r="K379" s="84" t="str">
        <f>"C100013"</f>
        <v>C100013</v>
      </c>
      <c r="L379" s="84" t="str">
        <f>IF($J379="Customer",_xll.NL("first",$J379,"Name","No.","@@"&amp;$K379),"")</f>
        <v>Candoxy Kontor A/S</v>
      </c>
      <c r="M379" s="84" t="str">
        <f>""</f>
        <v/>
      </c>
      <c r="N379" s="84" t="str">
        <f>IF($J379="Item",_xll.NL("first",$J379,"Description","No.","@@"&amp;$K379),"")</f>
        <v/>
      </c>
      <c r="O379" s="83">
        <v>0</v>
      </c>
      <c r="P379" s="83">
        <v>-1</v>
      </c>
      <c r="Q379" s="83">
        <v>0</v>
      </c>
      <c r="R379" s="83">
        <v>0</v>
      </c>
      <c r="S379" s="83">
        <v>0</v>
      </c>
      <c r="T379" s="83">
        <v>0</v>
      </c>
      <c r="U379" s="82"/>
    </row>
    <row r="380" spans="1:21" ht="17.25" customHeight="1" x14ac:dyDescent="0.3">
      <c r="A380" s="66" t="s">
        <v>30</v>
      </c>
      <c r="C380" s="67"/>
      <c r="D380" s="77"/>
      <c r="E380" s="77"/>
      <c r="F380" s="76"/>
      <c r="G380" s="76"/>
      <c r="H380" s="76"/>
      <c r="I380" s="76"/>
      <c r="J380" s="76"/>
      <c r="K380" s="76"/>
      <c r="L380" s="76"/>
      <c r="M380" s="76"/>
      <c r="N380" s="76"/>
      <c r="O380" s="75"/>
      <c r="P380" s="75"/>
      <c r="Q380" s="75"/>
      <c r="R380" s="75"/>
      <c r="S380" s="75"/>
      <c r="T380" s="75"/>
      <c r="U380" s="74"/>
    </row>
    <row r="381" spans="1:21" ht="17.25" customHeight="1" x14ac:dyDescent="0.3">
      <c r="A381" s="66" t="s">
        <v>30</v>
      </c>
      <c r="C381" s="67"/>
      <c r="D381" s="77"/>
      <c r="E381" s="77" t="s">
        <v>31</v>
      </c>
      <c r="F381" s="76" t="s">
        <v>31</v>
      </c>
      <c r="G381" s="76" t="s">
        <v>31</v>
      </c>
      <c r="H381" s="76"/>
      <c r="I381" s="76"/>
      <c r="J381" s="76" t="s">
        <v>31</v>
      </c>
      <c r="K381" s="76" t="s">
        <v>31</v>
      </c>
      <c r="L381" s="76" t="s">
        <v>31</v>
      </c>
      <c r="M381" s="76" t="s">
        <v>31</v>
      </c>
      <c r="N381" s="76"/>
      <c r="U381" s="81"/>
    </row>
    <row r="382" spans="1:21" ht="20.25" customHeight="1" x14ac:dyDescent="0.35">
      <c r="A382" s="66" t="s">
        <v>30</v>
      </c>
      <c r="C382" s="67"/>
      <c r="D382" s="92" t="str">
        <f t="shared" ref="D382" si="254">E382</f>
        <v>E100015</v>
      </c>
      <c r="E382" s="91" t="str">
        <f>"E100015"</f>
        <v>E100015</v>
      </c>
      <c r="F382" s="89" t="str">
        <f>"360 Clip Watch"</f>
        <v>360 Clip Watch</v>
      </c>
      <c r="G382" s="89"/>
      <c r="H382" s="90" t="str">
        <f>"EA"</f>
        <v>EA</v>
      </c>
      <c r="I382" s="89"/>
      <c r="J382" s="89"/>
      <c r="K382" s="89"/>
      <c r="L382" s="89"/>
      <c r="M382" s="89"/>
      <c r="N382" s="89"/>
      <c r="O382" s="88">
        <f>(SUBTOTAL(9,O383:O387))</f>
        <v>0</v>
      </c>
      <c r="P382" s="88">
        <f>(SUBTOTAL(9,P383:P387))</f>
        <v>-152</v>
      </c>
      <c r="Q382" s="88">
        <f>(SUBTOTAL(9,Q383:Q387))</f>
        <v>0</v>
      </c>
      <c r="R382" s="88">
        <f>(SUBTOTAL(9,R383:R387))</f>
        <v>0</v>
      </c>
      <c r="S382" s="88">
        <f>(SUBTOTAL(9,S383:S387))</f>
        <v>0</v>
      </c>
      <c r="T382" s="88">
        <f>(SUBTOTAL(9,T383:T387))</f>
        <v>0</v>
      </c>
      <c r="U382" s="87">
        <f t="shared" ref="U382" si="255">SUBTOTAL(9,O383:T387)</f>
        <v>-152</v>
      </c>
    </row>
    <row r="383" spans="1:21" ht="17.25" customHeight="1" x14ac:dyDescent="0.3">
      <c r="A383" s="66" t="s">
        <v>30</v>
      </c>
      <c r="C383" s="67"/>
      <c r="D383" s="77" t="str">
        <f t="shared" ref="D383" si="256">D382</f>
        <v>E100015</v>
      </c>
      <c r="E383" s="77"/>
      <c r="F383" s="76"/>
      <c r="G383" s="76" t="str">
        <f>"""NAV Direct"",""CRONUS JetCorp USA"",""32"",""1"",""78842"""</f>
        <v>"NAV Direct","CRONUS JetCorp USA","32","1","78842"</v>
      </c>
      <c r="H383" s="86">
        <v>43468</v>
      </c>
      <c r="I383" s="85">
        <v>78842</v>
      </c>
      <c r="J383" s="84" t="str">
        <f>"Customer"</f>
        <v>Customer</v>
      </c>
      <c r="K383" s="84" t="str">
        <f>"C100117"</f>
        <v>C100117</v>
      </c>
      <c r="L383" s="84" t="str">
        <f>IF($J383="Customer",_xll.NL("first",$J383,"Name","No.","@@"&amp;$K383),"")</f>
        <v xml:space="preserve">Tintax </v>
      </c>
      <c r="M383" s="84" t="str">
        <f>""</f>
        <v/>
      </c>
      <c r="N383" s="84" t="str">
        <f>IF($J383="Item",_xll.NL("first",$J383,"Description","No.","@@"&amp;$K383),"")</f>
        <v/>
      </c>
      <c r="O383" s="83">
        <v>0</v>
      </c>
      <c r="P383" s="83">
        <v>-6</v>
      </c>
      <c r="Q383" s="83">
        <v>0</v>
      </c>
      <c r="R383" s="83">
        <v>0</v>
      </c>
      <c r="S383" s="83">
        <v>0</v>
      </c>
      <c r="T383" s="83">
        <v>0</v>
      </c>
      <c r="U383" s="82"/>
    </row>
    <row r="384" spans="1:21" ht="17.25" customHeight="1" x14ac:dyDescent="0.3">
      <c r="A384" s="66" t="s">
        <v>30</v>
      </c>
      <c r="C384" s="67"/>
      <c r="D384" s="77" t="str">
        <f t="shared" ref="D384:D386" si="257">D383</f>
        <v>E100015</v>
      </c>
      <c r="E384" s="77"/>
      <c r="F384" s="76"/>
      <c r="G384" s="76" t="str">
        <f>"""NAV Direct"",""CRONUS JetCorp USA"",""32"",""1"",""38083"""</f>
        <v>"NAV Direct","CRONUS JetCorp USA","32","1","38083"</v>
      </c>
      <c r="H384" s="86">
        <v>43471</v>
      </c>
      <c r="I384" s="85">
        <v>38083</v>
      </c>
      <c r="J384" s="84" t="str">
        <f>"Customer"</f>
        <v>Customer</v>
      </c>
      <c r="K384" s="84" t="str">
        <f>"C100013"</f>
        <v>C100013</v>
      </c>
      <c r="L384" s="84" t="str">
        <f>IF($J384="Customer",_xll.NL("first",$J384,"Name","No.","@@"&amp;$K384),"")</f>
        <v>Candoxy Kontor A/S</v>
      </c>
      <c r="M384" s="84" t="str">
        <f>""</f>
        <v/>
      </c>
      <c r="N384" s="84" t="str">
        <f>IF($J384="Item",_xll.NL("first",$J384,"Description","No.","@@"&amp;$K384),"")</f>
        <v/>
      </c>
      <c r="O384" s="83">
        <v>0</v>
      </c>
      <c r="P384" s="83">
        <v>-1</v>
      </c>
      <c r="Q384" s="83">
        <v>0</v>
      </c>
      <c r="R384" s="83">
        <v>0</v>
      </c>
      <c r="S384" s="83">
        <v>0</v>
      </c>
      <c r="T384" s="83">
        <v>0</v>
      </c>
      <c r="U384" s="82"/>
    </row>
    <row r="385" spans="1:21" ht="17.25" customHeight="1" x14ac:dyDescent="0.3">
      <c r="A385" s="66" t="s">
        <v>30</v>
      </c>
      <c r="C385" s="67"/>
      <c r="D385" s="77" t="str">
        <f t="shared" si="257"/>
        <v>E100015</v>
      </c>
      <c r="E385" s="77"/>
      <c r="F385" s="76"/>
      <c r="G385" s="76" t="str">
        <f>"""NAV Direct"",""CRONUS JetCorp USA"",""32"",""1"",""78868"""</f>
        <v>"NAV Direct","CRONUS JetCorp USA","32","1","78868"</v>
      </c>
      <c r="H385" s="86">
        <v>43476</v>
      </c>
      <c r="I385" s="85">
        <v>78868</v>
      </c>
      <c r="J385" s="84" t="str">
        <f>"Customer"</f>
        <v>Customer</v>
      </c>
      <c r="K385" s="84" t="str">
        <f>"C100117"</f>
        <v>C100117</v>
      </c>
      <c r="L385" s="84" t="str">
        <f>IF($J385="Customer",_xll.NL("first",$J385,"Name","No.","@@"&amp;$K385),"")</f>
        <v xml:space="preserve">Tintax </v>
      </c>
      <c r="M385" s="84" t="str">
        <f>""</f>
        <v/>
      </c>
      <c r="N385" s="84" t="str">
        <f>IF($J385="Item",_xll.NL("first",$J385,"Description","No.","@@"&amp;$K385),"")</f>
        <v/>
      </c>
      <c r="O385" s="83">
        <v>0</v>
      </c>
      <c r="P385" s="83">
        <v>-1</v>
      </c>
      <c r="Q385" s="83">
        <v>0</v>
      </c>
      <c r="R385" s="83">
        <v>0</v>
      </c>
      <c r="S385" s="83">
        <v>0</v>
      </c>
      <c r="T385" s="83">
        <v>0</v>
      </c>
      <c r="U385" s="82"/>
    </row>
    <row r="386" spans="1:21" ht="17.25" customHeight="1" x14ac:dyDescent="0.3">
      <c r="A386" s="66" t="s">
        <v>30</v>
      </c>
      <c r="C386" s="67"/>
      <c r="D386" s="77" t="str">
        <f t="shared" si="257"/>
        <v>E100015</v>
      </c>
      <c r="E386" s="77"/>
      <c r="F386" s="76"/>
      <c r="G386" s="76" t="str">
        <f>"""NAV Direct"",""CRONUS JetCorp USA"",""32"",""1"",""38088"""</f>
        <v>"NAV Direct","CRONUS JetCorp USA","32","1","38088"</v>
      </c>
      <c r="H386" s="86">
        <v>43477</v>
      </c>
      <c r="I386" s="85">
        <v>38088</v>
      </c>
      <c r="J386" s="84" t="str">
        <f>"Customer"</f>
        <v>Customer</v>
      </c>
      <c r="K386" s="84" t="str">
        <f>"C100038"</f>
        <v>C100038</v>
      </c>
      <c r="L386" s="84" t="str">
        <f>IF($J386="Customer",_xll.NL("first",$J386,"Name","No.","@@"&amp;$K386),"")</f>
        <v>Gagn &amp; Gaman</v>
      </c>
      <c r="M386" s="84" t="str">
        <f>""</f>
        <v/>
      </c>
      <c r="N386" s="84" t="str">
        <f>IF($J386="Item",_xll.NL("first",$J386,"Description","No.","@@"&amp;$K386),"")</f>
        <v/>
      </c>
      <c r="O386" s="83">
        <v>0</v>
      </c>
      <c r="P386" s="83">
        <v>-144</v>
      </c>
      <c r="Q386" s="83">
        <v>0</v>
      </c>
      <c r="R386" s="83">
        <v>0</v>
      </c>
      <c r="S386" s="83">
        <v>0</v>
      </c>
      <c r="T386" s="83">
        <v>0</v>
      </c>
      <c r="U386" s="82"/>
    </row>
    <row r="387" spans="1:21" ht="17.25" customHeight="1" x14ac:dyDescent="0.3">
      <c r="A387" s="66" t="s">
        <v>30</v>
      </c>
      <c r="C387" s="67"/>
      <c r="D387" s="77"/>
      <c r="E387" s="77"/>
      <c r="F387" s="76"/>
      <c r="G387" s="76"/>
      <c r="H387" s="76"/>
      <c r="I387" s="76"/>
      <c r="J387" s="76"/>
      <c r="K387" s="76"/>
      <c r="L387" s="76"/>
      <c r="M387" s="76"/>
      <c r="N387" s="76"/>
      <c r="O387" s="75"/>
      <c r="P387" s="75"/>
      <c r="Q387" s="75"/>
      <c r="R387" s="75"/>
      <c r="S387" s="75"/>
      <c r="T387" s="75"/>
      <c r="U387" s="74"/>
    </row>
    <row r="388" spans="1:21" ht="17.25" customHeight="1" x14ac:dyDescent="0.3">
      <c r="A388" s="66" t="s">
        <v>30</v>
      </c>
      <c r="C388" s="67"/>
      <c r="D388" s="77"/>
      <c r="E388" s="77" t="s">
        <v>31</v>
      </c>
      <c r="F388" s="76" t="s">
        <v>31</v>
      </c>
      <c r="G388" s="76" t="s">
        <v>31</v>
      </c>
      <c r="H388" s="76"/>
      <c r="I388" s="76"/>
      <c r="J388" s="76" t="s">
        <v>31</v>
      </c>
      <c r="K388" s="76" t="s">
        <v>31</v>
      </c>
      <c r="L388" s="76" t="s">
        <v>31</v>
      </c>
      <c r="M388" s="76" t="s">
        <v>31</v>
      </c>
      <c r="N388" s="76"/>
      <c r="U388" s="81"/>
    </row>
    <row r="389" spans="1:21" ht="20.25" customHeight="1" x14ac:dyDescent="0.35">
      <c r="A389" s="66" t="s">
        <v>30</v>
      </c>
      <c r="C389" s="67"/>
      <c r="D389" s="92" t="str">
        <f t="shared" ref="D389" si="258">E389</f>
        <v>E100016</v>
      </c>
      <c r="E389" s="91" t="str">
        <f>"E100016"</f>
        <v>E100016</v>
      </c>
      <c r="F389" s="89" t="str">
        <f>"4 Function Rotating Carabiner Watch"</f>
        <v>4 Function Rotating Carabiner Watch</v>
      </c>
      <c r="G389" s="89"/>
      <c r="H389" s="90" t="str">
        <f>"EA"</f>
        <v>EA</v>
      </c>
      <c r="I389" s="89"/>
      <c r="J389" s="89"/>
      <c r="K389" s="89"/>
      <c r="L389" s="89"/>
      <c r="M389" s="89"/>
      <c r="N389" s="89"/>
      <c r="O389" s="88">
        <f>(SUBTOTAL(9,O390:O393))</f>
        <v>800</v>
      </c>
      <c r="P389" s="88">
        <f>(SUBTOTAL(9,P390:P393))</f>
        <v>-168</v>
      </c>
      <c r="Q389" s="88">
        <f>(SUBTOTAL(9,Q390:Q393))</f>
        <v>0</v>
      </c>
      <c r="R389" s="88">
        <f>(SUBTOTAL(9,R390:R393))</f>
        <v>0</v>
      </c>
      <c r="S389" s="88">
        <f>(SUBTOTAL(9,S390:S393))</f>
        <v>0</v>
      </c>
      <c r="T389" s="88">
        <f>(SUBTOTAL(9,T390:T393))</f>
        <v>0</v>
      </c>
      <c r="U389" s="87">
        <f t="shared" ref="U389" si="259">SUBTOTAL(9,O390:T393)</f>
        <v>632</v>
      </c>
    </row>
    <row r="390" spans="1:21" ht="17.25" customHeight="1" x14ac:dyDescent="0.3">
      <c r="A390" s="66" t="s">
        <v>30</v>
      </c>
      <c r="C390" s="67"/>
      <c r="D390" s="77" t="str">
        <f t="shared" ref="D390" si="260">D389</f>
        <v>E100016</v>
      </c>
      <c r="E390" s="77"/>
      <c r="F390" s="76"/>
      <c r="G390" s="76" t="str">
        <f>"""NAV Direct"",""CRONUS JetCorp USA"",""32"",""1"",""167532"""</f>
        <v>"NAV Direct","CRONUS JetCorp USA","32","1","167532"</v>
      </c>
      <c r="H390" s="86">
        <v>43466</v>
      </c>
      <c r="I390" s="85">
        <v>167532</v>
      </c>
      <c r="J390" s="84" t="str">
        <f>"Vendor"</f>
        <v>Vendor</v>
      </c>
      <c r="K390" s="84" t="str">
        <f>"V100040"</f>
        <v>V100040</v>
      </c>
      <c r="L390" s="84" t="str">
        <f>IF($J390="Customer",_xll.NL("first",$J390,"Name","No.","@@"&amp;$K390),"")</f>
        <v/>
      </c>
      <c r="M390" s="84" t="str">
        <f>"Technische Betriebe Rotkreuz"</f>
        <v>Technische Betriebe Rotkreuz</v>
      </c>
      <c r="N390" s="84" t="str">
        <f>IF($J390="Item",_xll.NL("first",$J390,"Description","No.","@@"&amp;$K390),"")</f>
        <v/>
      </c>
      <c r="O390" s="83">
        <v>800</v>
      </c>
      <c r="P390" s="83">
        <v>0</v>
      </c>
      <c r="Q390" s="83">
        <v>0</v>
      </c>
      <c r="R390" s="83">
        <v>0</v>
      </c>
      <c r="S390" s="83">
        <v>0</v>
      </c>
      <c r="T390" s="83">
        <v>0</v>
      </c>
      <c r="U390" s="82"/>
    </row>
    <row r="391" spans="1:21" ht="17.25" customHeight="1" x14ac:dyDescent="0.3">
      <c r="A391" s="66" t="s">
        <v>30</v>
      </c>
      <c r="C391" s="67"/>
      <c r="D391" s="77" t="str">
        <f t="shared" ref="D391:D392" si="261">D390</f>
        <v>E100016</v>
      </c>
      <c r="E391" s="77"/>
      <c r="F391" s="76"/>
      <c r="G391" s="76" t="str">
        <f>"""NAV Direct"",""CRONUS JetCorp USA"",""32"",""1"",""78846"""</f>
        <v>"NAV Direct","CRONUS JetCorp USA","32","1","78846"</v>
      </c>
      <c r="H391" s="86">
        <v>43470</v>
      </c>
      <c r="I391" s="85">
        <v>78846</v>
      </c>
      <c r="J391" s="84" t="str">
        <f>"Customer"</f>
        <v>Customer</v>
      </c>
      <c r="K391" s="84" t="str">
        <f>"C100117"</f>
        <v>C100117</v>
      </c>
      <c r="L391" s="84" t="str">
        <f>IF($J391="Customer",_xll.NL("first",$J391,"Name","No.","@@"&amp;$K391),"")</f>
        <v xml:space="preserve">Tintax </v>
      </c>
      <c r="M391" s="84" t="str">
        <f>""</f>
        <v/>
      </c>
      <c r="N391" s="84" t="str">
        <f>IF($J391="Item",_xll.NL("first",$J391,"Description","No.","@@"&amp;$K391),"")</f>
        <v/>
      </c>
      <c r="O391" s="83">
        <v>0</v>
      </c>
      <c r="P391" s="83">
        <v>-144</v>
      </c>
      <c r="Q391" s="83">
        <v>0</v>
      </c>
      <c r="R391" s="83">
        <v>0</v>
      </c>
      <c r="S391" s="83">
        <v>0</v>
      </c>
      <c r="T391" s="83">
        <v>0</v>
      </c>
      <c r="U391" s="82"/>
    </row>
    <row r="392" spans="1:21" ht="17.25" customHeight="1" x14ac:dyDescent="0.3">
      <c r="A392" s="66" t="s">
        <v>30</v>
      </c>
      <c r="C392" s="67"/>
      <c r="D392" s="77" t="str">
        <f t="shared" si="261"/>
        <v>E100016</v>
      </c>
      <c r="E392" s="77"/>
      <c r="F392" s="76"/>
      <c r="G392" s="76" t="str">
        <f>"""NAV Direct"",""CRONUS JetCorp USA"",""32"",""1"",""36485"""</f>
        <v>"NAV Direct","CRONUS JetCorp USA","32","1","36485"</v>
      </c>
      <c r="H392" s="86">
        <v>43475</v>
      </c>
      <c r="I392" s="85">
        <v>36485</v>
      </c>
      <c r="J392" s="84" t="str">
        <f>"Customer"</f>
        <v>Customer</v>
      </c>
      <c r="K392" s="84" t="str">
        <f>"C100063"</f>
        <v>C100063</v>
      </c>
      <c r="L392" s="84" t="str">
        <f>IF($J392="Customer",_xll.NL("first",$J392,"Name","No.","@@"&amp;$K392),"")</f>
        <v>Möbel Scherrer AG</v>
      </c>
      <c r="M392" s="84" t="str">
        <f>""</f>
        <v/>
      </c>
      <c r="N392" s="84" t="str">
        <f>IF($J392="Item",_xll.NL("first",$J392,"Description","No.","@@"&amp;$K392),"")</f>
        <v/>
      </c>
      <c r="O392" s="83">
        <v>0</v>
      </c>
      <c r="P392" s="83">
        <v>-24</v>
      </c>
      <c r="Q392" s="83">
        <v>0</v>
      </c>
      <c r="R392" s="83">
        <v>0</v>
      </c>
      <c r="S392" s="83">
        <v>0</v>
      </c>
      <c r="T392" s="83">
        <v>0</v>
      </c>
      <c r="U392" s="82"/>
    </row>
    <row r="393" spans="1:21" ht="17.25" customHeight="1" x14ac:dyDescent="0.3">
      <c r="A393" s="66" t="s">
        <v>30</v>
      </c>
      <c r="C393" s="67"/>
      <c r="D393" s="77"/>
      <c r="E393" s="77"/>
      <c r="F393" s="76"/>
      <c r="G393" s="76"/>
      <c r="H393" s="76"/>
      <c r="I393" s="76"/>
      <c r="J393" s="76"/>
      <c r="K393" s="76"/>
      <c r="L393" s="76"/>
      <c r="M393" s="76"/>
      <c r="N393" s="76"/>
      <c r="O393" s="75"/>
      <c r="P393" s="75"/>
      <c r="Q393" s="75"/>
      <c r="R393" s="75"/>
      <c r="S393" s="75"/>
      <c r="T393" s="75"/>
      <c r="U393" s="74"/>
    </row>
    <row r="394" spans="1:21" ht="17.25" customHeight="1" x14ac:dyDescent="0.3">
      <c r="A394" s="66" t="s">
        <v>30</v>
      </c>
      <c r="C394" s="67"/>
      <c r="D394" s="77"/>
      <c r="E394" s="77" t="s">
        <v>31</v>
      </c>
      <c r="F394" s="76" t="s">
        <v>31</v>
      </c>
      <c r="G394" s="76" t="s">
        <v>31</v>
      </c>
      <c r="H394" s="76"/>
      <c r="I394" s="76"/>
      <c r="J394" s="76" t="s">
        <v>31</v>
      </c>
      <c r="K394" s="76" t="s">
        <v>31</v>
      </c>
      <c r="L394" s="76" t="s">
        <v>31</v>
      </c>
      <c r="M394" s="76" t="s">
        <v>31</v>
      </c>
      <c r="N394" s="76"/>
      <c r="U394" s="81"/>
    </row>
    <row r="395" spans="1:21" ht="20.25" customHeight="1" x14ac:dyDescent="0.35">
      <c r="A395" s="66" t="s">
        <v>30</v>
      </c>
      <c r="C395" s="67"/>
      <c r="D395" s="92" t="str">
        <f t="shared" ref="D395" si="262">E395</f>
        <v>E100017</v>
      </c>
      <c r="E395" s="91" t="str">
        <f>"E100017"</f>
        <v>E100017</v>
      </c>
      <c r="F395" s="89" t="str">
        <f>"Clip-on Clock with Compass"</f>
        <v>Clip-on Clock with Compass</v>
      </c>
      <c r="G395" s="89"/>
      <c r="H395" s="90" t="str">
        <f>"EA"</f>
        <v>EA</v>
      </c>
      <c r="I395" s="89"/>
      <c r="J395" s="89"/>
      <c r="K395" s="89"/>
      <c r="L395" s="89"/>
      <c r="M395" s="89"/>
      <c r="N395" s="89"/>
      <c r="O395" s="88">
        <f>(SUBTOTAL(9,O396:O399))</f>
        <v>600</v>
      </c>
      <c r="P395" s="88">
        <f>(SUBTOTAL(9,P396:P399))</f>
        <v>-288</v>
      </c>
      <c r="Q395" s="88">
        <f>(SUBTOTAL(9,Q396:Q399))</f>
        <v>0</v>
      </c>
      <c r="R395" s="88">
        <f>(SUBTOTAL(9,R396:R399))</f>
        <v>0</v>
      </c>
      <c r="S395" s="88">
        <f>(SUBTOTAL(9,S396:S399))</f>
        <v>0</v>
      </c>
      <c r="T395" s="88">
        <f>(SUBTOTAL(9,T396:T399))</f>
        <v>0</v>
      </c>
      <c r="U395" s="87">
        <f t="shared" ref="U395" si="263">SUBTOTAL(9,O396:T399)</f>
        <v>312</v>
      </c>
    </row>
    <row r="396" spans="1:21" ht="17.25" customHeight="1" x14ac:dyDescent="0.3">
      <c r="A396" s="66" t="s">
        <v>30</v>
      </c>
      <c r="C396" s="67"/>
      <c r="D396" s="77" t="str">
        <f t="shared" ref="D396" si="264">D395</f>
        <v>E100017</v>
      </c>
      <c r="E396" s="77"/>
      <c r="F396" s="76"/>
      <c r="G396" s="76" t="str">
        <f>"""NAV Direct"",""CRONUS JetCorp USA"",""32"",""1"",""167531"""</f>
        <v>"NAV Direct","CRONUS JetCorp USA","32","1","167531"</v>
      </c>
      <c r="H396" s="86">
        <v>43466</v>
      </c>
      <c r="I396" s="85">
        <v>167531</v>
      </c>
      <c r="J396" s="84" t="str">
        <f>"Vendor"</f>
        <v>Vendor</v>
      </c>
      <c r="K396" s="84" t="str">
        <f>"V100040"</f>
        <v>V100040</v>
      </c>
      <c r="L396" s="84" t="str">
        <f>IF($J396="Customer",_xll.NL("first",$J396,"Name","No.","@@"&amp;$K396),"")</f>
        <v/>
      </c>
      <c r="M396" s="84" t="str">
        <f>"Technische Betriebe Rotkreuz"</f>
        <v>Technische Betriebe Rotkreuz</v>
      </c>
      <c r="N396" s="84" t="str">
        <f>IF($J396="Item",_xll.NL("first",$J396,"Description","No.","@@"&amp;$K396),"")</f>
        <v/>
      </c>
      <c r="O396" s="83">
        <v>600</v>
      </c>
      <c r="P396" s="83">
        <v>0</v>
      </c>
      <c r="Q396" s="83">
        <v>0</v>
      </c>
      <c r="R396" s="83">
        <v>0</v>
      </c>
      <c r="S396" s="83">
        <v>0</v>
      </c>
      <c r="T396" s="83">
        <v>0</v>
      </c>
      <c r="U396" s="82"/>
    </row>
    <row r="397" spans="1:21" ht="17.25" customHeight="1" x14ac:dyDescent="0.3">
      <c r="A397" s="66" t="s">
        <v>30</v>
      </c>
      <c r="C397" s="67"/>
      <c r="D397" s="77" t="str">
        <f t="shared" ref="D397:D398" si="265">D396</f>
        <v>E100017</v>
      </c>
      <c r="E397" s="77"/>
      <c r="F397" s="76"/>
      <c r="G397" s="76" t="str">
        <f>"""NAV Direct"",""CRONUS JetCorp USA"",""32"",""1"",""72519"""</f>
        <v>"NAV Direct","CRONUS JetCorp USA","32","1","72519"</v>
      </c>
      <c r="H397" s="86">
        <v>43471</v>
      </c>
      <c r="I397" s="85">
        <v>72519</v>
      </c>
      <c r="J397" s="84" t="str">
        <f>"Customer"</f>
        <v>Customer</v>
      </c>
      <c r="K397" s="84" t="str">
        <f>"C100107"</f>
        <v>C100107</v>
      </c>
      <c r="L397" s="84" t="str">
        <f>IF($J397="Customer",_xll.NL("first",$J397,"Name","No.","@@"&amp;$K397),"")</f>
        <v>Lexitechnology</v>
      </c>
      <c r="M397" s="84" t="str">
        <f>""</f>
        <v/>
      </c>
      <c r="N397" s="84" t="str">
        <f>IF($J397="Item",_xll.NL("first",$J397,"Description","No.","@@"&amp;$K397),"")</f>
        <v/>
      </c>
      <c r="O397" s="83">
        <v>0</v>
      </c>
      <c r="P397" s="83">
        <v>-144</v>
      </c>
      <c r="Q397" s="83">
        <v>0</v>
      </c>
      <c r="R397" s="83">
        <v>0</v>
      </c>
      <c r="S397" s="83">
        <v>0</v>
      </c>
      <c r="T397" s="83">
        <v>0</v>
      </c>
      <c r="U397" s="82"/>
    </row>
    <row r="398" spans="1:21" ht="17.25" customHeight="1" x14ac:dyDescent="0.3">
      <c r="A398" s="66" t="s">
        <v>30</v>
      </c>
      <c r="C398" s="67"/>
      <c r="D398" s="77" t="str">
        <f t="shared" si="265"/>
        <v>E100017</v>
      </c>
      <c r="E398" s="77"/>
      <c r="F398" s="76"/>
      <c r="G398" s="76" t="str">
        <f>"""NAV Direct"",""CRONUS JetCorp USA"",""32"",""1"",""34313"""</f>
        <v>"NAV Direct","CRONUS JetCorp USA","32","1","34313"</v>
      </c>
      <c r="H398" s="86">
        <v>43473</v>
      </c>
      <c r="I398" s="85">
        <v>34313</v>
      </c>
      <c r="J398" s="84" t="str">
        <f>"Customer"</f>
        <v>Customer</v>
      </c>
      <c r="K398" s="84" t="str">
        <f>"C100059"</f>
        <v>C100059</v>
      </c>
      <c r="L398" s="84" t="str">
        <f>IF($J398="Customer",_xll.NL("first",$J398,"Name","No.","@@"&amp;$K398),"")</f>
        <v>Meersen Meubelen</v>
      </c>
      <c r="M398" s="84" t="str">
        <f>""</f>
        <v/>
      </c>
      <c r="N398" s="84" t="str">
        <f>IF($J398="Item",_xll.NL("first",$J398,"Description","No.","@@"&amp;$K398),"")</f>
        <v/>
      </c>
      <c r="O398" s="83">
        <v>0</v>
      </c>
      <c r="P398" s="83">
        <v>-144</v>
      </c>
      <c r="Q398" s="83">
        <v>0</v>
      </c>
      <c r="R398" s="83">
        <v>0</v>
      </c>
      <c r="S398" s="83">
        <v>0</v>
      </c>
      <c r="T398" s="83">
        <v>0</v>
      </c>
      <c r="U398" s="82"/>
    </row>
    <row r="399" spans="1:21" ht="17.25" customHeight="1" x14ac:dyDescent="0.3">
      <c r="A399" s="66" t="s">
        <v>30</v>
      </c>
      <c r="C399" s="67"/>
      <c r="D399" s="77"/>
      <c r="E399" s="77"/>
      <c r="F399" s="76"/>
      <c r="G399" s="76"/>
      <c r="H399" s="76"/>
      <c r="I399" s="76"/>
      <c r="J399" s="76"/>
      <c r="K399" s="76"/>
      <c r="L399" s="76"/>
      <c r="M399" s="76"/>
      <c r="N399" s="76"/>
      <c r="O399" s="75"/>
      <c r="P399" s="75"/>
      <c r="Q399" s="75"/>
      <c r="R399" s="75"/>
      <c r="S399" s="75"/>
      <c r="T399" s="75"/>
      <c r="U399" s="74"/>
    </row>
    <row r="400" spans="1:21" ht="17.25" customHeight="1" x14ac:dyDescent="0.3">
      <c r="A400" s="66" t="s">
        <v>30</v>
      </c>
      <c r="C400" s="67"/>
      <c r="D400" s="77"/>
      <c r="E400" s="77" t="s">
        <v>31</v>
      </c>
      <c r="F400" s="76" t="s">
        <v>31</v>
      </c>
      <c r="G400" s="76" t="s">
        <v>31</v>
      </c>
      <c r="H400" s="76"/>
      <c r="I400" s="76"/>
      <c r="J400" s="76" t="s">
        <v>31</v>
      </c>
      <c r="K400" s="76" t="s">
        <v>31</v>
      </c>
      <c r="L400" s="76" t="s">
        <v>31</v>
      </c>
      <c r="M400" s="76" t="s">
        <v>31</v>
      </c>
      <c r="N400" s="76"/>
      <c r="U400" s="81"/>
    </row>
    <row r="401" spans="1:21" ht="20.25" customHeight="1" x14ac:dyDescent="0.35">
      <c r="A401" s="66" t="s">
        <v>30</v>
      </c>
      <c r="C401" s="67"/>
      <c r="D401" s="92" t="str">
        <f t="shared" ref="D401" si="266">E401</f>
        <v>E100018</v>
      </c>
      <c r="E401" s="91" t="str">
        <f>"E100018"</f>
        <v>E100018</v>
      </c>
      <c r="F401" s="89" t="str">
        <f>"Flexi-Clock &amp; Clip"</f>
        <v>Flexi-Clock &amp; Clip</v>
      </c>
      <c r="G401" s="89"/>
      <c r="H401" s="90" t="str">
        <f>"EA"</f>
        <v>EA</v>
      </c>
      <c r="I401" s="89"/>
      <c r="J401" s="89"/>
      <c r="K401" s="89"/>
      <c r="L401" s="89"/>
      <c r="M401" s="89"/>
      <c r="N401" s="89"/>
      <c r="O401" s="88">
        <f>(SUBTOTAL(9,O402:O408))</f>
        <v>1400</v>
      </c>
      <c r="P401" s="88">
        <f>(SUBTOTAL(9,P402:P408))</f>
        <v>-440</v>
      </c>
      <c r="Q401" s="88">
        <f>(SUBTOTAL(9,Q402:Q408))</f>
        <v>0</v>
      </c>
      <c r="R401" s="88">
        <f>(SUBTOTAL(9,R402:R408))</f>
        <v>0</v>
      </c>
      <c r="S401" s="88">
        <f>(SUBTOTAL(9,S402:S408))</f>
        <v>0</v>
      </c>
      <c r="T401" s="88">
        <f>(SUBTOTAL(9,T402:T408))</f>
        <v>0</v>
      </c>
      <c r="U401" s="87">
        <f t="shared" ref="U401" si="267">SUBTOTAL(9,O402:T408)</f>
        <v>960</v>
      </c>
    </row>
    <row r="402" spans="1:21" ht="17.25" customHeight="1" x14ac:dyDescent="0.3">
      <c r="A402" s="66" t="s">
        <v>30</v>
      </c>
      <c r="C402" s="67"/>
      <c r="D402" s="77" t="str">
        <f t="shared" ref="D402" si="268">D401</f>
        <v>E100018</v>
      </c>
      <c r="E402" s="77"/>
      <c r="F402" s="76"/>
      <c r="G402" s="76" t="str">
        <f>"""NAV Direct"",""CRONUS JetCorp USA"",""32"",""1"",""167530"""</f>
        <v>"NAV Direct","CRONUS JetCorp USA","32","1","167530"</v>
      </c>
      <c r="H402" s="86">
        <v>43466</v>
      </c>
      <c r="I402" s="85">
        <v>167530</v>
      </c>
      <c r="J402" s="84" t="str">
        <f>"Vendor"</f>
        <v>Vendor</v>
      </c>
      <c r="K402" s="84" t="str">
        <f>"V100040"</f>
        <v>V100040</v>
      </c>
      <c r="L402" s="84" t="str">
        <f>IF($J402="Customer",_xll.NL("first",$J402,"Name","No.","@@"&amp;$K402),"")</f>
        <v/>
      </c>
      <c r="M402" s="84" t="str">
        <f>"Technische Betriebe Rotkreuz"</f>
        <v>Technische Betriebe Rotkreuz</v>
      </c>
      <c r="N402" s="84" t="str">
        <f>IF($J402="Item",_xll.NL("first",$J402,"Description","No.","@@"&amp;$K402),"")</f>
        <v/>
      </c>
      <c r="O402" s="83">
        <v>1400</v>
      </c>
      <c r="P402" s="83">
        <v>0</v>
      </c>
      <c r="Q402" s="83">
        <v>0</v>
      </c>
      <c r="R402" s="83">
        <v>0</v>
      </c>
      <c r="S402" s="83">
        <v>0</v>
      </c>
      <c r="T402" s="83">
        <v>0</v>
      </c>
      <c r="U402" s="82"/>
    </row>
    <row r="403" spans="1:21" ht="17.25" customHeight="1" x14ac:dyDescent="0.3">
      <c r="A403" s="66" t="s">
        <v>30</v>
      </c>
      <c r="C403" s="67"/>
      <c r="D403" s="77" t="str">
        <f t="shared" ref="D403:D407" si="269">D402</f>
        <v>E100018</v>
      </c>
      <c r="E403" s="77"/>
      <c r="F403" s="76"/>
      <c r="G403" s="76" t="str">
        <f>"""NAV Direct"",""CRONUS JetCorp USA"",""32"",""1"",""120186"""</f>
        <v>"NAV Direct","CRONUS JetCorp USA","32","1","120186"</v>
      </c>
      <c r="H403" s="86">
        <v>43469</v>
      </c>
      <c r="I403" s="85">
        <v>120186</v>
      </c>
      <c r="J403" s="84" t="str">
        <f>"Customer"</f>
        <v>Customer</v>
      </c>
      <c r="K403" s="84" t="str">
        <f>"C100134"</f>
        <v>C100134</v>
      </c>
      <c r="L403" s="84" t="str">
        <f>IF($J403="Customer",_xll.NL("first",$J403,"Name","No.","@@"&amp;$K403),"")</f>
        <v>Iber Tech</v>
      </c>
      <c r="M403" s="84" t="str">
        <f>""</f>
        <v/>
      </c>
      <c r="N403" s="84" t="str">
        <f>IF($J403="Item",_xll.NL("first",$J403,"Description","No.","@@"&amp;$K403),"")</f>
        <v/>
      </c>
      <c r="O403" s="83">
        <v>0</v>
      </c>
      <c r="P403" s="83">
        <v>-1</v>
      </c>
      <c r="Q403" s="83">
        <v>0</v>
      </c>
      <c r="R403" s="83">
        <v>0</v>
      </c>
      <c r="S403" s="83">
        <v>0</v>
      </c>
      <c r="T403" s="83">
        <v>0</v>
      </c>
      <c r="U403" s="82"/>
    </row>
    <row r="404" spans="1:21" ht="17.25" customHeight="1" x14ac:dyDescent="0.3">
      <c r="A404" s="66" t="s">
        <v>30</v>
      </c>
      <c r="C404" s="67"/>
      <c r="D404" s="77" t="str">
        <f t="shared" si="269"/>
        <v>E100018</v>
      </c>
      <c r="E404" s="77"/>
      <c r="F404" s="76"/>
      <c r="G404" s="76" t="str">
        <f>"""NAV Direct"",""CRONUS JetCorp USA"",""32"",""1"",""78850"""</f>
        <v>"NAV Direct","CRONUS JetCorp USA","32","1","78850"</v>
      </c>
      <c r="H404" s="86">
        <v>43470</v>
      </c>
      <c r="I404" s="85">
        <v>78850</v>
      </c>
      <c r="J404" s="84" t="str">
        <f>"Customer"</f>
        <v>Customer</v>
      </c>
      <c r="K404" s="84" t="str">
        <f>"C100117"</f>
        <v>C100117</v>
      </c>
      <c r="L404" s="84" t="str">
        <f>IF($J404="Customer",_xll.NL("first",$J404,"Name","No.","@@"&amp;$K404),"")</f>
        <v xml:space="preserve">Tintax </v>
      </c>
      <c r="M404" s="84" t="str">
        <f>""</f>
        <v/>
      </c>
      <c r="N404" s="84" t="str">
        <f>IF($J404="Item",_xll.NL("first",$J404,"Description","No.","@@"&amp;$K404),"")</f>
        <v/>
      </c>
      <c r="O404" s="83">
        <v>0</v>
      </c>
      <c r="P404" s="83">
        <v>-145</v>
      </c>
      <c r="Q404" s="83">
        <v>0</v>
      </c>
      <c r="R404" s="83">
        <v>0</v>
      </c>
      <c r="S404" s="83">
        <v>0</v>
      </c>
      <c r="T404" s="83">
        <v>0</v>
      </c>
      <c r="U404" s="82"/>
    </row>
    <row r="405" spans="1:21" ht="17.25" customHeight="1" x14ac:dyDescent="0.3">
      <c r="A405" s="66" t="s">
        <v>30</v>
      </c>
      <c r="C405" s="67"/>
      <c r="D405" s="77" t="str">
        <f t="shared" si="269"/>
        <v>E100018</v>
      </c>
      <c r="E405" s="77"/>
      <c r="F405" s="76"/>
      <c r="G405" s="76" t="str">
        <f>"""NAV Direct"",""CRONUS JetCorp USA"",""32"",""1"",""12463"""</f>
        <v>"NAV Direct","CRONUS JetCorp USA","32","1","12463"</v>
      </c>
      <c r="H405" s="86">
        <v>43471</v>
      </c>
      <c r="I405" s="85">
        <v>12463</v>
      </c>
      <c r="J405" s="84" t="str">
        <f>"Customer"</f>
        <v>Customer</v>
      </c>
      <c r="K405" s="84" t="str">
        <f>"C100041"</f>
        <v>C100041</v>
      </c>
      <c r="L405" s="84" t="str">
        <f>IF($J405="Customer",_xll.NL("first",$J405,"Name","No.","@@"&amp;$K405),"")</f>
        <v>Heimilisprydi</v>
      </c>
      <c r="M405" s="84" t="str">
        <f>""</f>
        <v/>
      </c>
      <c r="N405" s="84" t="str">
        <f>IF($J405="Item",_xll.NL("first",$J405,"Description","No.","@@"&amp;$K405),"")</f>
        <v/>
      </c>
      <c r="O405" s="83">
        <v>0</v>
      </c>
      <c r="P405" s="83">
        <v>-289</v>
      </c>
      <c r="Q405" s="83">
        <v>0</v>
      </c>
      <c r="R405" s="83">
        <v>0</v>
      </c>
      <c r="S405" s="83">
        <v>0</v>
      </c>
      <c r="T405" s="83">
        <v>0</v>
      </c>
      <c r="U405" s="82"/>
    </row>
    <row r="406" spans="1:21" ht="17.25" customHeight="1" x14ac:dyDescent="0.3">
      <c r="A406" s="66" t="s">
        <v>30</v>
      </c>
      <c r="C406" s="67"/>
      <c r="D406" s="77" t="str">
        <f t="shared" si="269"/>
        <v>E100018</v>
      </c>
      <c r="E406" s="77"/>
      <c r="F406" s="76"/>
      <c r="G406" s="76" t="str">
        <f>"""NAV Direct"",""CRONUS JetCorp USA"",""32"",""1"",""15155"""</f>
        <v>"NAV Direct","CRONUS JetCorp USA","32","1","15155"</v>
      </c>
      <c r="H406" s="86">
        <v>43471</v>
      </c>
      <c r="I406" s="85">
        <v>15155</v>
      </c>
      <c r="J406" s="84" t="str">
        <f>"Customer"</f>
        <v>Customer</v>
      </c>
      <c r="K406" s="84" t="str">
        <f>"C100134"</f>
        <v>C100134</v>
      </c>
      <c r="L406" s="84" t="str">
        <f>IF($J406="Customer",_xll.NL("first",$J406,"Name","No.","@@"&amp;$K406),"")</f>
        <v>Iber Tech</v>
      </c>
      <c r="M406" s="84" t="str">
        <f>""</f>
        <v/>
      </c>
      <c r="N406" s="84" t="str">
        <f>IF($J406="Item",_xll.NL("first",$J406,"Description","No.","@@"&amp;$K406),"")</f>
        <v/>
      </c>
      <c r="O406" s="83">
        <v>0</v>
      </c>
      <c r="P406" s="83">
        <v>-6</v>
      </c>
      <c r="Q406" s="83">
        <v>0</v>
      </c>
      <c r="R406" s="83">
        <v>0</v>
      </c>
      <c r="S406" s="83">
        <v>0</v>
      </c>
      <c r="T406" s="83">
        <v>0</v>
      </c>
      <c r="U406" s="82"/>
    </row>
    <row r="407" spans="1:21" ht="17.25" customHeight="1" x14ac:dyDescent="0.3">
      <c r="A407" s="66" t="s">
        <v>30</v>
      </c>
      <c r="C407" s="67"/>
      <c r="D407" s="77" t="str">
        <f t="shared" si="269"/>
        <v>E100018</v>
      </c>
      <c r="E407" s="77"/>
      <c r="F407" s="76"/>
      <c r="G407" s="76" t="str">
        <f>"""NAV Direct"",""CRONUS JetCorp USA"",""32"",""1"",""158198"""</f>
        <v>"NAV Direct","CRONUS JetCorp USA","32","1","158198"</v>
      </c>
      <c r="H407" s="86">
        <v>43477</v>
      </c>
      <c r="I407" s="85">
        <v>158198</v>
      </c>
      <c r="J407" s="84" t="str">
        <f>"Customer"</f>
        <v>Customer</v>
      </c>
      <c r="K407" s="84" t="str">
        <f>"C100059"</f>
        <v>C100059</v>
      </c>
      <c r="L407" s="84" t="str">
        <f>IF($J407="Customer",_xll.NL("first",$J407,"Name","No.","@@"&amp;$K407),"")</f>
        <v>Meersen Meubelen</v>
      </c>
      <c r="M407" s="84" t="str">
        <f>""</f>
        <v/>
      </c>
      <c r="N407" s="84" t="str">
        <f>IF($J407="Item",_xll.NL("first",$J407,"Description","No.","@@"&amp;$K407),"")</f>
        <v/>
      </c>
      <c r="O407" s="83">
        <v>0</v>
      </c>
      <c r="P407" s="83">
        <v>1</v>
      </c>
      <c r="Q407" s="83">
        <v>0</v>
      </c>
      <c r="R407" s="83">
        <v>0</v>
      </c>
      <c r="S407" s="83">
        <v>0</v>
      </c>
      <c r="T407" s="83">
        <v>0</v>
      </c>
      <c r="U407" s="82"/>
    </row>
    <row r="408" spans="1:21" ht="17.25" customHeight="1" x14ac:dyDescent="0.3">
      <c r="A408" s="66" t="s">
        <v>30</v>
      </c>
      <c r="C408" s="67"/>
      <c r="D408" s="77"/>
      <c r="E408" s="77"/>
      <c r="F408" s="76"/>
      <c r="G408" s="76"/>
      <c r="H408" s="76"/>
      <c r="I408" s="76"/>
      <c r="J408" s="76"/>
      <c r="K408" s="76"/>
      <c r="L408" s="76"/>
      <c r="M408" s="76"/>
      <c r="N408" s="76"/>
      <c r="O408" s="75"/>
      <c r="P408" s="75"/>
      <c r="Q408" s="75"/>
      <c r="R408" s="75"/>
      <c r="S408" s="75"/>
      <c r="T408" s="75"/>
      <c r="U408" s="74"/>
    </row>
    <row r="409" spans="1:21" ht="17.25" customHeight="1" x14ac:dyDescent="0.3">
      <c r="A409" s="66" t="s">
        <v>30</v>
      </c>
      <c r="C409" s="67"/>
      <c r="D409" s="77"/>
      <c r="E409" s="77" t="s">
        <v>31</v>
      </c>
      <c r="F409" s="76" t="s">
        <v>31</v>
      </c>
      <c r="G409" s="76" t="s">
        <v>31</v>
      </c>
      <c r="H409" s="76"/>
      <c r="I409" s="76"/>
      <c r="J409" s="76" t="s">
        <v>31</v>
      </c>
      <c r="K409" s="76" t="s">
        <v>31</v>
      </c>
      <c r="L409" s="76" t="s">
        <v>31</v>
      </c>
      <c r="M409" s="76" t="s">
        <v>31</v>
      </c>
      <c r="N409" s="76"/>
      <c r="U409" s="81"/>
    </row>
    <row r="410" spans="1:21" ht="20.25" customHeight="1" x14ac:dyDescent="0.35">
      <c r="A410" s="66" t="s">
        <v>30</v>
      </c>
      <c r="C410" s="67"/>
      <c r="D410" s="92" t="str">
        <f t="shared" ref="D410" si="270">E410</f>
        <v>E100019</v>
      </c>
      <c r="E410" s="91" t="str">
        <f>"E100019"</f>
        <v>E100019</v>
      </c>
      <c r="F410" s="89" t="str">
        <f>"Mini Travel Alarm"</f>
        <v>Mini Travel Alarm</v>
      </c>
      <c r="G410" s="89"/>
      <c r="H410" s="90" t="str">
        <f>"EA"</f>
        <v>EA</v>
      </c>
      <c r="I410" s="89"/>
      <c r="J410" s="89"/>
      <c r="K410" s="89"/>
      <c r="L410" s="89"/>
      <c r="M410" s="89"/>
      <c r="N410" s="89"/>
      <c r="O410" s="88">
        <f>(SUBTOTAL(9,O411:O415))</f>
        <v>400</v>
      </c>
      <c r="P410" s="88">
        <f>(SUBTOTAL(9,P411:P415))</f>
        <v>-146</v>
      </c>
      <c r="Q410" s="88">
        <f>(SUBTOTAL(9,Q411:Q415))</f>
        <v>0</v>
      </c>
      <c r="R410" s="88">
        <f>(SUBTOTAL(9,R411:R415))</f>
        <v>0</v>
      </c>
      <c r="S410" s="88">
        <f>(SUBTOTAL(9,S411:S415))</f>
        <v>0</v>
      </c>
      <c r="T410" s="88">
        <f>(SUBTOTAL(9,T411:T415))</f>
        <v>0</v>
      </c>
      <c r="U410" s="87">
        <f t="shared" ref="U410" si="271">SUBTOTAL(9,O411:T415)</f>
        <v>254</v>
      </c>
    </row>
    <row r="411" spans="1:21" ht="17.25" customHeight="1" x14ac:dyDescent="0.3">
      <c r="A411" s="66" t="s">
        <v>30</v>
      </c>
      <c r="C411" s="67"/>
      <c r="D411" s="77" t="str">
        <f t="shared" ref="D411" si="272">D410</f>
        <v>E100019</v>
      </c>
      <c r="E411" s="77"/>
      <c r="F411" s="76"/>
      <c r="G411" s="76" t="str">
        <f>"""NAV Direct"",""CRONUS JetCorp USA"",""32"",""1"",""167529"""</f>
        <v>"NAV Direct","CRONUS JetCorp USA","32","1","167529"</v>
      </c>
      <c r="H411" s="86">
        <v>43466</v>
      </c>
      <c r="I411" s="85">
        <v>167529</v>
      </c>
      <c r="J411" s="84" t="str">
        <f>"Vendor"</f>
        <v>Vendor</v>
      </c>
      <c r="K411" s="84" t="str">
        <f>"V100040"</f>
        <v>V100040</v>
      </c>
      <c r="L411" s="84" t="str">
        <f>IF($J411="Customer",_xll.NL("first",$J411,"Name","No.","@@"&amp;$K411),"")</f>
        <v/>
      </c>
      <c r="M411" s="84" t="str">
        <f>"Technische Betriebe Rotkreuz"</f>
        <v>Technische Betriebe Rotkreuz</v>
      </c>
      <c r="N411" s="84" t="str">
        <f>IF($J411="Item",_xll.NL("first",$J411,"Description","No.","@@"&amp;$K411),"")</f>
        <v/>
      </c>
      <c r="O411" s="83">
        <v>400</v>
      </c>
      <c r="P411" s="83">
        <v>0</v>
      </c>
      <c r="Q411" s="83">
        <v>0</v>
      </c>
      <c r="R411" s="83">
        <v>0</v>
      </c>
      <c r="S411" s="83">
        <v>0</v>
      </c>
      <c r="T411" s="83">
        <v>0</v>
      </c>
      <c r="U411" s="82"/>
    </row>
    <row r="412" spans="1:21" ht="17.25" customHeight="1" x14ac:dyDescent="0.3">
      <c r="A412" s="66" t="s">
        <v>30</v>
      </c>
      <c r="C412" s="67"/>
      <c r="D412" s="77" t="str">
        <f t="shared" ref="D412:D414" si="273">D411</f>
        <v>E100019</v>
      </c>
      <c r="E412" s="77"/>
      <c r="F412" s="76"/>
      <c r="G412" s="76" t="str">
        <f>"""NAV Direct"",""CRONUS JetCorp USA"",""32"",""1"",""78843"""</f>
        <v>"NAV Direct","CRONUS JetCorp USA","32","1","78843"</v>
      </c>
      <c r="H412" s="86">
        <v>43468</v>
      </c>
      <c r="I412" s="85">
        <v>78843</v>
      </c>
      <c r="J412" s="84" t="str">
        <f>"Customer"</f>
        <v>Customer</v>
      </c>
      <c r="K412" s="84" t="str">
        <f>"C100117"</f>
        <v>C100117</v>
      </c>
      <c r="L412" s="84" t="str">
        <f>IF($J412="Customer",_xll.NL("first",$J412,"Name","No.","@@"&amp;$K412),"")</f>
        <v xml:space="preserve">Tintax </v>
      </c>
      <c r="M412" s="84" t="str">
        <f>""</f>
        <v/>
      </c>
      <c r="N412" s="84" t="str">
        <f>IF($J412="Item",_xll.NL("first",$J412,"Description","No.","@@"&amp;$K412),"")</f>
        <v/>
      </c>
      <c r="O412" s="83">
        <v>0</v>
      </c>
      <c r="P412" s="83">
        <v>-1</v>
      </c>
      <c r="Q412" s="83">
        <v>0</v>
      </c>
      <c r="R412" s="83">
        <v>0</v>
      </c>
      <c r="S412" s="83">
        <v>0</v>
      </c>
      <c r="T412" s="83">
        <v>0</v>
      </c>
      <c r="U412" s="82"/>
    </row>
    <row r="413" spans="1:21" ht="17.25" customHeight="1" x14ac:dyDescent="0.3">
      <c r="A413" s="66" t="s">
        <v>30</v>
      </c>
      <c r="C413" s="67"/>
      <c r="D413" s="77" t="str">
        <f t="shared" si="273"/>
        <v>E100019</v>
      </c>
      <c r="E413" s="77"/>
      <c r="F413" s="76"/>
      <c r="G413" s="76" t="str">
        <f>"""NAV Direct"",""CRONUS JetCorp USA"",""32"",""1"",""118079"""</f>
        <v>"NAV Direct","CRONUS JetCorp USA","32","1","118079"</v>
      </c>
      <c r="H413" s="86">
        <v>43471</v>
      </c>
      <c r="I413" s="85">
        <v>118079</v>
      </c>
      <c r="J413" s="84" t="str">
        <f>"Customer"</f>
        <v>Customer</v>
      </c>
      <c r="K413" s="84" t="str">
        <f>"C100060"</f>
        <v>C100060</v>
      </c>
      <c r="L413" s="84" t="str">
        <f>IF($J413="Customer",_xll.NL("first",$J413,"Name","No.","@@"&amp;$K413),"")</f>
        <v>MEMA Ljubljana d.o.o.</v>
      </c>
      <c r="M413" s="84" t="str">
        <f>""</f>
        <v/>
      </c>
      <c r="N413" s="84" t="str">
        <f>IF($J413="Item",_xll.NL("first",$J413,"Description","No.","@@"&amp;$K413),"")</f>
        <v/>
      </c>
      <c r="O413" s="83">
        <v>0</v>
      </c>
      <c r="P413" s="83">
        <v>-1</v>
      </c>
      <c r="Q413" s="83">
        <v>0</v>
      </c>
      <c r="R413" s="83">
        <v>0</v>
      </c>
      <c r="S413" s="83">
        <v>0</v>
      </c>
      <c r="T413" s="83">
        <v>0</v>
      </c>
      <c r="U413" s="82"/>
    </row>
    <row r="414" spans="1:21" ht="17.25" customHeight="1" x14ac:dyDescent="0.3">
      <c r="A414" s="66" t="s">
        <v>30</v>
      </c>
      <c r="C414" s="67"/>
      <c r="D414" s="77" t="str">
        <f t="shared" si="273"/>
        <v>E100019</v>
      </c>
      <c r="E414" s="77"/>
      <c r="F414" s="76"/>
      <c r="G414" s="76" t="str">
        <f>"""NAV Direct"",""CRONUS JetCorp USA"",""32"",""1"",""78896"""</f>
        <v>"NAV Direct","CRONUS JetCorp USA","32","1","78896"</v>
      </c>
      <c r="H414" s="86">
        <v>43475</v>
      </c>
      <c r="I414" s="85">
        <v>78896</v>
      </c>
      <c r="J414" s="84" t="str">
        <f>"Customer"</f>
        <v>Customer</v>
      </c>
      <c r="K414" s="84" t="str">
        <f>"C100128"</f>
        <v>C100128</v>
      </c>
      <c r="L414" s="84" t="str">
        <f>IF($J414="Customer",_xll.NL("first",$J414,"Name","No.","@@"&amp;$K414),"")</f>
        <v>Solar Tech</v>
      </c>
      <c r="M414" s="84" t="str">
        <f>""</f>
        <v/>
      </c>
      <c r="N414" s="84" t="str">
        <f>IF($J414="Item",_xll.NL("first",$J414,"Description","No.","@@"&amp;$K414),"")</f>
        <v/>
      </c>
      <c r="O414" s="83">
        <v>0</v>
      </c>
      <c r="P414" s="83">
        <v>-144</v>
      </c>
      <c r="Q414" s="83">
        <v>0</v>
      </c>
      <c r="R414" s="83">
        <v>0</v>
      </c>
      <c r="S414" s="83">
        <v>0</v>
      </c>
      <c r="T414" s="83">
        <v>0</v>
      </c>
      <c r="U414" s="82"/>
    </row>
    <row r="415" spans="1:21" ht="17.25" customHeight="1" x14ac:dyDescent="0.3">
      <c r="A415" s="66" t="s">
        <v>30</v>
      </c>
      <c r="C415" s="67"/>
      <c r="D415" s="77"/>
      <c r="E415" s="77"/>
      <c r="F415" s="76"/>
      <c r="G415" s="76"/>
      <c r="H415" s="76"/>
      <c r="I415" s="76"/>
      <c r="J415" s="76"/>
      <c r="K415" s="76"/>
      <c r="L415" s="76"/>
      <c r="M415" s="76"/>
      <c r="N415" s="76"/>
      <c r="O415" s="75"/>
      <c r="P415" s="75"/>
      <c r="Q415" s="75"/>
      <c r="R415" s="75"/>
      <c r="S415" s="75"/>
      <c r="T415" s="75"/>
      <c r="U415" s="74"/>
    </row>
    <row r="416" spans="1:21" ht="17.25" customHeight="1" x14ac:dyDescent="0.3">
      <c r="A416" s="66" t="s">
        <v>30</v>
      </c>
      <c r="C416" s="67"/>
      <c r="D416" s="77"/>
      <c r="E416" s="77" t="s">
        <v>31</v>
      </c>
      <c r="F416" s="76" t="s">
        <v>31</v>
      </c>
      <c r="G416" s="76" t="s">
        <v>31</v>
      </c>
      <c r="H416" s="76"/>
      <c r="I416" s="76"/>
      <c r="J416" s="76" t="s">
        <v>31</v>
      </c>
      <c r="K416" s="76" t="s">
        <v>31</v>
      </c>
      <c r="L416" s="76" t="s">
        <v>31</v>
      </c>
      <c r="M416" s="76" t="s">
        <v>31</v>
      </c>
      <c r="N416" s="76"/>
      <c r="U416" s="81"/>
    </row>
    <row r="417" spans="1:21" ht="20.25" customHeight="1" x14ac:dyDescent="0.35">
      <c r="A417" s="66" t="s">
        <v>30</v>
      </c>
      <c r="C417" s="67"/>
      <c r="D417" s="92" t="str">
        <f t="shared" ref="D417" si="274">E417</f>
        <v>E100020</v>
      </c>
      <c r="E417" s="91" t="str">
        <f>"E100020"</f>
        <v>E100020</v>
      </c>
      <c r="F417" s="89" t="str">
        <f>"Flip-up Travel Alarm"</f>
        <v>Flip-up Travel Alarm</v>
      </c>
      <c r="G417" s="89"/>
      <c r="H417" s="90" t="str">
        <f>"EA"</f>
        <v>EA</v>
      </c>
      <c r="I417" s="89"/>
      <c r="J417" s="89"/>
      <c r="K417" s="89"/>
      <c r="L417" s="89"/>
      <c r="M417" s="89"/>
      <c r="N417" s="89"/>
      <c r="O417" s="88">
        <f>(SUBTOTAL(9,O418:O421))</f>
        <v>200</v>
      </c>
      <c r="P417" s="88">
        <f>(SUBTOTAL(9,P418:P421))</f>
        <v>-36</v>
      </c>
      <c r="Q417" s="88">
        <f>(SUBTOTAL(9,Q418:Q421))</f>
        <v>0</v>
      </c>
      <c r="R417" s="88">
        <f>(SUBTOTAL(9,R418:R421))</f>
        <v>0</v>
      </c>
      <c r="S417" s="88">
        <f>(SUBTOTAL(9,S418:S421))</f>
        <v>0</v>
      </c>
      <c r="T417" s="88">
        <f>(SUBTOTAL(9,T418:T421))</f>
        <v>0</v>
      </c>
      <c r="U417" s="87">
        <f t="shared" ref="U417" si="275">SUBTOTAL(9,O418:T421)</f>
        <v>164</v>
      </c>
    </row>
    <row r="418" spans="1:21" ht="17.25" customHeight="1" x14ac:dyDescent="0.3">
      <c r="A418" s="66" t="s">
        <v>30</v>
      </c>
      <c r="C418" s="67"/>
      <c r="D418" s="77" t="str">
        <f t="shared" ref="D418" si="276">D417</f>
        <v>E100020</v>
      </c>
      <c r="E418" s="77"/>
      <c r="F418" s="76"/>
      <c r="G418" s="76" t="str">
        <f>"""NAV Direct"",""CRONUS JetCorp USA"",""32"",""1"",""167528"""</f>
        <v>"NAV Direct","CRONUS JetCorp USA","32","1","167528"</v>
      </c>
      <c r="H418" s="86">
        <v>43466</v>
      </c>
      <c r="I418" s="85">
        <v>167528</v>
      </c>
      <c r="J418" s="84" t="str">
        <f>"Vendor"</f>
        <v>Vendor</v>
      </c>
      <c r="K418" s="84" t="str">
        <f>"V100040"</f>
        <v>V100040</v>
      </c>
      <c r="L418" s="84" t="str">
        <f>IF($J418="Customer",_xll.NL("first",$J418,"Name","No.","@@"&amp;$K418),"")</f>
        <v/>
      </c>
      <c r="M418" s="84" t="str">
        <f>"Technische Betriebe Rotkreuz"</f>
        <v>Technische Betriebe Rotkreuz</v>
      </c>
      <c r="N418" s="84" t="str">
        <f>IF($J418="Item",_xll.NL("first",$J418,"Description","No.","@@"&amp;$K418),"")</f>
        <v/>
      </c>
      <c r="O418" s="83">
        <v>200</v>
      </c>
      <c r="P418" s="83">
        <v>0</v>
      </c>
      <c r="Q418" s="83">
        <v>0</v>
      </c>
      <c r="R418" s="83">
        <v>0</v>
      </c>
      <c r="S418" s="83">
        <v>0</v>
      </c>
      <c r="T418" s="83">
        <v>0</v>
      </c>
      <c r="U418" s="82"/>
    </row>
    <row r="419" spans="1:21" ht="17.25" customHeight="1" x14ac:dyDescent="0.3">
      <c r="A419" s="66" t="s">
        <v>30</v>
      </c>
      <c r="C419" s="67"/>
      <c r="D419" s="77" t="str">
        <f t="shared" ref="D419:D420" si="277">D418</f>
        <v>E100020</v>
      </c>
      <c r="E419" s="77"/>
      <c r="F419" s="76"/>
      <c r="G419" s="76" t="str">
        <f>"""NAV Direct"",""CRONUS JetCorp USA"",""32"",""1"",""12464"""</f>
        <v>"NAV Direct","CRONUS JetCorp USA","32","1","12464"</v>
      </c>
      <c r="H419" s="86">
        <v>43471</v>
      </c>
      <c r="I419" s="85">
        <v>12464</v>
      </c>
      <c r="J419" s="84" t="str">
        <f>"Customer"</f>
        <v>Customer</v>
      </c>
      <c r="K419" s="84" t="str">
        <f>"C100041"</f>
        <v>C100041</v>
      </c>
      <c r="L419" s="84" t="str">
        <f>IF($J419="Customer",_xll.NL("first",$J419,"Name","No.","@@"&amp;$K419),"")</f>
        <v>Heimilisprydi</v>
      </c>
      <c r="M419" s="84" t="str">
        <f>""</f>
        <v/>
      </c>
      <c r="N419" s="84" t="str">
        <f>IF($J419="Item",_xll.NL("first",$J419,"Description","No.","@@"&amp;$K419),"")</f>
        <v/>
      </c>
      <c r="O419" s="83">
        <v>0</v>
      </c>
      <c r="P419" s="83">
        <v>-12</v>
      </c>
      <c r="Q419" s="83">
        <v>0</v>
      </c>
      <c r="R419" s="83">
        <v>0</v>
      </c>
      <c r="S419" s="83">
        <v>0</v>
      </c>
      <c r="T419" s="83">
        <v>0</v>
      </c>
      <c r="U419" s="82"/>
    </row>
    <row r="420" spans="1:21" ht="17.25" customHeight="1" x14ac:dyDescent="0.3">
      <c r="A420" s="66" t="s">
        <v>30</v>
      </c>
      <c r="C420" s="67"/>
      <c r="D420" s="77" t="str">
        <f t="shared" si="277"/>
        <v>E100020</v>
      </c>
      <c r="E420" s="77"/>
      <c r="F420" s="76"/>
      <c r="G420" s="76" t="str">
        <f>"""NAV Direct"",""CRONUS JetCorp USA"",""32"",""1"",""118082"""</f>
        <v>"NAV Direct","CRONUS JetCorp USA","32","1","118082"</v>
      </c>
      <c r="H420" s="86">
        <v>43471</v>
      </c>
      <c r="I420" s="85">
        <v>118082</v>
      </c>
      <c r="J420" s="84" t="str">
        <f>"Customer"</f>
        <v>Customer</v>
      </c>
      <c r="K420" s="84" t="str">
        <f>"C100060"</f>
        <v>C100060</v>
      </c>
      <c r="L420" s="84" t="str">
        <f>IF($J420="Customer",_xll.NL("first",$J420,"Name","No.","@@"&amp;$K420),"")</f>
        <v>MEMA Ljubljana d.o.o.</v>
      </c>
      <c r="M420" s="84" t="str">
        <f>""</f>
        <v/>
      </c>
      <c r="N420" s="84" t="str">
        <f>IF($J420="Item",_xll.NL("first",$J420,"Description","No.","@@"&amp;$K420),"")</f>
        <v/>
      </c>
      <c r="O420" s="83">
        <v>0</v>
      </c>
      <c r="P420" s="83">
        <v>-24</v>
      </c>
      <c r="Q420" s="83">
        <v>0</v>
      </c>
      <c r="R420" s="83">
        <v>0</v>
      </c>
      <c r="S420" s="83">
        <v>0</v>
      </c>
      <c r="T420" s="83">
        <v>0</v>
      </c>
      <c r="U420" s="82"/>
    </row>
    <row r="421" spans="1:21" ht="17.25" customHeight="1" x14ac:dyDescent="0.3">
      <c r="A421" s="66" t="s">
        <v>30</v>
      </c>
      <c r="C421" s="67"/>
      <c r="D421" s="77"/>
      <c r="E421" s="77"/>
      <c r="F421" s="76"/>
      <c r="G421" s="76"/>
      <c r="H421" s="76"/>
      <c r="I421" s="76"/>
      <c r="J421" s="76"/>
      <c r="K421" s="76"/>
      <c r="L421" s="76"/>
      <c r="M421" s="76"/>
      <c r="N421" s="76"/>
      <c r="O421" s="75"/>
      <c r="P421" s="75"/>
      <c r="Q421" s="75"/>
      <c r="R421" s="75"/>
      <c r="S421" s="75"/>
      <c r="T421" s="75"/>
      <c r="U421" s="74"/>
    </row>
    <row r="422" spans="1:21" ht="17.25" customHeight="1" x14ac:dyDescent="0.3">
      <c r="A422" s="66" t="s">
        <v>30</v>
      </c>
      <c r="C422" s="67"/>
      <c r="D422" s="77"/>
      <c r="E422" s="77" t="s">
        <v>31</v>
      </c>
      <c r="F422" s="76" t="s">
        <v>31</v>
      </c>
      <c r="G422" s="76" t="s">
        <v>31</v>
      </c>
      <c r="H422" s="76"/>
      <c r="I422" s="76"/>
      <c r="J422" s="76" t="s">
        <v>31</v>
      </c>
      <c r="K422" s="76" t="s">
        <v>31</v>
      </c>
      <c r="L422" s="76" t="s">
        <v>31</v>
      </c>
      <c r="M422" s="76" t="s">
        <v>31</v>
      </c>
      <c r="N422" s="76"/>
      <c r="U422" s="81"/>
    </row>
    <row r="423" spans="1:21" ht="20.25" customHeight="1" x14ac:dyDescent="0.35">
      <c r="A423" s="66" t="s">
        <v>30</v>
      </c>
      <c r="C423" s="67"/>
      <c r="D423" s="92" t="str">
        <f t="shared" ref="D423" si="278">E423</f>
        <v>E100021</v>
      </c>
      <c r="E423" s="91" t="str">
        <f>"E100021"</f>
        <v>E100021</v>
      </c>
      <c r="F423" s="89" t="str">
        <f>"Slim Travel Alarm"</f>
        <v>Slim Travel Alarm</v>
      </c>
      <c r="G423" s="89"/>
      <c r="H423" s="90" t="str">
        <f>"EA"</f>
        <v>EA</v>
      </c>
      <c r="I423" s="89"/>
      <c r="J423" s="89"/>
      <c r="K423" s="89"/>
      <c r="L423" s="89"/>
      <c r="M423" s="89"/>
      <c r="N423" s="89"/>
      <c r="O423" s="88">
        <f>(SUBTOTAL(9,O424:O427))</f>
        <v>600</v>
      </c>
      <c r="P423" s="88">
        <f>(SUBTOTAL(9,P424:P427))</f>
        <v>-120</v>
      </c>
      <c r="Q423" s="88">
        <f>(SUBTOTAL(9,Q424:Q427))</f>
        <v>0</v>
      </c>
      <c r="R423" s="88">
        <f>(SUBTOTAL(9,R424:R427))</f>
        <v>0</v>
      </c>
      <c r="S423" s="88">
        <f>(SUBTOTAL(9,S424:S427))</f>
        <v>0</v>
      </c>
      <c r="T423" s="88">
        <f>(SUBTOTAL(9,T424:T427))</f>
        <v>0</v>
      </c>
      <c r="U423" s="87">
        <f t="shared" ref="U423" si="279">SUBTOTAL(9,O424:T427)</f>
        <v>480</v>
      </c>
    </row>
    <row r="424" spans="1:21" ht="17.25" customHeight="1" x14ac:dyDescent="0.3">
      <c r="A424" s="66" t="s">
        <v>30</v>
      </c>
      <c r="C424" s="67"/>
      <c r="D424" s="77" t="str">
        <f t="shared" ref="D424" si="280">D423</f>
        <v>E100021</v>
      </c>
      <c r="E424" s="77"/>
      <c r="F424" s="76"/>
      <c r="G424" s="76" t="str">
        <f>"""NAV Direct"",""CRONUS JetCorp USA"",""32"",""1"",""167527"""</f>
        <v>"NAV Direct","CRONUS JetCorp USA","32","1","167527"</v>
      </c>
      <c r="H424" s="86">
        <v>43466</v>
      </c>
      <c r="I424" s="85">
        <v>167527</v>
      </c>
      <c r="J424" s="84" t="str">
        <f>"Vendor"</f>
        <v>Vendor</v>
      </c>
      <c r="K424" s="84" t="str">
        <f>"V100040"</f>
        <v>V100040</v>
      </c>
      <c r="L424" s="84" t="str">
        <f>IF($J424="Customer",_xll.NL("first",$J424,"Name","No.","@@"&amp;$K424),"")</f>
        <v/>
      </c>
      <c r="M424" s="84" t="str">
        <f>"Technische Betriebe Rotkreuz"</f>
        <v>Technische Betriebe Rotkreuz</v>
      </c>
      <c r="N424" s="84" t="str">
        <f>IF($J424="Item",_xll.NL("first",$J424,"Description","No.","@@"&amp;$K424),"")</f>
        <v/>
      </c>
      <c r="O424" s="83">
        <v>600</v>
      </c>
      <c r="P424" s="83">
        <v>0</v>
      </c>
      <c r="Q424" s="83">
        <v>0</v>
      </c>
      <c r="R424" s="83">
        <v>0</v>
      </c>
      <c r="S424" s="83">
        <v>0</v>
      </c>
      <c r="T424" s="83">
        <v>0</v>
      </c>
      <c r="U424" s="82"/>
    </row>
    <row r="425" spans="1:21" ht="17.25" customHeight="1" x14ac:dyDescent="0.3">
      <c r="A425" s="66" t="s">
        <v>30</v>
      </c>
      <c r="C425" s="67"/>
      <c r="D425" s="77" t="str">
        <f t="shared" ref="D425:D426" si="281">D424</f>
        <v>E100021</v>
      </c>
      <c r="E425" s="77"/>
      <c r="F425" s="76"/>
      <c r="G425" s="76" t="str">
        <f>"""NAV Direct"",""CRONUS JetCorp USA"",""32"",""1"",""12461"""</f>
        <v>"NAV Direct","CRONUS JetCorp USA","32","1","12461"</v>
      </c>
      <c r="H425" s="86">
        <v>43471</v>
      </c>
      <c r="I425" s="85">
        <v>12461</v>
      </c>
      <c r="J425" s="84" t="str">
        <f>"Customer"</f>
        <v>Customer</v>
      </c>
      <c r="K425" s="84" t="str">
        <f>"C100041"</f>
        <v>C100041</v>
      </c>
      <c r="L425" s="84" t="str">
        <f>IF($J425="Customer",_xll.NL("first",$J425,"Name","No.","@@"&amp;$K425),"")</f>
        <v>Heimilisprydi</v>
      </c>
      <c r="M425" s="84" t="str">
        <f>""</f>
        <v/>
      </c>
      <c r="N425" s="84" t="str">
        <f>IF($J425="Item",_xll.NL("first",$J425,"Description","No.","@@"&amp;$K425),"")</f>
        <v/>
      </c>
      <c r="O425" s="83">
        <v>0</v>
      </c>
      <c r="P425" s="83">
        <v>-144</v>
      </c>
      <c r="Q425" s="83">
        <v>0</v>
      </c>
      <c r="R425" s="83">
        <v>0</v>
      </c>
      <c r="S425" s="83">
        <v>0</v>
      </c>
      <c r="T425" s="83">
        <v>0</v>
      </c>
      <c r="U425" s="82"/>
    </row>
    <row r="426" spans="1:21" ht="17.25" customHeight="1" x14ac:dyDescent="0.3">
      <c r="A426" s="66" t="s">
        <v>30</v>
      </c>
      <c r="C426" s="67"/>
      <c r="D426" s="77" t="str">
        <f t="shared" si="281"/>
        <v>E100021</v>
      </c>
      <c r="E426" s="77"/>
      <c r="F426" s="76"/>
      <c r="G426" s="76" t="str">
        <f>"""NAV Direct"",""CRONUS JetCorp USA"",""32"",""1"",""159979"""</f>
        <v>"NAV Direct","CRONUS JetCorp USA","32","1","159979"</v>
      </c>
      <c r="H426" s="86">
        <v>43474</v>
      </c>
      <c r="I426" s="85">
        <v>159979</v>
      </c>
      <c r="J426" s="84" t="str">
        <f>"Customer"</f>
        <v>Customer</v>
      </c>
      <c r="K426" s="84" t="str">
        <f>"C100107"</f>
        <v>C100107</v>
      </c>
      <c r="L426" s="84" t="str">
        <f>IF($J426="Customer",_xll.NL("first",$J426,"Name","No.","@@"&amp;$K426),"")</f>
        <v>Lexitechnology</v>
      </c>
      <c r="M426" s="84" t="str">
        <f>""</f>
        <v/>
      </c>
      <c r="N426" s="84" t="str">
        <f>IF($J426="Item",_xll.NL("first",$J426,"Description","No.","@@"&amp;$K426),"")</f>
        <v/>
      </c>
      <c r="O426" s="83">
        <v>0</v>
      </c>
      <c r="P426" s="83">
        <v>24</v>
      </c>
      <c r="Q426" s="83">
        <v>0</v>
      </c>
      <c r="R426" s="83">
        <v>0</v>
      </c>
      <c r="S426" s="83">
        <v>0</v>
      </c>
      <c r="T426" s="83">
        <v>0</v>
      </c>
      <c r="U426" s="82"/>
    </row>
    <row r="427" spans="1:21" ht="17.25" customHeight="1" x14ac:dyDescent="0.3">
      <c r="A427" s="66" t="s">
        <v>30</v>
      </c>
      <c r="C427" s="67"/>
      <c r="D427" s="77"/>
      <c r="E427" s="77"/>
      <c r="F427" s="76"/>
      <c r="G427" s="76"/>
      <c r="H427" s="76"/>
      <c r="I427" s="76"/>
      <c r="J427" s="76"/>
      <c r="K427" s="76"/>
      <c r="L427" s="76"/>
      <c r="M427" s="76"/>
      <c r="N427" s="76"/>
      <c r="O427" s="75"/>
      <c r="P427" s="75"/>
      <c r="Q427" s="75"/>
      <c r="R427" s="75"/>
      <c r="S427" s="75"/>
      <c r="T427" s="75"/>
      <c r="U427" s="74"/>
    </row>
    <row r="428" spans="1:21" ht="17.25" customHeight="1" x14ac:dyDescent="0.3">
      <c r="A428" s="66" t="s">
        <v>30</v>
      </c>
      <c r="C428" s="67"/>
      <c r="D428" s="77"/>
      <c r="E428" s="77" t="s">
        <v>31</v>
      </c>
      <c r="F428" s="76" t="s">
        <v>31</v>
      </c>
      <c r="G428" s="76" t="s">
        <v>31</v>
      </c>
      <c r="H428" s="76"/>
      <c r="I428" s="76"/>
      <c r="J428" s="76" t="s">
        <v>31</v>
      </c>
      <c r="K428" s="76" t="s">
        <v>31</v>
      </c>
      <c r="L428" s="76" t="s">
        <v>31</v>
      </c>
      <c r="M428" s="76" t="s">
        <v>31</v>
      </c>
      <c r="N428" s="76"/>
      <c r="U428" s="81"/>
    </row>
    <row r="429" spans="1:21" ht="20.25" customHeight="1" x14ac:dyDescent="0.35">
      <c r="A429" s="66" t="s">
        <v>30</v>
      </c>
      <c r="C429" s="67"/>
      <c r="D429" s="92" t="str">
        <f t="shared" ref="D429" si="282">E429</f>
        <v>E100022</v>
      </c>
      <c r="E429" s="91" t="str">
        <f>"E100022"</f>
        <v>E100022</v>
      </c>
      <c r="F429" s="89" t="str">
        <f>"Wide Screen Alarm Clock"</f>
        <v>Wide Screen Alarm Clock</v>
      </c>
      <c r="G429" s="89"/>
      <c r="H429" s="90" t="str">
        <f>"EA"</f>
        <v>EA</v>
      </c>
      <c r="I429" s="89"/>
      <c r="J429" s="89"/>
      <c r="K429" s="89"/>
      <c r="L429" s="89"/>
      <c r="M429" s="89"/>
      <c r="N429" s="89"/>
      <c r="O429" s="88">
        <f>(SUBTOTAL(9,O430:O434))</f>
        <v>800</v>
      </c>
      <c r="P429" s="88">
        <f>(SUBTOTAL(9,P430:P434))</f>
        <v>-440</v>
      </c>
      <c r="Q429" s="88">
        <f>(SUBTOTAL(9,Q430:Q434))</f>
        <v>0</v>
      </c>
      <c r="R429" s="88">
        <f>(SUBTOTAL(9,R430:R434))</f>
        <v>0</v>
      </c>
      <c r="S429" s="88">
        <f>(SUBTOTAL(9,S430:S434))</f>
        <v>0</v>
      </c>
      <c r="T429" s="88">
        <f>(SUBTOTAL(9,T430:T434))</f>
        <v>0</v>
      </c>
      <c r="U429" s="87">
        <f t="shared" ref="U429" si="283">SUBTOTAL(9,O430:T434)</f>
        <v>360</v>
      </c>
    </row>
    <row r="430" spans="1:21" ht="17.25" customHeight="1" x14ac:dyDescent="0.3">
      <c r="A430" s="66" t="s">
        <v>30</v>
      </c>
      <c r="C430" s="67"/>
      <c r="D430" s="77" t="str">
        <f t="shared" ref="D430" si="284">D429</f>
        <v>E100022</v>
      </c>
      <c r="E430" s="77"/>
      <c r="F430" s="76"/>
      <c r="G430" s="76" t="str">
        <f>"""NAV Direct"",""CRONUS JetCorp USA"",""32"",""1"",""167526"""</f>
        <v>"NAV Direct","CRONUS JetCorp USA","32","1","167526"</v>
      </c>
      <c r="H430" s="86">
        <v>43466</v>
      </c>
      <c r="I430" s="85">
        <v>167526</v>
      </c>
      <c r="J430" s="84" t="str">
        <f>"Vendor"</f>
        <v>Vendor</v>
      </c>
      <c r="K430" s="84" t="str">
        <f>"V100040"</f>
        <v>V100040</v>
      </c>
      <c r="L430" s="84" t="str">
        <f>IF($J430="Customer",_xll.NL("first",$J430,"Name","No.","@@"&amp;$K430),"")</f>
        <v/>
      </c>
      <c r="M430" s="84" t="str">
        <f>"Technische Betriebe Rotkreuz"</f>
        <v>Technische Betriebe Rotkreuz</v>
      </c>
      <c r="N430" s="84" t="str">
        <f>IF($J430="Item",_xll.NL("first",$J430,"Description","No.","@@"&amp;$K430),"")</f>
        <v/>
      </c>
      <c r="O430" s="83">
        <v>800</v>
      </c>
      <c r="P430" s="83">
        <v>0</v>
      </c>
      <c r="Q430" s="83">
        <v>0</v>
      </c>
      <c r="R430" s="83">
        <v>0</v>
      </c>
      <c r="S430" s="83">
        <v>0</v>
      </c>
      <c r="T430" s="83">
        <v>0</v>
      </c>
      <c r="U430" s="82"/>
    </row>
    <row r="431" spans="1:21" ht="17.25" customHeight="1" x14ac:dyDescent="0.3">
      <c r="A431" s="66" t="s">
        <v>30</v>
      </c>
      <c r="C431" s="67"/>
      <c r="D431" s="77" t="str">
        <f t="shared" ref="D431:D433" si="285">D430</f>
        <v>E100022</v>
      </c>
      <c r="E431" s="77"/>
      <c r="F431" s="76"/>
      <c r="G431" s="76" t="str">
        <f>"""NAV Direct"",""CRONUS JetCorp USA"",""32"",""1"",""12452"""</f>
        <v>"NAV Direct","CRONUS JetCorp USA","32","1","12452"</v>
      </c>
      <c r="H431" s="86">
        <v>43469</v>
      </c>
      <c r="I431" s="85">
        <v>12452</v>
      </c>
      <c r="J431" s="84" t="str">
        <f>"Customer"</f>
        <v>Customer</v>
      </c>
      <c r="K431" s="84" t="str">
        <f>"C100064"</f>
        <v>C100064</v>
      </c>
      <c r="L431" s="84" t="str">
        <f>IF($J431="Customer",_xll.NL("first",$J431,"Name","No.","@@"&amp;$K431),"")</f>
        <v>Möbel Siegfried</v>
      </c>
      <c r="M431" s="84" t="str">
        <f>""</f>
        <v/>
      </c>
      <c r="N431" s="84" t="str">
        <f>IF($J431="Item",_xll.NL("first",$J431,"Description","No.","@@"&amp;$K431),"")</f>
        <v/>
      </c>
      <c r="O431" s="83">
        <v>0</v>
      </c>
      <c r="P431" s="83">
        <v>-432</v>
      </c>
      <c r="Q431" s="83">
        <v>0</v>
      </c>
      <c r="R431" s="83">
        <v>0</v>
      </c>
      <c r="S431" s="83">
        <v>0</v>
      </c>
      <c r="T431" s="83">
        <v>0</v>
      </c>
      <c r="U431" s="82"/>
    </row>
    <row r="432" spans="1:21" ht="17.25" customHeight="1" x14ac:dyDescent="0.3">
      <c r="A432" s="66" t="s">
        <v>30</v>
      </c>
      <c r="C432" s="67"/>
      <c r="D432" s="77" t="str">
        <f t="shared" si="285"/>
        <v>E100022</v>
      </c>
      <c r="E432" s="77"/>
      <c r="F432" s="76"/>
      <c r="G432" s="76" t="str">
        <f>"""NAV Direct"",""CRONUS JetCorp USA"",""32"",""1"",""120185"""</f>
        <v>"NAV Direct","CRONUS JetCorp USA","32","1","120185"</v>
      </c>
      <c r="H432" s="86">
        <v>43469</v>
      </c>
      <c r="I432" s="85">
        <v>120185</v>
      </c>
      <c r="J432" s="84" t="str">
        <f>"Customer"</f>
        <v>Customer</v>
      </c>
      <c r="K432" s="84" t="str">
        <f>"C100134"</f>
        <v>C100134</v>
      </c>
      <c r="L432" s="84" t="str">
        <f>IF($J432="Customer",_xll.NL("first",$J432,"Name","No.","@@"&amp;$K432),"")</f>
        <v>Iber Tech</v>
      </c>
      <c r="M432" s="84" t="str">
        <f>""</f>
        <v/>
      </c>
      <c r="N432" s="84" t="str">
        <f>IF($J432="Item",_xll.NL("first",$J432,"Description","No.","@@"&amp;$K432),"")</f>
        <v/>
      </c>
      <c r="O432" s="83">
        <v>0</v>
      </c>
      <c r="P432" s="83">
        <v>-7</v>
      </c>
      <c r="Q432" s="83">
        <v>0</v>
      </c>
      <c r="R432" s="83">
        <v>0</v>
      </c>
      <c r="S432" s="83">
        <v>0</v>
      </c>
      <c r="T432" s="83">
        <v>0</v>
      </c>
      <c r="U432" s="82"/>
    </row>
    <row r="433" spans="1:21" ht="17.25" customHeight="1" x14ac:dyDescent="0.3">
      <c r="A433" s="66" t="s">
        <v>30</v>
      </c>
      <c r="C433" s="67"/>
      <c r="D433" s="77" t="str">
        <f t="shared" si="285"/>
        <v>E100022</v>
      </c>
      <c r="E433" s="77"/>
      <c r="F433" s="76"/>
      <c r="G433" s="76" t="str">
        <f>"""NAV Direct"",""CRONUS JetCorp USA"",""32"",""1"",""118087"""</f>
        <v>"NAV Direct","CRONUS JetCorp USA","32","1","118087"</v>
      </c>
      <c r="H433" s="86">
        <v>43471</v>
      </c>
      <c r="I433" s="85">
        <v>118087</v>
      </c>
      <c r="J433" s="84" t="str">
        <f>"Customer"</f>
        <v>Customer</v>
      </c>
      <c r="K433" s="84" t="str">
        <f>"C100060"</f>
        <v>C100060</v>
      </c>
      <c r="L433" s="84" t="str">
        <f>IF($J433="Customer",_xll.NL("first",$J433,"Name","No.","@@"&amp;$K433),"")</f>
        <v>MEMA Ljubljana d.o.o.</v>
      </c>
      <c r="M433" s="84" t="str">
        <f>""</f>
        <v/>
      </c>
      <c r="N433" s="84" t="str">
        <f>IF($J433="Item",_xll.NL("first",$J433,"Description","No.","@@"&amp;$K433),"")</f>
        <v/>
      </c>
      <c r="O433" s="83">
        <v>0</v>
      </c>
      <c r="P433" s="83">
        <v>-1</v>
      </c>
      <c r="Q433" s="83">
        <v>0</v>
      </c>
      <c r="R433" s="83">
        <v>0</v>
      </c>
      <c r="S433" s="83">
        <v>0</v>
      </c>
      <c r="T433" s="83">
        <v>0</v>
      </c>
      <c r="U433" s="82"/>
    </row>
    <row r="434" spans="1:21" ht="17.25" customHeight="1" x14ac:dyDescent="0.3">
      <c r="A434" s="66" t="s">
        <v>30</v>
      </c>
      <c r="C434" s="67"/>
      <c r="D434" s="77"/>
      <c r="E434" s="77"/>
      <c r="F434" s="76"/>
      <c r="G434" s="76"/>
      <c r="H434" s="76"/>
      <c r="I434" s="76"/>
      <c r="J434" s="76"/>
      <c r="K434" s="76"/>
      <c r="L434" s="76"/>
      <c r="M434" s="76"/>
      <c r="N434" s="76"/>
      <c r="O434" s="75"/>
      <c r="P434" s="75"/>
      <c r="Q434" s="75"/>
      <c r="R434" s="75"/>
      <c r="S434" s="75"/>
      <c r="T434" s="75"/>
      <c r="U434" s="74"/>
    </row>
    <row r="435" spans="1:21" ht="17.25" customHeight="1" x14ac:dyDescent="0.3">
      <c r="A435" s="66" t="s">
        <v>30</v>
      </c>
      <c r="C435" s="67"/>
      <c r="D435" s="77"/>
      <c r="E435" s="77" t="s">
        <v>31</v>
      </c>
      <c r="F435" s="76" t="s">
        <v>31</v>
      </c>
      <c r="G435" s="76" t="s">
        <v>31</v>
      </c>
      <c r="H435" s="76"/>
      <c r="I435" s="76"/>
      <c r="J435" s="76" t="s">
        <v>31</v>
      </c>
      <c r="K435" s="76" t="s">
        <v>31</v>
      </c>
      <c r="L435" s="76" t="s">
        <v>31</v>
      </c>
      <c r="M435" s="76" t="s">
        <v>31</v>
      </c>
      <c r="N435" s="76"/>
      <c r="U435" s="81"/>
    </row>
    <row r="436" spans="1:21" ht="20.25" customHeight="1" x14ac:dyDescent="0.35">
      <c r="A436" s="66" t="s">
        <v>30</v>
      </c>
      <c r="C436" s="67"/>
      <c r="D436" s="92" t="str">
        <f t="shared" ref="D436" si="286">E436</f>
        <v>E100023</v>
      </c>
      <c r="E436" s="91" t="str">
        <f>"E100023"</f>
        <v>E100023</v>
      </c>
      <c r="F436" s="89" t="str">
        <f>"Sport Earbuds"</f>
        <v>Sport Earbuds</v>
      </c>
      <c r="G436" s="89"/>
      <c r="H436" s="90" t="str">
        <f>"EA"</f>
        <v>EA</v>
      </c>
      <c r="I436" s="89"/>
      <c r="J436" s="89"/>
      <c r="K436" s="89"/>
      <c r="L436" s="89"/>
      <c r="M436" s="89"/>
      <c r="N436" s="89"/>
      <c r="O436" s="88">
        <f>(SUBTOTAL(9,O437:O438))</f>
        <v>0</v>
      </c>
      <c r="P436" s="88">
        <f>(SUBTOTAL(9,P437:P438))</f>
        <v>-144</v>
      </c>
      <c r="Q436" s="88">
        <f>(SUBTOTAL(9,Q437:Q438))</f>
        <v>0</v>
      </c>
      <c r="R436" s="88">
        <f>(SUBTOTAL(9,R437:R438))</f>
        <v>0</v>
      </c>
      <c r="S436" s="88">
        <f>(SUBTOTAL(9,S437:S438))</f>
        <v>0</v>
      </c>
      <c r="T436" s="88">
        <f>(SUBTOTAL(9,T437:T438))</f>
        <v>0</v>
      </c>
      <c r="U436" s="87">
        <f t="shared" ref="U436" si="287">SUBTOTAL(9,O437:T438)</f>
        <v>-144</v>
      </c>
    </row>
    <row r="437" spans="1:21" ht="17.25" customHeight="1" x14ac:dyDescent="0.3">
      <c r="A437" s="66" t="s">
        <v>30</v>
      </c>
      <c r="C437" s="67"/>
      <c r="D437" s="77" t="str">
        <f t="shared" ref="D437" si="288">D436</f>
        <v>E100023</v>
      </c>
      <c r="E437" s="77"/>
      <c r="F437" s="76"/>
      <c r="G437" s="76" t="str">
        <f>"""NAV Direct"",""CRONUS JetCorp USA"",""32"",""1"",""78861"""</f>
        <v>"NAV Direct","CRONUS JetCorp USA","32","1","78861"</v>
      </c>
      <c r="H437" s="86">
        <v>43476</v>
      </c>
      <c r="I437" s="85">
        <v>78861</v>
      </c>
      <c r="J437" s="84" t="str">
        <f>"Customer"</f>
        <v>Customer</v>
      </c>
      <c r="K437" s="84" t="str">
        <f>"C100117"</f>
        <v>C100117</v>
      </c>
      <c r="L437" s="84" t="str">
        <f>IF($J437="Customer",_xll.NL("first",$J437,"Name","No.","@@"&amp;$K437),"")</f>
        <v xml:space="preserve">Tintax </v>
      </c>
      <c r="M437" s="84" t="str">
        <f>""</f>
        <v/>
      </c>
      <c r="N437" s="84" t="str">
        <f>IF($J437="Item",_xll.NL("first",$J437,"Description","No.","@@"&amp;$K437),"")</f>
        <v/>
      </c>
      <c r="O437" s="83">
        <v>0</v>
      </c>
      <c r="P437" s="83">
        <v>-144</v>
      </c>
      <c r="Q437" s="83">
        <v>0</v>
      </c>
      <c r="R437" s="83">
        <v>0</v>
      </c>
      <c r="S437" s="83">
        <v>0</v>
      </c>
      <c r="T437" s="83">
        <v>0</v>
      </c>
      <c r="U437" s="82"/>
    </row>
    <row r="438" spans="1:21" ht="17.25" customHeight="1" x14ac:dyDescent="0.3">
      <c r="A438" s="66" t="s">
        <v>30</v>
      </c>
      <c r="C438" s="67"/>
      <c r="D438" s="77"/>
      <c r="E438" s="77"/>
      <c r="F438" s="76"/>
      <c r="G438" s="76"/>
      <c r="H438" s="76"/>
      <c r="I438" s="76"/>
      <c r="J438" s="76"/>
      <c r="K438" s="76"/>
      <c r="L438" s="76"/>
      <c r="M438" s="76"/>
      <c r="N438" s="76"/>
      <c r="O438" s="75"/>
      <c r="P438" s="75"/>
      <c r="Q438" s="75"/>
      <c r="R438" s="75"/>
      <c r="S438" s="75"/>
      <c r="T438" s="75"/>
      <c r="U438" s="74"/>
    </row>
    <row r="439" spans="1:21" ht="17.25" customHeight="1" x14ac:dyDescent="0.3">
      <c r="A439" s="66" t="s">
        <v>30</v>
      </c>
      <c r="C439" s="67"/>
      <c r="D439" s="77"/>
      <c r="E439" s="77" t="s">
        <v>31</v>
      </c>
      <c r="F439" s="76" t="s">
        <v>31</v>
      </c>
      <c r="G439" s="76" t="s">
        <v>31</v>
      </c>
      <c r="H439" s="76"/>
      <c r="I439" s="76"/>
      <c r="J439" s="76" t="s">
        <v>31</v>
      </c>
      <c r="K439" s="76" t="s">
        <v>31</v>
      </c>
      <c r="L439" s="76" t="s">
        <v>31</v>
      </c>
      <c r="M439" s="76" t="s">
        <v>31</v>
      </c>
      <c r="N439" s="76"/>
      <c r="U439" s="81"/>
    </row>
    <row r="440" spans="1:21" ht="20.25" customHeight="1" x14ac:dyDescent="0.35">
      <c r="A440" s="66" t="s">
        <v>30</v>
      </c>
      <c r="C440" s="67"/>
      <c r="D440" s="92" t="str">
        <f t="shared" ref="D440" si="289">E440</f>
        <v>E100024</v>
      </c>
      <c r="E440" s="91" t="str">
        <f>"E100024"</f>
        <v>E100024</v>
      </c>
      <c r="F440" s="89" t="str">
        <f>"Arch Calculator"</f>
        <v>Arch Calculator</v>
      </c>
      <c r="G440" s="89"/>
      <c r="H440" s="90" t="str">
        <f>"EA"</f>
        <v>EA</v>
      </c>
      <c r="I440" s="89"/>
      <c r="J440" s="89"/>
      <c r="K440" s="89"/>
      <c r="L440" s="89"/>
      <c r="M440" s="89"/>
      <c r="N440" s="89"/>
      <c r="O440" s="88">
        <f>(SUBTOTAL(9,O441:O444))</f>
        <v>499.99999999999994</v>
      </c>
      <c r="P440" s="88">
        <f>(SUBTOTAL(9,P441:P444))</f>
        <v>-192</v>
      </c>
      <c r="Q440" s="88">
        <f>(SUBTOTAL(9,Q441:Q444))</f>
        <v>0</v>
      </c>
      <c r="R440" s="88">
        <f>(SUBTOTAL(9,R441:R444))</f>
        <v>0</v>
      </c>
      <c r="S440" s="88">
        <f>(SUBTOTAL(9,S441:S444))</f>
        <v>0</v>
      </c>
      <c r="T440" s="88">
        <f>(SUBTOTAL(9,T441:T444))</f>
        <v>0</v>
      </c>
      <c r="U440" s="87">
        <f t="shared" ref="U440" si="290">SUBTOTAL(9,O441:T444)</f>
        <v>307.99999999999994</v>
      </c>
    </row>
    <row r="441" spans="1:21" ht="17.25" customHeight="1" x14ac:dyDescent="0.3">
      <c r="A441" s="66" t="s">
        <v>30</v>
      </c>
      <c r="C441" s="67"/>
      <c r="D441" s="77" t="str">
        <f t="shared" ref="D441" si="291">D440</f>
        <v>E100024</v>
      </c>
      <c r="E441" s="77"/>
      <c r="F441" s="76"/>
      <c r="G441" s="76" t="str">
        <f>"""NAV Direct"",""CRONUS JetCorp USA"",""32"",""1"",""168319"""</f>
        <v>"NAV Direct","CRONUS JetCorp USA","32","1","168319"</v>
      </c>
      <c r="H441" s="86">
        <v>43466</v>
      </c>
      <c r="I441" s="85">
        <v>168319</v>
      </c>
      <c r="J441" s="84" t="str">
        <f>"Vendor"</f>
        <v>Vendor</v>
      </c>
      <c r="K441" s="84" t="str">
        <f>"V100040"</f>
        <v>V100040</v>
      </c>
      <c r="L441" s="84" t="str">
        <f>IF($J441="Customer",_xll.NL("first",$J441,"Name","No.","@@"&amp;$K441),"")</f>
        <v/>
      </c>
      <c r="M441" s="84" t="str">
        <f>"Technische Betriebe Rotkreuz"</f>
        <v>Technische Betriebe Rotkreuz</v>
      </c>
      <c r="N441" s="84" t="str">
        <f>IF($J441="Item",_xll.NL("first",$J441,"Description","No.","@@"&amp;$K441),"")</f>
        <v/>
      </c>
      <c r="O441" s="83">
        <v>499.99999999999994</v>
      </c>
      <c r="P441" s="83">
        <v>0</v>
      </c>
      <c r="Q441" s="83">
        <v>0</v>
      </c>
      <c r="R441" s="83">
        <v>0</v>
      </c>
      <c r="S441" s="83">
        <v>0</v>
      </c>
      <c r="T441" s="83">
        <v>0</v>
      </c>
      <c r="U441" s="82"/>
    </row>
    <row r="442" spans="1:21" ht="17.25" customHeight="1" x14ac:dyDescent="0.3">
      <c r="A442" s="66" t="s">
        <v>30</v>
      </c>
      <c r="C442" s="67"/>
      <c r="D442" s="77" t="str">
        <f t="shared" ref="D442:D443" si="292">D441</f>
        <v>E100024</v>
      </c>
      <c r="E442" s="77"/>
      <c r="F442" s="76"/>
      <c r="G442" s="76" t="str">
        <f>"""NAV Direct"",""CRONUS JetCorp USA"",""32"",""1"",""78897"""</f>
        <v>"NAV Direct","CRONUS JetCorp USA","32","1","78897"</v>
      </c>
      <c r="H442" s="86">
        <v>43475</v>
      </c>
      <c r="I442" s="85">
        <v>78897</v>
      </c>
      <c r="J442" s="84" t="str">
        <f>"Customer"</f>
        <v>Customer</v>
      </c>
      <c r="K442" s="84" t="str">
        <f>"C100128"</f>
        <v>C100128</v>
      </c>
      <c r="L442" s="84" t="str">
        <f>IF($J442="Customer",_xll.NL("first",$J442,"Name","No.","@@"&amp;$K442),"")</f>
        <v>Solar Tech</v>
      </c>
      <c r="M442" s="84" t="str">
        <f>""</f>
        <v/>
      </c>
      <c r="N442" s="84" t="str">
        <f>IF($J442="Item",_xll.NL("first",$J442,"Description","No.","@@"&amp;$K442),"")</f>
        <v/>
      </c>
      <c r="O442" s="83">
        <v>0</v>
      </c>
      <c r="P442" s="83">
        <v>-144</v>
      </c>
      <c r="Q442" s="83">
        <v>0</v>
      </c>
      <c r="R442" s="83">
        <v>0</v>
      </c>
      <c r="S442" s="83">
        <v>0</v>
      </c>
      <c r="T442" s="83">
        <v>0</v>
      </c>
      <c r="U442" s="82"/>
    </row>
    <row r="443" spans="1:21" ht="17.25" customHeight="1" x14ac:dyDescent="0.3">
      <c r="A443" s="66" t="s">
        <v>30</v>
      </c>
      <c r="C443" s="67"/>
      <c r="D443" s="77" t="str">
        <f t="shared" si="292"/>
        <v>E100024</v>
      </c>
      <c r="E443" s="77"/>
      <c r="F443" s="76"/>
      <c r="G443" s="76" t="str">
        <f>"""NAV Direct"",""CRONUS JetCorp USA"",""32"",""1"",""78863"""</f>
        <v>"NAV Direct","CRONUS JetCorp USA","32","1","78863"</v>
      </c>
      <c r="H443" s="86">
        <v>43476</v>
      </c>
      <c r="I443" s="85">
        <v>78863</v>
      </c>
      <c r="J443" s="84" t="str">
        <f>"Customer"</f>
        <v>Customer</v>
      </c>
      <c r="K443" s="84" t="str">
        <f>"C100117"</f>
        <v>C100117</v>
      </c>
      <c r="L443" s="84" t="str">
        <f>IF($J443="Customer",_xll.NL("first",$J443,"Name","No.","@@"&amp;$K443),"")</f>
        <v xml:space="preserve">Tintax </v>
      </c>
      <c r="M443" s="84" t="str">
        <f>""</f>
        <v/>
      </c>
      <c r="N443" s="84" t="str">
        <f>IF($J443="Item",_xll.NL("first",$J443,"Description","No.","@@"&amp;$K443),"")</f>
        <v/>
      </c>
      <c r="O443" s="83">
        <v>0</v>
      </c>
      <c r="P443" s="83">
        <v>-48</v>
      </c>
      <c r="Q443" s="83">
        <v>0</v>
      </c>
      <c r="R443" s="83">
        <v>0</v>
      </c>
      <c r="S443" s="83">
        <v>0</v>
      </c>
      <c r="T443" s="83">
        <v>0</v>
      </c>
      <c r="U443" s="82"/>
    </row>
    <row r="444" spans="1:21" ht="17.25" customHeight="1" x14ac:dyDescent="0.3">
      <c r="A444" s="66" t="s">
        <v>30</v>
      </c>
      <c r="C444" s="67"/>
      <c r="D444" s="77"/>
      <c r="E444" s="77"/>
      <c r="F444" s="76"/>
      <c r="G444" s="76"/>
      <c r="H444" s="76"/>
      <c r="I444" s="76"/>
      <c r="J444" s="76"/>
      <c r="K444" s="76"/>
      <c r="L444" s="76"/>
      <c r="M444" s="76"/>
      <c r="N444" s="76"/>
      <c r="O444" s="75"/>
      <c r="P444" s="75"/>
      <c r="Q444" s="75"/>
      <c r="R444" s="75"/>
      <c r="S444" s="75"/>
      <c r="T444" s="75"/>
      <c r="U444" s="74"/>
    </row>
    <row r="445" spans="1:21" ht="17.25" customHeight="1" x14ac:dyDescent="0.3">
      <c r="A445" s="66" t="s">
        <v>30</v>
      </c>
      <c r="C445" s="67"/>
      <c r="D445" s="77"/>
      <c r="E445" s="77" t="s">
        <v>31</v>
      </c>
      <c r="F445" s="76" t="s">
        <v>31</v>
      </c>
      <c r="G445" s="76" t="s">
        <v>31</v>
      </c>
      <c r="H445" s="76"/>
      <c r="I445" s="76"/>
      <c r="J445" s="76" t="s">
        <v>31</v>
      </c>
      <c r="K445" s="76" t="s">
        <v>31</v>
      </c>
      <c r="L445" s="76" t="s">
        <v>31</v>
      </c>
      <c r="M445" s="76" t="s">
        <v>31</v>
      </c>
      <c r="N445" s="76"/>
      <c r="U445" s="81"/>
    </row>
    <row r="446" spans="1:21" ht="20.25" customHeight="1" x14ac:dyDescent="0.35">
      <c r="A446" s="66" t="s">
        <v>30</v>
      </c>
      <c r="C446" s="67"/>
      <c r="D446" s="92" t="str">
        <f t="shared" ref="D446" si="293">E446</f>
        <v>E100025</v>
      </c>
      <c r="E446" s="91" t="str">
        <f>"E100025"</f>
        <v>E100025</v>
      </c>
      <c r="F446" s="89" t="str">
        <f>"Calc-U-Note"</f>
        <v>Calc-U-Note</v>
      </c>
      <c r="G446" s="89"/>
      <c r="H446" s="90" t="str">
        <f>"EA"</f>
        <v>EA</v>
      </c>
      <c r="I446" s="89"/>
      <c r="J446" s="89"/>
      <c r="K446" s="89"/>
      <c r="L446" s="89"/>
      <c r="M446" s="89"/>
      <c r="N446" s="89"/>
      <c r="O446" s="88">
        <f>(SUBTOTAL(9,O447:O448))</f>
        <v>499.99999999999994</v>
      </c>
      <c r="P446" s="88">
        <f>(SUBTOTAL(9,P447:P448))</f>
        <v>0</v>
      </c>
      <c r="Q446" s="88">
        <f>(SUBTOTAL(9,Q447:Q448))</f>
        <v>0</v>
      </c>
      <c r="R446" s="88">
        <f>(SUBTOTAL(9,R447:R448))</f>
        <v>0</v>
      </c>
      <c r="S446" s="88">
        <f>(SUBTOTAL(9,S447:S448))</f>
        <v>0</v>
      </c>
      <c r="T446" s="88">
        <f>(SUBTOTAL(9,T447:T448))</f>
        <v>0</v>
      </c>
      <c r="U446" s="87">
        <f t="shared" ref="U446" si="294">SUBTOTAL(9,O447:T448)</f>
        <v>499.99999999999994</v>
      </c>
    </row>
    <row r="447" spans="1:21" ht="17.25" customHeight="1" x14ac:dyDescent="0.3">
      <c r="A447" s="66" t="s">
        <v>30</v>
      </c>
      <c r="C447" s="67"/>
      <c r="D447" s="77" t="str">
        <f t="shared" ref="D447" si="295">D446</f>
        <v>E100025</v>
      </c>
      <c r="E447" s="77"/>
      <c r="F447" s="76"/>
      <c r="G447" s="76" t="str">
        <f>"""NAV Direct"",""CRONUS JetCorp USA"",""32"",""1"",""168318"""</f>
        <v>"NAV Direct","CRONUS JetCorp USA","32","1","168318"</v>
      </c>
      <c r="H447" s="86">
        <v>43466</v>
      </c>
      <c r="I447" s="85">
        <v>168318</v>
      </c>
      <c r="J447" s="84" t="str">
        <f>"Vendor"</f>
        <v>Vendor</v>
      </c>
      <c r="K447" s="84" t="str">
        <f>"V100040"</f>
        <v>V100040</v>
      </c>
      <c r="L447" s="84" t="str">
        <f>IF($J447="Customer",_xll.NL("first",$J447,"Name","No.","@@"&amp;$K447),"")</f>
        <v/>
      </c>
      <c r="M447" s="84" t="str">
        <f>"Technische Betriebe Rotkreuz"</f>
        <v>Technische Betriebe Rotkreuz</v>
      </c>
      <c r="N447" s="84" t="str">
        <f>IF($J447="Item",_xll.NL("first",$J447,"Description","No.","@@"&amp;$K447),"")</f>
        <v/>
      </c>
      <c r="O447" s="83">
        <v>499.99999999999994</v>
      </c>
      <c r="P447" s="83">
        <v>0</v>
      </c>
      <c r="Q447" s="83">
        <v>0</v>
      </c>
      <c r="R447" s="83">
        <v>0</v>
      </c>
      <c r="S447" s="83">
        <v>0</v>
      </c>
      <c r="T447" s="83">
        <v>0</v>
      </c>
      <c r="U447" s="82"/>
    </row>
    <row r="448" spans="1:21" ht="17.25" customHeight="1" x14ac:dyDescent="0.3">
      <c r="A448" s="66" t="s">
        <v>30</v>
      </c>
      <c r="C448" s="67"/>
      <c r="D448" s="77"/>
      <c r="E448" s="77"/>
      <c r="F448" s="76"/>
      <c r="G448" s="76"/>
      <c r="H448" s="76"/>
      <c r="I448" s="76"/>
      <c r="J448" s="76"/>
      <c r="K448" s="76"/>
      <c r="L448" s="76"/>
      <c r="M448" s="76"/>
      <c r="N448" s="76"/>
      <c r="O448" s="75"/>
      <c r="P448" s="75"/>
      <c r="Q448" s="75"/>
      <c r="R448" s="75"/>
      <c r="S448" s="75"/>
      <c r="T448" s="75"/>
      <c r="U448" s="74"/>
    </row>
    <row r="449" spans="1:21" ht="17.25" customHeight="1" x14ac:dyDescent="0.3">
      <c r="A449" s="66" t="s">
        <v>30</v>
      </c>
      <c r="C449" s="67"/>
      <c r="D449" s="77"/>
      <c r="E449" s="77" t="s">
        <v>31</v>
      </c>
      <c r="F449" s="76" t="s">
        <v>31</v>
      </c>
      <c r="G449" s="76" t="s">
        <v>31</v>
      </c>
      <c r="H449" s="76"/>
      <c r="I449" s="76"/>
      <c r="J449" s="76" t="s">
        <v>31</v>
      </c>
      <c r="K449" s="76" t="s">
        <v>31</v>
      </c>
      <c r="L449" s="76" t="s">
        <v>31</v>
      </c>
      <c r="M449" s="76" t="s">
        <v>31</v>
      </c>
      <c r="N449" s="76"/>
      <c r="U449" s="81"/>
    </row>
    <row r="450" spans="1:21" ht="20.25" customHeight="1" x14ac:dyDescent="0.35">
      <c r="A450" s="66" t="s">
        <v>30</v>
      </c>
      <c r="C450" s="67"/>
      <c r="D450" s="92" t="str">
        <f t="shared" ref="D450" si="296">E450</f>
        <v>E100026</v>
      </c>
      <c r="E450" s="91" t="str">
        <f>"E100026"</f>
        <v>E100026</v>
      </c>
      <c r="F450" s="89" t="str">
        <f>"Desk Calculator"</f>
        <v>Desk Calculator</v>
      </c>
      <c r="G450" s="89"/>
      <c r="H450" s="90" t="str">
        <f>"EA"</f>
        <v>EA</v>
      </c>
      <c r="I450" s="89"/>
      <c r="J450" s="89"/>
      <c r="K450" s="89"/>
      <c r="L450" s="89"/>
      <c r="M450" s="89"/>
      <c r="N450" s="89"/>
      <c r="O450" s="88">
        <f>(SUBTOTAL(9,O451:O453))</f>
        <v>249.99999999999997</v>
      </c>
      <c r="P450" s="88">
        <f>(SUBTOTAL(9,P451:P453))</f>
        <v>-144</v>
      </c>
      <c r="Q450" s="88">
        <f>(SUBTOTAL(9,Q451:Q453))</f>
        <v>0</v>
      </c>
      <c r="R450" s="88">
        <f>(SUBTOTAL(9,R451:R453))</f>
        <v>0</v>
      </c>
      <c r="S450" s="88">
        <f>(SUBTOTAL(9,S451:S453))</f>
        <v>0</v>
      </c>
      <c r="T450" s="88">
        <f>(SUBTOTAL(9,T451:T453))</f>
        <v>0</v>
      </c>
      <c r="U450" s="87">
        <f t="shared" ref="U450" si="297">SUBTOTAL(9,O451:T453)</f>
        <v>105.99999999999997</v>
      </c>
    </row>
    <row r="451" spans="1:21" ht="17.25" customHeight="1" x14ac:dyDescent="0.3">
      <c r="A451" s="66" t="s">
        <v>30</v>
      </c>
      <c r="C451" s="67"/>
      <c r="D451" s="77" t="str">
        <f t="shared" ref="D451" si="298">D450</f>
        <v>E100026</v>
      </c>
      <c r="E451" s="77"/>
      <c r="F451" s="76"/>
      <c r="G451" s="76" t="str">
        <f>"""NAV Direct"",""CRONUS JetCorp USA"",""32"",""1"",""168317"""</f>
        <v>"NAV Direct","CRONUS JetCorp USA","32","1","168317"</v>
      </c>
      <c r="H451" s="86">
        <v>43466</v>
      </c>
      <c r="I451" s="85">
        <v>168317</v>
      </c>
      <c r="J451" s="84" t="str">
        <f>"Vendor"</f>
        <v>Vendor</v>
      </c>
      <c r="K451" s="84" t="str">
        <f>"V100040"</f>
        <v>V100040</v>
      </c>
      <c r="L451" s="84" t="str">
        <f>IF($J451="Customer",_xll.NL("first",$J451,"Name","No.","@@"&amp;$K451),"")</f>
        <v/>
      </c>
      <c r="M451" s="84" t="str">
        <f>"Technische Betriebe Rotkreuz"</f>
        <v>Technische Betriebe Rotkreuz</v>
      </c>
      <c r="N451" s="84" t="str">
        <f>IF($J451="Item",_xll.NL("first",$J451,"Description","No.","@@"&amp;$K451),"")</f>
        <v/>
      </c>
      <c r="O451" s="83">
        <v>249.99999999999997</v>
      </c>
      <c r="P451" s="83">
        <v>0</v>
      </c>
      <c r="Q451" s="83">
        <v>0</v>
      </c>
      <c r="R451" s="83">
        <v>0</v>
      </c>
      <c r="S451" s="83">
        <v>0</v>
      </c>
      <c r="T451" s="83">
        <v>0</v>
      </c>
      <c r="U451" s="82"/>
    </row>
    <row r="452" spans="1:21" ht="17.25" customHeight="1" x14ac:dyDescent="0.3">
      <c r="A452" s="66" t="s">
        <v>30</v>
      </c>
      <c r="C452" s="67"/>
      <c r="D452" s="77" t="str">
        <f t="shared" ref="D452" si="299">D451</f>
        <v>E100026</v>
      </c>
      <c r="E452" s="77"/>
      <c r="F452" s="76"/>
      <c r="G452" s="76" t="str">
        <f>"""NAV Direct"",""CRONUS JetCorp USA"",""32"",""1"",""72522"""</f>
        <v>"NAV Direct","CRONUS JetCorp USA","32","1","72522"</v>
      </c>
      <c r="H452" s="86">
        <v>43471</v>
      </c>
      <c r="I452" s="85">
        <v>72522</v>
      </c>
      <c r="J452" s="84" t="str">
        <f>"Customer"</f>
        <v>Customer</v>
      </c>
      <c r="K452" s="84" t="str">
        <f>"C100107"</f>
        <v>C100107</v>
      </c>
      <c r="L452" s="84" t="str">
        <f>IF($J452="Customer",_xll.NL("first",$J452,"Name","No.","@@"&amp;$K452),"")</f>
        <v>Lexitechnology</v>
      </c>
      <c r="M452" s="84" t="str">
        <f>""</f>
        <v/>
      </c>
      <c r="N452" s="84" t="str">
        <f>IF($J452="Item",_xll.NL("first",$J452,"Description","No.","@@"&amp;$K452),"")</f>
        <v/>
      </c>
      <c r="O452" s="83">
        <v>0</v>
      </c>
      <c r="P452" s="83">
        <v>-144</v>
      </c>
      <c r="Q452" s="83">
        <v>0</v>
      </c>
      <c r="R452" s="83">
        <v>0</v>
      </c>
      <c r="S452" s="83">
        <v>0</v>
      </c>
      <c r="T452" s="83">
        <v>0</v>
      </c>
      <c r="U452" s="82"/>
    </row>
    <row r="453" spans="1:21" ht="17.25" customHeight="1" x14ac:dyDescent="0.3">
      <c r="A453" s="66" t="s">
        <v>30</v>
      </c>
      <c r="C453" s="67"/>
      <c r="D453" s="77"/>
      <c r="E453" s="77"/>
      <c r="F453" s="76"/>
      <c r="G453" s="76"/>
      <c r="H453" s="76"/>
      <c r="I453" s="76"/>
      <c r="J453" s="76"/>
      <c r="K453" s="76"/>
      <c r="L453" s="76"/>
      <c r="M453" s="76"/>
      <c r="N453" s="76"/>
      <c r="O453" s="75"/>
      <c r="P453" s="75"/>
      <c r="Q453" s="75"/>
      <c r="R453" s="75"/>
      <c r="S453" s="75"/>
      <c r="T453" s="75"/>
      <c r="U453" s="74"/>
    </row>
    <row r="454" spans="1:21" ht="17.25" customHeight="1" x14ac:dyDescent="0.3">
      <c r="A454" s="66" t="s">
        <v>30</v>
      </c>
      <c r="C454" s="67"/>
      <c r="D454" s="77"/>
      <c r="E454" s="77" t="s">
        <v>31</v>
      </c>
      <c r="F454" s="76" t="s">
        <v>31</v>
      </c>
      <c r="G454" s="76" t="s">
        <v>31</v>
      </c>
      <c r="H454" s="76"/>
      <c r="I454" s="76"/>
      <c r="J454" s="76" t="s">
        <v>31</v>
      </c>
      <c r="K454" s="76" t="s">
        <v>31</v>
      </c>
      <c r="L454" s="76" t="s">
        <v>31</v>
      </c>
      <c r="M454" s="76" t="s">
        <v>31</v>
      </c>
      <c r="N454" s="76"/>
      <c r="U454" s="81"/>
    </row>
    <row r="455" spans="1:21" ht="20.25" customHeight="1" x14ac:dyDescent="0.35">
      <c r="A455" s="66" t="s">
        <v>30</v>
      </c>
      <c r="C455" s="67"/>
      <c r="D455" s="92" t="str">
        <f t="shared" ref="D455" si="300">E455</f>
        <v>E100027</v>
      </c>
      <c r="E455" s="91" t="str">
        <f>"E100027"</f>
        <v>E100027</v>
      </c>
      <c r="F455" s="89" t="str">
        <f>"Ergo-Calculator"</f>
        <v>Ergo-Calculator</v>
      </c>
      <c r="G455" s="89"/>
      <c r="H455" s="90" t="str">
        <f>"EA"</f>
        <v>EA</v>
      </c>
      <c r="I455" s="89"/>
      <c r="J455" s="89"/>
      <c r="K455" s="89"/>
      <c r="L455" s="89"/>
      <c r="M455" s="89"/>
      <c r="N455" s="89"/>
      <c r="O455" s="88">
        <f>(SUBTOTAL(9,O456:O458))</f>
        <v>499.99999999999994</v>
      </c>
      <c r="P455" s="88">
        <f>(SUBTOTAL(9,P456:P458))</f>
        <v>-144</v>
      </c>
      <c r="Q455" s="88">
        <f>(SUBTOTAL(9,Q456:Q458))</f>
        <v>0</v>
      </c>
      <c r="R455" s="88">
        <f>(SUBTOTAL(9,R456:R458))</f>
        <v>0</v>
      </c>
      <c r="S455" s="88">
        <f>(SUBTOTAL(9,S456:S458))</f>
        <v>0</v>
      </c>
      <c r="T455" s="88">
        <f>(SUBTOTAL(9,T456:T458))</f>
        <v>0</v>
      </c>
      <c r="U455" s="87">
        <f t="shared" ref="U455" si="301">SUBTOTAL(9,O456:T458)</f>
        <v>355.99999999999994</v>
      </c>
    </row>
    <row r="456" spans="1:21" ht="17.25" customHeight="1" x14ac:dyDescent="0.3">
      <c r="A456" s="66" t="s">
        <v>30</v>
      </c>
      <c r="C456" s="67"/>
      <c r="D456" s="77" t="str">
        <f t="shared" ref="D456" si="302">D455</f>
        <v>E100027</v>
      </c>
      <c r="E456" s="77"/>
      <c r="F456" s="76"/>
      <c r="G456" s="76" t="str">
        <f>"""NAV Direct"",""CRONUS JetCorp USA"",""32"",""1"",""168316"""</f>
        <v>"NAV Direct","CRONUS JetCorp USA","32","1","168316"</v>
      </c>
      <c r="H456" s="86">
        <v>43466</v>
      </c>
      <c r="I456" s="85">
        <v>168316</v>
      </c>
      <c r="J456" s="84" t="str">
        <f>"Vendor"</f>
        <v>Vendor</v>
      </c>
      <c r="K456" s="84" t="str">
        <f>"V100040"</f>
        <v>V100040</v>
      </c>
      <c r="L456" s="84" t="str">
        <f>IF($J456="Customer",_xll.NL("first",$J456,"Name","No.","@@"&amp;$K456),"")</f>
        <v/>
      </c>
      <c r="M456" s="84" t="str">
        <f>"Technische Betriebe Rotkreuz"</f>
        <v>Technische Betriebe Rotkreuz</v>
      </c>
      <c r="N456" s="84" t="str">
        <f>IF($J456="Item",_xll.NL("first",$J456,"Description","No.","@@"&amp;$K456),"")</f>
        <v/>
      </c>
      <c r="O456" s="83">
        <v>499.99999999999994</v>
      </c>
      <c r="P456" s="83">
        <v>0</v>
      </c>
      <c r="Q456" s="83">
        <v>0</v>
      </c>
      <c r="R456" s="83">
        <v>0</v>
      </c>
      <c r="S456" s="83">
        <v>0</v>
      </c>
      <c r="T456" s="83">
        <v>0</v>
      </c>
      <c r="U456" s="82"/>
    </row>
    <row r="457" spans="1:21" ht="17.25" customHeight="1" x14ac:dyDescent="0.3">
      <c r="A457" s="66" t="s">
        <v>30</v>
      </c>
      <c r="C457" s="67"/>
      <c r="D457" s="77" t="str">
        <f t="shared" ref="D457" si="303">D456</f>
        <v>E100027</v>
      </c>
      <c r="E457" s="77"/>
      <c r="F457" s="76"/>
      <c r="G457" s="76" t="str">
        <f>"""NAV Direct"",""CRONUS JetCorp USA"",""32"",""1"",""78835"""</f>
        <v>"NAV Direct","CRONUS JetCorp USA","32","1","78835"</v>
      </c>
      <c r="H457" s="86">
        <v>43468</v>
      </c>
      <c r="I457" s="85">
        <v>78835</v>
      </c>
      <c r="J457" s="84" t="str">
        <f>"Customer"</f>
        <v>Customer</v>
      </c>
      <c r="K457" s="84" t="str">
        <f>"C100117"</f>
        <v>C100117</v>
      </c>
      <c r="L457" s="84" t="str">
        <f>IF($J457="Customer",_xll.NL("first",$J457,"Name","No.","@@"&amp;$K457),"")</f>
        <v xml:space="preserve">Tintax </v>
      </c>
      <c r="M457" s="84" t="str">
        <f>""</f>
        <v/>
      </c>
      <c r="N457" s="84" t="str">
        <f>IF($J457="Item",_xll.NL("first",$J457,"Description","No.","@@"&amp;$K457),"")</f>
        <v/>
      </c>
      <c r="O457" s="83">
        <v>0</v>
      </c>
      <c r="P457" s="83">
        <v>-144</v>
      </c>
      <c r="Q457" s="83">
        <v>0</v>
      </c>
      <c r="R457" s="83">
        <v>0</v>
      </c>
      <c r="S457" s="83">
        <v>0</v>
      </c>
      <c r="T457" s="83">
        <v>0</v>
      </c>
      <c r="U457" s="82"/>
    </row>
    <row r="458" spans="1:21" ht="17.25" customHeight="1" x14ac:dyDescent="0.3">
      <c r="A458" s="66" t="s">
        <v>30</v>
      </c>
      <c r="C458" s="67"/>
      <c r="D458" s="77"/>
      <c r="E458" s="77"/>
      <c r="F458" s="76"/>
      <c r="G458" s="76"/>
      <c r="H458" s="76"/>
      <c r="I458" s="76"/>
      <c r="J458" s="76"/>
      <c r="K458" s="76"/>
      <c r="L458" s="76"/>
      <c r="M458" s="76"/>
      <c r="N458" s="76"/>
      <c r="O458" s="75"/>
      <c r="P458" s="75"/>
      <c r="Q458" s="75"/>
      <c r="R458" s="75"/>
      <c r="S458" s="75"/>
      <c r="T458" s="75"/>
      <c r="U458" s="74"/>
    </row>
    <row r="459" spans="1:21" ht="17.25" customHeight="1" x14ac:dyDescent="0.3">
      <c r="A459" s="66" t="s">
        <v>30</v>
      </c>
      <c r="C459" s="67"/>
      <c r="D459" s="77"/>
      <c r="E459" s="77" t="s">
        <v>31</v>
      </c>
      <c r="F459" s="76" t="s">
        <v>31</v>
      </c>
      <c r="G459" s="76" t="s">
        <v>31</v>
      </c>
      <c r="H459" s="76"/>
      <c r="I459" s="76"/>
      <c r="J459" s="76" t="s">
        <v>31</v>
      </c>
      <c r="K459" s="76" t="s">
        <v>31</v>
      </c>
      <c r="L459" s="76" t="s">
        <v>31</v>
      </c>
      <c r="M459" s="76" t="s">
        <v>31</v>
      </c>
      <c r="N459" s="76"/>
      <c r="U459" s="81"/>
    </row>
    <row r="460" spans="1:21" ht="20.25" customHeight="1" x14ac:dyDescent="0.35">
      <c r="A460" s="66" t="s">
        <v>30</v>
      </c>
      <c r="C460" s="67"/>
      <c r="D460" s="92" t="str">
        <f t="shared" ref="D460" si="304">E460</f>
        <v>E100028</v>
      </c>
      <c r="E460" s="91" t="str">
        <f>"E100028"</f>
        <v>E100028</v>
      </c>
      <c r="F460" s="89" t="str">
        <f>"USB 4-Port Hub"</f>
        <v>USB 4-Port Hub</v>
      </c>
      <c r="G460" s="89"/>
      <c r="H460" s="90" t="str">
        <f>"EA"</f>
        <v>EA</v>
      </c>
      <c r="I460" s="89"/>
      <c r="J460" s="89"/>
      <c r="K460" s="89"/>
      <c r="L460" s="89"/>
      <c r="M460" s="89"/>
      <c r="N460" s="89"/>
      <c r="O460" s="88">
        <f>(SUBTOTAL(9,O461:O462))</f>
        <v>0</v>
      </c>
      <c r="P460" s="88">
        <f>(SUBTOTAL(9,P461:P462))</f>
        <v>-144</v>
      </c>
      <c r="Q460" s="88">
        <f>(SUBTOTAL(9,Q461:Q462))</f>
        <v>0</v>
      </c>
      <c r="R460" s="88">
        <f>(SUBTOTAL(9,R461:R462))</f>
        <v>0</v>
      </c>
      <c r="S460" s="88">
        <f>(SUBTOTAL(9,S461:S462))</f>
        <v>0</v>
      </c>
      <c r="T460" s="88">
        <f>(SUBTOTAL(9,T461:T462))</f>
        <v>0</v>
      </c>
      <c r="U460" s="87">
        <f t="shared" ref="U460" si="305">SUBTOTAL(9,O461:T462)</f>
        <v>-144</v>
      </c>
    </row>
    <row r="461" spans="1:21" ht="17.25" customHeight="1" x14ac:dyDescent="0.3">
      <c r="A461" s="66" t="s">
        <v>30</v>
      </c>
      <c r="C461" s="67"/>
      <c r="D461" s="77" t="str">
        <f t="shared" ref="D461" si="306">D460</f>
        <v>E100028</v>
      </c>
      <c r="E461" s="77"/>
      <c r="F461" s="76"/>
      <c r="G461" s="76" t="str">
        <f>"""NAV Direct"",""CRONUS JetCorp USA"",""32"",""1"",""78833"""</f>
        <v>"NAV Direct","CRONUS JetCorp USA","32","1","78833"</v>
      </c>
      <c r="H461" s="86">
        <v>43468</v>
      </c>
      <c r="I461" s="85">
        <v>78833</v>
      </c>
      <c r="J461" s="84" t="str">
        <f>"Customer"</f>
        <v>Customer</v>
      </c>
      <c r="K461" s="84" t="str">
        <f>"C100117"</f>
        <v>C100117</v>
      </c>
      <c r="L461" s="84" t="str">
        <f>IF($J461="Customer",_xll.NL("first",$J461,"Name","No.","@@"&amp;$K461),"")</f>
        <v xml:space="preserve">Tintax </v>
      </c>
      <c r="M461" s="84" t="str">
        <f>""</f>
        <v/>
      </c>
      <c r="N461" s="84" t="str">
        <f>IF($J461="Item",_xll.NL("first",$J461,"Description","No.","@@"&amp;$K461),"")</f>
        <v/>
      </c>
      <c r="O461" s="83">
        <v>0</v>
      </c>
      <c r="P461" s="83">
        <v>-144</v>
      </c>
      <c r="Q461" s="83">
        <v>0</v>
      </c>
      <c r="R461" s="83">
        <v>0</v>
      </c>
      <c r="S461" s="83">
        <v>0</v>
      </c>
      <c r="T461" s="83">
        <v>0</v>
      </c>
      <c r="U461" s="82"/>
    </row>
    <row r="462" spans="1:21" ht="17.25" customHeight="1" x14ac:dyDescent="0.3">
      <c r="A462" s="66" t="s">
        <v>30</v>
      </c>
      <c r="C462" s="67"/>
      <c r="D462" s="77"/>
      <c r="E462" s="77"/>
      <c r="F462" s="76"/>
      <c r="G462" s="76"/>
      <c r="H462" s="76"/>
      <c r="I462" s="76"/>
      <c r="J462" s="76"/>
      <c r="K462" s="76"/>
      <c r="L462" s="76"/>
      <c r="M462" s="76"/>
      <c r="N462" s="76"/>
      <c r="O462" s="75"/>
      <c r="P462" s="75"/>
      <c r="Q462" s="75"/>
      <c r="R462" s="75"/>
      <c r="S462" s="75"/>
      <c r="T462" s="75"/>
      <c r="U462" s="74"/>
    </row>
    <row r="463" spans="1:21" ht="17.25" customHeight="1" x14ac:dyDescent="0.3">
      <c r="A463" s="66" t="s">
        <v>30</v>
      </c>
      <c r="C463" s="67"/>
      <c r="D463" s="77"/>
      <c r="E463" s="77" t="s">
        <v>31</v>
      </c>
      <c r="F463" s="76" t="s">
        <v>31</v>
      </c>
      <c r="G463" s="76" t="s">
        <v>31</v>
      </c>
      <c r="H463" s="76"/>
      <c r="I463" s="76"/>
      <c r="J463" s="76" t="s">
        <v>31</v>
      </c>
      <c r="K463" s="76" t="s">
        <v>31</v>
      </c>
      <c r="L463" s="76" t="s">
        <v>31</v>
      </c>
      <c r="M463" s="76" t="s">
        <v>31</v>
      </c>
      <c r="N463" s="76"/>
      <c r="U463" s="81"/>
    </row>
    <row r="464" spans="1:21" ht="20.25" customHeight="1" x14ac:dyDescent="0.35">
      <c r="A464" s="66" t="s">
        <v>30</v>
      </c>
      <c r="C464" s="67"/>
      <c r="D464" s="92" t="str">
        <f t="shared" ref="D464" si="307">E464</f>
        <v>E100029</v>
      </c>
      <c r="E464" s="91" t="str">
        <f>"E100029"</f>
        <v>E100029</v>
      </c>
      <c r="F464" s="89" t="str">
        <f>"LED Flex Light"</f>
        <v>LED Flex Light</v>
      </c>
      <c r="G464" s="89"/>
      <c r="H464" s="90" t="str">
        <f>"EA"</f>
        <v>EA</v>
      </c>
      <c r="I464" s="89"/>
      <c r="J464" s="89"/>
      <c r="K464" s="89"/>
      <c r="L464" s="89"/>
      <c r="M464" s="89"/>
      <c r="N464" s="89"/>
      <c r="O464" s="88">
        <f>(SUBTOTAL(9,O465:O468))</f>
        <v>750</v>
      </c>
      <c r="P464" s="88">
        <f>(SUBTOTAL(9,P465:P468))</f>
        <v>-288</v>
      </c>
      <c r="Q464" s="88">
        <f>(SUBTOTAL(9,Q465:Q468))</f>
        <v>0</v>
      </c>
      <c r="R464" s="88">
        <f>(SUBTOTAL(9,R465:R468))</f>
        <v>0</v>
      </c>
      <c r="S464" s="88">
        <f>(SUBTOTAL(9,S465:S468))</f>
        <v>0</v>
      </c>
      <c r="T464" s="88">
        <f>(SUBTOTAL(9,T465:T468))</f>
        <v>0</v>
      </c>
      <c r="U464" s="87">
        <f t="shared" ref="U464" si="308">SUBTOTAL(9,O465:T468)</f>
        <v>462</v>
      </c>
    </row>
    <row r="465" spans="1:21" ht="17.25" customHeight="1" x14ac:dyDescent="0.3">
      <c r="A465" s="66" t="s">
        <v>30</v>
      </c>
      <c r="C465" s="67"/>
      <c r="D465" s="77" t="str">
        <f t="shared" ref="D465" si="309">D464</f>
        <v>E100029</v>
      </c>
      <c r="E465" s="77"/>
      <c r="F465" s="76"/>
      <c r="G465" s="76" t="str">
        <f>"""NAV Direct"",""CRONUS JetCorp USA"",""32"",""1"",""168315"""</f>
        <v>"NAV Direct","CRONUS JetCorp USA","32","1","168315"</v>
      </c>
      <c r="H465" s="86">
        <v>43466</v>
      </c>
      <c r="I465" s="85">
        <v>168315</v>
      </c>
      <c r="J465" s="84" t="str">
        <f>"Vendor"</f>
        <v>Vendor</v>
      </c>
      <c r="K465" s="84" t="str">
        <f>"V100040"</f>
        <v>V100040</v>
      </c>
      <c r="L465" s="84" t="str">
        <f>IF($J465="Customer",_xll.NL("first",$J465,"Name","No.","@@"&amp;$K465),"")</f>
        <v/>
      </c>
      <c r="M465" s="84" t="str">
        <f>"Technische Betriebe Rotkreuz"</f>
        <v>Technische Betriebe Rotkreuz</v>
      </c>
      <c r="N465" s="84" t="str">
        <f>IF($J465="Item",_xll.NL("first",$J465,"Description","No.","@@"&amp;$K465),"")</f>
        <v/>
      </c>
      <c r="O465" s="83">
        <v>750</v>
      </c>
      <c r="P465" s="83">
        <v>0</v>
      </c>
      <c r="Q465" s="83">
        <v>0</v>
      </c>
      <c r="R465" s="83">
        <v>0</v>
      </c>
      <c r="S465" s="83">
        <v>0</v>
      </c>
      <c r="T465" s="83">
        <v>0</v>
      </c>
      <c r="U465" s="82"/>
    </row>
    <row r="466" spans="1:21" ht="17.25" customHeight="1" x14ac:dyDescent="0.3">
      <c r="A466" s="66" t="s">
        <v>30</v>
      </c>
      <c r="C466" s="67"/>
      <c r="D466" s="77" t="str">
        <f t="shared" ref="D466:D467" si="310">D465</f>
        <v>E100029</v>
      </c>
      <c r="E466" s="77"/>
      <c r="F466" s="76"/>
      <c r="G466" s="76" t="str">
        <f>"""NAV Direct"",""CRONUS JetCorp USA"",""32"",""1"",""78832"""</f>
        <v>"NAV Direct","CRONUS JetCorp USA","32","1","78832"</v>
      </c>
      <c r="H466" s="86">
        <v>43468</v>
      </c>
      <c r="I466" s="85">
        <v>78832</v>
      </c>
      <c r="J466" s="84" t="str">
        <f>"Customer"</f>
        <v>Customer</v>
      </c>
      <c r="K466" s="84" t="str">
        <f>"C100117"</f>
        <v>C100117</v>
      </c>
      <c r="L466" s="84" t="str">
        <f>IF($J466="Customer",_xll.NL("first",$J466,"Name","No.","@@"&amp;$K466),"")</f>
        <v xml:space="preserve">Tintax </v>
      </c>
      <c r="M466" s="84" t="str">
        <f>""</f>
        <v/>
      </c>
      <c r="N466" s="84" t="str">
        <f>IF($J466="Item",_xll.NL("first",$J466,"Description","No.","@@"&amp;$K466),"")</f>
        <v/>
      </c>
      <c r="O466" s="83">
        <v>0</v>
      </c>
      <c r="P466" s="83">
        <v>-144</v>
      </c>
      <c r="Q466" s="83">
        <v>0</v>
      </c>
      <c r="R466" s="83">
        <v>0</v>
      </c>
      <c r="S466" s="83">
        <v>0</v>
      </c>
      <c r="T466" s="83">
        <v>0</v>
      </c>
      <c r="U466" s="82"/>
    </row>
    <row r="467" spans="1:21" ht="17.25" customHeight="1" x14ac:dyDescent="0.3">
      <c r="A467" s="66" t="s">
        <v>30</v>
      </c>
      <c r="C467" s="67"/>
      <c r="D467" s="77" t="str">
        <f t="shared" si="310"/>
        <v>E100029</v>
      </c>
      <c r="E467" s="77"/>
      <c r="F467" s="76"/>
      <c r="G467" s="76" t="str">
        <f>"""NAV Direct"",""CRONUS JetCorp USA"",""32"",""1"",""72513"""</f>
        <v>"NAV Direct","CRONUS JetCorp USA","32","1","72513"</v>
      </c>
      <c r="H467" s="86">
        <v>43471</v>
      </c>
      <c r="I467" s="85">
        <v>72513</v>
      </c>
      <c r="J467" s="84" t="str">
        <f>"Customer"</f>
        <v>Customer</v>
      </c>
      <c r="K467" s="84" t="str">
        <f>"C100107"</f>
        <v>C100107</v>
      </c>
      <c r="L467" s="84" t="str">
        <f>IF($J467="Customer",_xll.NL("first",$J467,"Name","No.","@@"&amp;$K467),"")</f>
        <v>Lexitechnology</v>
      </c>
      <c r="M467" s="84" t="str">
        <f>""</f>
        <v/>
      </c>
      <c r="N467" s="84" t="str">
        <f>IF($J467="Item",_xll.NL("first",$J467,"Description","No.","@@"&amp;$K467),"")</f>
        <v/>
      </c>
      <c r="O467" s="83">
        <v>0</v>
      </c>
      <c r="P467" s="83">
        <v>-144</v>
      </c>
      <c r="Q467" s="83">
        <v>0</v>
      </c>
      <c r="R467" s="83">
        <v>0</v>
      </c>
      <c r="S467" s="83">
        <v>0</v>
      </c>
      <c r="T467" s="83">
        <v>0</v>
      </c>
      <c r="U467" s="82"/>
    </row>
    <row r="468" spans="1:21" ht="17.25" customHeight="1" x14ac:dyDescent="0.3">
      <c r="A468" s="66" t="s">
        <v>30</v>
      </c>
      <c r="C468" s="67"/>
      <c r="D468" s="77"/>
      <c r="E468" s="77"/>
      <c r="F468" s="76"/>
      <c r="G468" s="76"/>
      <c r="H468" s="76"/>
      <c r="I468" s="76"/>
      <c r="J468" s="76"/>
      <c r="K468" s="76"/>
      <c r="L468" s="76"/>
      <c r="M468" s="76"/>
      <c r="N468" s="76"/>
      <c r="O468" s="75"/>
      <c r="P468" s="75"/>
      <c r="Q468" s="75"/>
      <c r="R468" s="75"/>
      <c r="S468" s="75"/>
      <c r="T468" s="75"/>
      <c r="U468" s="74"/>
    </row>
    <row r="469" spans="1:21" ht="17.25" customHeight="1" x14ac:dyDescent="0.3">
      <c r="A469" s="66" t="s">
        <v>30</v>
      </c>
      <c r="C469" s="67"/>
      <c r="D469" s="77"/>
      <c r="E469" s="77" t="s">
        <v>31</v>
      </c>
      <c r="F469" s="76" t="s">
        <v>31</v>
      </c>
      <c r="G469" s="76" t="s">
        <v>31</v>
      </c>
      <c r="H469" s="76"/>
      <c r="I469" s="76"/>
      <c r="J469" s="76" t="s">
        <v>31</v>
      </c>
      <c r="K469" s="76" t="s">
        <v>31</v>
      </c>
      <c r="L469" s="76" t="s">
        <v>31</v>
      </c>
      <c r="M469" s="76" t="s">
        <v>31</v>
      </c>
      <c r="N469" s="76"/>
      <c r="U469" s="81"/>
    </row>
    <row r="470" spans="1:21" ht="20.25" customHeight="1" x14ac:dyDescent="0.35">
      <c r="A470" s="66" t="s">
        <v>30</v>
      </c>
      <c r="C470" s="67"/>
      <c r="D470" s="92" t="str">
        <f t="shared" ref="D470" si="311">E470</f>
        <v>E100030</v>
      </c>
      <c r="E470" s="91" t="str">
        <f>"E100030"</f>
        <v>E100030</v>
      </c>
      <c r="F470" s="89" t="str">
        <f>"LED Keychain"</f>
        <v>LED Keychain</v>
      </c>
      <c r="G470" s="89"/>
      <c r="H470" s="90" t="str">
        <f>"EA"</f>
        <v>EA</v>
      </c>
      <c r="I470" s="89"/>
      <c r="J470" s="89"/>
      <c r="K470" s="89"/>
      <c r="L470" s="89"/>
      <c r="M470" s="89"/>
      <c r="N470" s="89"/>
      <c r="O470" s="88">
        <f>(SUBTOTAL(9,O471:O472))</f>
        <v>499.99999999999994</v>
      </c>
      <c r="P470" s="88">
        <f>(SUBTOTAL(9,P471:P472))</f>
        <v>0</v>
      </c>
      <c r="Q470" s="88">
        <f>(SUBTOTAL(9,Q471:Q472))</f>
        <v>0</v>
      </c>
      <c r="R470" s="88">
        <f>(SUBTOTAL(9,R471:R472))</f>
        <v>0</v>
      </c>
      <c r="S470" s="88">
        <f>(SUBTOTAL(9,S471:S472))</f>
        <v>0</v>
      </c>
      <c r="T470" s="88">
        <f>(SUBTOTAL(9,T471:T472))</f>
        <v>0</v>
      </c>
      <c r="U470" s="87">
        <f t="shared" ref="U470" si="312">SUBTOTAL(9,O471:T472)</f>
        <v>499.99999999999994</v>
      </c>
    </row>
    <row r="471" spans="1:21" ht="17.25" customHeight="1" x14ac:dyDescent="0.3">
      <c r="A471" s="66" t="s">
        <v>30</v>
      </c>
      <c r="C471" s="67"/>
      <c r="D471" s="77" t="str">
        <f t="shared" ref="D471" si="313">D470</f>
        <v>E100030</v>
      </c>
      <c r="E471" s="77"/>
      <c r="F471" s="76"/>
      <c r="G471" s="76" t="str">
        <f>"""NAV Direct"",""CRONUS JetCorp USA"",""32"",""1"",""168314"""</f>
        <v>"NAV Direct","CRONUS JetCorp USA","32","1","168314"</v>
      </c>
      <c r="H471" s="86">
        <v>43466</v>
      </c>
      <c r="I471" s="85">
        <v>168314</v>
      </c>
      <c r="J471" s="84" t="str">
        <f>"Vendor"</f>
        <v>Vendor</v>
      </c>
      <c r="K471" s="84" t="str">
        <f>"V100040"</f>
        <v>V100040</v>
      </c>
      <c r="L471" s="84" t="str">
        <f>IF($J471="Customer",_xll.NL("first",$J471,"Name","No.","@@"&amp;$K471),"")</f>
        <v/>
      </c>
      <c r="M471" s="84" t="str">
        <f>"Technische Betriebe Rotkreuz"</f>
        <v>Technische Betriebe Rotkreuz</v>
      </c>
      <c r="N471" s="84" t="str">
        <f>IF($J471="Item",_xll.NL("first",$J471,"Description","No.","@@"&amp;$K471),"")</f>
        <v/>
      </c>
      <c r="O471" s="83">
        <v>499.99999999999994</v>
      </c>
      <c r="P471" s="83">
        <v>0</v>
      </c>
      <c r="Q471" s="83">
        <v>0</v>
      </c>
      <c r="R471" s="83">
        <v>0</v>
      </c>
      <c r="S471" s="83">
        <v>0</v>
      </c>
      <c r="T471" s="83">
        <v>0</v>
      </c>
      <c r="U471" s="82"/>
    </row>
    <row r="472" spans="1:21" ht="17.25" customHeight="1" x14ac:dyDescent="0.3">
      <c r="A472" s="66" t="s">
        <v>30</v>
      </c>
      <c r="C472" s="67"/>
      <c r="D472" s="77"/>
      <c r="E472" s="77"/>
      <c r="F472" s="76"/>
      <c r="G472" s="76"/>
      <c r="H472" s="76"/>
      <c r="I472" s="76"/>
      <c r="J472" s="76"/>
      <c r="K472" s="76"/>
      <c r="L472" s="76"/>
      <c r="M472" s="76"/>
      <c r="N472" s="76"/>
      <c r="O472" s="75"/>
      <c r="P472" s="75"/>
      <c r="Q472" s="75"/>
      <c r="R472" s="75"/>
      <c r="S472" s="75"/>
      <c r="T472" s="75"/>
      <c r="U472" s="74"/>
    </row>
    <row r="473" spans="1:21" ht="17.25" customHeight="1" x14ac:dyDescent="0.3">
      <c r="A473" s="66" t="s">
        <v>30</v>
      </c>
      <c r="C473" s="67"/>
      <c r="D473" s="77"/>
      <c r="E473" s="77" t="s">
        <v>31</v>
      </c>
      <c r="F473" s="76" t="s">
        <v>31</v>
      </c>
      <c r="G473" s="76" t="s">
        <v>31</v>
      </c>
      <c r="H473" s="76"/>
      <c r="I473" s="76"/>
      <c r="J473" s="76" t="s">
        <v>31</v>
      </c>
      <c r="K473" s="76" t="s">
        <v>31</v>
      </c>
      <c r="L473" s="76" t="s">
        <v>31</v>
      </c>
      <c r="M473" s="76" t="s">
        <v>31</v>
      </c>
      <c r="N473" s="76"/>
      <c r="U473" s="81"/>
    </row>
    <row r="474" spans="1:21" ht="20.25" customHeight="1" x14ac:dyDescent="0.35">
      <c r="A474" s="66" t="s">
        <v>30</v>
      </c>
      <c r="C474" s="67"/>
      <c r="D474" s="92" t="str">
        <f t="shared" ref="D474" si="314">E474</f>
        <v>E100032</v>
      </c>
      <c r="E474" s="91" t="str">
        <f>"E100032"</f>
        <v>E100032</v>
      </c>
      <c r="F474" s="89" t="str">
        <f>"Button Key-Light"</f>
        <v>Button Key-Light</v>
      </c>
      <c r="G474" s="89"/>
      <c r="H474" s="90" t="str">
        <f>"EA"</f>
        <v>EA</v>
      </c>
      <c r="I474" s="89"/>
      <c r="J474" s="89"/>
      <c r="K474" s="89"/>
      <c r="L474" s="89"/>
      <c r="M474" s="89"/>
      <c r="N474" s="89"/>
      <c r="O474" s="88">
        <f>(SUBTOTAL(9,O475:O478))</f>
        <v>249.99999999999997</v>
      </c>
      <c r="P474" s="88">
        <f>(SUBTOTAL(9,P475:P478))</f>
        <v>-145</v>
      </c>
      <c r="Q474" s="88">
        <f>(SUBTOTAL(9,Q475:Q478))</f>
        <v>0</v>
      </c>
      <c r="R474" s="88">
        <f>(SUBTOTAL(9,R475:R478))</f>
        <v>0</v>
      </c>
      <c r="S474" s="88">
        <f>(SUBTOTAL(9,S475:S478))</f>
        <v>0</v>
      </c>
      <c r="T474" s="88">
        <f>(SUBTOTAL(9,T475:T478))</f>
        <v>0</v>
      </c>
      <c r="U474" s="87">
        <f t="shared" ref="U474" si="315">SUBTOTAL(9,O475:T478)</f>
        <v>104.99999999999997</v>
      </c>
    </row>
    <row r="475" spans="1:21" ht="17.25" customHeight="1" x14ac:dyDescent="0.3">
      <c r="A475" s="66" t="s">
        <v>30</v>
      </c>
      <c r="C475" s="67"/>
      <c r="D475" s="77" t="str">
        <f t="shared" ref="D475" si="316">D474</f>
        <v>E100032</v>
      </c>
      <c r="E475" s="77"/>
      <c r="F475" s="76"/>
      <c r="G475" s="76" t="str">
        <f>"""NAV Direct"",""CRONUS JetCorp USA"",""32"",""1"",""168313"""</f>
        <v>"NAV Direct","CRONUS JetCorp USA","32","1","168313"</v>
      </c>
      <c r="H475" s="86">
        <v>43466</v>
      </c>
      <c r="I475" s="85">
        <v>168313</v>
      </c>
      <c r="J475" s="84" t="str">
        <f>"Vendor"</f>
        <v>Vendor</v>
      </c>
      <c r="K475" s="84" t="str">
        <f>"V100040"</f>
        <v>V100040</v>
      </c>
      <c r="L475" s="84" t="str">
        <f>IF($J475="Customer",_xll.NL("first",$J475,"Name","No.","@@"&amp;$K475),"")</f>
        <v/>
      </c>
      <c r="M475" s="84" t="str">
        <f>"Technische Betriebe Rotkreuz"</f>
        <v>Technische Betriebe Rotkreuz</v>
      </c>
      <c r="N475" s="84" t="str">
        <f>IF($J475="Item",_xll.NL("first",$J475,"Description","No.","@@"&amp;$K475),"")</f>
        <v/>
      </c>
      <c r="O475" s="83">
        <v>249.99999999999997</v>
      </c>
      <c r="P475" s="83">
        <v>0</v>
      </c>
      <c r="Q475" s="83">
        <v>0</v>
      </c>
      <c r="R475" s="83">
        <v>0</v>
      </c>
      <c r="S475" s="83">
        <v>0</v>
      </c>
      <c r="T475" s="83">
        <v>0</v>
      </c>
      <c r="U475" s="82"/>
    </row>
    <row r="476" spans="1:21" ht="17.25" customHeight="1" x14ac:dyDescent="0.3">
      <c r="A476" s="66" t="s">
        <v>30</v>
      </c>
      <c r="C476" s="67"/>
      <c r="D476" s="77" t="str">
        <f t="shared" ref="D476:D477" si="317">D475</f>
        <v>E100032</v>
      </c>
      <c r="E476" s="77"/>
      <c r="F476" s="76"/>
      <c r="G476" s="76" t="str">
        <f>"""NAV Direct"",""CRONUS JetCorp USA"",""32"",""1"",""72524"""</f>
        <v>"NAV Direct","CRONUS JetCorp USA","32","1","72524"</v>
      </c>
      <c r="H476" s="86">
        <v>43471</v>
      </c>
      <c r="I476" s="85">
        <v>72524</v>
      </c>
      <c r="J476" s="84" t="str">
        <f>"Customer"</f>
        <v>Customer</v>
      </c>
      <c r="K476" s="84" t="str">
        <f>"C100107"</f>
        <v>C100107</v>
      </c>
      <c r="L476" s="84" t="str">
        <f>IF($J476="Customer",_xll.NL("first",$J476,"Name","No.","@@"&amp;$K476),"")</f>
        <v>Lexitechnology</v>
      </c>
      <c r="M476" s="84" t="str">
        <f>""</f>
        <v/>
      </c>
      <c r="N476" s="84" t="str">
        <f>IF($J476="Item",_xll.NL("first",$J476,"Description","No.","@@"&amp;$K476),"")</f>
        <v/>
      </c>
      <c r="O476" s="83">
        <v>0</v>
      </c>
      <c r="P476" s="83">
        <v>-144</v>
      </c>
      <c r="Q476" s="83">
        <v>0</v>
      </c>
      <c r="R476" s="83">
        <v>0</v>
      </c>
      <c r="S476" s="83">
        <v>0</v>
      </c>
      <c r="T476" s="83">
        <v>0</v>
      </c>
      <c r="U476" s="82"/>
    </row>
    <row r="477" spans="1:21" ht="17.25" customHeight="1" x14ac:dyDescent="0.3">
      <c r="A477" s="66" t="s">
        <v>30</v>
      </c>
      <c r="C477" s="67"/>
      <c r="D477" s="77" t="str">
        <f t="shared" si="317"/>
        <v>E100032</v>
      </c>
      <c r="E477" s="77"/>
      <c r="F477" s="76"/>
      <c r="G477" s="76" t="str">
        <f>"""NAV Direct"",""CRONUS JetCorp USA"",""32"",""1"",""78870"""</f>
        <v>"NAV Direct","CRONUS JetCorp USA","32","1","78870"</v>
      </c>
      <c r="H477" s="86">
        <v>43476</v>
      </c>
      <c r="I477" s="85">
        <v>78870</v>
      </c>
      <c r="J477" s="84" t="str">
        <f>"Customer"</f>
        <v>Customer</v>
      </c>
      <c r="K477" s="84" t="str">
        <f>"C100117"</f>
        <v>C100117</v>
      </c>
      <c r="L477" s="84" t="str">
        <f>IF($J477="Customer",_xll.NL("first",$J477,"Name","No.","@@"&amp;$K477),"")</f>
        <v xml:space="preserve">Tintax </v>
      </c>
      <c r="M477" s="84" t="str">
        <f>""</f>
        <v/>
      </c>
      <c r="N477" s="84" t="str">
        <f>IF($J477="Item",_xll.NL("first",$J477,"Description","No.","@@"&amp;$K477),"")</f>
        <v/>
      </c>
      <c r="O477" s="83">
        <v>0</v>
      </c>
      <c r="P477" s="83">
        <v>-1</v>
      </c>
      <c r="Q477" s="83">
        <v>0</v>
      </c>
      <c r="R477" s="83">
        <v>0</v>
      </c>
      <c r="S477" s="83">
        <v>0</v>
      </c>
      <c r="T477" s="83">
        <v>0</v>
      </c>
      <c r="U477" s="82"/>
    </row>
    <row r="478" spans="1:21" ht="17.25" customHeight="1" x14ac:dyDescent="0.3">
      <c r="A478" s="66" t="s">
        <v>30</v>
      </c>
      <c r="C478" s="67"/>
      <c r="D478" s="77"/>
      <c r="E478" s="77"/>
      <c r="F478" s="76"/>
      <c r="G478" s="76"/>
      <c r="H478" s="76"/>
      <c r="I478" s="76"/>
      <c r="J478" s="76"/>
      <c r="K478" s="76"/>
      <c r="L478" s="76"/>
      <c r="M478" s="76"/>
      <c r="N478" s="76"/>
      <c r="O478" s="75"/>
      <c r="P478" s="75"/>
      <c r="Q478" s="75"/>
      <c r="R478" s="75"/>
      <c r="S478" s="75"/>
      <c r="T478" s="75"/>
      <c r="U478" s="74"/>
    </row>
    <row r="479" spans="1:21" ht="17.25" customHeight="1" x14ac:dyDescent="0.3">
      <c r="A479" s="66" t="s">
        <v>30</v>
      </c>
      <c r="C479" s="67"/>
      <c r="D479" s="77"/>
      <c r="E479" s="77" t="s">
        <v>31</v>
      </c>
      <c r="F479" s="76" t="s">
        <v>31</v>
      </c>
      <c r="G479" s="76" t="s">
        <v>31</v>
      </c>
      <c r="H479" s="76"/>
      <c r="I479" s="76"/>
      <c r="J479" s="76" t="s">
        <v>31</v>
      </c>
      <c r="K479" s="76" t="s">
        <v>31</v>
      </c>
      <c r="L479" s="76" t="s">
        <v>31</v>
      </c>
      <c r="M479" s="76" t="s">
        <v>31</v>
      </c>
      <c r="N479" s="76"/>
      <c r="U479" s="81"/>
    </row>
    <row r="480" spans="1:21" ht="20.25" customHeight="1" x14ac:dyDescent="0.35">
      <c r="A480" s="66" t="s">
        <v>30</v>
      </c>
      <c r="C480" s="67"/>
      <c r="D480" s="92" t="str">
        <f t="shared" ref="D480" si="318">E480</f>
        <v>E100033</v>
      </c>
      <c r="E480" s="91" t="str">
        <f>"E100033"</f>
        <v>E100033</v>
      </c>
      <c r="F480" s="89" t="str">
        <f>"Dual Source Flashlight"</f>
        <v>Dual Source Flashlight</v>
      </c>
      <c r="G480" s="89"/>
      <c r="H480" s="90" t="str">
        <f>"EA"</f>
        <v>EA</v>
      </c>
      <c r="I480" s="89"/>
      <c r="J480" s="89"/>
      <c r="K480" s="89"/>
      <c r="L480" s="89"/>
      <c r="M480" s="89"/>
      <c r="N480" s="89"/>
      <c r="O480" s="88">
        <f>(SUBTOTAL(9,O481:O484))</f>
        <v>0</v>
      </c>
      <c r="P480" s="88">
        <f>(SUBTOTAL(9,P481:P484))</f>
        <v>-301</v>
      </c>
      <c r="Q480" s="88">
        <f>(SUBTOTAL(9,Q481:Q484))</f>
        <v>0</v>
      </c>
      <c r="R480" s="88">
        <f>(SUBTOTAL(9,R481:R484))</f>
        <v>0</v>
      </c>
      <c r="S480" s="88">
        <f>(SUBTOTAL(9,S481:S484))</f>
        <v>0</v>
      </c>
      <c r="T480" s="88">
        <f>(SUBTOTAL(9,T481:T484))</f>
        <v>0</v>
      </c>
      <c r="U480" s="87">
        <f t="shared" ref="U480" si="319">SUBTOTAL(9,O481:T484)</f>
        <v>-301</v>
      </c>
    </row>
    <row r="481" spans="1:21" ht="17.25" customHeight="1" x14ac:dyDescent="0.3">
      <c r="A481" s="66" t="s">
        <v>30</v>
      </c>
      <c r="C481" s="67"/>
      <c r="D481" s="77" t="str">
        <f t="shared" ref="D481" si="320">D480</f>
        <v>E100033</v>
      </c>
      <c r="E481" s="77"/>
      <c r="F481" s="76"/>
      <c r="G481" s="76" t="str">
        <f>"""NAV Direct"",""CRONUS JetCorp USA"",""32"",""1"",""78841"""</f>
        <v>"NAV Direct","CRONUS JetCorp USA","32","1","78841"</v>
      </c>
      <c r="H481" s="86">
        <v>43468</v>
      </c>
      <c r="I481" s="85">
        <v>78841</v>
      </c>
      <c r="J481" s="84" t="str">
        <f>"Customer"</f>
        <v>Customer</v>
      </c>
      <c r="K481" s="84" t="str">
        <f>"C100117"</f>
        <v>C100117</v>
      </c>
      <c r="L481" s="84" t="str">
        <f>IF($J481="Customer",_xll.NL("first",$J481,"Name","No.","@@"&amp;$K481),"")</f>
        <v xml:space="preserve">Tintax </v>
      </c>
      <c r="M481" s="84" t="str">
        <f>""</f>
        <v/>
      </c>
      <c r="N481" s="84" t="str">
        <f>IF($J481="Item",_xll.NL("first",$J481,"Description","No.","@@"&amp;$K481),"")</f>
        <v/>
      </c>
      <c r="O481" s="83">
        <v>0</v>
      </c>
      <c r="P481" s="83">
        <v>-12</v>
      </c>
      <c r="Q481" s="83">
        <v>0</v>
      </c>
      <c r="R481" s="83">
        <v>0</v>
      </c>
      <c r="S481" s="83">
        <v>0</v>
      </c>
      <c r="T481" s="83">
        <v>0</v>
      </c>
      <c r="U481" s="82"/>
    </row>
    <row r="482" spans="1:21" ht="17.25" customHeight="1" x14ac:dyDescent="0.3">
      <c r="A482" s="66" t="s">
        <v>30</v>
      </c>
      <c r="C482" s="67"/>
      <c r="D482" s="77" t="str">
        <f t="shared" ref="D482:D483" si="321">D481</f>
        <v>E100033</v>
      </c>
      <c r="E482" s="77"/>
      <c r="F482" s="76"/>
      <c r="G482" s="76" t="str">
        <f>"""NAV Direct"",""CRONUS JetCorp USA"",""32"",""1"",""72508"""</f>
        <v>"NAV Direct","CRONUS JetCorp USA","32","1","72508"</v>
      </c>
      <c r="H482" s="86">
        <v>43471</v>
      </c>
      <c r="I482" s="85">
        <v>72508</v>
      </c>
      <c r="J482" s="84" t="str">
        <f>"Customer"</f>
        <v>Customer</v>
      </c>
      <c r="K482" s="84" t="str">
        <f>"C100107"</f>
        <v>C100107</v>
      </c>
      <c r="L482" s="84" t="str">
        <f>IF($J482="Customer",_xll.NL("first",$J482,"Name","No.","@@"&amp;$K482),"")</f>
        <v>Lexitechnology</v>
      </c>
      <c r="M482" s="84" t="str">
        <f>""</f>
        <v/>
      </c>
      <c r="N482" s="84" t="str">
        <f>IF($J482="Item",_xll.NL("first",$J482,"Description","No.","@@"&amp;$K482),"")</f>
        <v/>
      </c>
      <c r="O482" s="83">
        <v>0</v>
      </c>
      <c r="P482" s="83">
        <v>-288</v>
      </c>
      <c r="Q482" s="83">
        <v>0</v>
      </c>
      <c r="R482" s="83">
        <v>0</v>
      </c>
      <c r="S482" s="83">
        <v>0</v>
      </c>
      <c r="T482" s="83">
        <v>0</v>
      </c>
      <c r="U482" s="82"/>
    </row>
    <row r="483" spans="1:21" ht="17.25" customHeight="1" x14ac:dyDescent="0.3">
      <c r="A483" s="66" t="s">
        <v>30</v>
      </c>
      <c r="C483" s="67"/>
      <c r="D483" s="77" t="str">
        <f t="shared" si="321"/>
        <v>E100033</v>
      </c>
      <c r="E483" s="77"/>
      <c r="F483" s="76"/>
      <c r="G483" s="76" t="str">
        <f>"""NAV Direct"",""CRONUS JetCorp USA"",""32"",""1"",""78867"""</f>
        <v>"NAV Direct","CRONUS JetCorp USA","32","1","78867"</v>
      </c>
      <c r="H483" s="86">
        <v>43476</v>
      </c>
      <c r="I483" s="85">
        <v>78867</v>
      </c>
      <c r="J483" s="84" t="str">
        <f>"Customer"</f>
        <v>Customer</v>
      </c>
      <c r="K483" s="84" t="str">
        <f>"C100117"</f>
        <v>C100117</v>
      </c>
      <c r="L483" s="84" t="str">
        <f>IF($J483="Customer",_xll.NL("first",$J483,"Name","No.","@@"&amp;$K483),"")</f>
        <v xml:space="preserve">Tintax </v>
      </c>
      <c r="M483" s="84" t="str">
        <f>""</f>
        <v/>
      </c>
      <c r="N483" s="84" t="str">
        <f>IF($J483="Item",_xll.NL("first",$J483,"Description","No.","@@"&amp;$K483),"")</f>
        <v/>
      </c>
      <c r="O483" s="83">
        <v>0</v>
      </c>
      <c r="P483" s="83">
        <v>-1</v>
      </c>
      <c r="Q483" s="83">
        <v>0</v>
      </c>
      <c r="R483" s="83">
        <v>0</v>
      </c>
      <c r="S483" s="83">
        <v>0</v>
      </c>
      <c r="T483" s="83">
        <v>0</v>
      </c>
      <c r="U483" s="82"/>
    </row>
    <row r="484" spans="1:21" ht="17.25" customHeight="1" x14ac:dyDescent="0.3">
      <c r="A484" s="66" t="s">
        <v>30</v>
      </c>
      <c r="C484" s="67"/>
      <c r="D484" s="77"/>
      <c r="E484" s="77"/>
      <c r="F484" s="76"/>
      <c r="G484" s="76"/>
      <c r="H484" s="76"/>
      <c r="I484" s="76"/>
      <c r="J484" s="76"/>
      <c r="K484" s="76"/>
      <c r="L484" s="76"/>
      <c r="M484" s="76"/>
      <c r="N484" s="76"/>
      <c r="O484" s="75"/>
      <c r="P484" s="75"/>
      <c r="Q484" s="75"/>
      <c r="R484" s="75"/>
      <c r="S484" s="75"/>
      <c r="T484" s="75"/>
      <c r="U484" s="74"/>
    </row>
    <row r="485" spans="1:21" ht="17.25" customHeight="1" x14ac:dyDescent="0.3">
      <c r="A485" s="66" t="s">
        <v>30</v>
      </c>
      <c r="C485" s="67"/>
      <c r="D485" s="77"/>
      <c r="E485" s="77" t="s">
        <v>31</v>
      </c>
      <c r="F485" s="76" t="s">
        <v>31</v>
      </c>
      <c r="G485" s="76" t="s">
        <v>31</v>
      </c>
      <c r="H485" s="76"/>
      <c r="I485" s="76"/>
      <c r="J485" s="76" t="s">
        <v>31</v>
      </c>
      <c r="K485" s="76" t="s">
        <v>31</v>
      </c>
      <c r="L485" s="76" t="s">
        <v>31</v>
      </c>
      <c r="M485" s="76" t="s">
        <v>31</v>
      </c>
      <c r="N485" s="76"/>
      <c r="U485" s="81"/>
    </row>
    <row r="486" spans="1:21" ht="20.25" customHeight="1" x14ac:dyDescent="0.35">
      <c r="A486" s="66" t="s">
        <v>30</v>
      </c>
      <c r="C486" s="67"/>
      <c r="D486" s="92" t="str">
        <f t="shared" ref="D486" si="322">E486</f>
        <v>E100034</v>
      </c>
      <c r="E486" s="91" t="str">
        <f>"E100034"</f>
        <v>E100034</v>
      </c>
      <c r="F486" s="89" t="str">
        <f>"Bamboo 1GB USB Flash Drive"</f>
        <v>Bamboo 1GB USB Flash Drive</v>
      </c>
      <c r="G486" s="89"/>
      <c r="H486" s="90" t="str">
        <f>"EA"</f>
        <v>EA</v>
      </c>
      <c r="I486" s="89"/>
      <c r="J486" s="89"/>
      <c r="K486" s="89"/>
      <c r="L486" s="89"/>
      <c r="M486" s="89"/>
      <c r="N486" s="89"/>
      <c r="O486" s="88">
        <f>(SUBTOTAL(9,O487:O488))</f>
        <v>249.99999999999997</v>
      </c>
      <c r="P486" s="88">
        <f>(SUBTOTAL(9,P487:P488))</f>
        <v>0</v>
      </c>
      <c r="Q486" s="88">
        <f>(SUBTOTAL(9,Q487:Q488))</f>
        <v>0</v>
      </c>
      <c r="R486" s="88">
        <f>(SUBTOTAL(9,R487:R488))</f>
        <v>0</v>
      </c>
      <c r="S486" s="88">
        <f>(SUBTOTAL(9,S487:S488))</f>
        <v>0</v>
      </c>
      <c r="T486" s="88">
        <f>(SUBTOTAL(9,T487:T488))</f>
        <v>0</v>
      </c>
      <c r="U486" s="87">
        <f t="shared" ref="U486" si="323">SUBTOTAL(9,O487:T488)</f>
        <v>249.99999999999997</v>
      </c>
    </row>
    <row r="487" spans="1:21" ht="17.25" customHeight="1" x14ac:dyDescent="0.3">
      <c r="A487" s="66" t="s">
        <v>30</v>
      </c>
      <c r="C487" s="67"/>
      <c r="D487" s="77" t="str">
        <f t="shared" ref="D487" si="324">D486</f>
        <v>E100034</v>
      </c>
      <c r="E487" s="77"/>
      <c r="F487" s="76"/>
      <c r="G487" s="76" t="str">
        <f>"""NAV Direct"",""CRONUS JetCorp USA"",""32"",""1"",""168312"""</f>
        <v>"NAV Direct","CRONUS JetCorp USA","32","1","168312"</v>
      </c>
      <c r="H487" s="86">
        <v>43466</v>
      </c>
      <c r="I487" s="85">
        <v>168312</v>
      </c>
      <c r="J487" s="84" t="str">
        <f>"Vendor"</f>
        <v>Vendor</v>
      </c>
      <c r="K487" s="84" t="str">
        <f>"V100040"</f>
        <v>V100040</v>
      </c>
      <c r="L487" s="84" t="str">
        <f>IF($J487="Customer",_xll.NL("first",$J487,"Name","No.","@@"&amp;$K487),"")</f>
        <v/>
      </c>
      <c r="M487" s="84" t="str">
        <f>"Technische Betriebe Rotkreuz"</f>
        <v>Technische Betriebe Rotkreuz</v>
      </c>
      <c r="N487" s="84" t="str">
        <f>IF($J487="Item",_xll.NL("first",$J487,"Description","No.","@@"&amp;$K487),"")</f>
        <v/>
      </c>
      <c r="O487" s="83">
        <v>249.99999999999997</v>
      </c>
      <c r="P487" s="83">
        <v>0</v>
      </c>
      <c r="Q487" s="83">
        <v>0</v>
      </c>
      <c r="R487" s="83">
        <v>0</v>
      </c>
      <c r="S487" s="83">
        <v>0</v>
      </c>
      <c r="T487" s="83">
        <v>0</v>
      </c>
      <c r="U487" s="82"/>
    </row>
    <row r="488" spans="1:21" ht="17.25" customHeight="1" x14ac:dyDescent="0.3">
      <c r="A488" s="66" t="s">
        <v>30</v>
      </c>
      <c r="C488" s="67"/>
      <c r="D488" s="77"/>
      <c r="E488" s="77"/>
      <c r="F488" s="76"/>
      <c r="G488" s="76"/>
      <c r="H488" s="76"/>
      <c r="I488" s="76"/>
      <c r="J488" s="76"/>
      <c r="K488" s="76"/>
      <c r="L488" s="76"/>
      <c r="M488" s="76"/>
      <c r="N488" s="76"/>
      <c r="O488" s="75"/>
      <c r="P488" s="75"/>
      <c r="Q488" s="75"/>
      <c r="R488" s="75"/>
      <c r="S488" s="75"/>
      <c r="T488" s="75"/>
      <c r="U488" s="74"/>
    </row>
    <row r="489" spans="1:21" ht="17.25" customHeight="1" x14ac:dyDescent="0.3">
      <c r="A489" s="66" t="s">
        <v>30</v>
      </c>
      <c r="C489" s="67"/>
      <c r="D489" s="77"/>
      <c r="E489" s="77" t="s">
        <v>31</v>
      </c>
      <c r="F489" s="76" t="s">
        <v>31</v>
      </c>
      <c r="G489" s="76" t="s">
        <v>31</v>
      </c>
      <c r="H489" s="76"/>
      <c r="I489" s="76"/>
      <c r="J489" s="76" t="s">
        <v>31</v>
      </c>
      <c r="K489" s="76" t="s">
        <v>31</v>
      </c>
      <c r="L489" s="76" t="s">
        <v>31</v>
      </c>
      <c r="M489" s="76" t="s">
        <v>31</v>
      </c>
      <c r="N489" s="76"/>
      <c r="U489" s="81"/>
    </row>
    <row r="490" spans="1:21" ht="20.25" customHeight="1" x14ac:dyDescent="0.35">
      <c r="A490" s="66" t="s">
        <v>30</v>
      </c>
      <c r="C490" s="67"/>
      <c r="D490" s="92" t="str">
        <f t="shared" ref="D490" si="325">E490</f>
        <v>E100035</v>
      </c>
      <c r="E490" s="91" t="str">
        <f>"E100035"</f>
        <v>E100035</v>
      </c>
      <c r="F490" s="89" t="str">
        <f>"2GB Foldout USB Flash Drive"</f>
        <v>2GB Foldout USB Flash Drive</v>
      </c>
      <c r="G490" s="89"/>
      <c r="H490" s="90" t="str">
        <f>"EA"</f>
        <v>EA</v>
      </c>
      <c r="I490" s="89"/>
      <c r="J490" s="89"/>
      <c r="K490" s="89"/>
      <c r="L490" s="89"/>
      <c r="M490" s="89"/>
      <c r="N490" s="89"/>
      <c r="O490" s="88">
        <f>(SUBTOTAL(9,O491:O493))</f>
        <v>249.99999999999997</v>
      </c>
      <c r="P490" s="88">
        <f>(SUBTOTAL(9,P491:P493))</f>
        <v>-288</v>
      </c>
      <c r="Q490" s="88">
        <f>(SUBTOTAL(9,Q491:Q493))</f>
        <v>0</v>
      </c>
      <c r="R490" s="88">
        <f>(SUBTOTAL(9,R491:R493))</f>
        <v>0</v>
      </c>
      <c r="S490" s="88">
        <f>(SUBTOTAL(9,S491:S493))</f>
        <v>0</v>
      </c>
      <c r="T490" s="88">
        <f>(SUBTOTAL(9,T491:T493))</f>
        <v>0</v>
      </c>
      <c r="U490" s="87">
        <f t="shared" ref="U490" si="326">SUBTOTAL(9,O491:T493)</f>
        <v>-38.000000000000028</v>
      </c>
    </row>
    <row r="491" spans="1:21" ht="17.25" customHeight="1" x14ac:dyDescent="0.3">
      <c r="A491" s="66" t="s">
        <v>30</v>
      </c>
      <c r="C491" s="67"/>
      <c r="D491" s="77" t="str">
        <f t="shared" ref="D491" si="327">D490</f>
        <v>E100035</v>
      </c>
      <c r="E491" s="77"/>
      <c r="F491" s="76"/>
      <c r="G491" s="76" t="str">
        <f>"""NAV Direct"",""CRONUS JetCorp USA"",""32"",""1"",""168311"""</f>
        <v>"NAV Direct","CRONUS JetCorp USA","32","1","168311"</v>
      </c>
      <c r="H491" s="86">
        <v>43466</v>
      </c>
      <c r="I491" s="85">
        <v>168311</v>
      </c>
      <c r="J491" s="84" t="str">
        <f>"Vendor"</f>
        <v>Vendor</v>
      </c>
      <c r="K491" s="84" t="str">
        <f>"V100040"</f>
        <v>V100040</v>
      </c>
      <c r="L491" s="84" t="str">
        <f>IF($J491="Customer",_xll.NL("first",$J491,"Name","No.","@@"&amp;$K491),"")</f>
        <v/>
      </c>
      <c r="M491" s="84" t="str">
        <f>"Technische Betriebe Rotkreuz"</f>
        <v>Technische Betriebe Rotkreuz</v>
      </c>
      <c r="N491" s="84" t="str">
        <f>IF($J491="Item",_xll.NL("first",$J491,"Description","No.","@@"&amp;$K491),"")</f>
        <v/>
      </c>
      <c r="O491" s="83">
        <v>249.99999999999997</v>
      </c>
      <c r="P491" s="83">
        <v>0</v>
      </c>
      <c r="Q491" s="83">
        <v>0</v>
      </c>
      <c r="R491" s="83">
        <v>0</v>
      </c>
      <c r="S491" s="83">
        <v>0</v>
      </c>
      <c r="T491" s="83">
        <v>0</v>
      </c>
      <c r="U491" s="82"/>
    </row>
    <row r="492" spans="1:21" ht="17.25" customHeight="1" x14ac:dyDescent="0.3">
      <c r="A492" s="66" t="s">
        <v>30</v>
      </c>
      <c r="C492" s="67"/>
      <c r="D492" s="77" t="str">
        <f t="shared" ref="D492" si="328">D491</f>
        <v>E100035</v>
      </c>
      <c r="E492" s="77"/>
      <c r="F492" s="76"/>
      <c r="G492" s="76" t="str">
        <f>"""NAV Direct"",""CRONUS JetCorp USA"",""32"",""1"",""78859"""</f>
        <v>"NAV Direct","CRONUS JetCorp USA","32","1","78859"</v>
      </c>
      <c r="H492" s="86">
        <v>43476</v>
      </c>
      <c r="I492" s="85">
        <v>78859</v>
      </c>
      <c r="J492" s="84" t="str">
        <f>"Customer"</f>
        <v>Customer</v>
      </c>
      <c r="K492" s="84" t="str">
        <f>"C100117"</f>
        <v>C100117</v>
      </c>
      <c r="L492" s="84" t="str">
        <f>IF($J492="Customer",_xll.NL("first",$J492,"Name","No.","@@"&amp;$K492),"")</f>
        <v xml:space="preserve">Tintax </v>
      </c>
      <c r="M492" s="84" t="str">
        <f>""</f>
        <v/>
      </c>
      <c r="N492" s="84" t="str">
        <f>IF($J492="Item",_xll.NL("first",$J492,"Description","No.","@@"&amp;$K492),"")</f>
        <v/>
      </c>
      <c r="O492" s="83">
        <v>0</v>
      </c>
      <c r="P492" s="83">
        <v>-288</v>
      </c>
      <c r="Q492" s="83">
        <v>0</v>
      </c>
      <c r="R492" s="83">
        <v>0</v>
      </c>
      <c r="S492" s="83">
        <v>0</v>
      </c>
      <c r="T492" s="83">
        <v>0</v>
      </c>
      <c r="U492" s="82"/>
    </row>
    <row r="493" spans="1:21" ht="17.25" customHeight="1" x14ac:dyDescent="0.3">
      <c r="A493" s="66" t="s">
        <v>30</v>
      </c>
      <c r="C493" s="67"/>
      <c r="D493" s="77"/>
      <c r="E493" s="77"/>
      <c r="F493" s="76"/>
      <c r="G493" s="76"/>
      <c r="H493" s="76"/>
      <c r="I493" s="76"/>
      <c r="J493" s="76"/>
      <c r="K493" s="76"/>
      <c r="L493" s="76"/>
      <c r="M493" s="76"/>
      <c r="N493" s="76"/>
      <c r="O493" s="75"/>
      <c r="P493" s="75"/>
      <c r="Q493" s="75"/>
      <c r="R493" s="75"/>
      <c r="S493" s="75"/>
      <c r="T493" s="75"/>
      <c r="U493" s="74"/>
    </row>
    <row r="494" spans="1:21" ht="17.25" customHeight="1" x14ac:dyDescent="0.3">
      <c r="A494" s="66" t="s">
        <v>30</v>
      </c>
      <c r="C494" s="67"/>
      <c r="D494" s="77"/>
      <c r="E494" s="77" t="s">
        <v>31</v>
      </c>
      <c r="F494" s="76" t="s">
        <v>31</v>
      </c>
      <c r="G494" s="76" t="s">
        <v>31</v>
      </c>
      <c r="H494" s="76"/>
      <c r="I494" s="76"/>
      <c r="J494" s="76" t="s">
        <v>31</v>
      </c>
      <c r="K494" s="76" t="s">
        <v>31</v>
      </c>
      <c r="L494" s="76" t="s">
        <v>31</v>
      </c>
      <c r="M494" s="76" t="s">
        <v>31</v>
      </c>
      <c r="N494" s="76"/>
      <c r="U494" s="81"/>
    </row>
    <row r="495" spans="1:21" ht="20.25" customHeight="1" x14ac:dyDescent="0.35">
      <c r="A495" s="66" t="s">
        <v>30</v>
      </c>
      <c r="C495" s="67"/>
      <c r="D495" s="92" t="str">
        <f t="shared" ref="D495" si="329">E495</f>
        <v>E100038</v>
      </c>
      <c r="E495" s="91" t="str">
        <f>"E100038"</f>
        <v>E100038</v>
      </c>
      <c r="F495" s="89" t="str">
        <f>"1GB USB Flash Drive Pen"</f>
        <v>1GB USB Flash Drive Pen</v>
      </c>
      <c r="G495" s="89"/>
      <c r="H495" s="90" t="str">
        <f>"EA"</f>
        <v>EA</v>
      </c>
      <c r="I495" s="89"/>
      <c r="J495" s="89"/>
      <c r="K495" s="89"/>
      <c r="L495" s="89"/>
      <c r="M495" s="89"/>
      <c r="N495" s="89"/>
      <c r="O495" s="88">
        <f>(SUBTOTAL(9,O496:O497))</f>
        <v>249.99999999999997</v>
      </c>
      <c r="P495" s="88">
        <f>(SUBTOTAL(9,P496:P497))</f>
        <v>0</v>
      </c>
      <c r="Q495" s="88">
        <f>(SUBTOTAL(9,Q496:Q497))</f>
        <v>0</v>
      </c>
      <c r="R495" s="88">
        <f>(SUBTOTAL(9,R496:R497))</f>
        <v>0</v>
      </c>
      <c r="S495" s="88">
        <f>(SUBTOTAL(9,S496:S497))</f>
        <v>0</v>
      </c>
      <c r="T495" s="88">
        <f>(SUBTOTAL(9,T496:T497))</f>
        <v>0</v>
      </c>
      <c r="U495" s="87">
        <f t="shared" ref="U495" si="330">SUBTOTAL(9,O496:T497)</f>
        <v>249.99999999999997</v>
      </c>
    </row>
    <row r="496" spans="1:21" ht="17.25" customHeight="1" x14ac:dyDescent="0.3">
      <c r="A496" s="66" t="s">
        <v>30</v>
      </c>
      <c r="C496" s="67"/>
      <c r="D496" s="77" t="str">
        <f t="shared" ref="D496" si="331">D495</f>
        <v>E100038</v>
      </c>
      <c r="E496" s="77"/>
      <c r="F496" s="76"/>
      <c r="G496" s="76" t="str">
        <f>"""NAV Direct"",""CRONUS JetCorp USA"",""32"",""1"",""168310"""</f>
        <v>"NAV Direct","CRONUS JetCorp USA","32","1","168310"</v>
      </c>
      <c r="H496" s="86">
        <v>43466</v>
      </c>
      <c r="I496" s="85">
        <v>168310</v>
      </c>
      <c r="J496" s="84" t="str">
        <f>"Vendor"</f>
        <v>Vendor</v>
      </c>
      <c r="K496" s="84" t="str">
        <f>"V100040"</f>
        <v>V100040</v>
      </c>
      <c r="L496" s="84" t="str">
        <f>IF($J496="Customer",_xll.NL("first",$J496,"Name","No.","@@"&amp;$K496),"")</f>
        <v/>
      </c>
      <c r="M496" s="84" t="str">
        <f>"Technische Betriebe Rotkreuz"</f>
        <v>Technische Betriebe Rotkreuz</v>
      </c>
      <c r="N496" s="84" t="str">
        <f>IF($J496="Item",_xll.NL("first",$J496,"Description","No.","@@"&amp;$K496),"")</f>
        <v/>
      </c>
      <c r="O496" s="83">
        <v>249.99999999999997</v>
      </c>
      <c r="P496" s="83">
        <v>0</v>
      </c>
      <c r="Q496" s="83">
        <v>0</v>
      </c>
      <c r="R496" s="83">
        <v>0</v>
      </c>
      <c r="S496" s="83">
        <v>0</v>
      </c>
      <c r="T496" s="83">
        <v>0</v>
      </c>
      <c r="U496" s="82"/>
    </row>
    <row r="497" spans="1:21" ht="17.25" customHeight="1" x14ac:dyDescent="0.3">
      <c r="A497" s="66" t="s">
        <v>30</v>
      </c>
      <c r="C497" s="67"/>
      <c r="D497" s="77"/>
      <c r="E497" s="77"/>
      <c r="F497" s="76"/>
      <c r="G497" s="76"/>
      <c r="H497" s="76"/>
      <c r="I497" s="76"/>
      <c r="J497" s="76"/>
      <c r="K497" s="76"/>
      <c r="L497" s="76"/>
      <c r="M497" s="76"/>
      <c r="N497" s="76"/>
      <c r="O497" s="75"/>
      <c r="P497" s="75"/>
      <c r="Q497" s="75"/>
      <c r="R497" s="75"/>
      <c r="S497" s="75"/>
      <c r="T497" s="75"/>
      <c r="U497" s="74"/>
    </row>
    <row r="498" spans="1:21" ht="17.25" customHeight="1" x14ac:dyDescent="0.3">
      <c r="A498" s="66" t="s">
        <v>30</v>
      </c>
      <c r="C498" s="67"/>
      <c r="D498" s="77"/>
      <c r="E498" s="77" t="s">
        <v>31</v>
      </c>
      <c r="F498" s="76" t="s">
        <v>31</v>
      </c>
      <c r="G498" s="76" t="s">
        <v>31</v>
      </c>
      <c r="H498" s="76"/>
      <c r="I498" s="76"/>
      <c r="J498" s="76" t="s">
        <v>31</v>
      </c>
      <c r="K498" s="76" t="s">
        <v>31</v>
      </c>
      <c r="L498" s="76" t="s">
        <v>31</v>
      </c>
      <c r="M498" s="76" t="s">
        <v>31</v>
      </c>
      <c r="N498" s="76"/>
      <c r="U498" s="81"/>
    </row>
    <row r="499" spans="1:21" ht="20.25" customHeight="1" x14ac:dyDescent="0.35">
      <c r="A499" s="66" t="s">
        <v>30</v>
      </c>
      <c r="C499" s="67"/>
      <c r="D499" s="92" t="str">
        <f t="shared" ref="D499" si="332">E499</f>
        <v>E100039</v>
      </c>
      <c r="E499" s="91" t="str">
        <f>"E100039"</f>
        <v>E100039</v>
      </c>
      <c r="F499" s="89" t="str">
        <f>"Campfire Mug"</f>
        <v>Campfire Mug</v>
      </c>
      <c r="G499" s="89"/>
      <c r="H499" s="90" t="str">
        <f>"EA"</f>
        <v>EA</v>
      </c>
      <c r="I499" s="89"/>
      <c r="J499" s="89"/>
      <c r="K499" s="89"/>
      <c r="L499" s="89"/>
      <c r="M499" s="89"/>
      <c r="N499" s="89"/>
      <c r="O499" s="88">
        <f>(SUBTOTAL(9,O500:O501))</f>
        <v>249.99999999999997</v>
      </c>
      <c r="P499" s="88">
        <f>(SUBTOTAL(9,P500:P501))</f>
        <v>0</v>
      </c>
      <c r="Q499" s="88">
        <f>(SUBTOTAL(9,Q500:Q501))</f>
        <v>0</v>
      </c>
      <c r="R499" s="88">
        <f>(SUBTOTAL(9,R500:R501))</f>
        <v>0</v>
      </c>
      <c r="S499" s="88">
        <f>(SUBTOTAL(9,S500:S501))</f>
        <v>0</v>
      </c>
      <c r="T499" s="88">
        <f>(SUBTOTAL(9,T500:T501))</f>
        <v>0</v>
      </c>
      <c r="U499" s="87">
        <f t="shared" ref="U499" si="333">SUBTOTAL(9,O500:T501)</f>
        <v>249.99999999999997</v>
      </c>
    </row>
    <row r="500" spans="1:21" ht="17.25" customHeight="1" x14ac:dyDescent="0.3">
      <c r="A500" s="66" t="s">
        <v>30</v>
      </c>
      <c r="C500" s="67"/>
      <c r="D500" s="77" t="str">
        <f t="shared" ref="D500" si="334">D499</f>
        <v>E100039</v>
      </c>
      <c r="E500" s="77"/>
      <c r="F500" s="76"/>
      <c r="G500" s="76" t="str">
        <f>"""NAV Direct"",""CRONUS JetCorp USA"",""32"",""1"",""168617"""</f>
        <v>"NAV Direct","CRONUS JetCorp USA","32","1","168617"</v>
      </c>
      <c r="H500" s="86">
        <v>43466</v>
      </c>
      <c r="I500" s="85">
        <v>168617</v>
      </c>
      <c r="J500" s="84" t="str">
        <f>"Vendor"</f>
        <v>Vendor</v>
      </c>
      <c r="K500" s="84" t="str">
        <f>"V100040"</f>
        <v>V100040</v>
      </c>
      <c r="L500" s="84" t="str">
        <f>IF($J500="Customer",_xll.NL("first",$J500,"Name","No.","@@"&amp;$K500),"")</f>
        <v/>
      </c>
      <c r="M500" s="84" t="str">
        <f>"Technische Betriebe Rotkreuz"</f>
        <v>Technische Betriebe Rotkreuz</v>
      </c>
      <c r="N500" s="84" t="str">
        <f>IF($J500="Item",_xll.NL("first",$J500,"Description","No.","@@"&amp;$K500),"")</f>
        <v/>
      </c>
      <c r="O500" s="83">
        <v>249.99999999999997</v>
      </c>
      <c r="P500" s="83">
        <v>0</v>
      </c>
      <c r="Q500" s="83">
        <v>0</v>
      </c>
      <c r="R500" s="83">
        <v>0</v>
      </c>
      <c r="S500" s="83">
        <v>0</v>
      </c>
      <c r="T500" s="83">
        <v>0</v>
      </c>
      <c r="U500" s="82"/>
    </row>
    <row r="501" spans="1:21" ht="17.25" customHeight="1" x14ac:dyDescent="0.3">
      <c r="A501" s="66" t="s">
        <v>30</v>
      </c>
      <c r="C501" s="67"/>
      <c r="D501" s="77"/>
      <c r="E501" s="77"/>
      <c r="F501" s="76"/>
      <c r="G501" s="76"/>
      <c r="H501" s="76"/>
      <c r="I501" s="76"/>
      <c r="J501" s="76"/>
      <c r="K501" s="76"/>
      <c r="L501" s="76"/>
      <c r="M501" s="76"/>
      <c r="N501" s="76"/>
      <c r="O501" s="75"/>
      <c r="P501" s="75"/>
      <c r="Q501" s="75"/>
      <c r="R501" s="75"/>
      <c r="S501" s="75"/>
      <c r="T501" s="75"/>
      <c r="U501" s="74"/>
    </row>
    <row r="502" spans="1:21" ht="17.25" customHeight="1" x14ac:dyDescent="0.3">
      <c r="A502" s="66" t="s">
        <v>30</v>
      </c>
      <c r="C502" s="67"/>
      <c r="D502" s="77"/>
      <c r="E502" s="77" t="s">
        <v>31</v>
      </c>
      <c r="F502" s="76" t="s">
        <v>31</v>
      </c>
      <c r="G502" s="76" t="s">
        <v>31</v>
      </c>
      <c r="H502" s="76"/>
      <c r="I502" s="76"/>
      <c r="J502" s="76" t="s">
        <v>31</v>
      </c>
      <c r="K502" s="76" t="s">
        <v>31</v>
      </c>
      <c r="L502" s="76" t="s">
        <v>31</v>
      </c>
      <c r="M502" s="76" t="s">
        <v>31</v>
      </c>
      <c r="N502" s="76"/>
      <c r="U502" s="81"/>
    </row>
    <row r="503" spans="1:21" ht="20.25" customHeight="1" x14ac:dyDescent="0.35">
      <c r="A503" s="66" t="s">
        <v>30</v>
      </c>
      <c r="C503" s="67"/>
      <c r="D503" s="92" t="str">
        <f t="shared" ref="D503" si="335">E503</f>
        <v>E100040</v>
      </c>
      <c r="E503" s="91" t="str">
        <f>"E100040"</f>
        <v>E100040</v>
      </c>
      <c r="F503" s="89" t="str">
        <f>"Wave Mug"</f>
        <v>Wave Mug</v>
      </c>
      <c r="G503" s="89"/>
      <c r="H503" s="90" t="str">
        <f>"EA"</f>
        <v>EA</v>
      </c>
      <c r="I503" s="89"/>
      <c r="J503" s="89"/>
      <c r="K503" s="89"/>
      <c r="L503" s="89"/>
      <c r="M503" s="89"/>
      <c r="N503" s="89"/>
      <c r="O503" s="88">
        <f>(SUBTOTAL(9,O504:O507))</f>
        <v>499.99999999999994</v>
      </c>
      <c r="P503" s="88">
        <f>(SUBTOTAL(9,P504:P507))</f>
        <v>-288</v>
      </c>
      <c r="Q503" s="88">
        <f>(SUBTOTAL(9,Q504:Q507))</f>
        <v>0</v>
      </c>
      <c r="R503" s="88">
        <f>(SUBTOTAL(9,R504:R507))</f>
        <v>0</v>
      </c>
      <c r="S503" s="88">
        <f>(SUBTOTAL(9,S504:S507))</f>
        <v>0</v>
      </c>
      <c r="T503" s="88">
        <f>(SUBTOTAL(9,T504:T507))</f>
        <v>0</v>
      </c>
      <c r="U503" s="87">
        <f t="shared" ref="U503" si="336">SUBTOTAL(9,O504:T507)</f>
        <v>211.99999999999994</v>
      </c>
    </row>
    <row r="504" spans="1:21" ht="17.25" customHeight="1" x14ac:dyDescent="0.3">
      <c r="A504" s="66" t="s">
        <v>30</v>
      </c>
      <c r="C504" s="67"/>
      <c r="D504" s="77" t="str">
        <f t="shared" ref="D504" si="337">D503</f>
        <v>E100040</v>
      </c>
      <c r="E504" s="77"/>
      <c r="F504" s="76"/>
      <c r="G504" s="76" t="str">
        <f>"""NAV Direct"",""CRONUS JetCorp USA"",""32"",""1"",""168616"""</f>
        <v>"NAV Direct","CRONUS JetCorp USA","32","1","168616"</v>
      </c>
      <c r="H504" s="86">
        <v>43466</v>
      </c>
      <c r="I504" s="85">
        <v>168616</v>
      </c>
      <c r="J504" s="84" t="str">
        <f>"Vendor"</f>
        <v>Vendor</v>
      </c>
      <c r="K504" s="84" t="str">
        <f>"V100040"</f>
        <v>V100040</v>
      </c>
      <c r="L504" s="84" t="str">
        <f>IF($J504="Customer",_xll.NL("first",$J504,"Name","No.","@@"&amp;$K504),"")</f>
        <v/>
      </c>
      <c r="M504" s="84" t="str">
        <f>"Technische Betriebe Rotkreuz"</f>
        <v>Technische Betriebe Rotkreuz</v>
      </c>
      <c r="N504" s="84" t="str">
        <f>IF($J504="Item",_xll.NL("first",$J504,"Description","No.","@@"&amp;$K504),"")</f>
        <v/>
      </c>
      <c r="O504" s="83">
        <v>499.99999999999994</v>
      </c>
      <c r="P504" s="83">
        <v>0</v>
      </c>
      <c r="Q504" s="83">
        <v>0</v>
      </c>
      <c r="R504" s="83">
        <v>0</v>
      </c>
      <c r="S504" s="83">
        <v>0</v>
      </c>
      <c r="T504" s="83">
        <v>0</v>
      </c>
      <c r="U504" s="82"/>
    </row>
    <row r="505" spans="1:21" ht="17.25" customHeight="1" x14ac:dyDescent="0.3">
      <c r="A505" s="66" t="s">
        <v>30</v>
      </c>
      <c r="C505" s="67"/>
      <c r="D505" s="77" t="str">
        <f t="shared" ref="D505:D506" si="338">D504</f>
        <v>E100040</v>
      </c>
      <c r="E505" s="77"/>
      <c r="F505" s="76"/>
      <c r="G505" s="76" t="str">
        <f>"""NAV Direct"",""CRONUS JetCorp USA"",""32"",""1"",""78836"""</f>
        <v>"NAV Direct","CRONUS JetCorp USA","32","1","78836"</v>
      </c>
      <c r="H505" s="86">
        <v>43468</v>
      </c>
      <c r="I505" s="85">
        <v>78836</v>
      </c>
      <c r="J505" s="84" t="str">
        <f>"Customer"</f>
        <v>Customer</v>
      </c>
      <c r="K505" s="84" t="str">
        <f>"C100117"</f>
        <v>C100117</v>
      </c>
      <c r="L505" s="84" t="str">
        <f>IF($J505="Customer",_xll.NL("first",$J505,"Name","No.","@@"&amp;$K505),"")</f>
        <v xml:space="preserve">Tintax </v>
      </c>
      <c r="M505" s="84" t="str">
        <f>""</f>
        <v/>
      </c>
      <c r="N505" s="84" t="str">
        <f>IF($J505="Item",_xll.NL("first",$J505,"Description","No.","@@"&amp;$K505),"")</f>
        <v/>
      </c>
      <c r="O505" s="83">
        <v>0</v>
      </c>
      <c r="P505" s="83">
        <v>-144</v>
      </c>
      <c r="Q505" s="83">
        <v>0</v>
      </c>
      <c r="R505" s="83">
        <v>0</v>
      </c>
      <c r="S505" s="83">
        <v>0</v>
      </c>
      <c r="T505" s="83">
        <v>0</v>
      </c>
      <c r="U505" s="82"/>
    </row>
    <row r="506" spans="1:21" ht="17.25" customHeight="1" x14ac:dyDescent="0.3">
      <c r="A506" s="66" t="s">
        <v>30</v>
      </c>
      <c r="C506" s="67"/>
      <c r="D506" s="77" t="str">
        <f t="shared" si="338"/>
        <v>E100040</v>
      </c>
      <c r="E506" s="77"/>
      <c r="F506" s="76"/>
      <c r="G506" s="76" t="str">
        <f>"""NAV Direct"",""CRONUS JetCorp USA"",""32"",""1"",""78901"""</f>
        <v>"NAV Direct","CRONUS JetCorp USA","32","1","78901"</v>
      </c>
      <c r="H506" s="86">
        <v>43475</v>
      </c>
      <c r="I506" s="85">
        <v>78901</v>
      </c>
      <c r="J506" s="84" t="str">
        <f>"Customer"</f>
        <v>Customer</v>
      </c>
      <c r="K506" s="84" t="str">
        <f>"C100128"</f>
        <v>C100128</v>
      </c>
      <c r="L506" s="84" t="str">
        <f>IF($J506="Customer",_xll.NL("first",$J506,"Name","No.","@@"&amp;$K506),"")</f>
        <v>Solar Tech</v>
      </c>
      <c r="M506" s="84" t="str">
        <f>""</f>
        <v/>
      </c>
      <c r="N506" s="84" t="str">
        <f>IF($J506="Item",_xll.NL("first",$J506,"Description","No.","@@"&amp;$K506),"")</f>
        <v/>
      </c>
      <c r="O506" s="83">
        <v>0</v>
      </c>
      <c r="P506" s="83">
        <v>-144</v>
      </c>
      <c r="Q506" s="83">
        <v>0</v>
      </c>
      <c r="R506" s="83">
        <v>0</v>
      </c>
      <c r="S506" s="83">
        <v>0</v>
      </c>
      <c r="T506" s="83">
        <v>0</v>
      </c>
      <c r="U506" s="82"/>
    </row>
    <row r="507" spans="1:21" ht="17.25" customHeight="1" x14ac:dyDescent="0.3">
      <c r="A507" s="66" t="s">
        <v>30</v>
      </c>
      <c r="C507" s="67"/>
      <c r="D507" s="77"/>
      <c r="E507" s="77"/>
      <c r="F507" s="76"/>
      <c r="G507" s="76"/>
      <c r="H507" s="76"/>
      <c r="I507" s="76"/>
      <c r="J507" s="76"/>
      <c r="K507" s="76"/>
      <c r="L507" s="76"/>
      <c r="M507" s="76"/>
      <c r="N507" s="76"/>
      <c r="O507" s="75"/>
      <c r="P507" s="75"/>
      <c r="Q507" s="75"/>
      <c r="R507" s="75"/>
      <c r="S507" s="75"/>
      <c r="T507" s="75"/>
      <c r="U507" s="74"/>
    </row>
    <row r="508" spans="1:21" ht="17.25" customHeight="1" x14ac:dyDescent="0.3">
      <c r="A508" s="66" t="s">
        <v>30</v>
      </c>
      <c r="C508" s="67"/>
      <c r="D508" s="77"/>
      <c r="E508" s="77" t="s">
        <v>31</v>
      </c>
      <c r="F508" s="76" t="s">
        <v>31</v>
      </c>
      <c r="G508" s="76" t="s">
        <v>31</v>
      </c>
      <c r="H508" s="76"/>
      <c r="I508" s="76"/>
      <c r="J508" s="76" t="s">
        <v>31</v>
      </c>
      <c r="K508" s="76" t="s">
        <v>31</v>
      </c>
      <c r="L508" s="76" t="s">
        <v>31</v>
      </c>
      <c r="M508" s="76" t="s">
        <v>31</v>
      </c>
      <c r="N508" s="76"/>
      <c r="U508" s="81"/>
    </row>
    <row r="509" spans="1:21" ht="20.25" customHeight="1" x14ac:dyDescent="0.35">
      <c r="A509" s="66" t="s">
        <v>30</v>
      </c>
      <c r="C509" s="67"/>
      <c r="D509" s="92" t="str">
        <f t="shared" ref="D509" si="339">E509</f>
        <v>E100041</v>
      </c>
      <c r="E509" s="91" t="str">
        <f>"E100041"</f>
        <v>E100041</v>
      </c>
      <c r="F509" s="89" t="str">
        <f>"Biodegradable Colored SPORT BOT"</f>
        <v>Biodegradable Colored SPORT BOT</v>
      </c>
      <c r="G509" s="89"/>
      <c r="H509" s="90" t="str">
        <f>"EA"</f>
        <v>EA</v>
      </c>
      <c r="I509" s="89"/>
      <c r="J509" s="89"/>
      <c r="K509" s="89"/>
      <c r="L509" s="89"/>
      <c r="M509" s="89"/>
      <c r="N509" s="89"/>
      <c r="O509" s="88">
        <f>(SUBTOTAL(9,O510:O513))</f>
        <v>750</v>
      </c>
      <c r="P509" s="88">
        <f>(SUBTOTAL(9,P510:P513))</f>
        <v>-288</v>
      </c>
      <c r="Q509" s="88">
        <f>(SUBTOTAL(9,Q510:Q513))</f>
        <v>0</v>
      </c>
      <c r="R509" s="88">
        <f>(SUBTOTAL(9,R510:R513))</f>
        <v>0</v>
      </c>
      <c r="S509" s="88">
        <f>(SUBTOTAL(9,S510:S513))</f>
        <v>0</v>
      </c>
      <c r="T509" s="88">
        <f>(SUBTOTAL(9,T510:T513))</f>
        <v>0</v>
      </c>
      <c r="U509" s="87">
        <f t="shared" ref="U509" si="340">SUBTOTAL(9,O510:T513)</f>
        <v>462</v>
      </c>
    </row>
    <row r="510" spans="1:21" ht="17.25" customHeight="1" x14ac:dyDescent="0.3">
      <c r="A510" s="66" t="s">
        <v>30</v>
      </c>
      <c r="C510" s="67"/>
      <c r="D510" s="77" t="str">
        <f t="shared" ref="D510" si="341">D509</f>
        <v>E100041</v>
      </c>
      <c r="E510" s="77"/>
      <c r="F510" s="76"/>
      <c r="G510" s="76" t="str">
        <f>"""NAV Direct"",""CRONUS JetCorp USA"",""32"",""1"",""168615"""</f>
        <v>"NAV Direct","CRONUS JetCorp USA","32","1","168615"</v>
      </c>
      <c r="H510" s="86">
        <v>43466</v>
      </c>
      <c r="I510" s="85">
        <v>168615</v>
      </c>
      <c r="J510" s="84" t="str">
        <f>"Vendor"</f>
        <v>Vendor</v>
      </c>
      <c r="K510" s="84" t="str">
        <f>"V100040"</f>
        <v>V100040</v>
      </c>
      <c r="L510" s="84" t="str">
        <f>IF($J510="Customer",_xll.NL("first",$J510,"Name","No.","@@"&amp;$K510),"")</f>
        <v/>
      </c>
      <c r="M510" s="84" t="str">
        <f>"Technische Betriebe Rotkreuz"</f>
        <v>Technische Betriebe Rotkreuz</v>
      </c>
      <c r="N510" s="84" t="str">
        <f>IF($J510="Item",_xll.NL("first",$J510,"Description","No.","@@"&amp;$K510),"")</f>
        <v/>
      </c>
      <c r="O510" s="83">
        <v>750</v>
      </c>
      <c r="P510" s="83">
        <v>0</v>
      </c>
      <c r="Q510" s="83">
        <v>0</v>
      </c>
      <c r="R510" s="83">
        <v>0</v>
      </c>
      <c r="S510" s="83">
        <v>0</v>
      </c>
      <c r="T510" s="83">
        <v>0</v>
      </c>
      <c r="U510" s="82"/>
    </row>
    <row r="511" spans="1:21" ht="17.25" customHeight="1" x14ac:dyDescent="0.3">
      <c r="A511" s="66" t="s">
        <v>30</v>
      </c>
      <c r="C511" s="67"/>
      <c r="D511" s="77" t="str">
        <f t="shared" ref="D511:D512" si="342">D510</f>
        <v>E100041</v>
      </c>
      <c r="E511" s="77"/>
      <c r="F511" s="76"/>
      <c r="G511" s="76" t="str">
        <f>"""NAV Direct"",""CRONUS JetCorp USA"",""32"",""1"",""78851"""</f>
        <v>"NAV Direct","CRONUS JetCorp USA","32","1","78851"</v>
      </c>
      <c r="H511" s="86">
        <v>43470</v>
      </c>
      <c r="I511" s="85">
        <v>78851</v>
      </c>
      <c r="J511" s="84" t="str">
        <f>"Customer"</f>
        <v>Customer</v>
      </c>
      <c r="K511" s="84" t="str">
        <f>"C100117"</f>
        <v>C100117</v>
      </c>
      <c r="L511" s="84" t="str">
        <f>IF($J511="Customer",_xll.NL("first",$J511,"Name","No.","@@"&amp;$K511),"")</f>
        <v xml:space="preserve">Tintax </v>
      </c>
      <c r="M511" s="84" t="str">
        <f>""</f>
        <v/>
      </c>
      <c r="N511" s="84" t="str">
        <f>IF($J511="Item",_xll.NL("first",$J511,"Description","No.","@@"&amp;$K511),"")</f>
        <v/>
      </c>
      <c r="O511" s="83">
        <v>0</v>
      </c>
      <c r="P511" s="83">
        <v>-144</v>
      </c>
      <c r="Q511" s="83">
        <v>0</v>
      </c>
      <c r="R511" s="83">
        <v>0</v>
      </c>
      <c r="S511" s="83">
        <v>0</v>
      </c>
      <c r="T511" s="83">
        <v>0</v>
      </c>
      <c r="U511" s="82"/>
    </row>
    <row r="512" spans="1:21" ht="17.25" customHeight="1" x14ac:dyDescent="0.3">
      <c r="A512" s="66" t="s">
        <v>30</v>
      </c>
      <c r="C512" s="67"/>
      <c r="D512" s="77" t="str">
        <f t="shared" si="342"/>
        <v>E100041</v>
      </c>
      <c r="E512" s="77"/>
      <c r="F512" s="76"/>
      <c r="G512" s="76" t="str">
        <f>"""NAV Direct"",""CRONUS JetCorp USA"",""32"",""1"",""78864"""</f>
        <v>"NAV Direct","CRONUS JetCorp USA","32","1","78864"</v>
      </c>
      <c r="H512" s="86">
        <v>43476</v>
      </c>
      <c r="I512" s="85">
        <v>78864</v>
      </c>
      <c r="J512" s="84" t="str">
        <f>"Customer"</f>
        <v>Customer</v>
      </c>
      <c r="K512" s="84" t="str">
        <f>"C100117"</f>
        <v>C100117</v>
      </c>
      <c r="L512" s="84" t="str">
        <f>IF($J512="Customer",_xll.NL("first",$J512,"Name","No.","@@"&amp;$K512),"")</f>
        <v xml:space="preserve">Tintax </v>
      </c>
      <c r="M512" s="84" t="str">
        <f>""</f>
        <v/>
      </c>
      <c r="N512" s="84" t="str">
        <f>IF($J512="Item",_xll.NL("first",$J512,"Description","No.","@@"&amp;$K512),"")</f>
        <v/>
      </c>
      <c r="O512" s="83">
        <v>0</v>
      </c>
      <c r="P512" s="83">
        <v>-144</v>
      </c>
      <c r="Q512" s="83">
        <v>0</v>
      </c>
      <c r="R512" s="83">
        <v>0</v>
      </c>
      <c r="S512" s="83">
        <v>0</v>
      </c>
      <c r="T512" s="83">
        <v>0</v>
      </c>
      <c r="U512" s="82"/>
    </row>
    <row r="513" spans="1:21" ht="17.25" customHeight="1" x14ac:dyDescent="0.3">
      <c r="A513" s="66" t="s">
        <v>30</v>
      </c>
      <c r="C513" s="67"/>
      <c r="D513" s="77"/>
      <c r="E513" s="77"/>
      <c r="F513" s="76"/>
      <c r="G513" s="76"/>
      <c r="H513" s="76"/>
      <c r="I513" s="76"/>
      <c r="J513" s="76"/>
      <c r="K513" s="76"/>
      <c r="L513" s="76"/>
      <c r="M513" s="76"/>
      <c r="N513" s="76"/>
      <c r="O513" s="75"/>
      <c r="P513" s="75"/>
      <c r="Q513" s="75"/>
      <c r="R513" s="75"/>
      <c r="S513" s="75"/>
      <c r="T513" s="75"/>
      <c r="U513" s="74"/>
    </row>
    <row r="514" spans="1:21" ht="17.25" customHeight="1" x14ac:dyDescent="0.3">
      <c r="A514" s="66" t="s">
        <v>30</v>
      </c>
      <c r="C514" s="67"/>
      <c r="D514" s="77"/>
      <c r="E514" s="77" t="s">
        <v>31</v>
      </c>
      <c r="F514" s="76" t="s">
        <v>31</v>
      </c>
      <c r="G514" s="76" t="s">
        <v>31</v>
      </c>
      <c r="H514" s="76"/>
      <c r="I514" s="76"/>
      <c r="J514" s="76" t="s">
        <v>31</v>
      </c>
      <c r="K514" s="76" t="s">
        <v>31</v>
      </c>
      <c r="L514" s="76" t="s">
        <v>31</v>
      </c>
      <c r="M514" s="76" t="s">
        <v>31</v>
      </c>
      <c r="N514" s="76"/>
      <c r="U514" s="81"/>
    </row>
    <row r="515" spans="1:21" ht="20.25" customHeight="1" x14ac:dyDescent="0.35">
      <c r="A515" s="66" t="s">
        <v>30</v>
      </c>
      <c r="C515" s="67"/>
      <c r="D515" s="92" t="str">
        <f t="shared" ref="D515" si="343">E515</f>
        <v>E100042</v>
      </c>
      <c r="E515" s="91" t="str">
        <f>"E100042"</f>
        <v>E100042</v>
      </c>
      <c r="F515" s="89" t="str">
        <f>"Soft Touch Travel Mug"</f>
        <v>Soft Touch Travel Mug</v>
      </c>
      <c r="G515" s="89"/>
      <c r="H515" s="90" t="str">
        <f>"EA"</f>
        <v>EA</v>
      </c>
      <c r="I515" s="89"/>
      <c r="J515" s="89"/>
      <c r="K515" s="89"/>
      <c r="L515" s="89"/>
      <c r="M515" s="89"/>
      <c r="N515" s="89"/>
      <c r="O515" s="88">
        <f>(SUBTOTAL(9,O516:O518))</f>
        <v>0</v>
      </c>
      <c r="P515" s="88">
        <f>(SUBTOTAL(9,P516:P518))</f>
        <v>-288</v>
      </c>
      <c r="Q515" s="88">
        <f>(SUBTOTAL(9,Q516:Q518))</f>
        <v>0</v>
      </c>
      <c r="R515" s="88">
        <f>(SUBTOTAL(9,R516:R518))</f>
        <v>0</v>
      </c>
      <c r="S515" s="88">
        <f>(SUBTOTAL(9,S516:S518))</f>
        <v>0</v>
      </c>
      <c r="T515" s="88">
        <f>(SUBTOTAL(9,T516:T518))</f>
        <v>0</v>
      </c>
      <c r="U515" s="87">
        <f t="shared" ref="U515" si="344">SUBTOTAL(9,O516:T518)</f>
        <v>-288</v>
      </c>
    </row>
    <row r="516" spans="1:21" ht="17.25" customHeight="1" x14ac:dyDescent="0.3">
      <c r="A516" s="66" t="s">
        <v>30</v>
      </c>
      <c r="C516" s="67"/>
      <c r="D516" s="77" t="str">
        <f t="shared" ref="D516" si="345">D515</f>
        <v>E100042</v>
      </c>
      <c r="E516" s="77"/>
      <c r="F516" s="76"/>
      <c r="G516" s="76" t="str">
        <f>"""NAV Direct"",""CRONUS JetCorp USA"",""32"",""1"",""78831"""</f>
        <v>"NAV Direct","CRONUS JetCorp USA","32","1","78831"</v>
      </c>
      <c r="H516" s="86">
        <v>43468</v>
      </c>
      <c r="I516" s="85">
        <v>78831</v>
      </c>
      <c r="J516" s="84" t="str">
        <f>"Customer"</f>
        <v>Customer</v>
      </c>
      <c r="K516" s="84" t="str">
        <f>"C100117"</f>
        <v>C100117</v>
      </c>
      <c r="L516" s="84" t="str">
        <f>IF($J516="Customer",_xll.NL("first",$J516,"Name","No.","@@"&amp;$K516),"")</f>
        <v xml:space="preserve">Tintax </v>
      </c>
      <c r="M516" s="84" t="str">
        <f>""</f>
        <v/>
      </c>
      <c r="N516" s="84" t="str">
        <f>IF($J516="Item",_xll.NL("first",$J516,"Description","No.","@@"&amp;$K516),"")</f>
        <v/>
      </c>
      <c r="O516" s="83">
        <v>0</v>
      </c>
      <c r="P516" s="83">
        <v>-144</v>
      </c>
      <c r="Q516" s="83">
        <v>0</v>
      </c>
      <c r="R516" s="83">
        <v>0</v>
      </c>
      <c r="S516" s="83">
        <v>0</v>
      </c>
      <c r="T516" s="83">
        <v>0</v>
      </c>
      <c r="U516" s="82"/>
    </row>
    <row r="517" spans="1:21" ht="17.25" customHeight="1" x14ac:dyDescent="0.3">
      <c r="A517" s="66" t="s">
        <v>30</v>
      </c>
      <c r="C517" s="67"/>
      <c r="D517" s="77" t="str">
        <f t="shared" ref="D517" si="346">D516</f>
        <v>E100042</v>
      </c>
      <c r="E517" s="77"/>
      <c r="F517" s="76"/>
      <c r="G517" s="76" t="str">
        <f>"""NAV Direct"",""CRONUS JetCorp USA"",""32"",""1"",""72511"""</f>
        <v>"NAV Direct","CRONUS JetCorp USA","32","1","72511"</v>
      </c>
      <c r="H517" s="86">
        <v>43471</v>
      </c>
      <c r="I517" s="85">
        <v>72511</v>
      </c>
      <c r="J517" s="84" t="str">
        <f>"Customer"</f>
        <v>Customer</v>
      </c>
      <c r="K517" s="84" t="str">
        <f>"C100107"</f>
        <v>C100107</v>
      </c>
      <c r="L517" s="84" t="str">
        <f>IF($J517="Customer",_xll.NL("first",$J517,"Name","No.","@@"&amp;$K517),"")</f>
        <v>Lexitechnology</v>
      </c>
      <c r="M517" s="84" t="str">
        <f>""</f>
        <v/>
      </c>
      <c r="N517" s="84" t="str">
        <f>IF($J517="Item",_xll.NL("first",$J517,"Description","No.","@@"&amp;$K517),"")</f>
        <v/>
      </c>
      <c r="O517" s="83">
        <v>0</v>
      </c>
      <c r="P517" s="83">
        <v>-144</v>
      </c>
      <c r="Q517" s="83">
        <v>0</v>
      </c>
      <c r="R517" s="83">
        <v>0</v>
      </c>
      <c r="S517" s="83">
        <v>0</v>
      </c>
      <c r="T517" s="83">
        <v>0</v>
      </c>
      <c r="U517" s="82"/>
    </row>
    <row r="518" spans="1:21" ht="17.25" customHeight="1" x14ac:dyDescent="0.3">
      <c r="A518" s="66" t="s">
        <v>30</v>
      </c>
      <c r="C518" s="67"/>
      <c r="D518" s="77"/>
      <c r="E518" s="77"/>
      <c r="F518" s="76"/>
      <c r="G518" s="76"/>
      <c r="H518" s="76"/>
      <c r="I518" s="76"/>
      <c r="J518" s="76"/>
      <c r="K518" s="76"/>
      <c r="L518" s="76"/>
      <c r="M518" s="76"/>
      <c r="N518" s="76"/>
      <c r="O518" s="75"/>
      <c r="P518" s="75"/>
      <c r="Q518" s="75"/>
      <c r="R518" s="75"/>
      <c r="S518" s="75"/>
      <c r="T518" s="75"/>
      <c r="U518" s="74"/>
    </row>
    <row r="519" spans="1:21" ht="17.25" customHeight="1" x14ac:dyDescent="0.3">
      <c r="A519" s="66" t="s">
        <v>30</v>
      </c>
      <c r="C519" s="67"/>
      <c r="D519" s="77"/>
      <c r="E519" s="77" t="s">
        <v>31</v>
      </c>
      <c r="F519" s="76" t="s">
        <v>31</v>
      </c>
      <c r="G519" s="76" t="s">
        <v>31</v>
      </c>
      <c r="H519" s="76"/>
      <c r="I519" s="76"/>
      <c r="J519" s="76" t="s">
        <v>31</v>
      </c>
      <c r="K519" s="76" t="s">
        <v>31</v>
      </c>
      <c r="L519" s="76" t="s">
        <v>31</v>
      </c>
      <c r="M519" s="76" t="s">
        <v>31</v>
      </c>
      <c r="N519" s="76"/>
      <c r="U519" s="81"/>
    </row>
    <row r="520" spans="1:21" ht="20.25" customHeight="1" x14ac:dyDescent="0.35">
      <c r="A520" s="66" t="s">
        <v>30</v>
      </c>
      <c r="C520" s="67"/>
      <c r="D520" s="92" t="str">
        <f t="shared" ref="D520" si="347">E520</f>
        <v>E100043</v>
      </c>
      <c r="E520" s="91" t="str">
        <f>"E100043"</f>
        <v>E100043</v>
      </c>
      <c r="F520" s="89" t="str">
        <f>"Pub Glass"</f>
        <v>Pub Glass</v>
      </c>
      <c r="G520" s="89"/>
      <c r="H520" s="90" t="str">
        <f>"EA"</f>
        <v>EA</v>
      </c>
      <c r="I520" s="89"/>
      <c r="J520" s="89"/>
      <c r="K520" s="89"/>
      <c r="L520" s="89"/>
      <c r="M520" s="89"/>
      <c r="N520" s="89"/>
      <c r="O520" s="88">
        <f>(SUBTOTAL(9,O521:O524))</f>
        <v>750</v>
      </c>
      <c r="P520" s="88">
        <f>(SUBTOTAL(9,P521:P524))</f>
        <v>-288</v>
      </c>
      <c r="Q520" s="88">
        <f>(SUBTOTAL(9,Q521:Q524))</f>
        <v>0</v>
      </c>
      <c r="R520" s="88">
        <f>(SUBTOTAL(9,R521:R524))</f>
        <v>0</v>
      </c>
      <c r="S520" s="88">
        <f>(SUBTOTAL(9,S521:S524))</f>
        <v>0</v>
      </c>
      <c r="T520" s="88">
        <f>(SUBTOTAL(9,T521:T524))</f>
        <v>0</v>
      </c>
      <c r="U520" s="87">
        <f t="shared" ref="U520" si="348">SUBTOTAL(9,O521:T524)</f>
        <v>462</v>
      </c>
    </row>
    <row r="521" spans="1:21" ht="17.25" customHeight="1" x14ac:dyDescent="0.3">
      <c r="A521" s="66" t="s">
        <v>30</v>
      </c>
      <c r="C521" s="67"/>
      <c r="D521" s="77" t="str">
        <f t="shared" ref="D521" si="349">D520</f>
        <v>E100043</v>
      </c>
      <c r="E521" s="77"/>
      <c r="F521" s="76"/>
      <c r="G521" s="76" t="str">
        <f>"""NAV Direct"",""CRONUS JetCorp USA"",""32"",""1"",""168614"""</f>
        <v>"NAV Direct","CRONUS JetCorp USA","32","1","168614"</v>
      </c>
      <c r="H521" s="86">
        <v>43466</v>
      </c>
      <c r="I521" s="85">
        <v>168614</v>
      </c>
      <c r="J521" s="84" t="str">
        <f>"Vendor"</f>
        <v>Vendor</v>
      </c>
      <c r="K521" s="84" t="str">
        <f>"V100040"</f>
        <v>V100040</v>
      </c>
      <c r="L521" s="84" t="str">
        <f>IF($J521="Customer",_xll.NL("first",$J521,"Name","No.","@@"&amp;$K521),"")</f>
        <v/>
      </c>
      <c r="M521" s="84" t="str">
        <f>"Technische Betriebe Rotkreuz"</f>
        <v>Technische Betriebe Rotkreuz</v>
      </c>
      <c r="N521" s="84" t="str">
        <f>IF($J521="Item",_xll.NL("first",$J521,"Description","No.","@@"&amp;$K521),"")</f>
        <v/>
      </c>
      <c r="O521" s="83">
        <v>750</v>
      </c>
      <c r="P521" s="83">
        <v>0</v>
      </c>
      <c r="Q521" s="83">
        <v>0</v>
      </c>
      <c r="R521" s="83">
        <v>0</v>
      </c>
      <c r="S521" s="83">
        <v>0</v>
      </c>
      <c r="T521" s="83">
        <v>0</v>
      </c>
      <c r="U521" s="82"/>
    </row>
    <row r="522" spans="1:21" ht="17.25" customHeight="1" x14ac:dyDescent="0.3">
      <c r="A522" s="66" t="s">
        <v>30</v>
      </c>
      <c r="C522" s="67"/>
      <c r="D522" s="77" t="str">
        <f t="shared" ref="D522:D523" si="350">D521</f>
        <v>E100043</v>
      </c>
      <c r="E522" s="77"/>
      <c r="F522" s="76"/>
      <c r="G522" s="76" t="str">
        <f>"""NAV Direct"",""CRONUS JetCorp USA"",""32"",""1"",""78848"""</f>
        <v>"NAV Direct","CRONUS JetCorp USA","32","1","78848"</v>
      </c>
      <c r="H522" s="86">
        <v>43470</v>
      </c>
      <c r="I522" s="85">
        <v>78848</v>
      </c>
      <c r="J522" s="84" t="str">
        <f>"Customer"</f>
        <v>Customer</v>
      </c>
      <c r="K522" s="84" t="str">
        <f>"C100117"</f>
        <v>C100117</v>
      </c>
      <c r="L522" s="84" t="str">
        <f>IF($J522="Customer",_xll.NL("first",$J522,"Name","No.","@@"&amp;$K522),"")</f>
        <v xml:space="preserve">Tintax </v>
      </c>
      <c r="M522" s="84" t="str">
        <f>""</f>
        <v/>
      </c>
      <c r="N522" s="84" t="str">
        <f>IF($J522="Item",_xll.NL("first",$J522,"Description","No.","@@"&amp;$K522),"")</f>
        <v/>
      </c>
      <c r="O522" s="83">
        <v>0</v>
      </c>
      <c r="P522" s="83">
        <v>-144</v>
      </c>
      <c r="Q522" s="83">
        <v>0</v>
      </c>
      <c r="R522" s="83">
        <v>0</v>
      </c>
      <c r="S522" s="83">
        <v>0</v>
      </c>
      <c r="T522" s="83">
        <v>0</v>
      </c>
      <c r="U522" s="82"/>
    </row>
    <row r="523" spans="1:21" ht="17.25" customHeight="1" x14ac:dyDescent="0.3">
      <c r="A523" s="66" t="s">
        <v>30</v>
      </c>
      <c r="C523" s="67"/>
      <c r="D523" s="77" t="str">
        <f t="shared" si="350"/>
        <v>E100043</v>
      </c>
      <c r="E523" s="77"/>
      <c r="F523" s="76"/>
      <c r="G523" s="76" t="str">
        <f>"""NAV Direct"",""CRONUS JetCorp USA"",""32"",""1"",""72520"""</f>
        <v>"NAV Direct","CRONUS JetCorp USA","32","1","72520"</v>
      </c>
      <c r="H523" s="86">
        <v>43471</v>
      </c>
      <c r="I523" s="85">
        <v>72520</v>
      </c>
      <c r="J523" s="84" t="str">
        <f>"Customer"</f>
        <v>Customer</v>
      </c>
      <c r="K523" s="84" t="str">
        <f>"C100107"</f>
        <v>C100107</v>
      </c>
      <c r="L523" s="84" t="str">
        <f>IF($J523="Customer",_xll.NL("first",$J523,"Name","No.","@@"&amp;$K523),"")</f>
        <v>Lexitechnology</v>
      </c>
      <c r="M523" s="84" t="str">
        <f>""</f>
        <v/>
      </c>
      <c r="N523" s="84" t="str">
        <f>IF($J523="Item",_xll.NL("first",$J523,"Description","No.","@@"&amp;$K523),"")</f>
        <v/>
      </c>
      <c r="O523" s="83">
        <v>0</v>
      </c>
      <c r="P523" s="83">
        <v>-144</v>
      </c>
      <c r="Q523" s="83">
        <v>0</v>
      </c>
      <c r="R523" s="83">
        <v>0</v>
      </c>
      <c r="S523" s="83">
        <v>0</v>
      </c>
      <c r="T523" s="83">
        <v>0</v>
      </c>
      <c r="U523" s="82"/>
    </row>
    <row r="524" spans="1:21" ht="17.25" customHeight="1" x14ac:dyDescent="0.3">
      <c r="A524" s="66" t="s">
        <v>30</v>
      </c>
      <c r="C524" s="67"/>
      <c r="D524" s="77"/>
      <c r="E524" s="77"/>
      <c r="F524" s="76"/>
      <c r="G524" s="76"/>
      <c r="H524" s="76"/>
      <c r="I524" s="76"/>
      <c r="J524" s="76"/>
      <c r="K524" s="76"/>
      <c r="L524" s="76"/>
      <c r="M524" s="76"/>
      <c r="N524" s="76"/>
      <c r="O524" s="75"/>
      <c r="P524" s="75"/>
      <c r="Q524" s="75"/>
      <c r="R524" s="75"/>
      <c r="S524" s="75"/>
      <c r="T524" s="75"/>
      <c r="U524" s="74"/>
    </row>
    <row r="525" spans="1:21" ht="17.25" customHeight="1" x14ac:dyDescent="0.3">
      <c r="A525" s="66" t="s">
        <v>30</v>
      </c>
      <c r="C525" s="67"/>
      <c r="D525" s="77"/>
      <c r="E525" s="77" t="s">
        <v>31</v>
      </c>
      <c r="F525" s="76" t="s">
        <v>31</v>
      </c>
      <c r="G525" s="76" t="s">
        <v>31</v>
      </c>
      <c r="H525" s="76"/>
      <c r="I525" s="76"/>
      <c r="J525" s="76" t="s">
        <v>31</v>
      </c>
      <c r="K525" s="76" t="s">
        <v>31</v>
      </c>
      <c r="L525" s="76" t="s">
        <v>31</v>
      </c>
      <c r="M525" s="76" t="s">
        <v>31</v>
      </c>
      <c r="N525" s="76"/>
      <c r="U525" s="81"/>
    </row>
    <row r="526" spans="1:21" ht="20.25" customHeight="1" x14ac:dyDescent="0.35">
      <c r="A526" s="66" t="s">
        <v>30</v>
      </c>
      <c r="C526" s="67"/>
      <c r="D526" s="92" t="str">
        <f t="shared" ref="D526" si="351">E526</f>
        <v>E100044</v>
      </c>
      <c r="E526" s="91" t="str">
        <f>"E100044"</f>
        <v>E100044</v>
      </c>
      <c r="F526" s="89" t="str">
        <f>"Juice Glass"</f>
        <v>Juice Glass</v>
      </c>
      <c r="G526" s="89"/>
      <c r="H526" s="90" t="str">
        <f>"EA"</f>
        <v>EA</v>
      </c>
      <c r="I526" s="89"/>
      <c r="J526" s="89"/>
      <c r="K526" s="89"/>
      <c r="L526" s="89"/>
      <c r="M526" s="89"/>
      <c r="N526" s="89"/>
      <c r="O526" s="88">
        <f>(SUBTOTAL(9,O527:O531))</f>
        <v>750</v>
      </c>
      <c r="P526" s="88">
        <f>(SUBTOTAL(9,P527:P531))</f>
        <v>-432</v>
      </c>
      <c r="Q526" s="88">
        <f>(SUBTOTAL(9,Q527:Q531))</f>
        <v>0</v>
      </c>
      <c r="R526" s="88">
        <f>(SUBTOTAL(9,R527:R531))</f>
        <v>0</v>
      </c>
      <c r="S526" s="88">
        <f>(SUBTOTAL(9,S527:S531))</f>
        <v>0</v>
      </c>
      <c r="T526" s="88">
        <f>(SUBTOTAL(9,T527:T531))</f>
        <v>0</v>
      </c>
      <c r="U526" s="87">
        <f t="shared" ref="U526" si="352">SUBTOTAL(9,O527:T531)</f>
        <v>318</v>
      </c>
    </row>
    <row r="527" spans="1:21" ht="17.25" customHeight="1" x14ac:dyDescent="0.3">
      <c r="A527" s="66" t="s">
        <v>30</v>
      </c>
      <c r="C527" s="67"/>
      <c r="D527" s="77" t="str">
        <f t="shared" ref="D527" si="353">D526</f>
        <v>E100044</v>
      </c>
      <c r="E527" s="77"/>
      <c r="F527" s="76"/>
      <c r="G527" s="76" t="str">
        <f>"""NAV Direct"",""CRONUS JetCorp USA"",""32"",""1"",""168613"""</f>
        <v>"NAV Direct","CRONUS JetCorp USA","32","1","168613"</v>
      </c>
      <c r="H527" s="86">
        <v>43466</v>
      </c>
      <c r="I527" s="85">
        <v>168613</v>
      </c>
      <c r="J527" s="84" t="str">
        <f>"Vendor"</f>
        <v>Vendor</v>
      </c>
      <c r="K527" s="84" t="str">
        <f>"V100040"</f>
        <v>V100040</v>
      </c>
      <c r="L527" s="84" t="str">
        <f>IF($J527="Customer",_xll.NL("first",$J527,"Name","No.","@@"&amp;$K527),"")</f>
        <v/>
      </c>
      <c r="M527" s="84" t="str">
        <f>"Technische Betriebe Rotkreuz"</f>
        <v>Technische Betriebe Rotkreuz</v>
      </c>
      <c r="N527" s="84" t="str">
        <f>IF($J527="Item",_xll.NL("first",$J527,"Description","No.","@@"&amp;$K527),"")</f>
        <v/>
      </c>
      <c r="O527" s="83">
        <v>750</v>
      </c>
      <c r="P527" s="83">
        <v>0</v>
      </c>
      <c r="Q527" s="83">
        <v>0</v>
      </c>
      <c r="R527" s="83">
        <v>0</v>
      </c>
      <c r="S527" s="83">
        <v>0</v>
      </c>
      <c r="T527" s="83">
        <v>0</v>
      </c>
      <c r="U527" s="82"/>
    </row>
    <row r="528" spans="1:21" ht="17.25" customHeight="1" x14ac:dyDescent="0.3">
      <c r="A528" s="66" t="s">
        <v>30</v>
      </c>
      <c r="C528" s="67"/>
      <c r="D528" s="77" t="str">
        <f t="shared" ref="D528:D530" si="354">D527</f>
        <v>E100044</v>
      </c>
      <c r="E528" s="77"/>
      <c r="F528" s="76"/>
      <c r="G528" s="76" t="str">
        <f>"""NAV Direct"",""CRONUS JetCorp USA"",""32"",""1"",""78840"""</f>
        <v>"NAV Direct","CRONUS JetCorp USA","32","1","78840"</v>
      </c>
      <c r="H528" s="86">
        <v>43468</v>
      </c>
      <c r="I528" s="85">
        <v>78840</v>
      </c>
      <c r="J528" s="84" t="str">
        <f>"Customer"</f>
        <v>Customer</v>
      </c>
      <c r="K528" s="84" t="str">
        <f>"C100117"</f>
        <v>C100117</v>
      </c>
      <c r="L528" s="84" t="str">
        <f>IF($J528="Customer",_xll.NL("first",$J528,"Name","No.","@@"&amp;$K528),"")</f>
        <v xml:space="preserve">Tintax </v>
      </c>
      <c r="M528" s="84" t="str">
        <f>""</f>
        <v/>
      </c>
      <c r="N528" s="84" t="str">
        <f>IF($J528="Item",_xll.NL("first",$J528,"Description","No.","@@"&amp;$K528),"")</f>
        <v/>
      </c>
      <c r="O528" s="83">
        <v>0</v>
      </c>
      <c r="P528" s="83">
        <v>-144</v>
      </c>
      <c r="Q528" s="83">
        <v>0</v>
      </c>
      <c r="R528" s="83">
        <v>0</v>
      </c>
      <c r="S528" s="83">
        <v>0</v>
      </c>
      <c r="T528" s="83">
        <v>0</v>
      </c>
      <c r="U528" s="82"/>
    </row>
    <row r="529" spans="1:21" ht="17.25" customHeight="1" x14ac:dyDescent="0.3">
      <c r="A529" s="66" t="s">
        <v>30</v>
      </c>
      <c r="C529" s="67"/>
      <c r="D529" s="77" t="str">
        <f t="shared" si="354"/>
        <v>E100044</v>
      </c>
      <c r="E529" s="77"/>
      <c r="F529" s="76"/>
      <c r="G529" s="76" t="str">
        <f>"""NAV Direct"",""CRONUS JetCorp USA"",""32"",""1"",""78852"""</f>
        <v>"NAV Direct","CRONUS JetCorp USA","32","1","78852"</v>
      </c>
      <c r="H529" s="86">
        <v>43470</v>
      </c>
      <c r="I529" s="85">
        <v>78852</v>
      </c>
      <c r="J529" s="84" t="str">
        <f>"Customer"</f>
        <v>Customer</v>
      </c>
      <c r="K529" s="84" t="str">
        <f>"C100117"</f>
        <v>C100117</v>
      </c>
      <c r="L529" s="84" t="str">
        <f>IF($J529="Customer",_xll.NL("first",$J529,"Name","No.","@@"&amp;$K529),"")</f>
        <v xml:space="preserve">Tintax </v>
      </c>
      <c r="M529" s="84" t="str">
        <f>""</f>
        <v/>
      </c>
      <c r="N529" s="84" t="str">
        <f>IF($J529="Item",_xll.NL("first",$J529,"Description","No.","@@"&amp;$K529),"")</f>
        <v/>
      </c>
      <c r="O529" s="83">
        <v>0</v>
      </c>
      <c r="P529" s="83">
        <v>-144</v>
      </c>
      <c r="Q529" s="83">
        <v>0</v>
      </c>
      <c r="R529" s="83">
        <v>0</v>
      </c>
      <c r="S529" s="83">
        <v>0</v>
      </c>
      <c r="T529" s="83">
        <v>0</v>
      </c>
      <c r="U529" s="82"/>
    </row>
    <row r="530" spans="1:21" ht="17.25" customHeight="1" x14ac:dyDescent="0.3">
      <c r="A530" s="66" t="s">
        <v>30</v>
      </c>
      <c r="C530" s="67"/>
      <c r="D530" s="77" t="str">
        <f t="shared" si="354"/>
        <v>E100044</v>
      </c>
      <c r="E530" s="77"/>
      <c r="F530" s="76"/>
      <c r="G530" s="76" t="str">
        <f>"""NAV Direct"",""CRONUS JetCorp USA"",""32"",""1"",""72523"""</f>
        <v>"NAV Direct","CRONUS JetCorp USA","32","1","72523"</v>
      </c>
      <c r="H530" s="86">
        <v>43471</v>
      </c>
      <c r="I530" s="85">
        <v>72523</v>
      </c>
      <c r="J530" s="84" t="str">
        <f>"Customer"</f>
        <v>Customer</v>
      </c>
      <c r="K530" s="84" t="str">
        <f>"C100107"</f>
        <v>C100107</v>
      </c>
      <c r="L530" s="84" t="str">
        <f>IF($J530="Customer",_xll.NL("first",$J530,"Name","No.","@@"&amp;$K530),"")</f>
        <v>Lexitechnology</v>
      </c>
      <c r="M530" s="84" t="str">
        <f>""</f>
        <v/>
      </c>
      <c r="N530" s="84" t="str">
        <f>IF($J530="Item",_xll.NL("first",$J530,"Description","No.","@@"&amp;$K530),"")</f>
        <v/>
      </c>
      <c r="O530" s="83">
        <v>0</v>
      </c>
      <c r="P530" s="83">
        <v>-144</v>
      </c>
      <c r="Q530" s="83">
        <v>0</v>
      </c>
      <c r="R530" s="83">
        <v>0</v>
      </c>
      <c r="S530" s="83">
        <v>0</v>
      </c>
      <c r="T530" s="83">
        <v>0</v>
      </c>
      <c r="U530" s="82"/>
    </row>
    <row r="531" spans="1:21" ht="17.25" customHeight="1" x14ac:dyDescent="0.3">
      <c r="A531" s="66" t="s">
        <v>30</v>
      </c>
      <c r="C531" s="67"/>
      <c r="D531" s="77"/>
      <c r="E531" s="77"/>
      <c r="F531" s="76"/>
      <c r="G531" s="76"/>
      <c r="H531" s="76"/>
      <c r="I531" s="76"/>
      <c r="J531" s="76"/>
      <c r="K531" s="76"/>
      <c r="L531" s="76"/>
      <c r="M531" s="76"/>
      <c r="N531" s="76"/>
      <c r="O531" s="75"/>
      <c r="P531" s="75"/>
      <c r="Q531" s="75"/>
      <c r="R531" s="75"/>
      <c r="S531" s="75"/>
      <c r="T531" s="75"/>
      <c r="U531" s="74"/>
    </row>
    <row r="532" spans="1:21" ht="17.25" customHeight="1" x14ac:dyDescent="0.3">
      <c r="A532" s="66" t="s">
        <v>30</v>
      </c>
      <c r="C532" s="67"/>
      <c r="D532" s="77"/>
      <c r="E532" s="77" t="s">
        <v>31</v>
      </c>
      <c r="F532" s="76" t="s">
        <v>31</v>
      </c>
      <c r="G532" s="76" t="s">
        <v>31</v>
      </c>
      <c r="H532" s="76"/>
      <c r="I532" s="76"/>
      <c r="J532" s="76" t="s">
        <v>31</v>
      </c>
      <c r="K532" s="76" t="s">
        <v>31</v>
      </c>
      <c r="L532" s="76" t="s">
        <v>31</v>
      </c>
      <c r="M532" s="76" t="s">
        <v>31</v>
      </c>
      <c r="N532" s="76"/>
      <c r="U532" s="81"/>
    </row>
    <row r="533" spans="1:21" ht="20.25" customHeight="1" x14ac:dyDescent="0.35">
      <c r="A533" s="66" t="s">
        <v>30</v>
      </c>
      <c r="C533" s="67"/>
      <c r="D533" s="92" t="str">
        <f t="shared" ref="D533" si="355">E533</f>
        <v>E100046</v>
      </c>
      <c r="E533" s="91" t="str">
        <f>"E100046"</f>
        <v>E100046</v>
      </c>
      <c r="F533" s="89" t="str">
        <f>"Milk Bottle"</f>
        <v>Milk Bottle</v>
      </c>
      <c r="G533" s="89"/>
      <c r="H533" s="90" t="str">
        <f>"EA"</f>
        <v>EA</v>
      </c>
      <c r="I533" s="89"/>
      <c r="J533" s="89"/>
      <c r="K533" s="89"/>
      <c r="L533" s="89"/>
      <c r="M533" s="89"/>
      <c r="N533" s="89"/>
      <c r="O533" s="88">
        <f>(SUBTOTAL(9,O534:O537))</f>
        <v>750</v>
      </c>
      <c r="P533" s="88">
        <f>(SUBTOTAL(9,P534:P537))</f>
        <v>-25</v>
      </c>
      <c r="Q533" s="88">
        <f>(SUBTOTAL(9,Q534:Q537))</f>
        <v>0</v>
      </c>
      <c r="R533" s="88">
        <f>(SUBTOTAL(9,R534:R537))</f>
        <v>0</v>
      </c>
      <c r="S533" s="88">
        <f>(SUBTOTAL(9,S534:S537))</f>
        <v>0</v>
      </c>
      <c r="T533" s="88">
        <f>(SUBTOTAL(9,T534:T537))</f>
        <v>0</v>
      </c>
      <c r="U533" s="87">
        <f t="shared" ref="U533" si="356">SUBTOTAL(9,O534:T537)</f>
        <v>725</v>
      </c>
    </row>
    <row r="534" spans="1:21" ht="17.25" customHeight="1" x14ac:dyDescent="0.3">
      <c r="A534" s="66" t="s">
        <v>30</v>
      </c>
      <c r="C534" s="67"/>
      <c r="D534" s="77" t="str">
        <f t="shared" ref="D534" si="357">D533</f>
        <v>E100046</v>
      </c>
      <c r="E534" s="77"/>
      <c r="F534" s="76"/>
      <c r="G534" s="76" t="str">
        <f>"""NAV Direct"",""CRONUS JetCorp USA"",""32"",""1"",""168612"""</f>
        <v>"NAV Direct","CRONUS JetCorp USA","32","1","168612"</v>
      </c>
      <c r="H534" s="86">
        <v>43466</v>
      </c>
      <c r="I534" s="85">
        <v>168612</v>
      </c>
      <c r="J534" s="84" t="str">
        <f>"Vendor"</f>
        <v>Vendor</v>
      </c>
      <c r="K534" s="84" t="str">
        <f>"V100040"</f>
        <v>V100040</v>
      </c>
      <c r="L534" s="84" t="str">
        <f>IF($J534="Customer",_xll.NL("first",$J534,"Name","No.","@@"&amp;$K534),"")</f>
        <v/>
      </c>
      <c r="M534" s="84" t="str">
        <f>"Technische Betriebe Rotkreuz"</f>
        <v>Technische Betriebe Rotkreuz</v>
      </c>
      <c r="N534" s="84" t="str">
        <f>IF($J534="Item",_xll.NL("first",$J534,"Description","No.","@@"&amp;$K534),"")</f>
        <v/>
      </c>
      <c r="O534" s="83">
        <v>750</v>
      </c>
      <c r="P534" s="83">
        <v>0</v>
      </c>
      <c r="Q534" s="83">
        <v>0</v>
      </c>
      <c r="R534" s="83">
        <v>0</v>
      </c>
      <c r="S534" s="83">
        <v>0</v>
      </c>
      <c r="T534" s="83">
        <v>0</v>
      </c>
      <c r="U534" s="82"/>
    </row>
    <row r="535" spans="1:21" ht="17.25" customHeight="1" x14ac:dyDescent="0.3">
      <c r="A535" s="66" t="s">
        <v>30</v>
      </c>
      <c r="C535" s="67"/>
      <c r="D535" s="77" t="str">
        <f t="shared" ref="D535:D536" si="358">D534</f>
        <v>E100046</v>
      </c>
      <c r="E535" s="77"/>
      <c r="F535" s="76"/>
      <c r="G535" s="76" t="str">
        <f>"""NAV Direct"",""CRONUS JetCorp USA"",""32"",""1"",""78857"""</f>
        <v>"NAV Direct","CRONUS JetCorp USA","32","1","78857"</v>
      </c>
      <c r="H535" s="86">
        <v>43470</v>
      </c>
      <c r="I535" s="85">
        <v>78857</v>
      </c>
      <c r="J535" s="84" t="str">
        <f>"Customer"</f>
        <v>Customer</v>
      </c>
      <c r="K535" s="84" t="str">
        <f>"C100117"</f>
        <v>C100117</v>
      </c>
      <c r="L535" s="84" t="str">
        <f>IF($J535="Customer",_xll.NL("first",$J535,"Name","No.","@@"&amp;$K535),"")</f>
        <v xml:space="preserve">Tintax </v>
      </c>
      <c r="M535" s="84" t="str">
        <f>""</f>
        <v/>
      </c>
      <c r="N535" s="84" t="str">
        <f>IF($J535="Item",_xll.NL("first",$J535,"Description","No.","@@"&amp;$K535),"")</f>
        <v/>
      </c>
      <c r="O535" s="83">
        <v>0</v>
      </c>
      <c r="P535" s="83">
        <v>-1</v>
      </c>
      <c r="Q535" s="83">
        <v>0</v>
      </c>
      <c r="R535" s="83">
        <v>0</v>
      </c>
      <c r="S535" s="83">
        <v>0</v>
      </c>
      <c r="T535" s="83">
        <v>0</v>
      </c>
      <c r="U535" s="82"/>
    </row>
    <row r="536" spans="1:21" ht="17.25" customHeight="1" x14ac:dyDescent="0.3">
      <c r="A536" s="66" t="s">
        <v>30</v>
      </c>
      <c r="C536" s="67"/>
      <c r="D536" s="77" t="str">
        <f t="shared" si="358"/>
        <v>E100046</v>
      </c>
      <c r="E536" s="77"/>
      <c r="F536" s="76"/>
      <c r="G536" s="76" t="str">
        <f>"""NAV Direct"",""CRONUS JetCorp USA"",""32"",""1"",""78906"""</f>
        <v>"NAV Direct","CRONUS JetCorp USA","32","1","78906"</v>
      </c>
      <c r="H536" s="86">
        <v>43475</v>
      </c>
      <c r="I536" s="85">
        <v>78906</v>
      </c>
      <c r="J536" s="84" t="str">
        <f>"Customer"</f>
        <v>Customer</v>
      </c>
      <c r="K536" s="84" t="str">
        <f>"C100128"</f>
        <v>C100128</v>
      </c>
      <c r="L536" s="84" t="str">
        <f>IF($J536="Customer",_xll.NL("first",$J536,"Name","No.","@@"&amp;$K536),"")</f>
        <v>Solar Tech</v>
      </c>
      <c r="M536" s="84" t="str">
        <f>""</f>
        <v/>
      </c>
      <c r="N536" s="84" t="str">
        <f>IF($J536="Item",_xll.NL("first",$J536,"Description","No.","@@"&amp;$K536),"")</f>
        <v/>
      </c>
      <c r="O536" s="83">
        <v>0</v>
      </c>
      <c r="P536" s="83">
        <v>-24</v>
      </c>
      <c r="Q536" s="83">
        <v>0</v>
      </c>
      <c r="R536" s="83">
        <v>0</v>
      </c>
      <c r="S536" s="83">
        <v>0</v>
      </c>
      <c r="T536" s="83">
        <v>0</v>
      </c>
      <c r="U536" s="82"/>
    </row>
    <row r="537" spans="1:21" ht="17.25" customHeight="1" x14ac:dyDescent="0.3">
      <c r="A537" s="66" t="s">
        <v>30</v>
      </c>
      <c r="C537" s="67"/>
      <c r="D537" s="77"/>
      <c r="E537" s="77"/>
      <c r="F537" s="76"/>
      <c r="G537" s="76"/>
      <c r="H537" s="76"/>
      <c r="I537" s="76"/>
      <c r="J537" s="76"/>
      <c r="K537" s="76"/>
      <c r="L537" s="76"/>
      <c r="M537" s="76"/>
      <c r="N537" s="76"/>
      <c r="O537" s="75"/>
      <c r="P537" s="75"/>
      <c r="Q537" s="75"/>
      <c r="R537" s="75"/>
      <c r="S537" s="75"/>
      <c r="T537" s="75"/>
      <c r="U537" s="74"/>
    </row>
    <row r="538" spans="1:21" ht="17.25" customHeight="1" x14ac:dyDescent="0.3">
      <c r="A538" s="66" t="s">
        <v>30</v>
      </c>
      <c r="C538" s="67"/>
      <c r="D538" s="77"/>
      <c r="E538" s="77" t="s">
        <v>31</v>
      </c>
      <c r="F538" s="76" t="s">
        <v>31</v>
      </c>
      <c r="G538" s="76" t="s">
        <v>31</v>
      </c>
      <c r="H538" s="76"/>
      <c r="I538" s="76"/>
      <c r="J538" s="76" t="s">
        <v>31</v>
      </c>
      <c r="K538" s="76" t="s">
        <v>31</v>
      </c>
      <c r="L538" s="76" t="s">
        <v>31</v>
      </c>
      <c r="M538" s="76" t="s">
        <v>31</v>
      </c>
      <c r="N538" s="76"/>
      <c r="U538" s="81"/>
    </row>
    <row r="539" spans="1:21" ht="20.25" customHeight="1" x14ac:dyDescent="0.35">
      <c r="A539" s="66" t="s">
        <v>30</v>
      </c>
      <c r="C539" s="67"/>
      <c r="D539" s="92" t="str">
        <f t="shared" ref="D539" si="359">E539</f>
        <v>E100047</v>
      </c>
      <c r="E539" s="91" t="str">
        <f>"E100047"</f>
        <v>E100047</v>
      </c>
      <c r="F539" s="89" t="str">
        <f>"Chardonnay Glass"</f>
        <v>Chardonnay Glass</v>
      </c>
      <c r="G539" s="89"/>
      <c r="H539" s="90" t="str">
        <f>"EA"</f>
        <v>EA</v>
      </c>
      <c r="I539" s="89"/>
      <c r="J539" s="89"/>
      <c r="K539" s="89"/>
      <c r="L539" s="89"/>
      <c r="M539" s="89"/>
      <c r="N539" s="89"/>
      <c r="O539" s="88">
        <f>(SUBTOTAL(9,O540:O544))</f>
        <v>999.99999999999989</v>
      </c>
      <c r="P539" s="88">
        <f>(SUBTOTAL(9,P540:P544))</f>
        <v>-433</v>
      </c>
      <c r="Q539" s="88">
        <f>(SUBTOTAL(9,Q540:Q544))</f>
        <v>0</v>
      </c>
      <c r="R539" s="88">
        <f>(SUBTOTAL(9,R540:R544))</f>
        <v>0</v>
      </c>
      <c r="S539" s="88">
        <f>(SUBTOTAL(9,S540:S544))</f>
        <v>0</v>
      </c>
      <c r="T539" s="88">
        <f>(SUBTOTAL(9,T540:T544))</f>
        <v>0</v>
      </c>
      <c r="U539" s="87">
        <f t="shared" ref="U539" si="360">SUBTOTAL(9,O540:T544)</f>
        <v>566.99999999999989</v>
      </c>
    </row>
    <row r="540" spans="1:21" ht="17.25" customHeight="1" x14ac:dyDescent="0.3">
      <c r="A540" s="66" t="s">
        <v>30</v>
      </c>
      <c r="C540" s="67"/>
      <c r="D540" s="77" t="str">
        <f t="shared" ref="D540" si="361">D539</f>
        <v>E100047</v>
      </c>
      <c r="E540" s="77"/>
      <c r="F540" s="76"/>
      <c r="G540" s="76" t="str">
        <f>"""NAV Direct"",""CRONUS JetCorp USA"",""32"",""1"",""168611"""</f>
        <v>"NAV Direct","CRONUS JetCorp USA","32","1","168611"</v>
      </c>
      <c r="H540" s="86">
        <v>43466</v>
      </c>
      <c r="I540" s="85">
        <v>168611</v>
      </c>
      <c r="J540" s="84" t="str">
        <f>"Vendor"</f>
        <v>Vendor</v>
      </c>
      <c r="K540" s="84" t="str">
        <f>"V100040"</f>
        <v>V100040</v>
      </c>
      <c r="L540" s="84" t="str">
        <f>IF($J540="Customer",_xll.NL("first",$J540,"Name","No.","@@"&amp;$K540),"")</f>
        <v/>
      </c>
      <c r="M540" s="84" t="str">
        <f>"Technische Betriebe Rotkreuz"</f>
        <v>Technische Betriebe Rotkreuz</v>
      </c>
      <c r="N540" s="84" t="str">
        <f>IF($J540="Item",_xll.NL("first",$J540,"Description","No.","@@"&amp;$K540),"")</f>
        <v/>
      </c>
      <c r="O540" s="83">
        <v>999.99999999999989</v>
      </c>
      <c r="P540" s="83">
        <v>0</v>
      </c>
      <c r="Q540" s="83">
        <v>0</v>
      </c>
      <c r="R540" s="83">
        <v>0</v>
      </c>
      <c r="S540" s="83">
        <v>0</v>
      </c>
      <c r="T540" s="83">
        <v>0</v>
      </c>
      <c r="U540" s="82"/>
    </row>
    <row r="541" spans="1:21" ht="17.25" customHeight="1" x14ac:dyDescent="0.3">
      <c r="A541" s="66" t="s">
        <v>30</v>
      </c>
      <c r="C541" s="67"/>
      <c r="D541" s="77" t="str">
        <f t="shared" ref="D541:D543" si="362">D540</f>
        <v>E100047</v>
      </c>
      <c r="E541" s="77"/>
      <c r="F541" s="76"/>
      <c r="G541" s="76" t="str">
        <f>"""NAV Direct"",""CRONUS JetCorp USA"",""32"",""1"",""72518"""</f>
        <v>"NAV Direct","CRONUS JetCorp USA","32","1","72518"</v>
      </c>
      <c r="H541" s="86">
        <v>43471</v>
      </c>
      <c r="I541" s="85">
        <v>72518</v>
      </c>
      <c r="J541" s="84" t="str">
        <f>"Customer"</f>
        <v>Customer</v>
      </c>
      <c r="K541" s="84" t="str">
        <f>"C100107"</f>
        <v>C100107</v>
      </c>
      <c r="L541" s="84" t="str">
        <f>IF($J541="Customer",_xll.NL("first",$J541,"Name","No.","@@"&amp;$K541),"")</f>
        <v>Lexitechnology</v>
      </c>
      <c r="M541" s="84" t="str">
        <f>""</f>
        <v/>
      </c>
      <c r="N541" s="84" t="str">
        <f>IF($J541="Item",_xll.NL("first",$J541,"Description","No.","@@"&amp;$K541),"")</f>
        <v/>
      </c>
      <c r="O541" s="83">
        <v>0</v>
      </c>
      <c r="P541" s="83">
        <v>-144</v>
      </c>
      <c r="Q541" s="83">
        <v>0</v>
      </c>
      <c r="R541" s="83">
        <v>0</v>
      </c>
      <c r="S541" s="83">
        <v>0</v>
      </c>
      <c r="T541" s="83">
        <v>0</v>
      </c>
      <c r="U541" s="82"/>
    </row>
    <row r="542" spans="1:21" ht="17.25" customHeight="1" x14ac:dyDescent="0.3">
      <c r="A542" s="66" t="s">
        <v>30</v>
      </c>
      <c r="C542" s="67"/>
      <c r="D542" s="77" t="str">
        <f t="shared" si="362"/>
        <v>E100047</v>
      </c>
      <c r="E542" s="77"/>
      <c r="F542" s="76"/>
      <c r="G542" s="76" t="str">
        <f>"""NAV Direct"",""CRONUS JetCorp USA"",""32"",""1"",""78900"""</f>
        <v>"NAV Direct","CRONUS JetCorp USA","32","1","78900"</v>
      </c>
      <c r="H542" s="86">
        <v>43475</v>
      </c>
      <c r="I542" s="85">
        <v>78900</v>
      </c>
      <c r="J542" s="84" t="str">
        <f>"Customer"</f>
        <v>Customer</v>
      </c>
      <c r="K542" s="84" t="str">
        <f>"C100128"</f>
        <v>C100128</v>
      </c>
      <c r="L542" s="84" t="str">
        <f>IF($J542="Customer",_xll.NL("first",$J542,"Name","No.","@@"&amp;$K542),"")</f>
        <v>Solar Tech</v>
      </c>
      <c r="M542" s="84" t="str">
        <f>""</f>
        <v/>
      </c>
      <c r="N542" s="84" t="str">
        <f>IF($J542="Item",_xll.NL("first",$J542,"Description","No.","@@"&amp;$K542),"")</f>
        <v/>
      </c>
      <c r="O542" s="83">
        <v>0</v>
      </c>
      <c r="P542" s="83">
        <v>-144</v>
      </c>
      <c r="Q542" s="83">
        <v>0</v>
      </c>
      <c r="R542" s="83">
        <v>0</v>
      </c>
      <c r="S542" s="83">
        <v>0</v>
      </c>
      <c r="T542" s="83">
        <v>0</v>
      </c>
      <c r="U542" s="82"/>
    </row>
    <row r="543" spans="1:21" ht="17.25" customHeight="1" x14ac:dyDescent="0.3">
      <c r="A543" s="66" t="s">
        <v>30</v>
      </c>
      <c r="C543" s="67"/>
      <c r="D543" s="77" t="str">
        <f t="shared" si="362"/>
        <v>E100047</v>
      </c>
      <c r="E543" s="77"/>
      <c r="F543" s="76"/>
      <c r="G543" s="76" t="str">
        <f>"""NAV Direct"",""CRONUS JetCorp USA"",""32"",""1"",""78862"""</f>
        <v>"NAV Direct","CRONUS JetCorp USA","32","1","78862"</v>
      </c>
      <c r="H543" s="86">
        <v>43476</v>
      </c>
      <c r="I543" s="85">
        <v>78862</v>
      </c>
      <c r="J543" s="84" t="str">
        <f>"Customer"</f>
        <v>Customer</v>
      </c>
      <c r="K543" s="84" t="str">
        <f>"C100117"</f>
        <v>C100117</v>
      </c>
      <c r="L543" s="84" t="str">
        <f>IF($J543="Customer",_xll.NL("first",$J543,"Name","No.","@@"&amp;$K543),"")</f>
        <v xml:space="preserve">Tintax </v>
      </c>
      <c r="M543" s="84" t="str">
        <f>""</f>
        <v/>
      </c>
      <c r="N543" s="84" t="str">
        <f>IF($J543="Item",_xll.NL("first",$J543,"Description","No.","@@"&amp;$K543),"")</f>
        <v/>
      </c>
      <c r="O543" s="83">
        <v>0</v>
      </c>
      <c r="P543" s="83">
        <v>-145</v>
      </c>
      <c r="Q543" s="83">
        <v>0</v>
      </c>
      <c r="R543" s="83">
        <v>0</v>
      </c>
      <c r="S543" s="83">
        <v>0</v>
      </c>
      <c r="T543" s="83">
        <v>0</v>
      </c>
      <c r="U543" s="82"/>
    </row>
    <row r="544" spans="1:21" ht="17.25" customHeight="1" x14ac:dyDescent="0.3">
      <c r="A544" s="66" t="s">
        <v>30</v>
      </c>
      <c r="C544" s="67"/>
      <c r="D544" s="77"/>
      <c r="E544" s="77"/>
      <c r="F544" s="76"/>
      <c r="G544" s="76"/>
      <c r="H544" s="76"/>
      <c r="I544" s="76"/>
      <c r="J544" s="76"/>
      <c r="K544" s="76"/>
      <c r="L544" s="76"/>
      <c r="M544" s="76"/>
      <c r="N544" s="76"/>
      <c r="O544" s="75"/>
      <c r="P544" s="75"/>
      <c r="Q544" s="75"/>
      <c r="R544" s="75"/>
      <c r="S544" s="75"/>
      <c r="T544" s="75"/>
      <c r="U544" s="74"/>
    </row>
    <row r="545" spans="1:21" ht="17.25" customHeight="1" x14ac:dyDescent="0.3">
      <c r="A545" s="66" t="s">
        <v>30</v>
      </c>
      <c r="C545" s="67"/>
      <c r="D545" s="77"/>
      <c r="E545" s="77" t="s">
        <v>31</v>
      </c>
      <c r="F545" s="76" t="s">
        <v>31</v>
      </c>
      <c r="G545" s="76" t="s">
        <v>31</v>
      </c>
      <c r="H545" s="76"/>
      <c r="I545" s="76"/>
      <c r="J545" s="76" t="s">
        <v>31</v>
      </c>
      <c r="K545" s="76" t="s">
        <v>31</v>
      </c>
      <c r="L545" s="76" t="s">
        <v>31</v>
      </c>
      <c r="M545" s="76" t="s">
        <v>31</v>
      </c>
      <c r="N545" s="76"/>
      <c r="U545" s="81"/>
    </row>
    <row r="546" spans="1:21" ht="20.25" customHeight="1" x14ac:dyDescent="0.35">
      <c r="A546" s="66" t="s">
        <v>30</v>
      </c>
      <c r="C546" s="67"/>
      <c r="D546" s="92" t="str">
        <f t="shared" ref="D546" si="363">E546</f>
        <v>S100001</v>
      </c>
      <c r="E546" s="91" t="str">
        <f>"S100001"</f>
        <v>S100001</v>
      </c>
      <c r="F546" s="89" t="str">
        <f>"Basketball Graphic Plaque"</f>
        <v>Basketball Graphic Plaque</v>
      </c>
      <c r="G546" s="89"/>
      <c r="H546" s="90" t="str">
        <f>"EA"</f>
        <v>EA</v>
      </c>
      <c r="I546" s="89"/>
      <c r="J546" s="89"/>
      <c r="K546" s="89"/>
      <c r="L546" s="89"/>
      <c r="M546" s="89"/>
      <c r="N546" s="89"/>
      <c r="O546" s="88">
        <f>(SUBTOTAL(9,O547:O549))</f>
        <v>100</v>
      </c>
      <c r="P546" s="88">
        <f>(SUBTOTAL(9,P547:P549))</f>
        <v>-144</v>
      </c>
      <c r="Q546" s="88">
        <f>(SUBTOTAL(9,Q547:Q549))</f>
        <v>0</v>
      </c>
      <c r="R546" s="88">
        <f>(SUBTOTAL(9,R547:R549))</f>
        <v>0</v>
      </c>
      <c r="S546" s="88">
        <f>(SUBTOTAL(9,S547:S549))</f>
        <v>0</v>
      </c>
      <c r="T546" s="88">
        <f>(SUBTOTAL(9,T547:T549))</f>
        <v>0</v>
      </c>
      <c r="U546" s="87">
        <f t="shared" ref="U546" si="364">SUBTOTAL(9,O547:T549)</f>
        <v>-44</v>
      </c>
    </row>
    <row r="547" spans="1:21" ht="17.25" customHeight="1" x14ac:dyDescent="0.3">
      <c r="A547" s="66" t="s">
        <v>30</v>
      </c>
      <c r="C547" s="67"/>
      <c r="D547" s="77" t="str">
        <f t="shared" ref="D547" si="365">D546</f>
        <v>S100001</v>
      </c>
      <c r="E547" s="77"/>
      <c r="F547" s="76"/>
      <c r="G547" s="76" t="str">
        <f>"""NAV Direct"",""CRONUS JetCorp USA"",""32"",""1"",""166343"""</f>
        <v>"NAV Direct","CRONUS JetCorp USA","32","1","166343"</v>
      </c>
      <c r="H547" s="86">
        <v>43466</v>
      </c>
      <c r="I547" s="85">
        <v>166343</v>
      </c>
      <c r="J547" s="84" t="str">
        <f>"Vendor"</f>
        <v>Vendor</v>
      </c>
      <c r="K547" s="84" t="str">
        <f>"V100040"</f>
        <v>V100040</v>
      </c>
      <c r="L547" s="84" t="str">
        <f>IF($J547="Customer",_xll.NL("first",$J547,"Name","No.","@@"&amp;$K547),"")</f>
        <v/>
      </c>
      <c r="M547" s="84" t="str">
        <f>"Technische Betriebe Rotkreuz"</f>
        <v>Technische Betriebe Rotkreuz</v>
      </c>
      <c r="N547" s="84" t="str">
        <f>IF($J547="Item",_xll.NL("first",$J547,"Description","No.","@@"&amp;$K547),"")</f>
        <v/>
      </c>
      <c r="O547" s="83">
        <v>100</v>
      </c>
      <c r="P547" s="83">
        <v>0</v>
      </c>
      <c r="Q547" s="83">
        <v>0</v>
      </c>
      <c r="R547" s="83">
        <v>0</v>
      </c>
      <c r="S547" s="83">
        <v>0</v>
      </c>
      <c r="T547" s="83">
        <v>0</v>
      </c>
      <c r="U547" s="82"/>
    </row>
    <row r="548" spans="1:21" ht="17.25" customHeight="1" x14ac:dyDescent="0.3">
      <c r="A548" s="66" t="s">
        <v>30</v>
      </c>
      <c r="C548" s="67"/>
      <c r="D548" s="77" t="str">
        <f t="shared" ref="D548" si="366">D547</f>
        <v>S100001</v>
      </c>
      <c r="E548" s="77"/>
      <c r="F548" s="76"/>
      <c r="G548" s="76" t="str">
        <f>"""NAV Direct"",""CRONUS JetCorp USA"",""32"",""1"",""34308"""</f>
        <v>"NAV Direct","CRONUS JetCorp USA","32","1","34308"</v>
      </c>
      <c r="H548" s="86">
        <v>43473</v>
      </c>
      <c r="I548" s="85">
        <v>34308</v>
      </c>
      <c r="J548" s="84" t="str">
        <f>"Customer"</f>
        <v>Customer</v>
      </c>
      <c r="K548" s="84" t="str">
        <f>"C100059"</f>
        <v>C100059</v>
      </c>
      <c r="L548" s="84" t="str">
        <f>IF($J548="Customer",_xll.NL("first",$J548,"Name","No.","@@"&amp;$K548),"")</f>
        <v>Meersen Meubelen</v>
      </c>
      <c r="M548" s="84" t="str">
        <f>""</f>
        <v/>
      </c>
      <c r="N548" s="84" t="str">
        <f>IF($J548="Item",_xll.NL("first",$J548,"Description","No.","@@"&amp;$K548),"")</f>
        <v/>
      </c>
      <c r="O548" s="83">
        <v>0</v>
      </c>
      <c r="P548" s="83">
        <v>-144</v>
      </c>
      <c r="Q548" s="83">
        <v>0</v>
      </c>
      <c r="R548" s="83">
        <v>0</v>
      </c>
      <c r="S548" s="83">
        <v>0</v>
      </c>
      <c r="T548" s="83">
        <v>0</v>
      </c>
      <c r="U548" s="82"/>
    </row>
    <row r="549" spans="1:21" ht="17.25" customHeight="1" x14ac:dyDescent="0.3">
      <c r="A549" s="66" t="s">
        <v>30</v>
      </c>
      <c r="C549" s="67"/>
      <c r="D549" s="77"/>
      <c r="E549" s="77"/>
      <c r="F549" s="76"/>
      <c r="G549" s="76"/>
      <c r="H549" s="76"/>
      <c r="I549" s="76"/>
      <c r="J549" s="76"/>
      <c r="K549" s="76"/>
      <c r="L549" s="76"/>
      <c r="M549" s="76"/>
      <c r="N549" s="76"/>
      <c r="O549" s="75"/>
      <c r="P549" s="75"/>
      <c r="Q549" s="75"/>
      <c r="R549" s="75"/>
      <c r="S549" s="75"/>
      <c r="T549" s="75"/>
      <c r="U549" s="74"/>
    </row>
    <row r="550" spans="1:21" ht="17.25" customHeight="1" x14ac:dyDescent="0.3">
      <c r="A550" s="66" t="s">
        <v>30</v>
      </c>
      <c r="C550" s="67"/>
      <c r="D550" s="77"/>
      <c r="E550" s="77" t="s">
        <v>31</v>
      </c>
      <c r="F550" s="76" t="s">
        <v>31</v>
      </c>
      <c r="G550" s="76" t="s">
        <v>31</v>
      </c>
      <c r="H550" s="76"/>
      <c r="I550" s="76"/>
      <c r="J550" s="76" t="s">
        <v>31</v>
      </c>
      <c r="K550" s="76" t="s">
        <v>31</v>
      </c>
      <c r="L550" s="76" t="s">
        <v>31</v>
      </c>
      <c r="M550" s="76" t="s">
        <v>31</v>
      </c>
      <c r="N550" s="76"/>
      <c r="U550" s="81"/>
    </row>
    <row r="551" spans="1:21" ht="20.25" customHeight="1" x14ac:dyDescent="0.35">
      <c r="A551" s="66" t="s">
        <v>30</v>
      </c>
      <c r="C551" s="67"/>
      <c r="D551" s="92" t="str">
        <f t="shared" ref="D551" si="367">E551</f>
        <v>S100002</v>
      </c>
      <c r="E551" s="91" t="str">
        <f>"S100002"</f>
        <v>S100002</v>
      </c>
      <c r="F551" s="89" t="str">
        <f>"Football Graphic Plaque"</f>
        <v>Football Graphic Plaque</v>
      </c>
      <c r="G551" s="89"/>
      <c r="H551" s="90" t="str">
        <f>"EA"</f>
        <v>EA</v>
      </c>
      <c r="I551" s="89"/>
      <c r="J551" s="89"/>
      <c r="K551" s="89"/>
      <c r="L551" s="89"/>
      <c r="M551" s="89"/>
      <c r="N551" s="89"/>
      <c r="O551" s="88">
        <f>(SUBTOTAL(9,O552:O553))</f>
        <v>300</v>
      </c>
      <c r="P551" s="88">
        <f>(SUBTOTAL(9,P552:P553))</f>
        <v>0</v>
      </c>
      <c r="Q551" s="88">
        <f>(SUBTOTAL(9,Q552:Q553))</f>
        <v>0</v>
      </c>
      <c r="R551" s="88">
        <f>(SUBTOTAL(9,R552:R553))</f>
        <v>0</v>
      </c>
      <c r="S551" s="88">
        <f>(SUBTOTAL(9,S552:S553))</f>
        <v>0</v>
      </c>
      <c r="T551" s="88">
        <f>(SUBTOTAL(9,T552:T553))</f>
        <v>0</v>
      </c>
      <c r="U551" s="87">
        <f t="shared" ref="U551" si="368">SUBTOTAL(9,O552:T553)</f>
        <v>300</v>
      </c>
    </row>
    <row r="552" spans="1:21" ht="17.25" customHeight="1" x14ac:dyDescent="0.3">
      <c r="A552" s="66" t="s">
        <v>30</v>
      </c>
      <c r="C552" s="67"/>
      <c r="D552" s="77" t="str">
        <f t="shared" ref="D552" si="369">D551</f>
        <v>S100002</v>
      </c>
      <c r="E552" s="77"/>
      <c r="F552" s="76"/>
      <c r="G552" s="76" t="str">
        <f>"""NAV Direct"",""CRONUS JetCorp USA"",""32"",""1"",""166342"""</f>
        <v>"NAV Direct","CRONUS JetCorp USA","32","1","166342"</v>
      </c>
      <c r="H552" s="86">
        <v>43466</v>
      </c>
      <c r="I552" s="85">
        <v>166342</v>
      </c>
      <c r="J552" s="84" t="str">
        <f>"Vendor"</f>
        <v>Vendor</v>
      </c>
      <c r="K552" s="84" t="str">
        <f>"V100040"</f>
        <v>V100040</v>
      </c>
      <c r="L552" s="84" t="str">
        <f>IF($J552="Customer",_xll.NL("first",$J552,"Name","No.","@@"&amp;$K552),"")</f>
        <v/>
      </c>
      <c r="M552" s="84" t="str">
        <f>"Technische Betriebe Rotkreuz"</f>
        <v>Technische Betriebe Rotkreuz</v>
      </c>
      <c r="N552" s="84" t="str">
        <f>IF($J552="Item",_xll.NL("first",$J552,"Description","No.","@@"&amp;$K552),"")</f>
        <v/>
      </c>
      <c r="O552" s="83">
        <v>300</v>
      </c>
      <c r="P552" s="83">
        <v>0</v>
      </c>
      <c r="Q552" s="83">
        <v>0</v>
      </c>
      <c r="R552" s="83">
        <v>0</v>
      </c>
      <c r="S552" s="83">
        <v>0</v>
      </c>
      <c r="T552" s="83">
        <v>0</v>
      </c>
      <c r="U552" s="82"/>
    </row>
    <row r="553" spans="1:21" ht="17.25" customHeight="1" x14ac:dyDescent="0.3">
      <c r="A553" s="66" t="s">
        <v>30</v>
      </c>
      <c r="C553" s="67"/>
      <c r="D553" s="77"/>
      <c r="E553" s="77"/>
      <c r="F553" s="76"/>
      <c r="G553" s="76"/>
      <c r="H553" s="76"/>
      <c r="I553" s="76"/>
      <c r="J553" s="76"/>
      <c r="K553" s="76"/>
      <c r="L553" s="76"/>
      <c r="M553" s="76"/>
      <c r="N553" s="76"/>
      <c r="O553" s="75"/>
      <c r="P553" s="75"/>
      <c r="Q553" s="75"/>
      <c r="R553" s="75"/>
      <c r="S553" s="75"/>
      <c r="T553" s="75"/>
      <c r="U553" s="74"/>
    </row>
    <row r="554" spans="1:21" ht="17.25" customHeight="1" x14ac:dyDescent="0.3">
      <c r="A554" s="66" t="s">
        <v>30</v>
      </c>
      <c r="C554" s="67"/>
      <c r="D554" s="77"/>
      <c r="E554" s="77" t="s">
        <v>31</v>
      </c>
      <c r="F554" s="76" t="s">
        <v>31</v>
      </c>
      <c r="G554" s="76" t="s">
        <v>31</v>
      </c>
      <c r="H554" s="76"/>
      <c r="I554" s="76"/>
      <c r="J554" s="76" t="s">
        <v>31</v>
      </c>
      <c r="K554" s="76" t="s">
        <v>31</v>
      </c>
      <c r="L554" s="76" t="s">
        <v>31</v>
      </c>
      <c r="M554" s="76" t="s">
        <v>31</v>
      </c>
      <c r="N554" s="76"/>
      <c r="U554" s="81"/>
    </row>
    <row r="555" spans="1:21" ht="20.25" customHeight="1" x14ac:dyDescent="0.35">
      <c r="A555" s="66" t="s">
        <v>30</v>
      </c>
      <c r="C555" s="67"/>
      <c r="D555" s="92" t="str">
        <f t="shared" ref="D555" si="370">E555</f>
        <v>S100003</v>
      </c>
      <c r="E555" s="91" t="str">
        <f>"S100003"</f>
        <v>S100003</v>
      </c>
      <c r="F555" s="89" t="str">
        <f>"Soccer #1 Pin"</f>
        <v>Soccer #1 Pin</v>
      </c>
      <c r="G555" s="89"/>
      <c r="H555" s="90" t="str">
        <f>"EA"</f>
        <v>EA</v>
      </c>
      <c r="I555" s="89"/>
      <c r="J555" s="89"/>
      <c r="K555" s="89"/>
      <c r="L555" s="89"/>
      <c r="M555" s="89"/>
      <c r="N555" s="89"/>
      <c r="O555" s="88">
        <f>(SUBTOTAL(9,O556:O560))</f>
        <v>300</v>
      </c>
      <c r="P555" s="88">
        <f>(SUBTOTAL(9,P556:P560))</f>
        <v>-157</v>
      </c>
      <c r="Q555" s="88">
        <f>(SUBTOTAL(9,Q556:Q560))</f>
        <v>0</v>
      </c>
      <c r="R555" s="88">
        <f>(SUBTOTAL(9,R556:R560))</f>
        <v>0</v>
      </c>
      <c r="S555" s="88">
        <f>(SUBTOTAL(9,S556:S560))</f>
        <v>0</v>
      </c>
      <c r="T555" s="88">
        <f>(SUBTOTAL(9,T556:T560))</f>
        <v>0</v>
      </c>
      <c r="U555" s="87">
        <f t="shared" ref="U555" si="371">SUBTOTAL(9,O556:T560)</f>
        <v>143</v>
      </c>
    </row>
    <row r="556" spans="1:21" ht="17.25" customHeight="1" x14ac:dyDescent="0.3">
      <c r="A556" s="66" t="s">
        <v>30</v>
      </c>
      <c r="C556" s="67"/>
      <c r="D556" s="77" t="str">
        <f t="shared" ref="D556" si="372">D555</f>
        <v>S100003</v>
      </c>
      <c r="E556" s="77"/>
      <c r="F556" s="76"/>
      <c r="G556" s="76" t="str">
        <f>"""NAV Direct"",""CRONUS JetCorp USA"",""32"",""1"",""166341"""</f>
        <v>"NAV Direct","CRONUS JetCorp USA","32","1","166341"</v>
      </c>
      <c r="H556" s="86">
        <v>43466</v>
      </c>
      <c r="I556" s="85">
        <v>166341</v>
      </c>
      <c r="J556" s="84" t="str">
        <f>"Vendor"</f>
        <v>Vendor</v>
      </c>
      <c r="K556" s="84" t="str">
        <f>"V100040"</f>
        <v>V100040</v>
      </c>
      <c r="L556" s="84" t="str">
        <f>IF($J556="Customer",_xll.NL("first",$J556,"Name","No.","@@"&amp;$K556),"")</f>
        <v/>
      </c>
      <c r="M556" s="84" t="str">
        <f>"Technische Betriebe Rotkreuz"</f>
        <v>Technische Betriebe Rotkreuz</v>
      </c>
      <c r="N556" s="84" t="str">
        <f>IF($J556="Item",_xll.NL("first",$J556,"Description","No.","@@"&amp;$K556),"")</f>
        <v/>
      </c>
      <c r="O556" s="83">
        <v>300</v>
      </c>
      <c r="P556" s="83">
        <v>0</v>
      </c>
      <c r="Q556" s="83">
        <v>0</v>
      </c>
      <c r="R556" s="83">
        <v>0</v>
      </c>
      <c r="S556" s="83">
        <v>0</v>
      </c>
      <c r="T556" s="83">
        <v>0</v>
      </c>
      <c r="U556" s="82"/>
    </row>
    <row r="557" spans="1:21" ht="17.25" customHeight="1" x14ac:dyDescent="0.3">
      <c r="A557" s="66" t="s">
        <v>30</v>
      </c>
      <c r="C557" s="67"/>
      <c r="D557" s="77" t="str">
        <f t="shared" ref="D557:D559" si="373">D556</f>
        <v>S100003</v>
      </c>
      <c r="E557" s="77"/>
      <c r="F557" s="76"/>
      <c r="G557" s="76" t="str">
        <f>"""NAV Direct"",""CRONUS JetCorp USA"",""32"",""1"",""34317"""</f>
        <v>"NAV Direct","CRONUS JetCorp USA","32","1","34317"</v>
      </c>
      <c r="H557" s="86">
        <v>43473</v>
      </c>
      <c r="I557" s="85">
        <v>34317</v>
      </c>
      <c r="J557" s="84" t="str">
        <f>"Customer"</f>
        <v>Customer</v>
      </c>
      <c r="K557" s="84" t="str">
        <f>"C100059"</f>
        <v>C100059</v>
      </c>
      <c r="L557" s="84" t="str">
        <f>IF($J557="Customer",_xll.NL("first",$J557,"Name","No.","@@"&amp;$K557),"")</f>
        <v>Meersen Meubelen</v>
      </c>
      <c r="M557" s="84" t="str">
        <f>""</f>
        <v/>
      </c>
      <c r="N557" s="84" t="str">
        <f>IF($J557="Item",_xll.NL("first",$J557,"Description","No.","@@"&amp;$K557),"")</f>
        <v/>
      </c>
      <c r="O557" s="83">
        <v>0</v>
      </c>
      <c r="P557" s="83">
        <v>-12</v>
      </c>
      <c r="Q557" s="83">
        <v>0</v>
      </c>
      <c r="R557" s="83">
        <v>0</v>
      </c>
      <c r="S557" s="83">
        <v>0</v>
      </c>
      <c r="T557" s="83">
        <v>0</v>
      </c>
      <c r="U557" s="82"/>
    </row>
    <row r="558" spans="1:21" ht="17.25" customHeight="1" x14ac:dyDescent="0.3">
      <c r="A558" s="66" t="s">
        <v>30</v>
      </c>
      <c r="C558" s="67"/>
      <c r="D558" s="77" t="str">
        <f t="shared" si="373"/>
        <v>S100003</v>
      </c>
      <c r="E558" s="77"/>
      <c r="F558" s="76"/>
      <c r="G558" s="76" t="str">
        <f>"""NAV Direct"",""CRONUS JetCorp USA"",""32"",""1"",""78910"""</f>
        <v>"NAV Direct","CRONUS JetCorp USA","32","1","78910"</v>
      </c>
      <c r="H558" s="86">
        <v>43475</v>
      </c>
      <c r="I558" s="85">
        <v>78910</v>
      </c>
      <c r="J558" s="84" t="str">
        <f>"Customer"</f>
        <v>Customer</v>
      </c>
      <c r="K558" s="84" t="str">
        <f>"C100128"</f>
        <v>C100128</v>
      </c>
      <c r="L558" s="84" t="str">
        <f>IF($J558="Customer",_xll.NL("first",$J558,"Name","No.","@@"&amp;$K558),"")</f>
        <v>Solar Tech</v>
      </c>
      <c r="M558" s="84" t="str">
        <f>""</f>
        <v/>
      </c>
      <c r="N558" s="84" t="str">
        <f>IF($J558="Item",_xll.NL("first",$J558,"Description","No.","@@"&amp;$K558),"")</f>
        <v/>
      </c>
      <c r="O558" s="83">
        <v>0</v>
      </c>
      <c r="P558" s="83">
        <v>-1</v>
      </c>
      <c r="Q558" s="83">
        <v>0</v>
      </c>
      <c r="R558" s="83">
        <v>0</v>
      </c>
      <c r="S558" s="83">
        <v>0</v>
      </c>
      <c r="T558" s="83">
        <v>0</v>
      </c>
      <c r="U558" s="82"/>
    </row>
    <row r="559" spans="1:21" ht="17.25" customHeight="1" x14ac:dyDescent="0.3">
      <c r="A559" s="66" t="s">
        <v>30</v>
      </c>
      <c r="C559" s="67"/>
      <c r="D559" s="77" t="str">
        <f t="shared" si="373"/>
        <v>S100003</v>
      </c>
      <c r="E559" s="77"/>
      <c r="F559" s="76"/>
      <c r="G559" s="76" t="str">
        <f>"""NAV Direct"",""CRONUS JetCorp USA"",""32"",""1"",""38090"""</f>
        <v>"NAV Direct","CRONUS JetCorp USA","32","1","38090"</v>
      </c>
      <c r="H559" s="86">
        <v>43477</v>
      </c>
      <c r="I559" s="85">
        <v>38090</v>
      </c>
      <c r="J559" s="84" t="str">
        <f>"Customer"</f>
        <v>Customer</v>
      </c>
      <c r="K559" s="84" t="str">
        <f>"C100038"</f>
        <v>C100038</v>
      </c>
      <c r="L559" s="84" t="str">
        <f>IF($J559="Customer",_xll.NL("first",$J559,"Name","No.","@@"&amp;$K559),"")</f>
        <v>Gagn &amp; Gaman</v>
      </c>
      <c r="M559" s="84" t="str">
        <f>""</f>
        <v/>
      </c>
      <c r="N559" s="84" t="str">
        <f>IF($J559="Item",_xll.NL("first",$J559,"Description","No.","@@"&amp;$K559),"")</f>
        <v/>
      </c>
      <c r="O559" s="83">
        <v>0</v>
      </c>
      <c r="P559" s="83">
        <v>-144</v>
      </c>
      <c r="Q559" s="83">
        <v>0</v>
      </c>
      <c r="R559" s="83">
        <v>0</v>
      </c>
      <c r="S559" s="83">
        <v>0</v>
      </c>
      <c r="T559" s="83">
        <v>0</v>
      </c>
      <c r="U559" s="82"/>
    </row>
    <row r="560" spans="1:21" ht="17.25" customHeight="1" x14ac:dyDescent="0.3">
      <c r="A560" s="66" t="s">
        <v>30</v>
      </c>
      <c r="C560" s="67"/>
      <c r="D560" s="77"/>
      <c r="E560" s="77"/>
      <c r="F560" s="76"/>
      <c r="G560" s="76"/>
      <c r="H560" s="76"/>
      <c r="I560" s="76"/>
      <c r="J560" s="76"/>
      <c r="K560" s="76"/>
      <c r="L560" s="76"/>
      <c r="M560" s="76"/>
      <c r="N560" s="76"/>
      <c r="O560" s="75"/>
      <c r="P560" s="75"/>
      <c r="Q560" s="75"/>
      <c r="R560" s="75"/>
      <c r="S560" s="75"/>
      <c r="T560" s="75"/>
      <c r="U560" s="74"/>
    </row>
    <row r="561" spans="1:21" ht="17.25" customHeight="1" x14ac:dyDescent="0.3">
      <c r="A561" s="66" t="s">
        <v>30</v>
      </c>
      <c r="C561" s="67"/>
      <c r="D561" s="77"/>
      <c r="E561" s="77" t="s">
        <v>31</v>
      </c>
      <c r="F561" s="76" t="s">
        <v>31</v>
      </c>
      <c r="G561" s="76" t="s">
        <v>31</v>
      </c>
      <c r="H561" s="76"/>
      <c r="I561" s="76"/>
      <c r="J561" s="76" t="s">
        <v>31</v>
      </c>
      <c r="K561" s="76" t="s">
        <v>31</v>
      </c>
      <c r="L561" s="76" t="s">
        <v>31</v>
      </c>
      <c r="M561" s="76" t="s">
        <v>31</v>
      </c>
      <c r="N561" s="76"/>
      <c r="U561" s="81"/>
    </row>
    <row r="562" spans="1:21" ht="20.25" customHeight="1" x14ac:dyDescent="0.35">
      <c r="A562" s="66" t="s">
        <v>30</v>
      </c>
      <c r="C562" s="67"/>
      <c r="D562" s="92" t="str">
        <f t="shared" ref="D562" si="374">E562</f>
        <v>S100004</v>
      </c>
      <c r="E562" s="91" t="str">
        <f>"S100004"</f>
        <v>S100004</v>
      </c>
      <c r="F562" s="89" t="str">
        <f>"Award Medallian - 2''"</f>
        <v>Award Medallian - 2''</v>
      </c>
      <c r="G562" s="89"/>
      <c r="H562" s="90" t="str">
        <f>"EA"</f>
        <v>EA</v>
      </c>
      <c r="I562" s="89"/>
      <c r="J562" s="89"/>
      <c r="K562" s="89"/>
      <c r="L562" s="89"/>
      <c r="M562" s="89"/>
      <c r="N562" s="89"/>
      <c r="O562" s="88">
        <f>(SUBTOTAL(9,O563:O564))</f>
        <v>100</v>
      </c>
      <c r="P562" s="88">
        <f>(SUBTOTAL(9,P563:P564))</f>
        <v>0</v>
      </c>
      <c r="Q562" s="88">
        <f>(SUBTOTAL(9,Q563:Q564))</f>
        <v>0</v>
      </c>
      <c r="R562" s="88">
        <f>(SUBTOTAL(9,R563:R564))</f>
        <v>0</v>
      </c>
      <c r="S562" s="88">
        <f>(SUBTOTAL(9,S563:S564))</f>
        <v>0</v>
      </c>
      <c r="T562" s="88">
        <f>(SUBTOTAL(9,T563:T564))</f>
        <v>0</v>
      </c>
      <c r="U562" s="87">
        <f t="shared" ref="U562" si="375">SUBTOTAL(9,O563:T564)</f>
        <v>100</v>
      </c>
    </row>
    <row r="563" spans="1:21" ht="17.25" customHeight="1" x14ac:dyDescent="0.3">
      <c r="A563" s="66" t="s">
        <v>30</v>
      </c>
      <c r="C563" s="67"/>
      <c r="D563" s="77" t="str">
        <f t="shared" ref="D563" si="376">D562</f>
        <v>S100004</v>
      </c>
      <c r="E563" s="77"/>
      <c r="F563" s="76"/>
      <c r="G563" s="76" t="str">
        <f>"""NAV Direct"",""CRONUS JetCorp USA"",""32"",""1"",""166340"""</f>
        <v>"NAV Direct","CRONUS JetCorp USA","32","1","166340"</v>
      </c>
      <c r="H563" s="86">
        <v>43466</v>
      </c>
      <c r="I563" s="85">
        <v>166340</v>
      </c>
      <c r="J563" s="84" t="str">
        <f>"Vendor"</f>
        <v>Vendor</v>
      </c>
      <c r="K563" s="84" t="str">
        <f>"V100040"</f>
        <v>V100040</v>
      </c>
      <c r="L563" s="84" t="str">
        <f>IF($J563="Customer",_xll.NL("first",$J563,"Name","No.","@@"&amp;$K563),"")</f>
        <v/>
      </c>
      <c r="M563" s="84" t="str">
        <f>"Technische Betriebe Rotkreuz"</f>
        <v>Technische Betriebe Rotkreuz</v>
      </c>
      <c r="N563" s="84" t="str">
        <f>IF($J563="Item",_xll.NL("first",$J563,"Description","No.","@@"&amp;$K563),"")</f>
        <v/>
      </c>
      <c r="O563" s="83">
        <v>100</v>
      </c>
      <c r="P563" s="83">
        <v>0</v>
      </c>
      <c r="Q563" s="83">
        <v>0</v>
      </c>
      <c r="R563" s="83">
        <v>0</v>
      </c>
      <c r="S563" s="83">
        <v>0</v>
      </c>
      <c r="T563" s="83">
        <v>0</v>
      </c>
      <c r="U563" s="82"/>
    </row>
    <row r="564" spans="1:21" ht="17.25" customHeight="1" x14ac:dyDescent="0.3">
      <c r="A564" s="66" t="s">
        <v>30</v>
      </c>
      <c r="C564" s="67"/>
      <c r="D564" s="77"/>
      <c r="E564" s="77"/>
      <c r="F564" s="76"/>
      <c r="G564" s="76"/>
      <c r="H564" s="76"/>
      <c r="I564" s="76"/>
      <c r="J564" s="76"/>
      <c r="K564" s="76"/>
      <c r="L564" s="76"/>
      <c r="M564" s="76"/>
      <c r="N564" s="76"/>
      <c r="O564" s="75"/>
      <c r="P564" s="75"/>
      <c r="Q564" s="75"/>
      <c r="R564" s="75"/>
      <c r="S564" s="75"/>
      <c r="T564" s="75"/>
      <c r="U564" s="74"/>
    </row>
    <row r="565" spans="1:21" ht="17.25" customHeight="1" x14ac:dyDescent="0.3">
      <c r="A565" s="66" t="s">
        <v>30</v>
      </c>
      <c r="C565" s="67"/>
      <c r="D565" s="77"/>
      <c r="E565" s="77" t="s">
        <v>31</v>
      </c>
      <c r="F565" s="76" t="s">
        <v>31</v>
      </c>
      <c r="G565" s="76" t="s">
        <v>31</v>
      </c>
      <c r="H565" s="76"/>
      <c r="I565" s="76"/>
      <c r="J565" s="76" t="s">
        <v>31</v>
      </c>
      <c r="K565" s="76" t="s">
        <v>31</v>
      </c>
      <c r="L565" s="76" t="s">
        <v>31</v>
      </c>
      <c r="M565" s="76" t="s">
        <v>31</v>
      </c>
      <c r="N565" s="76"/>
      <c r="U565" s="81"/>
    </row>
    <row r="566" spans="1:21" ht="20.25" customHeight="1" x14ac:dyDescent="0.35">
      <c r="A566" s="66" t="s">
        <v>30</v>
      </c>
      <c r="C566" s="67"/>
      <c r="D566" s="92" t="str">
        <f t="shared" ref="D566" si="377">E566</f>
        <v>S100005</v>
      </c>
      <c r="E566" s="91" t="str">
        <f>"S100005"</f>
        <v>S100005</v>
      </c>
      <c r="F566" s="89" t="str">
        <f>"Award Medallian - 2.5''"</f>
        <v>Award Medallian - 2.5''</v>
      </c>
      <c r="G566" s="89"/>
      <c r="H566" s="90" t="str">
        <f>"EA"</f>
        <v>EA</v>
      </c>
      <c r="I566" s="89"/>
      <c r="J566" s="89"/>
      <c r="K566" s="89"/>
      <c r="L566" s="89"/>
      <c r="M566" s="89"/>
      <c r="N566" s="89"/>
      <c r="O566" s="88">
        <f>(SUBTOTAL(9,O567:O569))</f>
        <v>100</v>
      </c>
      <c r="P566" s="88">
        <f>(SUBTOTAL(9,P567:P569))</f>
        <v>-48</v>
      </c>
      <c r="Q566" s="88">
        <f>(SUBTOTAL(9,Q567:Q569))</f>
        <v>0</v>
      </c>
      <c r="R566" s="88">
        <f>(SUBTOTAL(9,R567:R569))</f>
        <v>0</v>
      </c>
      <c r="S566" s="88">
        <f>(SUBTOTAL(9,S567:S569))</f>
        <v>0</v>
      </c>
      <c r="T566" s="88">
        <f>(SUBTOTAL(9,T567:T569))</f>
        <v>0</v>
      </c>
      <c r="U566" s="87">
        <f t="shared" ref="U566" si="378">SUBTOTAL(9,O567:T569)</f>
        <v>52</v>
      </c>
    </row>
    <row r="567" spans="1:21" ht="17.25" customHeight="1" x14ac:dyDescent="0.3">
      <c r="A567" s="66" t="s">
        <v>30</v>
      </c>
      <c r="C567" s="67"/>
      <c r="D567" s="77" t="str">
        <f t="shared" ref="D567" si="379">D566</f>
        <v>S100005</v>
      </c>
      <c r="E567" s="77"/>
      <c r="F567" s="76"/>
      <c r="G567" s="76" t="str">
        <f>"""NAV Direct"",""CRONUS JetCorp USA"",""32"",""1"",""166339"""</f>
        <v>"NAV Direct","CRONUS JetCorp USA","32","1","166339"</v>
      </c>
      <c r="H567" s="86">
        <v>43466</v>
      </c>
      <c r="I567" s="85">
        <v>166339</v>
      </c>
      <c r="J567" s="84" t="str">
        <f>"Vendor"</f>
        <v>Vendor</v>
      </c>
      <c r="K567" s="84" t="str">
        <f>"V100040"</f>
        <v>V100040</v>
      </c>
      <c r="L567" s="84" t="str">
        <f>IF($J567="Customer",_xll.NL("first",$J567,"Name","No.","@@"&amp;$K567),"")</f>
        <v/>
      </c>
      <c r="M567" s="84" t="str">
        <f>"Technische Betriebe Rotkreuz"</f>
        <v>Technische Betriebe Rotkreuz</v>
      </c>
      <c r="N567" s="84" t="str">
        <f>IF($J567="Item",_xll.NL("first",$J567,"Description","No.","@@"&amp;$K567),"")</f>
        <v/>
      </c>
      <c r="O567" s="83">
        <v>100</v>
      </c>
      <c r="P567" s="83">
        <v>0</v>
      </c>
      <c r="Q567" s="83">
        <v>0</v>
      </c>
      <c r="R567" s="83">
        <v>0</v>
      </c>
      <c r="S567" s="83">
        <v>0</v>
      </c>
      <c r="T567" s="83">
        <v>0</v>
      </c>
      <c r="U567" s="82"/>
    </row>
    <row r="568" spans="1:21" ht="17.25" customHeight="1" x14ac:dyDescent="0.3">
      <c r="A568" s="66" t="s">
        <v>30</v>
      </c>
      <c r="C568" s="67"/>
      <c r="D568" s="77" t="str">
        <f t="shared" ref="D568" si="380">D567</f>
        <v>S100005</v>
      </c>
      <c r="E568" s="77"/>
      <c r="F568" s="76"/>
      <c r="G568" s="76" t="str">
        <f>"""NAV Direct"",""CRONUS JetCorp USA"",""32"",""1"",""38076"""</f>
        <v>"NAV Direct","CRONUS JetCorp USA","32","1","38076"</v>
      </c>
      <c r="H568" s="86">
        <v>43471</v>
      </c>
      <c r="I568" s="85">
        <v>38076</v>
      </c>
      <c r="J568" s="84" t="str">
        <f>"Customer"</f>
        <v>Customer</v>
      </c>
      <c r="K568" s="84" t="str">
        <f>"C100013"</f>
        <v>C100013</v>
      </c>
      <c r="L568" s="84" t="str">
        <f>IF($J568="Customer",_xll.NL("first",$J568,"Name","No.","@@"&amp;$K568),"")</f>
        <v>Candoxy Kontor A/S</v>
      </c>
      <c r="M568" s="84" t="str">
        <f>""</f>
        <v/>
      </c>
      <c r="N568" s="84" t="str">
        <f>IF($J568="Item",_xll.NL("first",$J568,"Description","No.","@@"&amp;$K568),"")</f>
        <v/>
      </c>
      <c r="O568" s="83">
        <v>0</v>
      </c>
      <c r="P568" s="83">
        <v>-48</v>
      </c>
      <c r="Q568" s="83">
        <v>0</v>
      </c>
      <c r="R568" s="83">
        <v>0</v>
      </c>
      <c r="S568" s="83">
        <v>0</v>
      </c>
      <c r="T568" s="83">
        <v>0</v>
      </c>
      <c r="U568" s="82"/>
    </row>
    <row r="569" spans="1:21" ht="17.25" customHeight="1" x14ac:dyDescent="0.3">
      <c r="A569" s="66" t="s">
        <v>30</v>
      </c>
      <c r="C569" s="67"/>
      <c r="D569" s="77"/>
      <c r="E569" s="77"/>
      <c r="F569" s="76"/>
      <c r="G569" s="76"/>
      <c r="H569" s="76"/>
      <c r="I569" s="76"/>
      <c r="J569" s="76"/>
      <c r="K569" s="76"/>
      <c r="L569" s="76"/>
      <c r="M569" s="76"/>
      <c r="N569" s="76"/>
      <c r="O569" s="75"/>
      <c r="P569" s="75"/>
      <c r="Q569" s="75"/>
      <c r="R569" s="75"/>
      <c r="S569" s="75"/>
      <c r="T569" s="75"/>
      <c r="U569" s="74"/>
    </row>
    <row r="570" spans="1:21" ht="17.25" customHeight="1" x14ac:dyDescent="0.3">
      <c r="A570" s="66" t="s">
        <v>30</v>
      </c>
      <c r="C570" s="67"/>
      <c r="D570" s="77"/>
      <c r="E570" s="77" t="s">
        <v>31</v>
      </c>
      <c r="F570" s="76" t="s">
        <v>31</v>
      </c>
      <c r="G570" s="76" t="s">
        <v>31</v>
      </c>
      <c r="H570" s="76"/>
      <c r="I570" s="76"/>
      <c r="J570" s="76" t="s">
        <v>31</v>
      </c>
      <c r="K570" s="76" t="s">
        <v>31</v>
      </c>
      <c r="L570" s="76" t="s">
        <v>31</v>
      </c>
      <c r="M570" s="76" t="s">
        <v>31</v>
      </c>
      <c r="N570" s="76"/>
      <c r="U570" s="81"/>
    </row>
    <row r="571" spans="1:21" ht="20.25" customHeight="1" x14ac:dyDescent="0.35">
      <c r="A571" s="66" t="s">
        <v>30</v>
      </c>
      <c r="C571" s="67"/>
      <c r="D571" s="92" t="str">
        <f t="shared" ref="D571" si="381">E571</f>
        <v>S100006</v>
      </c>
      <c r="E571" s="91" t="str">
        <f>"S100006"</f>
        <v>S100006</v>
      </c>
      <c r="F571" s="89" t="str">
        <f>"Award Medallian - 3''"</f>
        <v>Award Medallian - 3''</v>
      </c>
      <c r="G571" s="89"/>
      <c r="H571" s="90" t="str">
        <f>"EA"</f>
        <v>EA</v>
      </c>
      <c r="I571" s="89"/>
      <c r="J571" s="89"/>
      <c r="K571" s="89"/>
      <c r="L571" s="89"/>
      <c r="M571" s="89"/>
      <c r="N571" s="89"/>
      <c r="O571" s="88">
        <f>(SUBTOTAL(9,O572:O573))</f>
        <v>300</v>
      </c>
      <c r="P571" s="88">
        <f>(SUBTOTAL(9,P572:P573))</f>
        <v>0</v>
      </c>
      <c r="Q571" s="88">
        <f>(SUBTOTAL(9,Q572:Q573))</f>
        <v>0</v>
      </c>
      <c r="R571" s="88">
        <f>(SUBTOTAL(9,R572:R573))</f>
        <v>0</v>
      </c>
      <c r="S571" s="88">
        <f>(SUBTOTAL(9,S572:S573))</f>
        <v>0</v>
      </c>
      <c r="T571" s="88">
        <f>(SUBTOTAL(9,T572:T573))</f>
        <v>0</v>
      </c>
      <c r="U571" s="87">
        <f t="shared" ref="U571" si="382">SUBTOTAL(9,O572:T573)</f>
        <v>300</v>
      </c>
    </row>
    <row r="572" spans="1:21" ht="17.25" customHeight="1" x14ac:dyDescent="0.3">
      <c r="A572" s="66" t="s">
        <v>30</v>
      </c>
      <c r="C572" s="67"/>
      <c r="D572" s="77" t="str">
        <f t="shared" ref="D572" si="383">D571</f>
        <v>S100006</v>
      </c>
      <c r="E572" s="77"/>
      <c r="F572" s="76"/>
      <c r="G572" s="76" t="str">
        <f>"""NAV Direct"",""CRONUS JetCorp USA"",""32"",""1"",""166338"""</f>
        <v>"NAV Direct","CRONUS JetCorp USA","32","1","166338"</v>
      </c>
      <c r="H572" s="86">
        <v>43466</v>
      </c>
      <c r="I572" s="85">
        <v>166338</v>
      </c>
      <c r="J572" s="84" t="str">
        <f>"Vendor"</f>
        <v>Vendor</v>
      </c>
      <c r="K572" s="84" t="str">
        <f>"V100040"</f>
        <v>V100040</v>
      </c>
      <c r="L572" s="84" t="str">
        <f>IF($J572="Customer",_xll.NL("first",$J572,"Name","No.","@@"&amp;$K572),"")</f>
        <v/>
      </c>
      <c r="M572" s="84" t="str">
        <f>"Technische Betriebe Rotkreuz"</f>
        <v>Technische Betriebe Rotkreuz</v>
      </c>
      <c r="N572" s="84" t="str">
        <f>IF($J572="Item",_xll.NL("first",$J572,"Description","No.","@@"&amp;$K572),"")</f>
        <v/>
      </c>
      <c r="O572" s="83">
        <v>300</v>
      </c>
      <c r="P572" s="83">
        <v>0</v>
      </c>
      <c r="Q572" s="83">
        <v>0</v>
      </c>
      <c r="R572" s="83">
        <v>0</v>
      </c>
      <c r="S572" s="83">
        <v>0</v>
      </c>
      <c r="T572" s="83">
        <v>0</v>
      </c>
      <c r="U572" s="82"/>
    </row>
    <row r="573" spans="1:21" ht="17.25" customHeight="1" x14ac:dyDescent="0.3">
      <c r="A573" s="66" t="s">
        <v>30</v>
      </c>
      <c r="C573" s="67"/>
      <c r="D573" s="77"/>
      <c r="E573" s="77"/>
      <c r="F573" s="76"/>
      <c r="G573" s="76"/>
      <c r="H573" s="76"/>
      <c r="I573" s="76"/>
      <c r="J573" s="76"/>
      <c r="K573" s="76"/>
      <c r="L573" s="76"/>
      <c r="M573" s="76"/>
      <c r="N573" s="76"/>
      <c r="O573" s="75"/>
      <c r="P573" s="75"/>
      <c r="Q573" s="75"/>
      <c r="R573" s="75"/>
      <c r="S573" s="75"/>
      <c r="T573" s="75"/>
      <c r="U573" s="74"/>
    </row>
    <row r="574" spans="1:21" ht="17.25" customHeight="1" x14ac:dyDescent="0.3">
      <c r="A574" s="66" t="s">
        <v>30</v>
      </c>
      <c r="C574" s="67"/>
      <c r="D574" s="77"/>
      <c r="E574" s="77" t="s">
        <v>31</v>
      </c>
      <c r="F574" s="76" t="s">
        <v>31</v>
      </c>
      <c r="G574" s="76" t="s">
        <v>31</v>
      </c>
      <c r="H574" s="76"/>
      <c r="I574" s="76"/>
      <c r="J574" s="76" t="s">
        <v>31</v>
      </c>
      <c r="K574" s="76" t="s">
        <v>31</v>
      </c>
      <c r="L574" s="76" t="s">
        <v>31</v>
      </c>
      <c r="M574" s="76" t="s">
        <v>31</v>
      </c>
      <c r="N574" s="76"/>
      <c r="U574" s="81"/>
    </row>
    <row r="575" spans="1:21" ht="20.25" customHeight="1" x14ac:dyDescent="0.35">
      <c r="A575" s="66" t="s">
        <v>30</v>
      </c>
      <c r="C575" s="67"/>
      <c r="D575" s="92" t="str">
        <f t="shared" ref="D575" si="384">E575</f>
        <v>S100007</v>
      </c>
      <c r="E575" s="91" t="str">
        <f>"S100007"</f>
        <v>S100007</v>
      </c>
      <c r="F575" s="89" t="str">
        <f>"Baseball Figure Trophy"</f>
        <v>Baseball Figure Trophy</v>
      </c>
      <c r="G575" s="89"/>
      <c r="H575" s="90" t="str">
        <f>"EA"</f>
        <v>EA</v>
      </c>
      <c r="I575" s="89"/>
      <c r="J575" s="89"/>
      <c r="K575" s="89"/>
      <c r="L575" s="89"/>
      <c r="M575" s="89"/>
      <c r="N575" s="89"/>
      <c r="O575" s="88">
        <f>(SUBTOTAL(9,O576:O578))</f>
        <v>700</v>
      </c>
      <c r="P575" s="88">
        <f>(SUBTOTAL(9,P576:P578))</f>
        <v>-288</v>
      </c>
      <c r="Q575" s="88">
        <f>(SUBTOTAL(9,Q576:Q578))</f>
        <v>0</v>
      </c>
      <c r="R575" s="88">
        <f>(SUBTOTAL(9,R576:R578))</f>
        <v>0</v>
      </c>
      <c r="S575" s="88">
        <f>(SUBTOTAL(9,S576:S578))</f>
        <v>0</v>
      </c>
      <c r="T575" s="88">
        <f>(SUBTOTAL(9,T576:T578))</f>
        <v>0</v>
      </c>
      <c r="U575" s="87">
        <f t="shared" ref="U575" si="385">SUBTOTAL(9,O576:T578)</f>
        <v>412</v>
      </c>
    </row>
    <row r="576" spans="1:21" ht="17.25" customHeight="1" x14ac:dyDescent="0.3">
      <c r="A576" s="66" t="s">
        <v>30</v>
      </c>
      <c r="C576" s="67"/>
      <c r="D576" s="77" t="str">
        <f t="shared" ref="D576" si="386">D575</f>
        <v>S100007</v>
      </c>
      <c r="E576" s="77"/>
      <c r="F576" s="76"/>
      <c r="G576" s="76" t="str">
        <f>"""NAV Direct"",""CRONUS JetCorp USA"",""32"",""1"",""166337"""</f>
        <v>"NAV Direct","CRONUS JetCorp USA","32","1","166337"</v>
      </c>
      <c r="H576" s="86">
        <v>43466</v>
      </c>
      <c r="I576" s="85">
        <v>166337</v>
      </c>
      <c r="J576" s="84" t="str">
        <f>"Vendor"</f>
        <v>Vendor</v>
      </c>
      <c r="K576" s="84" t="str">
        <f>"V100040"</f>
        <v>V100040</v>
      </c>
      <c r="L576" s="84" t="str">
        <f>IF($J576="Customer",_xll.NL("first",$J576,"Name","No.","@@"&amp;$K576),"")</f>
        <v/>
      </c>
      <c r="M576" s="84" t="str">
        <f>"Technische Betriebe Rotkreuz"</f>
        <v>Technische Betriebe Rotkreuz</v>
      </c>
      <c r="N576" s="84" t="str">
        <f>IF($J576="Item",_xll.NL("first",$J576,"Description","No.","@@"&amp;$K576),"")</f>
        <v/>
      </c>
      <c r="O576" s="83">
        <v>700</v>
      </c>
      <c r="P576" s="83">
        <v>0</v>
      </c>
      <c r="Q576" s="83">
        <v>0</v>
      </c>
      <c r="R576" s="83">
        <v>0</v>
      </c>
      <c r="S576" s="83">
        <v>0</v>
      </c>
      <c r="T576" s="83">
        <v>0</v>
      </c>
      <c r="U576" s="82"/>
    </row>
    <row r="577" spans="1:21" ht="17.25" customHeight="1" x14ac:dyDescent="0.3">
      <c r="A577" s="66" t="s">
        <v>30</v>
      </c>
      <c r="C577" s="67"/>
      <c r="D577" s="77" t="str">
        <f t="shared" ref="D577" si="387">D576</f>
        <v>S100007</v>
      </c>
      <c r="E577" s="77"/>
      <c r="F577" s="76"/>
      <c r="G577" s="76" t="str">
        <f>"""NAV Direct"",""CRONUS JetCorp USA"",""32"",""1"",""34309"""</f>
        <v>"NAV Direct","CRONUS JetCorp USA","32","1","34309"</v>
      </c>
      <c r="H577" s="86">
        <v>43473</v>
      </c>
      <c r="I577" s="85">
        <v>34309</v>
      </c>
      <c r="J577" s="84" t="str">
        <f>"Customer"</f>
        <v>Customer</v>
      </c>
      <c r="K577" s="84" t="str">
        <f>"C100059"</f>
        <v>C100059</v>
      </c>
      <c r="L577" s="84" t="str">
        <f>IF($J577="Customer",_xll.NL("first",$J577,"Name","No.","@@"&amp;$K577),"")</f>
        <v>Meersen Meubelen</v>
      </c>
      <c r="M577" s="84" t="str">
        <f>""</f>
        <v/>
      </c>
      <c r="N577" s="84" t="str">
        <f>IF($J577="Item",_xll.NL("first",$J577,"Description","No.","@@"&amp;$K577),"")</f>
        <v/>
      </c>
      <c r="O577" s="83">
        <v>0</v>
      </c>
      <c r="P577" s="83">
        <v>-288</v>
      </c>
      <c r="Q577" s="83">
        <v>0</v>
      </c>
      <c r="R577" s="83">
        <v>0</v>
      </c>
      <c r="S577" s="83">
        <v>0</v>
      </c>
      <c r="T577" s="83">
        <v>0</v>
      </c>
      <c r="U577" s="82"/>
    </row>
    <row r="578" spans="1:21" ht="17.25" customHeight="1" x14ac:dyDescent="0.3">
      <c r="A578" s="66" t="s">
        <v>30</v>
      </c>
      <c r="C578" s="67"/>
      <c r="D578" s="77"/>
      <c r="E578" s="77"/>
      <c r="F578" s="76"/>
      <c r="G578" s="76"/>
      <c r="H578" s="76"/>
      <c r="I578" s="76"/>
      <c r="J578" s="76"/>
      <c r="K578" s="76"/>
      <c r="L578" s="76"/>
      <c r="M578" s="76"/>
      <c r="N578" s="76"/>
      <c r="O578" s="75"/>
      <c r="P578" s="75"/>
      <c r="Q578" s="75"/>
      <c r="R578" s="75"/>
      <c r="S578" s="75"/>
      <c r="T578" s="75"/>
      <c r="U578" s="74"/>
    </row>
    <row r="579" spans="1:21" ht="17.25" customHeight="1" x14ac:dyDescent="0.3">
      <c r="A579" s="66" t="s">
        <v>30</v>
      </c>
      <c r="C579" s="67"/>
      <c r="D579" s="77"/>
      <c r="E579" s="77" t="s">
        <v>31</v>
      </c>
      <c r="F579" s="76" t="s">
        <v>31</v>
      </c>
      <c r="G579" s="76" t="s">
        <v>31</v>
      </c>
      <c r="H579" s="76"/>
      <c r="I579" s="76"/>
      <c r="J579" s="76" t="s">
        <v>31</v>
      </c>
      <c r="K579" s="76" t="s">
        <v>31</v>
      </c>
      <c r="L579" s="76" t="s">
        <v>31</v>
      </c>
      <c r="M579" s="76" t="s">
        <v>31</v>
      </c>
      <c r="N579" s="76"/>
      <c r="U579" s="81"/>
    </row>
    <row r="580" spans="1:21" ht="20.25" customHeight="1" x14ac:dyDescent="0.35">
      <c r="A580" s="66" t="s">
        <v>30</v>
      </c>
      <c r="C580" s="67"/>
      <c r="D580" s="92" t="str">
        <f t="shared" ref="D580" si="388">E580</f>
        <v>S100008</v>
      </c>
      <c r="E580" s="91" t="str">
        <f>"S100008"</f>
        <v>S100008</v>
      </c>
      <c r="F580" s="89" t="str">
        <f>"Soccer Figure Trophy"</f>
        <v>Soccer Figure Trophy</v>
      </c>
      <c r="G580" s="89"/>
      <c r="H580" s="90" t="str">
        <f>"EA"</f>
        <v>EA</v>
      </c>
      <c r="I580" s="89"/>
      <c r="J580" s="89"/>
      <c r="K580" s="89"/>
      <c r="L580" s="89"/>
      <c r="M580" s="89"/>
      <c r="N580" s="89"/>
      <c r="O580" s="88">
        <f>(SUBTOTAL(9,O581:O583))</f>
        <v>900</v>
      </c>
      <c r="P580" s="88">
        <f>(SUBTOTAL(9,P581:P583))</f>
        <v>-144</v>
      </c>
      <c r="Q580" s="88">
        <f>(SUBTOTAL(9,Q581:Q583))</f>
        <v>0</v>
      </c>
      <c r="R580" s="88">
        <f>(SUBTOTAL(9,R581:R583))</f>
        <v>0</v>
      </c>
      <c r="S580" s="88">
        <f>(SUBTOTAL(9,S581:S583))</f>
        <v>0</v>
      </c>
      <c r="T580" s="88">
        <f>(SUBTOTAL(9,T581:T583))</f>
        <v>0</v>
      </c>
      <c r="U580" s="87">
        <f t="shared" ref="U580" si="389">SUBTOTAL(9,O581:T583)</f>
        <v>756</v>
      </c>
    </row>
    <row r="581" spans="1:21" ht="17.25" customHeight="1" x14ac:dyDescent="0.3">
      <c r="A581" s="66" t="s">
        <v>30</v>
      </c>
      <c r="C581" s="67"/>
      <c r="D581" s="77" t="str">
        <f t="shared" ref="D581" si="390">D580</f>
        <v>S100008</v>
      </c>
      <c r="E581" s="77"/>
      <c r="F581" s="76"/>
      <c r="G581" s="76" t="str">
        <f>"""NAV Direct"",""CRONUS JetCorp USA"",""32"",""1"",""166336"""</f>
        <v>"NAV Direct","CRONUS JetCorp USA","32","1","166336"</v>
      </c>
      <c r="H581" s="86">
        <v>43466</v>
      </c>
      <c r="I581" s="85">
        <v>166336</v>
      </c>
      <c r="J581" s="84" t="str">
        <f>"Vendor"</f>
        <v>Vendor</v>
      </c>
      <c r="K581" s="84" t="str">
        <f>"V100040"</f>
        <v>V100040</v>
      </c>
      <c r="L581" s="84" t="str">
        <f>IF($J581="Customer",_xll.NL("first",$J581,"Name","No.","@@"&amp;$K581),"")</f>
        <v/>
      </c>
      <c r="M581" s="84" t="str">
        <f>"Technische Betriebe Rotkreuz"</f>
        <v>Technische Betriebe Rotkreuz</v>
      </c>
      <c r="N581" s="84" t="str">
        <f>IF($J581="Item",_xll.NL("first",$J581,"Description","No.","@@"&amp;$K581),"")</f>
        <v/>
      </c>
      <c r="O581" s="83">
        <v>900</v>
      </c>
      <c r="P581" s="83">
        <v>0</v>
      </c>
      <c r="Q581" s="83">
        <v>0</v>
      </c>
      <c r="R581" s="83">
        <v>0</v>
      </c>
      <c r="S581" s="83">
        <v>0</v>
      </c>
      <c r="T581" s="83">
        <v>0</v>
      </c>
      <c r="U581" s="82"/>
    </row>
    <row r="582" spans="1:21" ht="17.25" customHeight="1" x14ac:dyDescent="0.3">
      <c r="A582" s="66" t="s">
        <v>30</v>
      </c>
      <c r="C582" s="67"/>
      <c r="D582" s="77" t="str">
        <f t="shared" ref="D582" si="391">D581</f>
        <v>S100008</v>
      </c>
      <c r="E582" s="77"/>
      <c r="F582" s="76"/>
      <c r="G582" s="76" t="str">
        <f>"""NAV Direct"",""CRONUS JetCorp USA"",""32"",""1"",""38074"""</f>
        <v>"NAV Direct","CRONUS JetCorp USA","32","1","38074"</v>
      </c>
      <c r="H582" s="86">
        <v>43471</v>
      </c>
      <c r="I582" s="85">
        <v>38074</v>
      </c>
      <c r="J582" s="84" t="str">
        <f>"Customer"</f>
        <v>Customer</v>
      </c>
      <c r="K582" s="84" t="str">
        <f>"C100013"</f>
        <v>C100013</v>
      </c>
      <c r="L582" s="84" t="str">
        <f>IF($J582="Customer",_xll.NL("first",$J582,"Name","No.","@@"&amp;$K582),"")</f>
        <v>Candoxy Kontor A/S</v>
      </c>
      <c r="M582" s="84" t="str">
        <f>""</f>
        <v/>
      </c>
      <c r="N582" s="84" t="str">
        <f>IF($J582="Item",_xll.NL("first",$J582,"Description","No.","@@"&amp;$K582),"")</f>
        <v/>
      </c>
      <c r="O582" s="83">
        <v>0</v>
      </c>
      <c r="P582" s="83">
        <v>-144</v>
      </c>
      <c r="Q582" s="83">
        <v>0</v>
      </c>
      <c r="R582" s="83">
        <v>0</v>
      </c>
      <c r="S582" s="83">
        <v>0</v>
      </c>
      <c r="T582" s="83">
        <v>0</v>
      </c>
      <c r="U582" s="82"/>
    </row>
    <row r="583" spans="1:21" ht="17.25" customHeight="1" x14ac:dyDescent="0.3">
      <c r="A583" s="66" t="s">
        <v>30</v>
      </c>
      <c r="C583" s="67"/>
      <c r="D583" s="77"/>
      <c r="E583" s="77"/>
      <c r="F583" s="76"/>
      <c r="G583" s="76"/>
      <c r="H583" s="76"/>
      <c r="I583" s="76"/>
      <c r="J583" s="76"/>
      <c r="K583" s="76"/>
      <c r="L583" s="76"/>
      <c r="M583" s="76"/>
      <c r="N583" s="76"/>
      <c r="O583" s="75"/>
      <c r="P583" s="75"/>
      <c r="Q583" s="75"/>
      <c r="R583" s="75"/>
      <c r="S583" s="75"/>
      <c r="T583" s="75"/>
      <c r="U583" s="74"/>
    </row>
    <row r="584" spans="1:21" ht="17.25" customHeight="1" x14ac:dyDescent="0.3">
      <c r="A584" s="66" t="s">
        <v>30</v>
      </c>
      <c r="C584" s="67"/>
      <c r="D584" s="77"/>
      <c r="E584" s="77" t="s">
        <v>31</v>
      </c>
      <c r="F584" s="76" t="s">
        <v>31</v>
      </c>
      <c r="G584" s="76" t="s">
        <v>31</v>
      </c>
      <c r="H584" s="76"/>
      <c r="I584" s="76"/>
      <c r="J584" s="76" t="s">
        <v>31</v>
      </c>
      <c r="K584" s="76" t="s">
        <v>31</v>
      </c>
      <c r="L584" s="76" t="s">
        <v>31</v>
      </c>
      <c r="M584" s="76" t="s">
        <v>31</v>
      </c>
      <c r="N584" s="76"/>
      <c r="U584" s="81"/>
    </row>
    <row r="585" spans="1:21" ht="20.25" customHeight="1" x14ac:dyDescent="0.35">
      <c r="A585" s="66" t="s">
        <v>30</v>
      </c>
      <c r="C585" s="67"/>
      <c r="D585" s="92" t="str">
        <f t="shared" ref="D585" si="392">E585</f>
        <v>S100010</v>
      </c>
      <c r="E585" s="91" t="str">
        <f>"S100010"</f>
        <v>S100010</v>
      </c>
      <c r="F585" s="89" t="str">
        <f>"Golf Relaxed Cap"</f>
        <v>Golf Relaxed Cap</v>
      </c>
      <c r="G585" s="89"/>
      <c r="H585" s="90" t="str">
        <f>"EA"</f>
        <v>EA</v>
      </c>
      <c r="I585" s="89"/>
      <c r="J585" s="89"/>
      <c r="K585" s="89"/>
      <c r="L585" s="89"/>
      <c r="M585" s="89"/>
      <c r="N585" s="89"/>
      <c r="O585" s="88">
        <f>(SUBTOTAL(9,O586:O588))</f>
        <v>400</v>
      </c>
      <c r="P585" s="88">
        <f>(SUBTOTAL(9,P586:P588))</f>
        <v>-144</v>
      </c>
      <c r="Q585" s="88">
        <f>(SUBTOTAL(9,Q586:Q588))</f>
        <v>0</v>
      </c>
      <c r="R585" s="88">
        <f>(SUBTOTAL(9,R586:R588))</f>
        <v>0</v>
      </c>
      <c r="S585" s="88">
        <f>(SUBTOTAL(9,S586:S588))</f>
        <v>0</v>
      </c>
      <c r="T585" s="88">
        <f>(SUBTOTAL(9,T586:T588))</f>
        <v>0</v>
      </c>
      <c r="U585" s="87">
        <f t="shared" ref="U585" si="393">SUBTOTAL(9,O586:T588)</f>
        <v>256</v>
      </c>
    </row>
    <row r="586" spans="1:21" ht="17.25" customHeight="1" x14ac:dyDescent="0.3">
      <c r="A586" s="66" t="s">
        <v>30</v>
      </c>
      <c r="C586" s="67"/>
      <c r="D586" s="77" t="str">
        <f t="shared" ref="D586" si="394">D585</f>
        <v>S100010</v>
      </c>
      <c r="E586" s="77"/>
      <c r="F586" s="76"/>
      <c r="G586" s="76" t="str">
        <f>"""NAV Direct"",""CRONUS JetCorp USA"",""32"",""1"",""167096"""</f>
        <v>"NAV Direct","CRONUS JetCorp USA","32","1","167096"</v>
      </c>
      <c r="H586" s="86">
        <v>43466</v>
      </c>
      <c r="I586" s="85">
        <v>167096</v>
      </c>
      <c r="J586" s="84" t="str">
        <f>"Vendor"</f>
        <v>Vendor</v>
      </c>
      <c r="K586" s="84" t="str">
        <f>"V100040"</f>
        <v>V100040</v>
      </c>
      <c r="L586" s="84" t="str">
        <f>IF($J586="Customer",_xll.NL("first",$J586,"Name","No.","@@"&amp;$K586),"")</f>
        <v/>
      </c>
      <c r="M586" s="84" t="str">
        <f>"Technische Betriebe Rotkreuz"</f>
        <v>Technische Betriebe Rotkreuz</v>
      </c>
      <c r="N586" s="84" t="str">
        <f>IF($J586="Item",_xll.NL("first",$J586,"Description","No.","@@"&amp;$K586),"")</f>
        <v/>
      </c>
      <c r="O586" s="83">
        <v>400</v>
      </c>
      <c r="P586" s="83">
        <v>0</v>
      </c>
      <c r="Q586" s="83">
        <v>0</v>
      </c>
      <c r="R586" s="83">
        <v>0</v>
      </c>
      <c r="S586" s="83">
        <v>0</v>
      </c>
      <c r="T586" s="83">
        <v>0</v>
      </c>
      <c r="U586" s="82"/>
    </row>
    <row r="587" spans="1:21" ht="17.25" customHeight="1" x14ac:dyDescent="0.3">
      <c r="A587" s="66" t="s">
        <v>30</v>
      </c>
      <c r="C587" s="67"/>
      <c r="D587" s="77" t="str">
        <f t="shared" ref="D587" si="395">D586</f>
        <v>S100010</v>
      </c>
      <c r="E587" s="77"/>
      <c r="F587" s="76"/>
      <c r="G587" s="76" t="str">
        <f>"""NAV Direct"",""CRONUS JetCorp USA"",""32"",""1"",""36478"""</f>
        <v>"NAV Direct","CRONUS JetCorp USA","32","1","36478"</v>
      </c>
      <c r="H587" s="86">
        <v>43475</v>
      </c>
      <c r="I587" s="85">
        <v>36478</v>
      </c>
      <c r="J587" s="84" t="str">
        <f>"Customer"</f>
        <v>Customer</v>
      </c>
      <c r="K587" s="84" t="str">
        <f>"C100063"</f>
        <v>C100063</v>
      </c>
      <c r="L587" s="84" t="str">
        <f>IF($J587="Customer",_xll.NL("first",$J587,"Name","No.","@@"&amp;$K587),"")</f>
        <v>Möbel Scherrer AG</v>
      </c>
      <c r="M587" s="84" t="str">
        <f>""</f>
        <v/>
      </c>
      <c r="N587" s="84" t="str">
        <f>IF($J587="Item",_xll.NL("first",$J587,"Description","No.","@@"&amp;$K587),"")</f>
        <v/>
      </c>
      <c r="O587" s="83">
        <v>0</v>
      </c>
      <c r="P587" s="83">
        <v>-144</v>
      </c>
      <c r="Q587" s="83">
        <v>0</v>
      </c>
      <c r="R587" s="83">
        <v>0</v>
      </c>
      <c r="S587" s="83">
        <v>0</v>
      </c>
      <c r="T587" s="83">
        <v>0</v>
      </c>
      <c r="U587" s="82"/>
    </row>
    <row r="588" spans="1:21" ht="17.25" customHeight="1" x14ac:dyDescent="0.3">
      <c r="A588" s="66" t="s">
        <v>30</v>
      </c>
      <c r="C588" s="67"/>
      <c r="D588" s="77"/>
      <c r="E588" s="77"/>
      <c r="F588" s="76"/>
      <c r="G588" s="76"/>
      <c r="H588" s="76"/>
      <c r="I588" s="76"/>
      <c r="J588" s="76"/>
      <c r="K588" s="76"/>
      <c r="L588" s="76"/>
      <c r="M588" s="76"/>
      <c r="N588" s="76"/>
      <c r="O588" s="75"/>
      <c r="P588" s="75"/>
      <c r="Q588" s="75"/>
      <c r="R588" s="75"/>
      <c r="S588" s="75"/>
      <c r="T588" s="75"/>
      <c r="U588" s="74"/>
    </row>
    <row r="589" spans="1:21" ht="17.25" customHeight="1" x14ac:dyDescent="0.3">
      <c r="A589" s="66" t="s">
        <v>30</v>
      </c>
      <c r="C589" s="67"/>
      <c r="D589" s="77"/>
      <c r="E589" s="77" t="s">
        <v>31</v>
      </c>
      <c r="F589" s="76" t="s">
        <v>31</v>
      </c>
      <c r="G589" s="76" t="s">
        <v>31</v>
      </c>
      <c r="H589" s="76"/>
      <c r="I589" s="76"/>
      <c r="J589" s="76" t="s">
        <v>31</v>
      </c>
      <c r="K589" s="76" t="s">
        <v>31</v>
      </c>
      <c r="L589" s="76" t="s">
        <v>31</v>
      </c>
      <c r="M589" s="76" t="s">
        <v>31</v>
      </c>
      <c r="N589" s="76"/>
      <c r="U589" s="81"/>
    </row>
    <row r="590" spans="1:21" ht="20.25" customHeight="1" x14ac:dyDescent="0.35">
      <c r="A590" s="66" t="s">
        <v>30</v>
      </c>
      <c r="C590" s="67"/>
      <c r="D590" s="92" t="str">
        <f t="shared" ref="D590" si="396">E590</f>
        <v>S100011</v>
      </c>
      <c r="E590" s="91" t="str">
        <f>"S100011"</f>
        <v>S100011</v>
      </c>
      <c r="F590" s="89" t="str">
        <f>"All Star Cap"</f>
        <v>All Star Cap</v>
      </c>
      <c r="G590" s="89"/>
      <c r="H590" s="90" t="str">
        <f>"EA"</f>
        <v>EA</v>
      </c>
      <c r="I590" s="89"/>
      <c r="J590" s="89"/>
      <c r="K590" s="89"/>
      <c r="L590" s="89"/>
      <c r="M590" s="89"/>
      <c r="N590" s="89"/>
      <c r="O590" s="88">
        <f>(SUBTOTAL(9,O591:O596))</f>
        <v>400</v>
      </c>
      <c r="P590" s="88">
        <f>(SUBTOTAL(9,P591:P596))</f>
        <v>-301</v>
      </c>
      <c r="Q590" s="88">
        <f>(SUBTOTAL(9,Q591:Q596))</f>
        <v>0</v>
      </c>
      <c r="R590" s="88">
        <f>(SUBTOTAL(9,R591:R596))</f>
        <v>0</v>
      </c>
      <c r="S590" s="88">
        <f>(SUBTOTAL(9,S591:S596))</f>
        <v>0</v>
      </c>
      <c r="T590" s="88">
        <f>(SUBTOTAL(9,T591:T596))</f>
        <v>0</v>
      </c>
      <c r="U590" s="87">
        <f t="shared" ref="U590" si="397">SUBTOTAL(9,O591:T596)</f>
        <v>99</v>
      </c>
    </row>
    <row r="591" spans="1:21" ht="17.25" customHeight="1" x14ac:dyDescent="0.3">
      <c r="A591" s="66" t="s">
        <v>30</v>
      </c>
      <c r="C591" s="67"/>
      <c r="D591" s="77" t="str">
        <f t="shared" ref="D591" si="398">D590</f>
        <v>S100011</v>
      </c>
      <c r="E591" s="77"/>
      <c r="F591" s="76"/>
      <c r="G591" s="76" t="str">
        <f>"""NAV Direct"",""CRONUS JetCorp USA"",""32"",""1"",""167095"""</f>
        <v>"NAV Direct","CRONUS JetCorp USA","32","1","167095"</v>
      </c>
      <c r="H591" s="86">
        <v>43466</v>
      </c>
      <c r="I591" s="85">
        <v>167095</v>
      </c>
      <c r="J591" s="84" t="str">
        <f>"Vendor"</f>
        <v>Vendor</v>
      </c>
      <c r="K591" s="84" t="str">
        <f>"V100040"</f>
        <v>V100040</v>
      </c>
      <c r="L591" s="84" t="str">
        <f>IF($J591="Customer",_xll.NL("first",$J591,"Name","No.","@@"&amp;$K591),"")</f>
        <v/>
      </c>
      <c r="M591" s="84" t="str">
        <f>"Technische Betriebe Rotkreuz"</f>
        <v>Technische Betriebe Rotkreuz</v>
      </c>
      <c r="N591" s="84" t="str">
        <f>IF($J591="Item",_xll.NL("first",$J591,"Description","No.","@@"&amp;$K591),"")</f>
        <v/>
      </c>
      <c r="O591" s="83">
        <v>400</v>
      </c>
      <c r="P591" s="83">
        <v>0</v>
      </c>
      <c r="Q591" s="83">
        <v>0</v>
      </c>
      <c r="R591" s="83">
        <v>0</v>
      </c>
      <c r="S591" s="83">
        <v>0</v>
      </c>
      <c r="T591" s="83">
        <v>0</v>
      </c>
      <c r="U591" s="82"/>
    </row>
    <row r="592" spans="1:21" ht="17.25" customHeight="1" x14ac:dyDescent="0.3">
      <c r="A592" s="66" t="s">
        <v>30</v>
      </c>
      <c r="C592" s="67"/>
      <c r="D592" s="77" t="str">
        <f t="shared" ref="D592:D595" si="399">D591</f>
        <v>S100011</v>
      </c>
      <c r="E592" s="77"/>
      <c r="F592" s="76"/>
      <c r="G592" s="76" t="str">
        <f>"""NAV Direct"",""CRONUS JetCorp USA"",""32"",""1"",""72525"""</f>
        <v>"NAV Direct","CRONUS JetCorp USA","32","1","72525"</v>
      </c>
      <c r="H592" s="86">
        <v>43471</v>
      </c>
      <c r="I592" s="85">
        <v>72525</v>
      </c>
      <c r="J592" s="84" t="str">
        <f>"Customer"</f>
        <v>Customer</v>
      </c>
      <c r="K592" s="84" t="str">
        <f>"C100107"</f>
        <v>C100107</v>
      </c>
      <c r="L592" s="84" t="str">
        <f>IF($J592="Customer",_xll.NL("first",$J592,"Name","No.","@@"&amp;$K592),"")</f>
        <v>Lexitechnology</v>
      </c>
      <c r="M592" s="84" t="str">
        <f>""</f>
        <v/>
      </c>
      <c r="N592" s="84" t="str">
        <f>IF($J592="Item",_xll.NL("first",$J592,"Description","No.","@@"&amp;$K592),"")</f>
        <v/>
      </c>
      <c r="O592" s="83">
        <v>0</v>
      </c>
      <c r="P592" s="83">
        <v>-12</v>
      </c>
      <c r="Q592" s="83">
        <v>0</v>
      </c>
      <c r="R592" s="83">
        <v>0</v>
      </c>
      <c r="S592" s="83">
        <v>0</v>
      </c>
      <c r="T592" s="83">
        <v>0</v>
      </c>
      <c r="U592" s="82"/>
    </row>
    <row r="593" spans="1:21" ht="17.25" customHeight="1" x14ac:dyDescent="0.3">
      <c r="A593" s="66" t="s">
        <v>30</v>
      </c>
      <c r="C593" s="67"/>
      <c r="D593" s="77" t="str">
        <f t="shared" si="399"/>
        <v>S100011</v>
      </c>
      <c r="E593" s="77"/>
      <c r="F593" s="76"/>
      <c r="G593" s="76" t="str">
        <f>"""NAV Direct"",""CRONUS JetCorp USA"",""32"",""1"",""34314"""</f>
        <v>"NAV Direct","CRONUS JetCorp USA","32","1","34314"</v>
      </c>
      <c r="H593" s="86">
        <v>43473</v>
      </c>
      <c r="I593" s="85">
        <v>34314</v>
      </c>
      <c r="J593" s="84" t="str">
        <f>"Customer"</f>
        <v>Customer</v>
      </c>
      <c r="K593" s="84" t="str">
        <f>"C100059"</f>
        <v>C100059</v>
      </c>
      <c r="L593" s="84" t="str">
        <f>IF($J593="Customer",_xll.NL("first",$J593,"Name","No.","@@"&amp;$K593),"")</f>
        <v>Meersen Meubelen</v>
      </c>
      <c r="M593" s="84" t="str">
        <f>""</f>
        <v/>
      </c>
      <c r="N593" s="84" t="str">
        <f>IF($J593="Item",_xll.NL("first",$J593,"Description","No.","@@"&amp;$K593),"")</f>
        <v/>
      </c>
      <c r="O593" s="83">
        <v>0</v>
      </c>
      <c r="P593" s="83">
        <v>-144</v>
      </c>
      <c r="Q593" s="83">
        <v>0</v>
      </c>
      <c r="R593" s="83">
        <v>0</v>
      </c>
      <c r="S593" s="83">
        <v>0</v>
      </c>
      <c r="T593" s="83">
        <v>0</v>
      </c>
      <c r="U593" s="82"/>
    </row>
    <row r="594" spans="1:21" ht="17.25" customHeight="1" x14ac:dyDescent="0.3">
      <c r="A594" s="66" t="s">
        <v>30</v>
      </c>
      <c r="C594" s="67"/>
      <c r="D594" s="77" t="str">
        <f t="shared" si="399"/>
        <v>S100011</v>
      </c>
      <c r="E594" s="77"/>
      <c r="F594" s="76"/>
      <c r="G594" s="76" t="str">
        <f>"""NAV Direct"",""CRONUS JetCorp USA"",""32"",""1"",""36488"""</f>
        <v>"NAV Direct","CRONUS JetCorp USA","32","1","36488"</v>
      </c>
      <c r="H594" s="86">
        <v>43475</v>
      </c>
      <c r="I594" s="85">
        <v>36488</v>
      </c>
      <c r="J594" s="84" t="str">
        <f>"Customer"</f>
        <v>Customer</v>
      </c>
      <c r="K594" s="84" t="str">
        <f>"C100063"</f>
        <v>C100063</v>
      </c>
      <c r="L594" s="84" t="str">
        <f>IF($J594="Customer",_xll.NL("first",$J594,"Name","No.","@@"&amp;$K594),"")</f>
        <v>Möbel Scherrer AG</v>
      </c>
      <c r="M594" s="84" t="str">
        <f>""</f>
        <v/>
      </c>
      <c r="N594" s="84" t="str">
        <f>IF($J594="Item",_xll.NL("first",$J594,"Description","No.","@@"&amp;$K594),"")</f>
        <v/>
      </c>
      <c r="O594" s="83">
        <v>0</v>
      </c>
      <c r="P594" s="83">
        <v>-1</v>
      </c>
      <c r="Q594" s="83">
        <v>0</v>
      </c>
      <c r="R594" s="83">
        <v>0</v>
      </c>
      <c r="S594" s="83">
        <v>0</v>
      </c>
      <c r="T594" s="83">
        <v>0</v>
      </c>
      <c r="U594" s="82"/>
    </row>
    <row r="595" spans="1:21" ht="17.25" customHeight="1" x14ac:dyDescent="0.3">
      <c r="A595" s="66" t="s">
        <v>30</v>
      </c>
      <c r="C595" s="67"/>
      <c r="D595" s="77" t="str">
        <f t="shared" si="399"/>
        <v>S100011</v>
      </c>
      <c r="E595" s="77"/>
      <c r="F595" s="76"/>
      <c r="G595" s="76" t="str">
        <f>"""NAV Direct"",""CRONUS JetCorp USA"",""32"",""1"",""38091"""</f>
        <v>"NAV Direct","CRONUS JetCorp USA","32","1","38091"</v>
      </c>
      <c r="H595" s="86">
        <v>43477</v>
      </c>
      <c r="I595" s="85">
        <v>38091</v>
      </c>
      <c r="J595" s="84" t="str">
        <f>"Customer"</f>
        <v>Customer</v>
      </c>
      <c r="K595" s="84" t="str">
        <f>"C100038"</f>
        <v>C100038</v>
      </c>
      <c r="L595" s="84" t="str">
        <f>IF($J595="Customer",_xll.NL("first",$J595,"Name","No.","@@"&amp;$K595),"")</f>
        <v>Gagn &amp; Gaman</v>
      </c>
      <c r="M595" s="84" t="str">
        <f>""</f>
        <v/>
      </c>
      <c r="N595" s="84" t="str">
        <f>IF($J595="Item",_xll.NL("first",$J595,"Description","No.","@@"&amp;$K595),"")</f>
        <v/>
      </c>
      <c r="O595" s="83">
        <v>0</v>
      </c>
      <c r="P595" s="83">
        <v>-144</v>
      </c>
      <c r="Q595" s="83">
        <v>0</v>
      </c>
      <c r="R595" s="83">
        <v>0</v>
      </c>
      <c r="S595" s="83">
        <v>0</v>
      </c>
      <c r="T595" s="83">
        <v>0</v>
      </c>
      <c r="U595" s="82"/>
    </row>
    <row r="596" spans="1:21" ht="17.25" customHeight="1" x14ac:dyDescent="0.3">
      <c r="A596" s="66" t="s">
        <v>30</v>
      </c>
      <c r="C596" s="67"/>
      <c r="D596" s="77"/>
      <c r="E596" s="77"/>
      <c r="F596" s="76"/>
      <c r="G596" s="76"/>
      <c r="H596" s="76"/>
      <c r="I596" s="76"/>
      <c r="J596" s="76"/>
      <c r="K596" s="76"/>
      <c r="L596" s="76"/>
      <c r="M596" s="76"/>
      <c r="N596" s="76"/>
      <c r="O596" s="75"/>
      <c r="P596" s="75"/>
      <c r="Q596" s="75"/>
      <c r="R596" s="75"/>
      <c r="S596" s="75"/>
      <c r="T596" s="75"/>
      <c r="U596" s="74"/>
    </row>
    <row r="597" spans="1:21" ht="17.25" customHeight="1" x14ac:dyDescent="0.3">
      <c r="A597" s="66" t="s">
        <v>30</v>
      </c>
      <c r="C597" s="67"/>
      <c r="D597" s="77"/>
      <c r="E597" s="77" t="s">
        <v>31</v>
      </c>
      <c r="F597" s="76" t="s">
        <v>31</v>
      </c>
      <c r="G597" s="76" t="s">
        <v>31</v>
      </c>
      <c r="H597" s="76"/>
      <c r="I597" s="76"/>
      <c r="J597" s="76" t="s">
        <v>31</v>
      </c>
      <c r="K597" s="76" t="s">
        <v>31</v>
      </c>
      <c r="L597" s="76" t="s">
        <v>31</v>
      </c>
      <c r="M597" s="76" t="s">
        <v>31</v>
      </c>
      <c r="N597" s="76"/>
      <c r="U597" s="81"/>
    </row>
    <row r="598" spans="1:21" ht="20.25" customHeight="1" x14ac:dyDescent="0.35">
      <c r="A598" s="66" t="s">
        <v>30</v>
      </c>
      <c r="C598" s="67"/>
      <c r="D598" s="92" t="str">
        <f t="shared" ref="D598" si="400">E598</f>
        <v>S100012</v>
      </c>
      <c r="E598" s="91" t="str">
        <f>"S100012"</f>
        <v>S100012</v>
      </c>
      <c r="F598" s="89" t="str">
        <f>"Raw-Edge Patch BALL CAP"</f>
        <v>Raw-Edge Patch BALL CAP</v>
      </c>
      <c r="G598" s="89"/>
      <c r="H598" s="90" t="str">
        <f>"EA"</f>
        <v>EA</v>
      </c>
      <c r="I598" s="89"/>
      <c r="J598" s="89"/>
      <c r="K598" s="89"/>
      <c r="L598" s="89"/>
      <c r="M598" s="89"/>
      <c r="N598" s="89"/>
      <c r="O598" s="88">
        <f>(SUBTOTAL(9,O599:O600))</f>
        <v>800</v>
      </c>
      <c r="P598" s="88">
        <f>(SUBTOTAL(9,P599:P600))</f>
        <v>0</v>
      </c>
      <c r="Q598" s="88">
        <f>(SUBTOTAL(9,Q599:Q600))</f>
        <v>0</v>
      </c>
      <c r="R598" s="88">
        <f>(SUBTOTAL(9,R599:R600))</f>
        <v>0</v>
      </c>
      <c r="S598" s="88">
        <f>(SUBTOTAL(9,S599:S600))</f>
        <v>0</v>
      </c>
      <c r="T598" s="88">
        <f>(SUBTOTAL(9,T599:T600))</f>
        <v>0</v>
      </c>
      <c r="U598" s="87">
        <f t="shared" ref="U598" si="401">SUBTOTAL(9,O599:T600)</f>
        <v>800</v>
      </c>
    </row>
    <row r="599" spans="1:21" ht="17.25" customHeight="1" x14ac:dyDescent="0.3">
      <c r="A599" s="66" t="s">
        <v>30</v>
      </c>
      <c r="C599" s="67"/>
      <c r="D599" s="77" t="str">
        <f t="shared" ref="D599" si="402">D598</f>
        <v>S100012</v>
      </c>
      <c r="E599" s="77"/>
      <c r="F599" s="76"/>
      <c r="G599" s="76" t="str">
        <f>"""NAV Direct"",""CRONUS JetCorp USA"",""32"",""1"",""167094"""</f>
        <v>"NAV Direct","CRONUS JetCorp USA","32","1","167094"</v>
      </c>
      <c r="H599" s="86">
        <v>43466</v>
      </c>
      <c r="I599" s="85">
        <v>167094</v>
      </c>
      <c r="J599" s="84" t="str">
        <f>"Vendor"</f>
        <v>Vendor</v>
      </c>
      <c r="K599" s="84" t="str">
        <f>"V100040"</f>
        <v>V100040</v>
      </c>
      <c r="L599" s="84" t="str">
        <f>IF($J599="Customer",_xll.NL("first",$J599,"Name","No.","@@"&amp;$K599),"")</f>
        <v/>
      </c>
      <c r="M599" s="84" t="str">
        <f>"Technische Betriebe Rotkreuz"</f>
        <v>Technische Betriebe Rotkreuz</v>
      </c>
      <c r="N599" s="84" t="str">
        <f>IF($J599="Item",_xll.NL("first",$J599,"Description","No.","@@"&amp;$K599),"")</f>
        <v/>
      </c>
      <c r="O599" s="83">
        <v>800</v>
      </c>
      <c r="P599" s="83">
        <v>0</v>
      </c>
      <c r="Q599" s="83">
        <v>0</v>
      </c>
      <c r="R599" s="83">
        <v>0</v>
      </c>
      <c r="S599" s="83">
        <v>0</v>
      </c>
      <c r="T599" s="83">
        <v>0</v>
      </c>
      <c r="U599" s="82"/>
    </row>
    <row r="600" spans="1:21" ht="17.25" customHeight="1" x14ac:dyDescent="0.3">
      <c r="A600" s="66" t="s">
        <v>30</v>
      </c>
      <c r="C600" s="67"/>
      <c r="D600" s="77"/>
      <c r="E600" s="77"/>
      <c r="F600" s="76"/>
      <c r="G600" s="76"/>
      <c r="H600" s="76"/>
      <c r="I600" s="76"/>
      <c r="J600" s="76"/>
      <c r="K600" s="76"/>
      <c r="L600" s="76"/>
      <c r="M600" s="76"/>
      <c r="N600" s="76"/>
      <c r="O600" s="75"/>
      <c r="P600" s="75"/>
      <c r="Q600" s="75"/>
      <c r="R600" s="75"/>
      <c r="S600" s="75"/>
      <c r="T600" s="75"/>
      <c r="U600" s="74"/>
    </row>
    <row r="601" spans="1:21" ht="17.25" customHeight="1" x14ac:dyDescent="0.3">
      <c r="A601" s="66" t="s">
        <v>30</v>
      </c>
      <c r="C601" s="67"/>
      <c r="D601" s="77"/>
      <c r="E601" s="77" t="s">
        <v>31</v>
      </c>
      <c r="F601" s="76" t="s">
        <v>31</v>
      </c>
      <c r="G601" s="76" t="s">
        <v>31</v>
      </c>
      <c r="H601" s="76"/>
      <c r="I601" s="76"/>
      <c r="J601" s="76" t="s">
        <v>31</v>
      </c>
      <c r="K601" s="76" t="s">
        <v>31</v>
      </c>
      <c r="L601" s="76" t="s">
        <v>31</v>
      </c>
      <c r="M601" s="76" t="s">
        <v>31</v>
      </c>
      <c r="N601" s="76"/>
      <c r="U601" s="81"/>
    </row>
    <row r="602" spans="1:21" ht="20.25" customHeight="1" x14ac:dyDescent="0.35">
      <c r="A602" s="66" t="s">
        <v>30</v>
      </c>
      <c r="C602" s="67"/>
      <c r="D602" s="92" t="str">
        <f t="shared" ref="D602" si="403">E602</f>
        <v>S100013</v>
      </c>
      <c r="E602" s="91" t="str">
        <f>"S100013"</f>
        <v>S100013</v>
      </c>
      <c r="F602" s="89" t="str">
        <f>"Mesh BALL CAP"</f>
        <v>Mesh BALL CAP</v>
      </c>
      <c r="G602" s="89"/>
      <c r="H602" s="90" t="str">
        <f>"EA"</f>
        <v>EA</v>
      </c>
      <c r="I602" s="89"/>
      <c r="J602" s="89"/>
      <c r="K602" s="89"/>
      <c r="L602" s="89"/>
      <c r="M602" s="89"/>
      <c r="N602" s="89"/>
      <c r="O602" s="88">
        <f>(SUBTOTAL(9,O603:O605))</f>
        <v>400</v>
      </c>
      <c r="P602" s="88">
        <f>(SUBTOTAL(9,P603:P605))</f>
        <v>-48</v>
      </c>
      <c r="Q602" s="88">
        <f>(SUBTOTAL(9,Q603:Q605))</f>
        <v>0</v>
      </c>
      <c r="R602" s="88">
        <f>(SUBTOTAL(9,R603:R605))</f>
        <v>0</v>
      </c>
      <c r="S602" s="88">
        <f>(SUBTOTAL(9,S603:S605))</f>
        <v>0</v>
      </c>
      <c r="T602" s="88">
        <f>(SUBTOTAL(9,T603:T605))</f>
        <v>0</v>
      </c>
      <c r="U602" s="87">
        <f t="shared" ref="U602" si="404">SUBTOTAL(9,O603:T605)</f>
        <v>352</v>
      </c>
    </row>
    <row r="603" spans="1:21" ht="17.25" customHeight="1" x14ac:dyDescent="0.3">
      <c r="A603" s="66" t="s">
        <v>30</v>
      </c>
      <c r="C603" s="67"/>
      <c r="D603" s="77" t="str">
        <f t="shared" ref="D603" si="405">D602</f>
        <v>S100013</v>
      </c>
      <c r="E603" s="77"/>
      <c r="F603" s="76"/>
      <c r="G603" s="76" t="str">
        <f>"""NAV Direct"",""CRONUS JetCorp USA"",""32"",""1"",""167093"""</f>
        <v>"NAV Direct","CRONUS JetCorp USA","32","1","167093"</v>
      </c>
      <c r="H603" s="86">
        <v>43466</v>
      </c>
      <c r="I603" s="85">
        <v>167093</v>
      </c>
      <c r="J603" s="84" t="str">
        <f>"Vendor"</f>
        <v>Vendor</v>
      </c>
      <c r="K603" s="84" t="str">
        <f>"V100040"</f>
        <v>V100040</v>
      </c>
      <c r="L603" s="84" t="str">
        <f>IF($J603="Customer",_xll.NL("first",$J603,"Name","No.","@@"&amp;$K603),"")</f>
        <v/>
      </c>
      <c r="M603" s="84" t="str">
        <f>"Technische Betriebe Rotkreuz"</f>
        <v>Technische Betriebe Rotkreuz</v>
      </c>
      <c r="N603" s="84" t="str">
        <f>IF($J603="Item",_xll.NL("first",$J603,"Description","No.","@@"&amp;$K603),"")</f>
        <v/>
      </c>
      <c r="O603" s="83">
        <v>400</v>
      </c>
      <c r="P603" s="83">
        <v>0</v>
      </c>
      <c r="Q603" s="83">
        <v>0</v>
      </c>
      <c r="R603" s="83">
        <v>0</v>
      </c>
      <c r="S603" s="83">
        <v>0</v>
      </c>
      <c r="T603" s="83">
        <v>0</v>
      </c>
      <c r="U603" s="82"/>
    </row>
    <row r="604" spans="1:21" ht="17.25" customHeight="1" x14ac:dyDescent="0.3">
      <c r="A604" s="66" t="s">
        <v>30</v>
      </c>
      <c r="C604" s="67"/>
      <c r="D604" s="77" t="str">
        <f t="shared" ref="D604" si="406">D603</f>
        <v>S100013</v>
      </c>
      <c r="E604" s="77"/>
      <c r="F604" s="76"/>
      <c r="G604" s="76" t="str">
        <f>"""NAV Direct"",""CRONUS JetCorp USA"",""32"",""1"",""38077"""</f>
        <v>"NAV Direct","CRONUS JetCorp USA","32","1","38077"</v>
      </c>
      <c r="H604" s="86">
        <v>43471</v>
      </c>
      <c r="I604" s="85">
        <v>38077</v>
      </c>
      <c r="J604" s="84" t="str">
        <f>"Customer"</f>
        <v>Customer</v>
      </c>
      <c r="K604" s="84" t="str">
        <f>"C100013"</f>
        <v>C100013</v>
      </c>
      <c r="L604" s="84" t="str">
        <f>IF($J604="Customer",_xll.NL("first",$J604,"Name","No.","@@"&amp;$K604),"")</f>
        <v>Candoxy Kontor A/S</v>
      </c>
      <c r="M604" s="84" t="str">
        <f>""</f>
        <v/>
      </c>
      <c r="N604" s="84" t="str">
        <f>IF($J604="Item",_xll.NL("first",$J604,"Description","No.","@@"&amp;$K604),"")</f>
        <v/>
      </c>
      <c r="O604" s="83">
        <v>0</v>
      </c>
      <c r="P604" s="83">
        <v>-48</v>
      </c>
      <c r="Q604" s="83">
        <v>0</v>
      </c>
      <c r="R604" s="83">
        <v>0</v>
      </c>
      <c r="S604" s="83">
        <v>0</v>
      </c>
      <c r="T604" s="83">
        <v>0</v>
      </c>
      <c r="U604" s="82"/>
    </row>
    <row r="605" spans="1:21" ht="17.25" customHeight="1" x14ac:dyDescent="0.3">
      <c r="A605" s="66" t="s">
        <v>30</v>
      </c>
      <c r="C605" s="67"/>
      <c r="D605" s="77"/>
      <c r="E605" s="77"/>
      <c r="F605" s="76"/>
      <c r="G605" s="76"/>
      <c r="H605" s="76"/>
      <c r="I605" s="76"/>
      <c r="J605" s="76"/>
      <c r="K605" s="76"/>
      <c r="L605" s="76"/>
      <c r="M605" s="76"/>
      <c r="N605" s="76"/>
      <c r="O605" s="75"/>
      <c r="P605" s="75"/>
      <c r="Q605" s="75"/>
      <c r="R605" s="75"/>
      <c r="S605" s="75"/>
      <c r="T605" s="75"/>
      <c r="U605" s="74"/>
    </row>
    <row r="606" spans="1:21" ht="17.25" customHeight="1" x14ac:dyDescent="0.3">
      <c r="A606" s="66" t="s">
        <v>30</v>
      </c>
      <c r="C606" s="67"/>
      <c r="D606" s="77"/>
      <c r="E606" s="77" t="s">
        <v>31</v>
      </c>
      <c r="F606" s="76" t="s">
        <v>31</v>
      </c>
      <c r="G606" s="76" t="s">
        <v>31</v>
      </c>
      <c r="H606" s="76"/>
      <c r="I606" s="76"/>
      <c r="J606" s="76" t="s">
        <v>31</v>
      </c>
      <c r="K606" s="76" t="s">
        <v>31</v>
      </c>
      <c r="L606" s="76" t="s">
        <v>31</v>
      </c>
      <c r="M606" s="76" t="s">
        <v>31</v>
      </c>
      <c r="N606" s="76"/>
      <c r="U606" s="81"/>
    </row>
    <row r="607" spans="1:21" ht="20.25" customHeight="1" x14ac:dyDescent="0.35">
      <c r="A607" s="66" t="s">
        <v>30</v>
      </c>
      <c r="C607" s="67"/>
      <c r="D607" s="92" t="str">
        <f t="shared" ref="D607" si="407">E607</f>
        <v>S100015</v>
      </c>
      <c r="E607" s="91" t="str">
        <f>"S100015"</f>
        <v>S100015</v>
      </c>
      <c r="F607" s="89" t="str">
        <f>"Raw-Edge Bucket Hat"</f>
        <v>Raw-Edge Bucket Hat</v>
      </c>
      <c r="G607" s="89"/>
      <c r="H607" s="90" t="str">
        <f>"EA"</f>
        <v>EA</v>
      </c>
      <c r="I607" s="89"/>
      <c r="J607" s="89"/>
      <c r="K607" s="89"/>
      <c r="L607" s="89"/>
      <c r="M607" s="89"/>
      <c r="N607" s="89"/>
      <c r="O607" s="88">
        <f>(SUBTOTAL(9,O608:O610))</f>
        <v>800</v>
      </c>
      <c r="P607" s="88">
        <f>(SUBTOTAL(9,P608:P610))</f>
        <v>-144</v>
      </c>
      <c r="Q607" s="88">
        <f>(SUBTOTAL(9,Q608:Q610))</f>
        <v>0</v>
      </c>
      <c r="R607" s="88">
        <f>(SUBTOTAL(9,R608:R610))</f>
        <v>0</v>
      </c>
      <c r="S607" s="88">
        <f>(SUBTOTAL(9,S608:S610))</f>
        <v>0</v>
      </c>
      <c r="T607" s="88">
        <f>(SUBTOTAL(9,T608:T610))</f>
        <v>0</v>
      </c>
      <c r="U607" s="87">
        <f t="shared" ref="U607" si="408">SUBTOTAL(9,O608:T610)</f>
        <v>656</v>
      </c>
    </row>
    <row r="608" spans="1:21" ht="17.25" customHeight="1" x14ac:dyDescent="0.3">
      <c r="A608" s="66" t="s">
        <v>30</v>
      </c>
      <c r="C608" s="67"/>
      <c r="D608" s="77" t="str">
        <f t="shared" ref="D608" si="409">D607</f>
        <v>S100015</v>
      </c>
      <c r="E608" s="77"/>
      <c r="F608" s="76"/>
      <c r="G608" s="76" t="str">
        <f>"""NAV Direct"",""CRONUS JetCorp USA"",""32"",""1"",""167092"""</f>
        <v>"NAV Direct","CRONUS JetCorp USA","32","1","167092"</v>
      </c>
      <c r="H608" s="86">
        <v>43466</v>
      </c>
      <c r="I608" s="85">
        <v>167092</v>
      </c>
      <c r="J608" s="84" t="str">
        <f>"Vendor"</f>
        <v>Vendor</v>
      </c>
      <c r="K608" s="84" t="str">
        <f>"V100040"</f>
        <v>V100040</v>
      </c>
      <c r="L608" s="84" t="str">
        <f>IF($J608="Customer",_xll.NL("first",$J608,"Name","No.","@@"&amp;$K608),"")</f>
        <v/>
      </c>
      <c r="M608" s="84" t="str">
        <f>"Technische Betriebe Rotkreuz"</f>
        <v>Technische Betriebe Rotkreuz</v>
      </c>
      <c r="N608" s="84" t="str">
        <f>IF($J608="Item",_xll.NL("first",$J608,"Description","No.","@@"&amp;$K608),"")</f>
        <v/>
      </c>
      <c r="O608" s="83">
        <v>800</v>
      </c>
      <c r="P608" s="83">
        <v>0</v>
      </c>
      <c r="Q608" s="83">
        <v>0</v>
      </c>
      <c r="R608" s="83">
        <v>0</v>
      </c>
      <c r="S608" s="83">
        <v>0</v>
      </c>
      <c r="T608" s="83">
        <v>0</v>
      </c>
      <c r="U608" s="82"/>
    </row>
    <row r="609" spans="1:21" ht="17.25" customHeight="1" x14ac:dyDescent="0.3">
      <c r="A609" s="66" t="s">
        <v>30</v>
      </c>
      <c r="C609" s="67"/>
      <c r="D609" s="77" t="str">
        <f t="shared" ref="D609" si="410">D608</f>
        <v>S100015</v>
      </c>
      <c r="E609" s="77"/>
      <c r="F609" s="76"/>
      <c r="G609" s="76" t="str">
        <f>"""NAV Direct"",""CRONUS JetCorp USA"",""32"",""1"",""34311"""</f>
        <v>"NAV Direct","CRONUS JetCorp USA","32","1","34311"</v>
      </c>
      <c r="H609" s="86">
        <v>43473</v>
      </c>
      <c r="I609" s="85">
        <v>34311</v>
      </c>
      <c r="J609" s="84" t="str">
        <f>"Customer"</f>
        <v>Customer</v>
      </c>
      <c r="K609" s="84" t="str">
        <f>"C100059"</f>
        <v>C100059</v>
      </c>
      <c r="L609" s="84" t="str">
        <f>IF($J609="Customer",_xll.NL("first",$J609,"Name","No.","@@"&amp;$K609),"")</f>
        <v>Meersen Meubelen</v>
      </c>
      <c r="M609" s="84" t="str">
        <f>""</f>
        <v/>
      </c>
      <c r="N609" s="84" t="str">
        <f>IF($J609="Item",_xll.NL("first",$J609,"Description","No.","@@"&amp;$K609),"")</f>
        <v/>
      </c>
      <c r="O609" s="83">
        <v>0</v>
      </c>
      <c r="P609" s="83">
        <v>-144</v>
      </c>
      <c r="Q609" s="83">
        <v>0</v>
      </c>
      <c r="R609" s="83">
        <v>0</v>
      </c>
      <c r="S609" s="83">
        <v>0</v>
      </c>
      <c r="T609" s="83">
        <v>0</v>
      </c>
      <c r="U609" s="82"/>
    </row>
    <row r="610" spans="1:21" ht="17.25" customHeight="1" x14ac:dyDescent="0.3">
      <c r="A610" s="66" t="s">
        <v>30</v>
      </c>
      <c r="C610" s="67"/>
      <c r="D610" s="77"/>
      <c r="E610" s="77"/>
      <c r="F610" s="76"/>
      <c r="G610" s="76"/>
      <c r="H610" s="76"/>
      <c r="I610" s="76"/>
      <c r="J610" s="76"/>
      <c r="K610" s="76"/>
      <c r="L610" s="76"/>
      <c r="M610" s="76"/>
      <c r="N610" s="76"/>
      <c r="O610" s="75"/>
      <c r="P610" s="75"/>
      <c r="Q610" s="75"/>
      <c r="R610" s="75"/>
      <c r="S610" s="75"/>
      <c r="T610" s="75"/>
      <c r="U610" s="74"/>
    </row>
    <row r="611" spans="1:21" ht="17.25" customHeight="1" x14ac:dyDescent="0.3">
      <c r="A611" s="66" t="s">
        <v>30</v>
      </c>
      <c r="C611" s="67"/>
      <c r="D611" s="77"/>
      <c r="E611" s="77" t="s">
        <v>31</v>
      </c>
      <c r="F611" s="76" t="s">
        <v>31</v>
      </c>
      <c r="G611" s="76" t="s">
        <v>31</v>
      </c>
      <c r="H611" s="76"/>
      <c r="I611" s="76"/>
      <c r="J611" s="76" t="s">
        <v>31</v>
      </c>
      <c r="K611" s="76" t="s">
        <v>31</v>
      </c>
      <c r="L611" s="76" t="s">
        <v>31</v>
      </c>
      <c r="M611" s="76" t="s">
        <v>31</v>
      </c>
      <c r="N611" s="76"/>
      <c r="U611" s="81"/>
    </row>
    <row r="612" spans="1:21" ht="20.25" customHeight="1" x14ac:dyDescent="0.35">
      <c r="A612" s="66" t="s">
        <v>30</v>
      </c>
      <c r="C612" s="67"/>
      <c r="D612" s="92" t="str">
        <f t="shared" ref="D612" si="411">E612</f>
        <v>S100016</v>
      </c>
      <c r="E612" s="91" t="str">
        <f>"S100016"</f>
        <v>S100016</v>
      </c>
      <c r="F612" s="89" t="str">
        <f>"Mesh Bucket Hat"</f>
        <v>Mesh Bucket Hat</v>
      </c>
      <c r="G612" s="89"/>
      <c r="H612" s="90" t="str">
        <f>"EA"</f>
        <v>EA</v>
      </c>
      <c r="I612" s="89"/>
      <c r="J612" s="89"/>
      <c r="K612" s="89"/>
      <c r="L612" s="89"/>
      <c r="M612" s="89"/>
      <c r="N612" s="89"/>
      <c r="O612" s="88">
        <f>(SUBTOTAL(9,O613:O617))</f>
        <v>800</v>
      </c>
      <c r="P612" s="88">
        <f>(SUBTOTAL(9,P613:P617))</f>
        <v>-432</v>
      </c>
      <c r="Q612" s="88">
        <f>(SUBTOTAL(9,Q613:Q617))</f>
        <v>0</v>
      </c>
      <c r="R612" s="88">
        <f>(SUBTOTAL(9,R613:R617))</f>
        <v>0</v>
      </c>
      <c r="S612" s="88">
        <f>(SUBTOTAL(9,S613:S617))</f>
        <v>0</v>
      </c>
      <c r="T612" s="88">
        <f>(SUBTOTAL(9,T613:T617))</f>
        <v>0</v>
      </c>
      <c r="U612" s="87">
        <f t="shared" ref="U612" si="412">SUBTOTAL(9,O613:T617)</f>
        <v>368</v>
      </c>
    </row>
    <row r="613" spans="1:21" ht="17.25" customHeight="1" x14ac:dyDescent="0.3">
      <c r="A613" s="66" t="s">
        <v>30</v>
      </c>
      <c r="C613" s="67"/>
      <c r="D613" s="77" t="str">
        <f t="shared" ref="D613" si="413">D612</f>
        <v>S100016</v>
      </c>
      <c r="E613" s="77"/>
      <c r="F613" s="76"/>
      <c r="G613" s="76" t="str">
        <f>"""NAV Direct"",""CRONUS JetCorp USA"",""32"",""1"",""167091"""</f>
        <v>"NAV Direct","CRONUS JetCorp USA","32","1","167091"</v>
      </c>
      <c r="H613" s="86">
        <v>43466</v>
      </c>
      <c r="I613" s="85">
        <v>167091</v>
      </c>
      <c r="J613" s="84" t="str">
        <f>"Vendor"</f>
        <v>Vendor</v>
      </c>
      <c r="K613" s="84" t="str">
        <f>"V100040"</f>
        <v>V100040</v>
      </c>
      <c r="L613" s="84" t="str">
        <f>IF($J613="Customer",_xll.NL("first",$J613,"Name","No.","@@"&amp;$K613),"")</f>
        <v/>
      </c>
      <c r="M613" s="84" t="str">
        <f>"Technische Betriebe Rotkreuz"</f>
        <v>Technische Betriebe Rotkreuz</v>
      </c>
      <c r="N613" s="84" t="str">
        <f>IF($J613="Item",_xll.NL("first",$J613,"Description","No.","@@"&amp;$K613),"")</f>
        <v/>
      </c>
      <c r="O613" s="83">
        <v>800</v>
      </c>
      <c r="P613" s="83">
        <v>0</v>
      </c>
      <c r="Q613" s="83">
        <v>0</v>
      </c>
      <c r="R613" s="83">
        <v>0</v>
      </c>
      <c r="S613" s="83">
        <v>0</v>
      </c>
      <c r="T613" s="83">
        <v>0</v>
      </c>
      <c r="U613" s="82"/>
    </row>
    <row r="614" spans="1:21" ht="17.25" customHeight="1" x14ac:dyDescent="0.3">
      <c r="A614" s="66" t="s">
        <v>30</v>
      </c>
      <c r="C614" s="67"/>
      <c r="D614" s="77" t="str">
        <f t="shared" ref="D614:D616" si="414">D613</f>
        <v>S100016</v>
      </c>
      <c r="E614" s="77"/>
      <c r="F614" s="76"/>
      <c r="G614" s="76" t="str">
        <f>"""NAV Direct"",""CRONUS JetCorp USA"",""32"",""1"",""36480"""</f>
        <v>"NAV Direct","CRONUS JetCorp USA","32","1","36480"</v>
      </c>
      <c r="H614" s="86">
        <v>43475</v>
      </c>
      <c r="I614" s="85">
        <v>36480</v>
      </c>
      <c r="J614" s="84" t="str">
        <f>"Customer"</f>
        <v>Customer</v>
      </c>
      <c r="K614" s="84" t="str">
        <f>"C100063"</f>
        <v>C100063</v>
      </c>
      <c r="L614" s="84" t="str">
        <f>IF($J614="Customer",_xll.NL("first",$J614,"Name","No.","@@"&amp;$K614),"")</f>
        <v>Möbel Scherrer AG</v>
      </c>
      <c r="M614" s="84" t="str">
        <f>""</f>
        <v/>
      </c>
      <c r="N614" s="84" t="str">
        <f>IF($J614="Item",_xll.NL("first",$J614,"Description","No.","@@"&amp;$K614),"")</f>
        <v/>
      </c>
      <c r="O614" s="83">
        <v>0</v>
      </c>
      <c r="P614" s="83">
        <v>-144</v>
      </c>
      <c r="Q614" s="83">
        <v>0</v>
      </c>
      <c r="R614" s="83">
        <v>0</v>
      </c>
      <c r="S614" s="83">
        <v>0</v>
      </c>
      <c r="T614" s="83">
        <v>0</v>
      </c>
      <c r="U614" s="82"/>
    </row>
    <row r="615" spans="1:21" ht="17.25" customHeight="1" x14ac:dyDescent="0.3">
      <c r="A615" s="66" t="s">
        <v>30</v>
      </c>
      <c r="C615" s="67"/>
      <c r="D615" s="77" t="str">
        <f t="shared" si="414"/>
        <v>S100016</v>
      </c>
      <c r="E615" s="77"/>
      <c r="F615" s="76"/>
      <c r="G615" s="76" t="str">
        <f>"""NAV Direct"",""CRONUS JetCorp USA"",""32"",""1"",""78860"""</f>
        <v>"NAV Direct","CRONUS JetCorp USA","32","1","78860"</v>
      </c>
      <c r="H615" s="86">
        <v>43476</v>
      </c>
      <c r="I615" s="85">
        <v>78860</v>
      </c>
      <c r="J615" s="84" t="str">
        <f>"Customer"</f>
        <v>Customer</v>
      </c>
      <c r="K615" s="84" t="str">
        <f>"C100117"</f>
        <v>C100117</v>
      </c>
      <c r="L615" s="84" t="str">
        <f>IF($J615="Customer",_xll.NL("first",$J615,"Name","No.","@@"&amp;$K615),"")</f>
        <v xml:space="preserve">Tintax </v>
      </c>
      <c r="M615" s="84" t="str">
        <f>""</f>
        <v/>
      </c>
      <c r="N615" s="84" t="str">
        <f>IF($J615="Item",_xll.NL("first",$J615,"Description","No.","@@"&amp;$K615),"")</f>
        <v/>
      </c>
      <c r="O615" s="83">
        <v>0</v>
      </c>
      <c r="P615" s="83">
        <v>-144</v>
      </c>
      <c r="Q615" s="83">
        <v>0</v>
      </c>
      <c r="R615" s="83">
        <v>0</v>
      </c>
      <c r="S615" s="83">
        <v>0</v>
      </c>
      <c r="T615" s="83">
        <v>0</v>
      </c>
      <c r="U615" s="82"/>
    </row>
    <row r="616" spans="1:21" ht="17.25" customHeight="1" x14ac:dyDescent="0.3">
      <c r="A616" s="66" t="s">
        <v>30</v>
      </c>
      <c r="C616" s="67"/>
      <c r="D616" s="77" t="str">
        <f t="shared" si="414"/>
        <v>S100016</v>
      </c>
      <c r="E616" s="77"/>
      <c r="F616" s="76"/>
      <c r="G616" s="76" t="str">
        <f>"""NAV Direct"",""CRONUS JetCorp USA"",""32"",""1"",""38087"""</f>
        <v>"NAV Direct","CRONUS JetCorp USA","32","1","38087"</v>
      </c>
      <c r="H616" s="86">
        <v>43477</v>
      </c>
      <c r="I616" s="85">
        <v>38087</v>
      </c>
      <c r="J616" s="84" t="str">
        <f>"Customer"</f>
        <v>Customer</v>
      </c>
      <c r="K616" s="84" t="str">
        <f>"C100038"</f>
        <v>C100038</v>
      </c>
      <c r="L616" s="84" t="str">
        <f>IF($J616="Customer",_xll.NL("first",$J616,"Name","No.","@@"&amp;$K616),"")</f>
        <v>Gagn &amp; Gaman</v>
      </c>
      <c r="M616" s="84" t="str">
        <f>""</f>
        <v/>
      </c>
      <c r="N616" s="84" t="str">
        <f>IF($J616="Item",_xll.NL("first",$J616,"Description","No.","@@"&amp;$K616),"")</f>
        <v/>
      </c>
      <c r="O616" s="83">
        <v>0</v>
      </c>
      <c r="P616" s="83">
        <v>-144</v>
      </c>
      <c r="Q616" s="83">
        <v>0</v>
      </c>
      <c r="R616" s="83">
        <v>0</v>
      </c>
      <c r="S616" s="83">
        <v>0</v>
      </c>
      <c r="T616" s="83">
        <v>0</v>
      </c>
      <c r="U616" s="82"/>
    </row>
    <row r="617" spans="1:21" ht="17.25" customHeight="1" x14ac:dyDescent="0.3">
      <c r="A617" s="66" t="s">
        <v>30</v>
      </c>
      <c r="C617" s="67"/>
      <c r="D617" s="77"/>
      <c r="E617" s="77"/>
      <c r="F617" s="76"/>
      <c r="G617" s="76"/>
      <c r="H617" s="76"/>
      <c r="I617" s="76"/>
      <c r="J617" s="76"/>
      <c r="K617" s="76"/>
      <c r="L617" s="76"/>
      <c r="M617" s="76"/>
      <c r="N617" s="76"/>
      <c r="O617" s="75"/>
      <c r="P617" s="75"/>
      <c r="Q617" s="75"/>
      <c r="R617" s="75"/>
      <c r="S617" s="75"/>
      <c r="T617" s="75"/>
      <c r="U617" s="74"/>
    </row>
    <row r="618" spans="1:21" ht="17.25" customHeight="1" x14ac:dyDescent="0.3">
      <c r="A618" s="66" t="s">
        <v>30</v>
      </c>
      <c r="C618" s="67"/>
      <c r="D618" s="77"/>
      <c r="E618" s="77" t="s">
        <v>31</v>
      </c>
      <c r="F618" s="76" t="s">
        <v>31</v>
      </c>
      <c r="G618" s="76" t="s">
        <v>31</v>
      </c>
      <c r="H618" s="76"/>
      <c r="I618" s="76"/>
      <c r="J618" s="76" t="s">
        <v>31</v>
      </c>
      <c r="K618" s="76" t="s">
        <v>31</v>
      </c>
      <c r="L618" s="76" t="s">
        <v>31</v>
      </c>
      <c r="M618" s="76" t="s">
        <v>31</v>
      </c>
      <c r="N618" s="76"/>
      <c r="U618" s="81"/>
    </row>
    <row r="619" spans="1:21" ht="20.25" customHeight="1" x14ac:dyDescent="0.35">
      <c r="A619" s="66" t="s">
        <v>30</v>
      </c>
      <c r="C619" s="67"/>
      <c r="D619" s="92" t="str">
        <f t="shared" ref="D619" si="415">E619</f>
        <v>S100017</v>
      </c>
      <c r="E619" s="91" t="str">
        <f>"S100017"</f>
        <v>S100017</v>
      </c>
      <c r="F619" s="89" t="str">
        <f>"Microfiber Bucket Hat"</f>
        <v>Microfiber Bucket Hat</v>
      </c>
      <c r="G619" s="89"/>
      <c r="H619" s="90" t="str">
        <f>"EA"</f>
        <v>EA</v>
      </c>
      <c r="I619" s="89"/>
      <c r="J619" s="89"/>
      <c r="K619" s="89"/>
      <c r="L619" s="89"/>
      <c r="M619" s="89"/>
      <c r="N619" s="89"/>
      <c r="O619" s="88">
        <f>(SUBTOTAL(9,O620:O623))</f>
        <v>400</v>
      </c>
      <c r="P619" s="88">
        <f>(SUBTOTAL(9,P620:P623))</f>
        <v>-150</v>
      </c>
      <c r="Q619" s="88">
        <f>(SUBTOTAL(9,Q620:Q623))</f>
        <v>0</v>
      </c>
      <c r="R619" s="88">
        <f>(SUBTOTAL(9,R620:R623))</f>
        <v>0</v>
      </c>
      <c r="S619" s="88">
        <f>(SUBTOTAL(9,S620:S623))</f>
        <v>0</v>
      </c>
      <c r="T619" s="88">
        <f>(SUBTOTAL(9,T620:T623))</f>
        <v>0</v>
      </c>
      <c r="U619" s="87">
        <f t="shared" ref="U619" si="416">SUBTOTAL(9,O620:T623)</f>
        <v>250</v>
      </c>
    </row>
    <row r="620" spans="1:21" ht="17.25" customHeight="1" x14ac:dyDescent="0.3">
      <c r="A620" s="66" t="s">
        <v>30</v>
      </c>
      <c r="C620" s="67"/>
      <c r="D620" s="77" t="str">
        <f t="shared" ref="D620" si="417">D619</f>
        <v>S100017</v>
      </c>
      <c r="E620" s="77"/>
      <c r="F620" s="76"/>
      <c r="G620" s="76" t="str">
        <f>"""NAV Direct"",""CRONUS JetCorp USA"",""32"",""1"",""167090"""</f>
        <v>"NAV Direct","CRONUS JetCorp USA","32","1","167090"</v>
      </c>
      <c r="H620" s="86">
        <v>43466</v>
      </c>
      <c r="I620" s="85">
        <v>167090</v>
      </c>
      <c r="J620" s="84" t="str">
        <f>"Vendor"</f>
        <v>Vendor</v>
      </c>
      <c r="K620" s="84" t="str">
        <f>"V100040"</f>
        <v>V100040</v>
      </c>
      <c r="L620" s="84" t="str">
        <f>IF($J620="Customer",_xll.NL("first",$J620,"Name","No.","@@"&amp;$K620),"")</f>
        <v/>
      </c>
      <c r="M620" s="84" t="str">
        <f>"Technische Betriebe Rotkreuz"</f>
        <v>Technische Betriebe Rotkreuz</v>
      </c>
      <c r="N620" s="84" t="str">
        <f>IF($J620="Item",_xll.NL("first",$J620,"Description","No.","@@"&amp;$K620),"")</f>
        <v/>
      </c>
      <c r="O620" s="83">
        <v>400</v>
      </c>
      <c r="P620" s="83">
        <v>0</v>
      </c>
      <c r="Q620" s="83">
        <v>0</v>
      </c>
      <c r="R620" s="83">
        <v>0</v>
      </c>
      <c r="S620" s="83">
        <v>0</v>
      </c>
      <c r="T620" s="83">
        <v>0</v>
      </c>
      <c r="U620" s="82"/>
    </row>
    <row r="621" spans="1:21" ht="17.25" customHeight="1" x14ac:dyDescent="0.3">
      <c r="A621" s="66" t="s">
        <v>30</v>
      </c>
      <c r="C621" s="67"/>
      <c r="D621" s="77" t="str">
        <f t="shared" ref="D621:D622" si="418">D620</f>
        <v>S100017</v>
      </c>
      <c r="E621" s="77"/>
      <c r="F621" s="76"/>
      <c r="G621" s="76" t="str">
        <f>"""NAV Direct"",""CRONUS JetCorp USA"",""32"",""1"",""34316"""</f>
        <v>"NAV Direct","CRONUS JetCorp USA","32","1","34316"</v>
      </c>
      <c r="H621" s="86">
        <v>43473</v>
      </c>
      <c r="I621" s="85">
        <v>34316</v>
      </c>
      <c r="J621" s="84" t="str">
        <f>"Customer"</f>
        <v>Customer</v>
      </c>
      <c r="K621" s="84" t="str">
        <f>"C100059"</f>
        <v>C100059</v>
      </c>
      <c r="L621" s="84" t="str">
        <f>IF($J621="Customer",_xll.NL("first",$J621,"Name","No.","@@"&amp;$K621),"")</f>
        <v>Meersen Meubelen</v>
      </c>
      <c r="M621" s="84" t="str">
        <f>""</f>
        <v/>
      </c>
      <c r="N621" s="84" t="str">
        <f>IF($J621="Item",_xll.NL("first",$J621,"Description","No.","@@"&amp;$K621),"")</f>
        <v/>
      </c>
      <c r="O621" s="83">
        <v>0</v>
      </c>
      <c r="P621" s="83">
        <v>-6</v>
      </c>
      <c r="Q621" s="83">
        <v>0</v>
      </c>
      <c r="R621" s="83">
        <v>0</v>
      </c>
      <c r="S621" s="83">
        <v>0</v>
      </c>
      <c r="T621" s="83">
        <v>0</v>
      </c>
      <c r="U621" s="82"/>
    </row>
    <row r="622" spans="1:21" ht="17.25" customHeight="1" x14ac:dyDescent="0.3">
      <c r="A622" s="66" t="s">
        <v>30</v>
      </c>
      <c r="C622" s="67"/>
      <c r="D622" s="77" t="str">
        <f t="shared" si="418"/>
        <v>S100017</v>
      </c>
      <c r="E622" s="77"/>
      <c r="F622" s="76"/>
      <c r="G622" s="76" t="str">
        <f>"""NAV Direct"",""CRONUS JetCorp USA"",""32"",""1"",""38086"""</f>
        <v>"NAV Direct","CRONUS JetCorp USA","32","1","38086"</v>
      </c>
      <c r="H622" s="86">
        <v>43477</v>
      </c>
      <c r="I622" s="85">
        <v>38086</v>
      </c>
      <c r="J622" s="84" t="str">
        <f>"Customer"</f>
        <v>Customer</v>
      </c>
      <c r="K622" s="84" t="str">
        <f>"C100038"</f>
        <v>C100038</v>
      </c>
      <c r="L622" s="84" t="str">
        <f>IF($J622="Customer",_xll.NL("first",$J622,"Name","No.","@@"&amp;$K622),"")</f>
        <v>Gagn &amp; Gaman</v>
      </c>
      <c r="M622" s="84" t="str">
        <f>""</f>
        <v/>
      </c>
      <c r="N622" s="84" t="str">
        <f>IF($J622="Item",_xll.NL("first",$J622,"Description","No.","@@"&amp;$K622),"")</f>
        <v/>
      </c>
      <c r="O622" s="83">
        <v>0</v>
      </c>
      <c r="P622" s="83">
        <v>-144</v>
      </c>
      <c r="Q622" s="83">
        <v>0</v>
      </c>
      <c r="R622" s="83">
        <v>0</v>
      </c>
      <c r="S622" s="83">
        <v>0</v>
      </c>
      <c r="T622" s="83">
        <v>0</v>
      </c>
      <c r="U622" s="82"/>
    </row>
    <row r="623" spans="1:21" ht="17.25" customHeight="1" x14ac:dyDescent="0.3">
      <c r="A623" s="66" t="s">
        <v>30</v>
      </c>
      <c r="C623" s="67"/>
      <c r="D623" s="77"/>
      <c r="E623" s="77"/>
      <c r="F623" s="76"/>
      <c r="G623" s="76"/>
      <c r="H623" s="76"/>
      <c r="I623" s="76"/>
      <c r="J623" s="76"/>
      <c r="K623" s="76"/>
      <c r="L623" s="76"/>
      <c r="M623" s="76"/>
      <c r="N623" s="76"/>
      <c r="O623" s="75"/>
      <c r="P623" s="75"/>
      <c r="Q623" s="75"/>
      <c r="R623" s="75"/>
      <c r="S623" s="75"/>
      <c r="T623" s="75"/>
      <c r="U623" s="74"/>
    </row>
    <row r="624" spans="1:21" ht="17.25" customHeight="1" x14ac:dyDescent="0.3">
      <c r="A624" s="66" t="s">
        <v>30</v>
      </c>
      <c r="C624" s="67"/>
      <c r="D624" s="77"/>
      <c r="E624" s="77" t="s">
        <v>31</v>
      </c>
      <c r="F624" s="76" t="s">
        <v>31</v>
      </c>
      <c r="G624" s="76" t="s">
        <v>31</v>
      </c>
      <c r="H624" s="76"/>
      <c r="I624" s="76"/>
      <c r="J624" s="76" t="s">
        <v>31</v>
      </c>
      <c r="K624" s="76" t="s">
        <v>31</v>
      </c>
      <c r="L624" s="76" t="s">
        <v>31</v>
      </c>
      <c r="M624" s="76" t="s">
        <v>31</v>
      </c>
      <c r="N624" s="76"/>
      <c r="U624" s="81"/>
    </row>
    <row r="625" spans="1:21" ht="20.25" customHeight="1" x14ac:dyDescent="0.35">
      <c r="A625" s="66" t="s">
        <v>30</v>
      </c>
      <c r="C625" s="67"/>
      <c r="D625" s="92" t="str">
        <f t="shared" ref="D625" si="419">E625</f>
        <v>S100019</v>
      </c>
      <c r="E625" s="91" t="str">
        <f>"S100019"</f>
        <v>S100019</v>
      </c>
      <c r="F625" s="89" t="str">
        <f>"Sportsman Bucket Hat"</f>
        <v>Sportsman Bucket Hat</v>
      </c>
      <c r="G625" s="89"/>
      <c r="H625" s="90" t="str">
        <f>"EA"</f>
        <v>EA</v>
      </c>
      <c r="I625" s="89"/>
      <c r="J625" s="89"/>
      <c r="K625" s="89"/>
      <c r="L625" s="89"/>
      <c r="M625" s="89"/>
      <c r="N625" s="89"/>
      <c r="O625" s="88">
        <f>(SUBTOTAL(9,O626:O627))</f>
        <v>800</v>
      </c>
      <c r="P625" s="88">
        <f>(SUBTOTAL(9,P626:P627))</f>
        <v>0</v>
      </c>
      <c r="Q625" s="88">
        <f>(SUBTOTAL(9,Q626:Q627))</f>
        <v>0</v>
      </c>
      <c r="R625" s="88">
        <f>(SUBTOTAL(9,R626:R627))</f>
        <v>0</v>
      </c>
      <c r="S625" s="88">
        <f>(SUBTOTAL(9,S626:S627))</f>
        <v>0</v>
      </c>
      <c r="T625" s="88">
        <f>(SUBTOTAL(9,T626:T627))</f>
        <v>0</v>
      </c>
      <c r="U625" s="87">
        <f t="shared" ref="U625" si="420">SUBTOTAL(9,O626:T627)</f>
        <v>800</v>
      </c>
    </row>
    <row r="626" spans="1:21" ht="17.25" customHeight="1" x14ac:dyDescent="0.3">
      <c r="A626" s="66" t="s">
        <v>30</v>
      </c>
      <c r="C626" s="67"/>
      <c r="D626" s="77" t="str">
        <f t="shared" ref="D626" si="421">D625</f>
        <v>S100019</v>
      </c>
      <c r="E626" s="77"/>
      <c r="F626" s="76"/>
      <c r="G626" s="76" t="str">
        <f>"""NAV Direct"",""CRONUS JetCorp USA"",""32"",""1"",""167089"""</f>
        <v>"NAV Direct","CRONUS JetCorp USA","32","1","167089"</v>
      </c>
      <c r="H626" s="86">
        <v>43466</v>
      </c>
      <c r="I626" s="85">
        <v>167089</v>
      </c>
      <c r="J626" s="84" t="str">
        <f>"Vendor"</f>
        <v>Vendor</v>
      </c>
      <c r="K626" s="84" t="str">
        <f>"V100040"</f>
        <v>V100040</v>
      </c>
      <c r="L626" s="84" t="str">
        <f>IF($J626="Customer",_xll.NL("first",$J626,"Name","No.","@@"&amp;$K626),"")</f>
        <v/>
      </c>
      <c r="M626" s="84" t="str">
        <f>"Technische Betriebe Rotkreuz"</f>
        <v>Technische Betriebe Rotkreuz</v>
      </c>
      <c r="N626" s="84" t="str">
        <f>IF($J626="Item",_xll.NL("first",$J626,"Description","No.","@@"&amp;$K626),"")</f>
        <v/>
      </c>
      <c r="O626" s="83">
        <v>800</v>
      </c>
      <c r="P626" s="83">
        <v>0</v>
      </c>
      <c r="Q626" s="83">
        <v>0</v>
      </c>
      <c r="R626" s="83">
        <v>0</v>
      </c>
      <c r="S626" s="83">
        <v>0</v>
      </c>
      <c r="T626" s="83">
        <v>0</v>
      </c>
      <c r="U626" s="82"/>
    </row>
    <row r="627" spans="1:21" ht="17.25" customHeight="1" x14ac:dyDescent="0.3">
      <c r="A627" s="66" t="s">
        <v>30</v>
      </c>
      <c r="C627" s="67"/>
      <c r="D627" s="77"/>
      <c r="E627" s="77"/>
      <c r="F627" s="76"/>
      <c r="G627" s="76"/>
      <c r="H627" s="76"/>
      <c r="I627" s="76"/>
      <c r="J627" s="76"/>
      <c r="K627" s="76"/>
      <c r="L627" s="76"/>
      <c r="M627" s="76"/>
      <c r="N627" s="76"/>
      <c r="O627" s="75"/>
      <c r="P627" s="75"/>
      <c r="Q627" s="75"/>
      <c r="R627" s="75"/>
      <c r="S627" s="75"/>
      <c r="T627" s="75"/>
      <c r="U627" s="74"/>
    </row>
    <row r="628" spans="1:21" ht="17.25" customHeight="1" x14ac:dyDescent="0.3">
      <c r="A628" s="66" t="s">
        <v>30</v>
      </c>
      <c r="C628" s="67"/>
      <c r="D628" s="77"/>
      <c r="E628" s="77" t="s">
        <v>31</v>
      </c>
      <c r="F628" s="76" t="s">
        <v>31</v>
      </c>
      <c r="G628" s="76" t="s">
        <v>31</v>
      </c>
      <c r="H628" s="76"/>
      <c r="I628" s="76"/>
      <c r="J628" s="76" t="s">
        <v>31</v>
      </c>
      <c r="K628" s="76" t="s">
        <v>31</v>
      </c>
      <c r="L628" s="76" t="s">
        <v>31</v>
      </c>
      <c r="M628" s="76" t="s">
        <v>31</v>
      </c>
      <c r="N628" s="76"/>
      <c r="U628" s="81"/>
    </row>
    <row r="629" spans="1:21" ht="20.25" customHeight="1" x14ac:dyDescent="0.35">
      <c r="A629" s="66" t="s">
        <v>30</v>
      </c>
      <c r="C629" s="67"/>
      <c r="D629" s="92" t="str">
        <f t="shared" ref="D629" si="422">E629</f>
        <v>S100020</v>
      </c>
      <c r="E629" s="91" t="str">
        <f>"S100020"</f>
        <v>S100020</v>
      </c>
      <c r="F629" s="89" t="str">
        <f>"Super Sport Stopwatch"</f>
        <v>Super Sport Stopwatch</v>
      </c>
      <c r="G629" s="89"/>
      <c r="H629" s="90" t="str">
        <f>"EA"</f>
        <v>EA</v>
      </c>
      <c r="I629" s="89"/>
      <c r="J629" s="89"/>
      <c r="K629" s="89"/>
      <c r="L629" s="89"/>
      <c r="M629" s="89"/>
      <c r="N629" s="89"/>
      <c r="O629" s="88">
        <f>(SUBTOTAL(9,O630:O632))</f>
        <v>999.99999999999989</v>
      </c>
      <c r="P629" s="88">
        <f>(SUBTOTAL(9,P630:P632))</f>
        <v>-144</v>
      </c>
      <c r="Q629" s="88">
        <f>(SUBTOTAL(9,Q630:Q632))</f>
        <v>0</v>
      </c>
      <c r="R629" s="88">
        <f>(SUBTOTAL(9,R630:R632))</f>
        <v>0</v>
      </c>
      <c r="S629" s="88">
        <f>(SUBTOTAL(9,S630:S632))</f>
        <v>0</v>
      </c>
      <c r="T629" s="88">
        <f>(SUBTOTAL(9,T630:T632))</f>
        <v>0</v>
      </c>
      <c r="U629" s="87">
        <f t="shared" ref="U629" si="423">SUBTOTAL(9,O630:T632)</f>
        <v>855.99999999999989</v>
      </c>
    </row>
    <row r="630" spans="1:21" ht="17.25" customHeight="1" x14ac:dyDescent="0.3">
      <c r="A630" s="66" t="s">
        <v>30</v>
      </c>
      <c r="C630" s="67"/>
      <c r="D630" s="77" t="str">
        <f t="shared" ref="D630" si="424">D629</f>
        <v>S100020</v>
      </c>
      <c r="E630" s="77"/>
      <c r="F630" s="76"/>
      <c r="G630" s="76" t="str">
        <f>"""NAV Direct"",""CRONUS JetCorp USA"",""32"",""1"",""167525"""</f>
        <v>"NAV Direct","CRONUS JetCorp USA","32","1","167525"</v>
      </c>
      <c r="H630" s="86">
        <v>43466</v>
      </c>
      <c r="I630" s="85">
        <v>167525</v>
      </c>
      <c r="J630" s="84" t="str">
        <f>"Vendor"</f>
        <v>Vendor</v>
      </c>
      <c r="K630" s="84" t="str">
        <f>"V100040"</f>
        <v>V100040</v>
      </c>
      <c r="L630" s="84" t="str">
        <f>IF($J630="Customer",_xll.NL("first",$J630,"Name","No.","@@"&amp;$K630),"")</f>
        <v/>
      </c>
      <c r="M630" s="84" t="str">
        <f>"Technische Betriebe Rotkreuz"</f>
        <v>Technische Betriebe Rotkreuz</v>
      </c>
      <c r="N630" s="84" t="str">
        <f>IF($J630="Item",_xll.NL("first",$J630,"Description","No.","@@"&amp;$K630),"")</f>
        <v/>
      </c>
      <c r="O630" s="83">
        <v>999.99999999999989</v>
      </c>
      <c r="P630" s="83">
        <v>0</v>
      </c>
      <c r="Q630" s="83">
        <v>0</v>
      </c>
      <c r="R630" s="83">
        <v>0</v>
      </c>
      <c r="S630" s="83">
        <v>0</v>
      </c>
      <c r="T630" s="83">
        <v>0</v>
      </c>
      <c r="U630" s="82"/>
    </row>
    <row r="631" spans="1:21" ht="17.25" customHeight="1" x14ac:dyDescent="0.3">
      <c r="A631" s="66" t="s">
        <v>30</v>
      </c>
      <c r="C631" s="67"/>
      <c r="D631" s="77" t="str">
        <f t="shared" ref="D631" si="425">D630</f>
        <v>S100020</v>
      </c>
      <c r="E631" s="77"/>
      <c r="F631" s="76"/>
      <c r="G631" s="76" t="str">
        <f>"""NAV Direct"",""CRONUS JetCorp USA"",""32"",""1"",""72516"""</f>
        <v>"NAV Direct","CRONUS JetCorp USA","32","1","72516"</v>
      </c>
      <c r="H631" s="86">
        <v>43471</v>
      </c>
      <c r="I631" s="85">
        <v>72516</v>
      </c>
      <c r="J631" s="84" t="str">
        <f>"Customer"</f>
        <v>Customer</v>
      </c>
      <c r="K631" s="84" t="str">
        <f>"C100107"</f>
        <v>C100107</v>
      </c>
      <c r="L631" s="84" t="str">
        <f>IF($J631="Customer",_xll.NL("first",$J631,"Name","No.","@@"&amp;$K631),"")</f>
        <v>Lexitechnology</v>
      </c>
      <c r="M631" s="84" t="str">
        <f>""</f>
        <v/>
      </c>
      <c r="N631" s="84" t="str">
        <f>IF($J631="Item",_xll.NL("first",$J631,"Description","No.","@@"&amp;$K631),"")</f>
        <v/>
      </c>
      <c r="O631" s="83">
        <v>0</v>
      </c>
      <c r="P631" s="83">
        <v>-144</v>
      </c>
      <c r="Q631" s="83">
        <v>0</v>
      </c>
      <c r="R631" s="83">
        <v>0</v>
      </c>
      <c r="S631" s="83">
        <v>0</v>
      </c>
      <c r="T631" s="83">
        <v>0</v>
      </c>
      <c r="U631" s="82"/>
    </row>
    <row r="632" spans="1:21" ht="17.25" customHeight="1" x14ac:dyDescent="0.3">
      <c r="A632" s="66" t="s">
        <v>30</v>
      </c>
      <c r="C632" s="67"/>
      <c r="D632" s="77"/>
      <c r="E632" s="77"/>
      <c r="F632" s="76"/>
      <c r="G632" s="76"/>
      <c r="H632" s="76"/>
      <c r="I632" s="76"/>
      <c r="J632" s="76"/>
      <c r="K632" s="76"/>
      <c r="L632" s="76"/>
      <c r="M632" s="76"/>
      <c r="N632" s="76"/>
      <c r="O632" s="75"/>
      <c r="P632" s="75"/>
      <c r="Q632" s="75"/>
      <c r="R632" s="75"/>
      <c r="S632" s="75"/>
      <c r="T632" s="75"/>
      <c r="U632" s="74"/>
    </row>
    <row r="633" spans="1:21" ht="17.25" customHeight="1" x14ac:dyDescent="0.3">
      <c r="A633" s="66" t="s">
        <v>30</v>
      </c>
      <c r="C633" s="67"/>
      <c r="D633" s="77"/>
      <c r="E633" s="77" t="s">
        <v>31</v>
      </c>
      <c r="F633" s="76" t="s">
        <v>31</v>
      </c>
      <c r="G633" s="76" t="s">
        <v>31</v>
      </c>
      <c r="H633" s="76"/>
      <c r="I633" s="76"/>
      <c r="J633" s="76" t="s">
        <v>31</v>
      </c>
      <c r="K633" s="76" t="s">
        <v>31</v>
      </c>
      <c r="L633" s="76" t="s">
        <v>31</v>
      </c>
      <c r="M633" s="76" t="s">
        <v>31</v>
      </c>
      <c r="N633" s="76"/>
      <c r="U633" s="81"/>
    </row>
    <row r="634" spans="1:21" ht="20.25" customHeight="1" x14ac:dyDescent="0.35">
      <c r="A634" s="66" t="s">
        <v>30</v>
      </c>
      <c r="C634" s="67"/>
      <c r="D634" s="92" t="str">
        <f t="shared" ref="D634" si="426">E634</f>
        <v>S100021</v>
      </c>
      <c r="E634" s="91" t="str">
        <f>"S100021"</f>
        <v>S100021</v>
      </c>
      <c r="F634" s="89" t="str">
        <f>"Translucent Stopwatch"</f>
        <v>Translucent Stopwatch</v>
      </c>
      <c r="G634" s="89"/>
      <c r="H634" s="90" t="str">
        <f>"EA"</f>
        <v>EA</v>
      </c>
      <c r="I634" s="89"/>
      <c r="J634" s="89"/>
      <c r="K634" s="89"/>
      <c r="L634" s="89"/>
      <c r="M634" s="89"/>
      <c r="N634" s="89"/>
      <c r="O634" s="88">
        <f>(SUBTOTAL(9,O635:O638))</f>
        <v>999.99999999999989</v>
      </c>
      <c r="P634" s="88">
        <f>(SUBTOTAL(9,P635:P638))</f>
        <v>-49</v>
      </c>
      <c r="Q634" s="88">
        <f>(SUBTOTAL(9,Q635:Q638))</f>
        <v>0</v>
      </c>
      <c r="R634" s="88">
        <f>(SUBTOTAL(9,R635:R638))</f>
        <v>0</v>
      </c>
      <c r="S634" s="88">
        <f>(SUBTOTAL(9,S635:S638))</f>
        <v>0</v>
      </c>
      <c r="T634" s="88">
        <f>(SUBTOTAL(9,T635:T638))</f>
        <v>0</v>
      </c>
      <c r="U634" s="87">
        <f t="shared" ref="U634" si="427">SUBTOTAL(9,O635:T638)</f>
        <v>950.99999999999989</v>
      </c>
    </row>
    <row r="635" spans="1:21" ht="17.25" customHeight="1" x14ac:dyDescent="0.3">
      <c r="A635" s="66" t="s">
        <v>30</v>
      </c>
      <c r="C635" s="67"/>
      <c r="D635" s="77" t="str">
        <f t="shared" ref="D635" si="428">D634</f>
        <v>S100021</v>
      </c>
      <c r="E635" s="77"/>
      <c r="F635" s="76"/>
      <c r="G635" s="76" t="str">
        <f>"""NAV Direct"",""CRONUS JetCorp USA"",""32"",""1"",""167524"""</f>
        <v>"NAV Direct","CRONUS JetCorp USA","32","1","167524"</v>
      </c>
      <c r="H635" s="86">
        <v>43466</v>
      </c>
      <c r="I635" s="85">
        <v>167524</v>
      </c>
      <c r="J635" s="84" t="str">
        <f>"Vendor"</f>
        <v>Vendor</v>
      </c>
      <c r="K635" s="84" t="str">
        <f>"V100040"</f>
        <v>V100040</v>
      </c>
      <c r="L635" s="84" t="str">
        <f>IF($J635="Customer",_xll.NL("first",$J635,"Name","No.","@@"&amp;$K635),"")</f>
        <v/>
      </c>
      <c r="M635" s="84" t="str">
        <f>"Technische Betriebe Rotkreuz"</f>
        <v>Technische Betriebe Rotkreuz</v>
      </c>
      <c r="N635" s="84" t="str">
        <f>IF($J635="Item",_xll.NL("first",$J635,"Description","No.","@@"&amp;$K635),"")</f>
        <v/>
      </c>
      <c r="O635" s="83">
        <v>999.99999999999989</v>
      </c>
      <c r="P635" s="83">
        <v>0</v>
      </c>
      <c r="Q635" s="83">
        <v>0</v>
      </c>
      <c r="R635" s="83">
        <v>0</v>
      </c>
      <c r="S635" s="83">
        <v>0</v>
      </c>
      <c r="T635" s="83">
        <v>0</v>
      </c>
      <c r="U635" s="82"/>
    </row>
    <row r="636" spans="1:21" ht="17.25" customHeight="1" x14ac:dyDescent="0.3">
      <c r="A636" s="66" t="s">
        <v>30</v>
      </c>
      <c r="C636" s="67"/>
      <c r="D636" s="77" t="str">
        <f t="shared" ref="D636:D637" si="429">D635</f>
        <v>S100021</v>
      </c>
      <c r="E636" s="77"/>
      <c r="F636" s="76"/>
      <c r="G636" s="76" t="str">
        <f>"""NAV Direct"",""CRONUS JetCorp USA"",""32"",""1"",""34315"""</f>
        <v>"NAV Direct","CRONUS JetCorp USA","32","1","34315"</v>
      </c>
      <c r="H636" s="86">
        <v>43473</v>
      </c>
      <c r="I636" s="85">
        <v>34315</v>
      </c>
      <c r="J636" s="84" t="str">
        <f>"Customer"</f>
        <v>Customer</v>
      </c>
      <c r="K636" s="84" t="str">
        <f>"C100059"</f>
        <v>C100059</v>
      </c>
      <c r="L636" s="84" t="str">
        <f>IF($J636="Customer",_xll.NL("first",$J636,"Name","No.","@@"&amp;$K636),"")</f>
        <v>Meersen Meubelen</v>
      </c>
      <c r="M636" s="84" t="str">
        <f>""</f>
        <v/>
      </c>
      <c r="N636" s="84" t="str">
        <f>IF($J636="Item",_xll.NL("first",$J636,"Description","No.","@@"&amp;$K636),"")</f>
        <v/>
      </c>
      <c r="O636" s="83">
        <v>0</v>
      </c>
      <c r="P636" s="83">
        <v>-48</v>
      </c>
      <c r="Q636" s="83">
        <v>0</v>
      </c>
      <c r="R636" s="83">
        <v>0</v>
      </c>
      <c r="S636" s="83">
        <v>0</v>
      </c>
      <c r="T636" s="83">
        <v>0</v>
      </c>
      <c r="U636" s="82"/>
    </row>
    <row r="637" spans="1:21" ht="17.25" customHeight="1" x14ac:dyDescent="0.3">
      <c r="A637" s="66" t="s">
        <v>30</v>
      </c>
      <c r="C637" s="67"/>
      <c r="D637" s="77" t="str">
        <f t="shared" si="429"/>
        <v>S100021</v>
      </c>
      <c r="E637" s="77"/>
      <c r="F637" s="76"/>
      <c r="G637" s="76" t="str">
        <f>"""NAV Direct"",""CRONUS JetCorp USA"",""32"",""1"",""36487"""</f>
        <v>"NAV Direct","CRONUS JetCorp USA","32","1","36487"</v>
      </c>
      <c r="H637" s="86">
        <v>43475</v>
      </c>
      <c r="I637" s="85">
        <v>36487</v>
      </c>
      <c r="J637" s="84" t="str">
        <f>"Customer"</f>
        <v>Customer</v>
      </c>
      <c r="K637" s="84" t="str">
        <f>"C100063"</f>
        <v>C100063</v>
      </c>
      <c r="L637" s="84" t="str">
        <f>IF($J637="Customer",_xll.NL("first",$J637,"Name","No.","@@"&amp;$K637),"")</f>
        <v>Möbel Scherrer AG</v>
      </c>
      <c r="M637" s="84" t="str">
        <f>""</f>
        <v/>
      </c>
      <c r="N637" s="84" t="str">
        <f>IF($J637="Item",_xll.NL("first",$J637,"Description","No.","@@"&amp;$K637),"")</f>
        <v/>
      </c>
      <c r="O637" s="83">
        <v>0</v>
      </c>
      <c r="P637" s="83">
        <v>-1</v>
      </c>
      <c r="Q637" s="83">
        <v>0</v>
      </c>
      <c r="R637" s="83">
        <v>0</v>
      </c>
      <c r="S637" s="83">
        <v>0</v>
      </c>
      <c r="T637" s="83">
        <v>0</v>
      </c>
      <c r="U637" s="82"/>
    </row>
    <row r="638" spans="1:21" ht="17.25" customHeight="1" x14ac:dyDescent="0.3">
      <c r="A638" s="66" t="s">
        <v>30</v>
      </c>
      <c r="C638" s="67"/>
      <c r="D638" s="77"/>
      <c r="E638" s="77"/>
      <c r="F638" s="76"/>
      <c r="G638" s="76"/>
      <c r="H638" s="76"/>
      <c r="I638" s="76"/>
      <c r="J638" s="76"/>
      <c r="K638" s="76"/>
      <c r="L638" s="76"/>
      <c r="M638" s="76"/>
      <c r="N638" s="76"/>
      <c r="O638" s="75"/>
      <c r="P638" s="75"/>
      <c r="Q638" s="75"/>
      <c r="R638" s="75"/>
      <c r="S638" s="75"/>
      <c r="T638" s="75"/>
      <c r="U638" s="74"/>
    </row>
    <row r="639" spans="1:21" ht="17.25" customHeight="1" x14ac:dyDescent="0.3">
      <c r="A639" s="66" t="s">
        <v>30</v>
      </c>
      <c r="C639" s="67"/>
      <c r="D639" s="77"/>
      <c r="E639" s="77" t="s">
        <v>31</v>
      </c>
      <c r="F639" s="76" t="s">
        <v>31</v>
      </c>
      <c r="G639" s="76" t="s">
        <v>31</v>
      </c>
      <c r="H639" s="76"/>
      <c r="I639" s="76"/>
      <c r="J639" s="76" t="s">
        <v>31</v>
      </c>
      <c r="K639" s="76" t="s">
        <v>31</v>
      </c>
      <c r="L639" s="76" t="s">
        <v>31</v>
      </c>
      <c r="M639" s="76" t="s">
        <v>31</v>
      </c>
      <c r="N639" s="76"/>
      <c r="U639" s="81"/>
    </row>
    <row r="640" spans="1:21" ht="20.25" customHeight="1" x14ac:dyDescent="0.35">
      <c r="A640" s="66" t="s">
        <v>30</v>
      </c>
      <c r="C640" s="67"/>
      <c r="D640" s="92" t="str">
        <f t="shared" ref="D640" si="430">E640</f>
        <v>S100024</v>
      </c>
      <c r="E640" s="91" t="str">
        <f>"S100024"</f>
        <v>S100024</v>
      </c>
      <c r="F640" s="89" t="str">
        <f>"Aluminum SPORT BOT"</f>
        <v>Aluminum SPORT BOT</v>
      </c>
      <c r="G640" s="89"/>
      <c r="H640" s="90" t="str">
        <f>"EA"</f>
        <v>EA</v>
      </c>
      <c r="I640" s="89"/>
      <c r="J640" s="89"/>
      <c r="K640" s="89"/>
      <c r="L640" s="89"/>
      <c r="M640" s="89"/>
      <c r="N640" s="89"/>
      <c r="O640" s="88">
        <f>(SUBTOTAL(9,O641:O644))</f>
        <v>0</v>
      </c>
      <c r="P640" s="88">
        <f>(SUBTOTAL(9,P641:P644))</f>
        <v>-73</v>
      </c>
      <c r="Q640" s="88">
        <f>(SUBTOTAL(9,Q641:Q644))</f>
        <v>0</v>
      </c>
      <c r="R640" s="88">
        <f>(SUBTOTAL(9,R641:R644))</f>
        <v>0</v>
      </c>
      <c r="S640" s="88">
        <f>(SUBTOTAL(9,S641:S644))</f>
        <v>0</v>
      </c>
      <c r="T640" s="88">
        <f>(SUBTOTAL(9,T641:T644))</f>
        <v>0</v>
      </c>
      <c r="U640" s="87">
        <f t="shared" ref="U640" si="431">SUBTOTAL(9,O641:T644)</f>
        <v>-73</v>
      </c>
    </row>
    <row r="641" spans="1:21" ht="17.25" customHeight="1" x14ac:dyDescent="0.3">
      <c r="A641" s="66" t="s">
        <v>30</v>
      </c>
      <c r="C641" s="67"/>
      <c r="D641" s="77" t="str">
        <f t="shared" ref="D641" si="432">D640</f>
        <v>S100024</v>
      </c>
      <c r="E641" s="77"/>
      <c r="F641" s="76"/>
      <c r="G641" s="76" t="str">
        <f>"""NAV Direct"",""CRONUS JetCorp USA"",""32"",""1"",""78839"""</f>
        <v>"NAV Direct","CRONUS JetCorp USA","32","1","78839"</v>
      </c>
      <c r="H641" s="86">
        <v>43468</v>
      </c>
      <c r="I641" s="85">
        <v>78839</v>
      </c>
      <c r="J641" s="84" t="str">
        <f>"Customer"</f>
        <v>Customer</v>
      </c>
      <c r="K641" s="84" t="str">
        <f>"C100117"</f>
        <v>C100117</v>
      </c>
      <c r="L641" s="84" t="str">
        <f>IF($J641="Customer",_xll.NL("first",$J641,"Name","No.","@@"&amp;$K641),"")</f>
        <v xml:space="preserve">Tintax </v>
      </c>
      <c r="M641" s="84" t="str">
        <f>""</f>
        <v/>
      </c>
      <c r="N641" s="84" t="str">
        <f>IF($J641="Item",_xll.NL("first",$J641,"Description","No.","@@"&amp;$K641),"")</f>
        <v/>
      </c>
      <c r="O641" s="83">
        <v>0</v>
      </c>
      <c r="P641" s="83">
        <v>-24</v>
      </c>
      <c r="Q641" s="83">
        <v>0</v>
      </c>
      <c r="R641" s="83">
        <v>0</v>
      </c>
      <c r="S641" s="83">
        <v>0</v>
      </c>
      <c r="T641" s="83">
        <v>0</v>
      </c>
      <c r="U641" s="82"/>
    </row>
    <row r="642" spans="1:21" ht="17.25" customHeight="1" x14ac:dyDescent="0.3">
      <c r="A642" s="66" t="s">
        <v>30</v>
      </c>
      <c r="C642" s="67"/>
      <c r="D642" s="77" t="str">
        <f t="shared" ref="D642:D643" si="433">D641</f>
        <v>S100024</v>
      </c>
      <c r="E642" s="77"/>
      <c r="F642" s="76"/>
      <c r="G642" s="76" t="str">
        <f>"""NAV Direct"",""CRONUS JetCorp USA"",""32"",""1"",""78856"""</f>
        <v>"NAV Direct","CRONUS JetCorp USA","32","1","78856"</v>
      </c>
      <c r="H642" s="86">
        <v>43470</v>
      </c>
      <c r="I642" s="85">
        <v>78856</v>
      </c>
      <c r="J642" s="84" t="str">
        <f>"Customer"</f>
        <v>Customer</v>
      </c>
      <c r="K642" s="84" t="str">
        <f>"C100117"</f>
        <v>C100117</v>
      </c>
      <c r="L642" s="84" t="str">
        <f>IF($J642="Customer",_xll.NL("first",$J642,"Name","No.","@@"&amp;$K642),"")</f>
        <v xml:space="preserve">Tintax </v>
      </c>
      <c r="M642" s="84" t="str">
        <f>""</f>
        <v/>
      </c>
      <c r="N642" s="84" t="str">
        <f>IF($J642="Item",_xll.NL("first",$J642,"Description","No.","@@"&amp;$K642),"")</f>
        <v/>
      </c>
      <c r="O642" s="83">
        <v>0</v>
      </c>
      <c r="P642" s="83">
        <v>-1</v>
      </c>
      <c r="Q642" s="83">
        <v>0</v>
      </c>
      <c r="R642" s="83">
        <v>0</v>
      </c>
      <c r="S642" s="83">
        <v>0</v>
      </c>
      <c r="T642" s="83">
        <v>0</v>
      </c>
      <c r="U642" s="82"/>
    </row>
    <row r="643" spans="1:21" ht="17.25" customHeight="1" x14ac:dyDescent="0.3">
      <c r="A643" s="66" t="s">
        <v>30</v>
      </c>
      <c r="C643" s="67"/>
      <c r="D643" s="77" t="str">
        <f t="shared" si="433"/>
        <v>S100024</v>
      </c>
      <c r="E643" s="77"/>
      <c r="F643" s="76"/>
      <c r="G643" s="76" t="str">
        <f>"""NAV Direct"",""CRONUS JetCorp USA"",""32"",""1"",""78903"""</f>
        <v>"NAV Direct","CRONUS JetCorp USA","32","1","78903"</v>
      </c>
      <c r="H643" s="86">
        <v>43475</v>
      </c>
      <c r="I643" s="85">
        <v>78903</v>
      </c>
      <c r="J643" s="84" t="str">
        <f>"Customer"</f>
        <v>Customer</v>
      </c>
      <c r="K643" s="84" t="str">
        <f>"C100128"</f>
        <v>C100128</v>
      </c>
      <c r="L643" s="84" t="str">
        <f>IF($J643="Customer",_xll.NL("first",$J643,"Name","No.","@@"&amp;$K643),"")</f>
        <v>Solar Tech</v>
      </c>
      <c r="M643" s="84" t="str">
        <f>""</f>
        <v/>
      </c>
      <c r="N643" s="84" t="str">
        <f>IF($J643="Item",_xll.NL("first",$J643,"Description","No.","@@"&amp;$K643),"")</f>
        <v/>
      </c>
      <c r="O643" s="83">
        <v>0</v>
      </c>
      <c r="P643" s="83">
        <v>-48</v>
      </c>
      <c r="Q643" s="83">
        <v>0</v>
      </c>
      <c r="R643" s="83">
        <v>0</v>
      </c>
      <c r="S643" s="83">
        <v>0</v>
      </c>
      <c r="T643" s="83">
        <v>0</v>
      </c>
      <c r="U643" s="82"/>
    </row>
    <row r="644" spans="1:21" ht="17.25" customHeight="1" x14ac:dyDescent="0.3">
      <c r="A644" s="66" t="s">
        <v>30</v>
      </c>
      <c r="C644" s="67"/>
      <c r="D644" s="77"/>
      <c r="E644" s="77"/>
      <c r="F644" s="76"/>
      <c r="G644" s="76"/>
      <c r="H644" s="76"/>
      <c r="I644" s="76"/>
      <c r="J644" s="76"/>
      <c r="K644" s="76"/>
      <c r="L644" s="76"/>
      <c r="M644" s="76"/>
      <c r="N644" s="76"/>
      <c r="O644" s="75"/>
      <c r="P644" s="75"/>
      <c r="Q644" s="75"/>
      <c r="R644" s="75"/>
      <c r="S644" s="75"/>
      <c r="T644" s="75"/>
      <c r="U644" s="74"/>
    </row>
    <row r="645" spans="1:21" ht="17.25" customHeight="1" x14ac:dyDescent="0.3">
      <c r="A645" s="66" t="s">
        <v>30</v>
      </c>
      <c r="C645" s="67"/>
      <c r="D645" s="77"/>
      <c r="E645" s="77" t="s">
        <v>31</v>
      </c>
      <c r="F645" s="76" t="s">
        <v>31</v>
      </c>
      <c r="G645" s="76" t="s">
        <v>31</v>
      </c>
      <c r="H645" s="76"/>
      <c r="I645" s="76"/>
      <c r="J645" s="76" t="s">
        <v>31</v>
      </c>
      <c r="K645" s="76" t="s">
        <v>31</v>
      </c>
      <c r="L645" s="76" t="s">
        <v>31</v>
      </c>
      <c r="M645" s="76" t="s">
        <v>31</v>
      </c>
      <c r="N645" s="76"/>
      <c r="U645" s="81"/>
    </row>
    <row r="646" spans="1:21" ht="20.25" customHeight="1" x14ac:dyDescent="0.35">
      <c r="A646" s="66" t="s">
        <v>30</v>
      </c>
      <c r="C646" s="67"/>
      <c r="D646" s="92" t="str">
        <f t="shared" ref="D646" si="434">E646</f>
        <v>S100026</v>
      </c>
      <c r="E646" s="91" t="str">
        <f>"S100026"</f>
        <v>S100026</v>
      </c>
      <c r="F646" s="89" t="str">
        <f>"Wide SPORT BOT"</f>
        <v>Wide SPORT BOT</v>
      </c>
      <c r="G646" s="89"/>
      <c r="H646" s="90" t="str">
        <f>"EA"</f>
        <v>EA</v>
      </c>
      <c r="I646" s="89"/>
      <c r="J646" s="89"/>
      <c r="K646" s="89"/>
      <c r="L646" s="89"/>
      <c r="M646" s="89"/>
      <c r="N646" s="89"/>
      <c r="O646" s="88">
        <f>(SUBTOTAL(9,O647:O651))</f>
        <v>499.99999999999994</v>
      </c>
      <c r="P646" s="88">
        <f>(SUBTOTAL(9,P647:P651))</f>
        <v>-335</v>
      </c>
      <c r="Q646" s="88">
        <f>(SUBTOTAL(9,Q647:Q651))</f>
        <v>0</v>
      </c>
      <c r="R646" s="88">
        <f>(SUBTOTAL(9,R647:R651))</f>
        <v>0</v>
      </c>
      <c r="S646" s="88">
        <f>(SUBTOTAL(9,S647:S651))</f>
        <v>0</v>
      </c>
      <c r="T646" s="88">
        <f>(SUBTOTAL(9,T647:T651))</f>
        <v>0</v>
      </c>
      <c r="U646" s="87">
        <f t="shared" ref="U646" si="435">SUBTOTAL(9,O647:T651)</f>
        <v>164.99999999999994</v>
      </c>
    </row>
    <row r="647" spans="1:21" ht="17.25" customHeight="1" x14ac:dyDescent="0.3">
      <c r="A647" s="66" t="s">
        <v>30</v>
      </c>
      <c r="C647" s="67"/>
      <c r="D647" s="77" t="str">
        <f t="shared" ref="D647" si="436">D646</f>
        <v>S100026</v>
      </c>
      <c r="E647" s="77"/>
      <c r="F647" s="76"/>
      <c r="G647" s="76" t="str">
        <f>"""NAV Direct"",""CRONUS JetCorp USA"",""32"",""1"",""168610"""</f>
        <v>"NAV Direct","CRONUS JetCorp USA","32","1","168610"</v>
      </c>
      <c r="H647" s="86">
        <v>43466</v>
      </c>
      <c r="I647" s="85">
        <v>168610</v>
      </c>
      <c r="J647" s="84" t="str">
        <f>"Vendor"</f>
        <v>Vendor</v>
      </c>
      <c r="K647" s="84" t="str">
        <f>"V100040"</f>
        <v>V100040</v>
      </c>
      <c r="L647" s="84" t="str">
        <f>IF($J647="Customer",_xll.NL("first",$J647,"Name","No.","@@"&amp;$K647),"")</f>
        <v/>
      </c>
      <c r="M647" s="84" t="str">
        <f>"Technische Betriebe Rotkreuz"</f>
        <v>Technische Betriebe Rotkreuz</v>
      </c>
      <c r="N647" s="84" t="str">
        <f>IF($J647="Item",_xll.NL("first",$J647,"Description","No.","@@"&amp;$K647),"")</f>
        <v/>
      </c>
      <c r="O647" s="83">
        <v>499.99999999999994</v>
      </c>
      <c r="P647" s="83">
        <v>0</v>
      </c>
      <c r="Q647" s="83">
        <v>0</v>
      </c>
      <c r="R647" s="83">
        <v>0</v>
      </c>
      <c r="S647" s="83">
        <v>0</v>
      </c>
      <c r="T647" s="83">
        <v>0</v>
      </c>
      <c r="U647" s="82"/>
    </row>
    <row r="648" spans="1:21" ht="17.25" customHeight="1" x14ac:dyDescent="0.3">
      <c r="A648" s="66" t="s">
        <v>30</v>
      </c>
      <c r="C648" s="67"/>
      <c r="D648" s="77" t="str">
        <f t="shared" ref="D648:D650" si="437">D647</f>
        <v>S100026</v>
      </c>
      <c r="E648" s="77"/>
      <c r="F648" s="76"/>
      <c r="G648" s="76" t="str">
        <f>"""NAV Direct"",""CRONUS JetCorp USA"",""32"",""1"",""78849"""</f>
        <v>"NAV Direct","CRONUS JetCorp USA","32","1","78849"</v>
      </c>
      <c r="H648" s="86">
        <v>43470</v>
      </c>
      <c r="I648" s="85">
        <v>78849</v>
      </c>
      <c r="J648" s="84" t="str">
        <f>"Customer"</f>
        <v>Customer</v>
      </c>
      <c r="K648" s="84" t="str">
        <f>"C100117"</f>
        <v>C100117</v>
      </c>
      <c r="L648" s="84" t="str">
        <f>IF($J648="Customer",_xll.NL("first",$J648,"Name","No.","@@"&amp;$K648),"")</f>
        <v xml:space="preserve">Tintax </v>
      </c>
      <c r="M648" s="84" t="str">
        <f>""</f>
        <v/>
      </c>
      <c r="N648" s="84" t="str">
        <f>IF($J648="Item",_xll.NL("first",$J648,"Description","No.","@@"&amp;$K648),"")</f>
        <v/>
      </c>
      <c r="O648" s="83">
        <v>0</v>
      </c>
      <c r="P648" s="83">
        <v>-48</v>
      </c>
      <c r="Q648" s="83">
        <v>0</v>
      </c>
      <c r="R648" s="83">
        <v>0</v>
      </c>
      <c r="S648" s="83">
        <v>0</v>
      </c>
      <c r="T648" s="83">
        <v>0</v>
      </c>
      <c r="U648" s="82"/>
    </row>
    <row r="649" spans="1:21" ht="17.25" customHeight="1" x14ac:dyDescent="0.3">
      <c r="A649" s="66" t="s">
        <v>30</v>
      </c>
      <c r="C649" s="67"/>
      <c r="D649" s="77" t="str">
        <f t="shared" si="437"/>
        <v>S100026</v>
      </c>
      <c r="E649" s="77"/>
      <c r="F649" s="76"/>
      <c r="G649" s="76" t="str">
        <f>"""NAV Direct"",""CRONUS JetCorp USA"",""32"",""1"",""72507"""</f>
        <v>"NAV Direct","CRONUS JetCorp USA","32","1","72507"</v>
      </c>
      <c r="H649" s="86">
        <v>43471</v>
      </c>
      <c r="I649" s="85">
        <v>72507</v>
      </c>
      <c r="J649" s="84" t="str">
        <f>"Customer"</f>
        <v>Customer</v>
      </c>
      <c r="K649" s="84" t="str">
        <f>"C100107"</f>
        <v>C100107</v>
      </c>
      <c r="L649" s="84" t="str">
        <f>IF($J649="Customer",_xll.NL("first",$J649,"Name","No.","@@"&amp;$K649),"")</f>
        <v>Lexitechnology</v>
      </c>
      <c r="M649" s="84" t="str">
        <f>""</f>
        <v/>
      </c>
      <c r="N649" s="84" t="str">
        <f>IF($J649="Item",_xll.NL("first",$J649,"Description","No.","@@"&amp;$K649),"")</f>
        <v/>
      </c>
      <c r="O649" s="83">
        <v>0</v>
      </c>
      <c r="P649" s="83">
        <v>-288</v>
      </c>
      <c r="Q649" s="83">
        <v>0</v>
      </c>
      <c r="R649" s="83">
        <v>0</v>
      </c>
      <c r="S649" s="83">
        <v>0</v>
      </c>
      <c r="T649" s="83">
        <v>0</v>
      </c>
      <c r="U649" s="82"/>
    </row>
    <row r="650" spans="1:21" ht="17.25" customHeight="1" x14ac:dyDescent="0.3">
      <c r="A650" s="66" t="s">
        <v>30</v>
      </c>
      <c r="C650" s="67"/>
      <c r="D650" s="77" t="str">
        <f t="shared" si="437"/>
        <v>S100026</v>
      </c>
      <c r="E650" s="77"/>
      <c r="F650" s="76"/>
      <c r="G650" s="76" t="str">
        <f>"""NAV Direct"",""CRONUS JetCorp USA"",""32"",""1"",""159980"""</f>
        <v>"NAV Direct","CRONUS JetCorp USA","32","1","159980"</v>
      </c>
      <c r="H650" s="86">
        <v>43474</v>
      </c>
      <c r="I650" s="85">
        <v>159980</v>
      </c>
      <c r="J650" s="84" t="str">
        <f>"Customer"</f>
        <v>Customer</v>
      </c>
      <c r="K650" s="84" t="str">
        <f>"C100107"</f>
        <v>C100107</v>
      </c>
      <c r="L650" s="84" t="str">
        <f>IF($J650="Customer",_xll.NL("first",$J650,"Name","No.","@@"&amp;$K650),"")</f>
        <v>Lexitechnology</v>
      </c>
      <c r="M650" s="84" t="str">
        <f>""</f>
        <v/>
      </c>
      <c r="N650" s="84" t="str">
        <f>IF($J650="Item",_xll.NL("first",$J650,"Description","No.","@@"&amp;$K650),"")</f>
        <v/>
      </c>
      <c r="O650" s="83">
        <v>0</v>
      </c>
      <c r="P650" s="83">
        <v>1</v>
      </c>
      <c r="Q650" s="83">
        <v>0</v>
      </c>
      <c r="R650" s="83">
        <v>0</v>
      </c>
      <c r="S650" s="83">
        <v>0</v>
      </c>
      <c r="T650" s="83">
        <v>0</v>
      </c>
      <c r="U650" s="82"/>
    </row>
    <row r="651" spans="1:21" ht="17.25" customHeight="1" x14ac:dyDescent="0.3">
      <c r="A651" s="66" t="s">
        <v>30</v>
      </c>
      <c r="C651" s="67"/>
      <c r="D651" s="77"/>
      <c r="E651" s="77"/>
      <c r="F651" s="76"/>
      <c r="G651" s="76"/>
      <c r="H651" s="76"/>
      <c r="I651" s="76"/>
      <c r="J651" s="76"/>
      <c r="K651" s="76"/>
      <c r="L651" s="76"/>
      <c r="M651" s="76"/>
      <c r="N651" s="76"/>
      <c r="O651" s="75"/>
      <c r="P651" s="75"/>
      <c r="Q651" s="75"/>
      <c r="R651" s="75"/>
      <c r="S651" s="75"/>
      <c r="T651" s="75"/>
      <c r="U651" s="74"/>
    </row>
    <row r="652" spans="1:21" ht="17.25" customHeight="1" x14ac:dyDescent="0.3">
      <c r="A652" s="66" t="s">
        <v>30</v>
      </c>
      <c r="C652" s="67"/>
      <c r="D652" s="77"/>
      <c r="E652" s="77" t="s">
        <v>31</v>
      </c>
      <c r="F652" s="76" t="s">
        <v>31</v>
      </c>
      <c r="G652" s="76" t="s">
        <v>31</v>
      </c>
      <c r="H652" s="76"/>
      <c r="I652" s="76"/>
      <c r="J652" s="76" t="s">
        <v>31</v>
      </c>
      <c r="K652" s="76" t="s">
        <v>31</v>
      </c>
      <c r="L652" s="76" t="s">
        <v>31</v>
      </c>
      <c r="M652" s="76" t="s">
        <v>31</v>
      </c>
      <c r="N652" s="76"/>
      <c r="U652" s="81"/>
    </row>
    <row r="653" spans="1:21" ht="17.25" customHeight="1" x14ac:dyDescent="0.3">
      <c r="A653" s="66"/>
      <c r="C653" s="67"/>
      <c r="D653" s="77"/>
      <c r="E653" s="77"/>
      <c r="F653" s="76"/>
      <c r="G653" s="76"/>
      <c r="H653" s="76"/>
      <c r="I653" s="76"/>
      <c r="J653" s="76"/>
      <c r="K653" s="76"/>
      <c r="L653" s="76"/>
      <c r="M653" s="76"/>
      <c r="N653" s="76"/>
      <c r="O653" s="75"/>
      <c r="P653" s="75"/>
      <c r="Q653" s="75"/>
      <c r="R653" s="75"/>
      <c r="S653" s="75"/>
      <c r="T653" s="75"/>
      <c r="U653" s="74"/>
    </row>
    <row r="654" spans="1:21" ht="20.25" customHeight="1" thickBot="1" x14ac:dyDescent="0.4">
      <c r="A654" s="66"/>
      <c r="C654" s="67"/>
      <c r="D654" s="77"/>
      <c r="E654" s="77"/>
      <c r="F654" s="76"/>
      <c r="G654" s="76"/>
      <c r="H654" s="76"/>
      <c r="I654" s="76"/>
      <c r="J654" s="76"/>
      <c r="K654" s="76"/>
      <c r="L654" s="76"/>
      <c r="M654" s="76"/>
      <c r="N654" s="80" t="s">
        <v>32</v>
      </c>
      <c r="O654" s="79">
        <f>SUBTOTAL(9,O13:O653)</f>
        <v>50050</v>
      </c>
      <c r="P654" s="79">
        <f>SUBTOTAL(9,P13:P653)</f>
        <v>-16081</v>
      </c>
      <c r="Q654" s="79">
        <f>SUBTOTAL(9,Q13:Q653)</f>
        <v>0</v>
      </c>
      <c r="R654" s="79">
        <f>SUBTOTAL(9,R13:R653)</f>
        <v>0</v>
      </c>
      <c r="S654" s="79">
        <f>SUBTOTAL(9,S13:S653)</f>
        <v>0</v>
      </c>
      <c r="T654" s="79">
        <f>SUBTOTAL(9,T13:T653)</f>
        <v>0</v>
      </c>
      <c r="U654" s="78">
        <f>SUM(U12:U653)</f>
        <v>33969</v>
      </c>
    </row>
    <row r="655" spans="1:21" ht="17.25" customHeight="1" x14ac:dyDescent="0.3">
      <c r="A655" s="66"/>
      <c r="C655" s="67"/>
      <c r="D655" s="77"/>
      <c r="E655" s="77"/>
      <c r="F655" s="76"/>
      <c r="G655" s="76"/>
      <c r="H655" s="76"/>
      <c r="I655" s="76"/>
      <c r="J655" s="76"/>
      <c r="K655" s="76"/>
      <c r="L655" s="76"/>
      <c r="M655" s="76"/>
      <c r="N655" s="76"/>
      <c r="O655" s="75"/>
      <c r="P655" s="75"/>
      <c r="Q655" s="75"/>
      <c r="R655" s="75"/>
      <c r="S655" s="75"/>
      <c r="T655" s="75"/>
      <c r="U655" s="74"/>
    </row>
    <row r="656" spans="1:21" ht="17.25" customHeight="1" x14ac:dyDescent="0.3">
      <c r="A656" s="66"/>
      <c r="C656" s="67"/>
      <c r="D656" s="73"/>
      <c r="E656" s="73"/>
      <c r="F656" s="72"/>
      <c r="G656" s="72"/>
      <c r="H656" s="72"/>
      <c r="I656" s="72"/>
      <c r="J656" s="72"/>
      <c r="K656" s="72"/>
      <c r="L656" s="72"/>
      <c r="M656" s="72"/>
      <c r="N656" s="71"/>
      <c r="O656" s="70"/>
      <c r="P656" s="70"/>
      <c r="Q656" s="70"/>
      <c r="R656" s="70"/>
      <c r="S656" s="70"/>
      <c r="T656" s="70"/>
      <c r="U656" s="69"/>
    </row>
    <row r="657" spans="1:21" ht="17.25" customHeight="1" x14ac:dyDescent="0.3">
      <c r="A657" s="66"/>
      <c r="C657" s="67"/>
      <c r="D657" s="68"/>
      <c r="E657" s="68"/>
      <c r="F657" s="68"/>
      <c r="G657" s="68"/>
      <c r="H657" s="68"/>
      <c r="I657" s="68"/>
      <c r="J657" s="68"/>
      <c r="K657" s="68"/>
      <c r="L657" s="68"/>
      <c r="M657" s="68"/>
      <c r="N657" s="68"/>
      <c r="O657" s="68"/>
      <c r="P657" s="68"/>
      <c r="Q657" s="68"/>
      <c r="R657" s="68"/>
      <c r="S657" s="68"/>
      <c r="T657" s="68"/>
      <c r="U657" s="68"/>
    </row>
    <row r="658" spans="1:21" ht="17.25" customHeight="1" x14ac:dyDescent="0.3">
      <c r="A658" s="66"/>
      <c r="C658" s="67"/>
      <c r="D658" s="68"/>
      <c r="E658" s="68"/>
      <c r="F658" s="68"/>
      <c r="G658" s="68"/>
      <c r="H658" s="68"/>
      <c r="I658" s="68"/>
      <c r="J658" s="68"/>
      <c r="K658" s="68"/>
      <c r="L658" s="68"/>
      <c r="M658" s="68"/>
      <c r="N658" s="68"/>
      <c r="O658" s="68"/>
      <c r="P658" s="68"/>
      <c r="Q658" s="68"/>
      <c r="R658" s="68"/>
      <c r="S658" s="68"/>
      <c r="T658" s="68"/>
      <c r="U658" s="68"/>
    </row>
    <row r="659" spans="1:21" ht="17.25" customHeight="1" x14ac:dyDescent="0.3">
      <c r="A659" s="66"/>
      <c r="C659" s="67"/>
      <c r="D659" s="68"/>
      <c r="E659" s="68"/>
      <c r="F659" s="68"/>
      <c r="G659" s="68"/>
      <c r="H659" s="68"/>
      <c r="I659" s="68"/>
      <c r="J659" s="68"/>
      <c r="K659" s="68"/>
      <c r="L659" s="68"/>
      <c r="M659" s="68"/>
      <c r="N659" s="68"/>
      <c r="O659" s="68"/>
      <c r="P659" s="68"/>
      <c r="Q659" s="68"/>
      <c r="R659" s="68"/>
      <c r="S659" s="68"/>
      <c r="T659" s="68"/>
      <c r="U659" s="68"/>
    </row>
    <row r="660" spans="1:21" ht="17.25" customHeight="1" x14ac:dyDescent="0.3">
      <c r="A660" s="66"/>
      <c r="C660" s="67"/>
      <c r="D660" s="68"/>
      <c r="E660" s="68"/>
      <c r="F660" s="68"/>
      <c r="G660" s="68"/>
      <c r="H660" s="68"/>
      <c r="I660" s="68"/>
      <c r="J660" s="68"/>
      <c r="K660" s="68"/>
      <c r="L660" s="68"/>
      <c r="M660" s="68"/>
      <c r="N660" s="68"/>
      <c r="O660" s="68"/>
      <c r="P660" s="68"/>
      <c r="Q660" s="68"/>
      <c r="R660" s="68"/>
      <c r="S660" s="68"/>
      <c r="T660" s="68"/>
      <c r="U660" s="68"/>
    </row>
    <row r="661" spans="1:21" ht="17.25" customHeight="1" x14ac:dyDescent="0.3">
      <c r="A661" s="66"/>
      <c r="C661" s="67"/>
      <c r="D661" s="68"/>
      <c r="E661" s="68"/>
      <c r="F661" s="68"/>
      <c r="G661" s="68"/>
      <c r="H661" s="68"/>
      <c r="I661" s="68"/>
      <c r="J661" s="68"/>
      <c r="K661" s="68"/>
      <c r="L661" s="68"/>
      <c r="M661" s="68"/>
      <c r="N661" s="68"/>
      <c r="O661" s="68"/>
      <c r="P661" s="68"/>
      <c r="Q661" s="68"/>
      <c r="R661" s="68"/>
      <c r="S661" s="68"/>
      <c r="T661" s="68"/>
      <c r="U661" s="68"/>
    </row>
    <row r="662" spans="1:21" ht="17.25" customHeight="1" x14ac:dyDescent="0.3">
      <c r="A662" s="66"/>
      <c r="C662" s="67"/>
      <c r="D662" s="68"/>
      <c r="E662" s="68"/>
      <c r="F662" s="68"/>
      <c r="G662" s="68"/>
      <c r="H662" s="68"/>
      <c r="I662" s="68"/>
      <c r="J662" s="68"/>
      <c r="K662" s="68"/>
      <c r="L662" s="68"/>
      <c r="M662" s="68"/>
      <c r="N662" s="68"/>
      <c r="O662" s="68"/>
      <c r="P662" s="68"/>
      <c r="Q662" s="68"/>
      <c r="R662" s="68"/>
      <c r="S662" s="68"/>
      <c r="T662" s="68"/>
      <c r="U662" s="68"/>
    </row>
    <row r="663" spans="1:21" ht="17.25" customHeight="1" x14ac:dyDescent="0.3">
      <c r="A663" s="66"/>
      <c r="C663" s="67"/>
      <c r="D663" s="68"/>
      <c r="E663" s="68"/>
      <c r="F663" s="68"/>
      <c r="G663" s="68"/>
      <c r="H663" s="68"/>
      <c r="I663" s="68"/>
      <c r="J663" s="68"/>
      <c r="K663" s="68"/>
      <c r="L663" s="68"/>
      <c r="M663" s="68"/>
      <c r="N663" s="68"/>
      <c r="O663" s="68"/>
      <c r="P663" s="68"/>
      <c r="Q663" s="68"/>
      <c r="R663" s="68"/>
      <c r="S663" s="68"/>
      <c r="T663" s="68"/>
      <c r="U663" s="68"/>
    </row>
    <row r="664" spans="1:21" ht="17.25" customHeight="1" x14ac:dyDescent="0.3">
      <c r="A664" s="66"/>
      <c r="C664" s="67"/>
      <c r="D664" s="68"/>
      <c r="E664" s="68"/>
      <c r="F664" s="68"/>
      <c r="G664" s="68"/>
      <c r="H664" s="68"/>
      <c r="I664" s="68"/>
      <c r="J664" s="68"/>
      <c r="K664" s="68"/>
      <c r="L664" s="68"/>
      <c r="M664" s="68"/>
      <c r="N664" s="68"/>
      <c r="O664" s="68"/>
      <c r="P664" s="68"/>
      <c r="Q664" s="68"/>
      <c r="R664" s="68"/>
      <c r="S664" s="68"/>
      <c r="T664" s="68"/>
      <c r="U664" s="68"/>
    </row>
    <row r="665" spans="1:21" ht="17.25" customHeight="1" x14ac:dyDescent="0.3">
      <c r="A665" s="66"/>
      <c r="C665" s="67"/>
      <c r="D665" s="67"/>
      <c r="E665" s="67"/>
      <c r="F665" s="67"/>
      <c r="G665" s="67"/>
      <c r="H665" s="67"/>
      <c r="I665" s="67"/>
      <c r="J665" s="67"/>
      <c r="K665" s="67"/>
      <c r="L665" s="67"/>
      <c r="M665" s="67"/>
      <c r="N665" s="67"/>
      <c r="O665" s="67"/>
      <c r="P665" s="67"/>
      <c r="Q665" s="67"/>
      <c r="R665" s="67"/>
      <c r="S665" s="67"/>
      <c r="T665" s="67"/>
      <c r="U665" s="67"/>
    </row>
    <row r="666" spans="1:21" ht="17.25" customHeight="1" x14ac:dyDescent="0.3">
      <c r="A666" s="66"/>
      <c r="C666" s="67"/>
      <c r="D666" s="67"/>
      <c r="E666" s="67"/>
      <c r="F666" s="67"/>
      <c r="G666" s="67"/>
      <c r="H666" s="67"/>
      <c r="I666" s="67"/>
      <c r="J666" s="67"/>
      <c r="K666" s="67"/>
      <c r="L666" s="67"/>
      <c r="M666" s="67"/>
      <c r="N666" s="67"/>
      <c r="O666" s="67"/>
      <c r="P666" s="67"/>
      <c r="Q666" s="67"/>
      <c r="R666" s="67"/>
      <c r="S666" s="67"/>
      <c r="T666" s="67"/>
      <c r="U666" s="67"/>
    </row>
    <row r="667" spans="1:21" ht="14.25" customHeight="1" x14ac:dyDescent="0.25">
      <c r="A667" s="66"/>
    </row>
    <row r="668" spans="1:21" ht="14.25" customHeight="1" x14ac:dyDescent="0.25">
      <c r="A668" s="66"/>
    </row>
    <row r="669" spans="1:21" ht="14.25" customHeight="1" x14ac:dyDescent="0.25">
      <c r="A669" s="66"/>
    </row>
    <row r="670" spans="1:21" ht="14.25" customHeight="1" x14ac:dyDescent="0.25">
      <c r="A670" s="66"/>
    </row>
    <row r="671" spans="1:21" ht="14.25" customHeight="1" x14ac:dyDescent="0.25">
      <c r="A671" s="66"/>
    </row>
    <row r="672" spans="1:21" ht="14.25" customHeight="1" x14ac:dyDescent="0.25">
      <c r="A672" s="66"/>
    </row>
    <row r="673" spans="1:1" ht="14.25" customHeight="1" x14ac:dyDescent="0.25">
      <c r="A673" s="66"/>
    </row>
    <row r="674" spans="1:1" ht="14.25" customHeight="1" x14ac:dyDescent="0.25">
      <c r="A674" s="66"/>
    </row>
    <row r="675" spans="1:1" ht="14.25" customHeight="1" x14ac:dyDescent="0.25">
      <c r="A675" s="66"/>
    </row>
  </sheetData>
  <mergeCells count="1">
    <mergeCell ref="E3:F3"/>
  </mergeCells>
  <pageMargins left="0.25" right="0.25" top="0.75" bottom="0.75" header="0.3" footer="0.3"/>
  <pageSetup scale="35"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222"/>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20" style="65" bestFit="1" customWidth="1"/>
    <col min="6" max="6" width="44.85546875"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24.28515625" style="65" bestFit="1" customWidth="1"/>
    <col min="13" max="13" width="20.85546875" style="65" bestFit="1" customWidth="1"/>
    <col min="14" max="14" width="26.7109375" style="65" customWidth="1"/>
    <col min="15" max="15" width="15" style="65" bestFit="1" customWidth="1"/>
    <col min="16" max="16" width="10.8554687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34697</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"ATL-WHSE1"</f>
        <v>ATL-WHSE1</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C100025</v>
      </c>
      <c r="E12" s="91" t="str">
        <f>"C100025"</f>
        <v>C100025</v>
      </c>
      <c r="F12" s="89" t="str">
        <f>"Striped Knit Hat"</f>
        <v>Striped Knit Hat</v>
      </c>
      <c r="G12" s="89"/>
      <c r="H12" s="90" t="str">
        <f>"EA"</f>
        <v>EA</v>
      </c>
      <c r="I12" s="89"/>
      <c r="J12" s="89"/>
      <c r="K12" s="89"/>
      <c r="L12" s="89"/>
      <c r="M12" s="89"/>
      <c r="N12" s="89"/>
      <c r="O12" s="88">
        <f>(SUBTOTAL(9,O13:O14))</f>
        <v>400</v>
      </c>
      <c r="P12" s="88">
        <f>(SUBTOTAL(9,P13:P14))</f>
        <v>0</v>
      </c>
      <c r="Q12" s="88">
        <f>(SUBTOTAL(9,Q13:Q14))</f>
        <v>0</v>
      </c>
      <c r="R12" s="88">
        <f>(SUBTOTAL(9,R13:R14))</f>
        <v>0</v>
      </c>
      <c r="S12" s="88">
        <f>(SUBTOTAL(9,S13:S14))</f>
        <v>0</v>
      </c>
      <c r="T12" s="88">
        <f>(SUBTOTAL(9,T13:T14))</f>
        <v>0</v>
      </c>
      <c r="U12" s="87">
        <f>SUBTOTAL(9,O13:T14)</f>
        <v>400</v>
      </c>
    </row>
    <row r="13" spans="1:21" ht="17.25" customHeight="1" x14ac:dyDescent="0.3">
      <c r="A13" s="66"/>
      <c r="C13" s="67"/>
      <c r="D13" s="77" t="str">
        <f>D12</f>
        <v>C100025</v>
      </c>
      <c r="E13" s="77"/>
      <c r="F13" s="76"/>
      <c r="G13" s="76" t="str">
        <f>"""NAV Direct"",""CRONUS JetCorp USA"",""32"",""1"",""167109"""</f>
        <v>"NAV Direct","CRONUS JetCorp USA","32","1","167109"</v>
      </c>
      <c r="H13" s="86">
        <v>43466</v>
      </c>
      <c r="I13" s="85">
        <v>167109</v>
      </c>
      <c r="J13" s="84" t="str">
        <f>"Vendor"</f>
        <v>Vendor</v>
      </c>
      <c r="K13" s="84" t="str">
        <f>"V100001"</f>
        <v>V100001</v>
      </c>
      <c r="L13" s="84" t="str">
        <f>IF($J13="Customer",_xll.NL("first",$J13,"Name","No.","@@"&amp;$K13),"")</f>
        <v/>
      </c>
      <c r="M13" s="84" t="str">
        <f>"Greigner, Inc."</f>
        <v>Greigner, Inc.</v>
      </c>
      <c r="N13" s="84" t="str">
        <f>IF($J13="Item",_xll.NL("first",$J13,"Description","No.","@@"&amp;$K13),"")</f>
        <v/>
      </c>
      <c r="O13" s="83">
        <v>400</v>
      </c>
      <c r="P13" s="83">
        <v>0</v>
      </c>
      <c r="Q13" s="83">
        <v>0</v>
      </c>
      <c r="R13" s="83">
        <v>0</v>
      </c>
      <c r="S13" s="83">
        <v>0</v>
      </c>
      <c r="T13" s="83">
        <v>0</v>
      </c>
      <c r="U13" s="82"/>
    </row>
    <row r="14" spans="1:21" ht="17.25" customHeight="1" x14ac:dyDescent="0.3">
      <c r="A14" s="66"/>
      <c r="C14" s="67"/>
      <c r="D14" s="77"/>
      <c r="E14" s="77"/>
      <c r="F14" s="76"/>
      <c r="G14" s="76"/>
      <c r="H14" s="76"/>
      <c r="I14" s="76"/>
      <c r="J14" s="76"/>
      <c r="K14" s="76"/>
      <c r="L14" s="76"/>
      <c r="M14" s="76"/>
      <c r="N14" s="76"/>
      <c r="O14" s="75"/>
      <c r="P14" s="75"/>
      <c r="Q14" s="75"/>
      <c r="R14" s="75"/>
      <c r="S14" s="75"/>
      <c r="T14" s="75"/>
      <c r="U14" s="74"/>
    </row>
    <row r="15" spans="1:21" ht="17.25" customHeight="1" x14ac:dyDescent="0.3">
      <c r="A15" s="66"/>
      <c r="C15" s="67"/>
      <c r="D15" s="77"/>
      <c r="E15" s="77" t="s">
        <v>31</v>
      </c>
      <c r="F15" s="76" t="s">
        <v>31</v>
      </c>
      <c r="G15" s="76" t="s">
        <v>31</v>
      </c>
      <c r="H15" s="76"/>
      <c r="I15" s="76"/>
      <c r="J15" s="76" t="s">
        <v>31</v>
      </c>
      <c r="K15" s="76" t="s">
        <v>31</v>
      </c>
      <c r="L15" s="76" t="s">
        <v>31</v>
      </c>
      <c r="M15" s="76" t="s">
        <v>31</v>
      </c>
      <c r="N15" s="76"/>
      <c r="U15" s="81"/>
    </row>
    <row r="16" spans="1:21" ht="20.25" customHeight="1" x14ac:dyDescent="0.35">
      <c r="A16" s="66" t="s">
        <v>30</v>
      </c>
      <c r="C16" s="67"/>
      <c r="D16" s="92" t="str">
        <f t="shared" ref="D16" si="0">E16</f>
        <v>C100029</v>
      </c>
      <c r="E16" s="91" t="str">
        <f>"C100029"</f>
        <v>C100029</v>
      </c>
      <c r="F16" s="89" t="str">
        <f>"Distressed Twill Visor"</f>
        <v>Distressed Twill Visor</v>
      </c>
      <c r="G16" s="89"/>
      <c r="H16" s="90" t="str">
        <f>"EA"</f>
        <v>EA</v>
      </c>
      <c r="I16" s="89"/>
      <c r="J16" s="89"/>
      <c r="K16" s="89"/>
      <c r="L16" s="89"/>
      <c r="M16" s="89"/>
      <c r="N16" s="89"/>
      <c r="O16" s="88">
        <f>(SUBTOTAL(9,O17:O18))</f>
        <v>0</v>
      </c>
      <c r="P16" s="88">
        <f>(SUBTOTAL(9,P17:P18))</f>
        <v>-144</v>
      </c>
      <c r="Q16" s="88">
        <f>(SUBTOTAL(9,Q17:Q18))</f>
        <v>0</v>
      </c>
      <c r="R16" s="88">
        <f>(SUBTOTAL(9,R17:R18))</f>
        <v>0</v>
      </c>
      <c r="S16" s="88">
        <f>(SUBTOTAL(9,S17:S18))</f>
        <v>0</v>
      </c>
      <c r="T16" s="88">
        <f>(SUBTOTAL(9,T17:T18))</f>
        <v>0</v>
      </c>
      <c r="U16" s="87">
        <f t="shared" ref="U16" si="1">SUBTOTAL(9,O17:T18)</f>
        <v>-144</v>
      </c>
    </row>
    <row r="17" spans="1:21" ht="17.25" customHeight="1" x14ac:dyDescent="0.3">
      <c r="A17" s="66" t="s">
        <v>30</v>
      </c>
      <c r="C17" s="67"/>
      <c r="D17" s="77" t="str">
        <f t="shared" ref="D17" si="2">D16</f>
        <v>C100029</v>
      </c>
      <c r="E17" s="77"/>
      <c r="F17" s="76"/>
      <c r="G17" s="76" t="str">
        <f>"""NAV Direct"",""CRONUS JetCorp USA"",""32"",""1"",""54724"""</f>
        <v>"NAV Direct","CRONUS JetCorp USA","32","1","54724"</v>
      </c>
      <c r="H17" s="86">
        <v>43472</v>
      </c>
      <c r="I17" s="85">
        <v>54724</v>
      </c>
      <c r="J17" s="84" t="str">
        <f>"Customer"</f>
        <v>Customer</v>
      </c>
      <c r="K17" s="84" t="str">
        <f>"C100084"</f>
        <v>C100084</v>
      </c>
      <c r="L17" s="84" t="str">
        <f>IF($J17="Customer",_xll.NL("first",$J17,"Name","No.","@@"&amp;$K17),"")</f>
        <v>The Cannon Group PLC</v>
      </c>
      <c r="M17" s="84" t="str">
        <f>""</f>
        <v/>
      </c>
      <c r="N17" s="84" t="str">
        <f>IF($J17="Item",_xll.NL("first",$J17,"Description","No.","@@"&amp;$K17),"")</f>
        <v/>
      </c>
      <c r="O17" s="83">
        <v>0</v>
      </c>
      <c r="P17" s="83">
        <v>-144</v>
      </c>
      <c r="Q17" s="83">
        <v>0</v>
      </c>
      <c r="R17" s="83">
        <v>0</v>
      </c>
      <c r="S17" s="83">
        <v>0</v>
      </c>
      <c r="T17" s="83">
        <v>0</v>
      </c>
      <c r="U17" s="82"/>
    </row>
    <row r="18" spans="1:21" ht="17.25" customHeight="1" x14ac:dyDescent="0.3">
      <c r="A18" s="66" t="s">
        <v>30</v>
      </c>
      <c r="C18" s="67"/>
      <c r="D18" s="77"/>
      <c r="E18" s="77"/>
      <c r="F18" s="76"/>
      <c r="G18" s="76"/>
      <c r="H18" s="76"/>
      <c r="I18" s="76"/>
      <c r="J18" s="76"/>
      <c r="K18" s="76"/>
      <c r="L18" s="76"/>
      <c r="M18" s="76"/>
      <c r="N18" s="76"/>
      <c r="O18" s="75"/>
      <c r="P18" s="75"/>
      <c r="Q18" s="75"/>
      <c r="R18" s="75"/>
      <c r="S18" s="75"/>
      <c r="T18" s="75"/>
      <c r="U18" s="74"/>
    </row>
    <row r="19" spans="1:21" ht="17.25" customHeight="1" x14ac:dyDescent="0.3">
      <c r="A19" s="66" t="s">
        <v>30</v>
      </c>
      <c r="C19" s="67"/>
      <c r="D19" s="77"/>
      <c r="E19" s="77" t="s">
        <v>31</v>
      </c>
      <c r="F19" s="76" t="s">
        <v>31</v>
      </c>
      <c r="G19" s="76" t="s">
        <v>31</v>
      </c>
      <c r="H19" s="76"/>
      <c r="I19" s="76"/>
      <c r="J19" s="76" t="s">
        <v>31</v>
      </c>
      <c r="K19" s="76" t="s">
        <v>31</v>
      </c>
      <c r="L19" s="76" t="s">
        <v>31</v>
      </c>
      <c r="M19" s="76" t="s">
        <v>31</v>
      </c>
      <c r="N19" s="76"/>
      <c r="U19" s="81"/>
    </row>
    <row r="20" spans="1:21" ht="20.25" customHeight="1" x14ac:dyDescent="0.35">
      <c r="A20" s="66" t="s">
        <v>30</v>
      </c>
      <c r="C20" s="67"/>
      <c r="D20" s="92" t="str">
        <f t="shared" ref="D20" si="3">E20</f>
        <v>C100030</v>
      </c>
      <c r="E20" s="91" t="str">
        <f>"C100030"</f>
        <v>C100030</v>
      </c>
      <c r="F20" s="89" t="str">
        <f>"Fashion Visor"</f>
        <v>Fashion Visor</v>
      </c>
      <c r="G20" s="89"/>
      <c r="H20" s="90" t="str">
        <f>"EA"</f>
        <v>EA</v>
      </c>
      <c r="I20" s="89"/>
      <c r="J20" s="89"/>
      <c r="K20" s="89"/>
      <c r="L20" s="89"/>
      <c r="M20" s="89"/>
      <c r="N20" s="89"/>
      <c r="O20" s="88">
        <f>(SUBTOTAL(9,O21:O23))</f>
        <v>400</v>
      </c>
      <c r="P20" s="88">
        <f>(SUBTOTAL(9,P21:P23))</f>
        <v>-144</v>
      </c>
      <c r="Q20" s="88">
        <f>(SUBTOTAL(9,Q21:Q23))</f>
        <v>0</v>
      </c>
      <c r="R20" s="88">
        <f>(SUBTOTAL(9,R21:R23))</f>
        <v>0</v>
      </c>
      <c r="S20" s="88">
        <f>(SUBTOTAL(9,S21:S23))</f>
        <v>0</v>
      </c>
      <c r="T20" s="88">
        <f>(SUBTOTAL(9,T21:T23))</f>
        <v>0</v>
      </c>
      <c r="U20" s="87">
        <f t="shared" ref="U20" si="4">SUBTOTAL(9,O21:T23)</f>
        <v>256</v>
      </c>
    </row>
    <row r="21" spans="1:21" ht="17.25" customHeight="1" x14ac:dyDescent="0.3">
      <c r="A21" s="66" t="s">
        <v>30</v>
      </c>
      <c r="C21" s="67"/>
      <c r="D21" s="77" t="str">
        <f t="shared" ref="D21" si="5">D20</f>
        <v>C100030</v>
      </c>
      <c r="E21" s="77"/>
      <c r="F21" s="76"/>
      <c r="G21" s="76" t="str">
        <f>"""NAV Direct"",""CRONUS JetCorp USA"",""32"",""1"",""167108"""</f>
        <v>"NAV Direct","CRONUS JetCorp USA","32","1","167108"</v>
      </c>
      <c r="H21" s="86">
        <v>43466</v>
      </c>
      <c r="I21" s="85">
        <v>167108</v>
      </c>
      <c r="J21" s="84" t="str">
        <f>"Vendor"</f>
        <v>Vendor</v>
      </c>
      <c r="K21" s="84" t="str">
        <f>"V100001"</f>
        <v>V100001</v>
      </c>
      <c r="L21" s="84" t="str">
        <f>IF($J21="Customer",_xll.NL("first",$J21,"Name","No.","@@"&amp;$K21),"")</f>
        <v/>
      </c>
      <c r="M21" s="84" t="str">
        <f>"Greigner, Inc."</f>
        <v>Greigner, Inc.</v>
      </c>
      <c r="N21" s="84" t="str">
        <f>IF($J21="Item",_xll.NL("first",$J21,"Description","No.","@@"&amp;$K21),"")</f>
        <v/>
      </c>
      <c r="O21" s="83">
        <v>400</v>
      </c>
      <c r="P21" s="83">
        <v>0</v>
      </c>
      <c r="Q21" s="83">
        <v>0</v>
      </c>
      <c r="R21" s="83">
        <v>0</v>
      </c>
      <c r="S21" s="83">
        <v>0</v>
      </c>
      <c r="T21" s="83">
        <v>0</v>
      </c>
      <c r="U21" s="82"/>
    </row>
    <row r="22" spans="1:21" ht="17.25" customHeight="1" x14ac:dyDescent="0.3">
      <c r="A22" s="66" t="s">
        <v>30</v>
      </c>
      <c r="C22" s="67"/>
      <c r="D22" s="77" t="str">
        <f t="shared" ref="D22" si="6">D21</f>
        <v>C100030</v>
      </c>
      <c r="E22" s="77"/>
      <c r="F22" s="76"/>
      <c r="G22" s="76" t="str">
        <f>"""NAV Direct"",""CRONUS JetCorp USA"",""32"",""1"",""54720"""</f>
        <v>"NAV Direct","CRONUS JetCorp USA","32","1","54720"</v>
      </c>
      <c r="H22" s="86">
        <v>43472</v>
      </c>
      <c r="I22" s="85">
        <v>54720</v>
      </c>
      <c r="J22" s="84" t="str">
        <f>"Customer"</f>
        <v>Customer</v>
      </c>
      <c r="K22" s="84" t="str">
        <f>"C100084"</f>
        <v>C100084</v>
      </c>
      <c r="L22" s="84" t="str">
        <f>IF($J22="Customer",_xll.NL("first",$J22,"Name","No.","@@"&amp;$K22),"")</f>
        <v>The Cannon Group PLC</v>
      </c>
      <c r="M22" s="84" t="str">
        <f>""</f>
        <v/>
      </c>
      <c r="N22" s="84" t="str">
        <f>IF($J22="Item",_xll.NL("first",$J22,"Description","No.","@@"&amp;$K22),"")</f>
        <v/>
      </c>
      <c r="O22" s="83">
        <v>0</v>
      </c>
      <c r="P22" s="83">
        <v>-144</v>
      </c>
      <c r="Q22" s="83">
        <v>0</v>
      </c>
      <c r="R22" s="83">
        <v>0</v>
      </c>
      <c r="S22" s="83">
        <v>0</v>
      </c>
      <c r="T22" s="83">
        <v>0</v>
      </c>
      <c r="U22" s="82"/>
    </row>
    <row r="23" spans="1:21" ht="17.25" customHeight="1" x14ac:dyDescent="0.3">
      <c r="A23" s="66" t="s">
        <v>30</v>
      </c>
      <c r="C23" s="67"/>
      <c r="D23" s="77"/>
      <c r="E23" s="77"/>
      <c r="F23" s="76"/>
      <c r="G23" s="76"/>
      <c r="H23" s="76"/>
      <c r="I23" s="76"/>
      <c r="J23" s="76"/>
      <c r="K23" s="76"/>
      <c r="L23" s="76"/>
      <c r="M23" s="76"/>
      <c r="N23" s="76"/>
      <c r="O23" s="75"/>
      <c r="P23" s="75"/>
      <c r="Q23" s="75"/>
      <c r="R23" s="75"/>
      <c r="S23" s="75"/>
      <c r="T23" s="75"/>
      <c r="U23" s="74"/>
    </row>
    <row r="24" spans="1:21" ht="17.25" customHeight="1" x14ac:dyDescent="0.3">
      <c r="A24" s="66" t="s">
        <v>30</v>
      </c>
      <c r="C24" s="67"/>
      <c r="D24" s="77"/>
      <c r="E24" s="77" t="s">
        <v>31</v>
      </c>
      <c r="F24" s="76" t="s">
        <v>31</v>
      </c>
      <c r="G24" s="76" t="s">
        <v>31</v>
      </c>
      <c r="H24" s="76"/>
      <c r="I24" s="76"/>
      <c r="J24" s="76" t="s">
        <v>31</v>
      </c>
      <c r="K24" s="76" t="s">
        <v>31</v>
      </c>
      <c r="L24" s="76" t="s">
        <v>31</v>
      </c>
      <c r="M24" s="76" t="s">
        <v>31</v>
      </c>
      <c r="N24" s="76"/>
      <c r="U24" s="81"/>
    </row>
    <row r="25" spans="1:21" ht="20.25" customHeight="1" x14ac:dyDescent="0.35">
      <c r="A25" s="66" t="s">
        <v>30</v>
      </c>
      <c r="C25" s="67"/>
      <c r="D25" s="92" t="str">
        <f t="shared" ref="D25" si="7">E25</f>
        <v>C100033</v>
      </c>
      <c r="E25" s="91" t="str">
        <f>"C100033"</f>
        <v>C100033</v>
      </c>
      <c r="F25" s="89" t="str">
        <f>"Frames &amp; Clock"</f>
        <v>Frames &amp; Clock</v>
      </c>
      <c r="G25" s="89"/>
      <c r="H25" s="90" t="str">
        <f>"EA"</f>
        <v>EA</v>
      </c>
      <c r="I25" s="89"/>
      <c r="J25" s="89"/>
      <c r="K25" s="89"/>
      <c r="L25" s="89"/>
      <c r="M25" s="89"/>
      <c r="N25" s="89"/>
      <c r="O25" s="88">
        <f>(SUBTOTAL(9,O26:O27))</f>
        <v>200</v>
      </c>
      <c r="P25" s="88">
        <f>(SUBTOTAL(9,P26:P27))</f>
        <v>0</v>
      </c>
      <c r="Q25" s="88">
        <f>(SUBTOTAL(9,Q26:Q27))</f>
        <v>0</v>
      </c>
      <c r="R25" s="88">
        <f>(SUBTOTAL(9,R26:R27))</f>
        <v>0</v>
      </c>
      <c r="S25" s="88">
        <f>(SUBTOTAL(9,S26:S27))</f>
        <v>0</v>
      </c>
      <c r="T25" s="88">
        <f>(SUBTOTAL(9,T26:T27))</f>
        <v>0</v>
      </c>
      <c r="U25" s="87">
        <f t="shared" ref="U25" si="8">SUBTOTAL(9,O26:T27)</f>
        <v>200</v>
      </c>
    </row>
    <row r="26" spans="1:21" ht="17.25" customHeight="1" x14ac:dyDescent="0.3">
      <c r="A26" s="66" t="s">
        <v>30</v>
      </c>
      <c r="C26" s="67"/>
      <c r="D26" s="77" t="str">
        <f t="shared" ref="D26" si="9">D25</f>
        <v>C100033</v>
      </c>
      <c r="E26" s="77"/>
      <c r="F26" s="76"/>
      <c r="G26" s="76" t="str">
        <f>"""NAV Direct"",""CRONUS JetCorp USA"",""32"",""1"",""167548"""</f>
        <v>"NAV Direct","CRONUS JetCorp USA","32","1","167548"</v>
      </c>
      <c r="H26" s="86">
        <v>43466</v>
      </c>
      <c r="I26" s="85">
        <v>167548</v>
      </c>
      <c r="J26" s="84" t="str">
        <f>"Vendor"</f>
        <v>Vendor</v>
      </c>
      <c r="K26" s="84" t="str">
        <f>"V100001"</f>
        <v>V100001</v>
      </c>
      <c r="L26" s="84" t="str">
        <f>IF($J26="Customer",_xll.NL("first",$J26,"Name","No.","@@"&amp;$K26),"")</f>
        <v/>
      </c>
      <c r="M26" s="84" t="str">
        <f>"Greigner, Inc."</f>
        <v>Greigner, Inc.</v>
      </c>
      <c r="N26" s="84" t="str">
        <f>IF($J26="Item",_xll.NL("first",$J26,"Description","No.","@@"&amp;$K26),"")</f>
        <v/>
      </c>
      <c r="O26" s="83">
        <v>200</v>
      </c>
      <c r="P26" s="83">
        <v>0</v>
      </c>
      <c r="Q26" s="83">
        <v>0</v>
      </c>
      <c r="R26" s="83">
        <v>0</v>
      </c>
      <c r="S26" s="83">
        <v>0</v>
      </c>
      <c r="T26" s="83">
        <v>0</v>
      </c>
      <c r="U26" s="82"/>
    </row>
    <row r="27" spans="1:21" ht="17.25" customHeight="1" x14ac:dyDescent="0.3">
      <c r="A27" s="66" t="s">
        <v>30</v>
      </c>
      <c r="C27" s="67"/>
      <c r="D27" s="77"/>
      <c r="E27" s="77"/>
      <c r="F27" s="76"/>
      <c r="G27" s="76"/>
      <c r="H27" s="76"/>
      <c r="I27" s="76"/>
      <c r="J27" s="76"/>
      <c r="K27" s="76"/>
      <c r="L27" s="76"/>
      <c r="M27" s="76"/>
      <c r="N27" s="76"/>
      <c r="O27" s="75"/>
      <c r="P27" s="75"/>
      <c r="Q27" s="75"/>
      <c r="R27" s="75"/>
      <c r="S27" s="75"/>
      <c r="T27" s="75"/>
      <c r="U27" s="74"/>
    </row>
    <row r="28" spans="1:21" ht="17.25" customHeight="1" x14ac:dyDescent="0.3">
      <c r="A28" s="66" t="s">
        <v>30</v>
      </c>
      <c r="C28" s="67"/>
      <c r="D28" s="77"/>
      <c r="E28" s="77" t="s">
        <v>31</v>
      </c>
      <c r="F28" s="76" t="s">
        <v>31</v>
      </c>
      <c r="G28" s="76" t="s">
        <v>31</v>
      </c>
      <c r="H28" s="76"/>
      <c r="I28" s="76"/>
      <c r="J28" s="76" t="s">
        <v>31</v>
      </c>
      <c r="K28" s="76" t="s">
        <v>31</v>
      </c>
      <c r="L28" s="76" t="s">
        <v>31</v>
      </c>
      <c r="M28" s="76" t="s">
        <v>31</v>
      </c>
      <c r="N28" s="76"/>
      <c r="U28" s="81"/>
    </row>
    <row r="29" spans="1:21" ht="20.25" customHeight="1" x14ac:dyDescent="0.35">
      <c r="A29" s="66" t="s">
        <v>30</v>
      </c>
      <c r="C29" s="67"/>
      <c r="D29" s="92" t="str">
        <f t="shared" ref="D29" si="10">E29</f>
        <v>C100035</v>
      </c>
      <c r="E29" s="91" t="str">
        <f>"C100035"</f>
        <v>C100035</v>
      </c>
      <c r="F29" s="89" t="str">
        <f>"Calculator &amp; World Time Clock"</f>
        <v>Calculator &amp; World Time Clock</v>
      </c>
      <c r="G29" s="89"/>
      <c r="H29" s="90" t="str">
        <f>"EA"</f>
        <v>EA</v>
      </c>
      <c r="I29" s="89"/>
      <c r="J29" s="89"/>
      <c r="K29" s="89"/>
      <c r="L29" s="89"/>
      <c r="M29" s="89"/>
      <c r="N29" s="89"/>
      <c r="O29" s="88">
        <f>(SUBTOTAL(9,O30:O31))</f>
        <v>0</v>
      </c>
      <c r="P29" s="88">
        <f>(SUBTOTAL(9,P30:P31))</f>
        <v>-144</v>
      </c>
      <c r="Q29" s="88">
        <f>(SUBTOTAL(9,Q30:Q31))</f>
        <v>0</v>
      </c>
      <c r="R29" s="88">
        <f>(SUBTOTAL(9,R30:R31))</f>
        <v>0</v>
      </c>
      <c r="S29" s="88">
        <f>(SUBTOTAL(9,S30:S31))</f>
        <v>0</v>
      </c>
      <c r="T29" s="88">
        <f>(SUBTOTAL(9,T30:T31))</f>
        <v>0</v>
      </c>
      <c r="U29" s="87">
        <f t="shared" ref="U29" si="11">SUBTOTAL(9,O30:T31)</f>
        <v>-144</v>
      </c>
    </row>
    <row r="30" spans="1:21" ht="17.25" customHeight="1" x14ac:dyDescent="0.3">
      <c r="A30" s="66" t="s">
        <v>30</v>
      </c>
      <c r="C30" s="67"/>
      <c r="D30" s="77" t="str">
        <f t="shared" ref="D30" si="12">D29</f>
        <v>C100035</v>
      </c>
      <c r="E30" s="77"/>
      <c r="F30" s="76"/>
      <c r="G30" s="76" t="str">
        <f>"""NAV Direct"",""CRONUS JetCorp USA"",""32"",""1"",""54727"""</f>
        <v>"NAV Direct","CRONUS JetCorp USA","32","1","54727"</v>
      </c>
      <c r="H30" s="86">
        <v>43472</v>
      </c>
      <c r="I30" s="85">
        <v>54727</v>
      </c>
      <c r="J30" s="84" t="str">
        <f>"Customer"</f>
        <v>Customer</v>
      </c>
      <c r="K30" s="84" t="str">
        <f>"C100084"</f>
        <v>C100084</v>
      </c>
      <c r="L30" s="84" t="str">
        <f>IF($J30="Customer",_xll.NL("first",$J30,"Name","No.","@@"&amp;$K30),"")</f>
        <v>The Cannon Group PLC</v>
      </c>
      <c r="M30" s="84" t="str">
        <f>""</f>
        <v/>
      </c>
      <c r="N30" s="84" t="str">
        <f>IF($J30="Item",_xll.NL("first",$J30,"Description","No.","@@"&amp;$K30),"")</f>
        <v/>
      </c>
      <c r="O30" s="83">
        <v>0</v>
      </c>
      <c r="P30" s="83">
        <v>-144</v>
      </c>
      <c r="Q30" s="83">
        <v>0</v>
      </c>
      <c r="R30" s="83">
        <v>0</v>
      </c>
      <c r="S30" s="83">
        <v>0</v>
      </c>
      <c r="T30" s="83">
        <v>0</v>
      </c>
      <c r="U30" s="82"/>
    </row>
    <row r="31" spans="1:21" ht="17.25" customHeight="1" x14ac:dyDescent="0.3">
      <c r="A31" s="66" t="s">
        <v>30</v>
      </c>
      <c r="C31" s="67"/>
      <c r="D31" s="77"/>
      <c r="E31" s="77"/>
      <c r="F31" s="76"/>
      <c r="G31" s="76"/>
      <c r="H31" s="76"/>
      <c r="I31" s="76"/>
      <c r="J31" s="76"/>
      <c r="K31" s="76"/>
      <c r="L31" s="76"/>
      <c r="M31" s="76"/>
      <c r="N31" s="76"/>
      <c r="O31" s="75"/>
      <c r="P31" s="75"/>
      <c r="Q31" s="75"/>
      <c r="R31" s="75"/>
      <c r="S31" s="75"/>
      <c r="T31" s="75"/>
      <c r="U31" s="74"/>
    </row>
    <row r="32" spans="1:21" ht="17.25" customHeight="1" x14ac:dyDescent="0.3">
      <c r="A32" s="66" t="s">
        <v>30</v>
      </c>
      <c r="C32" s="67"/>
      <c r="D32" s="77"/>
      <c r="E32" s="77" t="s">
        <v>31</v>
      </c>
      <c r="F32" s="76" t="s">
        <v>31</v>
      </c>
      <c r="G32" s="76" t="s">
        <v>31</v>
      </c>
      <c r="H32" s="76"/>
      <c r="I32" s="76"/>
      <c r="J32" s="76" t="s">
        <v>31</v>
      </c>
      <c r="K32" s="76" t="s">
        <v>31</v>
      </c>
      <c r="L32" s="76" t="s">
        <v>31</v>
      </c>
      <c r="M32" s="76" t="s">
        <v>31</v>
      </c>
      <c r="N32" s="76"/>
      <c r="U32" s="81"/>
    </row>
    <row r="33" spans="1:21" ht="20.25" customHeight="1" x14ac:dyDescent="0.35">
      <c r="A33" s="66" t="s">
        <v>30</v>
      </c>
      <c r="C33" s="67"/>
      <c r="D33" s="92" t="str">
        <f t="shared" ref="D33" si="13">E33</f>
        <v>C100042</v>
      </c>
      <c r="E33" s="91" t="str">
        <f>"C100042"</f>
        <v>C100042</v>
      </c>
      <c r="F33" s="89" t="str">
        <f>"Retractable Earbuds"</f>
        <v>Retractable Earbuds</v>
      </c>
      <c r="G33" s="89"/>
      <c r="H33" s="90" t="str">
        <f>"EA"</f>
        <v>EA</v>
      </c>
      <c r="I33" s="89"/>
      <c r="J33" s="89"/>
      <c r="K33" s="89"/>
      <c r="L33" s="89"/>
      <c r="M33" s="89"/>
      <c r="N33" s="89"/>
      <c r="O33" s="88">
        <f>(SUBTOTAL(9,O34:O35))</f>
        <v>200</v>
      </c>
      <c r="P33" s="88">
        <f>(SUBTOTAL(9,P34:P35))</f>
        <v>0</v>
      </c>
      <c r="Q33" s="88">
        <f>(SUBTOTAL(9,Q34:Q35))</f>
        <v>0</v>
      </c>
      <c r="R33" s="88">
        <f>(SUBTOTAL(9,R34:R35))</f>
        <v>0</v>
      </c>
      <c r="S33" s="88">
        <f>(SUBTOTAL(9,S34:S35))</f>
        <v>0</v>
      </c>
      <c r="T33" s="88">
        <f>(SUBTOTAL(9,T34:T35))</f>
        <v>0</v>
      </c>
      <c r="U33" s="87">
        <f t="shared" ref="U33" si="14">SUBTOTAL(9,O34:T35)</f>
        <v>200</v>
      </c>
    </row>
    <row r="34" spans="1:21" ht="17.25" customHeight="1" x14ac:dyDescent="0.3">
      <c r="A34" s="66" t="s">
        <v>30</v>
      </c>
      <c r="C34" s="67"/>
      <c r="D34" s="77" t="str">
        <f t="shared" ref="D34" si="15">D33</f>
        <v>C100042</v>
      </c>
      <c r="E34" s="77"/>
      <c r="F34" s="76"/>
      <c r="G34" s="76" t="str">
        <f>"""NAV Direct"",""CRONUS JetCorp USA"",""32"",""1"",""168020"""</f>
        <v>"NAV Direct","CRONUS JetCorp USA","32","1","168020"</v>
      </c>
      <c r="H34" s="86">
        <v>43466</v>
      </c>
      <c r="I34" s="85">
        <v>168020</v>
      </c>
      <c r="J34" s="84" t="str">
        <f>"Vendor"</f>
        <v>Vendor</v>
      </c>
      <c r="K34" s="84" t="str">
        <f>"V100001"</f>
        <v>V100001</v>
      </c>
      <c r="L34" s="84" t="str">
        <f>IF($J34="Customer",_xll.NL("first",$J34,"Name","No.","@@"&amp;$K34),"")</f>
        <v/>
      </c>
      <c r="M34" s="84" t="str">
        <f>"Greigner, Inc."</f>
        <v>Greigner, Inc.</v>
      </c>
      <c r="N34" s="84" t="str">
        <f>IF($J34="Item",_xll.NL("first",$J34,"Description","No.","@@"&amp;$K34),"")</f>
        <v/>
      </c>
      <c r="O34" s="83">
        <v>200</v>
      </c>
      <c r="P34" s="83">
        <v>0</v>
      </c>
      <c r="Q34" s="83">
        <v>0</v>
      </c>
      <c r="R34" s="83">
        <v>0</v>
      </c>
      <c r="S34" s="83">
        <v>0</v>
      </c>
      <c r="T34" s="83">
        <v>0</v>
      </c>
      <c r="U34" s="82"/>
    </row>
    <row r="35" spans="1:21" ht="17.25" customHeight="1" x14ac:dyDescent="0.3">
      <c r="A35" s="66" t="s">
        <v>30</v>
      </c>
      <c r="C35" s="67"/>
      <c r="D35" s="77"/>
      <c r="E35" s="77"/>
      <c r="F35" s="76"/>
      <c r="G35" s="76"/>
      <c r="H35" s="76"/>
      <c r="I35" s="76"/>
      <c r="J35" s="76"/>
      <c r="K35" s="76"/>
      <c r="L35" s="76"/>
      <c r="M35" s="76"/>
      <c r="N35" s="76"/>
      <c r="O35" s="75"/>
      <c r="P35" s="75"/>
      <c r="Q35" s="75"/>
      <c r="R35" s="75"/>
      <c r="S35" s="75"/>
      <c r="T35" s="75"/>
      <c r="U35" s="74"/>
    </row>
    <row r="36" spans="1:21" ht="17.25" customHeight="1" x14ac:dyDescent="0.3">
      <c r="A36" s="66" t="s">
        <v>30</v>
      </c>
      <c r="C36" s="67"/>
      <c r="D36" s="77"/>
      <c r="E36" s="77" t="s">
        <v>31</v>
      </c>
      <c r="F36" s="76" t="s">
        <v>31</v>
      </c>
      <c r="G36" s="76" t="s">
        <v>31</v>
      </c>
      <c r="H36" s="76"/>
      <c r="I36" s="76"/>
      <c r="J36" s="76" t="s">
        <v>31</v>
      </c>
      <c r="K36" s="76" t="s">
        <v>31</v>
      </c>
      <c r="L36" s="76" t="s">
        <v>31</v>
      </c>
      <c r="M36" s="76" t="s">
        <v>31</v>
      </c>
      <c r="N36" s="76"/>
      <c r="U36" s="81"/>
    </row>
    <row r="37" spans="1:21" ht="20.25" customHeight="1" x14ac:dyDescent="0.35">
      <c r="A37" s="66" t="s">
        <v>30</v>
      </c>
      <c r="C37" s="67"/>
      <c r="D37" s="92" t="str">
        <f t="shared" ref="D37" si="16">E37</f>
        <v>C100062</v>
      </c>
      <c r="E37" s="91" t="str">
        <f>"C100062"</f>
        <v>C100062</v>
      </c>
      <c r="F37" s="89" t="str">
        <f>"Tall Matte Finish Mug"</f>
        <v>Tall Matte Finish Mug</v>
      </c>
      <c r="G37" s="89"/>
      <c r="H37" s="90" t="str">
        <f>"EA"</f>
        <v>EA</v>
      </c>
      <c r="I37" s="89"/>
      <c r="J37" s="89"/>
      <c r="K37" s="89"/>
      <c r="L37" s="89"/>
      <c r="M37" s="89"/>
      <c r="N37" s="89"/>
      <c r="O37" s="88">
        <f>(SUBTOTAL(9,O38:O39))</f>
        <v>0</v>
      </c>
      <c r="P37" s="88">
        <f>(SUBTOTAL(9,P38:P39))</f>
        <v>-144</v>
      </c>
      <c r="Q37" s="88">
        <f>(SUBTOTAL(9,Q38:Q39))</f>
        <v>0</v>
      </c>
      <c r="R37" s="88">
        <f>(SUBTOTAL(9,R38:R39))</f>
        <v>0</v>
      </c>
      <c r="S37" s="88">
        <f>(SUBTOTAL(9,S38:S39))</f>
        <v>0</v>
      </c>
      <c r="T37" s="88">
        <f>(SUBTOTAL(9,T38:T39))</f>
        <v>0</v>
      </c>
      <c r="U37" s="87">
        <f t="shared" ref="U37" si="17">SUBTOTAL(9,O38:T39)</f>
        <v>-144</v>
      </c>
    </row>
    <row r="38" spans="1:21" ht="17.25" customHeight="1" x14ac:dyDescent="0.3">
      <c r="A38" s="66" t="s">
        <v>30</v>
      </c>
      <c r="C38" s="67"/>
      <c r="D38" s="77" t="str">
        <f t="shared" ref="D38" si="18">D37</f>
        <v>C100062</v>
      </c>
      <c r="E38" s="77"/>
      <c r="F38" s="76"/>
      <c r="G38" s="76" t="str">
        <f>"""NAV Direct"",""CRONUS JetCorp USA"",""32"",""1"",""54736"""</f>
        <v>"NAV Direct","CRONUS JetCorp USA","32","1","54736"</v>
      </c>
      <c r="H38" s="86">
        <v>43472</v>
      </c>
      <c r="I38" s="85">
        <v>54736</v>
      </c>
      <c r="J38" s="84" t="str">
        <f>"Customer"</f>
        <v>Customer</v>
      </c>
      <c r="K38" s="84" t="str">
        <f>"C100084"</f>
        <v>C100084</v>
      </c>
      <c r="L38" s="84" t="str">
        <f>IF($J38="Customer",_xll.NL("first",$J38,"Name","No.","@@"&amp;$K38),"")</f>
        <v>The Cannon Group PLC</v>
      </c>
      <c r="M38" s="84" t="str">
        <f>""</f>
        <v/>
      </c>
      <c r="N38" s="84" t="str">
        <f>IF($J38="Item",_xll.NL("first",$J38,"Description","No.","@@"&amp;$K38),"")</f>
        <v/>
      </c>
      <c r="O38" s="83">
        <v>0</v>
      </c>
      <c r="P38" s="83">
        <v>-144</v>
      </c>
      <c r="Q38" s="83">
        <v>0</v>
      </c>
      <c r="R38" s="83">
        <v>0</v>
      </c>
      <c r="S38" s="83">
        <v>0</v>
      </c>
      <c r="T38" s="83">
        <v>0</v>
      </c>
      <c r="U38" s="82"/>
    </row>
    <row r="39" spans="1:21" ht="17.25" customHeight="1" x14ac:dyDescent="0.3">
      <c r="A39" s="66" t="s">
        <v>30</v>
      </c>
      <c r="C39" s="67"/>
      <c r="D39" s="77"/>
      <c r="E39" s="77"/>
      <c r="F39" s="76"/>
      <c r="G39" s="76"/>
      <c r="H39" s="76"/>
      <c r="I39" s="76"/>
      <c r="J39" s="76"/>
      <c r="K39" s="76"/>
      <c r="L39" s="76"/>
      <c r="M39" s="76"/>
      <c r="N39" s="76"/>
      <c r="O39" s="75"/>
      <c r="P39" s="75"/>
      <c r="Q39" s="75"/>
      <c r="R39" s="75"/>
      <c r="S39" s="75"/>
      <c r="T39" s="75"/>
      <c r="U39" s="74"/>
    </row>
    <row r="40" spans="1:21" ht="17.25" customHeight="1" x14ac:dyDescent="0.3">
      <c r="A40" s="66" t="s">
        <v>30</v>
      </c>
      <c r="C40" s="67"/>
      <c r="D40" s="77"/>
      <c r="E40" s="77" t="s">
        <v>31</v>
      </c>
      <c r="F40" s="76" t="s">
        <v>31</v>
      </c>
      <c r="G40" s="76" t="s">
        <v>31</v>
      </c>
      <c r="H40" s="76"/>
      <c r="I40" s="76"/>
      <c r="J40" s="76" t="s">
        <v>31</v>
      </c>
      <c r="K40" s="76" t="s">
        <v>31</v>
      </c>
      <c r="L40" s="76" t="s">
        <v>31</v>
      </c>
      <c r="M40" s="76" t="s">
        <v>31</v>
      </c>
      <c r="N40" s="76"/>
      <c r="U40" s="81"/>
    </row>
    <row r="41" spans="1:21" ht="20.25" customHeight="1" x14ac:dyDescent="0.35">
      <c r="A41" s="66" t="s">
        <v>30</v>
      </c>
      <c r="C41" s="67"/>
      <c r="D41" s="92" t="str">
        <f t="shared" ref="D41" si="19">E41</f>
        <v>E100001</v>
      </c>
      <c r="E41" s="91" t="str">
        <f>"E100001"</f>
        <v>E100001</v>
      </c>
      <c r="F41" s="89" t="str">
        <f>"Sport Bag"</f>
        <v>Sport Bag</v>
      </c>
      <c r="G41" s="89"/>
      <c r="H41" s="90" t="str">
        <f>"EA"</f>
        <v>EA</v>
      </c>
      <c r="I41" s="89"/>
      <c r="J41" s="89"/>
      <c r="K41" s="89"/>
      <c r="L41" s="89"/>
      <c r="M41" s="89"/>
      <c r="N41" s="89"/>
      <c r="O41" s="88">
        <f>(SUBTOTAL(9,O42:O43))</f>
        <v>200</v>
      </c>
      <c r="P41" s="88">
        <f>(SUBTOTAL(9,P42:P43))</f>
        <v>0</v>
      </c>
      <c r="Q41" s="88">
        <f>(SUBTOTAL(9,Q42:Q43))</f>
        <v>0</v>
      </c>
      <c r="R41" s="88">
        <f>(SUBTOTAL(9,R42:R43))</f>
        <v>0</v>
      </c>
      <c r="S41" s="88">
        <f>(SUBTOTAL(9,S42:S43))</f>
        <v>0</v>
      </c>
      <c r="T41" s="88">
        <f>(SUBTOTAL(9,T42:T43))</f>
        <v>0</v>
      </c>
      <c r="U41" s="87">
        <f t="shared" ref="U41" si="20">SUBTOTAL(9,O42:T43)</f>
        <v>200</v>
      </c>
    </row>
    <row r="42" spans="1:21" ht="17.25" customHeight="1" x14ac:dyDescent="0.3">
      <c r="A42" s="66" t="s">
        <v>30</v>
      </c>
      <c r="C42" s="67"/>
      <c r="D42" s="77" t="str">
        <f t="shared" ref="D42" si="21">D41</f>
        <v>E100001</v>
      </c>
      <c r="E42" s="77"/>
      <c r="F42" s="76"/>
      <c r="G42" s="76" t="str">
        <f>"""NAV Direct"",""CRONUS JetCorp USA"",""32"",""1"",""166755"""</f>
        <v>"NAV Direct","CRONUS JetCorp USA","32","1","166755"</v>
      </c>
      <c r="H42" s="86">
        <v>43466</v>
      </c>
      <c r="I42" s="85">
        <v>166755</v>
      </c>
      <c r="J42" s="84" t="str">
        <f>"Vendor"</f>
        <v>Vendor</v>
      </c>
      <c r="K42" s="84" t="str">
        <f>"V100001"</f>
        <v>V100001</v>
      </c>
      <c r="L42" s="84" t="str">
        <f>IF($J42="Customer",_xll.NL("first",$J42,"Name","No.","@@"&amp;$K42),"")</f>
        <v/>
      </c>
      <c r="M42" s="84" t="str">
        <f>"Greigner, Inc."</f>
        <v>Greigner, Inc.</v>
      </c>
      <c r="N42" s="84" t="str">
        <f>IF($J42="Item",_xll.NL("first",$J42,"Description","No.","@@"&amp;$K42),"")</f>
        <v/>
      </c>
      <c r="O42" s="83">
        <v>200</v>
      </c>
      <c r="P42" s="83">
        <v>0</v>
      </c>
      <c r="Q42" s="83">
        <v>0</v>
      </c>
      <c r="R42" s="83">
        <v>0</v>
      </c>
      <c r="S42" s="83">
        <v>0</v>
      </c>
      <c r="T42" s="83">
        <v>0</v>
      </c>
      <c r="U42" s="82"/>
    </row>
    <row r="43" spans="1:21" ht="17.25" customHeight="1" x14ac:dyDescent="0.3">
      <c r="A43" s="66" t="s">
        <v>30</v>
      </c>
      <c r="C43" s="67"/>
      <c r="D43" s="77"/>
      <c r="E43" s="77"/>
      <c r="F43" s="76"/>
      <c r="G43" s="76"/>
      <c r="H43" s="76"/>
      <c r="I43" s="76"/>
      <c r="J43" s="76"/>
      <c r="K43" s="76"/>
      <c r="L43" s="76"/>
      <c r="M43" s="76"/>
      <c r="N43" s="76"/>
      <c r="O43" s="75"/>
      <c r="P43" s="75"/>
      <c r="Q43" s="75"/>
      <c r="R43" s="75"/>
      <c r="S43" s="75"/>
      <c r="T43" s="75"/>
      <c r="U43" s="74"/>
    </row>
    <row r="44" spans="1:21" ht="17.25" customHeight="1" x14ac:dyDescent="0.3">
      <c r="A44" s="66" t="s">
        <v>30</v>
      </c>
      <c r="C44" s="67"/>
      <c r="D44" s="77"/>
      <c r="E44" s="77" t="s">
        <v>31</v>
      </c>
      <c r="F44" s="76" t="s">
        <v>31</v>
      </c>
      <c r="G44" s="76" t="s">
        <v>31</v>
      </c>
      <c r="H44" s="76"/>
      <c r="I44" s="76"/>
      <c r="J44" s="76" t="s">
        <v>31</v>
      </c>
      <c r="K44" s="76" t="s">
        <v>31</v>
      </c>
      <c r="L44" s="76" t="s">
        <v>31</v>
      </c>
      <c r="M44" s="76" t="s">
        <v>31</v>
      </c>
      <c r="N44" s="76"/>
      <c r="U44" s="81"/>
    </row>
    <row r="45" spans="1:21" ht="20.25" customHeight="1" x14ac:dyDescent="0.35">
      <c r="A45" s="66" t="s">
        <v>30</v>
      </c>
      <c r="C45" s="67"/>
      <c r="D45" s="92" t="str">
        <f t="shared" ref="D45" si="22">E45</f>
        <v>E100002</v>
      </c>
      <c r="E45" s="91" t="str">
        <f>"E100002"</f>
        <v>E100002</v>
      </c>
      <c r="F45" s="89" t="str">
        <f>"Cotton Classic Tote"</f>
        <v>Cotton Classic Tote</v>
      </c>
      <c r="G45" s="89"/>
      <c r="H45" s="90" t="str">
        <f>"EA"</f>
        <v>EA</v>
      </c>
      <c r="I45" s="89"/>
      <c r="J45" s="89"/>
      <c r="K45" s="89"/>
      <c r="L45" s="89"/>
      <c r="M45" s="89"/>
      <c r="N45" s="89"/>
      <c r="O45" s="88">
        <f>(SUBTOTAL(9,O46:O48))</f>
        <v>400</v>
      </c>
      <c r="P45" s="88">
        <f>(SUBTOTAL(9,P46:P48))</f>
        <v>-288</v>
      </c>
      <c r="Q45" s="88">
        <f>(SUBTOTAL(9,Q46:Q48))</f>
        <v>0</v>
      </c>
      <c r="R45" s="88">
        <f>(SUBTOTAL(9,R46:R48))</f>
        <v>0</v>
      </c>
      <c r="S45" s="88">
        <f>(SUBTOTAL(9,S46:S48))</f>
        <v>0</v>
      </c>
      <c r="T45" s="88">
        <f>(SUBTOTAL(9,T46:T48))</f>
        <v>0</v>
      </c>
      <c r="U45" s="87">
        <f t="shared" ref="U45" si="23">SUBTOTAL(9,O46:T48)</f>
        <v>112</v>
      </c>
    </row>
    <row r="46" spans="1:21" ht="17.25" customHeight="1" x14ac:dyDescent="0.3">
      <c r="A46" s="66" t="s">
        <v>30</v>
      </c>
      <c r="C46" s="67"/>
      <c r="D46" s="77" t="str">
        <f t="shared" ref="D46" si="24">D45</f>
        <v>E100002</v>
      </c>
      <c r="E46" s="77"/>
      <c r="F46" s="76"/>
      <c r="G46" s="76" t="str">
        <f>"""NAV Direct"",""CRONUS JetCorp USA"",""32"",""1"",""166754"""</f>
        <v>"NAV Direct","CRONUS JetCorp USA","32","1","166754"</v>
      </c>
      <c r="H46" s="86">
        <v>43466</v>
      </c>
      <c r="I46" s="85">
        <v>166754</v>
      </c>
      <c r="J46" s="84" t="str">
        <f>"Vendor"</f>
        <v>Vendor</v>
      </c>
      <c r="K46" s="84" t="str">
        <f>"V100001"</f>
        <v>V100001</v>
      </c>
      <c r="L46" s="84" t="str">
        <f>IF($J46="Customer",_xll.NL("first",$J46,"Name","No.","@@"&amp;$K46),"")</f>
        <v/>
      </c>
      <c r="M46" s="84" t="str">
        <f>"Greigner, Inc."</f>
        <v>Greigner, Inc.</v>
      </c>
      <c r="N46" s="84" t="str">
        <f>IF($J46="Item",_xll.NL("first",$J46,"Description","No.","@@"&amp;$K46),"")</f>
        <v/>
      </c>
      <c r="O46" s="83">
        <v>400</v>
      </c>
      <c r="P46" s="83">
        <v>0</v>
      </c>
      <c r="Q46" s="83">
        <v>0</v>
      </c>
      <c r="R46" s="83">
        <v>0</v>
      </c>
      <c r="S46" s="83">
        <v>0</v>
      </c>
      <c r="T46" s="83">
        <v>0</v>
      </c>
      <c r="U46" s="82"/>
    </row>
    <row r="47" spans="1:21" ht="17.25" customHeight="1" x14ac:dyDescent="0.3">
      <c r="A47" s="66" t="s">
        <v>30</v>
      </c>
      <c r="C47" s="67"/>
      <c r="D47" s="77" t="str">
        <f t="shared" ref="D47" si="25">D46</f>
        <v>E100002</v>
      </c>
      <c r="E47" s="77"/>
      <c r="F47" s="76"/>
      <c r="G47" s="76" t="str">
        <f>"""NAV Direct"",""CRONUS JetCorp USA"",""32"",""1"",""54729"""</f>
        <v>"NAV Direct","CRONUS JetCorp USA","32","1","54729"</v>
      </c>
      <c r="H47" s="86">
        <v>43472</v>
      </c>
      <c r="I47" s="85">
        <v>54729</v>
      </c>
      <c r="J47" s="84" t="str">
        <f>"Customer"</f>
        <v>Customer</v>
      </c>
      <c r="K47" s="84" t="str">
        <f>"C100084"</f>
        <v>C100084</v>
      </c>
      <c r="L47" s="84" t="str">
        <f>IF($J47="Customer",_xll.NL("first",$J47,"Name","No.","@@"&amp;$K47),"")</f>
        <v>The Cannon Group PLC</v>
      </c>
      <c r="M47" s="84" t="str">
        <f>""</f>
        <v/>
      </c>
      <c r="N47" s="84" t="str">
        <f>IF($J47="Item",_xll.NL("first",$J47,"Description","No.","@@"&amp;$K47),"")</f>
        <v/>
      </c>
      <c r="O47" s="83">
        <v>0</v>
      </c>
      <c r="P47" s="83">
        <v>-288</v>
      </c>
      <c r="Q47" s="83">
        <v>0</v>
      </c>
      <c r="R47" s="83">
        <v>0</v>
      </c>
      <c r="S47" s="83">
        <v>0</v>
      </c>
      <c r="T47" s="83">
        <v>0</v>
      </c>
      <c r="U47" s="82"/>
    </row>
    <row r="48" spans="1:21" ht="17.25" customHeight="1" x14ac:dyDescent="0.3">
      <c r="A48" s="66" t="s">
        <v>30</v>
      </c>
      <c r="C48" s="67"/>
      <c r="D48" s="77"/>
      <c r="E48" s="77"/>
      <c r="F48" s="76"/>
      <c r="G48" s="76"/>
      <c r="H48" s="76"/>
      <c r="I48" s="76"/>
      <c r="J48" s="76"/>
      <c r="K48" s="76"/>
      <c r="L48" s="76"/>
      <c r="M48" s="76"/>
      <c r="N48" s="76"/>
      <c r="O48" s="75"/>
      <c r="P48" s="75"/>
      <c r="Q48" s="75"/>
      <c r="R48" s="75"/>
      <c r="S48" s="75"/>
      <c r="T48" s="75"/>
      <c r="U48" s="74"/>
    </row>
    <row r="49" spans="1:21" ht="17.25" customHeight="1" x14ac:dyDescent="0.3">
      <c r="A49" s="66" t="s">
        <v>30</v>
      </c>
      <c r="C49" s="67"/>
      <c r="D49" s="77"/>
      <c r="E49" s="77" t="s">
        <v>31</v>
      </c>
      <c r="F49" s="76" t="s">
        <v>31</v>
      </c>
      <c r="G49" s="76" t="s">
        <v>31</v>
      </c>
      <c r="H49" s="76"/>
      <c r="I49" s="76"/>
      <c r="J49" s="76" t="s">
        <v>31</v>
      </c>
      <c r="K49" s="76" t="s">
        <v>31</v>
      </c>
      <c r="L49" s="76" t="s">
        <v>31</v>
      </c>
      <c r="M49" s="76" t="s">
        <v>31</v>
      </c>
      <c r="N49" s="76"/>
      <c r="U49" s="81"/>
    </row>
    <row r="50" spans="1:21" ht="20.25" customHeight="1" x14ac:dyDescent="0.35">
      <c r="A50" s="66" t="s">
        <v>30</v>
      </c>
      <c r="C50" s="67"/>
      <c r="D50" s="92" t="str">
        <f t="shared" ref="D50" si="26">E50</f>
        <v>E100003</v>
      </c>
      <c r="E50" s="91" t="str">
        <f>"E100003"</f>
        <v>E100003</v>
      </c>
      <c r="F50" s="89" t="str">
        <f>"Recycled Tote"</f>
        <v>Recycled Tote</v>
      </c>
      <c r="G50" s="89"/>
      <c r="H50" s="90" t="str">
        <f>"EA"</f>
        <v>EA</v>
      </c>
      <c r="I50" s="89"/>
      <c r="J50" s="89"/>
      <c r="K50" s="89"/>
      <c r="L50" s="89"/>
      <c r="M50" s="89"/>
      <c r="N50" s="89"/>
      <c r="O50" s="88">
        <f>(SUBTOTAL(9,O51:O53))</f>
        <v>200</v>
      </c>
      <c r="P50" s="88">
        <f>(SUBTOTAL(9,P51:P53))</f>
        <v>-144</v>
      </c>
      <c r="Q50" s="88">
        <f>(SUBTOTAL(9,Q51:Q53))</f>
        <v>0</v>
      </c>
      <c r="R50" s="88">
        <f>(SUBTOTAL(9,R51:R53))</f>
        <v>0</v>
      </c>
      <c r="S50" s="88">
        <f>(SUBTOTAL(9,S51:S53))</f>
        <v>0</v>
      </c>
      <c r="T50" s="88">
        <f>(SUBTOTAL(9,T51:T53))</f>
        <v>0</v>
      </c>
      <c r="U50" s="87">
        <f t="shared" ref="U50" si="27">SUBTOTAL(9,O51:T53)</f>
        <v>56</v>
      </c>
    </row>
    <row r="51" spans="1:21" ht="17.25" customHeight="1" x14ac:dyDescent="0.3">
      <c r="A51" s="66" t="s">
        <v>30</v>
      </c>
      <c r="C51" s="67"/>
      <c r="D51" s="77" t="str">
        <f t="shared" ref="D51" si="28">D50</f>
        <v>E100003</v>
      </c>
      <c r="E51" s="77"/>
      <c r="F51" s="76"/>
      <c r="G51" s="76" t="str">
        <f>"""NAV Direct"",""CRONUS JetCorp USA"",""32"",""1"",""166753"""</f>
        <v>"NAV Direct","CRONUS JetCorp USA","32","1","166753"</v>
      </c>
      <c r="H51" s="86">
        <v>43466</v>
      </c>
      <c r="I51" s="85">
        <v>166753</v>
      </c>
      <c r="J51" s="84" t="str">
        <f>"Vendor"</f>
        <v>Vendor</v>
      </c>
      <c r="K51" s="84" t="str">
        <f>"V100001"</f>
        <v>V100001</v>
      </c>
      <c r="L51" s="84" t="str">
        <f>IF($J51="Customer",_xll.NL("first",$J51,"Name","No.","@@"&amp;$K51),"")</f>
        <v/>
      </c>
      <c r="M51" s="84" t="str">
        <f>"Greigner, Inc."</f>
        <v>Greigner, Inc.</v>
      </c>
      <c r="N51" s="84" t="str">
        <f>IF($J51="Item",_xll.NL("first",$J51,"Description","No.","@@"&amp;$K51),"")</f>
        <v/>
      </c>
      <c r="O51" s="83">
        <v>200</v>
      </c>
      <c r="P51" s="83">
        <v>0</v>
      </c>
      <c r="Q51" s="83">
        <v>0</v>
      </c>
      <c r="R51" s="83">
        <v>0</v>
      </c>
      <c r="S51" s="83">
        <v>0</v>
      </c>
      <c r="T51" s="83">
        <v>0</v>
      </c>
      <c r="U51" s="82"/>
    </row>
    <row r="52" spans="1:21" ht="17.25" customHeight="1" x14ac:dyDescent="0.3">
      <c r="A52" s="66" t="s">
        <v>30</v>
      </c>
      <c r="C52" s="67"/>
      <c r="D52" s="77" t="str">
        <f t="shared" ref="D52" si="29">D51</f>
        <v>E100003</v>
      </c>
      <c r="E52" s="77"/>
      <c r="F52" s="76"/>
      <c r="G52" s="76" t="str">
        <f>"""NAV Direct"",""CRONUS JetCorp USA"",""32"",""1"",""54726"""</f>
        <v>"NAV Direct","CRONUS JetCorp USA","32","1","54726"</v>
      </c>
      <c r="H52" s="86">
        <v>43472</v>
      </c>
      <c r="I52" s="85">
        <v>54726</v>
      </c>
      <c r="J52" s="84" t="str">
        <f>"Customer"</f>
        <v>Customer</v>
      </c>
      <c r="K52" s="84" t="str">
        <f>"C100084"</f>
        <v>C100084</v>
      </c>
      <c r="L52" s="84" t="str">
        <f>IF($J52="Customer",_xll.NL("first",$J52,"Name","No.","@@"&amp;$K52),"")</f>
        <v>The Cannon Group PLC</v>
      </c>
      <c r="M52" s="84" t="str">
        <f>""</f>
        <v/>
      </c>
      <c r="N52" s="84" t="str">
        <f>IF($J52="Item",_xll.NL("first",$J52,"Description","No.","@@"&amp;$K52),"")</f>
        <v/>
      </c>
      <c r="O52" s="83">
        <v>0</v>
      </c>
      <c r="P52" s="83">
        <v>-144</v>
      </c>
      <c r="Q52" s="83">
        <v>0</v>
      </c>
      <c r="R52" s="83">
        <v>0</v>
      </c>
      <c r="S52" s="83">
        <v>0</v>
      </c>
      <c r="T52" s="83">
        <v>0</v>
      </c>
      <c r="U52" s="82"/>
    </row>
    <row r="53" spans="1:21" ht="17.25" customHeight="1" x14ac:dyDescent="0.3">
      <c r="A53" s="66" t="s">
        <v>30</v>
      </c>
      <c r="C53" s="67"/>
      <c r="D53" s="77"/>
      <c r="E53" s="77"/>
      <c r="F53" s="76"/>
      <c r="G53" s="76"/>
      <c r="H53" s="76"/>
      <c r="I53" s="76"/>
      <c r="J53" s="76"/>
      <c r="K53" s="76"/>
      <c r="L53" s="76"/>
      <c r="M53" s="76"/>
      <c r="N53" s="76"/>
      <c r="O53" s="75"/>
      <c r="P53" s="75"/>
      <c r="Q53" s="75"/>
      <c r="R53" s="75"/>
      <c r="S53" s="75"/>
      <c r="T53" s="75"/>
      <c r="U53" s="74"/>
    </row>
    <row r="54" spans="1:21" ht="17.25" customHeight="1" x14ac:dyDescent="0.3">
      <c r="A54" s="66" t="s">
        <v>30</v>
      </c>
      <c r="C54" s="67"/>
      <c r="D54" s="77"/>
      <c r="E54" s="77" t="s">
        <v>31</v>
      </c>
      <c r="F54" s="76" t="s">
        <v>31</v>
      </c>
      <c r="G54" s="76" t="s">
        <v>31</v>
      </c>
      <c r="H54" s="76"/>
      <c r="I54" s="76"/>
      <c r="J54" s="76" t="s">
        <v>31</v>
      </c>
      <c r="K54" s="76" t="s">
        <v>31</v>
      </c>
      <c r="L54" s="76" t="s">
        <v>31</v>
      </c>
      <c r="M54" s="76" t="s">
        <v>31</v>
      </c>
      <c r="N54" s="76"/>
      <c r="U54" s="81"/>
    </row>
    <row r="55" spans="1:21" ht="20.25" customHeight="1" x14ac:dyDescent="0.35">
      <c r="A55" s="66" t="s">
        <v>30</v>
      </c>
      <c r="C55" s="67"/>
      <c r="D55" s="92" t="str">
        <f t="shared" ref="D55" si="30">E55</f>
        <v>E100004</v>
      </c>
      <c r="E55" s="91" t="str">
        <f>"E100004"</f>
        <v>E100004</v>
      </c>
      <c r="F55" s="89" t="str">
        <f>"Laminated Tote"</f>
        <v>Laminated Tote</v>
      </c>
      <c r="G55" s="89"/>
      <c r="H55" s="90" t="str">
        <f>"EA"</f>
        <v>EA</v>
      </c>
      <c r="I55" s="89"/>
      <c r="J55" s="89"/>
      <c r="K55" s="89"/>
      <c r="L55" s="89"/>
      <c r="M55" s="89"/>
      <c r="N55" s="89"/>
      <c r="O55" s="88">
        <f>(SUBTOTAL(9,O56:O57))</f>
        <v>0</v>
      </c>
      <c r="P55" s="88">
        <f>(SUBTOTAL(9,P56:P57))</f>
        <v>-288</v>
      </c>
      <c r="Q55" s="88">
        <f>(SUBTOTAL(9,Q56:Q57))</f>
        <v>0</v>
      </c>
      <c r="R55" s="88">
        <f>(SUBTOTAL(9,R56:R57))</f>
        <v>0</v>
      </c>
      <c r="S55" s="88">
        <f>(SUBTOTAL(9,S56:S57))</f>
        <v>0</v>
      </c>
      <c r="T55" s="88">
        <f>(SUBTOTAL(9,T56:T57))</f>
        <v>0</v>
      </c>
      <c r="U55" s="87">
        <f t="shared" ref="U55" si="31">SUBTOTAL(9,O56:T57)</f>
        <v>-288</v>
      </c>
    </row>
    <row r="56" spans="1:21" ht="17.25" customHeight="1" x14ac:dyDescent="0.3">
      <c r="A56" s="66" t="s">
        <v>30</v>
      </c>
      <c r="C56" s="67"/>
      <c r="D56" s="77" t="str">
        <f t="shared" ref="D56" si="32">D55</f>
        <v>E100004</v>
      </c>
      <c r="E56" s="77"/>
      <c r="F56" s="76"/>
      <c r="G56" s="76" t="str">
        <f>"""NAV Direct"",""CRONUS JetCorp USA"",""32"",""1"",""54723"""</f>
        <v>"NAV Direct","CRONUS JetCorp USA","32","1","54723"</v>
      </c>
      <c r="H56" s="86">
        <v>43472</v>
      </c>
      <c r="I56" s="85">
        <v>54723</v>
      </c>
      <c r="J56" s="84" t="str">
        <f>"Customer"</f>
        <v>Customer</v>
      </c>
      <c r="K56" s="84" t="str">
        <f>"C100084"</f>
        <v>C100084</v>
      </c>
      <c r="L56" s="84" t="str">
        <f>IF($J56="Customer",_xll.NL("first",$J56,"Name","No.","@@"&amp;$K56),"")</f>
        <v>The Cannon Group PLC</v>
      </c>
      <c r="M56" s="84" t="str">
        <f>""</f>
        <v/>
      </c>
      <c r="N56" s="84" t="str">
        <f>IF($J56="Item",_xll.NL("first",$J56,"Description","No.","@@"&amp;$K56),"")</f>
        <v/>
      </c>
      <c r="O56" s="83">
        <v>0</v>
      </c>
      <c r="P56" s="83">
        <v>-288</v>
      </c>
      <c r="Q56" s="83">
        <v>0</v>
      </c>
      <c r="R56" s="83">
        <v>0</v>
      </c>
      <c r="S56" s="83">
        <v>0</v>
      </c>
      <c r="T56" s="83">
        <v>0</v>
      </c>
      <c r="U56" s="82"/>
    </row>
    <row r="57" spans="1:21" ht="17.25" customHeight="1" x14ac:dyDescent="0.3">
      <c r="A57" s="66" t="s">
        <v>30</v>
      </c>
      <c r="C57" s="67"/>
      <c r="D57" s="77"/>
      <c r="E57" s="77"/>
      <c r="F57" s="76"/>
      <c r="G57" s="76"/>
      <c r="H57" s="76"/>
      <c r="I57" s="76"/>
      <c r="J57" s="76"/>
      <c r="K57" s="76"/>
      <c r="L57" s="76"/>
      <c r="M57" s="76"/>
      <c r="N57" s="76"/>
      <c r="O57" s="75"/>
      <c r="P57" s="75"/>
      <c r="Q57" s="75"/>
      <c r="R57" s="75"/>
      <c r="S57" s="75"/>
      <c r="T57" s="75"/>
      <c r="U57" s="74"/>
    </row>
    <row r="58" spans="1:21" ht="17.25" customHeight="1" x14ac:dyDescent="0.3">
      <c r="A58" s="66" t="s">
        <v>30</v>
      </c>
      <c r="C58" s="67"/>
      <c r="D58" s="77"/>
      <c r="E58" s="77" t="s">
        <v>31</v>
      </c>
      <c r="F58" s="76" t="s">
        <v>31</v>
      </c>
      <c r="G58" s="76" t="s">
        <v>31</v>
      </c>
      <c r="H58" s="76"/>
      <c r="I58" s="76"/>
      <c r="J58" s="76" t="s">
        <v>31</v>
      </c>
      <c r="K58" s="76" t="s">
        <v>31</v>
      </c>
      <c r="L58" s="76" t="s">
        <v>31</v>
      </c>
      <c r="M58" s="76" t="s">
        <v>31</v>
      </c>
      <c r="N58" s="76"/>
      <c r="U58" s="81"/>
    </row>
    <row r="59" spans="1:21" ht="20.25" customHeight="1" x14ac:dyDescent="0.35">
      <c r="A59" s="66" t="s">
        <v>30</v>
      </c>
      <c r="C59" s="67"/>
      <c r="D59" s="92" t="str">
        <f t="shared" ref="D59" si="33">E59</f>
        <v>E100006</v>
      </c>
      <c r="E59" s="91" t="str">
        <f>"E100006"</f>
        <v>E100006</v>
      </c>
      <c r="F59" s="89" t="str">
        <f>"Budget Tote Bag"</f>
        <v>Budget Tote Bag</v>
      </c>
      <c r="G59" s="89"/>
      <c r="H59" s="90" t="str">
        <f>"EA"</f>
        <v>EA</v>
      </c>
      <c r="I59" s="89"/>
      <c r="J59" s="89"/>
      <c r="K59" s="89"/>
      <c r="L59" s="89"/>
      <c r="M59" s="89"/>
      <c r="N59" s="89"/>
      <c r="O59" s="88">
        <f>(SUBTOTAL(9,O60:O62))</f>
        <v>200</v>
      </c>
      <c r="P59" s="88">
        <f>(SUBTOTAL(9,P60:P62))</f>
        <v>-342</v>
      </c>
      <c r="Q59" s="88">
        <f>(SUBTOTAL(9,Q60:Q62))</f>
        <v>0</v>
      </c>
      <c r="R59" s="88">
        <f>(SUBTOTAL(9,R60:R62))</f>
        <v>0</v>
      </c>
      <c r="S59" s="88">
        <f>(SUBTOTAL(9,S60:S62))</f>
        <v>0</v>
      </c>
      <c r="T59" s="88">
        <f>(SUBTOTAL(9,T60:T62))</f>
        <v>0</v>
      </c>
      <c r="U59" s="87">
        <f t="shared" ref="U59" si="34">SUBTOTAL(9,O60:T62)</f>
        <v>-142</v>
      </c>
    </row>
    <row r="60" spans="1:21" ht="17.25" customHeight="1" x14ac:dyDescent="0.3">
      <c r="A60" s="66" t="s">
        <v>30</v>
      </c>
      <c r="C60" s="67"/>
      <c r="D60" s="77" t="str">
        <f t="shared" ref="D60" si="35">D59</f>
        <v>E100006</v>
      </c>
      <c r="E60" s="77"/>
      <c r="F60" s="76"/>
      <c r="G60" s="76" t="str">
        <f>"""NAV Direct"",""CRONUS JetCorp USA"",""32"",""1"",""166752"""</f>
        <v>"NAV Direct","CRONUS JetCorp USA","32","1","166752"</v>
      </c>
      <c r="H60" s="86">
        <v>43466</v>
      </c>
      <c r="I60" s="85">
        <v>166752</v>
      </c>
      <c r="J60" s="84" t="str">
        <f>"Vendor"</f>
        <v>Vendor</v>
      </c>
      <c r="K60" s="84" t="str">
        <f>"V100001"</f>
        <v>V100001</v>
      </c>
      <c r="L60" s="84" t="str">
        <f>IF($J60="Customer",_xll.NL("first",$J60,"Name","No.","@@"&amp;$K60),"")</f>
        <v/>
      </c>
      <c r="M60" s="84" t="str">
        <f>"Greigner, Inc."</f>
        <v>Greigner, Inc.</v>
      </c>
      <c r="N60" s="84" t="str">
        <f>IF($J60="Item",_xll.NL("first",$J60,"Description","No.","@@"&amp;$K60),"")</f>
        <v/>
      </c>
      <c r="O60" s="83">
        <v>200</v>
      </c>
      <c r="P60" s="83">
        <v>0</v>
      </c>
      <c r="Q60" s="83">
        <v>0</v>
      </c>
      <c r="R60" s="83">
        <v>0</v>
      </c>
      <c r="S60" s="83">
        <v>0</v>
      </c>
      <c r="T60" s="83">
        <v>0</v>
      </c>
      <c r="U60" s="82"/>
    </row>
    <row r="61" spans="1:21" ht="17.25" customHeight="1" x14ac:dyDescent="0.3">
      <c r="A61" s="66" t="s">
        <v>30</v>
      </c>
      <c r="C61" s="67"/>
      <c r="D61" s="77" t="str">
        <f t="shared" ref="D61" si="36">D60</f>
        <v>E100006</v>
      </c>
      <c r="E61" s="77"/>
      <c r="F61" s="76"/>
      <c r="G61" s="76" t="str">
        <f>"""NAV Direct"",""CRONUS JetCorp USA"",""32"",""1"",""54745"""</f>
        <v>"NAV Direct","CRONUS JetCorp USA","32","1","54745"</v>
      </c>
      <c r="H61" s="86">
        <v>43472</v>
      </c>
      <c r="I61" s="85">
        <v>54745</v>
      </c>
      <c r="J61" s="84" t="str">
        <f>"Customer"</f>
        <v>Customer</v>
      </c>
      <c r="K61" s="84" t="str">
        <f>"C100084"</f>
        <v>C100084</v>
      </c>
      <c r="L61" s="84" t="str">
        <f>IF($J61="Customer",_xll.NL("first",$J61,"Name","No.","@@"&amp;$K61),"")</f>
        <v>The Cannon Group PLC</v>
      </c>
      <c r="M61" s="84" t="str">
        <f>""</f>
        <v/>
      </c>
      <c r="N61" s="84" t="str">
        <f>IF($J61="Item",_xll.NL("first",$J61,"Description","No.","@@"&amp;$K61),"")</f>
        <v/>
      </c>
      <c r="O61" s="83">
        <v>0</v>
      </c>
      <c r="P61" s="83">
        <v>-342</v>
      </c>
      <c r="Q61" s="83">
        <v>0</v>
      </c>
      <c r="R61" s="83">
        <v>0</v>
      </c>
      <c r="S61" s="83">
        <v>0</v>
      </c>
      <c r="T61" s="83">
        <v>0</v>
      </c>
      <c r="U61" s="82"/>
    </row>
    <row r="62" spans="1:21" ht="17.25" customHeight="1" x14ac:dyDescent="0.3">
      <c r="A62" s="66" t="s">
        <v>30</v>
      </c>
      <c r="C62" s="67"/>
      <c r="D62" s="77"/>
      <c r="E62" s="77"/>
      <c r="F62" s="76"/>
      <c r="G62" s="76"/>
      <c r="H62" s="76"/>
      <c r="I62" s="76"/>
      <c r="J62" s="76"/>
      <c r="K62" s="76"/>
      <c r="L62" s="76"/>
      <c r="M62" s="76"/>
      <c r="N62" s="76"/>
      <c r="O62" s="75"/>
      <c r="P62" s="75"/>
      <c r="Q62" s="75"/>
      <c r="R62" s="75"/>
      <c r="S62" s="75"/>
      <c r="T62" s="75"/>
      <c r="U62" s="74"/>
    </row>
    <row r="63" spans="1:21" ht="17.25" customHeight="1" x14ac:dyDescent="0.3">
      <c r="A63" s="66" t="s">
        <v>30</v>
      </c>
      <c r="C63" s="67"/>
      <c r="D63" s="77"/>
      <c r="E63" s="77" t="s">
        <v>31</v>
      </c>
      <c r="F63" s="76" t="s">
        <v>31</v>
      </c>
      <c r="G63" s="76" t="s">
        <v>31</v>
      </c>
      <c r="H63" s="76"/>
      <c r="I63" s="76"/>
      <c r="J63" s="76" t="s">
        <v>31</v>
      </c>
      <c r="K63" s="76" t="s">
        <v>31</v>
      </c>
      <c r="L63" s="76" t="s">
        <v>31</v>
      </c>
      <c r="M63" s="76" t="s">
        <v>31</v>
      </c>
      <c r="N63" s="76"/>
      <c r="U63" s="81"/>
    </row>
    <row r="64" spans="1:21" ht="20.25" customHeight="1" x14ac:dyDescent="0.35">
      <c r="A64" s="66" t="s">
        <v>30</v>
      </c>
      <c r="C64" s="67"/>
      <c r="D64" s="92" t="str">
        <f t="shared" ref="D64" si="37">E64</f>
        <v>E100007</v>
      </c>
      <c r="E64" s="91" t="str">
        <f>"E100007"</f>
        <v>E100007</v>
      </c>
      <c r="F64" s="89" t="str">
        <f>"Plastic Handle Bag"</f>
        <v>Plastic Handle Bag</v>
      </c>
      <c r="G64" s="89"/>
      <c r="H64" s="90" t="str">
        <f>"EA"</f>
        <v>EA</v>
      </c>
      <c r="I64" s="89"/>
      <c r="J64" s="89"/>
      <c r="K64" s="89"/>
      <c r="L64" s="89"/>
      <c r="M64" s="89"/>
      <c r="N64" s="89"/>
      <c r="O64" s="88">
        <f>(SUBTOTAL(9,O65:O67))</f>
        <v>400</v>
      </c>
      <c r="P64" s="88">
        <f>(SUBTOTAL(9,P65:P67))</f>
        <v>-288</v>
      </c>
      <c r="Q64" s="88">
        <f>(SUBTOTAL(9,Q65:Q67))</f>
        <v>0</v>
      </c>
      <c r="R64" s="88">
        <f>(SUBTOTAL(9,R65:R67))</f>
        <v>0</v>
      </c>
      <c r="S64" s="88">
        <f>(SUBTOTAL(9,S65:S67))</f>
        <v>0</v>
      </c>
      <c r="T64" s="88">
        <f>(SUBTOTAL(9,T65:T67))</f>
        <v>0</v>
      </c>
      <c r="U64" s="87">
        <f t="shared" ref="U64" si="38">SUBTOTAL(9,O65:T67)</f>
        <v>112</v>
      </c>
    </row>
    <row r="65" spans="1:21" ht="17.25" customHeight="1" x14ac:dyDescent="0.3">
      <c r="A65" s="66" t="s">
        <v>30</v>
      </c>
      <c r="C65" s="67"/>
      <c r="D65" s="77" t="str">
        <f t="shared" ref="D65" si="39">D64</f>
        <v>E100007</v>
      </c>
      <c r="E65" s="77"/>
      <c r="F65" s="76"/>
      <c r="G65" s="76" t="str">
        <f>"""NAV Direct"",""CRONUS JetCorp USA"",""32"",""1"",""166751"""</f>
        <v>"NAV Direct","CRONUS JetCorp USA","32","1","166751"</v>
      </c>
      <c r="H65" s="86">
        <v>43466</v>
      </c>
      <c r="I65" s="85">
        <v>166751</v>
      </c>
      <c r="J65" s="84" t="str">
        <f>"Vendor"</f>
        <v>Vendor</v>
      </c>
      <c r="K65" s="84" t="str">
        <f>"V100001"</f>
        <v>V100001</v>
      </c>
      <c r="L65" s="84" t="str">
        <f>IF($J65="Customer",_xll.NL("first",$J65,"Name","No.","@@"&amp;$K65),"")</f>
        <v/>
      </c>
      <c r="M65" s="84" t="str">
        <f>"Greigner, Inc."</f>
        <v>Greigner, Inc.</v>
      </c>
      <c r="N65" s="84" t="str">
        <f>IF($J65="Item",_xll.NL("first",$J65,"Description","No.","@@"&amp;$K65),"")</f>
        <v/>
      </c>
      <c r="O65" s="83">
        <v>400</v>
      </c>
      <c r="P65" s="83">
        <v>0</v>
      </c>
      <c r="Q65" s="83">
        <v>0</v>
      </c>
      <c r="R65" s="83">
        <v>0</v>
      </c>
      <c r="S65" s="83">
        <v>0</v>
      </c>
      <c r="T65" s="83">
        <v>0</v>
      </c>
      <c r="U65" s="82"/>
    </row>
    <row r="66" spans="1:21" ht="17.25" customHeight="1" x14ac:dyDescent="0.3">
      <c r="A66" s="66" t="s">
        <v>30</v>
      </c>
      <c r="C66" s="67"/>
      <c r="D66" s="77" t="str">
        <f t="shared" ref="D66" si="40">D65</f>
        <v>E100007</v>
      </c>
      <c r="E66" s="77"/>
      <c r="F66" s="76"/>
      <c r="G66" s="76" t="str">
        <f>"""NAV Direct"",""CRONUS JetCorp USA"",""32"",""1"",""54741"""</f>
        <v>"NAV Direct","CRONUS JetCorp USA","32","1","54741"</v>
      </c>
      <c r="H66" s="86">
        <v>43472</v>
      </c>
      <c r="I66" s="85">
        <v>54741</v>
      </c>
      <c r="J66" s="84" t="str">
        <f>"Customer"</f>
        <v>Customer</v>
      </c>
      <c r="K66" s="84" t="str">
        <f>"C100084"</f>
        <v>C100084</v>
      </c>
      <c r="L66" s="84" t="str">
        <f>IF($J66="Customer",_xll.NL("first",$J66,"Name","No.","@@"&amp;$K66),"")</f>
        <v>The Cannon Group PLC</v>
      </c>
      <c r="M66" s="84" t="str">
        <f>""</f>
        <v/>
      </c>
      <c r="N66" s="84" t="str">
        <f>IF($J66="Item",_xll.NL("first",$J66,"Description","No.","@@"&amp;$K66),"")</f>
        <v/>
      </c>
      <c r="O66" s="83">
        <v>0</v>
      </c>
      <c r="P66" s="83">
        <v>-288</v>
      </c>
      <c r="Q66" s="83">
        <v>0</v>
      </c>
      <c r="R66" s="83">
        <v>0</v>
      </c>
      <c r="S66" s="83">
        <v>0</v>
      </c>
      <c r="T66" s="83">
        <v>0</v>
      </c>
      <c r="U66" s="82"/>
    </row>
    <row r="67" spans="1:21" ht="17.25" customHeight="1" x14ac:dyDescent="0.3">
      <c r="A67" s="66" t="s">
        <v>30</v>
      </c>
      <c r="C67" s="67"/>
      <c r="D67" s="77"/>
      <c r="E67" s="77"/>
      <c r="F67" s="76"/>
      <c r="G67" s="76"/>
      <c r="H67" s="76"/>
      <c r="I67" s="76"/>
      <c r="J67" s="76"/>
      <c r="K67" s="76"/>
      <c r="L67" s="76"/>
      <c r="M67" s="76"/>
      <c r="N67" s="76"/>
      <c r="O67" s="75"/>
      <c r="P67" s="75"/>
      <c r="Q67" s="75"/>
      <c r="R67" s="75"/>
      <c r="S67" s="75"/>
      <c r="T67" s="75"/>
      <c r="U67" s="74"/>
    </row>
    <row r="68" spans="1:21" ht="17.25" customHeight="1" x14ac:dyDescent="0.3">
      <c r="A68" s="66" t="s">
        <v>30</v>
      </c>
      <c r="C68" s="67"/>
      <c r="D68" s="77"/>
      <c r="E68" s="77" t="s">
        <v>31</v>
      </c>
      <c r="F68" s="76" t="s">
        <v>31</v>
      </c>
      <c r="G68" s="76" t="s">
        <v>31</v>
      </c>
      <c r="H68" s="76"/>
      <c r="I68" s="76"/>
      <c r="J68" s="76" t="s">
        <v>31</v>
      </c>
      <c r="K68" s="76" t="s">
        <v>31</v>
      </c>
      <c r="L68" s="76" t="s">
        <v>31</v>
      </c>
      <c r="M68" s="76" t="s">
        <v>31</v>
      </c>
      <c r="N68" s="76"/>
      <c r="U68" s="81"/>
    </row>
    <row r="69" spans="1:21" ht="20.25" customHeight="1" x14ac:dyDescent="0.35">
      <c r="A69" s="66" t="s">
        <v>30</v>
      </c>
      <c r="C69" s="67"/>
      <c r="D69" s="92" t="str">
        <f t="shared" ref="D69" si="41">E69</f>
        <v>E100009</v>
      </c>
      <c r="E69" s="91" t="str">
        <f>"E100009"</f>
        <v>E100009</v>
      </c>
      <c r="F69" s="89" t="str">
        <f>"Die-Cut Tote"</f>
        <v>Die-Cut Tote</v>
      </c>
      <c r="G69" s="89"/>
      <c r="H69" s="90" t="str">
        <f>"EA"</f>
        <v>EA</v>
      </c>
      <c r="I69" s="89"/>
      <c r="J69" s="89"/>
      <c r="K69" s="89"/>
      <c r="L69" s="89"/>
      <c r="M69" s="89"/>
      <c r="N69" s="89"/>
      <c r="O69" s="88">
        <f>(SUBTOTAL(9,O70:O72))</f>
        <v>200</v>
      </c>
      <c r="P69" s="88">
        <f>(SUBTOTAL(9,P70:P72))</f>
        <v>-144</v>
      </c>
      <c r="Q69" s="88">
        <f>(SUBTOTAL(9,Q70:Q72))</f>
        <v>0</v>
      </c>
      <c r="R69" s="88">
        <f>(SUBTOTAL(9,R70:R72))</f>
        <v>0</v>
      </c>
      <c r="S69" s="88">
        <f>(SUBTOTAL(9,S70:S72))</f>
        <v>0</v>
      </c>
      <c r="T69" s="88">
        <f>(SUBTOTAL(9,T70:T72))</f>
        <v>0</v>
      </c>
      <c r="U69" s="87">
        <f t="shared" ref="U69" si="42">SUBTOTAL(9,O70:T72)</f>
        <v>56</v>
      </c>
    </row>
    <row r="70" spans="1:21" ht="17.25" customHeight="1" x14ac:dyDescent="0.3">
      <c r="A70" s="66" t="s">
        <v>30</v>
      </c>
      <c r="C70" s="67"/>
      <c r="D70" s="77" t="str">
        <f t="shared" ref="D70" si="43">D69</f>
        <v>E100009</v>
      </c>
      <c r="E70" s="77"/>
      <c r="F70" s="76"/>
      <c r="G70" s="76" t="str">
        <f>"""NAV Direct"",""CRONUS JetCorp USA"",""32"",""1"",""166750"""</f>
        <v>"NAV Direct","CRONUS JetCorp USA","32","1","166750"</v>
      </c>
      <c r="H70" s="86">
        <v>43466</v>
      </c>
      <c r="I70" s="85">
        <v>166750</v>
      </c>
      <c r="J70" s="84" t="str">
        <f>"Vendor"</f>
        <v>Vendor</v>
      </c>
      <c r="K70" s="84" t="str">
        <f>"V100001"</f>
        <v>V100001</v>
      </c>
      <c r="L70" s="84" t="str">
        <f>IF($J70="Customer",_xll.NL("first",$J70,"Name","No.","@@"&amp;$K70),"")</f>
        <v/>
      </c>
      <c r="M70" s="84" t="str">
        <f>"Greigner, Inc."</f>
        <v>Greigner, Inc.</v>
      </c>
      <c r="N70" s="84" t="str">
        <f>IF($J70="Item",_xll.NL("first",$J70,"Description","No.","@@"&amp;$K70),"")</f>
        <v/>
      </c>
      <c r="O70" s="83">
        <v>200</v>
      </c>
      <c r="P70" s="83">
        <v>0</v>
      </c>
      <c r="Q70" s="83">
        <v>0</v>
      </c>
      <c r="R70" s="83">
        <v>0</v>
      </c>
      <c r="S70" s="83">
        <v>0</v>
      </c>
      <c r="T70" s="83">
        <v>0</v>
      </c>
      <c r="U70" s="82"/>
    </row>
    <row r="71" spans="1:21" ht="17.25" customHeight="1" x14ac:dyDescent="0.3">
      <c r="A71" s="66" t="s">
        <v>30</v>
      </c>
      <c r="C71" s="67"/>
      <c r="D71" s="77" t="str">
        <f t="shared" ref="D71" si="44">D70</f>
        <v>E100009</v>
      </c>
      <c r="E71" s="77"/>
      <c r="F71" s="76"/>
      <c r="G71" s="76" t="str">
        <f>"""NAV Direct"",""CRONUS JetCorp USA"",""32"",""1"",""54744"""</f>
        <v>"NAV Direct","CRONUS JetCorp USA","32","1","54744"</v>
      </c>
      <c r="H71" s="86">
        <v>43472</v>
      </c>
      <c r="I71" s="85">
        <v>54744</v>
      </c>
      <c r="J71" s="84" t="str">
        <f>"Customer"</f>
        <v>Customer</v>
      </c>
      <c r="K71" s="84" t="str">
        <f>"C100084"</f>
        <v>C100084</v>
      </c>
      <c r="L71" s="84" t="str">
        <f>IF($J71="Customer",_xll.NL("first",$J71,"Name","No.","@@"&amp;$K71),"")</f>
        <v>The Cannon Group PLC</v>
      </c>
      <c r="M71" s="84" t="str">
        <f>""</f>
        <v/>
      </c>
      <c r="N71" s="84" t="str">
        <f>IF($J71="Item",_xll.NL("first",$J71,"Description","No.","@@"&amp;$K71),"")</f>
        <v/>
      </c>
      <c r="O71" s="83">
        <v>0</v>
      </c>
      <c r="P71" s="83">
        <v>-144</v>
      </c>
      <c r="Q71" s="83">
        <v>0</v>
      </c>
      <c r="R71" s="83">
        <v>0</v>
      </c>
      <c r="S71" s="83">
        <v>0</v>
      </c>
      <c r="T71" s="83">
        <v>0</v>
      </c>
      <c r="U71" s="82"/>
    </row>
    <row r="72" spans="1:21" ht="17.25" customHeight="1" x14ac:dyDescent="0.3">
      <c r="A72" s="66" t="s">
        <v>30</v>
      </c>
      <c r="C72" s="67"/>
      <c r="D72" s="77"/>
      <c r="E72" s="77"/>
      <c r="F72" s="76"/>
      <c r="G72" s="76"/>
      <c r="H72" s="76"/>
      <c r="I72" s="76"/>
      <c r="J72" s="76"/>
      <c r="K72" s="76"/>
      <c r="L72" s="76"/>
      <c r="M72" s="76"/>
      <c r="N72" s="76"/>
      <c r="O72" s="75"/>
      <c r="P72" s="75"/>
      <c r="Q72" s="75"/>
      <c r="R72" s="75"/>
      <c r="S72" s="75"/>
      <c r="T72" s="75"/>
      <c r="U72" s="74"/>
    </row>
    <row r="73" spans="1:21" ht="17.25" customHeight="1" x14ac:dyDescent="0.3">
      <c r="A73" s="66" t="s">
        <v>30</v>
      </c>
      <c r="C73" s="67"/>
      <c r="D73" s="77"/>
      <c r="E73" s="77" t="s">
        <v>31</v>
      </c>
      <c r="F73" s="76" t="s">
        <v>31</v>
      </c>
      <c r="G73" s="76" t="s">
        <v>31</v>
      </c>
      <c r="H73" s="76"/>
      <c r="I73" s="76"/>
      <c r="J73" s="76" t="s">
        <v>31</v>
      </c>
      <c r="K73" s="76" t="s">
        <v>31</v>
      </c>
      <c r="L73" s="76" t="s">
        <v>31</v>
      </c>
      <c r="M73" s="76" t="s">
        <v>31</v>
      </c>
      <c r="N73" s="76"/>
      <c r="U73" s="81"/>
    </row>
    <row r="74" spans="1:21" ht="20.25" customHeight="1" x14ac:dyDescent="0.35">
      <c r="A74" s="66" t="s">
        <v>30</v>
      </c>
      <c r="C74" s="67"/>
      <c r="D74" s="92" t="str">
        <f t="shared" ref="D74" si="45">E74</f>
        <v>E100010</v>
      </c>
      <c r="E74" s="91" t="str">
        <f>"E100010"</f>
        <v>E100010</v>
      </c>
      <c r="F74" s="89" t="str">
        <f>"Vinyl Tote"</f>
        <v>Vinyl Tote</v>
      </c>
      <c r="G74" s="89"/>
      <c r="H74" s="90" t="str">
        <f>"EA"</f>
        <v>EA</v>
      </c>
      <c r="I74" s="89"/>
      <c r="J74" s="89"/>
      <c r="K74" s="89"/>
      <c r="L74" s="89"/>
      <c r="M74" s="89"/>
      <c r="N74" s="89"/>
      <c r="O74" s="88">
        <f>(SUBTOTAL(9,O75:O76))</f>
        <v>400</v>
      </c>
      <c r="P74" s="88">
        <f>(SUBTOTAL(9,P75:P76))</f>
        <v>0</v>
      </c>
      <c r="Q74" s="88">
        <f>(SUBTOTAL(9,Q75:Q76))</f>
        <v>0</v>
      </c>
      <c r="R74" s="88">
        <f>(SUBTOTAL(9,R75:R76))</f>
        <v>0</v>
      </c>
      <c r="S74" s="88">
        <f>(SUBTOTAL(9,S75:S76))</f>
        <v>0</v>
      </c>
      <c r="T74" s="88">
        <f>(SUBTOTAL(9,T75:T76))</f>
        <v>0</v>
      </c>
      <c r="U74" s="87">
        <f t="shared" ref="U74" si="46">SUBTOTAL(9,O75:T76)</f>
        <v>400</v>
      </c>
    </row>
    <row r="75" spans="1:21" ht="17.25" customHeight="1" x14ac:dyDescent="0.3">
      <c r="A75" s="66" t="s">
        <v>30</v>
      </c>
      <c r="C75" s="67"/>
      <c r="D75" s="77" t="str">
        <f t="shared" ref="D75" si="47">D74</f>
        <v>E100010</v>
      </c>
      <c r="E75" s="77"/>
      <c r="F75" s="76"/>
      <c r="G75" s="76" t="str">
        <f>"""NAV Direct"",""CRONUS JetCorp USA"",""32"",""1"",""166749"""</f>
        <v>"NAV Direct","CRONUS JetCorp USA","32","1","166749"</v>
      </c>
      <c r="H75" s="86">
        <v>43466</v>
      </c>
      <c r="I75" s="85">
        <v>166749</v>
      </c>
      <c r="J75" s="84" t="str">
        <f>"Vendor"</f>
        <v>Vendor</v>
      </c>
      <c r="K75" s="84" t="str">
        <f>"V100001"</f>
        <v>V100001</v>
      </c>
      <c r="L75" s="84" t="str">
        <f>IF($J75="Customer",_xll.NL("first",$J75,"Name","No.","@@"&amp;$K75),"")</f>
        <v/>
      </c>
      <c r="M75" s="84" t="str">
        <f>"Greigner, Inc."</f>
        <v>Greigner, Inc.</v>
      </c>
      <c r="N75" s="84" t="str">
        <f>IF($J75="Item",_xll.NL("first",$J75,"Description","No.","@@"&amp;$K75),"")</f>
        <v/>
      </c>
      <c r="O75" s="83">
        <v>400</v>
      </c>
      <c r="P75" s="83">
        <v>0</v>
      </c>
      <c r="Q75" s="83">
        <v>0</v>
      </c>
      <c r="R75" s="83">
        <v>0</v>
      </c>
      <c r="S75" s="83">
        <v>0</v>
      </c>
      <c r="T75" s="83">
        <v>0</v>
      </c>
      <c r="U75" s="82"/>
    </row>
    <row r="76" spans="1:21" ht="17.25" customHeight="1" x14ac:dyDescent="0.3">
      <c r="A76" s="66" t="s">
        <v>30</v>
      </c>
      <c r="C76" s="67"/>
      <c r="D76" s="77"/>
      <c r="E76" s="77"/>
      <c r="F76" s="76"/>
      <c r="G76" s="76"/>
      <c r="H76" s="76"/>
      <c r="I76" s="76"/>
      <c r="J76" s="76"/>
      <c r="K76" s="76"/>
      <c r="L76" s="76"/>
      <c r="M76" s="76"/>
      <c r="N76" s="76"/>
      <c r="O76" s="75"/>
      <c r="P76" s="75"/>
      <c r="Q76" s="75"/>
      <c r="R76" s="75"/>
      <c r="S76" s="75"/>
      <c r="T76" s="75"/>
      <c r="U76" s="74"/>
    </row>
    <row r="77" spans="1:21" ht="17.25" customHeight="1" x14ac:dyDescent="0.3">
      <c r="A77" s="66" t="s">
        <v>30</v>
      </c>
      <c r="C77" s="67"/>
      <c r="D77" s="77"/>
      <c r="E77" s="77" t="s">
        <v>31</v>
      </c>
      <c r="F77" s="76" t="s">
        <v>31</v>
      </c>
      <c r="G77" s="76" t="s">
        <v>31</v>
      </c>
      <c r="H77" s="76"/>
      <c r="I77" s="76"/>
      <c r="J77" s="76" t="s">
        <v>31</v>
      </c>
      <c r="K77" s="76" t="s">
        <v>31</v>
      </c>
      <c r="L77" s="76" t="s">
        <v>31</v>
      </c>
      <c r="M77" s="76" t="s">
        <v>31</v>
      </c>
      <c r="N77" s="76"/>
      <c r="U77" s="81"/>
    </row>
    <row r="78" spans="1:21" ht="20.25" customHeight="1" x14ac:dyDescent="0.35">
      <c r="A78" s="66" t="s">
        <v>30</v>
      </c>
      <c r="C78" s="67"/>
      <c r="D78" s="92" t="str">
        <f t="shared" ref="D78" si="48">E78</f>
        <v>E100011</v>
      </c>
      <c r="E78" s="91" t="str">
        <f>"E100011"</f>
        <v>E100011</v>
      </c>
      <c r="F78" s="89" t="str">
        <f>"Plastic Sun Visor"</f>
        <v>Plastic Sun Visor</v>
      </c>
      <c r="G78" s="89"/>
      <c r="H78" s="90" t="str">
        <f>"EA"</f>
        <v>EA</v>
      </c>
      <c r="I78" s="89"/>
      <c r="J78" s="89"/>
      <c r="K78" s="89"/>
      <c r="L78" s="89"/>
      <c r="M78" s="89"/>
      <c r="N78" s="89"/>
      <c r="O78" s="88">
        <f>(SUBTOTAL(9,O79:O80))</f>
        <v>0</v>
      </c>
      <c r="P78" s="88">
        <f>(SUBTOTAL(9,P79:P80))</f>
        <v>-144</v>
      </c>
      <c r="Q78" s="88">
        <f>(SUBTOTAL(9,Q79:Q80))</f>
        <v>0</v>
      </c>
      <c r="R78" s="88">
        <f>(SUBTOTAL(9,R79:R80))</f>
        <v>0</v>
      </c>
      <c r="S78" s="88">
        <f>(SUBTOTAL(9,S79:S80))</f>
        <v>0</v>
      </c>
      <c r="T78" s="88">
        <f>(SUBTOTAL(9,T79:T80))</f>
        <v>0</v>
      </c>
      <c r="U78" s="87">
        <f t="shared" ref="U78" si="49">SUBTOTAL(9,O79:T80)</f>
        <v>-144</v>
      </c>
    </row>
    <row r="79" spans="1:21" ht="17.25" customHeight="1" x14ac:dyDescent="0.3">
      <c r="A79" s="66" t="s">
        <v>30</v>
      </c>
      <c r="C79" s="67"/>
      <c r="D79" s="77" t="str">
        <f t="shared" ref="D79" si="50">D78</f>
        <v>E100011</v>
      </c>
      <c r="E79" s="77"/>
      <c r="F79" s="76"/>
      <c r="G79" s="76" t="str">
        <f>"""NAV Direct"",""CRONUS JetCorp USA"",""32"",""1"",""54739"""</f>
        <v>"NAV Direct","CRONUS JetCorp USA","32","1","54739"</v>
      </c>
      <c r="H79" s="86">
        <v>43472</v>
      </c>
      <c r="I79" s="85">
        <v>54739</v>
      </c>
      <c r="J79" s="84" t="str">
        <f>"Customer"</f>
        <v>Customer</v>
      </c>
      <c r="K79" s="84" t="str">
        <f>"C100084"</f>
        <v>C100084</v>
      </c>
      <c r="L79" s="84" t="str">
        <f>IF($J79="Customer",_xll.NL("first",$J79,"Name","No.","@@"&amp;$K79),"")</f>
        <v>The Cannon Group PLC</v>
      </c>
      <c r="M79" s="84" t="str">
        <f>""</f>
        <v/>
      </c>
      <c r="N79" s="84" t="str">
        <f>IF($J79="Item",_xll.NL("first",$J79,"Description","No.","@@"&amp;$K79),"")</f>
        <v/>
      </c>
      <c r="O79" s="83">
        <v>0</v>
      </c>
      <c r="P79" s="83">
        <v>-144</v>
      </c>
      <c r="Q79" s="83">
        <v>0</v>
      </c>
      <c r="R79" s="83">
        <v>0</v>
      </c>
      <c r="S79" s="83">
        <v>0</v>
      </c>
      <c r="T79" s="83">
        <v>0</v>
      </c>
      <c r="U79" s="82"/>
    </row>
    <row r="80" spans="1:21" ht="17.25" customHeight="1" x14ac:dyDescent="0.3">
      <c r="A80" s="66" t="s">
        <v>30</v>
      </c>
      <c r="C80" s="67"/>
      <c r="D80" s="77"/>
      <c r="E80" s="77"/>
      <c r="F80" s="76"/>
      <c r="G80" s="76"/>
      <c r="H80" s="76"/>
      <c r="I80" s="76"/>
      <c r="J80" s="76"/>
      <c r="K80" s="76"/>
      <c r="L80" s="76"/>
      <c r="M80" s="76"/>
      <c r="N80" s="76"/>
      <c r="O80" s="75"/>
      <c r="P80" s="75"/>
      <c r="Q80" s="75"/>
      <c r="R80" s="75"/>
      <c r="S80" s="75"/>
      <c r="T80" s="75"/>
      <c r="U80" s="74"/>
    </row>
    <row r="81" spans="1:21" ht="17.25" customHeight="1" x14ac:dyDescent="0.3">
      <c r="A81" s="66" t="s">
        <v>30</v>
      </c>
      <c r="C81" s="67"/>
      <c r="D81" s="77"/>
      <c r="E81" s="77" t="s">
        <v>31</v>
      </c>
      <c r="F81" s="76" t="s">
        <v>31</v>
      </c>
      <c r="G81" s="76" t="s">
        <v>31</v>
      </c>
      <c r="H81" s="76"/>
      <c r="I81" s="76"/>
      <c r="J81" s="76" t="s">
        <v>31</v>
      </c>
      <c r="K81" s="76" t="s">
        <v>31</v>
      </c>
      <c r="L81" s="76" t="s">
        <v>31</v>
      </c>
      <c r="M81" s="76" t="s">
        <v>31</v>
      </c>
      <c r="N81" s="76"/>
      <c r="U81" s="81"/>
    </row>
    <row r="82" spans="1:21" ht="20.25" customHeight="1" x14ac:dyDescent="0.35">
      <c r="A82" s="66" t="s">
        <v>30</v>
      </c>
      <c r="C82" s="67"/>
      <c r="D82" s="92" t="str">
        <f t="shared" ref="D82" si="51">E82</f>
        <v>E100012</v>
      </c>
      <c r="E82" s="91" t="str">
        <f>"E100012"</f>
        <v>E100012</v>
      </c>
      <c r="F82" s="89" t="str">
        <f>"Canvas Stopwatch"</f>
        <v>Canvas Stopwatch</v>
      </c>
      <c r="G82" s="89"/>
      <c r="H82" s="90" t="str">
        <f>"EA"</f>
        <v>EA</v>
      </c>
      <c r="I82" s="89"/>
      <c r="J82" s="89"/>
      <c r="K82" s="89"/>
      <c r="L82" s="89"/>
      <c r="M82" s="89"/>
      <c r="N82" s="89"/>
      <c r="O82" s="88">
        <f>(SUBTOTAL(9,O83:O84))</f>
        <v>200</v>
      </c>
      <c r="P82" s="88">
        <f>(SUBTOTAL(9,P83:P84))</f>
        <v>0</v>
      </c>
      <c r="Q82" s="88">
        <f>(SUBTOTAL(9,Q83:Q84))</f>
        <v>0</v>
      </c>
      <c r="R82" s="88">
        <f>(SUBTOTAL(9,R83:R84))</f>
        <v>0</v>
      </c>
      <c r="S82" s="88">
        <f>(SUBTOTAL(9,S83:S84))</f>
        <v>0</v>
      </c>
      <c r="T82" s="88">
        <f>(SUBTOTAL(9,T83:T84))</f>
        <v>0</v>
      </c>
      <c r="U82" s="87">
        <f t="shared" ref="U82" si="52">SUBTOTAL(9,O83:T84)</f>
        <v>200</v>
      </c>
    </row>
    <row r="83" spans="1:21" ht="17.25" customHeight="1" x14ac:dyDescent="0.3">
      <c r="A83" s="66" t="s">
        <v>30</v>
      </c>
      <c r="C83" s="67"/>
      <c r="D83" s="77" t="str">
        <f t="shared" ref="D83" si="53">D82</f>
        <v>E100012</v>
      </c>
      <c r="E83" s="77"/>
      <c r="F83" s="76"/>
      <c r="G83" s="76" t="str">
        <f>"""NAV Direct"",""CRONUS JetCorp USA"",""32"",""1"",""167547"""</f>
        <v>"NAV Direct","CRONUS JetCorp USA","32","1","167547"</v>
      </c>
      <c r="H83" s="86">
        <v>43466</v>
      </c>
      <c r="I83" s="85">
        <v>167547</v>
      </c>
      <c r="J83" s="84" t="str">
        <f>"Vendor"</f>
        <v>Vendor</v>
      </c>
      <c r="K83" s="84" t="str">
        <f>"V100001"</f>
        <v>V100001</v>
      </c>
      <c r="L83" s="84" t="str">
        <f>IF($J83="Customer",_xll.NL("first",$J83,"Name","No.","@@"&amp;$K83),"")</f>
        <v/>
      </c>
      <c r="M83" s="84" t="str">
        <f>"Greigner, Inc."</f>
        <v>Greigner, Inc.</v>
      </c>
      <c r="N83" s="84" t="str">
        <f>IF($J83="Item",_xll.NL("first",$J83,"Description","No.","@@"&amp;$K83),"")</f>
        <v/>
      </c>
      <c r="O83" s="83">
        <v>200</v>
      </c>
      <c r="P83" s="83">
        <v>0</v>
      </c>
      <c r="Q83" s="83">
        <v>0</v>
      </c>
      <c r="R83" s="83">
        <v>0</v>
      </c>
      <c r="S83" s="83">
        <v>0</v>
      </c>
      <c r="T83" s="83">
        <v>0</v>
      </c>
      <c r="U83" s="82"/>
    </row>
    <row r="84" spans="1:21" ht="17.25" customHeight="1" x14ac:dyDescent="0.3">
      <c r="A84" s="66" t="s">
        <v>30</v>
      </c>
      <c r="C84" s="67"/>
      <c r="D84" s="77"/>
      <c r="E84" s="77"/>
      <c r="F84" s="76"/>
      <c r="G84" s="76"/>
      <c r="H84" s="76"/>
      <c r="I84" s="76"/>
      <c r="J84" s="76"/>
      <c r="K84" s="76"/>
      <c r="L84" s="76"/>
      <c r="M84" s="76"/>
      <c r="N84" s="76"/>
      <c r="O84" s="75"/>
      <c r="P84" s="75"/>
      <c r="Q84" s="75"/>
      <c r="R84" s="75"/>
      <c r="S84" s="75"/>
      <c r="T84" s="75"/>
      <c r="U84" s="74"/>
    </row>
    <row r="85" spans="1:21" ht="17.25" customHeight="1" x14ac:dyDescent="0.3">
      <c r="A85" s="66" t="s">
        <v>30</v>
      </c>
      <c r="C85" s="67"/>
      <c r="D85" s="77"/>
      <c r="E85" s="77" t="s">
        <v>31</v>
      </c>
      <c r="F85" s="76" t="s">
        <v>31</v>
      </c>
      <c r="G85" s="76" t="s">
        <v>31</v>
      </c>
      <c r="H85" s="76"/>
      <c r="I85" s="76"/>
      <c r="J85" s="76" t="s">
        <v>31</v>
      </c>
      <c r="K85" s="76" t="s">
        <v>31</v>
      </c>
      <c r="L85" s="76" t="s">
        <v>31</v>
      </c>
      <c r="M85" s="76" t="s">
        <v>31</v>
      </c>
      <c r="N85" s="76"/>
      <c r="U85" s="81"/>
    </row>
    <row r="86" spans="1:21" ht="20.25" customHeight="1" x14ac:dyDescent="0.35">
      <c r="A86" s="66" t="s">
        <v>30</v>
      </c>
      <c r="C86" s="67"/>
      <c r="D86" s="92" t="str">
        <f t="shared" ref="D86" si="54">E86</f>
        <v>E100013</v>
      </c>
      <c r="E86" s="91" t="str">
        <f>"E100013"</f>
        <v>E100013</v>
      </c>
      <c r="F86" s="89" t="str">
        <f>"Clip-on Stopwatch"</f>
        <v>Clip-on Stopwatch</v>
      </c>
      <c r="G86" s="89"/>
      <c r="H86" s="90" t="str">
        <f>"EA"</f>
        <v>EA</v>
      </c>
      <c r="I86" s="89"/>
      <c r="J86" s="89"/>
      <c r="K86" s="89"/>
      <c r="L86" s="89"/>
      <c r="M86" s="89"/>
      <c r="N86" s="89"/>
      <c r="O86" s="88">
        <f>(SUBTOTAL(9,O87:O88))</f>
        <v>200</v>
      </c>
      <c r="P86" s="88">
        <f>(SUBTOTAL(9,P87:P88))</f>
        <v>0</v>
      </c>
      <c r="Q86" s="88">
        <f>(SUBTOTAL(9,Q87:Q88))</f>
        <v>0</v>
      </c>
      <c r="R86" s="88">
        <f>(SUBTOTAL(9,R87:R88))</f>
        <v>0</v>
      </c>
      <c r="S86" s="88">
        <f>(SUBTOTAL(9,S87:S88))</f>
        <v>0</v>
      </c>
      <c r="T86" s="88">
        <f>(SUBTOTAL(9,T87:T88))</f>
        <v>0</v>
      </c>
      <c r="U86" s="87">
        <f t="shared" ref="U86" si="55">SUBTOTAL(9,O87:T88)</f>
        <v>200</v>
      </c>
    </row>
    <row r="87" spans="1:21" ht="17.25" customHeight="1" x14ac:dyDescent="0.3">
      <c r="A87" s="66" t="s">
        <v>30</v>
      </c>
      <c r="C87" s="67"/>
      <c r="D87" s="77" t="str">
        <f t="shared" ref="D87" si="56">D86</f>
        <v>E100013</v>
      </c>
      <c r="E87" s="77"/>
      <c r="F87" s="76"/>
      <c r="G87" s="76" t="str">
        <f>"""NAV Direct"",""CRONUS JetCorp USA"",""32"",""1"",""167546"""</f>
        <v>"NAV Direct","CRONUS JetCorp USA","32","1","167546"</v>
      </c>
      <c r="H87" s="86">
        <v>43466</v>
      </c>
      <c r="I87" s="85">
        <v>167546</v>
      </c>
      <c r="J87" s="84" t="str">
        <f>"Vendor"</f>
        <v>Vendor</v>
      </c>
      <c r="K87" s="84" t="str">
        <f>"V100001"</f>
        <v>V100001</v>
      </c>
      <c r="L87" s="84" t="str">
        <f>IF($J87="Customer",_xll.NL("first",$J87,"Name","No.","@@"&amp;$K87),"")</f>
        <v/>
      </c>
      <c r="M87" s="84" t="str">
        <f>"Greigner, Inc."</f>
        <v>Greigner, Inc.</v>
      </c>
      <c r="N87" s="84" t="str">
        <f>IF($J87="Item",_xll.NL("first",$J87,"Description","No.","@@"&amp;$K87),"")</f>
        <v/>
      </c>
      <c r="O87" s="83">
        <v>200</v>
      </c>
      <c r="P87" s="83">
        <v>0</v>
      </c>
      <c r="Q87" s="83">
        <v>0</v>
      </c>
      <c r="R87" s="83">
        <v>0</v>
      </c>
      <c r="S87" s="83">
        <v>0</v>
      </c>
      <c r="T87" s="83">
        <v>0</v>
      </c>
      <c r="U87" s="82"/>
    </row>
    <row r="88" spans="1:21" ht="17.25" customHeight="1" x14ac:dyDescent="0.3">
      <c r="A88" s="66" t="s">
        <v>30</v>
      </c>
      <c r="C88" s="67"/>
      <c r="D88" s="77"/>
      <c r="E88" s="77"/>
      <c r="F88" s="76"/>
      <c r="G88" s="76"/>
      <c r="H88" s="76"/>
      <c r="I88" s="76"/>
      <c r="J88" s="76"/>
      <c r="K88" s="76"/>
      <c r="L88" s="76"/>
      <c r="M88" s="76"/>
      <c r="N88" s="76"/>
      <c r="O88" s="75"/>
      <c r="P88" s="75"/>
      <c r="Q88" s="75"/>
      <c r="R88" s="75"/>
      <c r="S88" s="75"/>
      <c r="T88" s="75"/>
      <c r="U88" s="74"/>
    </row>
    <row r="89" spans="1:21" ht="17.25" customHeight="1" x14ac:dyDescent="0.3">
      <c r="A89" s="66" t="s">
        <v>30</v>
      </c>
      <c r="C89" s="67"/>
      <c r="D89" s="77"/>
      <c r="E89" s="77" t="s">
        <v>31</v>
      </c>
      <c r="F89" s="76" t="s">
        <v>31</v>
      </c>
      <c r="G89" s="76" t="s">
        <v>31</v>
      </c>
      <c r="H89" s="76"/>
      <c r="I89" s="76"/>
      <c r="J89" s="76" t="s">
        <v>31</v>
      </c>
      <c r="K89" s="76" t="s">
        <v>31</v>
      </c>
      <c r="L89" s="76" t="s">
        <v>31</v>
      </c>
      <c r="M89" s="76" t="s">
        <v>31</v>
      </c>
      <c r="N89" s="76"/>
      <c r="U89" s="81"/>
    </row>
    <row r="90" spans="1:21" ht="20.25" customHeight="1" x14ac:dyDescent="0.35">
      <c r="A90" s="66" t="s">
        <v>30</v>
      </c>
      <c r="C90" s="67"/>
      <c r="D90" s="92" t="str">
        <f t="shared" ref="D90" si="57">E90</f>
        <v>E100014</v>
      </c>
      <c r="E90" s="91" t="str">
        <f>"E100014"</f>
        <v>E100014</v>
      </c>
      <c r="F90" s="89" t="str">
        <f>"Stopwatch with Neck Rope"</f>
        <v>Stopwatch with Neck Rope</v>
      </c>
      <c r="G90" s="89"/>
      <c r="H90" s="90" t="str">
        <f>"EA"</f>
        <v>EA</v>
      </c>
      <c r="I90" s="89"/>
      <c r="J90" s="89"/>
      <c r="K90" s="89"/>
      <c r="L90" s="89"/>
      <c r="M90" s="89"/>
      <c r="N90" s="89"/>
      <c r="O90" s="88">
        <f>(SUBTOTAL(9,O91:O92))</f>
        <v>200</v>
      </c>
      <c r="P90" s="88">
        <f>(SUBTOTAL(9,P91:P92))</f>
        <v>0</v>
      </c>
      <c r="Q90" s="88">
        <f>(SUBTOTAL(9,Q91:Q92))</f>
        <v>0</v>
      </c>
      <c r="R90" s="88">
        <f>(SUBTOTAL(9,R91:R92))</f>
        <v>0</v>
      </c>
      <c r="S90" s="88">
        <f>(SUBTOTAL(9,S91:S92))</f>
        <v>0</v>
      </c>
      <c r="T90" s="88">
        <f>(SUBTOTAL(9,T91:T92))</f>
        <v>0</v>
      </c>
      <c r="U90" s="87">
        <f t="shared" ref="U90" si="58">SUBTOTAL(9,O91:T92)</f>
        <v>200</v>
      </c>
    </row>
    <row r="91" spans="1:21" ht="17.25" customHeight="1" x14ac:dyDescent="0.3">
      <c r="A91" s="66" t="s">
        <v>30</v>
      </c>
      <c r="C91" s="67"/>
      <c r="D91" s="77" t="str">
        <f t="shared" ref="D91" si="59">D90</f>
        <v>E100014</v>
      </c>
      <c r="E91" s="77"/>
      <c r="F91" s="76"/>
      <c r="G91" s="76" t="str">
        <f>"""NAV Direct"",""CRONUS JetCorp USA"",""32"",""1"",""167545"""</f>
        <v>"NAV Direct","CRONUS JetCorp USA","32","1","167545"</v>
      </c>
      <c r="H91" s="86">
        <v>43466</v>
      </c>
      <c r="I91" s="85">
        <v>167545</v>
      </c>
      <c r="J91" s="84" t="str">
        <f>"Vendor"</f>
        <v>Vendor</v>
      </c>
      <c r="K91" s="84" t="str">
        <f>"V100001"</f>
        <v>V100001</v>
      </c>
      <c r="L91" s="84" t="str">
        <f>IF($J91="Customer",_xll.NL("first",$J91,"Name","No.","@@"&amp;$K91),"")</f>
        <v/>
      </c>
      <c r="M91" s="84" t="str">
        <f>"Greigner, Inc."</f>
        <v>Greigner, Inc.</v>
      </c>
      <c r="N91" s="84" t="str">
        <f>IF($J91="Item",_xll.NL("first",$J91,"Description","No.","@@"&amp;$K91),"")</f>
        <v/>
      </c>
      <c r="O91" s="83">
        <v>200</v>
      </c>
      <c r="P91" s="83">
        <v>0</v>
      </c>
      <c r="Q91" s="83">
        <v>0</v>
      </c>
      <c r="R91" s="83">
        <v>0</v>
      </c>
      <c r="S91" s="83">
        <v>0</v>
      </c>
      <c r="T91" s="83">
        <v>0</v>
      </c>
      <c r="U91" s="82"/>
    </row>
    <row r="92" spans="1:21" ht="17.25" customHeight="1" x14ac:dyDescent="0.3">
      <c r="A92" s="66" t="s">
        <v>30</v>
      </c>
      <c r="C92" s="67"/>
      <c r="D92" s="77"/>
      <c r="E92" s="77"/>
      <c r="F92" s="76"/>
      <c r="G92" s="76"/>
      <c r="H92" s="76"/>
      <c r="I92" s="76"/>
      <c r="J92" s="76"/>
      <c r="K92" s="76"/>
      <c r="L92" s="76"/>
      <c r="M92" s="76"/>
      <c r="N92" s="76"/>
      <c r="O92" s="75"/>
      <c r="P92" s="75"/>
      <c r="Q92" s="75"/>
      <c r="R92" s="75"/>
      <c r="S92" s="75"/>
      <c r="T92" s="75"/>
      <c r="U92" s="74"/>
    </row>
    <row r="93" spans="1:21" ht="17.25" customHeight="1" x14ac:dyDescent="0.3">
      <c r="A93" s="66" t="s">
        <v>30</v>
      </c>
      <c r="C93" s="67"/>
      <c r="D93" s="77"/>
      <c r="E93" s="77" t="s">
        <v>31</v>
      </c>
      <c r="F93" s="76" t="s">
        <v>31</v>
      </c>
      <c r="G93" s="76" t="s">
        <v>31</v>
      </c>
      <c r="H93" s="76"/>
      <c r="I93" s="76"/>
      <c r="J93" s="76" t="s">
        <v>31</v>
      </c>
      <c r="K93" s="76" t="s">
        <v>31</v>
      </c>
      <c r="L93" s="76" t="s">
        <v>31</v>
      </c>
      <c r="M93" s="76" t="s">
        <v>31</v>
      </c>
      <c r="N93" s="76"/>
      <c r="U93" s="81"/>
    </row>
    <row r="94" spans="1:21" ht="20.25" customHeight="1" x14ac:dyDescent="0.35">
      <c r="A94" s="66" t="s">
        <v>30</v>
      </c>
      <c r="C94" s="67"/>
      <c r="D94" s="92" t="str">
        <f t="shared" ref="D94" si="60">E94</f>
        <v>E100017</v>
      </c>
      <c r="E94" s="91" t="str">
        <f>"E100017"</f>
        <v>E100017</v>
      </c>
      <c r="F94" s="89" t="str">
        <f>"Clip-on Clock with Compass"</f>
        <v>Clip-on Clock with Compass</v>
      </c>
      <c r="G94" s="89"/>
      <c r="H94" s="90" t="str">
        <f>"EA"</f>
        <v>EA</v>
      </c>
      <c r="I94" s="89"/>
      <c r="J94" s="89"/>
      <c r="K94" s="89"/>
      <c r="L94" s="89"/>
      <c r="M94" s="89"/>
      <c r="N94" s="89"/>
      <c r="O94" s="88">
        <f>(SUBTOTAL(9,O95:O96))</f>
        <v>0</v>
      </c>
      <c r="P94" s="88">
        <f>(SUBTOTAL(9,P95:P96))</f>
        <v>-144</v>
      </c>
      <c r="Q94" s="88">
        <f>(SUBTOTAL(9,Q95:Q96))</f>
        <v>0</v>
      </c>
      <c r="R94" s="88">
        <f>(SUBTOTAL(9,R95:R96))</f>
        <v>0</v>
      </c>
      <c r="S94" s="88">
        <f>(SUBTOTAL(9,S95:S96))</f>
        <v>0</v>
      </c>
      <c r="T94" s="88">
        <f>(SUBTOTAL(9,T95:T96))</f>
        <v>0</v>
      </c>
      <c r="U94" s="87">
        <f t="shared" ref="U94" si="61">SUBTOTAL(9,O95:T96)</f>
        <v>-144</v>
      </c>
    </row>
    <row r="95" spans="1:21" ht="17.25" customHeight="1" x14ac:dyDescent="0.3">
      <c r="A95" s="66" t="s">
        <v>30</v>
      </c>
      <c r="C95" s="67"/>
      <c r="D95" s="77" t="str">
        <f t="shared" ref="D95" si="62">D94</f>
        <v>E100017</v>
      </c>
      <c r="E95" s="77"/>
      <c r="F95" s="76"/>
      <c r="G95" s="76" t="str">
        <f>"""NAV Direct"",""CRONUS JetCorp USA"",""32"",""1"",""54733"""</f>
        <v>"NAV Direct","CRONUS JetCorp USA","32","1","54733"</v>
      </c>
      <c r="H95" s="86">
        <v>43472</v>
      </c>
      <c r="I95" s="85">
        <v>54733</v>
      </c>
      <c r="J95" s="84" t="str">
        <f>"Customer"</f>
        <v>Customer</v>
      </c>
      <c r="K95" s="84" t="str">
        <f>"C100084"</f>
        <v>C100084</v>
      </c>
      <c r="L95" s="84" t="str">
        <f>IF($J95="Customer",_xll.NL("first",$J95,"Name","No.","@@"&amp;$K95),"")</f>
        <v>The Cannon Group PLC</v>
      </c>
      <c r="M95" s="84" t="str">
        <f>""</f>
        <v/>
      </c>
      <c r="N95" s="84" t="str">
        <f>IF($J95="Item",_xll.NL("first",$J95,"Description","No.","@@"&amp;$K95),"")</f>
        <v/>
      </c>
      <c r="O95" s="83">
        <v>0</v>
      </c>
      <c r="P95" s="83">
        <v>-144</v>
      </c>
      <c r="Q95" s="83">
        <v>0</v>
      </c>
      <c r="R95" s="83">
        <v>0</v>
      </c>
      <c r="S95" s="83">
        <v>0</v>
      </c>
      <c r="T95" s="83">
        <v>0</v>
      </c>
      <c r="U95" s="82"/>
    </row>
    <row r="96" spans="1:21" ht="17.25" customHeight="1" x14ac:dyDescent="0.3">
      <c r="A96" s="66" t="s">
        <v>30</v>
      </c>
      <c r="C96" s="67"/>
      <c r="D96" s="77"/>
      <c r="E96" s="77"/>
      <c r="F96" s="76"/>
      <c r="G96" s="76"/>
      <c r="H96" s="76"/>
      <c r="I96" s="76"/>
      <c r="J96" s="76"/>
      <c r="K96" s="76"/>
      <c r="L96" s="76"/>
      <c r="M96" s="76"/>
      <c r="N96" s="76"/>
      <c r="O96" s="75"/>
      <c r="P96" s="75"/>
      <c r="Q96" s="75"/>
      <c r="R96" s="75"/>
      <c r="S96" s="75"/>
      <c r="T96" s="75"/>
      <c r="U96" s="74"/>
    </row>
    <row r="97" spans="1:21" ht="17.25" customHeight="1" x14ac:dyDescent="0.3">
      <c r="A97" s="66" t="s">
        <v>30</v>
      </c>
      <c r="C97" s="67"/>
      <c r="D97" s="77"/>
      <c r="E97" s="77" t="s">
        <v>31</v>
      </c>
      <c r="F97" s="76" t="s">
        <v>31</v>
      </c>
      <c r="G97" s="76" t="s">
        <v>31</v>
      </c>
      <c r="H97" s="76"/>
      <c r="I97" s="76"/>
      <c r="J97" s="76" t="s">
        <v>31</v>
      </c>
      <c r="K97" s="76" t="s">
        <v>31</v>
      </c>
      <c r="L97" s="76" t="s">
        <v>31</v>
      </c>
      <c r="M97" s="76" t="s">
        <v>31</v>
      </c>
      <c r="N97" s="76"/>
      <c r="U97" s="81"/>
    </row>
    <row r="98" spans="1:21" ht="20.25" customHeight="1" x14ac:dyDescent="0.35">
      <c r="A98" s="66" t="s">
        <v>30</v>
      </c>
      <c r="C98" s="67"/>
      <c r="D98" s="92" t="str">
        <f t="shared" ref="D98" si="63">E98</f>
        <v>E100018</v>
      </c>
      <c r="E98" s="91" t="str">
        <f>"E100018"</f>
        <v>E100018</v>
      </c>
      <c r="F98" s="89" t="str">
        <f>"Flexi-Clock &amp; Clip"</f>
        <v>Flexi-Clock &amp; Clip</v>
      </c>
      <c r="G98" s="89"/>
      <c r="H98" s="90" t="str">
        <f>"EA"</f>
        <v>EA</v>
      </c>
      <c r="I98" s="89"/>
      <c r="J98" s="89"/>
      <c r="K98" s="89"/>
      <c r="L98" s="89"/>
      <c r="M98" s="89"/>
      <c r="N98" s="89"/>
      <c r="O98" s="88">
        <f>(SUBTOTAL(9,O99:O101))</f>
        <v>200</v>
      </c>
      <c r="P98" s="88">
        <f>(SUBTOTAL(9,P99:P101))</f>
        <v>-144</v>
      </c>
      <c r="Q98" s="88">
        <f>(SUBTOTAL(9,Q99:Q101))</f>
        <v>0</v>
      </c>
      <c r="R98" s="88">
        <f>(SUBTOTAL(9,R99:R101))</f>
        <v>0</v>
      </c>
      <c r="S98" s="88">
        <f>(SUBTOTAL(9,S99:S101))</f>
        <v>0</v>
      </c>
      <c r="T98" s="88">
        <f>(SUBTOTAL(9,T99:T101))</f>
        <v>0</v>
      </c>
      <c r="U98" s="87">
        <f t="shared" ref="U98" si="64">SUBTOTAL(9,O99:T101)</f>
        <v>56</v>
      </c>
    </row>
    <row r="99" spans="1:21" ht="17.25" customHeight="1" x14ac:dyDescent="0.3">
      <c r="A99" s="66" t="s">
        <v>30</v>
      </c>
      <c r="C99" s="67"/>
      <c r="D99" s="77" t="str">
        <f t="shared" ref="D99" si="65">D98</f>
        <v>E100018</v>
      </c>
      <c r="E99" s="77"/>
      <c r="F99" s="76"/>
      <c r="G99" s="76" t="str">
        <f>"""NAV Direct"",""CRONUS JetCorp USA"",""32"",""1"",""167544"""</f>
        <v>"NAV Direct","CRONUS JetCorp USA","32","1","167544"</v>
      </c>
      <c r="H99" s="86">
        <v>43466</v>
      </c>
      <c r="I99" s="85">
        <v>167544</v>
      </c>
      <c r="J99" s="84" t="str">
        <f>"Vendor"</f>
        <v>Vendor</v>
      </c>
      <c r="K99" s="84" t="str">
        <f>"V100001"</f>
        <v>V100001</v>
      </c>
      <c r="L99" s="84" t="str">
        <f>IF($J99="Customer",_xll.NL("first",$J99,"Name","No.","@@"&amp;$K99),"")</f>
        <v/>
      </c>
      <c r="M99" s="84" t="str">
        <f>"Greigner, Inc."</f>
        <v>Greigner, Inc.</v>
      </c>
      <c r="N99" s="84" t="str">
        <f>IF($J99="Item",_xll.NL("first",$J99,"Description","No.","@@"&amp;$K99),"")</f>
        <v/>
      </c>
      <c r="O99" s="83">
        <v>200</v>
      </c>
      <c r="P99" s="83">
        <v>0</v>
      </c>
      <c r="Q99" s="83">
        <v>0</v>
      </c>
      <c r="R99" s="83">
        <v>0</v>
      </c>
      <c r="S99" s="83">
        <v>0</v>
      </c>
      <c r="T99" s="83">
        <v>0</v>
      </c>
      <c r="U99" s="82"/>
    </row>
    <row r="100" spans="1:21" ht="17.25" customHeight="1" x14ac:dyDescent="0.3">
      <c r="A100" s="66" t="s">
        <v>30</v>
      </c>
      <c r="C100" s="67"/>
      <c r="D100" s="77" t="str">
        <f t="shared" ref="D100" si="66">D99</f>
        <v>E100018</v>
      </c>
      <c r="E100" s="77"/>
      <c r="F100" s="76"/>
      <c r="G100" s="76" t="str">
        <f>"""NAV Direct"",""CRONUS JetCorp USA"",""32"",""1"",""54737"""</f>
        <v>"NAV Direct","CRONUS JetCorp USA","32","1","54737"</v>
      </c>
      <c r="H100" s="86">
        <v>43472</v>
      </c>
      <c r="I100" s="85">
        <v>54737</v>
      </c>
      <c r="J100" s="84" t="str">
        <f>"Customer"</f>
        <v>Customer</v>
      </c>
      <c r="K100" s="84" t="str">
        <f>"C100084"</f>
        <v>C100084</v>
      </c>
      <c r="L100" s="84" t="str">
        <f>IF($J100="Customer",_xll.NL("first",$J100,"Name","No.","@@"&amp;$K100),"")</f>
        <v>The Cannon Group PLC</v>
      </c>
      <c r="M100" s="84" t="str">
        <f>""</f>
        <v/>
      </c>
      <c r="N100" s="84" t="str">
        <f>IF($J100="Item",_xll.NL("first",$J100,"Description","No.","@@"&amp;$K100),"")</f>
        <v/>
      </c>
      <c r="O100" s="83">
        <v>0</v>
      </c>
      <c r="P100" s="83">
        <v>-144</v>
      </c>
      <c r="Q100" s="83">
        <v>0</v>
      </c>
      <c r="R100" s="83">
        <v>0</v>
      </c>
      <c r="S100" s="83">
        <v>0</v>
      </c>
      <c r="T100" s="83">
        <v>0</v>
      </c>
      <c r="U100" s="82"/>
    </row>
    <row r="101" spans="1:21" ht="17.25" customHeight="1" x14ac:dyDescent="0.3">
      <c r="A101" s="66" t="s">
        <v>30</v>
      </c>
      <c r="C101" s="67"/>
      <c r="D101" s="77"/>
      <c r="E101" s="77"/>
      <c r="F101" s="76"/>
      <c r="G101" s="76"/>
      <c r="H101" s="76"/>
      <c r="I101" s="76"/>
      <c r="J101" s="76"/>
      <c r="K101" s="76"/>
      <c r="L101" s="76"/>
      <c r="M101" s="76"/>
      <c r="N101" s="76"/>
      <c r="O101" s="75"/>
      <c r="P101" s="75"/>
      <c r="Q101" s="75"/>
      <c r="R101" s="75"/>
      <c r="S101" s="75"/>
      <c r="T101" s="75"/>
      <c r="U101" s="74"/>
    </row>
    <row r="102" spans="1:21" ht="17.25" customHeight="1" x14ac:dyDescent="0.3">
      <c r="A102" s="66" t="s">
        <v>30</v>
      </c>
      <c r="C102" s="67"/>
      <c r="D102" s="77"/>
      <c r="E102" s="77" t="s">
        <v>31</v>
      </c>
      <c r="F102" s="76" t="s">
        <v>31</v>
      </c>
      <c r="G102" s="76" t="s">
        <v>31</v>
      </c>
      <c r="H102" s="76"/>
      <c r="I102" s="76"/>
      <c r="J102" s="76" t="s">
        <v>31</v>
      </c>
      <c r="K102" s="76" t="s">
        <v>31</v>
      </c>
      <c r="L102" s="76" t="s">
        <v>31</v>
      </c>
      <c r="M102" s="76" t="s">
        <v>31</v>
      </c>
      <c r="N102" s="76"/>
      <c r="U102" s="81"/>
    </row>
    <row r="103" spans="1:21" ht="20.25" customHeight="1" x14ac:dyDescent="0.35">
      <c r="A103" s="66" t="s">
        <v>30</v>
      </c>
      <c r="C103" s="67"/>
      <c r="D103" s="92" t="str">
        <f t="shared" ref="D103" si="67">E103</f>
        <v>E100022</v>
      </c>
      <c r="E103" s="91" t="str">
        <f>"E100022"</f>
        <v>E100022</v>
      </c>
      <c r="F103" s="89" t="str">
        <f>"Wide Screen Alarm Clock"</f>
        <v>Wide Screen Alarm Clock</v>
      </c>
      <c r="G103" s="89"/>
      <c r="H103" s="90" t="str">
        <f>"EA"</f>
        <v>EA</v>
      </c>
      <c r="I103" s="89"/>
      <c r="J103" s="89"/>
      <c r="K103" s="89"/>
      <c r="L103" s="89"/>
      <c r="M103" s="89"/>
      <c r="N103" s="89"/>
      <c r="O103" s="88">
        <f>(SUBTOTAL(9,O104:O105))</f>
        <v>200</v>
      </c>
      <c r="P103" s="88">
        <f>(SUBTOTAL(9,P104:P105))</f>
        <v>0</v>
      </c>
      <c r="Q103" s="88">
        <f>(SUBTOTAL(9,Q104:Q105))</f>
        <v>0</v>
      </c>
      <c r="R103" s="88">
        <f>(SUBTOTAL(9,R104:R105))</f>
        <v>0</v>
      </c>
      <c r="S103" s="88">
        <f>(SUBTOTAL(9,S104:S105))</f>
        <v>0</v>
      </c>
      <c r="T103" s="88">
        <f>(SUBTOTAL(9,T104:T105))</f>
        <v>0</v>
      </c>
      <c r="U103" s="87">
        <f t="shared" ref="U103" si="68">SUBTOTAL(9,O104:T105)</f>
        <v>200</v>
      </c>
    </row>
    <row r="104" spans="1:21" ht="17.25" customHeight="1" x14ac:dyDescent="0.3">
      <c r="A104" s="66" t="s">
        <v>30</v>
      </c>
      <c r="C104" s="67"/>
      <c r="D104" s="77" t="str">
        <f t="shared" ref="D104" si="69">D103</f>
        <v>E100022</v>
      </c>
      <c r="E104" s="77"/>
      <c r="F104" s="76"/>
      <c r="G104" s="76" t="str">
        <f>"""NAV Direct"",""CRONUS JetCorp USA"",""32"",""1"",""167543"""</f>
        <v>"NAV Direct","CRONUS JetCorp USA","32","1","167543"</v>
      </c>
      <c r="H104" s="86">
        <v>43466</v>
      </c>
      <c r="I104" s="85">
        <v>167543</v>
      </c>
      <c r="J104" s="84" t="str">
        <f>"Vendor"</f>
        <v>Vendor</v>
      </c>
      <c r="K104" s="84" t="str">
        <f>"V100001"</f>
        <v>V100001</v>
      </c>
      <c r="L104" s="84" t="str">
        <f>IF($J104="Customer",_xll.NL("first",$J104,"Name","No.","@@"&amp;$K104),"")</f>
        <v/>
      </c>
      <c r="M104" s="84" t="str">
        <f>"Greigner, Inc."</f>
        <v>Greigner, Inc.</v>
      </c>
      <c r="N104" s="84" t="str">
        <f>IF($J104="Item",_xll.NL("first",$J104,"Description","No.","@@"&amp;$K104),"")</f>
        <v/>
      </c>
      <c r="O104" s="83">
        <v>200</v>
      </c>
      <c r="P104" s="83">
        <v>0</v>
      </c>
      <c r="Q104" s="83">
        <v>0</v>
      </c>
      <c r="R104" s="83">
        <v>0</v>
      </c>
      <c r="S104" s="83">
        <v>0</v>
      </c>
      <c r="T104" s="83">
        <v>0</v>
      </c>
      <c r="U104" s="82"/>
    </row>
    <row r="105" spans="1:21" ht="17.25" customHeight="1" x14ac:dyDescent="0.3">
      <c r="A105" s="66" t="s">
        <v>30</v>
      </c>
      <c r="C105" s="67"/>
      <c r="D105" s="77"/>
      <c r="E105" s="77"/>
      <c r="F105" s="76"/>
      <c r="G105" s="76"/>
      <c r="H105" s="76"/>
      <c r="I105" s="76"/>
      <c r="J105" s="76"/>
      <c r="K105" s="76"/>
      <c r="L105" s="76"/>
      <c r="M105" s="76"/>
      <c r="N105" s="76"/>
      <c r="O105" s="75"/>
      <c r="P105" s="75"/>
      <c r="Q105" s="75"/>
      <c r="R105" s="75"/>
      <c r="S105" s="75"/>
      <c r="T105" s="75"/>
      <c r="U105" s="74"/>
    </row>
    <row r="106" spans="1:21" ht="17.25" customHeight="1" x14ac:dyDescent="0.3">
      <c r="A106" s="66" t="s">
        <v>30</v>
      </c>
      <c r="C106" s="67"/>
      <c r="D106" s="77"/>
      <c r="E106" s="77" t="s">
        <v>31</v>
      </c>
      <c r="F106" s="76" t="s">
        <v>31</v>
      </c>
      <c r="G106" s="76" t="s">
        <v>31</v>
      </c>
      <c r="H106" s="76"/>
      <c r="I106" s="76"/>
      <c r="J106" s="76" t="s">
        <v>31</v>
      </c>
      <c r="K106" s="76" t="s">
        <v>31</v>
      </c>
      <c r="L106" s="76" t="s">
        <v>31</v>
      </c>
      <c r="M106" s="76" t="s">
        <v>31</v>
      </c>
      <c r="N106" s="76"/>
      <c r="U106" s="81"/>
    </row>
    <row r="107" spans="1:21" ht="20.25" customHeight="1" x14ac:dyDescent="0.35">
      <c r="A107" s="66" t="s">
        <v>30</v>
      </c>
      <c r="C107" s="67"/>
      <c r="D107" s="92" t="str">
        <f t="shared" ref="D107" si="70">E107</f>
        <v>E100024</v>
      </c>
      <c r="E107" s="91" t="str">
        <f>"E100024"</f>
        <v>E100024</v>
      </c>
      <c r="F107" s="89" t="str">
        <f>"Arch Calculator"</f>
        <v>Arch Calculator</v>
      </c>
      <c r="G107" s="89"/>
      <c r="H107" s="90" t="str">
        <f>"EA"</f>
        <v>EA</v>
      </c>
      <c r="I107" s="89"/>
      <c r="J107" s="89"/>
      <c r="K107" s="89"/>
      <c r="L107" s="89"/>
      <c r="M107" s="89"/>
      <c r="N107" s="89"/>
      <c r="O107" s="88">
        <f>(SUBTOTAL(9,O108:O109))</f>
        <v>249.99999999999997</v>
      </c>
      <c r="P107" s="88">
        <f>(SUBTOTAL(9,P108:P109))</f>
        <v>0</v>
      </c>
      <c r="Q107" s="88">
        <f>(SUBTOTAL(9,Q108:Q109))</f>
        <v>0</v>
      </c>
      <c r="R107" s="88">
        <f>(SUBTOTAL(9,R108:R109))</f>
        <v>0</v>
      </c>
      <c r="S107" s="88">
        <f>(SUBTOTAL(9,S108:S109))</f>
        <v>0</v>
      </c>
      <c r="T107" s="88">
        <f>(SUBTOTAL(9,T108:T109))</f>
        <v>0</v>
      </c>
      <c r="U107" s="87">
        <f t="shared" ref="U107" si="71">SUBTOTAL(9,O108:T109)</f>
        <v>249.99999999999997</v>
      </c>
    </row>
    <row r="108" spans="1:21" ht="17.25" customHeight="1" x14ac:dyDescent="0.3">
      <c r="A108" s="66" t="s">
        <v>30</v>
      </c>
      <c r="C108" s="67"/>
      <c r="D108" s="77" t="str">
        <f t="shared" ref="D108" si="72">D107</f>
        <v>E100024</v>
      </c>
      <c r="E108" s="77"/>
      <c r="F108" s="76"/>
      <c r="G108" s="76" t="str">
        <f>"""NAV Direct"",""CRONUS JetCorp USA"",""32"",""1"",""168327"""</f>
        <v>"NAV Direct","CRONUS JetCorp USA","32","1","168327"</v>
      </c>
      <c r="H108" s="86">
        <v>43466</v>
      </c>
      <c r="I108" s="85">
        <v>168327</v>
      </c>
      <c r="J108" s="84" t="str">
        <f>"Vendor"</f>
        <v>Vendor</v>
      </c>
      <c r="K108" s="84" t="str">
        <f>"V100001"</f>
        <v>V100001</v>
      </c>
      <c r="L108" s="84" t="str">
        <f>IF($J108="Customer",_xll.NL("first",$J108,"Name","No.","@@"&amp;$K108),"")</f>
        <v/>
      </c>
      <c r="M108" s="84" t="str">
        <f>"Greigner, Inc."</f>
        <v>Greigner, Inc.</v>
      </c>
      <c r="N108" s="84" t="str">
        <f>IF($J108="Item",_xll.NL("first",$J108,"Description","No.","@@"&amp;$K108),"")</f>
        <v/>
      </c>
      <c r="O108" s="83">
        <v>249.99999999999997</v>
      </c>
      <c r="P108" s="83">
        <v>0</v>
      </c>
      <c r="Q108" s="83">
        <v>0</v>
      </c>
      <c r="R108" s="83">
        <v>0</v>
      </c>
      <c r="S108" s="83">
        <v>0</v>
      </c>
      <c r="T108" s="83">
        <v>0</v>
      </c>
      <c r="U108" s="82"/>
    </row>
    <row r="109" spans="1:21" ht="17.25" customHeight="1" x14ac:dyDescent="0.3">
      <c r="A109" s="66" t="s">
        <v>30</v>
      </c>
      <c r="C109" s="67"/>
      <c r="D109" s="77"/>
      <c r="E109" s="77"/>
      <c r="F109" s="76"/>
      <c r="G109" s="76"/>
      <c r="H109" s="76"/>
      <c r="I109" s="76"/>
      <c r="J109" s="76"/>
      <c r="K109" s="76"/>
      <c r="L109" s="76"/>
      <c r="M109" s="76"/>
      <c r="N109" s="76"/>
      <c r="O109" s="75"/>
      <c r="P109" s="75"/>
      <c r="Q109" s="75"/>
      <c r="R109" s="75"/>
      <c r="S109" s="75"/>
      <c r="T109" s="75"/>
      <c r="U109" s="74"/>
    </row>
    <row r="110" spans="1:21" ht="17.25" customHeight="1" x14ac:dyDescent="0.3">
      <c r="A110" s="66" t="s">
        <v>30</v>
      </c>
      <c r="C110" s="67"/>
      <c r="D110" s="77"/>
      <c r="E110" s="77" t="s">
        <v>31</v>
      </c>
      <c r="F110" s="76" t="s">
        <v>31</v>
      </c>
      <c r="G110" s="76" t="s">
        <v>31</v>
      </c>
      <c r="H110" s="76"/>
      <c r="I110" s="76"/>
      <c r="J110" s="76" t="s">
        <v>31</v>
      </c>
      <c r="K110" s="76" t="s">
        <v>31</v>
      </c>
      <c r="L110" s="76" t="s">
        <v>31</v>
      </c>
      <c r="M110" s="76" t="s">
        <v>31</v>
      </c>
      <c r="N110" s="76"/>
      <c r="U110" s="81"/>
    </row>
    <row r="111" spans="1:21" ht="20.25" customHeight="1" x14ac:dyDescent="0.35">
      <c r="A111" s="66" t="s">
        <v>30</v>
      </c>
      <c r="C111" s="67"/>
      <c r="D111" s="92" t="str">
        <f t="shared" ref="D111" si="73">E111</f>
        <v>E100026</v>
      </c>
      <c r="E111" s="91" t="str">
        <f>"E100026"</f>
        <v>E100026</v>
      </c>
      <c r="F111" s="89" t="str">
        <f>"Desk Calculator"</f>
        <v>Desk Calculator</v>
      </c>
      <c r="G111" s="89"/>
      <c r="H111" s="90" t="str">
        <f>"EA"</f>
        <v>EA</v>
      </c>
      <c r="I111" s="89"/>
      <c r="J111" s="89"/>
      <c r="K111" s="89"/>
      <c r="L111" s="89"/>
      <c r="M111" s="89"/>
      <c r="N111" s="89"/>
      <c r="O111" s="88">
        <f>(SUBTOTAL(9,O112:O113))</f>
        <v>249.99999999999997</v>
      </c>
      <c r="P111" s="88">
        <f>(SUBTOTAL(9,P112:P113))</f>
        <v>0</v>
      </c>
      <c r="Q111" s="88">
        <f>(SUBTOTAL(9,Q112:Q113))</f>
        <v>0</v>
      </c>
      <c r="R111" s="88">
        <f>(SUBTOTAL(9,R112:R113))</f>
        <v>0</v>
      </c>
      <c r="S111" s="88">
        <f>(SUBTOTAL(9,S112:S113))</f>
        <v>0</v>
      </c>
      <c r="T111" s="88">
        <f>(SUBTOTAL(9,T112:T113))</f>
        <v>0</v>
      </c>
      <c r="U111" s="87">
        <f t="shared" ref="U111" si="74">SUBTOTAL(9,O112:T113)</f>
        <v>249.99999999999997</v>
      </c>
    </row>
    <row r="112" spans="1:21" ht="17.25" customHeight="1" x14ac:dyDescent="0.3">
      <c r="A112" s="66" t="s">
        <v>30</v>
      </c>
      <c r="C112" s="67"/>
      <c r="D112" s="77" t="str">
        <f t="shared" ref="D112" si="75">D111</f>
        <v>E100026</v>
      </c>
      <c r="E112" s="77"/>
      <c r="F112" s="76"/>
      <c r="G112" s="76" t="str">
        <f>"""NAV Direct"",""CRONUS JetCorp USA"",""32"",""1"",""168326"""</f>
        <v>"NAV Direct","CRONUS JetCorp USA","32","1","168326"</v>
      </c>
      <c r="H112" s="86">
        <v>43466</v>
      </c>
      <c r="I112" s="85">
        <v>168326</v>
      </c>
      <c r="J112" s="84" t="str">
        <f>"Vendor"</f>
        <v>Vendor</v>
      </c>
      <c r="K112" s="84" t="str">
        <f>"V100001"</f>
        <v>V100001</v>
      </c>
      <c r="L112" s="84" t="str">
        <f>IF($J112="Customer",_xll.NL("first",$J112,"Name","No.","@@"&amp;$K112),"")</f>
        <v/>
      </c>
      <c r="M112" s="84" t="str">
        <f>"Greigner, Inc."</f>
        <v>Greigner, Inc.</v>
      </c>
      <c r="N112" s="84" t="str">
        <f>IF($J112="Item",_xll.NL("first",$J112,"Description","No.","@@"&amp;$K112),"")</f>
        <v/>
      </c>
      <c r="O112" s="83">
        <v>249.99999999999997</v>
      </c>
      <c r="P112" s="83">
        <v>0</v>
      </c>
      <c r="Q112" s="83">
        <v>0</v>
      </c>
      <c r="R112" s="83">
        <v>0</v>
      </c>
      <c r="S112" s="83">
        <v>0</v>
      </c>
      <c r="T112" s="83">
        <v>0</v>
      </c>
      <c r="U112" s="82"/>
    </row>
    <row r="113" spans="1:21" ht="17.25" customHeight="1" x14ac:dyDescent="0.3">
      <c r="A113" s="66" t="s">
        <v>30</v>
      </c>
      <c r="C113" s="67"/>
      <c r="D113" s="77"/>
      <c r="E113" s="77"/>
      <c r="F113" s="76"/>
      <c r="G113" s="76"/>
      <c r="H113" s="76"/>
      <c r="I113" s="76"/>
      <c r="J113" s="76"/>
      <c r="K113" s="76"/>
      <c r="L113" s="76"/>
      <c r="M113" s="76"/>
      <c r="N113" s="76"/>
      <c r="O113" s="75"/>
      <c r="P113" s="75"/>
      <c r="Q113" s="75"/>
      <c r="R113" s="75"/>
      <c r="S113" s="75"/>
      <c r="T113" s="75"/>
      <c r="U113" s="74"/>
    </row>
    <row r="114" spans="1:21" ht="17.25" customHeight="1" x14ac:dyDescent="0.3">
      <c r="A114" s="66" t="s">
        <v>30</v>
      </c>
      <c r="C114" s="67"/>
      <c r="D114" s="77"/>
      <c r="E114" s="77" t="s">
        <v>31</v>
      </c>
      <c r="F114" s="76" t="s">
        <v>31</v>
      </c>
      <c r="G114" s="76" t="s">
        <v>31</v>
      </c>
      <c r="H114" s="76"/>
      <c r="I114" s="76"/>
      <c r="J114" s="76" t="s">
        <v>31</v>
      </c>
      <c r="K114" s="76" t="s">
        <v>31</v>
      </c>
      <c r="L114" s="76" t="s">
        <v>31</v>
      </c>
      <c r="M114" s="76" t="s">
        <v>31</v>
      </c>
      <c r="N114" s="76"/>
      <c r="U114" s="81"/>
    </row>
    <row r="115" spans="1:21" ht="20.25" customHeight="1" x14ac:dyDescent="0.35">
      <c r="A115" s="66" t="s">
        <v>30</v>
      </c>
      <c r="C115" s="67"/>
      <c r="D115" s="92" t="str">
        <f t="shared" ref="D115" si="76">E115</f>
        <v>E100027</v>
      </c>
      <c r="E115" s="91" t="str">
        <f>"E100027"</f>
        <v>E100027</v>
      </c>
      <c r="F115" s="89" t="str">
        <f>"Ergo-Calculator"</f>
        <v>Ergo-Calculator</v>
      </c>
      <c r="G115" s="89"/>
      <c r="H115" s="90" t="str">
        <f>"EA"</f>
        <v>EA</v>
      </c>
      <c r="I115" s="89"/>
      <c r="J115" s="89"/>
      <c r="K115" s="89"/>
      <c r="L115" s="89"/>
      <c r="M115" s="89"/>
      <c r="N115" s="89"/>
      <c r="O115" s="88">
        <f>(SUBTOTAL(9,O116:O118))</f>
        <v>249.99999999999997</v>
      </c>
      <c r="P115" s="88">
        <f>(SUBTOTAL(9,P116:P118))</f>
        <v>-144</v>
      </c>
      <c r="Q115" s="88">
        <f>(SUBTOTAL(9,Q116:Q118))</f>
        <v>0</v>
      </c>
      <c r="R115" s="88">
        <f>(SUBTOTAL(9,R116:R118))</f>
        <v>0</v>
      </c>
      <c r="S115" s="88">
        <f>(SUBTOTAL(9,S116:S118))</f>
        <v>0</v>
      </c>
      <c r="T115" s="88">
        <f>(SUBTOTAL(9,T116:T118))</f>
        <v>0</v>
      </c>
      <c r="U115" s="87">
        <f t="shared" ref="U115" si="77">SUBTOTAL(9,O116:T118)</f>
        <v>105.99999999999997</v>
      </c>
    </row>
    <row r="116" spans="1:21" ht="17.25" customHeight="1" x14ac:dyDescent="0.3">
      <c r="A116" s="66" t="s">
        <v>30</v>
      </c>
      <c r="C116" s="67"/>
      <c r="D116" s="77" t="str">
        <f t="shared" ref="D116" si="78">D115</f>
        <v>E100027</v>
      </c>
      <c r="E116" s="77"/>
      <c r="F116" s="76"/>
      <c r="G116" s="76" t="str">
        <f>"""NAV Direct"",""CRONUS JetCorp USA"",""32"",""1"",""168325"""</f>
        <v>"NAV Direct","CRONUS JetCorp USA","32","1","168325"</v>
      </c>
      <c r="H116" s="86">
        <v>43466</v>
      </c>
      <c r="I116" s="85">
        <v>168325</v>
      </c>
      <c r="J116" s="84" t="str">
        <f>"Vendor"</f>
        <v>Vendor</v>
      </c>
      <c r="K116" s="84" t="str">
        <f>"V100001"</f>
        <v>V100001</v>
      </c>
      <c r="L116" s="84" t="str">
        <f>IF($J116="Customer",_xll.NL("first",$J116,"Name","No.","@@"&amp;$K116),"")</f>
        <v/>
      </c>
      <c r="M116" s="84" t="str">
        <f>"Greigner, Inc."</f>
        <v>Greigner, Inc.</v>
      </c>
      <c r="N116" s="84" t="str">
        <f>IF($J116="Item",_xll.NL("first",$J116,"Description","No.","@@"&amp;$K116),"")</f>
        <v/>
      </c>
      <c r="O116" s="83">
        <v>249.99999999999997</v>
      </c>
      <c r="P116" s="83">
        <v>0</v>
      </c>
      <c r="Q116" s="83">
        <v>0</v>
      </c>
      <c r="R116" s="83">
        <v>0</v>
      </c>
      <c r="S116" s="83">
        <v>0</v>
      </c>
      <c r="T116" s="83">
        <v>0</v>
      </c>
      <c r="U116" s="82"/>
    </row>
    <row r="117" spans="1:21" ht="17.25" customHeight="1" x14ac:dyDescent="0.3">
      <c r="A117" s="66" t="s">
        <v>30</v>
      </c>
      <c r="C117" s="67"/>
      <c r="D117" s="77" t="str">
        <f t="shared" ref="D117" si="79">D116</f>
        <v>E100027</v>
      </c>
      <c r="E117" s="77"/>
      <c r="F117" s="76"/>
      <c r="G117" s="76" t="str">
        <f>"""NAV Direct"",""CRONUS JetCorp USA"",""32"",""1"",""54730"""</f>
        <v>"NAV Direct","CRONUS JetCorp USA","32","1","54730"</v>
      </c>
      <c r="H117" s="86">
        <v>43472</v>
      </c>
      <c r="I117" s="85">
        <v>54730</v>
      </c>
      <c r="J117" s="84" t="str">
        <f>"Customer"</f>
        <v>Customer</v>
      </c>
      <c r="K117" s="84" t="str">
        <f>"C100084"</f>
        <v>C100084</v>
      </c>
      <c r="L117" s="84" t="str">
        <f>IF($J117="Customer",_xll.NL("first",$J117,"Name","No.","@@"&amp;$K117),"")</f>
        <v>The Cannon Group PLC</v>
      </c>
      <c r="M117" s="84" t="str">
        <f>""</f>
        <v/>
      </c>
      <c r="N117" s="84" t="str">
        <f>IF($J117="Item",_xll.NL("first",$J117,"Description","No.","@@"&amp;$K117),"")</f>
        <v/>
      </c>
      <c r="O117" s="83">
        <v>0</v>
      </c>
      <c r="P117" s="83">
        <v>-144</v>
      </c>
      <c r="Q117" s="83">
        <v>0</v>
      </c>
      <c r="R117" s="83">
        <v>0</v>
      </c>
      <c r="S117" s="83">
        <v>0</v>
      </c>
      <c r="T117" s="83">
        <v>0</v>
      </c>
      <c r="U117" s="82"/>
    </row>
    <row r="118" spans="1:21" ht="17.25" customHeight="1" x14ac:dyDescent="0.3">
      <c r="A118" s="66" t="s">
        <v>30</v>
      </c>
      <c r="C118" s="67"/>
      <c r="D118" s="77"/>
      <c r="E118" s="77"/>
      <c r="F118" s="76"/>
      <c r="G118" s="76"/>
      <c r="H118" s="76"/>
      <c r="I118" s="76"/>
      <c r="J118" s="76"/>
      <c r="K118" s="76"/>
      <c r="L118" s="76"/>
      <c r="M118" s="76"/>
      <c r="N118" s="76"/>
      <c r="O118" s="75"/>
      <c r="P118" s="75"/>
      <c r="Q118" s="75"/>
      <c r="R118" s="75"/>
      <c r="S118" s="75"/>
      <c r="T118" s="75"/>
      <c r="U118" s="74"/>
    </row>
    <row r="119" spans="1:21" ht="17.25" customHeight="1" x14ac:dyDescent="0.3">
      <c r="A119" s="66" t="s">
        <v>30</v>
      </c>
      <c r="C119" s="67"/>
      <c r="D119" s="77"/>
      <c r="E119" s="77" t="s">
        <v>31</v>
      </c>
      <c r="F119" s="76" t="s">
        <v>31</v>
      </c>
      <c r="G119" s="76" t="s">
        <v>31</v>
      </c>
      <c r="H119" s="76"/>
      <c r="I119" s="76"/>
      <c r="J119" s="76" t="s">
        <v>31</v>
      </c>
      <c r="K119" s="76" t="s">
        <v>31</v>
      </c>
      <c r="L119" s="76" t="s">
        <v>31</v>
      </c>
      <c r="M119" s="76" t="s">
        <v>31</v>
      </c>
      <c r="N119" s="76"/>
      <c r="U119" s="81"/>
    </row>
    <row r="120" spans="1:21" ht="20.25" customHeight="1" x14ac:dyDescent="0.35">
      <c r="A120" s="66" t="s">
        <v>30</v>
      </c>
      <c r="C120" s="67"/>
      <c r="D120" s="92" t="str">
        <f t="shared" ref="D120" si="80">E120</f>
        <v>E100028</v>
      </c>
      <c r="E120" s="91" t="str">
        <f>"E100028"</f>
        <v>E100028</v>
      </c>
      <c r="F120" s="89" t="str">
        <f>"USB 4-Port Hub"</f>
        <v>USB 4-Port Hub</v>
      </c>
      <c r="G120" s="89"/>
      <c r="H120" s="90" t="str">
        <f>"EA"</f>
        <v>EA</v>
      </c>
      <c r="I120" s="89"/>
      <c r="J120" s="89"/>
      <c r="K120" s="89"/>
      <c r="L120" s="89"/>
      <c r="M120" s="89"/>
      <c r="N120" s="89"/>
      <c r="O120" s="88">
        <f>(SUBTOTAL(9,O121:O123))</f>
        <v>249.99999999999997</v>
      </c>
      <c r="P120" s="88">
        <f>(SUBTOTAL(9,P121:P123))</f>
        <v>-144</v>
      </c>
      <c r="Q120" s="88">
        <f>(SUBTOTAL(9,Q121:Q123))</f>
        <v>0</v>
      </c>
      <c r="R120" s="88">
        <f>(SUBTOTAL(9,R121:R123))</f>
        <v>0</v>
      </c>
      <c r="S120" s="88">
        <f>(SUBTOTAL(9,S121:S123))</f>
        <v>0</v>
      </c>
      <c r="T120" s="88">
        <f>(SUBTOTAL(9,T121:T123))</f>
        <v>0</v>
      </c>
      <c r="U120" s="87">
        <f t="shared" ref="U120" si="81">SUBTOTAL(9,O121:T123)</f>
        <v>105.99999999999997</v>
      </c>
    </row>
    <row r="121" spans="1:21" ht="17.25" customHeight="1" x14ac:dyDescent="0.3">
      <c r="A121" s="66" t="s">
        <v>30</v>
      </c>
      <c r="C121" s="67"/>
      <c r="D121" s="77" t="str">
        <f t="shared" ref="D121" si="82">D120</f>
        <v>E100028</v>
      </c>
      <c r="E121" s="77"/>
      <c r="F121" s="76"/>
      <c r="G121" s="76" t="str">
        <f>"""NAV Direct"",""CRONUS JetCorp USA"",""32"",""1"",""168324"""</f>
        <v>"NAV Direct","CRONUS JetCorp USA","32","1","168324"</v>
      </c>
      <c r="H121" s="86">
        <v>43466</v>
      </c>
      <c r="I121" s="85">
        <v>168324</v>
      </c>
      <c r="J121" s="84" t="str">
        <f>"Vendor"</f>
        <v>Vendor</v>
      </c>
      <c r="K121" s="84" t="str">
        <f>"V100001"</f>
        <v>V100001</v>
      </c>
      <c r="L121" s="84" t="str">
        <f>IF($J121="Customer",_xll.NL("first",$J121,"Name","No.","@@"&amp;$K121),"")</f>
        <v/>
      </c>
      <c r="M121" s="84" t="str">
        <f>"Greigner, Inc."</f>
        <v>Greigner, Inc.</v>
      </c>
      <c r="N121" s="84" t="str">
        <f>IF($J121="Item",_xll.NL("first",$J121,"Description","No.","@@"&amp;$K121),"")</f>
        <v/>
      </c>
      <c r="O121" s="83">
        <v>249.99999999999997</v>
      </c>
      <c r="P121" s="83">
        <v>0</v>
      </c>
      <c r="Q121" s="83">
        <v>0</v>
      </c>
      <c r="R121" s="83">
        <v>0</v>
      </c>
      <c r="S121" s="83">
        <v>0</v>
      </c>
      <c r="T121" s="83">
        <v>0</v>
      </c>
      <c r="U121" s="82"/>
    </row>
    <row r="122" spans="1:21" ht="17.25" customHeight="1" x14ac:dyDescent="0.3">
      <c r="A122" s="66" t="s">
        <v>30</v>
      </c>
      <c r="C122" s="67"/>
      <c r="D122" s="77" t="str">
        <f t="shared" ref="D122" si="83">D121</f>
        <v>E100028</v>
      </c>
      <c r="E122" s="77"/>
      <c r="F122" s="76"/>
      <c r="G122" s="76" t="str">
        <f>"""NAV Direct"",""CRONUS JetCorp USA"",""32"",""1"",""54728"""</f>
        <v>"NAV Direct","CRONUS JetCorp USA","32","1","54728"</v>
      </c>
      <c r="H122" s="86">
        <v>43472</v>
      </c>
      <c r="I122" s="85">
        <v>54728</v>
      </c>
      <c r="J122" s="84" t="str">
        <f>"Customer"</f>
        <v>Customer</v>
      </c>
      <c r="K122" s="84" t="str">
        <f>"C100084"</f>
        <v>C100084</v>
      </c>
      <c r="L122" s="84" t="str">
        <f>IF($J122="Customer",_xll.NL("first",$J122,"Name","No.","@@"&amp;$K122),"")</f>
        <v>The Cannon Group PLC</v>
      </c>
      <c r="M122" s="84" t="str">
        <f>""</f>
        <v/>
      </c>
      <c r="N122" s="84" t="str">
        <f>IF($J122="Item",_xll.NL("first",$J122,"Description","No.","@@"&amp;$K122),"")</f>
        <v/>
      </c>
      <c r="O122" s="83">
        <v>0</v>
      </c>
      <c r="P122" s="83">
        <v>-144</v>
      </c>
      <c r="Q122" s="83">
        <v>0</v>
      </c>
      <c r="R122" s="83">
        <v>0</v>
      </c>
      <c r="S122" s="83">
        <v>0</v>
      </c>
      <c r="T122" s="83">
        <v>0</v>
      </c>
      <c r="U122" s="82"/>
    </row>
    <row r="123" spans="1:21" ht="17.25" customHeight="1" x14ac:dyDescent="0.3">
      <c r="A123" s="66" t="s">
        <v>30</v>
      </c>
      <c r="C123" s="67"/>
      <c r="D123" s="77"/>
      <c r="E123" s="77"/>
      <c r="F123" s="76"/>
      <c r="G123" s="76"/>
      <c r="H123" s="76"/>
      <c r="I123" s="76"/>
      <c r="J123" s="76"/>
      <c r="K123" s="76"/>
      <c r="L123" s="76"/>
      <c r="M123" s="76"/>
      <c r="N123" s="76"/>
      <c r="O123" s="75"/>
      <c r="P123" s="75"/>
      <c r="Q123" s="75"/>
      <c r="R123" s="75"/>
      <c r="S123" s="75"/>
      <c r="T123" s="75"/>
      <c r="U123" s="74"/>
    </row>
    <row r="124" spans="1:21" ht="17.25" customHeight="1" x14ac:dyDescent="0.3">
      <c r="A124" s="66" t="s">
        <v>30</v>
      </c>
      <c r="C124" s="67"/>
      <c r="D124" s="77"/>
      <c r="E124" s="77" t="s">
        <v>31</v>
      </c>
      <c r="F124" s="76" t="s">
        <v>31</v>
      </c>
      <c r="G124" s="76" t="s">
        <v>31</v>
      </c>
      <c r="H124" s="76"/>
      <c r="I124" s="76"/>
      <c r="J124" s="76" t="s">
        <v>31</v>
      </c>
      <c r="K124" s="76" t="s">
        <v>31</v>
      </c>
      <c r="L124" s="76" t="s">
        <v>31</v>
      </c>
      <c r="M124" s="76" t="s">
        <v>31</v>
      </c>
      <c r="N124" s="76"/>
      <c r="U124" s="81"/>
    </row>
    <row r="125" spans="1:21" ht="20.25" customHeight="1" x14ac:dyDescent="0.35">
      <c r="A125" s="66" t="s">
        <v>30</v>
      </c>
      <c r="C125" s="67"/>
      <c r="D125" s="92" t="str">
        <f t="shared" ref="D125" si="84">E125</f>
        <v>E100030</v>
      </c>
      <c r="E125" s="91" t="str">
        <f>"E100030"</f>
        <v>E100030</v>
      </c>
      <c r="F125" s="89" t="str">
        <f>"LED Keychain"</f>
        <v>LED Keychain</v>
      </c>
      <c r="G125" s="89"/>
      <c r="H125" s="90" t="str">
        <f>"EA"</f>
        <v>EA</v>
      </c>
      <c r="I125" s="89"/>
      <c r="J125" s="89"/>
      <c r="K125" s="89"/>
      <c r="L125" s="89"/>
      <c r="M125" s="89"/>
      <c r="N125" s="89"/>
      <c r="O125" s="88">
        <f>(SUBTOTAL(9,O126:O127))</f>
        <v>0</v>
      </c>
      <c r="P125" s="88">
        <f>(SUBTOTAL(9,P126:P127))</f>
        <v>-144</v>
      </c>
      <c r="Q125" s="88">
        <f>(SUBTOTAL(9,Q126:Q127))</f>
        <v>0</v>
      </c>
      <c r="R125" s="88">
        <f>(SUBTOTAL(9,R126:R127))</f>
        <v>0</v>
      </c>
      <c r="S125" s="88">
        <f>(SUBTOTAL(9,S126:S127))</f>
        <v>0</v>
      </c>
      <c r="T125" s="88">
        <f>(SUBTOTAL(9,T126:T127))</f>
        <v>0</v>
      </c>
      <c r="U125" s="87">
        <f t="shared" ref="U125" si="85">SUBTOTAL(9,O126:T127)</f>
        <v>-144</v>
      </c>
    </row>
    <row r="126" spans="1:21" ht="17.25" customHeight="1" x14ac:dyDescent="0.3">
      <c r="A126" s="66" t="s">
        <v>30</v>
      </c>
      <c r="C126" s="67"/>
      <c r="D126" s="77" t="str">
        <f t="shared" ref="D126" si="86">D125</f>
        <v>E100030</v>
      </c>
      <c r="E126" s="77"/>
      <c r="F126" s="76"/>
      <c r="G126" s="76" t="str">
        <f>"""NAV Direct"",""CRONUS JetCorp USA"",""32"",""1"",""54738"""</f>
        <v>"NAV Direct","CRONUS JetCorp USA","32","1","54738"</v>
      </c>
      <c r="H126" s="86">
        <v>43472</v>
      </c>
      <c r="I126" s="85">
        <v>54738</v>
      </c>
      <c r="J126" s="84" t="str">
        <f>"Customer"</f>
        <v>Customer</v>
      </c>
      <c r="K126" s="84" t="str">
        <f>"C100084"</f>
        <v>C100084</v>
      </c>
      <c r="L126" s="84" t="str">
        <f>IF($J126="Customer",_xll.NL("first",$J126,"Name","No.","@@"&amp;$K126),"")</f>
        <v>The Cannon Group PLC</v>
      </c>
      <c r="M126" s="84" t="str">
        <f>""</f>
        <v/>
      </c>
      <c r="N126" s="84" t="str">
        <f>IF($J126="Item",_xll.NL("first",$J126,"Description","No.","@@"&amp;$K126),"")</f>
        <v/>
      </c>
      <c r="O126" s="83">
        <v>0</v>
      </c>
      <c r="P126" s="83">
        <v>-144</v>
      </c>
      <c r="Q126" s="83">
        <v>0</v>
      </c>
      <c r="R126" s="83">
        <v>0</v>
      </c>
      <c r="S126" s="83">
        <v>0</v>
      </c>
      <c r="T126" s="83">
        <v>0</v>
      </c>
      <c r="U126" s="82"/>
    </row>
    <row r="127" spans="1:21" ht="17.25" customHeight="1" x14ac:dyDescent="0.3">
      <c r="A127" s="66" t="s">
        <v>30</v>
      </c>
      <c r="C127" s="67"/>
      <c r="D127" s="77"/>
      <c r="E127" s="77"/>
      <c r="F127" s="76"/>
      <c r="G127" s="76"/>
      <c r="H127" s="76"/>
      <c r="I127" s="76"/>
      <c r="J127" s="76"/>
      <c r="K127" s="76"/>
      <c r="L127" s="76"/>
      <c r="M127" s="76"/>
      <c r="N127" s="76"/>
      <c r="O127" s="75"/>
      <c r="P127" s="75"/>
      <c r="Q127" s="75"/>
      <c r="R127" s="75"/>
      <c r="S127" s="75"/>
      <c r="T127" s="75"/>
      <c r="U127" s="74"/>
    </row>
    <row r="128" spans="1:21" ht="17.25" customHeight="1" x14ac:dyDescent="0.3">
      <c r="A128" s="66" t="s">
        <v>30</v>
      </c>
      <c r="C128" s="67"/>
      <c r="D128" s="77"/>
      <c r="E128" s="77" t="s">
        <v>31</v>
      </c>
      <c r="F128" s="76" t="s">
        <v>31</v>
      </c>
      <c r="G128" s="76" t="s">
        <v>31</v>
      </c>
      <c r="H128" s="76"/>
      <c r="I128" s="76"/>
      <c r="J128" s="76" t="s">
        <v>31</v>
      </c>
      <c r="K128" s="76" t="s">
        <v>31</v>
      </c>
      <c r="L128" s="76" t="s">
        <v>31</v>
      </c>
      <c r="M128" s="76" t="s">
        <v>31</v>
      </c>
      <c r="N128" s="76"/>
      <c r="U128" s="81"/>
    </row>
    <row r="129" spans="1:21" ht="20.25" customHeight="1" x14ac:dyDescent="0.35">
      <c r="A129" s="66" t="s">
        <v>30</v>
      </c>
      <c r="C129" s="67"/>
      <c r="D129" s="92" t="str">
        <f t="shared" ref="D129" si="87">E129</f>
        <v>E100032</v>
      </c>
      <c r="E129" s="91" t="str">
        <f>"E100032"</f>
        <v>E100032</v>
      </c>
      <c r="F129" s="89" t="str">
        <f>"Button Key-Light"</f>
        <v>Button Key-Light</v>
      </c>
      <c r="G129" s="89"/>
      <c r="H129" s="90" t="str">
        <f>"EA"</f>
        <v>EA</v>
      </c>
      <c r="I129" s="89"/>
      <c r="J129" s="89"/>
      <c r="K129" s="89"/>
      <c r="L129" s="89"/>
      <c r="M129" s="89"/>
      <c r="N129" s="89"/>
      <c r="O129" s="88">
        <f>(SUBTOTAL(9,O130:O131))</f>
        <v>0</v>
      </c>
      <c r="P129" s="88">
        <f>(SUBTOTAL(9,P130:P131))</f>
        <v>-144</v>
      </c>
      <c r="Q129" s="88">
        <f>(SUBTOTAL(9,Q130:Q131))</f>
        <v>0</v>
      </c>
      <c r="R129" s="88">
        <f>(SUBTOTAL(9,R130:R131))</f>
        <v>0</v>
      </c>
      <c r="S129" s="88">
        <f>(SUBTOTAL(9,S130:S131))</f>
        <v>0</v>
      </c>
      <c r="T129" s="88">
        <f>(SUBTOTAL(9,T130:T131))</f>
        <v>0</v>
      </c>
      <c r="U129" s="87">
        <f t="shared" ref="U129" si="88">SUBTOTAL(9,O130:T131)</f>
        <v>-144</v>
      </c>
    </row>
    <row r="130" spans="1:21" ht="17.25" customHeight="1" x14ac:dyDescent="0.3">
      <c r="A130" s="66" t="s">
        <v>30</v>
      </c>
      <c r="C130" s="67"/>
      <c r="D130" s="77" t="str">
        <f t="shared" ref="D130" si="89">D129</f>
        <v>E100032</v>
      </c>
      <c r="E130" s="77"/>
      <c r="F130" s="76"/>
      <c r="G130" s="76" t="str">
        <f>"""NAV Direct"",""CRONUS JetCorp USA"",""32"",""1"",""54743"""</f>
        <v>"NAV Direct","CRONUS JetCorp USA","32","1","54743"</v>
      </c>
      <c r="H130" s="86">
        <v>43472</v>
      </c>
      <c r="I130" s="85">
        <v>54743</v>
      </c>
      <c r="J130" s="84" t="str">
        <f>"Customer"</f>
        <v>Customer</v>
      </c>
      <c r="K130" s="84" t="str">
        <f>"C100084"</f>
        <v>C100084</v>
      </c>
      <c r="L130" s="84" t="str">
        <f>IF($J130="Customer",_xll.NL("first",$J130,"Name","No.","@@"&amp;$K130),"")</f>
        <v>The Cannon Group PLC</v>
      </c>
      <c r="M130" s="84" t="str">
        <f>""</f>
        <v/>
      </c>
      <c r="N130" s="84" t="str">
        <f>IF($J130="Item",_xll.NL("first",$J130,"Description","No.","@@"&amp;$K130),"")</f>
        <v/>
      </c>
      <c r="O130" s="83">
        <v>0</v>
      </c>
      <c r="P130" s="83">
        <v>-144</v>
      </c>
      <c r="Q130" s="83">
        <v>0</v>
      </c>
      <c r="R130" s="83">
        <v>0</v>
      </c>
      <c r="S130" s="83">
        <v>0</v>
      </c>
      <c r="T130" s="83">
        <v>0</v>
      </c>
      <c r="U130" s="82"/>
    </row>
    <row r="131" spans="1:21" ht="17.25" customHeight="1" x14ac:dyDescent="0.3">
      <c r="A131" s="66" t="s">
        <v>30</v>
      </c>
      <c r="C131" s="67"/>
      <c r="D131" s="77"/>
      <c r="E131" s="77"/>
      <c r="F131" s="76"/>
      <c r="G131" s="76"/>
      <c r="H131" s="76"/>
      <c r="I131" s="76"/>
      <c r="J131" s="76"/>
      <c r="K131" s="76"/>
      <c r="L131" s="76"/>
      <c r="M131" s="76"/>
      <c r="N131" s="76"/>
      <c r="O131" s="75"/>
      <c r="P131" s="75"/>
      <c r="Q131" s="75"/>
      <c r="R131" s="75"/>
      <c r="S131" s="75"/>
      <c r="T131" s="75"/>
      <c r="U131" s="74"/>
    </row>
    <row r="132" spans="1:21" ht="17.25" customHeight="1" x14ac:dyDescent="0.3">
      <c r="A132" s="66" t="s">
        <v>30</v>
      </c>
      <c r="C132" s="67"/>
      <c r="D132" s="77"/>
      <c r="E132" s="77" t="s">
        <v>31</v>
      </c>
      <c r="F132" s="76" t="s">
        <v>31</v>
      </c>
      <c r="G132" s="76" t="s">
        <v>31</v>
      </c>
      <c r="H132" s="76"/>
      <c r="I132" s="76"/>
      <c r="J132" s="76" t="s">
        <v>31</v>
      </c>
      <c r="K132" s="76" t="s">
        <v>31</v>
      </c>
      <c r="L132" s="76" t="s">
        <v>31</v>
      </c>
      <c r="M132" s="76" t="s">
        <v>31</v>
      </c>
      <c r="N132" s="76"/>
      <c r="U132" s="81"/>
    </row>
    <row r="133" spans="1:21" ht="20.25" customHeight="1" x14ac:dyDescent="0.35">
      <c r="A133" s="66" t="s">
        <v>30</v>
      </c>
      <c r="C133" s="67"/>
      <c r="D133" s="92" t="str">
        <f t="shared" ref="D133" si="90">E133</f>
        <v>E100033</v>
      </c>
      <c r="E133" s="91" t="str">
        <f>"E100033"</f>
        <v>E100033</v>
      </c>
      <c r="F133" s="89" t="str">
        <f>"Dual Source Flashlight"</f>
        <v>Dual Source Flashlight</v>
      </c>
      <c r="G133" s="89"/>
      <c r="H133" s="90" t="str">
        <f>"EA"</f>
        <v>EA</v>
      </c>
      <c r="I133" s="89"/>
      <c r="J133" s="89"/>
      <c r="K133" s="89"/>
      <c r="L133" s="89"/>
      <c r="M133" s="89"/>
      <c r="N133" s="89"/>
      <c r="O133" s="88">
        <f>(SUBTOTAL(9,O134:O136))</f>
        <v>499.99999999999994</v>
      </c>
      <c r="P133" s="88">
        <f>(SUBTOTAL(9,P134:P136))</f>
        <v>-432</v>
      </c>
      <c r="Q133" s="88">
        <f>(SUBTOTAL(9,Q134:Q136))</f>
        <v>0</v>
      </c>
      <c r="R133" s="88">
        <f>(SUBTOTAL(9,R134:R136))</f>
        <v>0</v>
      </c>
      <c r="S133" s="88">
        <f>(SUBTOTAL(9,S134:S136))</f>
        <v>0</v>
      </c>
      <c r="T133" s="88">
        <f>(SUBTOTAL(9,T134:T136))</f>
        <v>0</v>
      </c>
      <c r="U133" s="87">
        <f t="shared" ref="U133" si="91">SUBTOTAL(9,O134:T136)</f>
        <v>67.999999999999943</v>
      </c>
    </row>
    <row r="134" spans="1:21" ht="17.25" customHeight="1" x14ac:dyDescent="0.3">
      <c r="A134" s="66" t="s">
        <v>30</v>
      </c>
      <c r="C134" s="67"/>
      <c r="D134" s="77" t="str">
        <f t="shared" ref="D134" si="92">D133</f>
        <v>E100033</v>
      </c>
      <c r="E134" s="77"/>
      <c r="F134" s="76"/>
      <c r="G134" s="76" t="str">
        <f>"""NAV Direct"",""CRONUS JetCorp USA"",""32"",""1"",""168323"""</f>
        <v>"NAV Direct","CRONUS JetCorp USA","32","1","168323"</v>
      </c>
      <c r="H134" s="86">
        <v>43466</v>
      </c>
      <c r="I134" s="85">
        <v>168323</v>
      </c>
      <c r="J134" s="84" t="str">
        <f>"Vendor"</f>
        <v>Vendor</v>
      </c>
      <c r="K134" s="84" t="str">
        <f>"V100001"</f>
        <v>V100001</v>
      </c>
      <c r="L134" s="84" t="str">
        <f>IF($J134="Customer",_xll.NL("first",$J134,"Name","No.","@@"&amp;$K134),"")</f>
        <v/>
      </c>
      <c r="M134" s="84" t="str">
        <f>"Greigner, Inc."</f>
        <v>Greigner, Inc.</v>
      </c>
      <c r="N134" s="84" t="str">
        <f>IF($J134="Item",_xll.NL("first",$J134,"Description","No.","@@"&amp;$K134),"")</f>
        <v/>
      </c>
      <c r="O134" s="83">
        <v>499.99999999999994</v>
      </c>
      <c r="P134" s="83">
        <v>0</v>
      </c>
      <c r="Q134" s="83">
        <v>0</v>
      </c>
      <c r="R134" s="83">
        <v>0</v>
      </c>
      <c r="S134" s="83">
        <v>0</v>
      </c>
      <c r="T134" s="83">
        <v>0</v>
      </c>
      <c r="U134" s="82"/>
    </row>
    <row r="135" spans="1:21" ht="17.25" customHeight="1" x14ac:dyDescent="0.3">
      <c r="A135" s="66" t="s">
        <v>30</v>
      </c>
      <c r="C135" s="67"/>
      <c r="D135" s="77" t="str">
        <f t="shared" ref="D135" si="93">D134</f>
        <v>E100033</v>
      </c>
      <c r="E135" s="77"/>
      <c r="F135" s="76"/>
      <c r="G135" s="76" t="str">
        <f>"""NAV Direct"",""CRONUS JetCorp USA"",""32"",""1"",""54717"""</f>
        <v>"NAV Direct","CRONUS JetCorp USA","32","1","54717"</v>
      </c>
      <c r="H135" s="86">
        <v>43472</v>
      </c>
      <c r="I135" s="85">
        <v>54717</v>
      </c>
      <c r="J135" s="84" t="str">
        <f>"Customer"</f>
        <v>Customer</v>
      </c>
      <c r="K135" s="84" t="str">
        <f>"C100084"</f>
        <v>C100084</v>
      </c>
      <c r="L135" s="84" t="str">
        <f>IF($J135="Customer",_xll.NL("first",$J135,"Name","No.","@@"&amp;$K135),"")</f>
        <v>The Cannon Group PLC</v>
      </c>
      <c r="M135" s="84" t="str">
        <f>""</f>
        <v/>
      </c>
      <c r="N135" s="84" t="str">
        <f>IF($J135="Item",_xll.NL("first",$J135,"Description","No.","@@"&amp;$K135),"")</f>
        <v/>
      </c>
      <c r="O135" s="83">
        <v>0</v>
      </c>
      <c r="P135" s="83">
        <v>-432</v>
      </c>
      <c r="Q135" s="83">
        <v>0</v>
      </c>
      <c r="R135" s="83">
        <v>0</v>
      </c>
      <c r="S135" s="83">
        <v>0</v>
      </c>
      <c r="T135" s="83">
        <v>0</v>
      </c>
      <c r="U135" s="82"/>
    </row>
    <row r="136" spans="1:21" ht="17.25" customHeight="1" x14ac:dyDescent="0.3">
      <c r="A136" s="66" t="s">
        <v>30</v>
      </c>
      <c r="C136" s="67"/>
      <c r="D136" s="77"/>
      <c r="E136" s="77"/>
      <c r="F136" s="76"/>
      <c r="G136" s="76"/>
      <c r="H136" s="76"/>
      <c r="I136" s="76"/>
      <c r="J136" s="76"/>
      <c r="K136" s="76"/>
      <c r="L136" s="76"/>
      <c r="M136" s="76"/>
      <c r="N136" s="76"/>
      <c r="O136" s="75"/>
      <c r="P136" s="75"/>
      <c r="Q136" s="75"/>
      <c r="R136" s="75"/>
      <c r="S136" s="75"/>
      <c r="T136" s="75"/>
      <c r="U136" s="74"/>
    </row>
    <row r="137" spans="1:21" ht="17.25" customHeight="1" x14ac:dyDescent="0.3">
      <c r="A137" s="66" t="s">
        <v>30</v>
      </c>
      <c r="C137" s="67"/>
      <c r="D137" s="77"/>
      <c r="E137" s="77" t="s">
        <v>31</v>
      </c>
      <c r="F137" s="76" t="s">
        <v>31</v>
      </c>
      <c r="G137" s="76" t="s">
        <v>31</v>
      </c>
      <c r="H137" s="76"/>
      <c r="I137" s="76"/>
      <c r="J137" s="76" t="s">
        <v>31</v>
      </c>
      <c r="K137" s="76" t="s">
        <v>31</v>
      </c>
      <c r="L137" s="76" t="s">
        <v>31</v>
      </c>
      <c r="M137" s="76" t="s">
        <v>31</v>
      </c>
      <c r="N137" s="76"/>
      <c r="U137" s="81"/>
    </row>
    <row r="138" spans="1:21" ht="20.25" customHeight="1" x14ac:dyDescent="0.35">
      <c r="A138" s="66" t="s">
        <v>30</v>
      </c>
      <c r="C138" s="67"/>
      <c r="D138" s="92" t="str">
        <f t="shared" ref="D138" si="94">E138</f>
        <v>E100034</v>
      </c>
      <c r="E138" s="91" t="str">
        <f>"E100034"</f>
        <v>E100034</v>
      </c>
      <c r="F138" s="89" t="str">
        <f>"Bamboo 1GB USB Flash Drive"</f>
        <v>Bamboo 1GB USB Flash Drive</v>
      </c>
      <c r="G138" s="89"/>
      <c r="H138" s="90" t="str">
        <f>"EA"</f>
        <v>EA</v>
      </c>
      <c r="I138" s="89"/>
      <c r="J138" s="89"/>
      <c r="K138" s="89"/>
      <c r="L138" s="89"/>
      <c r="M138" s="89"/>
      <c r="N138" s="89"/>
      <c r="O138" s="88">
        <f>(SUBTOTAL(9,O139:O141))</f>
        <v>499.99999999999994</v>
      </c>
      <c r="P138" s="88">
        <f>(SUBTOTAL(9,P139:P141))</f>
        <v>-144</v>
      </c>
      <c r="Q138" s="88">
        <f>(SUBTOTAL(9,Q139:Q141))</f>
        <v>0</v>
      </c>
      <c r="R138" s="88">
        <f>(SUBTOTAL(9,R139:R141))</f>
        <v>0</v>
      </c>
      <c r="S138" s="88">
        <f>(SUBTOTAL(9,S139:S141))</f>
        <v>0</v>
      </c>
      <c r="T138" s="88">
        <f>(SUBTOTAL(9,T139:T141))</f>
        <v>0</v>
      </c>
      <c r="U138" s="87">
        <f t="shared" ref="U138" si="95">SUBTOTAL(9,O139:T141)</f>
        <v>355.99999999999994</v>
      </c>
    </row>
    <row r="139" spans="1:21" ht="17.25" customHeight="1" x14ac:dyDescent="0.3">
      <c r="A139" s="66" t="s">
        <v>30</v>
      </c>
      <c r="C139" s="67"/>
      <c r="D139" s="77" t="str">
        <f t="shared" ref="D139" si="96">D138</f>
        <v>E100034</v>
      </c>
      <c r="E139" s="77"/>
      <c r="F139" s="76"/>
      <c r="G139" s="76" t="str">
        <f>"""NAV Direct"",""CRONUS JetCorp USA"",""32"",""1"",""168322"""</f>
        <v>"NAV Direct","CRONUS JetCorp USA","32","1","168322"</v>
      </c>
      <c r="H139" s="86">
        <v>43466</v>
      </c>
      <c r="I139" s="85">
        <v>168322</v>
      </c>
      <c r="J139" s="84" t="str">
        <f>"Vendor"</f>
        <v>Vendor</v>
      </c>
      <c r="K139" s="84" t="str">
        <f>"V100001"</f>
        <v>V100001</v>
      </c>
      <c r="L139" s="84" t="str">
        <f>IF($J139="Customer",_xll.NL("first",$J139,"Name","No.","@@"&amp;$K139),"")</f>
        <v/>
      </c>
      <c r="M139" s="84" t="str">
        <f>"Greigner, Inc."</f>
        <v>Greigner, Inc.</v>
      </c>
      <c r="N139" s="84" t="str">
        <f>IF($J139="Item",_xll.NL("first",$J139,"Description","No.","@@"&amp;$K139),"")</f>
        <v/>
      </c>
      <c r="O139" s="83">
        <v>499.99999999999994</v>
      </c>
      <c r="P139" s="83">
        <v>0</v>
      </c>
      <c r="Q139" s="83">
        <v>0</v>
      </c>
      <c r="R139" s="83">
        <v>0</v>
      </c>
      <c r="S139" s="83">
        <v>0</v>
      </c>
      <c r="T139" s="83">
        <v>0</v>
      </c>
      <c r="U139" s="82"/>
    </row>
    <row r="140" spans="1:21" ht="17.25" customHeight="1" x14ac:dyDescent="0.3">
      <c r="A140" s="66" t="s">
        <v>30</v>
      </c>
      <c r="C140" s="67"/>
      <c r="D140" s="77" t="str">
        <f t="shared" ref="D140" si="97">D139</f>
        <v>E100034</v>
      </c>
      <c r="E140" s="77"/>
      <c r="F140" s="76"/>
      <c r="G140" s="76" t="str">
        <f>"""NAV Direct"",""CRONUS JetCorp USA"",""32"",""1"",""54718"""</f>
        <v>"NAV Direct","CRONUS JetCorp USA","32","1","54718"</v>
      </c>
      <c r="H140" s="86">
        <v>43472</v>
      </c>
      <c r="I140" s="85">
        <v>54718</v>
      </c>
      <c r="J140" s="84" t="str">
        <f>"Customer"</f>
        <v>Customer</v>
      </c>
      <c r="K140" s="84" t="str">
        <f>"C100084"</f>
        <v>C100084</v>
      </c>
      <c r="L140" s="84" t="str">
        <f>IF($J140="Customer",_xll.NL("first",$J140,"Name","No.","@@"&amp;$K140),"")</f>
        <v>The Cannon Group PLC</v>
      </c>
      <c r="M140" s="84" t="str">
        <f>""</f>
        <v/>
      </c>
      <c r="N140" s="84" t="str">
        <f>IF($J140="Item",_xll.NL("first",$J140,"Description","No.","@@"&amp;$K140),"")</f>
        <v/>
      </c>
      <c r="O140" s="83">
        <v>0</v>
      </c>
      <c r="P140" s="83">
        <v>-144</v>
      </c>
      <c r="Q140" s="83">
        <v>0</v>
      </c>
      <c r="R140" s="83">
        <v>0</v>
      </c>
      <c r="S140" s="83">
        <v>0</v>
      </c>
      <c r="T140" s="83">
        <v>0</v>
      </c>
      <c r="U140" s="82"/>
    </row>
    <row r="141" spans="1:21" ht="17.25" customHeight="1" x14ac:dyDescent="0.3">
      <c r="A141" s="66" t="s">
        <v>30</v>
      </c>
      <c r="C141" s="67"/>
      <c r="D141" s="77"/>
      <c r="E141" s="77"/>
      <c r="F141" s="76"/>
      <c r="G141" s="76"/>
      <c r="H141" s="76"/>
      <c r="I141" s="76"/>
      <c r="J141" s="76"/>
      <c r="K141" s="76"/>
      <c r="L141" s="76"/>
      <c r="M141" s="76"/>
      <c r="N141" s="76"/>
      <c r="O141" s="75"/>
      <c r="P141" s="75"/>
      <c r="Q141" s="75"/>
      <c r="R141" s="75"/>
      <c r="S141" s="75"/>
      <c r="T141" s="75"/>
      <c r="U141" s="74"/>
    </row>
    <row r="142" spans="1:21" ht="17.25" customHeight="1" x14ac:dyDescent="0.3">
      <c r="A142" s="66" t="s">
        <v>30</v>
      </c>
      <c r="C142" s="67"/>
      <c r="D142" s="77"/>
      <c r="E142" s="77" t="s">
        <v>31</v>
      </c>
      <c r="F142" s="76" t="s">
        <v>31</v>
      </c>
      <c r="G142" s="76" t="s">
        <v>31</v>
      </c>
      <c r="H142" s="76"/>
      <c r="I142" s="76"/>
      <c r="J142" s="76" t="s">
        <v>31</v>
      </c>
      <c r="K142" s="76" t="s">
        <v>31</v>
      </c>
      <c r="L142" s="76" t="s">
        <v>31</v>
      </c>
      <c r="M142" s="76" t="s">
        <v>31</v>
      </c>
      <c r="N142" s="76"/>
      <c r="U142" s="81"/>
    </row>
    <row r="143" spans="1:21" ht="20.25" customHeight="1" x14ac:dyDescent="0.35">
      <c r="A143" s="66" t="s">
        <v>30</v>
      </c>
      <c r="C143" s="67"/>
      <c r="D143" s="92" t="str">
        <f t="shared" ref="D143" si="98">E143</f>
        <v>E100035</v>
      </c>
      <c r="E143" s="91" t="str">
        <f>"E100035"</f>
        <v>E100035</v>
      </c>
      <c r="F143" s="89" t="str">
        <f>"2GB Foldout USB Flash Drive"</f>
        <v>2GB Foldout USB Flash Drive</v>
      </c>
      <c r="G143" s="89"/>
      <c r="H143" s="90" t="str">
        <f>"EA"</f>
        <v>EA</v>
      </c>
      <c r="I143" s="89"/>
      <c r="J143" s="89"/>
      <c r="K143" s="89"/>
      <c r="L143" s="89"/>
      <c r="M143" s="89"/>
      <c r="N143" s="89"/>
      <c r="O143" s="88">
        <f>(SUBTOTAL(9,O144:O146))</f>
        <v>249.99999999999997</v>
      </c>
      <c r="P143" s="88">
        <f>(SUBTOTAL(9,P144:P146))</f>
        <v>-144</v>
      </c>
      <c r="Q143" s="88">
        <f>(SUBTOTAL(9,Q144:Q146))</f>
        <v>0</v>
      </c>
      <c r="R143" s="88">
        <f>(SUBTOTAL(9,R144:R146))</f>
        <v>0</v>
      </c>
      <c r="S143" s="88">
        <f>(SUBTOTAL(9,S144:S146))</f>
        <v>0</v>
      </c>
      <c r="T143" s="88">
        <f>(SUBTOTAL(9,T144:T146))</f>
        <v>0</v>
      </c>
      <c r="U143" s="87">
        <f t="shared" ref="U143" si="99">SUBTOTAL(9,O144:T146)</f>
        <v>105.99999999999997</v>
      </c>
    </row>
    <row r="144" spans="1:21" ht="17.25" customHeight="1" x14ac:dyDescent="0.3">
      <c r="A144" s="66" t="s">
        <v>30</v>
      </c>
      <c r="C144" s="67"/>
      <c r="D144" s="77" t="str">
        <f t="shared" ref="D144" si="100">D143</f>
        <v>E100035</v>
      </c>
      <c r="E144" s="77"/>
      <c r="F144" s="76"/>
      <c r="G144" s="76" t="str">
        <f>"""NAV Direct"",""CRONUS JetCorp USA"",""32"",""1"",""168321"""</f>
        <v>"NAV Direct","CRONUS JetCorp USA","32","1","168321"</v>
      </c>
      <c r="H144" s="86">
        <v>43466</v>
      </c>
      <c r="I144" s="85">
        <v>168321</v>
      </c>
      <c r="J144" s="84" t="str">
        <f>"Vendor"</f>
        <v>Vendor</v>
      </c>
      <c r="K144" s="84" t="str">
        <f>"V100001"</f>
        <v>V100001</v>
      </c>
      <c r="L144" s="84" t="str">
        <f>IF($J144="Customer",_xll.NL("first",$J144,"Name","No.","@@"&amp;$K144),"")</f>
        <v/>
      </c>
      <c r="M144" s="84" t="str">
        <f>"Greigner, Inc."</f>
        <v>Greigner, Inc.</v>
      </c>
      <c r="N144" s="84" t="str">
        <f>IF($J144="Item",_xll.NL("first",$J144,"Description","No.","@@"&amp;$K144),"")</f>
        <v/>
      </c>
      <c r="O144" s="83">
        <v>249.99999999999997</v>
      </c>
      <c r="P144" s="83">
        <v>0</v>
      </c>
      <c r="Q144" s="83">
        <v>0</v>
      </c>
      <c r="R144" s="83">
        <v>0</v>
      </c>
      <c r="S144" s="83">
        <v>0</v>
      </c>
      <c r="T144" s="83">
        <v>0</v>
      </c>
      <c r="U144" s="82"/>
    </row>
    <row r="145" spans="1:21" ht="17.25" customHeight="1" x14ac:dyDescent="0.3">
      <c r="A145" s="66" t="s">
        <v>30</v>
      </c>
      <c r="C145" s="67"/>
      <c r="D145" s="77" t="str">
        <f t="shared" ref="D145" si="101">D144</f>
        <v>E100035</v>
      </c>
      <c r="E145" s="77"/>
      <c r="F145" s="76"/>
      <c r="G145" s="76" t="str">
        <f>"""NAV Direct"",""CRONUS JetCorp USA"",""32"",""1"",""54722"""</f>
        <v>"NAV Direct","CRONUS JetCorp USA","32","1","54722"</v>
      </c>
      <c r="H145" s="86">
        <v>43472</v>
      </c>
      <c r="I145" s="85">
        <v>54722</v>
      </c>
      <c r="J145" s="84" t="str">
        <f>"Customer"</f>
        <v>Customer</v>
      </c>
      <c r="K145" s="84" t="str">
        <f>"C100084"</f>
        <v>C100084</v>
      </c>
      <c r="L145" s="84" t="str">
        <f>IF($J145="Customer",_xll.NL("first",$J145,"Name","No.","@@"&amp;$K145),"")</f>
        <v>The Cannon Group PLC</v>
      </c>
      <c r="M145" s="84" t="str">
        <f>""</f>
        <v/>
      </c>
      <c r="N145" s="84" t="str">
        <f>IF($J145="Item",_xll.NL("first",$J145,"Description","No.","@@"&amp;$K145),"")</f>
        <v/>
      </c>
      <c r="O145" s="83">
        <v>0</v>
      </c>
      <c r="P145" s="83">
        <v>-144</v>
      </c>
      <c r="Q145" s="83">
        <v>0</v>
      </c>
      <c r="R145" s="83">
        <v>0</v>
      </c>
      <c r="S145" s="83">
        <v>0</v>
      </c>
      <c r="T145" s="83">
        <v>0</v>
      </c>
      <c r="U145" s="82"/>
    </row>
    <row r="146" spans="1:21" ht="17.25" customHeight="1" x14ac:dyDescent="0.3">
      <c r="A146" s="66" t="s">
        <v>30</v>
      </c>
      <c r="C146" s="67"/>
      <c r="D146" s="77"/>
      <c r="E146" s="77"/>
      <c r="F146" s="76"/>
      <c r="G146" s="76"/>
      <c r="H146" s="76"/>
      <c r="I146" s="76"/>
      <c r="J146" s="76"/>
      <c r="K146" s="76"/>
      <c r="L146" s="76"/>
      <c r="M146" s="76"/>
      <c r="N146" s="76"/>
      <c r="O146" s="75"/>
      <c r="P146" s="75"/>
      <c r="Q146" s="75"/>
      <c r="R146" s="75"/>
      <c r="S146" s="75"/>
      <c r="T146" s="75"/>
      <c r="U146" s="74"/>
    </row>
    <row r="147" spans="1:21" ht="17.25" customHeight="1" x14ac:dyDescent="0.3">
      <c r="A147" s="66" t="s">
        <v>30</v>
      </c>
      <c r="C147" s="67"/>
      <c r="D147" s="77"/>
      <c r="E147" s="77" t="s">
        <v>31</v>
      </c>
      <c r="F147" s="76" t="s">
        <v>31</v>
      </c>
      <c r="G147" s="76" t="s">
        <v>31</v>
      </c>
      <c r="H147" s="76"/>
      <c r="I147" s="76"/>
      <c r="J147" s="76" t="s">
        <v>31</v>
      </c>
      <c r="K147" s="76" t="s">
        <v>31</v>
      </c>
      <c r="L147" s="76" t="s">
        <v>31</v>
      </c>
      <c r="M147" s="76" t="s">
        <v>31</v>
      </c>
      <c r="N147" s="76"/>
      <c r="U147" s="81"/>
    </row>
    <row r="148" spans="1:21" ht="20.25" customHeight="1" x14ac:dyDescent="0.35">
      <c r="A148" s="66" t="s">
        <v>30</v>
      </c>
      <c r="C148" s="67"/>
      <c r="D148" s="92" t="str">
        <f t="shared" ref="D148" si="102">E148</f>
        <v>E100040</v>
      </c>
      <c r="E148" s="91" t="str">
        <f>"E100040"</f>
        <v>E100040</v>
      </c>
      <c r="F148" s="89" t="str">
        <f>"Wave Mug"</f>
        <v>Wave Mug</v>
      </c>
      <c r="G148" s="89"/>
      <c r="H148" s="90" t="str">
        <f>"EA"</f>
        <v>EA</v>
      </c>
      <c r="I148" s="89"/>
      <c r="J148" s="89"/>
      <c r="K148" s="89"/>
      <c r="L148" s="89"/>
      <c r="M148" s="89"/>
      <c r="N148" s="89"/>
      <c r="O148" s="88">
        <f>(SUBTOTAL(9,O149:O151))</f>
        <v>249.99999999999997</v>
      </c>
      <c r="P148" s="88">
        <f>(SUBTOTAL(9,P149:P151))</f>
        <v>-288</v>
      </c>
      <c r="Q148" s="88">
        <f>(SUBTOTAL(9,Q149:Q151))</f>
        <v>0</v>
      </c>
      <c r="R148" s="88">
        <f>(SUBTOTAL(9,R149:R151))</f>
        <v>0</v>
      </c>
      <c r="S148" s="88">
        <f>(SUBTOTAL(9,S149:S151))</f>
        <v>0</v>
      </c>
      <c r="T148" s="88">
        <f>(SUBTOTAL(9,T149:T151))</f>
        <v>0</v>
      </c>
      <c r="U148" s="87">
        <f t="shared" ref="U148" si="103">SUBTOTAL(9,O149:T151)</f>
        <v>-38.000000000000028</v>
      </c>
    </row>
    <row r="149" spans="1:21" ht="17.25" customHeight="1" x14ac:dyDescent="0.3">
      <c r="A149" s="66" t="s">
        <v>30</v>
      </c>
      <c r="C149" s="67"/>
      <c r="D149" s="77" t="str">
        <f t="shared" ref="D149" si="104">D148</f>
        <v>E100040</v>
      </c>
      <c r="E149" s="77"/>
      <c r="F149" s="76"/>
      <c r="G149" s="76" t="str">
        <f>"""NAV Direct"",""CRONUS JetCorp USA"",""32"",""1"",""168622"""</f>
        <v>"NAV Direct","CRONUS JetCorp USA","32","1","168622"</v>
      </c>
      <c r="H149" s="86">
        <v>43466</v>
      </c>
      <c r="I149" s="85">
        <v>168622</v>
      </c>
      <c r="J149" s="84" t="str">
        <f>"Vendor"</f>
        <v>Vendor</v>
      </c>
      <c r="K149" s="84" t="str">
        <f>"V100001"</f>
        <v>V100001</v>
      </c>
      <c r="L149" s="84" t="str">
        <f>IF($J149="Customer",_xll.NL("first",$J149,"Name","No.","@@"&amp;$K149),"")</f>
        <v/>
      </c>
      <c r="M149" s="84" t="str">
        <f>"Greigner, Inc."</f>
        <v>Greigner, Inc.</v>
      </c>
      <c r="N149" s="84" t="str">
        <f>IF($J149="Item",_xll.NL("first",$J149,"Description","No.","@@"&amp;$K149),"")</f>
        <v/>
      </c>
      <c r="O149" s="83">
        <v>249.99999999999997</v>
      </c>
      <c r="P149" s="83">
        <v>0</v>
      </c>
      <c r="Q149" s="83">
        <v>0</v>
      </c>
      <c r="R149" s="83">
        <v>0</v>
      </c>
      <c r="S149" s="83">
        <v>0</v>
      </c>
      <c r="T149" s="83">
        <v>0</v>
      </c>
      <c r="U149" s="82"/>
    </row>
    <row r="150" spans="1:21" ht="17.25" customHeight="1" x14ac:dyDescent="0.3">
      <c r="A150" s="66" t="s">
        <v>30</v>
      </c>
      <c r="C150" s="67"/>
      <c r="D150" s="77" t="str">
        <f t="shared" ref="D150" si="105">D149</f>
        <v>E100040</v>
      </c>
      <c r="E150" s="77"/>
      <c r="F150" s="76"/>
      <c r="G150" s="76" t="str">
        <f>"""NAV Direct"",""CRONUS JetCorp USA"",""32"",""1"",""54725"""</f>
        <v>"NAV Direct","CRONUS JetCorp USA","32","1","54725"</v>
      </c>
      <c r="H150" s="86">
        <v>43472</v>
      </c>
      <c r="I150" s="85">
        <v>54725</v>
      </c>
      <c r="J150" s="84" t="str">
        <f>"Customer"</f>
        <v>Customer</v>
      </c>
      <c r="K150" s="84" t="str">
        <f>"C100084"</f>
        <v>C100084</v>
      </c>
      <c r="L150" s="84" t="str">
        <f>IF($J150="Customer",_xll.NL("first",$J150,"Name","No.","@@"&amp;$K150),"")</f>
        <v>The Cannon Group PLC</v>
      </c>
      <c r="M150" s="84" t="str">
        <f>""</f>
        <v/>
      </c>
      <c r="N150" s="84" t="str">
        <f>IF($J150="Item",_xll.NL("first",$J150,"Description","No.","@@"&amp;$K150),"")</f>
        <v/>
      </c>
      <c r="O150" s="83">
        <v>0</v>
      </c>
      <c r="P150" s="83">
        <v>-288</v>
      </c>
      <c r="Q150" s="83">
        <v>0</v>
      </c>
      <c r="R150" s="83">
        <v>0</v>
      </c>
      <c r="S150" s="83">
        <v>0</v>
      </c>
      <c r="T150" s="83">
        <v>0</v>
      </c>
      <c r="U150" s="82"/>
    </row>
    <row r="151" spans="1:21" ht="17.25" customHeight="1" x14ac:dyDescent="0.3">
      <c r="A151" s="66" t="s">
        <v>30</v>
      </c>
      <c r="C151" s="67"/>
      <c r="D151" s="77"/>
      <c r="E151" s="77"/>
      <c r="F151" s="76"/>
      <c r="G151" s="76"/>
      <c r="H151" s="76"/>
      <c r="I151" s="76"/>
      <c r="J151" s="76"/>
      <c r="K151" s="76"/>
      <c r="L151" s="76"/>
      <c r="M151" s="76"/>
      <c r="N151" s="76"/>
      <c r="O151" s="75"/>
      <c r="P151" s="75"/>
      <c r="Q151" s="75"/>
      <c r="R151" s="75"/>
      <c r="S151" s="75"/>
      <c r="T151" s="75"/>
      <c r="U151" s="74"/>
    </row>
    <row r="152" spans="1:21" ht="17.25" customHeight="1" x14ac:dyDescent="0.3">
      <c r="A152" s="66" t="s">
        <v>30</v>
      </c>
      <c r="C152" s="67"/>
      <c r="D152" s="77"/>
      <c r="E152" s="77" t="s">
        <v>31</v>
      </c>
      <c r="F152" s="76" t="s">
        <v>31</v>
      </c>
      <c r="G152" s="76" t="s">
        <v>31</v>
      </c>
      <c r="H152" s="76"/>
      <c r="I152" s="76"/>
      <c r="J152" s="76" t="s">
        <v>31</v>
      </c>
      <c r="K152" s="76" t="s">
        <v>31</v>
      </c>
      <c r="L152" s="76" t="s">
        <v>31</v>
      </c>
      <c r="M152" s="76" t="s">
        <v>31</v>
      </c>
      <c r="N152" s="76"/>
      <c r="U152" s="81"/>
    </row>
    <row r="153" spans="1:21" ht="20.25" customHeight="1" x14ac:dyDescent="0.35">
      <c r="A153" s="66" t="s">
        <v>30</v>
      </c>
      <c r="C153" s="67"/>
      <c r="D153" s="92" t="str">
        <f t="shared" ref="D153" si="106">E153</f>
        <v>E100041</v>
      </c>
      <c r="E153" s="91" t="str">
        <f>"E100041"</f>
        <v>E100041</v>
      </c>
      <c r="F153" s="89" t="str">
        <f>"Biodegradable Colored SPORT BOT"</f>
        <v>Biodegradable Colored SPORT BOT</v>
      </c>
      <c r="G153" s="89"/>
      <c r="H153" s="90" t="str">
        <f>"EA"</f>
        <v>EA</v>
      </c>
      <c r="I153" s="89"/>
      <c r="J153" s="89"/>
      <c r="K153" s="89"/>
      <c r="L153" s="89"/>
      <c r="M153" s="89"/>
      <c r="N153" s="89"/>
      <c r="O153" s="88">
        <f>(SUBTOTAL(9,O154:O155))</f>
        <v>0</v>
      </c>
      <c r="P153" s="88">
        <f>(SUBTOTAL(9,P154:P155))</f>
        <v>-145</v>
      </c>
      <c r="Q153" s="88">
        <f>(SUBTOTAL(9,Q154:Q155))</f>
        <v>0</v>
      </c>
      <c r="R153" s="88">
        <f>(SUBTOTAL(9,R154:R155))</f>
        <v>0</v>
      </c>
      <c r="S153" s="88">
        <f>(SUBTOTAL(9,S154:S155))</f>
        <v>0</v>
      </c>
      <c r="T153" s="88">
        <f>(SUBTOTAL(9,T154:T155))</f>
        <v>0</v>
      </c>
      <c r="U153" s="87">
        <f t="shared" ref="U153" si="107">SUBTOTAL(9,O154:T155)</f>
        <v>-145</v>
      </c>
    </row>
    <row r="154" spans="1:21" ht="17.25" customHeight="1" x14ac:dyDescent="0.3">
      <c r="A154" s="66" t="s">
        <v>30</v>
      </c>
      <c r="C154" s="67"/>
      <c r="D154" s="77" t="str">
        <f t="shared" ref="D154" si="108">D153</f>
        <v>E100041</v>
      </c>
      <c r="E154" s="77"/>
      <c r="F154" s="76"/>
      <c r="G154" s="76" t="str">
        <f>"""NAV Direct"",""CRONUS JetCorp USA"",""32"",""1"",""54740"""</f>
        <v>"NAV Direct","CRONUS JetCorp USA","32","1","54740"</v>
      </c>
      <c r="H154" s="86">
        <v>43472</v>
      </c>
      <c r="I154" s="85">
        <v>54740</v>
      </c>
      <c r="J154" s="84" t="str">
        <f>"Customer"</f>
        <v>Customer</v>
      </c>
      <c r="K154" s="84" t="str">
        <f>"C100084"</f>
        <v>C100084</v>
      </c>
      <c r="L154" s="84" t="str">
        <f>IF($J154="Customer",_xll.NL("first",$J154,"Name","No.","@@"&amp;$K154),"")</f>
        <v>The Cannon Group PLC</v>
      </c>
      <c r="M154" s="84" t="str">
        <f>""</f>
        <v/>
      </c>
      <c r="N154" s="84" t="str">
        <f>IF($J154="Item",_xll.NL("first",$J154,"Description","No.","@@"&amp;$K154),"")</f>
        <v/>
      </c>
      <c r="O154" s="83">
        <v>0</v>
      </c>
      <c r="P154" s="83">
        <v>-145</v>
      </c>
      <c r="Q154" s="83">
        <v>0</v>
      </c>
      <c r="R154" s="83">
        <v>0</v>
      </c>
      <c r="S154" s="83">
        <v>0</v>
      </c>
      <c r="T154" s="83">
        <v>0</v>
      </c>
      <c r="U154" s="82"/>
    </row>
    <row r="155" spans="1:21" ht="17.25" customHeight="1" x14ac:dyDescent="0.3">
      <c r="A155" s="66" t="s">
        <v>30</v>
      </c>
      <c r="C155" s="67"/>
      <c r="D155" s="77"/>
      <c r="E155" s="77"/>
      <c r="F155" s="76"/>
      <c r="G155" s="76"/>
      <c r="H155" s="76"/>
      <c r="I155" s="76"/>
      <c r="J155" s="76"/>
      <c r="K155" s="76"/>
      <c r="L155" s="76"/>
      <c r="M155" s="76"/>
      <c r="N155" s="76"/>
      <c r="O155" s="75"/>
      <c r="P155" s="75"/>
      <c r="Q155" s="75"/>
      <c r="R155" s="75"/>
      <c r="S155" s="75"/>
      <c r="T155" s="75"/>
      <c r="U155" s="74"/>
    </row>
    <row r="156" spans="1:21" ht="17.25" customHeight="1" x14ac:dyDescent="0.3">
      <c r="A156" s="66" t="s">
        <v>30</v>
      </c>
      <c r="C156" s="67"/>
      <c r="D156" s="77"/>
      <c r="E156" s="77" t="s">
        <v>31</v>
      </c>
      <c r="F156" s="76" t="s">
        <v>31</v>
      </c>
      <c r="G156" s="76" t="s">
        <v>31</v>
      </c>
      <c r="H156" s="76"/>
      <c r="I156" s="76"/>
      <c r="J156" s="76" t="s">
        <v>31</v>
      </c>
      <c r="K156" s="76" t="s">
        <v>31</v>
      </c>
      <c r="L156" s="76" t="s">
        <v>31</v>
      </c>
      <c r="M156" s="76" t="s">
        <v>31</v>
      </c>
      <c r="N156" s="76"/>
      <c r="U156" s="81"/>
    </row>
    <row r="157" spans="1:21" ht="20.25" customHeight="1" x14ac:dyDescent="0.35">
      <c r="A157" s="66" t="s">
        <v>30</v>
      </c>
      <c r="C157" s="67"/>
      <c r="D157" s="92" t="str">
        <f t="shared" ref="D157" si="109">E157</f>
        <v>E100042</v>
      </c>
      <c r="E157" s="91" t="str">
        <f>"E100042"</f>
        <v>E100042</v>
      </c>
      <c r="F157" s="89" t="str">
        <f>"Soft Touch Travel Mug"</f>
        <v>Soft Touch Travel Mug</v>
      </c>
      <c r="G157" s="89"/>
      <c r="H157" s="90" t="str">
        <f>"EA"</f>
        <v>EA</v>
      </c>
      <c r="I157" s="89"/>
      <c r="J157" s="89"/>
      <c r="K157" s="89"/>
      <c r="L157" s="89"/>
      <c r="M157" s="89"/>
      <c r="N157" s="89"/>
      <c r="O157" s="88">
        <f>(SUBTOTAL(9,O158:O159))</f>
        <v>249.99999999999997</v>
      </c>
      <c r="P157" s="88">
        <f>(SUBTOTAL(9,P158:P159))</f>
        <v>0</v>
      </c>
      <c r="Q157" s="88">
        <f>(SUBTOTAL(9,Q158:Q159))</f>
        <v>0</v>
      </c>
      <c r="R157" s="88">
        <f>(SUBTOTAL(9,R158:R159))</f>
        <v>0</v>
      </c>
      <c r="S157" s="88">
        <f>(SUBTOTAL(9,S158:S159))</f>
        <v>0</v>
      </c>
      <c r="T157" s="88">
        <f>(SUBTOTAL(9,T158:T159))</f>
        <v>0</v>
      </c>
      <c r="U157" s="87">
        <f t="shared" ref="U157" si="110">SUBTOTAL(9,O158:T159)</f>
        <v>249.99999999999997</v>
      </c>
    </row>
    <row r="158" spans="1:21" ht="17.25" customHeight="1" x14ac:dyDescent="0.3">
      <c r="A158" s="66" t="s">
        <v>30</v>
      </c>
      <c r="C158" s="67"/>
      <c r="D158" s="77" t="str">
        <f t="shared" ref="D158" si="111">D157</f>
        <v>E100042</v>
      </c>
      <c r="E158" s="77"/>
      <c r="F158" s="76"/>
      <c r="G158" s="76" t="str">
        <f>"""NAV Direct"",""CRONUS JetCorp USA"",""32"",""1"",""168621"""</f>
        <v>"NAV Direct","CRONUS JetCorp USA","32","1","168621"</v>
      </c>
      <c r="H158" s="86">
        <v>43466</v>
      </c>
      <c r="I158" s="85">
        <v>168621</v>
      </c>
      <c r="J158" s="84" t="str">
        <f>"Vendor"</f>
        <v>Vendor</v>
      </c>
      <c r="K158" s="84" t="str">
        <f>"V100001"</f>
        <v>V100001</v>
      </c>
      <c r="L158" s="84" t="str">
        <f>IF($J158="Customer",_xll.NL("first",$J158,"Name","No.","@@"&amp;$K158),"")</f>
        <v/>
      </c>
      <c r="M158" s="84" t="str">
        <f>"Greigner, Inc."</f>
        <v>Greigner, Inc.</v>
      </c>
      <c r="N158" s="84" t="str">
        <f>IF($J158="Item",_xll.NL("first",$J158,"Description","No.","@@"&amp;$K158),"")</f>
        <v/>
      </c>
      <c r="O158" s="83">
        <v>249.99999999999997</v>
      </c>
      <c r="P158" s="83">
        <v>0</v>
      </c>
      <c r="Q158" s="83">
        <v>0</v>
      </c>
      <c r="R158" s="83">
        <v>0</v>
      </c>
      <c r="S158" s="83">
        <v>0</v>
      </c>
      <c r="T158" s="83">
        <v>0</v>
      </c>
      <c r="U158" s="82"/>
    </row>
    <row r="159" spans="1:21" ht="17.25" customHeight="1" x14ac:dyDescent="0.3">
      <c r="A159" s="66" t="s">
        <v>30</v>
      </c>
      <c r="C159" s="67"/>
      <c r="D159" s="77"/>
      <c r="E159" s="77"/>
      <c r="F159" s="76"/>
      <c r="G159" s="76"/>
      <c r="H159" s="76"/>
      <c r="I159" s="76"/>
      <c r="J159" s="76"/>
      <c r="K159" s="76"/>
      <c r="L159" s="76"/>
      <c r="M159" s="76"/>
      <c r="N159" s="76"/>
      <c r="O159" s="75"/>
      <c r="P159" s="75"/>
      <c r="Q159" s="75"/>
      <c r="R159" s="75"/>
      <c r="S159" s="75"/>
      <c r="T159" s="75"/>
      <c r="U159" s="74"/>
    </row>
    <row r="160" spans="1:21" ht="17.25" customHeight="1" x14ac:dyDescent="0.3">
      <c r="A160" s="66" t="s">
        <v>30</v>
      </c>
      <c r="C160" s="67"/>
      <c r="D160" s="77"/>
      <c r="E160" s="77" t="s">
        <v>31</v>
      </c>
      <c r="F160" s="76" t="s">
        <v>31</v>
      </c>
      <c r="G160" s="76" t="s">
        <v>31</v>
      </c>
      <c r="H160" s="76"/>
      <c r="I160" s="76"/>
      <c r="J160" s="76" t="s">
        <v>31</v>
      </c>
      <c r="K160" s="76" t="s">
        <v>31</v>
      </c>
      <c r="L160" s="76" t="s">
        <v>31</v>
      </c>
      <c r="M160" s="76" t="s">
        <v>31</v>
      </c>
      <c r="N160" s="76"/>
      <c r="U160" s="81"/>
    </row>
    <row r="161" spans="1:21" ht="20.25" customHeight="1" x14ac:dyDescent="0.35">
      <c r="A161" s="66" t="s">
        <v>30</v>
      </c>
      <c r="C161" s="67"/>
      <c r="D161" s="92" t="str">
        <f t="shared" ref="D161" si="112">E161</f>
        <v>E100044</v>
      </c>
      <c r="E161" s="91" t="str">
        <f>"E100044"</f>
        <v>E100044</v>
      </c>
      <c r="F161" s="89" t="str">
        <f>"Juice Glass"</f>
        <v>Juice Glass</v>
      </c>
      <c r="G161" s="89"/>
      <c r="H161" s="90" t="str">
        <f>"EA"</f>
        <v>EA</v>
      </c>
      <c r="I161" s="89"/>
      <c r="J161" s="89"/>
      <c r="K161" s="89"/>
      <c r="L161" s="89"/>
      <c r="M161" s="89"/>
      <c r="N161" s="89"/>
      <c r="O161" s="88">
        <f>(SUBTOTAL(9,O162:O163))</f>
        <v>0</v>
      </c>
      <c r="P161" s="88">
        <f>(SUBTOTAL(9,P162:P163))</f>
        <v>-144</v>
      </c>
      <c r="Q161" s="88">
        <f>(SUBTOTAL(9,Q162:Q163))</f>
        <v>0</v>
      </c>
      <c r="R161" s="88">
        <f>(SUBTOTAL(9,R162:R163))</f>
        <v>0</v>
      </c>
      <c r="S161" s="88">
        <f>(SUBTOTAL(9,S162:S163))</f>
        <v>0</v>
      </c>
      <c r="T161" s="88">
        <f>(SUBTOTAL(9,T162:T163))</f>
        <v>0</v>
      </c>
      <c r="U161" s="87">
        <f t="shared" ref="U161" si="113">SUBTOTAL(9,O162:T163)</f>
        <v>-144</v>
      </c>
    </row>
    <row r="162" spans="1:21" ht="17.25" customHeight="1" x14ac:dyDescent="0.3">
      <c r="A162" s="66" t="s">
        <v>30</v>
      </c>
      <c r="C162" s="67"/>
      <c r="D162" s="77" t="str">
        <f t="shared" ref="D162" si="114">D161</f>
        <v>E100044</v>
      </c>
      <c r="E162" s="77"/>
      <c r="F162" s="76"/>
      <c r="G162" s="76" t="str">
        <f>"""NAV Direct"",""CRONUS JetCorp USA"",""32"",""1"",""54742"""</f>
        <v>"NAV Direct","CRONUS JetCorp USA","32","1","54742"</v>
      </c>
      <c r="H162" s="86">
        <v>43472</v>
      </c>
      <c r="I162" s="85">
        <v>54742</v>
      </c>
      <c r="J162" s="84" t="str">
        <f>"Customer"</f>
        <v>Customer</v>
      </c>
      <c r="K162" s="84" t="str">
        <f>"C100084"</f>
        <v>C100084</v>
      </c>
      <c r="L162" s="84" t="str">
        <f>IF($J162="Customer",_xll.NL("first",$J162,"Name","No.","@@"&amp;$K162),"")</f>
        <v>The Cannon Group PLC</v>
      </c>
      <c r="M162" s="84" t="str">
        <f>""</f>
        <v/>
      </c>
      <c r="N162" s="84" t="str">
        <f>IF($J162="Item",_xll.NL("first",$J162,"Description","No.","@@"&amp;$K162),"")</f>
        <v/>
      </c>
      <c r="O162" s="83">
        <v>0</v>
      </c>
      <c r="P162" s="83">
        <v>-144</v>
      </c>
      <c r="Q162" s="83">
        <v>0</v>
      </c>
      <c r="R162" s="83">
        <v>0</v>
      </c>
      <c r="S162" s="83">
        <v>0</v>
      </c>
      <c r="T162" s="83">
        <v>0</v>
      </c>
      <c r="U162" s="82"/>
    </row>
    <row r="163" spans="1:21" ht="17.25" customHeight="1" x14ac:dyDescent="0.3">
      <c r="A163" s="66" t="s">
        <v>30</v>
      </c>
      <c r="C163" s="67"/>
      <c r="D163" s="77"/>
      <c r="E163" s="77"/>
      <c r="F163" s="76"/>
      <c r="G163" s="76"/>
      <c r="H163" s="76"/>
      <c r="I163" s="76"/>
      <c r="J163" s="76"/>
      <c r="K163" s="76"/>
      <c r="L163" s="76"/>
      <c r="M163" s="76"/>
      <c r="N163" s="76"/>
      <c r="O163" s="75"/>
      <c r="P163" s="75"/>
      <c r="Q163" s="75"/>
      <c r="R163" s="75"/>
      <c r="S163" s="75"/>
      <c r="T163" s="75"/>
      <c r="U163" s="74"/>
    </row>
    <row r="164" spans="1:21" ht="17.25" customHeight="1" x14ac:dyDescent="0.3">
      <c r="A164" s="66" t="s">
        <v>30</v>
      </c>
      <c r="C164" s="67"/>
      <c r="D164" s="77"/>
      <c r="E164" s="77" t="s">
        <v>31</v>
      </c>
      <c r="F164" s="76" t="s">
        <v>31</v>
      </c>
      <c r="G164" s="76" t="s">
        <v>31</v>
      </c>
      <c r="H164" s="76"/>
      <c r="I164" s="76"/>
      <c r="J164" s="76" t="s">
        <v>31</v>
      </c>
      <c r="K164" s="76" t="s">
        <v>31</v>
      </c>
      <c r="L164" s="76" t="s">
        <v>31</v>
      </c>
      <c r="M164" s="76" t="s">
        <v>31</v>
      </c>
      <c r="N164" s="76"/>
      <c r="U164" s="81"/>
    </row>
    <row r="165" spans="1:21" ht="20.25" customHeight="1" x14ac:dyDescent="0.35">
      <c r="A165" s="66" t="s">
        <v>30</v>
      </c>
      <c r="C165" s="67"/>
      <c r="D165" s="92" t="str">
        <f t="shared" ref="D165" si="115">E165</f>
        <v>E100047</v>
      </c>
      <c r="E165" s="91" t="str">
        <f>"E100047"</f>
        <v>E100047</v>
      </c>
      <c r="F165" s="89" t="str">
        <f>"Chardonnay Glass"</f>
        <v>Chardonnay Glass</v>
      </c>
      <c r="G165" s="89"/>
      <c r="H165" s="90" t="str">
        <f>"EA"</f>
        <v>EA</v>
      </c>
      <c r="I165" s="89"/>
      <c r="J165" s="89"/>
      <c r="K165" s="89"/>
      <c r="L165" s="89"/>
      <c r="M165" s="89"/>
      <c r="N165" s="89"/>
      <c r="O165" s="88">
        <f>(SUBTOTAL(9,O166:O167))</f>
        <v>0</v>
      </c>
      <c r="P165" s="88">
        <f>(SUBTOTAL(9,P166:P167))</f>
        <v>-144</v>
      </c>
      <c r="Q165" s="88">
        <f>(SUBTOTAL(9,Q166:Q167))</f>
        <v>0</v>
      </c>
      <c r="R165" s="88">
        <f>(SUBTOTAL(9,R166:R167))</f>
        <v>0</v>
      </c>
      <c r="S165" s="88">
        <f>(SUBTOTAL(9,S166:S167))</f>
        <v>0</v>
      </c>
      <c r="T165" s="88">
        <f>(SUBTOTAL(9,T166:T167))</f>
        <v>0</v>
      </c>
      <c r="U165" s="87">
        <f t="shared" ref="U165" si="116">SUBTOTAL(9,O166:T167)</f>
        <v>-144</v>
      </c>
    </row>
    <row r="166" spans="1:21" ht="17.25" customHeight="1" x14ac:dyDescent="0.3">
      <c r="A166" s="66" t="s">
        <v>30</v>
      </c>
      <c r="C166" s="67"/>
      <c r="D166" s="77" t="str">
        <f t="shared" ref="D166" si="117">D165</f>
        <v>E100047</v>
      </c>
      <c r="E166" s="77"/>
      <c r="F166" s="76"/>
      <c r="G166" s="76" t="str">
        <f>"""NAV Direct"",""CRONUS JetCorp USA"",""32"",""1"",""54732"""</f>
        <v>"NAV Direct","CRONUS JetCorp USA","32","1","54732"</v>
      </c>
      <c r="H166" s="86">
        <v>43472</v>
      </c>
      <c r="I166" s="85">
        <v>54732</v>
      </c>
      <c r="J166" s="84" t="str">
        <f>"Customer"</f>
        <v>Customer</v>
      </c>
      <c r="K166" s="84" t="str">
        <f>"C100084"</f>
        <v>C100084</v>
      </c>
      <c r="L166" s="84" t="str">
        <f>IF($J166="Customer",_xll.NL("first",$J166,"Name","No.","@@"&amp;$K166),"")</f>
        <v>The Cannon Group PLC</v>
      </c>
      <c r="M166" s="84" t="str">
        <f>""</f>
        <v/>
      </c>
      <c r="N166" s="84" t="str">
        <f>IF($J166="Item",_xll.NL("first",$J166,"Description","No.","@@"&amp;$K166),"")</f>
        <v/>
      </c>
      <c r="O166" s="83">
        <v>0</v>
      </c>
      <c r="P166" s="83">
        <v>-144</v>
      </c>
      <c r="Q166" s="83">
        <v>0</v>
      </c>
      <c r="R166" s="83">
        <v>0</v>
      </c>
      <c r="S166" s="83">
        <v>0</v>
      </c>
      <c r="T166" s="83">
        <v>0</v>
      </c>
      <c r="U166" s="82"/>
    </row>
    <row r="167" spans="1:21" ht="17.25" customHeight="1" x14ac:dyDescent="0.3">
      <c r="A167" s="66" t="s">
        <v>30</v>
      </c>
      <c r="C167" s="67"/>
      <c r="D167" s="77"/>
      <c r="E167" s="77"/>
      <c r="F167" s="76"/>
      <c r="G167" s="76"/>
      <c r="H167" s="76"/>
      <c r="I167" s="76"/>
      <c r="J167" s="76"/>
      <c r="K167" s="76"/>
      <c r="L167" s="76"/>
      <c r="M167" s="76"/>
      <c r="N167" s="76"/>
      <c r="O167" s="75"/>
      <c r="P167" s="75"/>
      <c r="Q167" s="75"/>
      <c r="R167" s="75"/>
      <c r="S167" s="75"/>
      <c r="T167" s="75"/>
      <c r="U167" s="74"/>
    </row>
    <row r="168" spans="1:21" ht="17.25" customHeight="1" x14ac:dyDescent="0.3">
      <c r="A168" s="66" t="s">
        <v>30</v>
      </c>
      <c r="C168" s="67"/>
      <c r="D168" s="77"/>
      <c r="E168" s="77" t="s">
        <v>31</v>
      </c>
      <c r="F168" s="76" t="s">
        <v>31</v>
      </c>
      <c r="G168" s="76" t="s">
        <v>31</v>
      </c>
      <c r="H168" s="76"/>
      <c r="I168" s="76"/>
      <c r="J168" s="76" t="s">
        <v>31</v>
      </c>
      <c r="K168" s="76" t="s">
        <v>31</v>
      </c>
      <c r="L168" s="76" t="s">
        <v>31</v>
      </c>
      <c r="M168" s="76" t="s">
        <v>31</v>
      </c>
      <c r="N168" s="76"/>
      <c r="U168" s="81"/>
    </row>
    <row r="169" spans="1:21" ht="20.25" customHeight="1" x14ac:dyDescent="0.35">
      <c r="A169" s="66" t="s">
        <v>30</v>
      </c>
      <c r="C169" s="67"/>
      <c r="D169" s="92" t="str">
        <f t="shared" ref="D169" si="118">E169</f>
        <v>S100003</v>
      </c>
      <c r="E169" s="91" t="str">
        <f>"S100003"</f>
        <v>S100003</v>
      </c>
      <c r="F169" s="89" t="str">
        <f>"Soccer #1 Pin"</f>
        <v>Soccer #1 Pin</v>
      </c>
      <c r="G169" s="89"/>
      <c r="H169" s="90" t="str">
        <f>"EA"</f>
        <v>EA</v>
      </c>
      <c r="I169" s="89"/>
      <c r="J169" s="89"/>
      <c r="K169" s="89"/>
      <c r="L169" s="89"/>
      <c r="M169" s="89"/>
      <c r="N169" s="89"/>
      <c r="O169" s="88">
        <f>(SUBTOTAL(9,O170:O172))</f>
        <v>200</v>
      </c>
      <c r="P169" s="88">
        <f>(SUBTOTAL(9,P170:P172))</f>
        <v>-144</v>
      </c>
      <c r="Q169" s="88">
        <f>(SUBTOTAL(9,Q170:Q172))</f>
        <v>0</v>
      </c>
      <c r="R169" s="88">
        <f>(SUBTOTAL(9,R170:R172))</f>
        <v>0</v>
      </c>
      <c r="S169" s="88">
        <f>(SUBTOTAL(9,S170:S172))</f>
        <v>0</v>
      </c>
      <c r="T169" s="88">
        <f>(SUBTOTAL(9,T170:T172))</f>
        <v>0</v>
      </c>
      <c r="U169" s="87">
        <f t="shared" ref="U169" si="119">SUBTOTAL(9,O170:T172)</f>
        <v>56</v>
      </c>
    </row>
    <row r="170" spans="1:21" ht="17.25" customHeight="1" x14ac:dyDescent="0.3">
      <c r="A170" s="66" t="s">
        <v>30</v>
      </c>
      <c r="C170" s="67"/>
      <c r="D170" s="77" t="str">
        <f t="shared" ref="D170" si="120">D169</f>
        <v>S100003</v>
      </c>
      <c r="E170" s="77"/>
      <c r="F170" s="76"/>
      <c r="G170" s="76" t="str">
        <f>"""NAV Direct"",""CRONUS JetCorp USA"",""32"",""1"",""166354"""</f>
        <v>"NAV Direct","CRONUS JetCorp USA","32","1","166354"</v>
      </c>
      <c r="H170" s="86">
        <v>43466</v>
      </c>
      <c r="I170" s="85">
        <v>166354</v>
      </c>
      <c r="J170" s="84" t="str">
        <f>"Vendor"</f>
        <v>Vendor</v>
      </c>
      <c r="K170" s="84" t="str">
        <f>"V100002"</f>
        <v>V100002</v>
      </c>
      <c r="L170" s="84" t="str">
        <f>IF($J170="Customer",_xll.NL("first",$J170,"Name","No.","@@"&amp;$K170),"")</f>
        <v/>
      </c>
      <c r="M170" s="84" t="str">
        <f>"Marley Printing, Inc"</f>
        <v>Marley Printing, Inc</v>
      </c>
      <c r="N170" s="84" t="str">
        <f>IF($J170="Item",_xll.NL("first",$J170,"Description","No.","@@"&amp;$K170),"")</f>
        <v/>
      </c>
      <c r="O170" s="83">
        <v>200</v>
      </c>
      <c r="P170" s="83">
        <v>0</v>
      </c>
      <c r="Q170" s="83">
        <v>0</v>
      </c>
      <c r="R170" s="83">
        <v>0</v>
      </c>
      <c r="S170" s="83">
        <v>0</v>
      </c>
      <c r="T170" s="83">
        <v>0</v>
      </c>
      <c r="U170" s="82"/>
    </row>
    <row r="171" spans="1:21" ht="17.25" customHeight="1" x14ac:dyDescent="0.3">
      <c r="A171" s="66" t="s">
        <v>30</v>
      </c>
      <c r="C171" s="67"/>
      <c r="D171" s="77" t="str">
        <f t="shared" ref="D171" si="121">D170</f>
        <v>S100003</v>
      </c>
      <c r="E171" s="77"/>
      <c r="F171" s="76"/>
      <c r="G171" s="76" t="str">
        <f>"""NAV Direct"",""CRONUS JetCorp USA"",""32"",""1"",""54734"""</f>
        <v>"NAV Direct","CRONUS JetCorp USA","32","1","54734"</v>
      </c>
      <c r="H171" s="86">
        <v>43472</v>
      </c>
      <c r="I171" s="85">
        <v>54734</v>
      </c>
      <c r="J171" s="84" t="str">
        <f>"Customer"</f>
        <v>Customer</v>
      </c>
      <c r="K171" s="84" t="str">
        <f>"C100084"</f>
        <v>C100084</v>
      </c>
      <c r="L171" s="84" t="str">
        <f>IF($J171="Customer",_xll.NL("first",$J171,"Name","No.","@@"&amp;$K171),"")</f>
        <v>The Cannon Group PLC</v>
      </c>
      <c r="M171" s="84" t="str">
        <f>""</f>
        <v/>
      </c>
      <c r="N171" s="84" t="str">
        <f>IF($J171="Item",_xll.NL("first",$J171,"Description","No.","@@"&amp;$K171),"")</f>
        <v/>
      </c>
      <c r="O171" s="83">
        <v>0</v>
      </c>
      <c r="P171" s="83">
        <v>-144</v>
      </c>
      <c r="Q171" s="83">
        <v>0</v>
      </c>
      <c r="R171" s="83">
        <v>0</v>
      </c>
      <c r="S171" s="83">
        <v>0</v>
      </c>
      <c r="T171" s="83">
        <v>0</v>
      </c>
      <c r="U171" s="82"/>
    </row>
    <row r="172" spans="1:21" ht="17.25" customHeight="1" x14ac:dyDescent="0.3">
      <c r="A172" s="66" t="s">
        <v>30</v>
      </c>
      <c r="C172" s="67"/>
      <c r="D172" s="77"/>
      <c r="E172" s="77"/>
      <c r="F172" s="76"/>
      <c r="G172" s="76"/>
      <c r="H172" s="76"/>
      <c r="I172" s="76"/>
      <c r="J172" s="76"/>
      <c r="K172" s="76"/>
      <c r="L172" s="76"/>
      <c r="M172" s="76"/>
      <c r="N172" s="76"/>
      <c r="O172" s="75"/>
      <c r="P172" s="75"/>
      <c r="Q172" s="75"/>
      <c r="R172" s="75"/>
      <c r="S172" s="75"/>
      <c r="T172" s="75"/>
      <c r="U172" s="74"/>
    </row>
    <row r="173" spans="1:21" ht="17.25" customHeight="1" x14ac:dyDescent="0.3">
      <c r="A173" s="66" t="s">
        <v>30</v>
      </c>
      <c r="C173" s="67"/>
      <c r="D173" s="77"/>
      <c r="E173" s="77" t="s">
        <v>31</v>
      </c>
      <c r="F173" s="76" t="s">
        <v>31</v>
      </c>
      <c r="G173" s="76" t="s">
        <v>31</v>
      </c>
      <c r="H173" s="76"/>
      <c r="I173" s="76"/>
      <c r="J173" s="76" t="s">
        <v>31</v>
      </c>
      <c r="K173" s="76" t="s">
        <v>31</v>
      </c>
      <c r="L173" s="76" t="s">
        <v>31</v>
      </c>
      <c r="M173" s="76" t="s">
        <v>31</v>
      </c>
      <c r="N173" s="76"/>
      <c r="U173" s="81"/>
    </row>
    <row r="174" spans="1:21" ht="20.25" customHeight="1" x14ac:dyDescent="0.35">
      <c r="A174" s="66" t="s">
        <v>30</v>
      </c>
      <c r="C174" s="67"/>
      <c r="D174" s="92" t="str">
        <f t="shared" ref="D174" si="122">E174</f>
        <v>S100011</v>
      </c>
      <c r="E174" s="91" t="str">
        <f>"S100011"</f>
        <v>S100011</v>
      </c>
      <c r="F174" s="89" t="str">
        <f>"All Star Cap"</f>
        <v>All Star Cap</v>
      </c>
      <c r="G174" s="89"/>
      <c r="H174" s="90" t="str">
        <f>"EA"</f>
        <v>EA</v>
      </c>
      <c r="I174" s="89"/>
      <c r="J174" s="89"/>
      <c r="K174" s="89"/>
      <c r="L174" s="89"/>
      <c r="M174" s="89"/>
      <c r="N174" s="89"/>
      <c r="O174" s="88">
        <f>(SUBTOTAL(9,O175:O177))</f>
        <v>400</v>
      </c>
      <c r="P174" s="88">
        <f>(SUBTOTAL(9,P175:P177))</f>
        <v>-144</v>
      </c>
      <c r="Q174" s="88">
        <f>(SUBTOTAL(9,Q175:Q177))</f>
        <v>0</v>
      </c>
      <c r="R174" s="88">
        <f>(SUBTOTAL(9,R175:R177))</f>
        <v>0</v>
      </c>
      <c r="S174" s="88">
        <f>(SUBTOTAL(9,S175:S177))</f>
        <v>0</v>
      </c>
      <c r="T174" s="88">
        <f>(SUBTOTAL(9,T175:T177))</f>
        <v>0</v>
      </c>
      <c r="U174" s="87">
        <f t="shared" ref="U174" si="123">SUBTOTAL(9,O175:T177)</f>
        <v>256</v>
      </c>
    </row>
    <row r="175" spans="1:21" ht="17.25" customHeight="1" x14ac:dyDescent="0.3">
      <c r="A175" s="66" t="s">
        <v>30</v>
      </c>
      <c r="C175" s="67"/>
      <c r="D175" s="77" t="str">
        <f t="shared" ref="D175" si="124">D174</f>
        <v>S100011</v>
      </c>
      <c r="E175" s="77"/>
      <c r="F175" s="76"/>
      <c r="G175" s="76" t="str">
        <f>"""NAV Direct"",""CRONUS JetCorp USA"",""32"",""1"",""167107"""</f>
        <v>"NAV Direct","CRONUS JetCorp USA","32","1","167107"</v>
      </c>
      <c r="H175" s="86">
        <v>43466</v>
      </c>
      <c r="I175" s="85">
        <v>167107</v>
      </c>
      <c r="J175" s="84" t="str">
        <f>"Vendor"</f>
        <v>Vendor</v>
      </c>
      <c r="K175" s="84" t="str">
        <f>"V100001"</f>
        <v>V100001</v>
      </c>
      <c r="L175" s="84" t="str">
        <f>IF($J175="Customer",_xll.NL("first",$J175,"Name","No.","@@"&amp;$K175),"")</f>
        <v/>
      </c>
      <c r="M175" s="84" t="str">
        <f>"Greigner, Inc."</f>
        <v>Greigner, Inc.</v>
      </c>
      <c r="N175" s="84" t="str">
        <f>IF($J175="Item",_xll.NL("first",$J175,"Description","No.","@@"&amp;$K175),"")</f>
        <v/>
      </c>
      <c r="O175" s="83">
        <v>400</v>
      </c>
      <c r="P175" s="83">
        <v>0</v>
      </c>
      <c r="Q175" s="83">
        <v>0</v>
      </c>
      <c r="R175" s="83">
        <v>0</v>
      </c>
      <c r="S175" s="83">
        <v>0</v>
      </c>
      <c r="T175" s="83">
        <v>0</v>
      </c>
      <c r="U175" s="82"/>
    </row>
    <row r="176" spans="1:21" ht="17.25" customHeight="1" x14ac:dyDescent="0.3">
      <c r="A176" s="66" t="s">
        <v>30</v>
      </c>
      <c r="C176" s="67"/>
      <c r="D176" s="77" t="str">
        <f t="shared" ref="D176" si="125">D175</f>
        <v>S100011</v>
      </c>
      <c r="E176" s="77"/>
      <c r="F176" s="76"/>
      <c r="G176" s="76" t="str">
        <f>"""NAV Direct"",""CRONUS JetCorp USA"",""32"",""1"",""54735"""</f>
        <v>"NAV Direct","CRONUS JetCorp USA","32","1","54735"</v>
      </c>
      <c r="H176" s="86">
        <v>43472</v>
      </c>
      <c r="I176" s="85">
        <v>54735</v>
      </c>
      <c r="J176" s="84" t="str">
        <f>"Customer"</f>
        <v>Customer</v>
      </c>
      <c r="K176" s="84" t="str">
        <f>"C100084"</f>
        <v>C100084</v>
      </c>
      <c r="L176" s="84" t="str">
        <f>IF($J176="Customer",_xll.NL("first",$J176,"Name","No.","@@"&amp;$K176),"")</f>
        <v>The Cannon Group PLC</v>
      </c>
      <c r="M176" s="84" t="str">
        <f>""</f>
        <v/>
      </c>
      <c r="N176" s="84" t="str">
        <f>IF($J176="Item",_xll.NL("first",$J176,"Description","No.","@@"&amp;$K176),"")</f>
        <v/>
      </c>
      <c r="O176" s="83">
        <v>0</v>
      </c>
      <c r="P176" s="83">
        <v>-144</v>
      </c>
      <c r="Q176" s="83">
        <v>0</v>
      </c>
      <c r="R176" s="83">
        <v>0</v>
      </c>
      <c r="S176" s="83">
        <v>0</v>
      </c>
      <c r="T176" s="83">
        <v>0</v>
      </c>
      <c r="U176" s="82"/>
    </row>
    <row r="177" spans="1:21" ht="17.25" customHeight="1" x14ac:dyDescent="0.3">
      <c r="A177" s="66" t="s">
        <v>30</v>
      </c>
      <c r="C177" s="67"/>
      <c r="D177" s="77"/>
      <c r="E177" s="77"/>
      <c r="F177" s="76"/>
      <c r="G177" s="76"/>
      <c r="H177" s="76"/>
      <c r="I177" s="76"/>
      <c r="J177" s="76"/>
      <c r="K177" s="76"/>
      <c r="L177" s="76"/>
      <c r="M177" s="76"/>
      <c r="N177" s="76"/>
      <c r="O177" s="75"/>
      <c r="P177" s="75"/>
      <c r="Q177" s="75"/>
      <c r="R177" s="75"/>
      <c r="S177" s="75"/>
      <c r="T177" s="75"/>
      <c r="U177" s="74"/>
    </row>
    <row r="178" spans="1:21" ht="17.25" customHeight="1" x14ac:dyDescent="0.3">
      <c r="A178" s="66" t="s">
        <v>30</v>
      </c>
      <c r="C178" s="67"/>
      <c r="D178" s="77"/>
      <c r="E178" s="77" t="s">
        <v>31</v>
      </c>
      <c r="F178" s="76" t="s">
        <v>31</v>
      </c>
      <c r="G178" s="76" t="s">
        <v>31</v>
      </c>
      <c r="H178" s="76"/>
      <c r="I178" s="76"/>
      <c r="J178" s="76" t="s">
        <v>31</v>
      </c>
      <c r="K178" s="76" t="s">
        <v>31</v>
      </c>
      <c r="L178" s="76" t="s">
        <v>31</v>
      </c>
      <c r="M178" s="76" t="s">
        <v>31</v>
      </c>
      <c r="N178" s="76"/>
      <c r="U178" s="81"/>
    </row>
    <row r="179" spans="1:21" ht="20.25" customHeight="1" x14ac:dyDescent="0.35">
      <c r="A179" s="66" t="s">
        <v>30</v>
      </c>
      <c r="C179" s="67"/>
      <c r="D179" s="92" t="str">
        <f t="shared" ref="D179" si="126">E179</f>
        <v>S100016</v>
      </c>
      <c r="E179" s="91" t="str">
        <f>"S100016"</f>
        <v>S100016</v>
      </c>
      <c r="F179" s="89" t="str">
        <f>"Mesh Bucket Hat"</f>
        <v>Mesh Bucket Hat</v>
      </c>
      <c r="G179" s="89"/>
      <c r="H179" s="90" t="str">
        <f>"EA"</f>
        <v>EA</v>
      </c>
      <c r="I179" s="89"/>
      <c r="J179" s="89"/>
      <c r="K179" s="89"/>
      <c r="L179" s="89"/>
      <c r="M179" s="89"/>
      <c r="N179" s="89"/>
      <c r="O179" s="88">
        <f>(SUBTOTAL(9,O180:O181))</f>
        <v>400</v>
      </c>
      <c r="P179" s="88">
        <f>(SUBTOTAL(9,P180:P181))</f>
        <v>0</v>
      </c>
      <c r="Q179" s="88">
        <f>(SUBTOTAL(9,Q180:Q181))</f>
        <v>0</v>
      </c>
      <c r="R179" s="88">
        <f>(SUBTOTAL(9,R180:R181))</f>
        <v>0</v>
      </c>
      <c r="S179" s="88">
        <f>(SUBTOTAL(9,S180:S181))</f>
        <v>0</v>
      </c>
      <c r="T179" s="88">
        <f>(SUBTOTAL(9,T180:T181))</f>
        <v>0</v>
      </c>
      <c r="U179" s="87">
        <f t="shared" ref="U179" si="127">SUBTOTAL(9,O180:T181)</f>
        <v>400</v>
      </c>
    </row>
    <row r="180" spans="1:21" ht="17.25" customHeight="1" x14ac:dyDescent="0.3">
      <c r="A180" s="66" t="s">
        <v>30</v>
      </c>
      <c r="C180" s="67"/>
      <c r="D180" s="77" t="str">
        <f t="shared" ref="D180" si="128">D179</f>
        <v>S100016</v>
      </c>
      <c r="E180" s="77"/>
      <c r="F180" s="76"/>
      <c r="G180" s="76" t="str">
        <f>"""NAV Direct"",""CRONUS JetCorp USA"",""32"",""1"",""167106"""</f>
        <v>"NAV Direct","CRONUS JetCorp USA","32","1","167106"</v>
      </c>
      <c r="H180" s="86">
        <v>43466</v>
      </c>
      <c r="I180" s="85">
        <v>167106</v>
      </c>
      <c r="J180" s="84" t="str">
        <f>"Vendor"</f>
        <v>Vendor</v>
      </c>
      <c r="K180" s="84" t="str">
        <f>"V100001"</f>
        <v>V100001</v>
      </c>
      <c r="L180" s="84" t="str">
        <f>IF($J180="Customer",_xll.NL("first",$J180,"Name","No.","@@"&amp;$K180),"")</f>
        <v/>
      </c>
      <c r="M180" s="84" t="str">
        <f>"Greigner, Inc."</f>
        <v>Greigner, Inc.</v>
      </c>
      <c r="N180" s="84" t="str">
        <f>IF($J180="Item",_xll.NL("first",$J180,"Description","No.","@@"&amp;$K180),"")</f>
        <v/>
      </c>
      <c r="O180" s="83">
        <v>400</v>
      </c>
      <c r="P180" s="83">
        <v>0</v>
      </c>
      <c r="Q180" s="83">
        <v>0</v>
      </c>
      <c r="R180" s="83">
        <v>0</v>
      </c>
      <c r="S180" s="83">
        <v>0</v>
      </c>
      <c r="T180" s="83">
        <v>0</v>
      </c>
      <c r="U180" s="82"/>
    </row>
    <row r="181" spans="1:21" ht="17.25" customHeight="1" x14ac:dyDescent="0.3">
      <c r="A181" s="66" t="s">
        <v>30</v>
      </c>
      <c r="C181" s="67"/>
      <c r="D181" s="77"/>
      <c r="E181" s="77"/>
      <c r="F181" s="76"/>
      <c r="G181" s="76"/>
      <c r="H181" s="76"/>
      <c r="I181" s="76"/>
      <c r="J181" s="76"/>
      <c r="K181" s="76"/>
      <c r="L181" s="76"/>
      <c r="M181" s="76"/>
      <c r="N181" s="76"/>
      <c r="O181" s="75"/>
      <c r="P181" s="75"/>
      <c r="Q181" s="75"/>
      <c r="R181" s="75"/>
      <c r="S181" s="75"/>
      <c r="T181" s="75"/>
      <c r="U181" s="74"/>
    </row>
    <row r="182" spans="1:21" ht="17.25" customHeight="1" x14ac:dyDescent="0.3">
      <c r="A182" s="66" t="s">
        <v>30</v>
      </c>
      <c r="C182" s="67"/>
      <c r="D182" s="77"/>
      <c r="E182" s="77" t="s">
        <v>31</v>
      </c>
      <c r="F182" s="76" t="s">
        <v>31</v>
      </c>
      <c r="G182" s="76" t="s">
        <v>31</v>
      </c>
      <c r="H182" s="76"/>
      <c r="I182" s="76"/>
      <c r="J182" s="76" t="s">
        <v>31</v>
      </c>
      <c r="K182" s="76" t="s">
        <v>31</v>
      </c>
      <c r="L182" s="76" t="s">
        <v>31</v>
      </c>
      <c r="M182" s="76" t="s">
        <v>31</v>
      </c>
      <c r="N182" s="76"/>
      <c r="U182" s="81"/>
    </row>
    <row r="183" spans="1:21" ht="20.25" customHeight="1" x14ac:dyDescent="0.35">
      <c r="A183" s="66" t="s">
        <v>30</v>
      </c>
      <c r="C183" s="67"/>
      <c r="D183" s="92" t="str">
        <f t="shared" ref="D183" si="129">E183</f>
        <v>S100019</v>
      </c>
      <c r="E183" s="91" t="str">
        <f>"S100019"</f>
        <v>S100019</v>
      </c>
      <c r="F183" s="89" t="str">
        <f>"Sportsman Bucket Hat"</f>
        <v>Sportsman Bucket Hat</v>
      </c>
      <c r="G183" s="89"/>
      <c r="H183" s="90" t="str">
        <f>"EA"</f>
        <v>EA</v>
      </c>
      <c r="I183" s="89"/>
      <c r="J183" s="89"/>
      <c r="K183" s="89"/>
      <c r="L183" s="89"/>
      <c r="M183" s="89"/>
      <c r="N183" s="89"/>
      <c r="O183" s="88">
        <f>(SUBTOTAL(9,O184:O185))</f>
        <v>0</v>
      </c>
      <c r="P183" s="88">
        <f>(SUBTOTAL(9,P184:P185))</f>
        <v>-144</v>
      </c>
      <c r="Q183" s="88">
        <f>(SUBTOTAL(9,Q184:Q185))</f>
        <v>0</v>
      </c>
      <c r="R183" s="88">
        <f>(SUBTOTAL(9,R184:R185))</f>
        <v>0</v>
      </c>
      <c r="S183" s="88">
        <f>(SUBTOTAL(9,S184:S185))</f>
        <v>0</v>
      </c>
      <c r="T183" s="88">
        <f>(SUBTOTAL(9,T184:T185))</f>
        <v>0</v>
      </c>
      <c r="U183" s="87">
        <f t="shared" ref="U183" si="130">SUBTOTAL(9,O184:T185)</f>
        <v>-144</v>
      </c>
    </row>
    <row r="184" spans="1:21" ht="17.25" customHeight="1" x14ac:dyDescent="0.3">
      <c r="A184" s="66" t="s">
        <v>30</v>
      </c>
      <c r="C184" s="67"/>
      <c r="D184" s="77" t="str">
        <f t="shared" ref="D184" si="131">D183</f>
        <v>S100019</v>
      </c>
      <c r="E184" s="77"/>
      <c r="F184" s="76"/>
      <c r="G184" s="76" t="str">
        <f>"""NAV Direct"",""CRONUS JetCorp USA"",""32"",""1"",""54719"""</f>
        <v>"NAV Direct","CRONUS JetCorp USA","32","1","54719"</v>
      </c>
      <c r="H184" s="86">
        <v>43472</v>
      </c>
      <c r="I184" s="85">
        <v>54719</v>
      </c>
      <c r="J184" s="84" t="str">
        <f>"Customer"</f>
        <v>Customer</v>
      </c>
      <c r="K184" s="84" t="str">
        <f>"C100084"</f>
        <v>C100084</v>
      </c>
      <c r="L184" s="84" t="str">
        <f>IF($J184="Customer",_xll.NL("first",$J184,"Name","No.","@@"&amp;$K184),"")</f>
        <v>The Cannon Group PLC</v>
      </c>
      <c r="M184" s="84" t="str">
        <f>""</f>
        <v/>
      </c>
      <c r="N184" s="84" t="str">
        <f>IF($J184="Item",_xll.NL("first",$J184,"Description","No.","@@"&amp;$K184),"")</f>
        <v/>
      </c>
      <c r="O184" s="83">
        <v>0</v>
      </c>
      <c r="P184" s="83">
        <v>-144</v>
      </c>
      <c r="Q184" s="83">
        <v>0</v>
      </c>
      <c r="R184" s="83">
        <v>0</v>
      </c>
      <c r="S184" s="83">
        <v>0</v>
      </c>
      <c r="T184" s="83">
        <v>0</v>
      </c>
      <c r="U184" s="82"/>
    </row>
    <row r="185" spans="1:21" ht="17.25" customHeight="1" x14ac:dyDescent="0.3">
      <c r="A185" s="66" t="s">
        <v>30</v>
      </c>
      <c r="C185" s="67"/>
      <c r="D185" s="77"/>
      <c r="E185" s="77"/>
      <c r="F185" s="76"/>
      <c r="G185" s="76"/>
      <c r="H185" s="76"/>
      <c r="I185" s="76"/>
      <c r="J185" s="76"/>
      <c r="K185" s="76"/>
      <c r="L185" s="76"/>
      <c r="M185" s="76"/>
      <c r="N185" s="76"/>
      <c r="O185" s="75"/>
      <c r="P185" s="75"/>
      <c r="Q185" s="75"/>
      <c r="R185" s="75"/>
      <c r="S185" s="75"/>
      <c r="T185" s="75"/>
      <c r="U185" s="74"/>
    </row>
    <row r="186" spans="1:21" ht="17.25" customHeight="1" x14ac:dyDescent="0.3">
      <c r="A186" s="66" t="s">
        <v>30</v>
      </c>
      <c r="C186" s="67"/>
      <c r="D186" s="77"/>
      <c r="E186" s="77" t="s">
        <v>31</v>
      </c>
      <c r="F186" s="76" t="s">
        <v>31</v>
      </c>
      <c r="G186" s="76" t="s">
        <v>31</v>
      </c>
      <c r="H186" s="76"/>
      <c r="I186" s="76"/>
      <c r="J186" s="76" t="s">
        <v>31</v>
      </c>
      <c r="K186" s="76" t="s">
        <v>31</v>
      </c>
      <c r="L186" s="76" t="s">
        <v>31</v>
      </c>
      <c r="M186" s="76" t="s">
        <v>31</v>
      </c>
      <c r="N186" s="76"/>
      <c r="U186" s="81"/>
    </row>
    <row r="187" spans="1:21" ht="20.25" customHeight="1" x14ac:dyDescent="0.35">
      <c r="A187" s="66" t="s">
        <v>30</v>
      </c>
      <c r="C187" s="67"/>
      <c r="D187" s="92" t="str">
        <f t="shared" ref="D187" si="132">E187</f>
        <v>S100020</v>
      </c>
      <c r="E187" s="91" t="str">
        <f>"S100020"</f>
        <v>S100020</v>
      </c>
      <c r="F187" s="89" t="str">
        <f>"Super Sport Stopwatch"</f>
        <v>Super Sport Stopwatch</v>
      </c>
      <c r="G187" s="89"/>
      <c r="H187" s="90" t="str">
        <f>"EA"</f>
        <v>EA</v>
      </c>
      <c r="I187" s="89"/>
      <c r="J187" s="89"/>
      <c r="K187" s="89"/>
      <c r="L187" s="89"/>
      <c r="M187" s="89"/>
      <c r="N187" s="89"/>
      <c r="O187" s="88">
        <f>(SUBTOTAL(9,O188:O189))</f>
        <v>200</v>
      </c>
      <c r="P187" s="88">
        <f>(SUBTOTAL(9,P188:P189))</f>
        <v>0</v>
      </c>
      <c r="Q187" s="88">
        <f>(SUBTOTAL(9,Q188:Q189))</f>
        <v>0</v>
      </c>
      <c r="R187" s="88">
        <f>(SUBTOTAL(9,R188:R189))</f>
        <v>0</v>
      </c>
      <c r="S187" s="88">
        <f>(SUBTOTAL(9,S188:S189))</f>
        <v>0</v>
      </c>
      <c r="T187" s="88">
        <f>(SUBTOTAL(9,T188:T189))</f>
        <v>0</v>
      </c>
      <c r="U187" s="87">
        <f t="shared" ref="U187" si="133">SUBTOTAL(9,O188:T189)</f>
        <v>200</v>
      </c>
    </row>
    <row r="188" spans="1:21" ht="17.25" customHeight="1" x14ac:dyDescent="0.3">
      <c r="A188" s="66" t="s">
        <v>30</v>
      </c>
      <c r="C188" s="67"/>
      <c r="D188" s="77" t="str">
        <f t="shared" ref="D188" si="134">D187</f>
        <v>S100020</v>
      </c>
      <c r="E188" s="77"/>
      <c r="F188" s="76"/>
      <c r="G188" s="76" t="str">
        <f>"""NAV Direct"",""CRONUS JetCorp USA"",""32"",""1"",""167542"""</f>
        <v>"NAV Direct","CRONUS JetCorp USA","32","1","167542"</v>
      </c>
      <c r="H188" s="86">
        <v>43466</v>
      </c>
      <c r="I188" s="85">
        <v>167542</v>
      </c>
      <c r="J188" s="84" t="str">
        <f>"Vendor"</f>
        <v>Vendor</v>
      </c>
      <c r="K188" s="84" t="str">
        <f>"V100001"</f>
        <v>V100001</v>
      </c>
      <c r="L188" s="84" t="str">
        <f>IF($J188="Customer",_xll.NL("first",$J188,"Name","No.","@@"&amp;$K188),"")</f>
        <v/>
      </c>
      <c r="M188" s="84" t="str">
        <f>"Greigner, Inc."</f>
        <v>Greigner, Inc.</v>
      </c>
      <c r="N188" s="84" t="str">
        <f>IF($J188="Item",_xll.NL("first",$J188,"Description","No.","@@"&amp;$K188),"")</f>
        <v/>
      </c>
      <c r="O188" s="83">
        <v>200</v>
      </c>
      <c r="P188" s="83">
        <v>0</v>
      </c>
      <c r="Q188" s="83">
        <v>0</v>
      </c>
      <c r="R188" s="83">
        <v>0</v>
      </c>
      <c r="S188" s="83">
        <v>0</v>
      </c>
      <c r="T188" s="83">
        <v>0</v>
      </c>
      <c r="U188" s="82"/>
    </row>
    <row r="189" spans="1:21" ht="17.25" customHeight="1" x14ac:dyDescent="0.3">
      <c r="A189" s="66" t="s">
        <v>30</v>
      </c>
      <c r="C189" s="67"/>
      <c r="D189" s="77"/>
      <c r="E189" s="77"/>
      <c r="F189" s="76"/>
      <c r="G189" s="76"/>
      <c r="H189" s="76"/>
      <c r="I189" s="76"/>
      <c r="J189" s="76"/>
      <c r="K189" s="76"/>
      <c r="L189" s="76"/>
      <c r="M189" s="76"/>
      <c r="N189" s="76"/>
      <c r="O189" s="75"/>
      <c r="P189" s="75"/>
      <c r="Q189" s="75"/>
      <c r="R189" s="75"/>
      <c r="S189" s="75"/>
      <c r="T189" s="75"/>
      <c r="U189" s="74"/>
    </row>
    <row r="190" spans="1:21" ht="17.25" customHeight="1" x14ac:dyDescent="0.3">
      <c r="A190" s="66" t="s">
        <v>30</v>
      </c>
      <c r="C190" s="67"/>
      <c r="D190" s="77"/>
      <c r="E190" s="77" t="s">
        <v>31</v>
      </c>
      <c r="F190" s="76" t="s">
        <v>31</v>
      </c>
      <c r="G190" s="76" t="s">
        <v>31</v>
      </c>
      <c r="H190" s="76"/>
      <c r="I190" s="76"/>
      <c r="J190" s="76" t="s">
        <v>31</v>
      </c>
      <c r="K190" s="76" t="s">
        <v>31</v>
      </c>
      <c r="L190" s="76" t="s">
        <v>31</v>
      </c>
      <c r="M190" s="76" t="s">
        <v>31</v>
      </c>
      <c r="N190" s="76"/>
      <c r="U190" s="81"/>
    </row>
    <row r="191" spans="1:21" ht="20.25" customHeight="1" x14ac:dyDescent="0.35">
      <c r="A191" s="66" t="s">
        <v>30</v>
      </c>
      <c r="C191" s="67"/>
      <c r="D191" s="92" t="str">
        <f t="shared" ref="D191" si="135">E191</f>
        <v>S100023</v>
      </c>
      <c r="E191" s="91" t="str">
        <f>"S100023"</f>
        <v>S100023</v>
      </c>
      <c r="F191" s="89" t="str">
        <f>"Gripper SPORT BOT"</f>
        <v>Gripper SPORT BOT</v>
      </c>
      <c r="G191" s="89"/>
      <c r="H191" s="90" t="str">
        <f>"EA"</f>
        <v>EA</v>
      </c>
      <c r="I191" s="89"/>
      <c r="J191" s="89"/>
      <c r="K191" s="89"/>
      <c r="L191" s="89"/>
      <c r="M191" s="89"/>
      <c r="N191" s="89"/>
      <c r="O191" s="88">
        <f>(SUBTOTAL(9,O192:O193))</f>
        <v>0</v>
      </c>
      <c r="P191" s="88">
        <f>(SUBTOTAL(9,P192:P193))</f>
        <v>-144</v>
      </c>
      <c r="Q191" s="88">
        <f>(SUBTOTAL(9,Q192:Q193))</f>
        <v>0</v>
      </c>
      <c r="R191" s="88">
        <f>(SUBTOTAL(9,R192:R193))</f>
        <v>0</v>
      </c>
      <c r="S191" s="88">
        <f>(SUBTOTAL(9,S192:S193))</f>
        <v>0</v>
      </c>
      <c r="T191" s="88">
        <f>(SUBTOTAL(9,T192:T193))</f>
        <v>0</v>
      </c>
      <c r="U191" s="87">
        <f t="shared" ref="U191" si="136">SUBTOTAL(9,O192:T193)</f>
        <v>-144</v>
      </c>
    </row>
    <row r="192" spans="1:21" ht="17.25" customHeight="1" x14ac:dyDescent="0.3">
      <c r="A192" s="66" t="s">
        <v>30</v>
      </c>
      <c r="C192" s="67"/>
      <c r="D192" s="77" t="str">
        <f t="shared" ref="D192" si="137">D191</f>
        <v>S100023</v>
      </c>
      <c r="E192" s="77"/>
      <c r="F192" s="76"/>
      <c r="G192" s="76" t="str">
        <f>"""NAV Direct"",""CRONUS JetCorp USA"",""32"",""1"",""54731"""</f>
        <v>"NAV Direct","CRONUS JetCorp USA","32","1","54731"</v>
      </c>
      <c r="H192" s="86">
        <v>43472</v>
      </c>
      <c r="I192" s="85">
        <v>54731</v>
      </c>
      <c r="J192" s="84" t="str">
        <f>"Customer"</f>
        <v>Customer</v>
      </c>
      <c r="K192" s="84" t="str">
        <f>"C100084"</f>
        <v>C100084</v>
      </c>
      <c r="L192" s="84" t="str">
        <f>IF($J192="Customer",_xll.NL("first",$J192,"Name","No.","@@"&amp;$K192),"")</f>
        <v>The Cannon Group PLC</v>
      </c>
      <c r="M192" s="84" t="str">
        <f>""</f>
        <v/>
      </c>
      <c r="N192" s="84" t="str">
        <f>IF($J192="Item",_xll.NL("first",$J192,"Description","No.","@@"&amp;$K192),"")</f>
        <v/>
      </c>
      <c r="O192" s="83">
        <v>0</v>
      </c>
      <c r="P192" s="83">
        <v>-144</v>
      </c>
      <c r="Q192" s="83">
        <v>0</v>
      </c>
      <c r="R192" s="83">
        <v>0</v>
      </c>
      <c r="S192" s="83">
        <v>0</v>
      </c>
      <c r="T192" s="83">
        <v>0</v>
      </c>
      <c r="U192" s="82"/>
    </row>
    <row r="193" spans="1:21" ht="17.25" customHeight="1" x14ac:dyDescent="0.3">
      <c r="A193" s="66" t="s">
        <v>30</v>
      </c>
      <c r="C193" s="67"/>
      <c r="D193" s="77"/>
      <c r="E193" s="77"/>
      <c r="F193" s="76"/>
      <c r="G193" s="76"/>
      <c r="H193" s="76"/>
      <c r="I193" s="76"/>
      <c r="J193" s="76"/>
      <c r="K193" s="76"/>
      <c r="L193" s="76"/>
      <c r="M193" s="76"/>
      <c r="N193" s="76"/>
      <c r="O193" s="75"/>
      <c r="P193" s="75"/>
      <c r="Q193" s="75"/>
      <c r="R193" s="75"/>
      <c r="S193" s="75"/>
      <c r="T193" s="75"/>
      <c r="U193" s="74"/>
    </row>
    <row r="194" spans="1:21" ht="17.25" customHeight="1" x14ac:dyDescent="0.3">
      <c r="A194" s="66" t="s">
        <v>30</v>
      </c>
      <c r="C194" s="67"/>
      <c r="D194" s="77"/>
      <c r="E194" s="77" t="s">
        <v>31</v>
      </c>
      <c r="F194" s="76" t="s">
        <v>31</v>
      </c>
      <c r="G194" s="76" t="s">
        <v>31</v>
      </c>
      <c r="H194" s="76"/>
      <c r="I194" s="76"/>
      <c r="J194" s="76" t="s">
        <v>31</v>
      </c>
      <c r="K194" s="76" t="s">
        <v>31</v>
      </c>
      <c r="L194" s="76" t="s">
        <v>31</v>
      </c>
      <c r="M194" s="76" t="s">
        <v>31</v>
      </c>
      <c r="N194" s="76"/>
      <c r="U194" s="81"/>
    </row>
    <row r="195" spans="1:21" ht="20.25" customHeight="1" x14ac:dyDescent="0.35">
      <c r="A195" s="66" t="s">
        <v>30</v>
      </c>
      <c r="C195" s="67"/>
      <c r="D195" s="92" t="str">
        <f t="shared" ref="D195" si="138">E195</f>
        <v>S100026</v>
      </c>
      <c r="E195" s="91" t="str">
        <f>"S100026"</f>
        <v>S100026</v>
      </c>
      <c r="F195" s="89" t="str">
        <f>"Wide SPORT BOT"</f>
        <v>Wide SPORT BOT</v>
      </c>
      <c r="G195" s="89"/>
      <c r="H195" s="90" t="str">
        <f>"EA"</f>
        <v>EA</v>
      </c>
      <c r="I195" s="89"/>
      <c r="J195" s="89"/>
      <c r="K195" s="89"/>
      <c r="L195" s="89"/>
      <c r="M195" s="89"/>
      <c r="N195" s="89"/>
      <c r="O195" s="88">
        <f>(SUBTOTAL(9,O196:O198))</f>
        <v>249.99999999999997</v>
      </c>
      <c r="P195" s="88">
        <f>(SUBTOTAL(9,P196:P198))</f>
        <v>-144</v>
      </c>
      <c r="Q195" s="88">
        <f>(SUBTOTAL(9,Q196:Q198))</f>
        <v>0</v>
      </c>
      <c r="R195" s="88">
        <f>(SUBTOTAL(9,R196:R198))</f>
        <v>0</v>
      </c>
      <c r="S195" s="88">
        <f>(SUBTOTAL(9,S196:S198))</f>
        <v>0</v>
      </c>
      <c r="T195" s="88">
        <f>(SUBTOTAL(9,T196:T198))</f>
        <v>0</v>
      </c>
      <c r="U195" s="87">
        <f t="shared" ref="U195" si="139">SUBTOTAL(9,O196:T198)</f>
        <v>105.99999999999997</v>
      </c>
    </row>
    <row r="196" spans="1:21" ht="17.25" customHeight="1" x14ac:dyDescent="0.3">
      <c r="A196" s="66" t="s">
        <v>30</v>
      </c>
      <c r="C196" s="67"/>
      <c r="D196" s="77" t="str">
        <f t="shared" ref="D196" si="140">D195</f>
        <v>S100026</v>
      </c>
      <c r="E196" s="77"/>
      <c r="F196" s="76"/>
      <c r="G196" s="76" t="str">
        <f>"""NAV Direct"",""CRONUS JetCorp USA"",""32"",""1"",""168620"""</f>
        <v>"NAV Direct","CRONUS JetCorp USA","32","1","168620"</v>
      </c>
      <c r="H196" s="86">
        <v>43466</v>
      </c>
      <c r="I196" s="85">
        <v>168620</v>
      </c>
      <c r="J196" s="84" t="str">
        <f>"Vendor"</f>
        <v>Vendor</v>
      </c>
      <c r="K196" s="84" t="str">
        <f>"V100001"</f>
        <v>V100001</v>
      </c>
      <c r="L196" s="84" t="str">
        <f>IF($J196="Customer",_xll.NL("first",$J196,"Name","No.","@@"&amp;$K196),"")</f>
        <v/>
      </c>
      <c r="M196" s="84" t="str">
        <f>"Greigner, Inc."</f>
        <v>Greigner, Inc.</v>
      </c>
      <c r="N196" s="84" t="str">
        <f>IF($J196="Item",_xll.NL("first",$J196,"Description","No.","@@"&amp;$K196),"")</f>
        <v/>
      </c>
      <c r="O196" s="83">
        <v>249.99999999999997</v>
      </c>
      <c r="P196" s="83">
        <v>0</v>
      </c>
      <c r="Q196" s="83">
        <v>0</v>
      </c>
      <c r="R196" s="83">
        <v>0</v>
      </c>
      <c r="S196" s="83">
        <v>0</v>
      </c>
      <c r="T196" s="83">
        <v>0</v>
      </c>
      <c r="U196" s="82"/>
    </row>
    <row r="197" spans="1:21" ht="17.25" customHeight="1" x14ac:dyDescent="0.3">
      <c r="A197" s="66" t="s">
        <v>30</v>
      </c>
      <c r="C197" s="67"/>
      <c r="D197" s="77" t="str">
        <f t="shared" ref="D197" si="141">D196</f>
        <v>S100026</v>
      </c>
      <c r="E197" s="77"/>
      <c r="F197" s="76"/>
      <c r="G197" s="76" t="str">
        <f>"""NAV Direct"",""CRONUS JetCorp USA"",""32"",""1"",""54721"""</f>
        <v>"NAV Direct","CRONUS JetCorp USA","32","1","54721"</v>
      </c>
      <c r="H197" s="86">
        <v>43472</v>
      </c>
      <c r="I197" s="85">
        <v>54721</v>
      </c>
      <c r="J197" s="84" t="str">
        <f>"Customer"</f>
        <v>Customer</v>
      </c>
      <c r="K197" s="84" t="str">
        <f>"C100084"</f>
        <v>C100084</v>
      </c>
      <c r="L197" s="84" t="str">
        <f>IF($J197="Customer",_xll.NL("first",$J197,"Name","No.","@@"&amp;$K197),"")</f>
        <v>The Cannon Group PLC</v>
      </c>
      <c r="M197" s="84" t="str">
        <f>""</f>
        <v/>
      </c>
      <c r="N197" s="84" t="str">
        <f>IF($J197="Item",_xll.NL("first",$J197,"Description","No.","@@"&amp;$K197),"")</f>
        <v/>
      </c>
      <c r="O197" s="83">
        <v>0</v>
      </c>
      <c r="P197" s="83">
        <v>-144</v>
      </c>
      <c r="Q197" s="83">
        <v>0</v>
      </c>
      <c r="R197" s="83">
        <v>0</v>
      </c>
      <c r="S197" s="83">
        <v>0</v>
      </c>
      <c r="T197" s="83">
        <v>0</v>
      </c>
      <c r="U197" s="82"/>
    </row>
    <row r="198" spans="1:21" ht="17.25" customHeight="1" x14ac:dyDescent="0.3">
      <c r="A198" s="66" t="s">
        <v>30</v>
      </c>
      <c r="C198" s="67"/>
      <c r="D198" s="77"/>
      <c r="E198" s="77"/>
      <c r="F198" s="76"/>
      <c r="G198" s="76"/>
      <c r="H198" s="76"/>
      <c r="I198" s="76"/>
      <c r="J198" s="76"/>
      <c r="K198" s="76"/>
      <c r="L198" s="76"/>
      <c r="M198" s="76"/>
      <c r="N198" s="76"/>
      <c r="O198" s="75"/>
      <c r="P198" s="75"/>
      <c r="Q198" s="75"/>
      <c r="R198" s="75"/>
      <c r="S198" s="75"/>
      <c r="T198" s="75"/>
      <c r="U198" s="74"/>
    </row>
    <row r="199" spans="1:21" ht="17.25" customHeight="1" x14ac:dyDescent="0.3">
      <c r="A199" s="66" t="s">
        <v>30</v>
      </c>
      <c r="C199" s="67"/>
      <c r="D199" s="77"/>
      <c r="E199" s="77" t="s">
        <v>31</v>
      </c>
      <c r="F199" s="76" t="s">
        <v>31</v>
      </c>
      <c r="G199" s="76" t="s">
        <v>31</v>
      </c>
      <c r="H199" s="76"/>
      <c r="I199" s="76"/>
      <c r="J199" s="76" t="s">
        <v>31</v>
      </c>
      <c r="K199" s="76" t="s">
        <v>31</v>
      </c>
      <c r="L199" s="76" t="s">
        <v>31</v>
      </c>
      <c r="M199" s="76" t="s">
        <v>31</v>
      </c>
      <c r="N199" s="76"/>
      <c r="U199" s="81"/>
    </row>
    <row r="200" spans="1:21" ht="17.25" customHeight="1" x14ac:dyDescent="0.3">
      <c r="A200" s="66"/>
      <c r="C200" s="67"/>
      <c r="D200" s="77"/>
      <c r="E200" s="77"/>
      <c r="F200" s="76"/>
      <c r="G200" s="76"/>
      <c r="H200" s="76"/>
      <c r="I200" s="76"/>
      <c r="J200" s="76"/>
      <c r="K200" s="76"/>
      <c r="L200" s="76"/>
      <c r="M200" s="76"/>
      <c r="N200" s="76"/>
      <c r="O200" s="75"/>
      <c r="P200" s="75"/>
      <c r="Q200" s="75"/>
      <c r="R200" s="75"/>
      <c r="S200" s="75"/>
      <c r="T200" s="75"/>
      <c r="U200" s="74"/>
    </row>
    <row r="201" spans="1:21" ht="20.25" customHeight="1" thickBot="1" x14ac:dyDescent="0.4">
      <c r="A201" s="66"/>
      <c r="C201" s="67"/>
      <c r="D201" s="77"/>
      <c r="E201" s="77"/>
      <c r="F201" s="76"/>
      <c r="G201" s="76"/>
      <c r="H201" s="76"/>
      <c r="I201" s="76"/>
      <c r="J201" s="76"/>
      <c r="K201" s="76"/>
      <c r="L201" s="76"/>
      <c r="M201" s="76"/>
      <c r="N201" s="80" t="s">
        <v>32</v>
      </c>
      <c r="O201" s="79">
        <f>SUBTOTAL(9,O13:O200)</f>
        <v>8400</v>
      </c>
      <c r="P201" s="79">
        <f>SUBTOTAL(9,P13:P200)</f>
        <v>-5239</v>
      </c>
      <c r="Q201" s="79">
        <f>SUBTOTAL(9,Q13:Q200)</f>
        <v>0</v>
      </c>
      <c r="R201" s="79">
        <f>SUBTOTAL(9,R13:R200)</f>
        <v>0</v>
      </c>
      <c r="S201" s="79">
        <f>SUBTOTAL(9,S13:S200)</f>
        <v>0</v>
      </c>
      <c r="T201" s="79">
        <f>SUBTOTAL(9,T13:T200)</f>
        <v>0</v>
      </c>
      <c r="U201" s="78">
        <f>SUM(U12:U200)</f>
        <v>3161</v>
      </c>
    </row>
    <row r="202" spans="1:21" ht="17.25" customHeight="1" x14ac:dyDescent="0.3">
      <c r="A202" s="66"/>
      <c r="C202" s="67"/>
      <c r="D202" s="77"/>
      <c r="E202" s="77"/>
      <c r="F202" s="76"/>
      <c r="G202" s="76"/>
      <c r="H202" s="76"/>
      <c r="I202" s="76"/>
      <c r="J202" s="76"/>
      <c r="K202" s="76"/>
      <c r="L202" s="76"/>
      <c r="M202" s="76"/>
      <c r="N202" s="76"/>
      <c r="O202" s="75"/>
      <c r="P202" s="75"/>
      <c r="Q202" s="75"/>
      <c r="R202" s="75"/>
      <c r="S202" s="75"/>
      <c r="T202" s="75"/>
      <c r="U202" s="74"/>
    </row>
    <row r="203" spans="1:21" ht="17.25" customHeight="1" x14ac:dyDescent="0.3">
      <c r="A203" s="66"/>
      <c r="C203" s="67"/>
      <c r="D203" s="73"/>
      <c r="E203" s="73"/>
      <c r="F203" s="72"/>
      <c r="G203" s="72"/>
      <c r="H203" s="72"/>
      <c r="I203" s="72"/>
      <c r="J203" s="72"/>
      <c r="K203" s="72"/>
      <c r="L203" s="72"/>
      <c r="M203" s="72"/>
      <c r="N203" s="71"/>
      <c r="O203" s="70"/>
      <c r="P203" s="70"/>
      <c r="Q203" s="70"/>
      <c r="R203" s="70"/>
      <c r="S203" s="70"/>
      <c r="T203" s="70"/>
      <c r="U203" s="69"/>
    </row>
    <row r="204" spans="1:21" ht="17.25" customHeight="1" x14ac:dyDescent="0.3">
      <c r="A204" s="66"/>
      <c r="C204" s="67"/>
      <c r="D204" s="68"/>
      <c r="E204" s="68"/>
      <c r="F204" s="68"/>
      <c r="G204" s="68"/>
      <c r="H204" s="68"/>
      <c r="I204" s="68"/>
      <c r="J204" s="68"/>
      <c r="K204" s="68"/>
      <c r="L204" s="68"/>
      <c r="M204" s="68"/>
      <c r="N204" s="68"/>
      <c r="O204" s="68"/>
      <c r="P204" s="68"/>
      <c r="Q204" s="68"/>
      <c r="R204" s="68"/>
      <c r="S204" s="68"/>
      <c r="T204" s="68"/>
      <c r="U204" s="68"/>
    </row>
    <row r="205" spans="1:21" ht="17.25" customHeight="1" x14ac:dyDescent="0.3">
      <c r="A205" s="66"/>
      <c r="C205" s="67"/>
      <c r="D205" s="68"/>
      <c r="E205" s="68"/>
      <c r="F205" s="68"/>
      <c r="G205" s="68"/>
      <c r="H205" s="68"/>
      <c r="I205" s="68"/>
      <c r="J205" s="68"/>
      <c r="K205" s="68"/>
      <c r="L205" s="68"/>
      <c r="M205" s="68"/>
      <c r="N205" s="68"/>
      <c r="O205" s="68"/>
      <c r="P205" s="68"/>
      <c r="Q205" s="68"/>
      <c r="R205" s="68"/>
      <c r="S205" s="68"/>
      <c r="T205" s="68"/>
      <c r="U205" s="68"/>
    </row>
    <row r="206" spans="1:21" ht="17.25" customHeight="1" x14ac:dyDescent="0.3">
      <c r="A206" s="66"/>
      <c r="C206" s="67"/>
      <c r="D206" s="68"/>
      <c r="E206" s="68"/>
      <c r="F206" s="68"/>
      <c r="G206" s="68"/>
      <c r="H206" s="68"/>
      <c r="I206" s="68"/>
      <c r="J206" s="68"/>
      <c r="K206" s="68"/>
      <c r="L206" s="68"/>
      <c r="M206" s="68"/>
      <c r="N206" s="68"/>
      <c r="O206" s="68"/>
      <c r="P206" s="68"/>
      <c r="Q206" s="68"/>
      <c r="R206" s="68"/>
      <c r="S206" s="68"/>
      <c r="T206" s="68"/>
      <c r="U206" s="68"/>
    </row>
    <row r="207" spans="1:21" ht="17.25" customHeight="1" x14ac:dyDescent="0.3">
      <c r="A207" s="66"/>
      <c r="C207" s="67"/>
      <c r="D207" s="68"/>
      <c r="E207" s="68"/>
      <c r="F207" s="68"/>
      <c r="G207" s="68"/>
      <c r="H207" s="68"/>
      <c r="I207" s="68"/>
      <c r="J207" s="68"/>
      <c r="K207" s="68"/>
      <c r="L207" s="68"/>
      <c r="M207" s="68"/>
      <c r="N207" s="68"/>
      <c r="O207" s="68"/>
      <c r="P207" s="68"/>
      <c r="Q207" s="68"/>
      <c r="R207" s="68"/>
      <c r="S207" s="68"/>
      <c r="T207" s="68"/>
      <c r="U207" s="68"/>
    </row>
    <row r="208" spans="1:21" ht="17.25" customHeight="1" x14ac:dyDescent="0.3">
      <c r="A208" s="66"/>
      <c r="C208" s="67"/>
      <c r="D208" s="68"/>
      <c r="E208" s="68"/>
      <c r="F208" s="68"/>
      <c r="G208" s="68"/>
      <c r="H208" s="68"/>
      <c r="I208" s="68"/>
      <c r="J208" s="68"/>
      <c r="K208" s="68"/>
      <c r="L208" s="68"/>
      <c r="M208" s="68"/>
      <c r="N208" s="68"/>
      <c r="O208" s="68"/>
      <c r="P208" s="68"/>
      <c r="Q208" s="68"/>
      <c r="R208" s="68"/>
      <c r="S208" s="68"/>
      <c r="T208" s="68"/>
      <c r="U208" s="68"/>
    </row>
    <row r="209" spans="1:21" ht="17.25" customHeight="1" x14ac:dyDescent="0.3">
      <c r="A209" s="66"/>
      <c r="C209" s="67"/>
      <c r="D209" s="68"/>
      <c r="E209" s="68"/>
      <c r="F209" s="68"/>
      <c r="G209" s="68"/>
      <c r="H209" s="68"/>
      <c r="I209" s="68"/>
      <c r="J209" s="68"/>
      <c r="K209" s="68"/>
      <c r="L209" s="68"/>
      <c r="M209" s="68"/>
      <c r="N209" s="68"/>
      <c r="O209" s="68"/>
      <c r="P209" s="68"/>
      <c r="Q209" s="68"/>
      <c r="R209" s="68"/>
      <c r="S209" s="68"/>
      <c r="T209" s="68"/>
      <c r="U209" s="68"/>
    </row>
    <row r="210" spans="1:21" ht="17.25" customHeight="1" x14ac:dyDescent="0.3">
      <c r="A210" s="66"/>
      <c r="C210" s="67"/>
      <c r="D210" s="68"/>
      <c r="E210" s="68"/>
      <c r="F210" s="68"/>
      <c r="G210" s="68"/>
      <c r="H210" s="68"/>
      <c r="I210" s="68"/>
      <c r="J210" s="68"/>
      <c r="K210" s="68"/>
      <c r="L210" s="68"/>
      <c r="M210" s="68"/>
      <c r="N210" s="68"/>
      <c r="O210" s="68"/>
      <c r="P210" s="68"/>
      <c r="Q210" s="68"/>
      <c r="R210" s="68"/>
      <c r="S210" s="68"/>
      <c r="T210" s="68"/>
      <c r="U210" s="68"/>
    </row>
    <row r="211" spans="1:21" ht="17.25" customHeight="1" x14ac:dyDescent="0.3">
      <c r="A211" s="66"/>
      <c r="C211" s="67"/>
      <c r="D211" s="68"/>
      <c r="E211" s="68"/>
      <c r="F211" s="68"/>
      <c r="G211" s="68"/>
      <c r="H211" s="68"/>
      <c r="I211" s="68"/>
      <c r="J211" s="68"/>
      <c r="K211" s="68"/>
      <c r="L211" s="68"/>
      <c r="M211" s="68"/>
      <c r="N211" s="68"/>
      <c r="O211" s="68"/>
      <c r="P211" s="68"/>
      <c r="Q211" s="68"/>
      <c r="R211" s="68"/>
      <c r="S211" s="68"/>
      <c r="T211" s="68"/>
      <c r="U211" s="68"/>
    </row>
    <row r="212" spans="1:21" ht="17.25" customHeight="1" x14ac:dyDescent="0.3">
      <c r="A212" s="66"/>
      <c r="C212" s="67"/>
      <c r="D212" s="67"/>
      <c r="E212" s="67"/>
      <c r="F212" s="67"/>
      <c r="G212" s="67"/>
      <c r="H212" s="67"/>
      <c r="I212" s="67"/>
      <c r="J212" s="67"/>
      <c r="K212" s="67"/>
      <c r="L212" s="67"/>
      <c r="M212" s="67"/>
      <c r="N212" s="67"/>
      <c r="O212" s="67"/>
      <c r="P212" s="67"/>
      <c r="Q212" s="67"/>
      <c r="R212" s="67"/>
      <c r="S212" s="67"/>
      <c r="T212" s="67"/>
      <c r="U212" s="67"/>
    </row>
    <row r="213" spans="1:21" ht="17.25" customHeight="1" x14ac:dyDescent="0.3">
      <c r="A213" s="66"/>
      <c r="C213" s="67"/>
      <c r="D213" s="67"/>
      <c r="E213" s="67"/>
      <c r="F213" s="67"/>
      <c r="G213" s="67"/>
      <c r="H213" s="67"/>
      <c r="I213" s="67"/>
      <c r="J213" s="67"/>
      <c r="K213" s="67"/>
      <c r="L213" s="67"/>
      <c r="M213" s="67"/>
      <c r="N213" s="67"/>
      <c r="O213" s="67"/>
      <c r="P213" s="67"/>
      <c r="Q213" s="67"/>
      <c r="R213" s="67"/>
      <c r="S213" s="67"/>
      <c r="T213" s="67"/>
      <c r="U213" s="67"/>
    </row>
    <row r="214" spans="1:21" ht="14.25" customHeight="1" x14ac:dyDescent="0.25">
      <c r="A214" s="66"/>
    </row>
    <row r="215" spans="1:21" ht="14.25" customHeight="1" x14ac:dyDescent="0.25">
      <c r="A215" s="66"/>
    </row>
    <row r="216" spans="1:21" ht="14.25" customHeight="1" x14ac:dyDescent="0.25">
      <c r="A216" s="66"/>
    </row>
    <row r="217" spans="1:21" ht="14.25" customHeight="1" x14ac:dyDescent="0.25">
      <c r="A217" s="66"/>
    </row>
    <row r="218" spans="1:21" ht="14.25" customHeight="1" x14ac:dyDescent="0.25">
      <c r="A218" s="66"/>
    </row>
    <row r="219" spans="1:21" ht="14.25" customHeight="1" x14ac:dyDescent="0.25">
      <c r="A219" s="66"/>
    </row>
    <row r="220" spans="1:21" ht="14.25" customHeight="1" x14ac:dyDescent="0.25">
      <c r="A220" s="66"/>
    </row>
    <row r="221" spans="1:21" ht="14.25" customHeight="1" x14ac:dyDescent="0.25">
      <c r="A221" s="66"/>
    </row>
    <row r="222" spans="1:21" ht="14.25" customHeight="1" x14ac:dyDescent="0.25">
      <c r="A222" s="66"/>
    </row>
  </sheetData>
  <mergeCells count="1">
    <mergeCell ref="E3:F3"/>
  </mergeCells>
  <pageMargins left="0.25" right="0.25" top="0.75" bottom="0.75" header="0.3" footer="0.3"/>
  <pageSetup scale="35"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645"/>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20.5703125" style="65" bestFit="1" customWidth="1"/>
    <col min="6" max="6" width="48"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30" style="65" bestFit="1" customWidth="1"/>
    <col min="13" max="13" width="11.5703125" style="65" bestFit="1" customWidth="1"/>
    <col min="14" max="14" width="26.7109375" style="65" customWidth="1"/>
    <col min="15" max="15" width="15" style="65" bestFit="1" customWidth="1"/>
    <col min="16" max="16" width="12"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34803</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"ATL-WHSE2"</f>
        <v>ATL-WHSE2</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C100002</v>
      </c>
      <c r="E12" s="91" t="str">
        <f>"C100002"</f>
        <v>C100002</v>
      </c>
      <c r="F12" s="89" t="str">
        <f>"Border Style"</f>
        <v>Border Style</v>
      </c>
      <c r="G12" s="89"/>
      <c r="H12" s="90" t="str">
        <f>"EA"</f>
        <v>EA</v>
      </c>
      <c r="I12" s="89"/>
      <c r="J12" s="89"/>
      <c r="K12" s="89"/>
      <c r="L12" s="89"/>
      <c r="M12" s="89"/>
      <c r="N12" s="89"/>
      <c r="O12" s="88">
        <f>(SUBTOTAL(9,O13:O15))</f>
        <v>200</v>
      </c>
      <c r="P12" s="88">
        <f>(SUBTOTAL(9,P13:P15))</f>
        <v>-144</v>
      </c>
      <c r="Q12" s="88">
        <f>(SUBTOTAL(9,Q13:Q15))</f>
        <v>0</v>
      </c>
      <c r="R12" s="88">
        <f>(SUBTOTAL(9,R13:R15))</f>
        <v>0</v>
      </c>
      <c r="S12" s="88">
        <f>(SUBTOTAL(9,S13:S15))</f>
        <v>0</v>
      </c>
      <c r="T12" s="88">
        <f>(SUBTOTAL(9,T13:T15))</f>
        <v>0</v>
      </c>
      <c r="U12" s="87">
        <f>SUBTOTAL(9,O13:T15)</f>
        <v>56</v>
      </c>
    </row>
    <row r="13" spans="1:21" ht="17.25" customHeight="1" x14ac:dyDescent="0.3">
      <c r="A13" s="66"/>
      <c r="C13" s="67"/>
      <c r="D13" s="77" t="str">
        <f>D12</f>
        <v>C100002</v>
      </c>
      <c r="E13" s="77"/>
      <c r="F13" s="76"/>
      <c r="G13" s="76" t="str">
        <f>"""NAV Direct"",""CRONUS JetCorp USA"",""32"",""1"",""166372"""</f>
        <v>"NAV Direct","CRONUS JetCorp USA","32","1","166372"</v>
      </c>
      <c r="H13" s="86">
        <v>43466</v>
      </c>
      <c r="I13" s="85">
        <v>166372</v>
      </c>
      <c r="J13" s="84" t="str">
        <f>"Vendor"</f>
        <v>Vendor</v>
      </c>
      <c r="K13" s="84" t="str">
        <f>"V100007"</f>
        <v>V100007</v>
      </c>
      <c r="L13" s="84" t="str">
        <f>IF($J13="Customer",_xll.NL("first",$J13,"Name","No.","@@"&amp;$K13),"")</f>
        <v/>
      </c>
      <c r="M13" s="84" t="str">
        <f>"TrendTech"</f>
        <v>TrendTech</v>
      </c>
      <c r="N13" s="84" t="str">
        <f>IF($J13="Item",_xll.NL("first",$J13,"Description","No.","@@"&amp;$K13),"")</f>
        <v/>
      </c>
      <c r="O13" s="83">
        <v>200</v>
      </c>
      <c r="P13" s="83">
        <v>0</v>
      </c>
      <c r="Q13" s="83">
        <v>0</v>
      </c>
      <c r="R13" s="83">
        <v>0</v>
      </c>
      <c r="S13" s="83">
        <v>0</v>
      </c>
      <c r="T13" s="83">
        <v>0</v>
      </c>
      <c r="U13" s="82"/>
    </row>
    <row r="14" spans="1:21" ht="17.25" customHeight="1" x14ac:dyDescent="0.3">
      <c r="A14" s="66" t="s">
        <v>30</v>
      </c>
      <c r="C14" s="67"/>
      <c r="D14" s="77" t="str">
        <f>D13</f>
        <v>C100002</v>
      </c>
      <c r="E14" s="77"/>
      <c r="F14" s="76"/>
      <c r="G14" s="76" t="str">
        <f>"""NAV Direct"",""CRONUS JetCorp USA"",""32"",""1"",""3907"""</f>
        <v>"NAV Direct","CRONUS JetCorp USA","32","1","3907"</v>
      </c>
      <c r="H14" s="86">
        <v>43472</v>
      </c>
      <c r="I14" s="85">
        <v>3907</v>
      </c>
      <c r="J14" s="84" t="str">
        <f>"Customer"</f>
        <v>Customer</v>
      </c>
      <c r="K14" s="84" t="str">
        <f>"C100099"</f>
        <v>C100099</v>
      </c>
      <c r="L14" s="84" t="str">
        <f>IF($J14="Customer",_xll.NL("first",$J14,"Name","No.","@@"&amp;$K14),"")</f>
        <v>Voltive Systems</v>
      </c>
      <c r="M14" s="84" t="str">
        <f>""</f>
        <v/>
      </c>
      <c r="N14" s="84" t="str">
        <f>IF($J14="Item",_xll.NL("first",$J14,"Description","No.","@@"&amp;$K14),"")</f>
        <v/>
      </c>
      <c r="O14" s="83">
        <v>0</v>
      </c>
      <c r="P14" s="83">
        <v>-144</v>
      </c>
      <c r="Q14" s="83">
        <v>0</v>
      </c>
      <c r="R14" s="83">
        <v>0</v>
      </c>
      <c r="S14" s="83">
        <v>0</v>
      </c>
      <c r="T14" s="83">
        <v>0</v>
      </c>
      <c r="U14" s="82"/>
    </row>
    <row r="15" spans="1:21" ht="17.25" customHeight="1" x14ac:dyDescent="0.3">
      <c r="A15" s="66"/>
      <c r="C15" s="67"/>
      <c r="D15" s="77"/>
      <c r="E15" s="77"/>
      <c r="F15" s="76"/>
      <c r="G15" s="76"/>
      <c r="H15" s="76"/>
      <c r="I15" s="76"/>
      <c r="J15" s="76"/>
      <c r="K15" s="76"/>
      <c r="L15" s="76"/>
      <c r="M15" s="76"/>
      <c r="N15" s="76"/>
      <c r="O15" s="75"/>
      <c r="P15" s="75"/>
      <c r="Q15" s="75"/>
      <c r="R15" s="75"/>
      <c r="S15" s="75"/>
      <c r="T15" s="75"/>
      <c r="U15" s="74"/>
    </row>
    <row r="16" spans="1:21" ht="17.25" customHeight="1" x14ac:dyDescent="0.3">
      <c r="A16" s="66"/>
      <c r="C16" s="67"/>
      <c r="D16" s="77"/>
      <c r="E16" s="77" t="s">
        <v>31</v>
      </c>
      <c r="F16" s="76" t="s">
        <v>31</v>
      </c>
      <c r="G16" s="76" t="s">
        <v>31</v>
      </c>
      <c r="H16" s="76"/>
      <c r="I16" s="76"/>
      <c r="J16" s="76" t="s">
        <v>31</v>
      </c>
      <c r="K16" s="76" t="s">
        <v>31</v>
      </c>
      <c r="L16" s="76" t="s">
        <v>31</v>
      </c>
      <c r="M16" s="76" t="s">
        <v>31</v>
      </c>
      <c r="N16" s="76"/>
      <c r="U16" s="81"/>
    </row>
    <row r="17" spans="1:21" ht="20.25" customHeight="1" x14ac:dyDescent="0.35">
      <c r="A17" s="66" t="s">
        <v>30</v>
      </c>
      <c r="C17" s="67"/>
      <c r="D17" s="92" t="str">
        <f t="shared" ref="D17" si="0">E17</f>
        <v>C100003</v>
      </c>
      <c r="E17" s="91" t="str">
        <f>"C100003"</f>
        <v>C100003</v>
      </c>
      <c r="F17" s="89" t="str">
        <f>"Cherry Finish Frame"</f>
        <v>Cherry Finish Frame</v>
      </c>
      <c r="G17" s="89"/>
      <c r="H17" s="90" t="str">
        <f>"EA"</f>
        <v>EA</v>
      </c>
      <c r="I17" s="89"/>
      <c r="J17" s="89"/>
      <c r="K17" s="89"/>
      <c r="L17" s="89"/>
      <c r="M17" s="89"/>
      <c r="N17" s="89"/>
      <c r="O17" s="88">
        <f>(SUBTOTAL(9,O18:O21))</f>
        <v>400</v>
      </c>
      <c r="P17" s="88">
        <f>(SUBTOTAL(9,P18:P21))</f>
        <v>-60</v>
      </c>
      <c r="Q17" s="88">
        <f>(SUBTOTAL(9,Q18:Q21))</f>
        <v>0</v>
      </c>
      <c r="R17" s="88">
        <f>(SUBTOTAL(9,R18:R21))</f>
        <v>0</v>
      </c>
      <c r="S17" s="88">
        <f>(SUBTOTAL(9,S18:S21))</f>
        <v>0</v>
      </c>
      <c r="T17" s="88">
        <f>(SUBTOTAL(9,T18:T21))</f>
        <v>0</v>
      </c>
      <c r="U17" s="87">
        <f t="shared" ref="U17" si="1">SUBTOTAL(9,O18:T21)</f>
        <v>340</v>
      </c>
    </row>
    <row r="18" spans="1:21" ht="17.25" customHeight="1" x14ac:dyDescent="0.3">
      <c r="A18" s="66" t="s">
        <v>30</v>
      </c>
      <c r="C18" s="67"/>
      <c r="D18" s="77" t="str">
        <f t="shared" ref="D18" si="2">D17</f>
        <v>C100003</v>
      </c>
      <c r="E18" s="77"/>
      <c r="F18" s="76"/>
      <c r="G18" s="76" t="str">
        <f>"""NAV Direct"",""CRONUS JetCorp USA"",""32"",""1"",""166371"""</f>
        <v>"NAV Direct","CRONUS JetCorp USA","32","1","166371"</v>
      </c>
      <c r="H18" s="86">
        <v>43466</v>
      </c>
      <c r="I18" s="85">
        <v>166371</v>
      </c>
      <c r="J18" s="84" t="str">
        <f>"Vendor"</f>
        <v>Vendor</v>
      </c>
      <c r="K18" s="84" t="str">
        <f>"V100007"</f>
        <v>V100007</v>
      </c>
      <c r="L18" s="84" t="str">
        <f>IF($J18="Customer",_xll.NL("first",$J18,"Name","No.","@@"&amp;$K18),"")</f>
        <v/>
      </c>
      <c r="M18" s="84" t="str">
        <f>"TrendTech"</f>
        <v>TrendTech</v>
      </c>
      <c r="N18" s="84" t="str">
        <f>IF($J18="Item",_xll.NL("first",$J18,"Description","No.","@@"&amp;$K18),"")</f>
        <v/>
      </c>
      <c r="O18" s="83">
        <v>400</v>
      </c>
      <c r="P18" s="83">
        <v>0</v>
      </c>
      <c r="Q18" s="83">
        <v>0</v>
      </c>
      <c r="R18" s="83">
        <v>0</v>
      </c>
      <c r="S18" s="83">
        <v>0</v>
      </c>
      <c r="T18" s="83">
        <v>0</v>
      </c>
      <c r="U18" s="82"/>
    </row>
    <row r="19" spans="1:21" ht="17.25" customHeight="1" x14ac:dyDescent="0.3">
      <c r="A19" s="66" t="s">
        <v>30</v>
      </c>
      <c r="C19" s="67"/>
      <c r="D19" s="77" t="str">
        <f t="shared" ref="D19:D20" si="3">D18</f>
        <v>C100003</v>
      </c>
      <c r="E19" s="77"/>
      <c r="F19" s="76"/>
      <c r="G19" s="76" t="str">
        <f>"""NAV Direct"",""CRONUS JetCorp USA"",""32"",""1"",""25251"""</f>
        <v>"NAV Direct","CRONUS JetCorp USA","32","1","25251"</v>
      </c>
      <c r="H19" s="86">
        <v>43472</v>
      </c>
      <c r="I19" s="85">
        <v>25251</v>
      </c>
      <c r="J19" s="84" t="str">
        <f>"Customer"</f>
        <v>Customer</v>
      </c>
      <c r="K19" s="84" t="str">
        <f>"C100098"</f>
        <v>C100098</v>
      </c>
      <c r="L19" s="84" t="str">
        <f>IF($J19="Customer",_xll.NL("first",$J19,"Name","No.","@@"&amp;$K19),"")</f>
        <v>BlackCane Motor Works</v>
      </c>
      <c r="M19" s="84" t="str">
        <f>""</f>
        <v/>
      </c>
      <c r="N19" s="84" t="str">
        <f>IF($J19="Item",_xll.NL("first",$J19,"Description","No.","@@"&amp;$K19),"")</f>
        <v/>
      </c>
      <c r="O19" s="83">
        <v>0</v>
      </c>
      <c r="P19" s="83">
        <v>-48</v>
      </c>
      <c r="Q19" s="83">
        <v>0</v>
      </c>
      <c r="R19" s="83">
        <v>0</v>
      </c>
      <c r="S19" s="83">
        <v>0</v>
      </c>
      <c r="T19" s="83">
        <v>0</v>
      </c>
      <c r="U19" s="82"/>
    </row>
    <row r="20" spans="1:21" ht="17.25" customHeight="1" x14ac:dyDescent="0.3">
      <c r="A20" s="66" t="s">
        <v>30</v>
      </c>
      <c r="C20" s="67"/>
      <c r="D20" s="77" t="str">
        <f t="shared" si="3"/>
        <v>C100003</v>
      </c>
      <c r="E20" s="77"/>
      <c r="F20" s="76"/>
      <c r="G20" s="76" t="str">
        <f>"""NAV Direct"",""CRONUS JetCorp USA"",""32"",""1"",""124548"""</f>
        <v>"NAV Direct","CRONUS JetCorp USA","32","1","124548"</v>
      </c>
      <c r="H20" s="86">
        <v>43473</v>
      </c>
      <c r="I20" s="85">
        <v>124548</v>
      </c>
      <c r="J20" s="84" t="str">
        <f>"Customer"</f>
        <v>Customer</v>
      </c>
      <c r="K20" s="84" t="str">
        <f>"C100035"</f>
        <v>C100035</v>
      </c>
      <c r="L20" s="84" t="str">
        <f>IF($J20="Customer",_xll.NL("first",$J20,"Name","No.","@@"&amp;$K20),"")</f>
        <v>First Touch Marketing</v>
      </c>
      <c r="M20" s="84" t="str">
        <f>""</f>
        <v/>
      </c>
      <c r="N20" s="84" t="str">
        <f>IF($J20="Item",_xll.NL("first",$J20,"Description","No.","@@"&amp;$K20),"")</f>
        <v/>
      </c>
      <c r="O20" s="83">
        <v>0</v>
      </c>
      <c r="P20" s="83">
        <v>-12</v>
      </c>
      <c r="Q20" s="83">
        <v>0</v>
      </c>
      <c r="R20" s="83">
        <v>0</v>
      </c>
      <c r="S20" s="83">
        <v>0</v>
      </c>
      <c r="T20" s="83">
        <v>0</v>
      </c>
      <c r="U20" s="82"/>
    </row>
    <row r="21" spans="1:21" ht="17.25" customHeight="1" x14ac:dyDescent="0.3">
      <c r="A21" s="66" t="s">
        <v>30</v>
      </c>
      <c r="C21" s="67"/>
      <c r="D21" s="77"/>
      <c r="E21" s="77"/>
      <c r="F21" s="76"/>
      <c r="G21" s="76"/>
      <c r="H21" s="76"/>
      <c r="I21" s="76"/>
      <c r="J21" s="76"/>
      <c r="K21" s="76"/>
      <c r="L21" s="76"/>
      <c r="M21" s="76"/>
      <c r="N21" s="76"/>
      <c r="O21" s="75"/>
      <c r="P21" s="75"/>
      <c r="Q21" s="75"/>
      <c r="R21" s="75"/>
      <c r="S21" s="75"/>
      <c r="T21" s="75"/>
      <c r="U21" s="74"/>
    </row>
    <row r="22" spans="1:21" ht="17.25" customHeight="1" x14ac:dyDescent="0.3">
      <c r="A22" s="66" t="s">
        <v>30</v>
      </c>
      <c r="C22" s="67"/>
      <c r="D22" s="77"/>
      <c r="E22" s="77" t="s">
        <v>31</v>
      </c>
      <c r="F22" s="76" t="s">
        <v>31</v>
      </c>
      <c r="G22" s="76" t="s">
        <v>31</v>
      </c>
      <c r="H22" s="76"/>
      <c r="I22" s="76"/>
      <c r="J22" s="76" t="s">
        <v>31</v>
      </c>
      <c r="K22" s="76" t="s">
        <v>31</v>
      </c>
      <c r="L22" s="76" t="s">
        <v>31</v>
      </c>
      <c r="M22" s="76" t="s">
        <v>31</v>
      </c>
      <c r="N22" s="76"/>
      <c r="U22" s="81"/>
    </row>
    <row r="23" spans="1:21" ht="20.25" customHeight="1" x14ac:dyDescent="0.35">
      <c r="A23" s="66" t="s">
        <v>30</v>
      </c>
      <c r="C23" s="67"/>
      <c r="D23" s="92" t="str">
        <f t="shared" ref="D23" si="4">E23</f>
        <v>C100004</v>
      </c>
      <c r="E23" s="91" t="str">
        <f>"C100004"</f>
        <v>C100004</v>
      </c>
      <c r="F23" s="89" t="str">
        <f>"Walnut Medallian Plate"</f>
        <v>Walnut Medallian Plate</v>
      </c>
      <c r="G23" s="89"/>
      <c r="H23" s="90" t="str">
        <f>"EA"</f>
        <v>EA</v>
      </c>
      <c r="I23" s="89"/>
      <c r="J23" s="89"/>
      <c r="K23" s="89"/>
      <c r="L23" s="89"/>
      <c r="M23" s="89"/>
      <c r="N23" s="89"/>
      <c r="O23" s="88">
        <f>(SUBTOTAL(9,O24:O27))</f>
        <v>400</v>
      </c>
      <c r="P23" s="88">
        <f>(SUBTOTAL(9,P24:P27))</f>
        <v>-192</v>
      </c>
      <c r="Q23" s="88">
        <f>(SUBTOTAL(9,Q24:Q27))</f>
        <v>0</v>
      </c>
      <c r="R23" s="88">
        <f>(SUBTOTAL(9,R24:R27))</f>
        <v>0</v>
      </c>
      <c r="S23" s="88">
        <f>(SUBTOTAL(9,S24:S27))</f>
        <v>0</v>
      </c>
      <c r="T23" s="88">
        <f>(SUBTOTAL(9,T24:T27))</f>
        <v>0</v>
      </c>
      <c r="U23" s="87">
        <f t="shared" ref="U23" si="5">SUBTOTAL(9,O24:T27)</f>
        <v>208</v>
      </c>
    </row>
    <row r="24" spans="1:21" ht="17.25" customHeight="1" x14ac:dyDescent="0.3">
      <c r="A24" s="66" t="s">
        <v>30</v>
      </c>
      <c r="C24" s="67"/>
      <c r="D24" s="77" t="str">
        <f t="shared" ref="D24" si="6">D23</f>
        <v>C100004</v>
      </c>
      <c r="E24" s="77"/>
      <c r="F24" s="76"/>
      <c r="G24" s="76" t="str">
        <f>"""NAV Direct"",""CRONUS JetCorp USA"",""32"",""1"",""166370"""</f>
        <v>"NAV Direct","CRONUS JetCorp USA","32","1","166370"</v>
      </c>
      <c r="H24" s="86">
        <v>43466</v>
      </c>
      <c r="I24" s="85">
        <v>166370</v>
      </c>
      <c r="J24" s="84" t="str">
        <f>"Vendor"</f>
        <v>Vendor</v>
      </c>
      <c r="K24" s="84" t="str">
        <f>"V100007"</f>
        <v>V100007</v>
      </c>
      <c r="L24" s="84" t="str">
        <f>IF($J24="Customer",_xll.NL("first",$J24,"Name","No.","@@"&amp;$K24),"")</f>
        <v/>
      </c>
      <c r="M24" s="84" t="str">
        <f>"TrendTech"</f>
        <v>TrendTech</v>
      </c>
      <c r="N24" s="84" t="str">
        <f>IF($J24="Item",_xll.NL("first",$J24,"Description","No.","@@"&amp;$K24),"")</f>
        <v/>
      </c>
      <c r="O24" s="83">
        <v>400</v>
      </c>
      <c r="P24" s="83">
        <v>0</v>
      </c>
      <c r="Q24" s="83">
        <v>0</v>
      </c>
      <c r="R24" s="83">
        <v>0</v>
      </c>
      <c r="S24" s="83">
        <v>0</v>
      </c>
      <c r="T24" s="83">
        <v>0</v>
      </c>
      <c r="U24" s="82"/>
    </row>
    <row r="25" spans="1:21" ht="17.25" customHeight="1" x14ac:dyDescent="0.3">
      <c r="A25" s="66" t="s">
        <v>30</v>
      </c>
      <c r="C25" s="67"/>
      <c r="D25" s="77" t="str">
        <f t="shared" ref="D25:D26" si="7">D24</f>
        <v>C100004</v>
      </c>
      <c r="E25" s="77"/>
      <c r="F25" s="76"/>
      <c r="G25" s="76" t="str">
        <f>"""NAV Direct"",""CRONUS JetCorp USA"",""32"",""1"",""114282"""</f>
        <v>"NAV Direct","CRONUS JetCorp USA","32","1","114282"</v>
      </c>
      <c r="H25" s="86">
        <v>43473</v>
      </c>
      <c r="I25" s="85">
        <v>114282</v>
      </c>
      <c r="J25" s="84" t="str">
        <f>"Customer"</f>
        <v>Customer</v>
      </c>
      <c r="K25" s="84" t="str">
        <f>"C100083"</f>
        <v>C100083</v>
      </c>
      <c r="L25" s="84" t="str">
        <f>IF($J25="Customer",_xll.NL("first",$J25,"Name","No.","@@"&amp;$K25),"")</f>
        <v>Stanfords</v>
      </c>
      <c r="M25" s="84" t="str">
        <f>""</f>
        <v/>
      </c>
      <c r="N25" s="84" t="str">
        <f>IF($J25="Item",_xll.NL("first",$J25,"Description","No.","@@"&amp;$K25),"")</f>
        <v/>
      </c>
      <c r="O25" s="83">
        <v>0</v>
      </c>
      <c r="P25" s="83">
        <v>-144</v>
      </c>
      <c r="Q25" s="83">
        <v>0</v>
      </c>
      <c r="R25" s="83">
        <v>0</v>
      </c>
      <c r="S25" s="83">
        <v>0</v>
      </c>
      <c r="T25" s="83">
        <v>0</v>
      </c>
      <c r="U25" s="82"/>
    </row>
    <row r="26" spans="1:21" ht="17.25" customHeight="1" x14ac:dyDescent="0.3">
      <c r="A26" s="66" t="s">
        <v>30</v>
      </c>
      <c r="C26" s="67"/>
      <c r="D26" s="77" t="str">
        <f t="shared" si="7"/>
        <v>C100004</v>
      </c>
      <c r="E26" s="77"/>
      <c r="F26" s="76"/>
      <c r="G26" s="76" t="str">
        <f>"""NAV Direct"",""CRONUS JetCorp USA"",""32"",""1"",""3919"""</f>
        <v>"NAV Direct","CRONUS JetCorp USA","32","1","3919"</v>
      </c>
      <c r="H26" s="86">
        <v>43475</v>
      </c>
      <c r="I26" s="85">
        <v>3919</v>
      </c>
      <c r="J26" s="84" t="str">
        <f>"Customer"</f>
        <v>Customer</v>
      </c>
      <c r="K26" s="84" t="str">
        <f>"C100099"</f>
        <v>C100099</v>
      </c>
      <c r="L26" s="84" t="str">
        <f>IF($J26="Customer",_xll.NL("first",$J26,"Name","No.","@@"&amp;$K26),"")</f>
        <v>Voltive Systems</v>
      </c>
      <c r="M26" s="84" t="str">
        <f>""</f>
        <v/>
      </c>
      <c r="N26" s="84" t="str">
        <f>IF($J26="Item",_xll.NL("first",$J26,"Description","No.","@@"&amp;$K26),"")</f>
        <v/>
      </c>
      <c r="O26" s="83">
        <v>0</v>
      </c>
      <c r="P26" s="83">
        <v>-48</v>
      </c>
      <c r="Q26" s="83">
        <v>0</v>
      </c>
      <c r="R26" s="83">
        <v>0</v>
      </c>
      <c r="S26" s="83">
        <v>0</v>
      </c>
      <c r="T26" s="83">
        <v>0</v>
      </c>
      <c r="U26" s="82"/>
    </row>
    <row r="27" spans="1:21" ht="17.25" customHeight="1" x14ac:dyDescent="0.3">
      <c r="A27" s="66" t="s">
        <v>30</v>
      </c>
      <c r="C27" s="67"/>
      <c r="D27" s="77"/>
      <c r="E27" s="77"/>
      <c r="F27" s="76"/>
      <c r="G27" s="76"/>
      <c r="H27" s="76"/>
      <c r="I27" s="76"/>
      <c r="J27" s="76"/>
      <c r="K27" s="76"/>
      <c r="L27" s="76"/>
      <c r="M27" s="76"/>
      <c r="N27" s="76"/>
      <c r="O27" s="75"/>
      <c r="P27" s="75"/>
      <c r="Q27" s="75"/>
      <c r="R27" s="75"/>
      <c r="S27" s="75"/>
      <c r="T27" s="75"/>
      <c r="U27" s="74"/>
    </row>
    <row r="28" spans="1:21" ht="17.25" customHeight="1" x14ac:dyDescent="0.3">
      <c r="A28" s="66" t="s">
        <v>30</v>
      </c>
      <c r="C28" s="67"/>
      <c r="D28" s="77"/>
      <c r="E28" s="77" t="s">
        <v>31</v>
      </c>
      <c r="F28" s="76" t="s">
        <v>31</v>
      </c>
      <c r="G28" s="76" t="s">
        <v>31</v>
      </c>
      <c r="H28" s="76"/>
      <c r="I28" s="76"/>
      <c r="J28" s="76" t="s">
        <v>31</v>
      </c>
      <c r="K28" s="76" t="s">
        <v>31</v>
      </c>
      <c r="L28" s="76" t="s">
        <v>31</v>
      </c>
      <c r="M28" s="76" t="s">
        <v>31</v>
      </c>
      <c r="N28" s="76"/>
      <c r="U28" s="81"/>
    </row>
    <row r="29" spans="1:21" ht="20.25" customHeight="1" x14ac:dyDescent="0.35">
      <c r="A29" s="66" t="s">
        <v>30</v>
      </c>
      <c r="C29" s="67"/>
      <c r="D29" s="92" t="str">
        <f t="shared" ref="D29" si="8">E29</f>
        <v>C100005</v>
      </c>
      <c r="E29" s="91" t="str">
        <f>"C100005"</f>
        <v>C100005</v>
      </c>
      <c r="F29" s="89" t="str">
        <f>"Cherry Finished Crystal Award"</f>
        <v>Cherry Finished Crystal Award</v>
      </c>
      <c r="G29" s="89"/>
      <c r="H29" s="90" t="str">
        <f>"EA"</f>
        <v>EA</v>
      </c>
      <c r="I29" s="89"/>
      <c r="J29" s="89"/>
      <c r="K29" s="89"/>
      <c r="L29" s="89"/>
      <c r="M29" s="89"/>
      <c r="N29" s="89"/>
      <c r="O29" s="88">
        <f>(SUBTOTAL(9,O30:O35))</f>
        <v>499.99999999999994</v>
      </c>
      <c r="P29" s="88">
        <f>(SUBTOTAL(9,P30:P35))</f>
        <v>-121</v>
      </c>
      <c r="Q29" s="88">
        <f>(SUBTOTAL(9,Q30:Q35))</f>
        <v>0</v>
      </c>
      <c r="R29" s="88">
        <f>(SUBTOTAL(9,R30:R35))</f>
        <v>0</v>
      </c>
      <c r="S29" s="88">
        <f>(SUBTOTAL(9,S30:S35))</f>
        <v>0</v>
      </c>
      <c r="T29" s="88">
        <f>(SUBTOTAL(9,T30:T35))</f>
        <v>0</v>
      </c>
      <c r="U29" s="87">
        <f t="shared" ref="U29" si="9">SUBTOTAL(9,O30:T35)</f>
        <v>378.99999999999994</v>
      </c>
    </row>
    <row r="30" spans="1:21" ht="17.25" customHeight="1" x14ac:dyDescent="0.3">
      <c r="A30" s="66" t="s">
        <v>30</v>
      </c>
      <c r="C30" s="67"/>
      <c r="D30" s="77" t="str">
        <f t="shared" ref="D30" si="10">D29</f>
        <v>C100005</v>
      </c>
      <c r="E30" s="77"/>
      <c r="F30" s="76"/>
      <c r="G30" s="76" t="str">
        <f>"""NAV Direct"",""CRONUS JetCorp USA"",""32"",""1"",""166369"""</f>
        <v>"NAV Direct","CRONUS JetCorp USA","32","1","166369"</v>
      </c>
      <c r="H30" s="86">
        <v>43466</v>
      </c>
      <c r="I30" s="85">
        <v>166369</v>
      </c>
      <c r="J30" s="84" t="str">
        <f>"Vendor"</f>
        <v>Vendor</v>
      </c>
      <c r="K30" s="84" t="str">
        <f>"V100007"</f>
        <v>V100007</v>
      </c>
      <c r="L30" s="84" t="str">
        <f>IF($J30="Customer",_xll.NL("first",$J30,"Name","No.","@@"&amp;$K30),"")</f>
        <v/>
      </c>
      <c r="M30" s="84" t="str">
        <f>"TrendTech"</f>
        <v>TrendTech</v>
      </c>
      <c r="N30" s="84" t="str">
        <f>IF($J30="Item",_xll.NL("first",$J30,"Description","No.","@@"&amp;$K30),"")</f>
        <v/>
      </c>
      <c r="O30" s="83">
        <v>499.99999999999994</v>
      </c>
      <c r="P30" s="83">
        <v>0</v>
      </c>
      <c r="Q30" s="83">
        <v>0</v>
      </c>
      <c r="R30" s="83">
        <v>0</v>
      </c>
      <c r="S30" s="83">
        <v>0</v>
      </c>
      <c r="T30" s="83">
        <v>0</v>
      </c>
      <c r="U30" s="82"/>
    </row>
    <row r="31" spans="1:21" ht="17.25" customHeight="1" x14ac:dyDescent="0.3">
      <c r="A31" s="66" t="s">
        <v>30</v>
      </c>
      <c r="C31" s="67"/>
      <c r="D31" s="77" t="str">
        <f t="shared" ref="D31:D34" si="11">D30</f>
        <v>C100005</v>
      </c>
      <c r="E31" s="77"/>
      <c r="F31" s="76"/>
      <c r="G31" s="76" t="str">
        <f>"""NAV Direct"",""CRONUS JetCorp USA"",""32"",""1"",""124508"""</f>
        <v>"NAV Direct","CRONUS JetCorp USA","32","1","124508"</v>
      </c>
      <c r="H31" s="86">
        <v>43470</v>
      </c>
      <c r="I31" s="85">
        <v>124508</v>
      </c>
      <c r="J31" s="84" t="str">
        <f>"Customer"</f>
        <v>Customer</v>
      </c>
      <c r="K31" s="84" t="str">
        <f>"C100025"</f>
        <v>C100025</v>
      </c>
      <c r="L31" s="84" t="str">
        <f>IF($J31="Customer",_xll.NL("first",$J31,"Name","No.","@@"&amp;$K31),"")</f>
        <v>Derringers Resturants</v>
      </c>
      <c r="M31" s="84" t="str">
        <f>""</f>
        <v/>
      </c>
      <c r="N31" s="84" t="str">
        <f>IF($J31="Item",_xll.NL("first",$J31,"Description","No.","@@"&amp;$K31),"")</f>
        <v/>
      </c>
      <c r="O31" s="83">
        <v>0</v>
      </c>
      <c r="P31" s="83">
        <v>-48</v>
      </c>
      <c r="Q31" s="83">
        <v>0</v>
      </c>
      <c r="R31" s="83">
        <v>0</v>
      </c>
      <c r="S31" s="83">
        <v>0</v>
      </c>
      <c r="T31" s="83">
        <v>0</v>
      </c>
      <c r="U31" s="82"/>
    </row>
    <row r="32" spans="1:21" ht="17.25" customHeight="1" x14ac:dyDescent="0.3">
      <c r="A32" s="66" t="s">
        <v>30</v>
      </c>
      <c r="C32" s="67"/>
      <c r="D32" s="77" t="str">
        <f t="shared" si="11"/>
        <v>C100005</v>
      </c>
      <c r="E32" s="77"/>
      <c r="F32" s="76"/>
      <c r="G32" s="76" t="str">
        <f>"""NAV Direct"",""CRONUS JetCorp USA"",""32"",""1"",""3913"""</f>
        <v>"NAV Direct","CRONUS JetCorp USA","32","1","3913"</v>
      </c>
      <c r="H32" s="86">
        <v>43472</v>
      </c>
      <c r="I32" s="85">
        <v>3913</v>
      </c>
      <c r="J32" s="84" t="str">
        <f>"Customer"</f>
        <v>Customer</v>
      </c>
      <c r="K32" s="84" t="str">
        <f>"C100099"</f>
        <v>C100099</v>
      </c>
      <c r="L32" s="84" t="str">
        <f>IF($J32="Customer",_xll.NL("first",$J32,"Name","No.","@@"&amp;$K32),"")</f>
        <v>Voltive Systems</v>
      </c>
      <c r="M32" s="84" t="str">
        <f>""</f>
        <v/>
      </c>
      <c r="N32" s="84" t="str">
        <f>IF($J32="Item",_xll.NL("first",$J32,"Description","No.","@@"&amp;$K32),"")</f>
        <v/>
      </c>
      <c r="O32" s="83">
        <v>0</v>
      </c>
      <c r="P32" s="83">
        <v>-1</v>
      </c>
      <c r="Q32" s="83">
        <v>0</v>
      </c>
      <c r="R32" s="83">
        <v>0</v>
      </c>
      <c r="S32" s="83">
        <v>0</v>
      </c>
      <c r="T32" s="83">
        <v>0</v>
      </c>
      <c r="U32" s="82"/>
    </row>
    <row r="33" spans="1:21" ht="17.25" customHeight="1" x14ac:dyDescent="0.3">
      <c r="A33" s="66" t="s">
        <v>30</v>
      </c>
      <c r="C33" s="67"/>
      <c r="D33" s="77" t="str">
        <f t="shared" si="11"/>
        <v>C100005</v>
      </c>
      <c r="E33" s="77"/>
      <c r="F33" s="76"/>
      <c r="G33" s="76" t="str">
        <f>"""NAV Direct"",""CRONUS JetCorp USA"",""32"",""1"",""111279"""</f>
        <v>"NAV Direct","CRONUS JetCorp USA","32","1","111279"</v>
      </c>
      <c r="H33" s="86">
        <v>43472</v>
      </c>
      <c r="I33" s="85">
        <v>111279</v>
      </c>
      <c r="J33" s="84" t="str">
        <f>"Customer"</f>
        <v>Customer</v>
      </c>
      <c r="K33" s="84" t="str">
        <f>"C100099"</f>
        <v>C100099</v>
      </c>
      <c r="L33" s="84" t="str">
        <f>IF($J33="Customer",_xll.NL("first",$J33,"Name","No.","@@"&amp;$K33),"")</f>
        <v>Voltive Systems</v>
      </c>
      <c r="M33" s="84" t="str">
        <f>""</f>
        <v/>
      </c>
      <c r="N33" s="84" t="str">
        <f>IF($J33="Item",_xll.NL("first",$J33,"Description","No.","@@"&amp;$K33),"")</f>
        <v/>
      </c>
      <c r="O33" s="83">
        <v>0</v>
      </c>
      <c r="P33" s="83">
        <v>-24</v>
      </c>
      <c r="Q33" s="83">
        <v>0</v>
      </c>
      <c r="R33" s="83">
        <v>0</v>
      </c>
      <c r="S33" s="83">
        <v>0</v>
      </c>
      <c r="T33" s="83">
        <v>0</v>
      </c>
      <c r="U33" s="82"/>
    </row>
    <row r="34" spans="1:21" ht="17.25" customHeight="1" x14ac:dyDescent="0.3">
      <c r="A34" s="66" t="s">
        <v>30</v>
      </c>
      <c r="C34" s="67"/>
      <c r="D34" s="77" t="str">
        <f t="shared" si="11"/>
        <v>C100005</v>
      </c>
      <c r="E34" s="77"/>
      <c r="F34" s="76"/>
      <c r="G34" s="76" t="str">
        <f>"""NAV Direct"",""CRONUS JetCorp USA"",""32"",""1"",""7573"""</f>
        <v>"NAV Direct","CRONUS JetCorp USA","32","1","7573"</v>
      </c>
      <c r="H34" s="86">
        <v>43476</v>
      </c>
      <c r="I34" s="85">
        <v>7573</v>
      </c>
      <c r="J34" s="84" t="str">
        <f>"Customer"</f>
        <v>Customer</v>
      </c>
      <c r="K34" s="84" t="str">
        <f>"C100083"</f>
        <v>C100083</v>
      </c>
      <c r="L34" s="84" t="str">
        <f>IF($J34="Customer",_xll.NL("first",$J34,"Name","No.","@@"&amp;$K34),"")</f>
        <v>Stanfords</v>
      </c>
      <c r="M34" s="84" t="str">
        <f>""</f>
        <v/>
      </c>
      <c r="N34" s="84" t="str">
        <f>IF($J34="Item",_xll.NL("first",$J34,"Description","No.","@@"&amp;$K34),"")</f>
        <v/>
      </c>
      <c r="O34" s="83">
        <v>0</v>
      </c>
      <c r="P34" s="83">
        <v>-48</v>
      </c>
      <c r="Q34" s="83">
        <v>0</v>
      </c>
      <c r="R34" s="83">
        <v>0</v>
      </c>
      <c r="S34" s="83">
        <v>0</v>
      </c>
      <c r="T34" s="83">
        <v>0</v>
      </c>
      <c r="U34" s="82"/>
    </row>
    <row r="35" spans="1:21" ht="17.25" customHeight="1" x14ac:dyDescent="0.3">
      <c r="A35" s="66" t="s">
        <v>30</v>
      </c>
      <c r="C35" s="67"/>
      <c r="D35" s="77"/>
      <c r="E35" s="77"/>
      <c r="F35" s="76"/>
      <c r="G35" s="76"/>
      <c r="H35" s="76"/>
      <c r="I35" s="76"/>
      <c r="J35" s="76"/>
      <c r="K35" s="76"/>
      <c r="L35" s="76"/>
      <c r="M35" s="76"/>
      <c r="N35" s="76"/>
      <c r="O35" s="75"/>
      <c r="P35" s="75"/>
      <c r="Q35" s="75"/>
      <c r="R35" s="75"/>
      <c r="S35" s="75"/>
      <c r="T35" s="75"/>
      <c r="U35" s="74"/>
    </row>
    <row r="36" spans="1:21" ht="17.25" customHeight="1" x14ac:dyDescent="0.3">
      <c r="A36" s="66" t="s">
        <v>30</v>
      </c>
      <c r="C36" s="67"/>
      <c r="D36" s="77"/>
      <c r="E36" s="77" t="s">
        <v>31</v>
      </c>
      <c r="F36" s="76" t="s">
        <v>31</v>
      </c>
      <c r="G36" s="76" t="s">
        <v>31</v>
      </c>
      <c r="H36" s="76"/>
      <c r="I36" s="76"/>
      <c r="J36" s="76" t="s">
        <v>31</v>
      </c>
      <c r="K36" s="76" t="s">
        <v>31</v>
      </c>
      <c r="L36" s="76" t="s">
        <v>31</v>
      </c>
      <c r="M36" s="76" t="s">
        <v>31</v>
      </c>
      <c r="N36" s="76"/>
      <c r="U36" s="81"/>
    </row>
    <row r="37" spans="1:21" ht="20.25" customHeight="1" x14ac:dyDescent="0.35">
      <c r="A37" s="66" t="s">
        <v>30</v>
      </c>
      <c r="C37" s="67"/>
      <c r="D37" s="92" t="str">
        <f t="shared" ref="D37" si="12">E37</f>
        <v>C100006</v>
      </c>
      <c r="E37" s="91" t="str">
        <f>"C100006"</f>
        <v>C100006</v>
      </c>
      <c r="F37" s="89" t="str">
        <f>"Cherry Finished Crystal Award- Large"</f>
        <v>Cherry Finished Crystal Award- Large</v>
      </c>
      <c r="G37" s="89"/>
      <c r="H37" s="90" t="str">
        <f>"EA"</f>
        <v>EA</v>
      </c>
      <c r="I37" s="89"/>
      <c r="J37" s="89"/>
      <c r="K37" s="89"/>
      <c r="L37" s="89"/>
      <c r="M37" s="89"/>
      <c r="N37" s="89"/>
      <c r="O37" s="88">
        <f>(SUBTOTAL(9,O38:O42))</f>
        <v>200</v>
      </c>
      <c r="P37" s="88">
        <f>(SUBTOTAL(9,P38:P42))</f>
        <v>-120</v>
      </c>
      <c r="Q37" s="88">
        <f>(SUBTOTAL(9,Q38:Q42))</f>
        <v>0</v>
      </c>
      <c r="R37" s="88">
        <f>(SUBTOTAL(9,R38:R42))</f>
        <v>0</v>
      </c>
      <c r="S37" s="88">
        <f>(SUBTOTAL(9,S38:S42))</f>
        <v>0</v>
      </c>
      <c r="T37" s="88">
        <f>(SUBTOTAL(9,T38:T42))</f>
        <v>0</v>
      </c>
      <c r="U37" s="87">
        <f t="shared" ref="U37" si="13">SUBTOTAL(9,O38:T42)</f>
        <v>80</v>
      </c>
    </row>
    <row r="38" spans="1:21" ht="17.25" customHeight="1" x14ac:dyDescent="0.3">
      <c r="A38" s="66" t="s">
        <v>30</v>
      </c>
      <c r="C38" s="67"/>
      <c r="D38" s="77" t="str">
        <f t="shared" ref="D38" si="14">D37</f>
        <v>C100006</v>
      </c>
      <c r="E38" s="77"/>
      <c r="F38" s="76"/>
      <c r="G38" s="76" t="str">
        <f>"""NAV Direct"",""CRONUS JetCorp USA"",""32"",""1"",""166368"""</f>
        <v>"NAV Direct","CRONUS JetCorp USA","32","1","166368"</v>
      </c>
      <c r="H38" s="86">
        <v>43466</v>
      </c>
      <c r="I38" s="85">
        <v>166368</v>
      </c>
      <c r="J38" s="84" t="str">
        <f>"Vendor"</f>
        <v>Vendor</v>
      </c>
      <c r="K38" s="84" t="str">
        <f>"V100007"</f>
        <v>V100007</v>
      </c>
      <c r="L38" s="84" t="str">
        <f>IF($J38="Customer",_xll.NL("first",$J38,"Name","No.","@@"&amp;$K38),"")</f>
        <v/>
      </c>
      <c r="M38" s="84" t="str">
        <f>"TrendTech"</f>
        <v>TrendTech</v>
      </c>
      <c r="N38" s="84" t="str">
        <f>IF($J38="Item",_xll.NL("first",$J38,"Description","No.","@@"&amp;$K38),"")</f>
        <v/>
      </c>
      <c r="O38" s="83">
        <v>200</v>
      </c>
      <c r="P38" s="83">
        <v>0</v>
      </c>
      <c r="Q38" s="83">
        <v>0</v>
      </c>
      <c r="R38" s="83">
        <v>0</v>
      </c>
      <c r="S38" s="83">
        <v>0</v>
      </c>
      <c r="T38" s="83">
        <v>0</v>
      </c>
      <c r="U38" s="82"/>
    </row>
    <row r="39" spans="1:21" ht="17.25" customHeight="1" x14ac:dyDescent="0.3">
      <c r="A39" s="66" t="s">
        <v>30</v>
      </c>
      <c r="C39" s="67"/>
      <c r="D39" s="77" t="str">
        <f t="shared" ref="D39:D41" si="15">D38</f>
        <v>C100006</v>
      </c>
      <c r="E39" s="77"/>
      <c r="F39" s="76"/>
      <c r="G39" s="76" t="str">
        <f>"""NAV Direct"",""CRONUS JetCorp USA"",""32"",""1"",""25250"""</f>
        <v>"NAV Direct","CRONUS JetCorp USA","32","1","25250"</v>
      </c>
      <c r="H39" s="86">
        <v>43472</v>
      </c>
      <c r="I39" s="85">
        <v>25250</v>
      </c>
      <c r="J39" s="84" t="str">
        <f>"Customer"</f>
        <v>Customer</v>
      </c>
      <c r="K39" s="84" t="str">
        <f>"C100098"</f>
        <v>C100098</v>
      </c>
      <c r="L39" s="84" t="str">
        <f>IF($J39="Customer",_xll.NL("first",$J39,"Name","No.","@@"&amp;$K39),"")</f>
        <v>BlackCane Motor Works</v>
      </c>
      <c r="M39" s="84" t="str">
        <f>""</f>
        <v/>
      </c>
      <c r="N39" s="84" t="str">
        <f>IF($J39="Item",_xll.NL("first",$J39,"Description","No.","@@"&amp;$K39),"")</f>
        <v/>
      </c>
      <c r="O39" s="83">
        <v>0</v>
      </c>
      <c r="P39" s="83">
        <v>-48</v>
      </c>
      <c r="Q39" s="83">
        <v>0</v>
      </c>
      <c r="R39" s="83">
        <v>0</v>
      </c>
      <c r="S39" s="83">
        <v>0</v>
      </c>
      <c r="T39" s="83">
        <v>0</v>
      </c>
      <c r="U39" s="82"/>
    </row>
    <row r="40" spans="1:21" ht="17.25" customHeight="1" x14ac:dyDescent="0.3">
      <c r="A40" s="66" t="s">
        <v>30</v>
      </c>
      <c r="C40" s="67"/>
      <c r="D40" s="77" t="str">
        <f t="shared" si="15"/>
        <v>C100006</v>
      </c>
      <c r="E40" s="77"/>
      <c r="F40" s="76"/>
      <c r="G40" s="76" t="str">
        <f>"""NAV Direct"",""CRONUS JetCorp USA"",""32"",""1"",""111301"""</f>
        <v>"NAV Direct","CRONUS JetCorp USA","32","1","111301"</v>
      </c>
      <c r="H40" s="86">
        <v>43472</v>
      </c>
      <c r="I40" s="85">
        <v>111301</v>
      </c>
      <c r="J40" s="84" t="str">
        <f>"Customer"</f>
        <v>Customer</v>
      </c>
      <c r="K40" s="84" t="str">
        <f>"C100099"</f>
        <v>C100099</v>
      </c>
      <c r="L40" s="84" t="str">
        <f>IF($J40="Customer",_xll.NL("first",$J40,"Name","No.","@@"&amp;$K40),"")</f>
        <v>Voltive Systems</v>
      </c>
      <c r="M40" s="84" t="str">
        <f>""</f>
        <v/>
      </c>
      <c r="N40" s="84" t="str">
        <f>IF($J40="Item",_xll.NL("first",$J40,"Description","No.","@@"&amp;$K40),"")</f>
        <v/>
      </c>
      <c r="O40" s="83">
        <v>0</v>
      </c>
      <c r="P40" s="83">
        <v>-48</v>
      </c>
      <c r="Q40" s="83">
        <v>0</v>
      </c>
      <c r="R40" s="83">
        <v>0</v>
      </c>
      <c r="S40" s="83">
        <v>0</v>
      </c>
      <c r="T40" s="83">
        <v>0</v>
      </c>
      <c r="U40" s="82"/>
    </row>
    <row r="41" spans="1:21" ht="17.25" customHeight="1" x14ac:dyDescent="0.3">
      <c r="A41" s="66" t="s">
        <v>30</v>
      </c>
      <c r="C41" s="67"/>
      <c r="D41" s="77" t="str">
        <f t="shared" si="15"/>
        <v>C100006</v>
      </c>
      <c r="E41" s="77"/>
      <c r="F41" s="76"/>
      <c r="G41" s="76" t="str">
        <f>"""NAV Direct"",""CRONUS JetCorp USA"",""32"",""1"",""124582"""</f>
        <v>"NAV Direct","CRONUS JetCorp USA","32","1","124582"</v>
      </c>
      <c r="H41" s="86">
        <v>43475</v>
      </c>
      <c r="I41" s="85">
        <v>124582</v>
      </c>
      <c r="J41" s="84" t="str">
        <f>"Customer"</f>
        <v>Customer</v>
      </c>
      <c r="K41" s="84" t="str">
        <f>"C100035"</f>
        <v>C100035</v>
      </c>
      <c r="L41" s="84" t="str">
        <f>IF($J41="Customer",_xll.NL("first",$J41,"Name","No.","@@"&amp;$K41),"")</f>
        <v>First Touch Marketing</v>
      </c>
      <c r="M41" s="84" t="str">
        <f>""</f>
        <v/>
      </c>
      <c r="N41" s="84" t="str">
        <f>IF($J41="Item",_xll.NL("first",$J41,"Description","No.","@@"&amp;$K41),"")</f>
        <v/>
      </c>
      <c r="O41" s="83">
        <v>0</v>
      </c>
      <c r="P41" s="83">
        <v>-24</v>
      </c>
      <c r="Q41" s="83">
        <v>0</v>
      </c>
      <c r="R41" s="83">
        <v>0</v>
      </c>
      <c r="S41" s="83">
        <v>0</v>
      </c>
      <c r="T41" s="83">
        <v>0</v>
      </c>
      <c r="U41" s="82"/>
    </row>
    <row r="42" spans="1:21" ht="17.25" customHeight="1" x14ac:dyDescent="0.3">
      <c r="A42" s="66" t="s">
        <v>30</v>
      </c>
      <c r="C42" s="67"/>
      <c r="D42" s="77"/>
      <c r="E42" s="77"/>
      <c r="F42" s="76"/>
      <c r="G42" s="76"/>
      <c r="H42" s="76"/>
      <c r="I42" s="76"/>
      <c r="J42" s="76"/>
      <c r="K42" s="76"/>
      <c r="L42" s="76"/>
      <c r="M42" s="76"/>
      <c r="N42" s="76"/>
      <c r="O42" s="75"/>
      <c r="P42" s="75"/>
      <c r="Q42" s="75"/>
      <c r="R42" s="75"/>
      <c r="S42" s="75"/>
      <c r="T42" s="75"/>
      <c r="U42" s="74"/>
    </row>
    <row r="43" spans="1:21" ht="17.25" customHeight="1" x14ac:dyDescent="0.3">
      <c r="A43" s="66" t="s">
        <v>30</v>
      </c>
      <c r="C43" s="67"/>
      <c r="D43" s="77"/>
      <c r="E43" s="77" t="s">
        <v>31</v>
      </c>
      <c r="F43" s="76" t="s">
        <v>31</v>
      </c>
      <c r="G43" s="76" t="s">
        <v>31</v>
      </c>
      <c r="H43" s="76"/>
      <c r="I43" s="76"/>
      <c r="J43" s="76" t="s">
        <v>31</v>
      </c>
      <c r="K43" s="76" t="s">
        <v>31</v>
      </c>
      <c r="L43" s="76" t="s">
        <v>31</v>
      </c>
      <c r="M43" s="76" t="s">
        <v>31</v>
      </c>
      <c r="N43" s="76"/>
      <c r="U43" s="81"/>
    </row>
    <row r="44" spans="1:21" ht="20.25" customHeight="1" x14ac:dyDescent="0.35">
      <c r="A44" s="66" t="s">
        <v>30</v>
      </c>
      <c r="C44" s="67"/>
      <c r="D44" s="92" t="str">
        <f t="shared" ref="D44" si="16">E44</f>
        <v>C100007</v>
      </c>
      <c r="E44" s="91" t="str">
        <f>"C100007"</f>
        <v>C100007</v>
      </c>
      <c r="F44" s="89" t="str">
        <f>"7.5'' Bud Vase"</f>
        <v>7.5'' Bud Vase</v>
      </c>
      <c r="G44" s="89"/>
      <c r="H44" s="90" t="str">
        <f>"EA"</f>
        <v>EA</v>
      </c>
      <c r="I44" s="89"/>
      <c r="J44" s="89"/>
      <c r="K44" s="89"/>
      <c r="L44" s="89"/>
      <c r="M44" s="89"/>
      <c r="N44" s="89"/>
      <c r="O44" s="88">
        <f>(SUBTOTAL(9,O45:O49))</f>
        <v>200</v>
      </c>
      <c r="P44" s="88">
        <f>(SUBTOTAL(9,P45:P49))</f>
        <v>-301</v>
      </c>
      <c r="Q44" s="88">
        <f>(SUBTOTAL(9,Q45:Q49))</f>
        <v>0</v>
      </c>
      <c r="R44" s="88">
        <f>(SUBTOTAL(9,R45:R49))</f>
        <v>0</v>
      </c>
      <c r="S44" s="88">
        <f>(SUBTOTAL(9,S45:S49))</f>
        <v>0</v>
      </c>
      <c r="T44" s="88">
        <f>(SUBTOTAL(9,T45:T49))</f>
        <v>0</v>
      </c>
      <c r="U44" s="87">
        <f t="shared" ref="U44" si="17">SUBTOTAL(9,O45:T49)</f>
        <v>-101</v>
      </c>
    </row>
    <row r="45" spans="1:21" ht="17.25" customHeight="1" x14ac:dyDescent="0.3">
      <c r="A45" s="66" t="s">
        <v>30</v>
      </c>
      <c r="C45" s="67"/>
      <c r="D45" s="77" t="str">
        <f t="shared" ref="D45" si="18">D44</f>
        <v>C100007</v>
      </c>
      <c r="E45" s="77"/>
      <c r="F45" s="76"/>
      <c r="G45" s="76" t="str">
        <f>"""NAV Direct"",""CRONUS JetCorp USA"",""32"",""1"",""166367"""</f>
        <v>"NAV Direct","CRONUS JetCorp USA","32","1","166367"</v>
      </c>
      <c r="H45" s="86">
        <v>43466</v>
      </c>
      <c r="I45" s="85">
        <v>166367</v>
      </c>
      <c r="J45" s="84" t="str">
        <f>"Vendor"</f>
        <v>Vendor</v>
      </c>
      <c r="K45" s="84" t="str">
        <f>"V100007"</f>
        <v>V100007</v>
      </c>
      <c r="L45" s="84" t="str">
        <f>IF($J45="Customer",_xll.NL("first",$J45,"Name","No.","@@"&amp;$K45),"")</f>
        <v/>
      </c>
      <c r="M45" s="84" t="str">
        <f>"TrendTech"</f>
        <v>TrendTech</v>
      </c>
      <c r="N45" s="84" t="str">
        <f>IF($J45="Item",_xll.NL("first",$J45,"Description","No.","@@"&amp;$K45),"")</f>
        <v/>
      </c>
      <c r="O45" s="83">
        <v>200</v>
      </c>
      <c r="P45" s="83">
        <v>0</v>
      </c>
      <c r="Q45" s="83">
        <v>0</v>
      </c>
      <c r="R45" s="83">
        <v>0</v>
      </c>
      <c r="S45" s="83">
        <v>0</v>
      </c>
      <c r="T45" s="83">
        <v>0</v>
      </c>
      <c r="U45" s="82"/>
    </row>
    <row r="46" spans="1:21" ht="17.25" customHeight="1" x14ac:dyDescent="0.3">
      <c r="A46" s="66" t="s">
        <v>30</v>
      </c>
      <c r="C46" s="67"/>
      <c r="D46" s="77" t="str">
        <f t="shared" ref="D46:D48" si="19">D45</f>
        <v>C100007</v>
      </c>
      <c r="E46" s="77"/>
      <c r="F46" s="76"/>
      <c r="G46" s="76" t="str">
        <f>"""NAV Direct"",""CRONUS JetCorp USA"",""32"",""1"",""3891"""</f>
        <v>"NAV Direct","CRONUS JetCorp USA","32","1","3891"</v>
      </c>
      <c r="H46" s="86">
        <v>43467</v>
      </c>
      <c r="I46" s="85">
        <v>3891</v>
      </c>
      <c r="J46" s="84" t="str">
        <f>"Customer"</f>
        <v>Customer</v>
      </c>
      <c r="K46" s="84" t="str">
        <f>"C100099"</f>
        <v>C100099</v>
      </c>
      <c r="L46" s="84" t="str">
        <f>IF($J46="Customer",_xll.NL("first",$J46,"Name","No.","@@"&amp;$K46),"")</f>
        <v>Voltive Systems</v>
      </c>
      <c r="M46" s="84" t="str">
        <f>""</f>
        <v/>
      </c>
      <c r="N46" s="84" t="str">
        <f>IF($J46="Item",_xll.NL("first",$J46,"Description","No.","@@"&amp;$K46),"")</f>
        <v/>
      </c>
      <c r="O46" s="83">
        <v>0</v>
      </c>
      <c r="P46" s="83">
        <v>-156</v>
      </c>
      <c r="Q46" s="83">
        <v>0</v>
      </c>
      <c r="R46" s="83">
        <v>0</v>
      </c>
      <c r="S46" s="83">
        <v>0</v>
      </c>
      <c r="T46" s="83">
        <v>0</v>
      </c>
      <c r="U46" s="82"/>
    </row>
    <row r="47" spans="1:21" ht="17.25" customHeight="1" x14ac:dyDescent="0.3">
      <c r="A47" s="66" t="s">
        <v>30</v>
      </c>
      <c r="C47" s="67"/>
      <c r="D47" s="77" t="str">
        <f t="shared" si="19"/>
        <v>C100007</v>
      </c>
      <c r="E47" s="77"/>
      <c r="F47" s="76"/>
      <c r="G47" s="76" t="str">
        <f>"""NAV Direct"",""CRONUS JetCorp USA"",""32"",""1"",""111293"""</f>
        <v>"NAV Direct","CRONUS JetCorp USA","32","1","111293"</v>
      </c>
      <c r="H47" s="86">
        <v>43470</v>
      </c>
      <c r="I47" s="85">
        <v>111293</v>
      </c>
      <c r="J47" s="84" t="str">
        <f>"Customer"</f>
        <v>Customer</v>
      </c>
      <c r="K47" s="84" t="str">
        <f>"C100037"</f>
        <v>C100037</v>
      </c>
      <c r="L47" s="84" t="str">
        <f>IF($J47="Customer",_xll.NL("first",$J47,"Name","No.","@@"&amp;$K47),"")</f>
        <v>Tempsons Tropies</v>
      </c>
      <c r="M47" s="84" t="str">
        <f>""</f>
        <v/>
      </c>
      <c r="N47" s="84" t="str">
        <f>IF($J47="Item",_xll.NL("first",$J47,"Description","No.","@@"&amp;$K47),"")</f>
        <v/>
      </c>
      <c r="O47" s="83">
        <v>0</v>
      </c>
      <c r="P47" s="83">
        <v>-144</v>
      </c>
      <c r="Q47" s="83">
        <v>0</v>
      </c>
      <c r="R47" s="83">
        <v>0</v>
      </c>
      <c r="S47" s="83">
        <v>0</v>
      </c>
      <c r="T47" s="83">
        <v>0</v>
      </c>
      <c r="U47" s="82"/>
    </row>
    <row r="48" spans="1:21" ht="17.25" customHeight="1" x14ac:dyDescent="0.3">
      <c r="A48" s="66" t="s">
        <v>30</v>
      </c>
      <c r="C48" s="67"/>
      <c r="D48" s="77" t="str">
        <f t="shared" si="19"/>
        <v>C100007</v>
      </c>
      <c r="E48" s="77"/>
      <c r="F48" s="76"/>
      <c r="G48" s="76" t="str">
        <f>"""NAV Direct"",""CRONUS JetCorp USA"",""32"",""1"",""114288"""</f>
        <v>"NAV Direct","CRONUS JetCorp USA","32","1","114288"</v>
      </c>
      <c r="H48" s="86">
        <v>43473</v>
      </c>
      <c r="I48" s="85">
        <v>114288</v>
      </c>
      <c r="J48" s="84" t="str">
        <f>"Customer"</f>
        <v>Customer</v>
      </c>
      <c r="K48" s="84" t="str">
        <f>"C100083"</f>
        <v>C100083</v>
      </c>
      <c r="L48" s="84" t="str">
        <f>IF($J48="Customer",_xll.NL("first",$J48,"Name","No.","@@"&amp;$K48),"")</f>
        <v>Stanfords</v>
      </c>
      <c r="M48" s="84" t="str">
        <f>""</f>
        <v/>
      </c>
      <c r="N48" s="84" t="str">
        <f>IF($J48="Item",_xll.NL("first",$J48,"Description","No.","@@"&amp;$K48),"")</f>
        <v/>
      </c>
      <c r="O48" s="83">
        <v>0</v>
      </c>
      <c r="P48" s="83">
        <v>-1</v>
      </c>
      <c r="Q48" s="83">
        <v>0</v>
      </c>
      <c r="R48" s="83">
        <v>0</v>
      </c>
      <c r="S48" s="83">
        <v>0</v>
      </c>
      <c r="T48" s="83">
        <v>0</v>
      </c>
      <c r="U48" s="82"/>
    </row>
    <row r="49" spans="1:21" ht="17.25" customHeight="1" x14ac:dyDescent="0.3">
      <c r="A49" s="66" t="s">
        <v>30</v>
      </c>
      <c r="C49" s="67"/>
      <c r="D49" s="77"/>
      <c r="E49" s="77"/>
      <c r="F49" s="76"/>
      <c r="G49" s="76"/>
      <c r="H49" s="76"/>
      <c r="I49" s="76"/>
      <c r="J49" s="76"/>
      <c r="K49" s="76"/>
      <c r="L49" s="76"/>
      <c r="M49" s="76"/>
      <c r="N49" s="76"/>
      <c r="O49" s="75"/>
      <c r="P49" s="75"/>
      <c r="Q49" s="75"/>
      <c r="R49" s="75"/>
      <c r="S49" s="75"/>
      <c r="T49" s="75"/>
      <c r="U49" s="74"/>
    </row>
    <row r="50" spans="1:21" ht="17.25" customHeight="1" x14ac:dyDescent="0.3">
      <c r="A50" s="66" t="s">
        <v>30</v>
      </c>
      <c r="C50" s="67"/>
      <c r="D50" s="77"/>
      <c r="E50" s="77" t="s">
        <v>31</v>
      </c>
      <c r="F50" s="76" t="s">
        <v>31</v>
      </c>
      <c r="G50" s="76" t="s">
        <v>31</v>
      </c>
      <c r="H50" s="76"/>
      <c r="I50" s="76"/>
      <c r="J50" s="76" t="s">
        <v>31</v>
      </c>
      <c r="K50" s="76" t="s">
        <v>31</v>
      </c>
      <c r="L50" s="76" t="s">
        <v>31</v>
      </c>
      <c r="M50" s="76" t="s">
        <v>31</v>
      </c>
      <c r="N50" s="76"/>
      <c r="U50" s="81"/>
    </row>
    <row r="51" spans="1:21" ht="20.25" customHeight="1" x14ac:dyDescent="0.35">
      <c r="A51" s="66" t="s">
        <v>30</v>
      </c>
      <c r="C51" s="67"/>
      <c r="D51" s="92" t="str">
        <f t="shared" ref="D51" si="20">E51</f>
        <v>C100008</v>
      </c>
      <c r="E51" s="91" t="str">
        <f>"C100008"</f>
        <v>C100008</v>
      </c>
      <c r="F51" s="89" t="str">
        <f>"Glacier Vase"</f>
        <v>Glacier Vase</v>
      </c>
      <c r="G51" s="89"/>
      <c r="H51" s="90" t="str">
        <f>"EA"</f>
        <v>EA</v>
      </c>
      <c r="I51" s="89"/>
      <c r="J51" s="89"/>
      <c r="K51" s="89"/>
      <c r="L51" s="89"/>
      <c r="M51" s="89"/>
      <c r="N51" s="89"/>
      <c r="O51" s="88">
        <f>(SUBTOTAL(9,O52:O54))</f>
        <v>499.99999999999994</v>
      </c>
      <c r="P51" s="88">
        <f>(SUBTOTAL(9,P52:P54))</f>
        <v>-1</v>
      </c>
      <c r="Q51" s="88">
        <f>(SUBTOTAL(9,Q52:Q54))</f>
        <v>0</v>
      </c>
      <c r="R51" s="88">
        <f>(SUBTOTAL(9,R52:R54))</f>
        <v>0</v>
      </c>
      <c r="S51" s="88">
        <f>(SUBTOTAL(9,S52:S54))</f>
        <v>0</v>
      </c>
      <c r="T51" s="88">
        <f>(SUBTOTAL(9,T52:T54))</f>
        <v>0</v>
      </c>
      <c r="U51" s="87">
        <f t="shared" ref="U51" si="21">SUBTOTAL(9,O52:T54)</f>
        <v>498.99999999999994</v>
      </c>
    </row>
    <row r="52" spans="1:21" ht="17.25" customHeight="1" x14ac:dyDescent="0.3">
      <c r="A52" s="66" t="s">
        <v>30</v>
      </c>
      <c r="C52" s="67"/>
      <c r="D52" s="77" t="str">
        <f t="shared" ref="D52" si="22">D51</f>
        <v>C100008</v>
      </c>
      <c r="E52" s="77"/>
      <c r="F52" s="76"/>
      <c r="G52" s="76" t="str">
        <f>"""NAV Direct"",""CRONUS JetCorp USA"",""32"",""1"",""166366"""</f>
        <v>"NAV Direct","CRONUS JetCorp USA","32","1","166366"</v>
      </c>
      <c r="H52" s="86">
        <v>43466</v>
      </c>
      <c r="I52" s="85">
        <v>166366</v>
      </c>
      <c r="J52" s="84" t="str">
        <f>"Vendor"</f>
        <v>Vendor</v>
      </c>
      <c r="K52" s="84" t="str">
        <f>"V100007"</f>
        <v>V100007</v>
      </c>
      <c r="L52" s="84" t="str">
        <f>IF($J52="Customer",_xll.NL("first",$J52,"Name","No.","@@"&amp;$K52),"")</f>
        <v/>
      </c>
      <c r="M52" s="84" t="str">
        <f>"TrendTech"</f>
        <v>TrendTech</v>
      </c>
      <c r="N52" s="84" t="str">
        <f>IF($J52="Item",_xll.NL("first",$J52,"Description","No.","@@"&amp;$K52),"")</f>
        <v/>
      </c>
      <c r="O52" s="83">
        <v>499.99999999999994</v>
      </c>
      <c r="P52" s="83">
        <v>0</v>
      </c>
      <c r="Q52" s="83">
        <v>0</v>
      </c>
      <c r="R52" s="83">
        <v>0</v>
      </c>
      <c r="S52" s="83">
        <v>0</v>
      </c>
      <c r="T52" s="83">
        <v>0</v>
      </c>
      <c r="U52" s="82"/>
    </row>
    <row r="53" spans="1:21" ht="17.25" customHeight="1" x14ac:dyDescent="0.3">
      <c r="A53" s="66" t="s">
        <v>30</v>
      </c>
      <c r="C53" s="67"/>
      <c r="D53" s="77" t="str">
        <f t="shared" ref="D53" si="23">D52</f>
        <v>C100008</v>
      </c>
      <c r="E53" s="77"/>
      <c r="F53" s="76"/>
      <c r="G53" s="76" t="str">
        <f>"""NAV Direct"",""CRONUS JetCorp USA"",""32"",""1"",""3914"""</f>
        <v>"NAV Direct","CRONUS JetCorp USA","32","1","3914"</v>
      </c>
      <c r="H53" s="86">
        <v>43472</v>
      </c>
      <c r="I53" s="85">
        <v>3914</v>
      </c>
      <c r="J53" s="84" t="str">
        <f>"Customer"</f>
        <v>Customer</v>
      </c>
      <c r="K53" s="84" t="str">
        <f>"C100099"</f>
        <v>C100099</v>
      </c>
      <c r="L53" s="84" t="str">
        <f>IF($J53="Customer",_xll.NL("first",$J53,"Name","No.","@@"&amp;$K53),"")</f>
        <v>Voltive Systems</v>
      </c>
      <c r="M53" s="84" t="str">
        <f>""</f>
        <v/>
      </c>
      <c r="N53" s="84" t="str">
        <f>IF($J53="Item",_xll.NL("first",$J53,"Description","No.","@@"&amp;$K53),"")</f>
        <v/>
      </c>
      <c r="O53" s="83">
        <v>0</v>
      </c>
      <c r="P53" s="83">
        <v>-1</v>
      </c>
      <c r="Q53" s="83">
        <v>0</v>
      </c>
      <c r="R53" s="83">
        <v>0</v>
      </c>
      <c r="S53" s="83">
        <v>0</v>
      </c>
      <c r="T53" s="83">
        <v>0</v>
      </c>
      <c r="U53" s="82"/>
    </row>
    <row r="54" spans="1:21" ht="17.25" customHeight="1" x14ac:dyDescent="0.3">
      <c r="A54" s="66" t="s">
        <v>30</v>
      </c>
      <c r="C54" s="67"/>
      <c r="D54" s="77"/>
      <c r="E54" s="77"/>
      <c r="F54" s="76"/>
      <c r="G54" s="76"/>
      <c r="H54" s="76"/>
      <c r="I54" s="76"/>
      <c r="J54" s="76"/>
      <c r="K54" s="76"/>
      <c r="L54" s="76"/>
      <c r="M54" s="76"/>
      <c r="N54" s="76"/>
      <c r="O54" s="75"/>
      <c r="P54" s="75"/>
      <c r="Q54" s="75"/>
      <c r="R54" s="75"/>
      <c r="S54" s="75"/>
      <c r="T54" s="75"/>
      <c r="U54" s="74"/>
    </row>
    <row r="55" spans="1:21" ht="17.25" customHeight="1" x14ac:dyDescent="0.3">
      <c r="A55" s="66" t="s">
        <v>30</v>
      </c>
      <c r="C55" s="67"/>
      <c r="D55" s="77"/>
      <c r="E55" s="77" t="s">
        <v>31</v>
      </c>
      <c r="F55" s="76" t="s">
        <v>31</v>
      </c>
      <c r="G55" s="76" t="s">
        <v>31</v>
      </c>
      <c r="H55" s="76"/>
      <c r="I55" s="76"/>
      <c r="J55" s="76" t="s">
        <v>31</v>
      </c>
      <c r="K55" s="76" t="s">
        <v>31</v>
      </c>
      <c r="L55" s="76" t="s">
        <v>31</v>
      </c>
      <c r="M55" s="76" t="s">
        <v>31</v>
      </c>
      <c r="N55" s="76"/>
      <c r="U55" s="81"/>
    </row>
    <row r="56" spans="1:21" ht="20.25" customHeight="1" x14ac:dyDescent="0.35">
      <c r="A56" s="66" t="s">
        <v>30</v>
      </c>
      <c r="C56" s="67"/>
      <c r="D56" s="92" t="str">
        <f t="shared" ref="D56" si="24">E56</f>
        <v>C100009</v>
      </c>
      <c r="E56" s="91" t="str">
        <f>"C100009"</f>
        <v>C100009</v>
      </c>
      <c r="F56" s="89" t="str">
        <f>"Normandy Vase"</f>
        <v>Normandy Vase</v>
      </c>
      <c r="G56" s="89"/>
      <c r="H56" s="90" t="str">
        <f>"EA"</f>
        <v>EA</v>
      </c>
      <c r="I56" s="89"/>
      <c r="J56" s="89"/>
      <c r="K56" s="89"/>
      <c r="L56" s="89"/>
      <c r="M56" s="89"/>
      <c r="N56" s="89"/>
      <c r="O56" s="88">
        <f>(SUBTOTAL(9,O57:O59))</f>
        <v>700</v>
      </c>
      <c r="P56" s="88">
        <f>(SUBTOTAL(9,P57:P59))</f>
        <v>-1</v>
      </c>
      <c r="Q56" s="88">
        <f>(SUBTOTAL(9,Q57:Q59))</f>
        <v>0</v>
      </c>
      <c r="R56" s="88">
        <f>(SUBTOTAL(9,R57:R59))</f>
        <v>0</v>
      </c>
      <c r="S56" s="88">
        <f>(SUBTOTAL(9,S57:S59))</f>
        <v>0</v>
      </c>
      <c r="T56" s="88">
        <f>(SUBTOTAL(9,T57:T59))</f>
        <v>0</v>
      </c>
      <c r="U56" s="87">
        <f t="shared" ref="U56" si="25">SUBTOTAL(9,O57:T59)</f>
        <v>699</v>
      </c>
    </row>
    <row r="57" spans="1:21" ht="17.25" customHeight="1" x14ac:dyDescent="0.3">
      <c r="A57" s="66" t="s">
        <v>30</v>
      </c>
      <c r="C57" s="67"/>
      <c r="D57" s="77" t="str">
        <f t="shared" ref="D57" si="26">D56</f>
        <v>C100009</v>
      </c>
      <c r="E57" s="77"/>
      <c r="F57" s="76"/>
      <c r="G57" s="76" t="str">
        <f>"""NAV Direct"",""CRONUS JetCorp USA"",""32"",""1"",""166365"""</f>
        <v>"NAV Direct","CRONUS JetCorp USA","32","1","166365"</v>
      </c>
      <c r="H57" s="86">
        <v>43466</v>
      </c>
      <c r="I57" s="85">
        <v>166365</v>
      </c>
      <c r="J57" s="84" t="str">
        <f>"Vendor"</f>
        <v>Vendor</v>
      </c>
      <c r="K57" s="84" t="str">
        <f>"V100007"</f>
        <v>V100007</v>
      </c>
      <c r="L57" s="84" t="str">
        <f>IF($J57="Customer",_xll.NL("first",$J57,"Name","No.","@@"&amp;$K57),"")</f>
        <v/>
      </c>
      <c r="M57" s="84" t="str">
        <f>"TrendTech"</f>
        <v>TrendTech</v>
      </c>
      <c r="N57" s="84" t="str">
        <f>IF($J57="Item",_xll.NL("first",$J57,"Description","No.","@@"&amp;$K57),"")</f>
        <v/>
      </c>
      <c r="O57" s="83">
        <v>700</v>
      </c>
      <c r="P57" s="83">
        <v>0</v>
      </c>
      <c r="Q57" s="83">
        <v>0</v>
      </c>
      <c r="R57" s="83">
        <v>0</v>
      </c>
      <c r="S57" s="83">
        <v>0</v>
      </c>
      <c r="T57" s="83">
        <v>0</v>
      </c>
      <c r="U57" s="82"/>
    </row>
    <row r="58" spans="1:21" ht="17.25" customHeight="1" x14ac:dyDescent="0.3">
      <c r="A58" s="66" t="s">
        <v>30</v>
      </c>
      <c r="C58" s="67"/>
      <c r="D58" s="77" t="str">
        <f t="shared" ref="D58" si="27">D57</f>
        <v>C100009</v>
      </c>
      <c r="E58" s="77"/>
      <c r="F58" s="76"/>
      <c r="G58" s="76" t="str">
        <f>"""NAV Direct"",""CRONUS JetCorp USA"",""32"",""1"",""111304"""</f>
        <v>"NAV Direct","CRONUS JetCorp USA","32","1","111304"</v>
      </c>
      <c r="H58" s="86">
        <v>43472</v>
      </c>
      <c r="I58" s="85">
        <v>111304</v>
      </c>
      <c r="J58" s="84" t="str">
        <f>"Customer"</f>
        <v>Customer</v>
      </c>
      <c r="K58" s="84" t="str">
        <f>"C100099"</f>
        <v>C100099</v>
      </c>
      <c r="L58" s="84" t="str">
        <f>IF($J58="Customer",_xll.NL("first",$J58,"Name","No.","@@"&amp;$K58),"")</f>
        <v>Voltive Systems</v>
      </c>
      <c r="M58" s="84" t="str">
        <f>""</f>
        <v/>
      </c>
      <c r="N58" s="84" t="str">
        <f>IF($J58="Item",_xll.NL("first",$J58,"Description","No.","@@"&amp;$K58),"")</f>
        <v/>
      </c>
      <c r="O58" s="83">
        <v>0</v>
      </c>
      <c r="P58" s="83">
        <v>-1</v>
      </c>
      <c r="Q58" s="83">
        <v>0</v>
      </c>
      <c r="R58" s="83">
        <v>0</v>
      </c>
      <c r="S58" s="83">
        <v>0</v>
      </c>
      <c r="T58" s="83">
        <v>0</v>
      </c>
      <c r="U58" s="82"/>
    </row>
    <row r="59" spans="1:21" ht="17.25" customHeight="1" x14ac:dyDescent="0.3">
      <c r="A59" s="66" t="s">
        <v>30</v>
      </c>
      <c r="C59" s="67"/>
      <c r="D59" s="77"/>
      <c r="E59" s="77"/>
      <c r="F59" s="76"/>
      <c r="G59" s="76"/>
      <c r="H59" s="76"/>
      <c r="I59" s="76"/>
      <c r="J59" s="76"/>
      <c r="K59" s="76"/>
      <c r="L59" s="76"/>
      <c r="M59" s="76"/>
      <c r="N59" s="76"/>
      <c r="O59" s="75"/>
      <c r="P59" s="75"/>
      <c r="Q59" s="75"/>
      <c r="R59" s="75"/>
      <c r="S59" s="75"/>
      <c r="T59" s="75"/>
      <c r="U59" s="74"/>
    </row>
    <row r="60" spans="1:21" ht="17.25" customHeight="1" x14ac:dyDescent="0.3">
      <c r="A60" s="66" t="s">
        <v>30</v>
      </c>
      <c r="C60" s="67"/>
      <c r="D60" s="77"/>
      <c r="E60" s="77" t="s">
        <v>31</v>
      </c>
      <c r="F60" s="76" t="s">
        <v>31</v>
      </c>
      <c r="G60" s="76" t="s">
        <v>31</v>
      </c>
      <c r="H60" s="76"/>
      <c r="I60" s="76"/>
      <c r="J60" s="76" t="s">
        <v>31</v>
      </c>
      <c r="K60" s="76" t="s">
        <v>31</v>
      </c>
      <c r="L60" s="76" t="s">
        <v>31</v>
      </c>
      <c r="M60" s="76" t="s">
        <v>31</v>
      </c>
      <c r="N60" s="76"/>
      <c r="U60" s="81"/>
    </row>
    <row r="61" spans="1:21" ht="20.25" customHeight="1" x14ac:dyDescent="0.35">
      <c r="A61" s="66" t="s">
        <v>30</v>
      </c>
      <c r="C61" s="67"/>
      <c r="D61" s="92" t="str">
        <f t="shared" ref="D61" si="28">E61</f>
        <v>C100010</v>
      </c>
      <c r="E61" s="91" t="str">
        <f>"C100010"</f>
        <v>C100010</v>
      </c>
      <c r="F61" s="89" t="str">
        <f>"Wisper-Cut Vase"</f>
        <v>Wisper-Cut Vase</v>
      </c>
      <c r="G61" s="89"/>
      <c r="H61" s="90" t="str">
        <f>"EA"</f>
        <v>EA</v>
      </c>
      <c r="I61" s="89"/>
      <c r="J61" s="89"/>
      <c r="K61" s="89"/>
      <c r="L61" s="89"/>
      <c r="M61" s="89"/>
      <c r="N61" s="89"/>
      <c r="O61" s="88">
        <f>(SUBTOTAL(9,O62:O64))</f>
        <v>200</v>
      </c>
      <c r="P61" s="88">
        <f>(SUBTOTAL(9,P62:P64))</f>
        <v>-48</v>
      </c>
      <c r="Q61" s="88">
        <f>(SUBTOTAL(9,Q62:Q64))</f>
        <v>0</v>
      </c>
      <c r="R61" s="88">
        <f>(SUBTOTAL(9,R62:R64))</f>
        <v>0</v>
      </c>
      <c r="S61" s="88">
        <f>(SUBTOTAL(9,S62:S64))</f>
        <v>0</v>
      </c>
      <c r="T61" s="88">
        <f>(SUBTOTAL(9,T62:T64))</f>
        <v>0</v>
      </c>
      <c r="U61" s="87">
        <f t="shared" ref="U61" si="29">SUBTOTAL(9,O62:T64)</f>
        <v>152</v>
      </c>
    </row>
    <row r="62" spans="1:21" ht="17.25" customHeight="1" x14ac:dyDescent="0.3">
      <c r="A62" s="66" t="s">
        <v>30</v>
      </c>
      <c r="C62" s="67"/>
      <c r="D62" s="77" t="str">
        <f t="shared" ref="D62" si="30">D61</f>
        <v>C100010</v>
      </c>
      <c r="E62" s="77"/>
      <c r="F62" s="76"/>
      <c r="G62" s="76" t="str">
        <f>"""NAV Direct"",""CRONUS JetCorp USA"",""32"",""1"",""166364"""</f>
        <v>"NAV Direct","CRONUS JetCorp USA","32","1","166364"</v>
      </c>
      <c r="H62" s="86">
        <v>43466</v>
      </c>
      <c r="I62" s="85">
        <v>166364</v>
      </c>
      <c r="J62" s="84" t="str">
        <f>"Vendor"</f>
        <v>Vendor</v>
      </c>
      <c r="K62" s="84" t="str">
        <f>"V100007"</f>
        <v>V100007</v>
      </c>
      <c r="L62" s="84" t="str">
        <f>IF($J62="Customer",_xll.NL("first",$J62,"Name","No.","@@"&amp;$K62),"")</f>
        <v/>
      </c>
      <c r="M62" s="84" t="str">
        <f>"TrendTech"</f>
        <v>TrendTech</v>
      </c>
      <c r="N62" s="84" t="str">
        <f>IF($J62="Item",_xll.NL("first",$J62,"Description","No.","@@"&amp;$K62),"")</f>
        <v/>
      </c>
      <c r="O62" s="83">
        <v>200</v>
      </c>
      <c r="P62" s="83">
        <v>0</v>
      </c>
      <c r="Q62" s="83">
        <v>0</v>
      </c>
      <c r="R62" s="83">
        <v>0</v>
      </c>
      <c r="S62" s="83">
        <v>0</v>
      </c>
      <c r="T62" s="83">
        <v>0</v>
      </c>
      <c r="U62" s="82"/>
    </row>
    <row r="63" spans="1:21" ht="17.25" customHeight="1" x14ac:dyDescent="0.3">
      <c r="A63" s="66" t="s">
        <v>30</v>
      </c>
      <c r="C63" s="67"/>
      <c r="D63" s="77" t="str">
        <f t="shared" ref="D63" si="31">D62</f>
        <v>C100010</v>
      </c>
      <c r="E63" s="77"/>
      <c r="F63" s="76"/>
      <c r="G63" s="76" t="str">
        <f>"""NAV Direct"",""CRONUS JetCorp USA"",""32"",""1"",""3885"""</f>
        <v>"NAV Direct","CRONUS JetCorp USA","32","1","3885"</v>
      </c>
      <c r="H63" s="86">
        <v>43467</v>
      </c>
      <c r="I63" s="85">
        <v>3885</v>
      </c>
      <c r="J63" s="84" t="str">
        <f>"Customer"</f>
        <v>Customer</v>
      </c>
      <c r="K63" s="84" t="str">
        <f>"C100099"</f>
        <v>C100099</v>
      </c>
      <c r="L63" s="84" t="str">
        <f>IF($J63="Customer",_xll.NL("first",$J63,"Name","No.","@@"&amp;$K63),"")</f>
        <v>Voltive Systems</v>
      </c>
      <c r="M63" s="84" t="str">
        <f>""</f>
        <v/>
      </c>
      <c r="N63" s="84" t="str">
        <f>IF($J63="Item",_xll.NL("first",$J63,"Description","No.","@@"&amp;$K63),"")</f>
        <v/>
      </c>
      <c r="O63" s="83">
        <v>0</v>
      </c>
      <c r="P63" s="83">
        <v>-48</v>
      </c>
      <c r="Q63" s="83">
        <v>0</v>
      </c>
      <c r="R63" s="83">
        <v>0</v>
      </c>
      <c r="S63" s="83">
        <v>0</v>
      </c>
      <c r="T63" s="83">
        <v>0</v>
      </c>
      <c r="U63" s="82"/>
    </row>
    <row r="64" spans="1:21" ht="17.25" customHeight="1" x14ac:dyDescent="0.3">
      <c r="A64" s="66" t="s">
        <v>30</v>
      </c>
      <c r="C64" s="67"/>
      <c r="D64" s="77"/>
      <c r="E64" s="77"/>
      <c r="F64" s="76"/>
      <c r="G64" s="76"/>
      <c r="H64" s="76"/>
      <c r="I64" s="76"/>
      <c r="J64" s="76"/>
      <c r="K64" s="76"/>
      <c r="L64" s="76"/>
      <c r="M64" s="76"/>
      <c r="N64" s="76"/>
      <c r="O64" s="75"/>
      <c r="P64" s="75"/>
      <c r="Q64" s="75"/>
      <c r="R64" s="75"/>
      <c r="S64" s="75"/>
      <c r="T64" s="75"/>
      <c r="U64" s="74"/>
    </row>
    <row r="65" spans="1:21" ht="17.25" customHeight="1" x14ac:dyDescent="0.3">
      <c r="A65" s="66" t="s">
        <v>30</v>
      </c>
      <c r="C65" s="67"/>
      <c r="D65" s="77"/>
      <c r="E65" s="77" t="s">
        <v>31</v>
      </c>
      <c r="F65" s="76" t="s">
        <v>31</v>
      </c>
      <c r="G65" s="76" t="s">
        <v>31</v>
      </c>
      <c r="H65" s="76"/>
      <c r="I65" s="76"/>
      <c r="J65" s="76" t="s">
        <v>31</v>
      </c>
      <c r="K65" s="76" t="s">
        <v>31</v>
      </c>
      <c r="L65" s="76" t="s">
        <v>31</v>
      </c>
      <c r="M65" s="76" t="s">
        <v>31</v>
      </c>
      <c r="N65" s="76"/>
      <c r="U65" s="81"/>
    </row>
    <row r="66" spans="1:21" ht="20.25" customHeight="1" x14ac:dyDescent="0.35">
      <c r="A66" s="66" t="s">
        <v>30</v>
      </c>
      <c r="C66" s="67"/>
      <c r="D66" s="92" t="str">
        <f t="shared" ref="D66" si="32">E66</f>
        <v>C100011</v>
      </c>
      <c r="E66" s="91" t="str">
        <f>"C100011"</f>
        <v>C100011</v>
      </c>
      <c r="F66" s="89" t="str">
        <f>"Winter Frost Vase"</f>
        <v>Winter Frost Vase</v>
      </c>
      <c r="G66" s="89"/>
      <c r="H66" s="90" t="str">
        <f>"EA"</f>
        <v>EA</v>
      </c>
      <c r="I66" s="89"/>
      <c r="J66" s="89"/>
      <c r="K66" s="89"/>
      <c r="L66" s="89"/>
      <c r="M66" s="89"/>
      <c r="N66" s="89"/>
      <c r="O66" s="88">
        <f>(SUBTOTAL(9,O67:O71))</f>
        <v>600</v>
      </c>
      <c r="P66" s="88">
        <f>(SUBTOTAL(9,P67:P71))</f>
        <v>-97</v>
      </c>
      <c r="Q66" s="88">
        <f>(SUBTOTAL(9,Q67:Q71))</f>
        <v>0</v>
      </c>
      <c r="R66" s="88">
        <f>(SUBTOTAL(9,R67:R71))</f>
        <v>0</v>
      </c>
      <c r="S66" s="88">
        <f>(SUBTOTAL(9,S67:S71))</f>
        <v>0</v>
      </c>
      <c r="T66" s="88">
        <f>(SUBTOTAL(9,T67:T71))</f>
        <v>0</v>
      </c>
      <c r="U66" s="87">
        <f t="shared" ref="U66" si="33">SUBTOTAL(9,O67:T71)</f>
        <v>503</v>
      </c>
    </row>
    <row r="67" spans="1:21" ht="17.25" customHeight="1" x14ac:dyDescent="0.3">
      <c r="A67" s="66" t="s">
        <v>30</v>
      </c>
      <c r="C67" s="67"/>
      <c r="D67" s="77" t="str">
        <f t="shared" ref="D67" si="34">D66</f>
        <v>C100011</v>
      </c>
      <c r="E67" s="77"/>
      <c r="F67" s="76"/>
      <c r="G67" s="76" t="str">
        <f>"""NAV Direct"",""CRONUS JetCorp USA"",""32"",""1"",""166363"""</f>
        <v>"NAV Direct","CRONUS JetCorp USA","32","1","166363"</v>
      </c>
      <c r="H67" s="86">
        <v>43466</v>
      </c>
      <c r="I67" s="85">
        <v>166363</v>
      </c>
      <c r="J67" s="84" t="str">
        <f>"Vendor"</f>
        <v>Vendor</v>
      </c>
      <c r="K67" s="84" t="str">
        <f>"V100007"</f>
        <v>V100007</v>
      </c>
      <c r="L67" s="84" t="str">
        <f>IF($J67="Customer",_xll.NL("first",$J67,"Name","No.","@@"&amp;$K67),"")</f>
        <v/>
      </c>
      <c r="M67" s="84" t="str">
        <f>"TrendTech"</f>
        <v>TrendTech</v>
      </c>
      <c r="N67" s="84" t="str">
        <f>IF($J67="Item",_xll.NL("first",$J67,"Description","No.","@@"&amp;$K67),"")</f>
        <v/>
      </c>
      <c r="O67" s="83">
        <v>600</v>
      </c>
      <c r="P67" s="83">
        <v>0</v>
      </c>
      <c r="Q67" s="83">
        <v>0</v>
      </c>
      <c r="R67" s="83">
        <v>0</v>
      </c>
      <c r="S67" s="83">
        <v>0</v>
      </c>
      <c r="T67" s="83">
        <v>0</v>
      </c>
      <c r="U67" s="82"/>
    </row>
    <row r="68" spans="1:21" ht="17.25" customHeight="1" x14ac:dyDescent="0.3">
      <c r="A68" s="66" t="s">
        <v>30</v>
      </c>
      <c r="C68" s="67"/>
      <c r="D68" s="77" t="str">
        <f t="shared" ref="D68:D70" si="35">D67</f>
        <v>C100011</v>
      </c>
      <c r="E68" s="77"/>
      <c r="F68" s="76"/>
      <c r="G68" s="76" t="str">
        <f>"""NAV Direct"",""CRONUS JetCorp USA"",""32"",""1"",""3909"""</f>
        <v>"NAV Direct","CRONUS JetCorp USA","32","1","3909"</v>
      </c>
      <c r="H68" s="86">
        <v>43472</v>
      </c>
      <c r="I68" s="85">
        <v>3909</v>
      </c>
      <c r="J68" s="84" t="str">
        <f>"Customer"</f>
        <v>Customer</v>
      </c>
      <c r="K68" s="84" t="str">
        <f>"C100099"</f>
        <v>C100099</v>
      </c>
      <c r="L68" s="84" t="str">
        <f>IF($J68="Customer",_xll.NL("first",$J68,"Name","No.","@@"&amp;$K68),"")</f>
        <v>Voltive Systems</v>
      </c>
      <c r="M68" s="84" t="str">
        <f>""</f>
        <v/>
      </c>
      <c r="N68" s="84" t="str">
        <f>IF($J68="Item",_xll.NL("first",$J68,"Description","No.","@@"&amp;$K68),"")</f>
        <v/>
      </c>
      <c r="O68" s="83">
        <v>0</v>
      </c>
      <c r="P68" s="83">
        <v>-48</v>
      </c>
      <c r="Q68" s="83">
        <v>0</v>
      </c>
      <c r="R68" s="83">
        <v>0</v>
      </c>
      <c r="S68" s="83">
        <v>0</v>
      </c>
      <c r="T68" s="83">
        <v>0</v>
      </c>
      <c r="U68" s="82"/>
    </row>
    <row r="69" spans="1:21" ht="17.25" customHeight="1" x14ac:dyDescent="0.3">
      <c r="A69" s="66" t="s">
        <v>30</v>
      </c>
      <c r="C69" s="67"/>
      <c r="D69" s="77" t="str">
        <f t="shared" si="35"/>
        <v>C100011</v>
      </c>
      <c r="E69" s="77"/>
      <c r="F69" s="76"/>
      <c r="G69" s="76" t="str">
        <f>"""NAV Direct"",""CRONUS JetCorp USA"",""32"",""1"",""3897"""</f>
        <v>"NAV Direct","CRONUS JetCorp USA","32","1","3897"</v>
      </c>
      <c r="H69" s="86">
        <v>43473</v>
      </c>
      <c r="I69" s="85">
        <v>3897</v>
      </c>
      <c r="J69" s="84" t="str">
        <f>"Customer"</f>
        <v>Customer</v>
      </c>
      <c r="K69" s="84" t="str">
        <f>"C100037"</f>
        <v>C100037</v>
      </c>
      <c r="L69" s="84" t="str">
        <f>IF($J69="Customer",_xll.NL("first",$J69,"Name","No.","@@"&amp;$K69),"")</f>
        <v>Tempsons Tropies</v>
      </c>
      <c r="M69" s="84" t="str">
        <f>""</f>
        <v/>
      </c>
      <c r="N69" s="84" t="str">
        <f>IF($J69="Item",_xll.NL("first",$J69,"Description","No.","@@"&amp;$K69),"")</f>
        <v/>
      </c>
      <c r="O69" s="83">
        <v>0</v>
      </c>
      <c r="P69" s="83">
        <v>-48</v>
      </c>
      <c r="Q69" s="83">
        <v>0</v>
      </c>
      <c r="R69" s="83">
        <v>0</v>
      </c>
      <c r="S69" s="83">
        <v>0</v>
      </c>
      <c r="T69" s="83">
        <v>0</v>
      </c>
      <c r="U69" s="82"/>
    </row>
    <row r="70" spans="1:21" ht="17.25" customHeight="1" x14ac:dyDescent="0.3">
      <c r="A70" s="66" t="s">
        <v>30</v>
      </c>
      <c r="C70" s="67"/>
      <c r="D70" s="77" t="str">
        <f t="shared" si="35"/>
        <v>C100011</v>
      </c>
      <c r="E70" s="77"/>
      <c r="F70" s="76"/>
      <c r="G70" s="76" t="str">
        <f>"""NAV Direct"",""CRONUS JetCorp USA"",""32"",""1"",""3927"""</f>
        <v>"NAV Direct","CRONUS JetCorp USA","32","1","3927"</v>
      </c>
      <c r="H70" s="86">
        <v>43475</v>
      </c>
      <c r="I70" s="85">
        <v>3927</v>
      </c>
      <c r="J70" s="84" t="str">
        <f>"Customer"</f>
        <v>Customer</v>
      </c>
      <c r="K70" s="84" t="str">
        <f>"C100099"</f>
        <v>C100099</v>
      </c>
      <c r="L70" s="84" t="str">
        <f>IF($J70="Customer",_xll.NL("first",$J70,"Name","No.","@@"&amp;$K70),"")</f>
        <v>Voltive Systems</v>
      </c>
      <c r="M70" s="84" t="str">
        <f>""</f>
        <v/>
      </c>
      <c r="N70" s="84" t="str">
        <f>IF($J70="Item",_xll.NL("first",$J70,"Description","No.","@@"&amp;$K70),"")</f>
        <v/>
      </c>
      <c r="O70" s="83">
        <v>0</v>
      </c>
      <c r="P70" s="83">
        <v>-1</v>
      </c>
      <c r="Q70" s="83">
        <v>0</v>
      </c>
      <c r="R70" s="83">
        <v>0</v>
      </c>
      <c r="S70" s="83">
        <v>0</v>
      </c>
      <c r="T70" s="83">
        <v>0</v>
      </c>
      <c r="U70" s="82"/>
    </row>
    <row r="71" spans="1:21" ht="17.25" customHeight="1" x14ac:dyDescent="0.3">
      <c r="A71" s="66" t="s">
        <v>30</v>
      </c>
      <c r="C71" s="67"/>
      <c r="D71" s="77"/>
      <c r="E71" s="77"/>
      <c r="F71" s="76"/>
      <c r="G71" s="76"/>
      <c r="H71" s="76"/>
      <c r="I71" s="76"/>
      <c r="J71" s="76"/>
      <c r="K71" s="76"/>
      <c r="L71" s="76"/>
      <c r="M71" s="76"/>
      <c r="N71" s="76"/>
      <c r="O71" s="75"/>
      <c r="P71" s="75"/>
      <c r="Q71" s="75"/>
      <c r="R71" s="75"/>
      <c r="S71" s="75"/>
      <c r="T71" s="75"/>
      <c r="U71" s="74"/>
    </row>
    <row r="72" spans="1:21" ht="17.25" customHeight="1" x14ac:dyDescent="0.3">
      <c r="A72" s="66" t="s">
        <v>30</v>
      </c>
      <c r="C72" s="67"/>
      <c r="D72" s="77"/>
      <c r="E72" s="77" t="s">
        <v>31</v>
      </c>
      <c r="F72" s="76" t="s">
        <v>31</v>
      </c>
      <c r="G72" s="76" t="s">
        <v>31</v>
      </c>
      <c r="H72" s="76"/>
      <c r="I72" s="76"/>
      <c r="J72" s="76" t="s">
        <v>31</v>
      </c>
      <c r="K72" s="76" t="s">
        <v>31</v>
      </c>
      <c r="L72" s="76" t="s">
        <v>31</v>
      </c>
      <c r="M72" s="76" t="s">
        <v>31</v>
      </c>
      <c r="N72" s="76"/>
      <c r="U72" s="81"/>
    </row>
    <row r="73" spans="1:21" ht="20.25" customHeight="1" x14ac:dyDescent="0.35">
      <c r="A73" s="66" t="s">
        <v>30</v>
      </c>
      <c r="C73" s="67"/>
      <c r="D73" s="92" t="str">
        <f t="shared" ref="D73" si="36">E73</f>
        <v>C100014</v>
      </c>
      <c r="E73" s="91" t="str">
        <f>"C100014"</f>
        <v>C100014</v>
      </c>
      <c r="F73" s="89" t="str">
        <f>"Canvas Field Bag"</f>
        <v>Canvas Field Bag</v>
      </c>
      <c r="G73" s="89"/>
      <c r="H73" s="90" t="str">
        <f>"EA"</f>
        <v>EA</v>
      </c>
      <c r="I73" s="89"/>
      <c r="J73" s="89"/>
      <c r="K73" s="89"/>
      <c r="L73" s="89"/>
      <c r="M73" s="89"/>
      <c r="N73" s="89"/>
      <c r="O73" s="88">
        <f>(SUBTOTAL(9,O74:O75))</f>
        <v>0</v>
      </c>
      <c r="P73" s="88">
        <f>(SUBTOTAL(9,P74:P75))</f>
        <v>-48</v>
      </c>
      <c r="Q73" s="88">
        <f>(SUBTOTAL(9,Q74:Q75))</f>
        <v>0</v>
      </c>
      <c r="R73" s="88">
        <f>(SUBTOTAL(9,R74:R75))</f>
        <v>0</v>
      </c>
      <c r="S73" s="88">
        <f>(SUBTOTAL(9,S74:S75))</f>
        <v>0</v>
      </c>
      <c r="T73" s="88">
        <f>(SUBTOTAL(9,T74:T75))</f>
        <v>0</v>
      </c>
      <c r="U73" s="87">
        <f t="shared" ref="U73" si="37">SUBTOTAL(9,O74:T75)</f>
        <v>-48</v>
      </c>
    </row>
    <row r="74" spans="1:21" ht="17.25" customHeight="1" x14ac:dyDescent="0.3">
      <c r="A74" s="66" t="s">
        <v>30</v>
      </c>
      <c r="C74" s="67"/>
      <c r="D74" s="77" t="str">
        <f t="shared" ref="D74" si="38">D73</f>
        <v>C100014</v>
      </c>
      <c r="E74" s="77"/>
      <c r="F74" s="76"/>
      <c r="G74" s="76" t="str">
        <f>"""NAV Direct"",""CRONUS JetCorp USA"",""32"",""1"",""30049"""</f>
        <v>"NAV Direct","CRONUS JetCorp USA","32","1","30049"</v>
      </c>
      <c r="H74" s="86">
        <v>43474</v>
      </c>
      <c r="I74" s="85">
        <v>30049</v>
      </c>
      <c r="J74" s="84" t="str">
        <f>"Customer"</f>
        <v>Customer</v>
      </c>
      <c r="K74" s="84" t="str">
        <f>"C100086"</f>
        <v>C100086</v>
      </c>
      <c r="L74" s="84" t="str">
        <f>IF($J74="Customer",_xll.NL("first",$J74,"Name","No.","@@"&amp;$K74),"")</f>
        <v>Top Action Sports</v>
      </c>
      <c r="M74" s="84" t="str">
        <f>""</f>
        <v/>
      </c>
      <c r="N74" s="84" t="str">
        <f>IF($J74="Item",_xll.NL("first",$J74,"Description","No.","@@"&amp;$K74),"")</f>
        <v/>
      </c>
      <c r="O74" s="83">
        <v>0</v>
      </c>
      <c r="P74" s="83">
        <v>-48</v>
      </c>
      <c r="Q74" s="83">
        <v>0</v>
      </c>
      <c r="R74" s="83">
        <v>0</v>
      </c>
      <c r="S74" s="83">
        <v>0</v>
      </c>
      <c r="T74" s="83">
        <v>0</v>
      </c>
      <c r="U74" s="82"/>
    </row>
    <row r="75" spans="1:21" ht="17.25" customHeight="1" x14ac:dyDescent="0.3">
      <c r="A75" s="66" t="s">
        <v>30</v>
      </c>
      <c r="C75" s="67"/>
      <c r="D75" s="77"/>
      <c r="E75" s="77"/>
      <c r="F75" s="76"/>
      <c r="G75" s="76"/>
      <c r="H75" s="76"/>
      <c r="I75" s="76"/>
      <c r="J75" s="76"/>
      <c r="K75" s="76"/>
      <c r="L75" s="76"/>
      <c r="M75" s="76"/>
      <c r="N75" s="76"/>
      <c r="O75" s="75"/>
      <c r="P75" s="75"/>
      <c r="Q75" s="75"/>
      <c r="R75" s="75"/>
      <c r="S75" s="75"/>
      <c r="T75" s="75"/>
      <c r="U75" s="74"/>
    </row>
    <row r="76" spans="1:21" ht="17.25" customHeight="1" x14ac:dyDescent="0.3">
      <c r="A76" s="66" t="s">
        <v>30</v>
      </c>
      <c r="C76" s="67"/>
      <c r="D76" s="77"/>
      <c r="E76" s="77" t="s">
        <v>31</v>
      </c>
      <c r="F76" s="76" t="s">
        <v>31</v>
      </c>
      <c r="G76" s="76" t="s">
        <v>31</v>
      </c>
      <c r="H76" s="76"/>
      <c r="I76" s="76"/>
      <c r="J76" s="76" t="s">
        <v>31</v>
      </c>
      <c r="K76" s="76" t="s">
        <v>31</v>
      </c>
      <c r="L76" s="76" t="s">
        <v>31</v>
      </c>
      <c r="M76" s="76" t="s">
        <v>31</v>
      </c>
      <c r="N76" s="76"/>
      <c r="U76" s="81"/>
    </row>
    <row r="77" spans="1:21" ht="20.25" customHeight="1" x14ac:dyDescent="0.35">
      <c r="A77" s="66" t="s">
        <v>30</v>
      </c>
      <c r="C77" s="67"/>
      <c r="D77" s="92" t="str">
        <f t="shared" ref="D77" si="39">E77</f>
        <v>C100017</v>
      </c>
      <c r="E77" s="91" t="str">
        <f>"C100017"</f>
        <v>C100017</v>
      </c>
      <c r="F77" s="89" t="str">
        <f>"Wheeled Duffel"</f>
        <v>Wheeled Duffel</v>
      </c>
      <c r="G77" s="89"/>
      <c r="H77" s="90" t="str">
        <f>"EA"</f>
        <v>EA</v>
      </c>
      <c r="I77" s="89"/>
      <c r="J77" s="89"/>
      <c r="K77" s="89"/>
      <c r="L77" s="89"/>
      <c r="M77" s="89"/>
      <c r="N77" s="89"/>
      <c r="O77" s="88">
        <f>(SUBTOTAL(9,O78:O79))</f>
        <v>200</v>
      </c>
      <c r="P77" s="88">
        <f>(SUBTOTAL(9,P78:P79))</f>
        <v>0</v>
      </c>
      <c r="Q77" s="88">
        <f>(SUBTOTAL(9,Q78:Q79))</f>
        <v>0</v>
      </c>
      <c r="R77" s="88">
        <f>(SUBTOTAL(9,R78:R79))</f>
        <v>0</v>
      </c>
      <c r="S77" s="88">
        <f>(SUBTOTAL(9,S78:S79))</f>
        <v>0</v>
      </c>
      <c r="T77" s="88">
        <f>(SUBTOTAL(9,T78:T79))</f>
        <v>0</v>
      </c>
      <c r="U77" s="87">
        <f t="shared" ref="U77" si="40">SUBTOTAL(9,O78:T79)</f>
        <v>200</v>
      </c>
    </row>
    <row r="78" spans="1:21" ht="17.25" customHeight="1" x14ac:dyDescent="0.3">
      <c r="A78" s="66" t="s">
        <v>30</v>
      </c>
      <c r="C78" s="67"/>
      <c r="D78" s="77" t="str">
        <f t="shared" ref="D78" si="41">D77</f>
        <v>C100017</v>
      </c>
      <c r="E78" s="77"/>
      <c r="F78" s="76"/>
      <c r="G78" s="76" t="str">
        <f>"""NAV Direct"",""CRONUS JetCorp USA"",""32"",""1"",""166762"""</f>
        <v>"NAV Direct","CRONUS JetCorp USA","32","1","166762"</v>
      </c>
      <c r="H78" s="86">
        <v>43466</v>
      </c>
      <c r="I78" s="85">
        <v>166762</v>
      </c>
      <c r="J78" s="84" t="str">
        <f>"Vendor"</f>
        <v>Vendor</v>
      </c>
      <c r="K78" s="84" t="str">
        <f>"V100007"</f>
        <v>V100007</v>
      </c>
      <c r="L78" s="84" t="str">
        <f>IF($J78="Customer",_xll.NL("first",$J78,"Name","No.","@@"&amp;$K78),"")</f>
        <v/>
      </c>
      <c r="M78" s="84" t="str">
        <f>"TrendTech"</f>
        <v>TrendTech</v>
      </c>
      <c r="N78" s="84" t="str">
        <f>IF($J78="Item",_xll.NL("first",$J78,"Description","No.","@@"&amp;$K78),"")</f>
        <v/>
      </c>
      <c r="O78" s="83">
        <v>200</v>
      </c>
      <c r="P78" s="83">
        <v>0</v>
      </c>
      <c r="Q78" s="83">
        <v>0</v>
      </c>
      <c r="R78" s="83">
        <v>0</v>
      </c>
      <c r="S78" s="83">
        <v>0</v>
      </c>
      <c r="T78" s="83">
        <v>0</v>
      </c>
      <c r="U78" s="82"/>
    </row>
    <row r="79" spans="1:21" ht="17.25" customHeight="1" x14ac:dyDescent="0.3">
      <c r="A79" s="66" t="s">
        <v>30</v>
      </c>
      <c r="C79" s="67"/>
      <c r="D79" s="77"/>
      <c r="E79" s="77"/>
      <c r="F79" s="76"/>
      <c r="G79" s="76"/>
      <c r="H79" s="76"/>
      <c r="I79" s="76"/>
      <c r="J79" s="76"/>
      <c r="K79" s="76"/>
      <c r="L79" s="76"/>
      <c r="M79" s="76"/>
      <c r="N79" s="76"/>
      <c r="O79" s="75"/>
      <c r="P79" s="75"/>
      <c r="Q79" s="75"/>
      <c r="R79" s="75"/>
      <c r="S79" s="75"/>
      <c r="T79" s="75"/>
      <c r="U79" s="74"/>
    </row>
    <row r="80" spans="1:21" ht="17.25" customHeight="1" x14ac:dyDescent="0.3">
      <c r="A80" s="66" t="s">
        <v>30</v>
      </c>
      <c r="C80" s="67"/>
      <c r="D80" s="77"/>
      <c r="E80" s="77" t="s">
        <v>31</v>
      </c>
      <c r="F80" s="76" t="s">
        <v>31</v>
      </c>
      <c r="G80" s="76" t="s">
        <v>31</v>
      </c>
      <c r="H80" s="76"/>
      <c r="I80" s="76"/>
      <c r="J80" s="76" t="s">
        <v>31</v>
      </c>
      <c r="K80" s="76" t="s">
        <v>31</v>
      </c>
      <c r="L80" s="76" t="s">
        <v>31</v>
      </c>
      <c r="M80" s="76" t="s">
        <v>31</v>
      </c>
      <c r="N80" s="76"/>
      <c r="U80" s="81"/>
    </row>
    <row r="81" spans="1:21" ht="20.25" customHeight="1" x14ac:dyDescent="0.35">
      <c r="A81" s="66" t="s">
        <v>30</v>
      </c>
      <c r="C81" s="67"/>
      <c r="D81" s="92" t="str">
        <f t="shared" ref="D81" si="42">E81</f>
        <v>C100018</v>
      </c>
      <c r="E81" s="91" t="str">
        <f>"C100018"</f>
        <v>C100018</v>
      </c>
      <c r="F81" s="89" t="str">
        <f>"Action Sport Duffel"</f>
        <v>Action Sport Duffel</v>
      </c>
      <c r="G81" s="89"/>
      <c r="H81" s="90" t="str">
        <f>"EA"</f>
        <v>EA</v>
      </c>
      <c r="I81" s="89"/>
      <c r="J81" s="89"/>
      <c r="K81" s="89"/>
      <c r="L81" s="89"/>
      <c r="M81" s="89"/>
      <c r="N81" s="89"/>
      <c r="O81" s="88">
        <f>(SUBTOTAL(9,O82:O85))</f>
        <v>200</v>
      </c>
      <c r="P81" s="88">
        <f>(SUBTOTAL(9,P82:P85))</f>
        <v>-312</v>
      </c>
      <c r="Q81" s="88">
        <f>(SUBTOTAL(9,Q82:Q85))</f>
        <v>0</v>
      </c>
      <c r="R81" s="88">
        <f>(SUBTOTAL(9,R82:R85))</f>
        <v>0</v>
      </c>
      <c r="S81" s="88">
        <f>(SUBTOTAL(9,S82:S85))</f>
        <v>0</v>
      </c>
      <c r="T81" s="88">
        <f>(SUBTOTAL(9,T82:T85))</f>
        <v>0</v>
      </c>
      <c r="U81" s="87">
        <f t="shared" ref="U81" si="43">SUBTOTAL(9,O82:T85)</f>
        <v>-112</v>
      </c>
    </row>
    <row r="82" spans="1:21" ht="17.25" customHeight="1" x14ac:dyDescent="0.3">
      <c r="A82" s="66" t="s">
        <v>30</v>
      </c>
      <c r="C82" s="67"/>
      <c r="D82" s="77" t="str">
        <f t="shared" ref="D82" si="44">D81</f>
        <v>C100018</v>
      </c>
      <c r="E82" s="77"/>
      <c r="F82" s="76"/>
      <c r="G82" s="76" t="str">
        <f>"""NAV Direct"",""CRONUS JetCorp USA"",""32"",""1"",""132492"""</f>
        <v>"NAV Direct","CRONUS JetCorp USA","32","1","132492"</v>
      </c>
      <c r="H82" s="86">
        <v>43466</v>
      </c>
      <c r="I82" s="85">
        <v>132492</v>
      </c>
      <c r="J82" s="84" t="str">
        <f>"Customer"</f>
        <v>Customer</v>
      </c>
      <c r="K82" s="84" t="str">
        <f>"C100040"</f>
        <v>C100040</v>
      </c>
      <c r="L82" s="84" t="str">
        <f>IF($J82="Customer",_xll.NL("first",$J82,"Name","No.","@@"&amp;$K82),"")</f>
        <v>Guildford Water Department</v>
      </c>
      <c r="M82" s="84" t="str">
        <f>""</f>
        <v/>
      </c>
      <c r="N82" s="84" t="str">
        <f>IF($J82="Item",_xll.NL("first",$J82,"Description","No.","@@"&amp;$K82),"")</f>
        <v/>
      </c>
      <c r="O82" s="83">
        <v>0</v>
      </c>
      <c r="P82" s="83">
        <v>-144</v>
      </c>
      <c r="Q82" s="83">
        <v>0</v>
      </c>
      <c r="R82" s="83">
        <v>0</v>
      </c>
      <c r="S82" s="83">
        <v>0</v>
      </c>
      <c r="T82" s="83">
        <v>0</v>
      </c>
      <c r="U82" s="82"/>
    </row>
    <row r="83" spans="1:21" ht="17.25" customHeight="1" x14ac:dyDescent="0.3">
      <c r="A83" s="66" t="s">
        <v>30</v>
      </c>
      <c r="C83" s="67"/>
      <c r="D83" s="77" t="str">
        <f t="shared" ref="D83:D84" si="45">D82</f>
        <v>C100018</v>
      </c>
      <c r="E83" s="77"/>
      <c r="F83" s="76"/>
      <c r="G83" s="76" t="str">
        <f>"""NAV Direct"",""CRONUS JetCorp USA"",""32"",""1"",""166761"""</f>
        <v>"NAV Direct","CRONUS JetCorp USA","32","1","166761"</v>
      </c>
      <c r="H83" s="86">
        <v>43466</v>
      </c>
      <c r="I83" s="85">
        <v>166761</v>
      </c>
      <c r="J83" s="84" t="str">
        <f>"Vendor"</f>
        <v>Vendor</v>
      </c>
      <c r="K83" s="84" t="str">
        <f>"V100007"</f>
        <v>V100007</v>
      </c>
      <c r="L83" s="84" t="str">
        <f>IF($J83="Customer",_xll.NL("first",$J83,"Name","No.","@@"&amp;$K83),"")</f>
        <v/>
      </c>
      <c r="M83" s="84" t="str">
        <f>"TrendTech"</f>
        <v>TrendTech</v>
      </c>
      <c r="N83" s="84" t="str">
        <f>IF($J83="Item",_xll.NL("first",$J83,"Description","No.","@@"&amp;$K83),"")</f>
        <v/>
      </c>
      <c r="O83" s="83">
        <v>200</v>
      </c>
      <c r="P83" s="83">
        <v>0</v>
      </c>
      <c r="Q83" s="83">
        <v>0</v>
      </c>
      <c r="R83" s="83">
        <v>0</v>
      </c>
      <c r="S83" s="83">
        <v>0</v>
      </c>
      <c r="T83" s="83">
        <v>0</v>
      </c>
      <c r="U83" s="82"/>
    </row>
    <row r="84" spans="1:21" ht="17.25" customHeight="1" x14ac:dyDescent="0.3">
      <c r="A84" s="66" t="s">
        <v>30</v>
      </c>
      <c r="C84" s="67"/>
      <c r="D84" s="77" t="str">
        <f t="shared" si="45"/>
        <v>C100018</v>
      </c>
      <c r="E84" s="77"/>
      <c r="F84" s="76"/>
      <c r="G84" s="76" t="str">
        <f>"""NAV Direct"",""CRONUS JetCorp USA"",""32"",""1"",""30056"""</f>
        <v>"NAV Direct","CRONUS JetCorp USA","32","1","30056"</v>
      </c>
      <c r="H84" s="86">
        <v>43474</v>
      </c>
      <c r="I84" s="85">
        <v>30056</v>
      </c>
      <c r="J84" s="84" t="str">
        <f>"Customer"</f>
        <v>Customer</v>
      </c>
      <c r="K84" s="84" t="str">
        <f>"C100086"</f>
        <v>C100086</v>
      </c>
      <c r="L84" s="84" t="str">
        <f>IF($J84="Customer",_xll.NL("first",$J84,"Name","No.","@@"&amp;$K84),"")</f>
        <v>Top Action Sports</v>
      </c>
      <c r="M84" s="84" t="str">
        <f>""</f>
        <v/>
      </c>
      <c r="N84" s="84" t="str">
        <f>IF($J84="Item",_xll.NL("first",$J84,"Description","No.","@@"&amp;$K84),"")</f>
        <v/>
      </c>
      <c r="O84" s="83">
        <v>0</v>
      </c>
      <c r="P84" s="83">
        <v>-168</v>
      </c>
      <c r="Q84" s="83">
        <v>0</v>
      </c>
      <c r="R84" s="83">
        <v>0</v>
      </c>
      <c r="S84" s="83">
        <v>0</v>
      </c>
      <c r="T84" s="83">
        <v>0</v>
      </c>
      <c r="U84" s="82"/>
    </row>
    <row r="85" spans="1:21" ht="17.25" customHeight="1" x14ac:dyDescent="0.3">
      <c r="A85" s="66" t="s">
        <v>30</v>
      </c>
      <c r="C85" s="67"/>
      <c r="D85" s="77"/>
      <c r="E85" s="77"/>
      <c r="F85" s="76"/>
      <c r="G85" s="76"/>
      <c r="H85" s="76"/>
      <c r="I85" s="76"/>
      <c r="J85" s="76"/>
      <c r="K85" s="76"/>
      <c r="L85" s="76"/>
      <c r="M85" s="76"/>
      <c r="N85" s="76"/>
      <c r="O85" s="75"/>
      <c r="P85" s="75"/>
      <c r="Q85" s="75"/>
      <c r="R85" s="75"/>
      <c r="S85" s="75"/>
      <c r="T85" s="75"/>
      <c r="U85" s="74"/>
    </row>
    <row r="86" spans="1:21" ht="17.25" customHeight="1" x14ac:dyDescent="0.3">
      <c r="A86" s="66" t="s">
        <v>30</v>
      </c>
      <c r="C86" s="67"/>
      <c r="D86" s="77"/>
      <c r="E86" s="77" t="s">
        <v>31</v>
      </c>
      <c r="F86" s="76" t="s">
        <v>31</v>
      </c>
      <c r="G86" s="76" t="s">
        <v>31</v>
      </c>
      <c r="H86" s="76"/>
      <c r="I86" s="76"/>
      <c r="J86" s="76" t="s">
        <v>31</v>
      </c>
      <c r="K86" s="76" t="s">
        <v>31</v>
      </c>
      <c r="L86" s="76" t="s">
        <v>31</v>
      </c>
      <c r="M86" s="76" t="s">
        <v>31</v>
      </c>
      <c r="N86" s="76"/>
      <c r="U86" s="81"/>
    </row>
    <row r="87" spans="1:21" ht="20.25" customHeight="1" x14ac:dyDescent="0.35">
      <c r="A87" s="66" t="s">
        <v>30</v>
      </c>
      <c r="C87" s="67"/>
      <c r="D87" s="92" t="str">
        <f t="shared" ref="D87" si="46">E87</f>
        <v>C100019</v>
      </c>
      <c r="E87" s="91" t="str">
        <f>"C100019"</f>
        <v>C100019</v>
      </c>
      <c r="F87" s="89" t="str">
        <f>"Black Duffel Bag"</f>
        <v>Black Duffel Bag</v>
      </c>
      <c r="G87" s="89"/>
      <c r="H87" s="90" t="str">
        <f>"EA"</f>
        <v>EA</v>
      </c>
      <c r="I87" s="89"/>
      <c r="J87" s="89"/>
      <c r="K87" s="89"/>
      <c r="L87" s="89"/>
      <c r="M87" s="89"/>
      <c r="N87" s="89"/>
      <c r="O87" s="88">
        <f>(SUBTOTAL(9,O88:O93))</f>
        <v>400</v>
      </c>
      <c r="P87" s="88">
        <f>(SUBTOTAL(9,P88:P93))</f>
        <v>-528</v>
      </c>
      <c r="Q87" s="88">
        <f>(SUBTOTAL(9,Q88:Q93))</f>
        <v>0</v>
      </c>
      <c r="R87" s="88">
        <f>(SUBTOTAL(9,R88:R93))</f>
        <v>0</v>
      </c>
      <c r="S87" s="88">
        <f>(SUBTOTAL(9,S88:S93))</f>
        <v>0</v>
      </c>
      <c r="T87" s="88">
        <f>(SUBTOTAL(9,T88:T93))</f>
        <v>0</v>
      </c>
      <c r="U87" s="87">
        <f t="shared" ref="U87" si="47">SUBTOTAL(9,O88:T93)</f>
        <v>-128</v>
      </c>
    </row>
    <row r="88" spans="1:21" ht="17.25" customHeight="1" x14ac:dyDescent="0.3">
      <c r="A88" s="66" t="s">
        <v>30</v>
      </c>
      <c r="C88" s="67"/>
      <c r="D88" s="77" t="str">
        <f t="shared" ref="D88" si="48">D87</f>
        <v>C100019</v>
      </c>
      <c r="E88" s="77"/>
      <c r="F88" s="76"/>
      <c r="G88" s="76" t="str">
        <f>"""NAV Direct"",""CRONUS JetCorp USA"",""32"",""1"",""132491"""</f>
        <v>"NAV Direct","CRONUS JetCorp USA","32","1","132491"</v>
      </c>
      <c r="H88" s="86">
        <v>43466</v>
      </c>
      <c r="I88" s="85">
        <v>132491</v>
      </c>
      <c r="J88" s="84" t="str">
        <f>"Customer"</f>
        <v>Customer</v>
      </c>
      <c r="K88" s="84" t="str">
        <f>"C100040"</f>
        <v>C100040</v>
      </c>
      <c r="L88" s="84" t="str">
        <f>IF($J88="Customer",_xll.NL("first",$J88,"Name","No.","@@"&amp;$K88),"")</f>
        <v>Guildford Water Department</v>
      </c>
      <c r="M88" s="84" t="str">
        <f>""</f>
        <v/>
      </c>
      <c r="N88" s="84" t="str">
        <f>IF($J88="Item",_xll.NL("first",$J88,"Description","No.","@@"&amp;$K88),"")</f>
        <v/>
      </c>
      <c r="O88" s="83">
        <v>0</v>
      </c>
      <c r="P88" s="83">
        <v>-144</v>
      </c>
      <c r="Q88" s="83">
        <v>0</v>
      </c>
      <c r="R88" s="83">
        <v>0</v>
      </c>
      <c r="S88" s="83">
        <v>0</v>
      </c>
      <c r="T88" s="83">
        <v>0</v>
      </c>
      <c r="U88" s="82"/>
    </row>
    <row r="89" spans="1:21" ht="17.25" customHeight="1" x14ac:dyDescent="0.3">
      <c r="A89" s="66" t="s">
        <v>30</v>
      </c>
      <c r="C89" s="67"/>
      <c r="D89" s="77" t="str">
        <f t="shared" ref="D89:D92" si="49">D88</f>
        <v>C100019</v>
      </c>
      <c r="E89" s="77"/>
      <c r="F89" s="76"/>
      <c r="G89" s="76" t="str">
        <f>"""NAV Direct"",""CRONUS JetCorp USA"",""32"",""1"",""166760"""</f>
        <v>"NAV Direct","CRONUS JetCorp USA","32","1","166760"</v>
      </c>
      <c r="H89" s="86">
        <v>43466</v>
      </c>
      <c r="I89" s="85">
        <v>166760</v>
      </c>
      <c r="J89" s="84" t="str">
        <f>"Vendor"</f>
        <v>Vendor</v>
      </c>
      <c r="K89" s="84" t="str">
        <f>"V100007"</f>
        <v>V100007</v>
      </c>
      <c r="L89" s="84" t="str">
        <f>IF($J89="Customer",_xll.NL("first",$J89,"Name","No.","@@"&amp;$K89),"")</f>
        <v/>
      </c>
      <c r="M89" s="84" t="str">
        <f>"TrendTech"</f>
        <v>TrendTech</v>
      </c>
      <c r="N89" s="84" t="str">
        <f>IF($J89="Item",_xll.NL("first",$J89,"Description","No.","@@"&amp;$K89),"")</f>
        <v/>
      </c>
      <c r="O89" s="83">
        <v>400</v>
      </c>
      <c r="P89" s="83">
        <v>0</v>
      </c>
      <c r="Q89" s="83">
        <v>0</v>
      </c>
      <c r="R89" s="83">
        <v>0</v>
      </c>
      <c r="S89" s="83">
        <v>0</v>
      </c>
      <c r="T89" s="83">
        <v>0</v>
      </c>
      <c r="U89" s="82"/>
    </row>
    <row r="90" spans="1:21" ht="17.25" customHeight="1" x14ac:dyDescent="0.3">
      <c r="A90" s="66" t="s">
        <v>30</v>
      </c>
      <c r="C90" s="67"/>
      <c r="D90" s="77" t="str">
        <f t="shared" si="49"/>
        <v>C100019</v>
      </c>
      <c r="E90" s="77"/>
      <c r="F90" s="76"/>
      <c r="G90" s="76" t="str">
        <f>"""NAV Direct"",""CRONUS JetCorp USA"",""32"",""1"",""30044"""</f>
        <v>"NAV Direct","CRONUS JetCorp USA","32","1","30044"</v>
      </c>
      <c r="H90" s="86">
        <v>43474</v>
      </c>
      <c r="I90" s="85">
        <v>30044</v>
      </c>
      <c r="J90" s="84" t="str">
        <f>"Customer"</f>
        <v>Customer</v>
      </c>
      <c r="K90" s="84" t="str">
        <f>"C100086"</f>
        <v>C100086</v>
      </c>
      <c r="L90" s="84" t="str">
        <f>IF($J90="Customer",_xll.NL("first",$J90,"Name","No.","@@"&amp;$K90),"")</f>
        <v>Top Action Sports</v>
      </c>
      <c r="M90" s="84" t="str">
        <f>""</f>
        <v/>
      </c>
      <c r="N90" s="84" t="str">
        <f>IF($J90="Item",_xll.NL("first",$J90,"Description","No.","@@"&amp;$K90),"")</f>
        <v/>
      </c>
      <c r="O90" s="83">
        <v>0</v>
      </c>
      <c r="P90" s="83">
        <v>-192</v>
      </c>
      <c r="Q90" s="83">
        <v>0</v>
      </c>
      <c r="R90" s="83">
        <v>0</v>
      </c>
      <c r="S90" s="83">
        <v>0</v>
      </c>
      <c r="T90" s="83">
        <v>0</v>
      </c>
      <c r="U90" s="82"/>
    </row>
    <row r="91" spans="1:21" ht="17.25" customHeight="1" x14ac:dyDescent="0.3">
      <c r="A91" s="66" t="s">
        <v>30</v>
      </c>
      <c r="C91" s="67"/>
      <c r="D91" s="77" t="str">
        <f t="shared" si="49"/>
        <v>C100019</v>
      </c>
      <c r="E91" s="77"/>
      <c r="F91" s="76"/>
      <c r="G91" s="76" t="str">
        <f>"""NAV Direct"",""CRONUS JetCorp USA"",""32"",""1"",""30055"""</f>
        <v>"NAV Direct","CRONUS JetCorp USA","32","1","30055"</v>
      </c>
      <c r="H91" s="86">
        <v>43474</v>
      </c>
      <c r="I91" s="85">
        <v>30055</v>
      </c>
      <c r="J91" s="84" t="str">
        <f>"Customer"</f>
        <v>Customer</v>
      </c>
      <c r="K91" s="84" t="str">
        <f>"C100086"</f>
        <v>C100086</v>
      </c>
      <c r="L91" s="84" t="str">
        <f>IF($J91="Customer",_xll.NL("first",$J91,"Name","No.","@@"&amp;$K91),"")</f>
        <v>Top Action Sports</v>
      </c>
      <c r="M91" s="84" t="str">
        <f>""</f>
        <v/>
      </c>
      <c r="N91" s="84" t="str">
        <f>IF($J91="Item",_xll.NL("first",$J91,"Description","No.","@@"&amp;$K91),"")</f>
        <v/>
      </c>
      <c r="O91" s="83">
        <v>0</v>
      </c>
      <c r="P91" s="83">
        <v>-144</v>
      </c>
      <c r="Q91" s="83">
        <v>0</v>
      </c>
      <c r="R91" s="83">
        <v>0</v>
      </c>
      <c r="S91" s="83">
        <v>0</v>
      </c>
      <c r="T91" s="83">
        <v>0</v>
      </c>
      <c r="U91" s="82"/>
    </row>
    <row r="92" spans="1:21" ht="17.25" customHeight="1" x14ac:dyDescent="0.3">
      <c r="A92" s="66" t="s">
        <v>30</v>
      </c>
      <c r="C92" s="67"/>
      <c r="D92" s="77" t="str">
        <f t="shared" si="49"/>
        <v>C100019</v>
      </c>
      <c r="E92" s="77"/>
      <c r="F92" s="76"/>
      <c r="G92" s="76" t="str">
        <f>"""NAV Direct"",""CRONUS JetCorp USA"",""32"",""1"",""124584"""</f>
        <v>"NAV Direct","CRONUS JetCorp USA","32","1","124584"</v>
      </c>
      <c r="H92" s="86">
        <v>43475</v>
      </c>
      <c r="I92" s="85">
        <v>124584</v>
      </c>
      <c r="J92" s="84" t="str">
        <f>"Customer"</f>
        <v>Customer</v>
      </c>
      <c r="K92" s="84" t="str">
        <f>"C100035"</f>
        <v>C100035</v>
      </c>
      <c r="L92" s="84" t="str">
        <f>IF($J92="Customer",_xll.NL("first",$J92,"Name","No.","@@"&amp;$K92),"")</f>
        <v>First Touch Marketing</v>
      </c>
      <c r="M92" s="84" t="str">
        <f>""</f>
        <v/>
      </c>
      <c r="N92" s="84" t="str">
        <f>IF($J92="Item",_xll.NL("first",$J92,"Description","No.","@@"&amp;$K92),"")</f>
        <v/>
      </c>
      <c r="O92" s="83">
        <v>0</v>
      </c>
      <c r="P92" s="83">
        <v>-48</v>
      </c>
      <c r="Q92" s="83">
        <v>0</v>
      </c>
      <c r="R92" s="83">
        <v>0</v>
      </c>
      <c r="S92" s="83">
        <v>0</v>
      </c>
      <c r="T92" s="83">
        <v>0</v>
      </c>
      <c r="U92" s="82"/>
    </row>
    <row r="93" spans="1:21" ht="17.25" customHeight="1" x14ac:dyDescent="0.3">
      <c r="A93" s="66" t="s">
        <v>30</v>
      </c>
      <c r="C93" s="67"/>
      <c r="D93" s="77"/>
      <c r="E93" s="77"/>
      <c r="F93" s="76"/>
      <c r="G93" s="76"/>
      <c r="H93" s="76"/>
      <c r="I93" s="76"/>
      <c r="J93" s="76"/>
      <c r="K93" s="76"/>
      <c r="L93" s="76"/>
      <c r="M93" s="76"/>
      <c r="N93" s="76"/>
      <c r="O93" s="75"/>
      <c r="P93" s="75"/>
      <c r="Q93" s="75"/>
      <c r="R93" s="75"/>
      <c r="S93" s="75"/>
      <c r="T93" s="75"/>
      <c r="U93" s="74"/>
    </row>
    <row r="94" spans="1:21" ht="17.25" customHeight="1" x14ac:dyDescent="0.3">
      <c r="A94" s="66" t="s">
        <v>30</v>
      </c>
      <c r="C94" s="67"/>
      <c r="D94" s="77"/>
      <c r="E94" s="77" t="s">
        <v>31</v>
      </c>
      <c r="F94" s="76" t="s">
        <v>31</v>
      </c>
      <c r="G94" s="76" t="s">
        <v>31</v>
      </c>
      <c r="H94" s="76"/>
      <c r="I94" s="76"/>
      <c r="J94" s="76" t="s">
        <v>31</v>
      </c>
      <c r="K94" s="76" t="s">
        <v>31</v>
      </c>
      <c r="L94" s="76" t="s">
        <v>31</v>
      </c>
      <c r="M94" s="76" t="s">
        <v>31</v>
      </c>
      <c r="N94" s="76"/>
      <c r="U94" s="81"/>
    </row>
    <row r="95" spans="1:21" ht="20.25" customHeight="1" x14ac:dyDescent="0.35">
      <c r="A95" s="66" t="s">
        <v>30</v>
      </c>
      <c r="C95" s="67"/>
      <c r="D95" s="92" t="str">
        <f t="shared" ref="D95" si="50">E95</f>
        <v>C100020</v>
      </c>
      <c r="E95" s="91" t="str">
        <f>"C100020"</f>
        <v>C100020</v>
      </c>
      <c r="F95" s="89" t="str">
        <f>"Gym Locker Bag"</f>
        <v>Gym Locker Bag</v>
      </c>
      <c r="G95" s="89"/>
      <c r="H95" s="90" t="str">
        <f>"EA"</f>
        <v>EA</v>
      </c>
      <c r="I95" s="89"/>
      <c r="J95" s="89"/>
      <c r="K95" s="89"/>
      <c r="L95" s="89"/>
      <c r="M95" s="89"/>
      <c r="N95" s="89"/>
      <c r="O95" s="88">
        <f>(SUBTOTAL(9,O96:O100))</f>
        <v>800</v>
      </c>
      <c r="P95" s="88">
        <f>(SUBTOTAL(9,P96:P100))</f>
        <v>-480</v>
      </c>
      <c r="Q95" s="88">
        <f>(SUBTOTAL(9,Q96:Q100))</f>
        <v>0</v>
      </c>
      <c r="R95" s="88">
        <f>(SUBTOTAL(9,R96:R100))</f>
        <v>0</v>
      </c>
      <c r="S95" s="88">
        <f>(SUBTOTAL(9,S96:S100))</f>
        <v>0</v>
      </c>
      <c r="T95" s="88">
        <f>(SUBTOTAL(9,T96:T100))</f>
        <v>0</v>
      </c>
      <c r="U95" s="87">
        <f t="shared" ref="U95" si="51">SUBTOTAL(9,O96:T100)</f>
        <v>320</v>
      </c>
    </row>
    <row r="96" spans="1:21" ht="17.25" customHeight="1" x14ac:dyDescent="0.3">
      <c r="A96" s="66" t="s">
        <v>30</v>
      </c>
      <c r="C96" s="67"/>
      <c r="D96" s="77" t="str">
        <f t="shared" ref="D96" si="52">D95</f>
        <v>C100020</v>
      </c>
      <c r="E96" s="77"/>
      <c r="F96" s="76"/>
      <c r="G96" s="76" t="str">
        <f>"""NAV Direct"",""CRONUS JetCorp USA"",""32"",""1"",""166759"""</f>
        <v>"NAV Direct","CRONUS JetCorp USA","32","1","166759"</v>
      </c>
      <c r="H96" s="86">
        <v>43466</v>
      </c>
      <c r="I96" s="85">
        <v>166759</v>
      </c>
      <c r="J96" s="84" t="str">
        <f>"Vendor"</f>
        <v>Vendor</v>
      </c>
      <c r="K96" s="84" t="str">
        <f>"V100007"</f>
        <v>V100007</v>
      </c>
      <c r="L96" s="84" t="str">
        <f>IF($J96="Customer",_xll.NL("first",$J96,"Name","No.","@@"&amp;$K96),"")</f>
        <v/>
      </c>
      <c r="M96" s="84" t="str">
        <f>"TrendTech"</f>
        <v>TrendTech</v>
      </c>
      <c r="N96" s="84" t="str">
        <f>IF($J96="Item",_xll.NL("first",$J96,"Description","No.","@@"&amp;$K96),"")</f>
        <v/>
      </c>
      <c r="O96" s="83">
        <v>800</v>
      </c>
      <c r="P96" s="83">
        <v>0</v>
      </c>
      <c r="Q96" s="83">
        <v>0</v>
      </c>
      <c r="R96" s="83">
        <v>0</v>
      </c>
      <c r="S96" s="83">
        <v>0</v>
      </c>
      <c r="T96" s="83">
        <v>0</v>
      </c>
      <c r="U96" s="82"/>
    </row>
    <row r="97" spans="1:21" ht="17.25" customHeight="1" x14ac:dyDescent="0.3">
      <c r="A97" s="66" t="s">
        <v>30</v>
      </c>
      <c r="C97" s="67"/>
      <c r="D97" s="77" t="str">
        <f t="shared" ref="D97:D99" si="53">D96</f>
        <v>C100020</v>
      </c>
      <c r="E97" s="77"/>
      <c r="F97" s="76"/>
      <c r="G97" s="76" t="str">
        <f>"""NAV Direct"",""CRONUS JetCorp USA"",""32"",""1"",""124513"""</f>
        <v>"NAV Direct","CRONUS JetCorp USA","32","1","124513"</v>
      </c>
      <c r="H97" s="86">
        <v>43470</v>
      </c>
      <c r="I97" s="85">
        <v>124513</v>
      </c>
      <c r="J97" s="84" t="str">
        <f>"Customer"</f>
        <v>Customer</v>
      </c>
      <c r="K97" s="84" t="str">
        <f>"C100025"</f>
        <v>C100025</v>
      </c>
      <c r="L97" s="84" t="str">
        <f>IF($J97="Customer",_xll.NL("first",$J97,"Name","No.","@@"&amp;$K97),"")</f>
        <v>Derringers Resturants</v>
      </c>
      <c r="M97" s="84" t="str">
        <f>""</f>
        <v/>
      </c>
      <c r="N97" s="84" t="str">
        <f>IF($J97="Item",_xll.NL("first",$J97,"Description","No.","@@"&amp;$K97),"")</f>
        <v/>
      </c>
      <c r="O97" s="83">
        <v>0</v>
      </c>
      <c r="P97" s="83">
        <v>-48</v>
      </c>
      <c r="Q97" s="83">
        <v>0</v>
      </c>
      <c r="R97" s="83">
        <v>0</v>
      </c>
      <c r="S97" s="83">
        <v>0</v>
      </c>
      <c r="T97" s="83">
        <v>0</v>
      </c>
      <c r="U97" s="82"/>
    </row>
    <row r="98" spans="1:21" ht="17.25" customHeight="1" x14ac:dyDescent="0.3">
      <c r="A98" s="66" t="s">
        <v>30</v>
      </c>
      <c r="C98" s="67"/>
      <c r="D98" s="77" t="str">
        <f t="shared" si="53"/>
        <v>C100020</v>
      </c>
      <c r="E98" s="77"/>
      <c r="F98" s="76"/>
      <c r="G98" s="76" t="str">
        <f>"""NAV Direct"",""CRONUS JetCorp USA"",""32"",""1"",""30046"""</f>
        <v>"NAV Direct","CRONUS JetCorp USA","32","1","30046"</v>
      </c>
      <c r="H98" s="86">
        <v>43474</v>
      </c>
      <c r="I98" s="85">
        <v>30046</v>
      </c>
      <c r="J98" s="84" t="str">
        <f>"Customer"</f>
        <v>Customer</v>
      </c>
      <c r="K98" s="84" t="str">
        <f>"C100086"</f>
        <v>C100086</v>
      </c>
      <c r="L98" s="84" t="str">
        <f>IF($J98="Customer",_xll.NL("first",$J98,"Name","No.","@@"&amp;$K98),"")</f>
        <v>Top Action Sports</v>
      </c>
      <c r="M98" s="84" t="str">
        <f>""</f>
        <v/>
      </c>
      <c r="N98" s="84" t="str">
        <f>IF($J98="Item",_xll.NL("first",$J98,"Description","No.","@@"&amp;$K98),"")</f>
        <v/>
      </c>
      <c r="O98" s="83">
        <v>0</v>
      </c>
      <c r="P98" s="83">
        <v>-144</v>
      </c>
      <c r="Q98" s="83">
        <v>0</v>
      </c>
      <c r="R98" s="83">
        <v>0</v>
      </c>
      <c r="S98" s="83">
        <v>0</v>
      </c>
      <c r="T98" s="83">
        <v>0</v>
      </c>
      <c r="U98" s="82"/>
    </row>
    <row r="99" spans="1:21" ht="17.25" customHeight="1" x14ac:dyDescent="0.3">
      <c r="A99" s="66" t="s">
        <v>30</v>
      </c>
      <c r="C99" s="67"/>
      <c r="D99" s="77" t="str">
        <f t="shared" si="53"/>
        <v>C100020</v>
      </c>
      <c r="E99" s="77"/>
      <c r="F99" s="76"/>
      <c r="G99" s="76" t="str">
        <f>"""NAV Direct"",""CRONUS JetCorp USA"",""32"",""1"",""124583"""</f>
        <v>"NAV Direct","CRONUS JetCorp USA","32","1","124583"</v>
      </c>
      <c r="H99" s="86">
        <v>43475</v>
      </c>
      <c r="I99" s="85">
        <v>124583</v>
      </c>
      <c r="J99" s="84" t="str">
        <f>"Customer"</f>
        <v>Customer</v>
      </c>
      <c r="K99" s="84" t="str">
        <f>"C100035"</f>
        <v>C100035</v>
      </c>
      <c r="L99" s="84" t="str">
        <f>IF($J99="Customer",_xll.NL("first",$J99,"Name","No.","@@"&amp;$K99),"")</f>
        <v>First Touch Marketing</v>
      </c>
      <c r="M99" s="84" t="str">
        <f>""</f>
        <v/>
      </c>
      <c r="N99" s="84" t="str">
        <f>IF($J99="Item",_xll.NL("first",$J99,"Description","No.","@@"&amp;$K99),"")</f>
        <v/>
      </c>
      <c r="O99" s="83">
        <v>0</v>
      </c>
      <c r="P99" s="83">
        <v>-288</v>
      </c>
      <c r="Q99" s="83">
        <v>0</v>
      </c>
      <c r="R99" s="83">
        <v>0</v>
      </c>
      <c r="S99" s="83">
        <v>0</v>
      </c>
      <c r="T99" s="83">
        <v>0</v>
      </c>
      <c r="U99" s="82"/>
    </row>
    <row r="100" spans="1:21" ht="17.25" customHeight="1" x14ac:dyDescent="0.3">
      <c r="A100" s="66" t="s">
        <v>30</v>
      </c>
      <c r="C100" s="67"/>
      <c r="D100" s="77"/>
      <c r="E100" s="77"/>
      <c r="F100" s="76"/>
      <c r="G100" s="76"/>
      <c r="H100" s="76"/>
      <c r="I100" s="76"/>
      <c r="J100" s="76"/>
      <c r="K100" s="76"/>
      <c r="L100" s="76"/>
      <c r="M100" s="76"/>
      <c r="N100" s="76"/>
      <c r="O100" s="75"/>
      <c r="P100" s="75"/>
      <c r="Q100" s="75"/>
      <c r="R100" s="75"/>
      <c r="S100" s="75"/>
      <c r="T100" s="75"/>
      <c r="U100" s="74"/>
    </row>
    <row r="101" spans="1:21" ht="17.25" customHeight="1" x14ac:dyDescent="0.3">
      <c r="A101" s="66" t="s">
        <v>30</v>
      </c>
      <c r="C101" s="67"/>
      <c r="D101" s="77"/>
      <c r="E101" s="77" t="s">
        <v>31</v>
      </c>
      <c r="F101" s="76" t="s">
        <v>31</v>
      </c>
      <c r="G101" s="76" t="s">
        <v>31</v>
      </c>
      <c r="H101" s="76"/>
      <c r="I101" s="76"/>
      <c r="J101" s="76" t="s">
        <v>31</v>
      </c>
      <c r="K101" s="76" t="s">
        <v>31</v>
      </c>
      <c r="L101" s="76" t="s">
        <v>31</v>
      </c>
      <c r="M101" s="76" t="s">
        <v>31</v>
      </c>
      <c r="N101" s="76"/>
      <c r="U101" s="81"/>
    </row>
    <row r="102" spans="1:21" ht="20.25" customHeight="1" x14ac:dyDescent="0.35">
      <c r="A102" s="66" t="s">
        <v>30</v>
      </c>
      <c r="C102" s="67"/>
      <c r="D102" s="92" t="str">
        <f t="shared" ref="D102" si="54">E102</f>
        <v>C100021</v>
      </c>
      <c r="E102" s="91" t="str">
        <f>"C100021"</f>
        <v>C100021</v>
      </c>
      <c r="F102" s="89" t="str">
        <f>"Canvas Boat Bag"</f>
        <v>Canvas Boat Bag</v>
      </c>
      <c r="G102" s="89"/>
      <c r="H102" s="90" t="str">
        <f>"EA"</f>
        <v>EA</v>
      </c>
      <c r="I102" s="89"/>
      <c r="J102" s="89"/>
      <c r="K102" s="89"/>
      <c r="L102" s="89"/>
      <c r="M102" s="89"/>
      <c r="N102" s="89"/>
      <c r="O102" s="88">
        <f>(SUBTOTAL(9,O103:O106))</f>
        <v>400</v>
      </c>
      <c r="P102" s="88">
        <f>(SUBTOTAL(9,P103:P106))</f>
        <v>-168</v>
      </c>
      <c r="Q102" s="88">
        <f>(SUBTOTAL(9,Q103:Q106))</f>
        <v>0</v>
      </c>
      <c r="R102" s="88">
        <f>(SUBTOTAL(9,R103:R106))</f>
        <v>0</v>
      </c>
      <c r="S102" s="88">
        <f>(SUBTOTAL(9,S103:S106))</f>
        <v>0</v>
      </c>
      <c r="T102" s="88">
        <f>(SUBTOTAL(9,T103:T106))</f>
        <v>0</v>
      </c>
      <c r="U102" s="87">
        <f t="shared" ref="U102" si="55">SUBTOTAL(9,O103:T106)</f>
        <v>232</v>
      </c>
    </row>
    <row r="103" spans="1:21" ht="17.25" customHeight="1" x14ac:dyDescent="0.3">
      <c r="A103" s="66" t="s">
        <v>30</v>
      </c>
      <c r="C103" s="67"/>
      <c r="D103" s="77" t="str">
        <f t="shared" ref="D103" si="56">D102</f>
        <v>C100021</v>
      </c>
      <c r="E103" s="77"/>
      <c r="F103" s="76"/>
      <c r="G103" s="76" t="str">
        <f>"""NAV Direct"",""CRONUS JetCorp USA"",""32"",""1"",""132494"""</f>
        <v>"NAV Direct","CRONUS JetCorp USA","32","1","132494"</v>
      </c>
      <c r="H103" s="86">
        <v>43466</v>
      </c>
      <c r="I103" s="85">
        <v>132494</v>
      </c>
      <c r="J103" s="84" t="str">
        <f>"Customer"</f>
        <v>Customer</v>
      </c>
      <c r="K103" s="84" t="str">
        <f>"C100040"</f>
        <v>C100040</v>
      </c>
      <c r="L103" s="84" t="str">
        <f>IF($J103="Customer",_xll.NL("first",$J103,"Name","No.","@@"&amp;$K103),"")</f>
        <v>Guildford Water Department</v>
      </c>
      <c r="M103" s="84" t="str">
        <f>""</f>
        <v/>
      </c>
      <c r="N103" s="84" t="str">
        <f>IF($J103="Item",_xll.NL("first",$J103,"Description","No.","@@"&amp;$K103),"")</f>
        <v/>
      </c>
      <c r="O103" s="83">
        <v>0</v>
      </c>
      <c r="P103" s="83">
        <v>-144</v>
      </c>
      <c r="Q103" s="83">
        <v>0</v>
      </c>
      <c r="R103" s="83">
        <v>0</v>
      </c>
      <c r="S103" s="83">
        <v>0</v>
      </c>
      <c r="T103" s="83">
        <v>0</v>
      </c>
      <c r="U103" s="82"/>
    </row>
    <row r="104" spans="1:21" ht="17.25" customHeight="1" x14ac:dyDescent="0.3">
      <c r="A104" s="66" t="s">
        <v>30</v>
      </c>
      <c r="C104" s="67"/>
      <c r="D104" s="77" t="str">
        <f t="shared" ref="D104:D105" si="57">D103</f>
        <v>C100021</v>
      </c>
      <c r="E104" s="77"/>
      <c r="F104" s="76"/>
      <c r="G104" s="76" t="str">
        <f>"""NAV Direct"",""CRONUS JetCorp USA"",""32"",""1"",""166758"""</f>
        <v>"NAV Direct","CRONUS JetCorp USA","32","1","166758"</v>
      </c>
      <c r="H104" s="86">
        <v>43466</v>
      </c>
      <c r="I104" s="85">
        <v>166758</v>
      </c>
      <c r="J104" s="84" t="str">
        <f>"Vendor"</f>
        <v>Vendor</v>
      </c>
      <c r="K104" s="84" t="str">
        <f>"V100007"</f>
        <v>V100007</v>
      </c>
      <c r="L104" s="84" t="str">
        <f>IF($J104="Customer",_xll.NL("first",$J104,"Name","No.","@@"&amp;$K104),"")</f>
        <v/>
      </c>
      <c r="M104" s="84" t="str">
        <f>"TrendTech"</f>
        <v>TrendTech</v>
      </c>
      <c r="N104" s="84" t="str">
        <f>IF($J104="Item",_xll.NL("first",$J104,"Description","No.","@@"&amp;$K104),"")</f>
        <v/>
      </c>
      <c r="O104" s="83">
        <v>400</v>
      </c>
      <c r="P104" s="83">
        <v>0</v>
      </c>
      <c r="Q104" s="83">
        <v>0</v>
      </c>
      <c r="R104" s="83">
        <v>0</v>
      </c>
      <c r="S104" s="83">
        <v>0</v>
      </c>
      <c r="T104" s="83">
        <v>0</v>
      </c>
      <c r="U104" s="82"/>
    </row>
    <row r="105" spans="1:21" ht="17.25" customHeight="1" x14ac:dyDescent="0.3">
      <c r="A105" s="66" t="s">
        <v>30</v>
      </c>
      <c r="C105" s="67"/>
      <c r="D105" s="77" t="str">
        <f t="shared" si="57"/>
        <v>C100021</v>
      </c>
      <c r="E105" s="77"/>
      <c r="F105" s="76"/>
      <c r="G105" s="76" t="str">
        <f>"""NAV Direct"",""CRONUS JetCorp USA"",""32"",""1"",""124517"""</f>
        <v>"NAV Direct","CRONUS JetCorp USA","32","1","124517"</v>
      </c>
      <c r="H105" s="86">
        <v>43470</v>
      </c>
      <c r="I105" s="85">
        <v>124517</v>
      </c>
      <c r="J105" s="84" t="str">
        <f>"Customer"</f>
        <v>Customer</v>
      </c>
      <c r="K105" s="84" t="str">
        <f>"C100025"</f>
        <v>C100025</v>
      </c>
      <c r="L105" s="84" t="str">
        <f>IF($J105="Customer",_xll.NL("first",$J105,"Name","No.","@@"&amp;$K105),"")</f>
        <v>Derringers Resturants</v>
      </c>
      <c r="M105" s="84" t="str">
        <f>""</f>
        <v/>
      </c>
      <c r="N105" s="84" t="str">
        <f>IF($J105="Item",_xll.NL("first",$J105,"Description","No.","@@"&amp;$K105),"")</f>
        <v/>
      </c>
      <c r="O105" s="83">
        <v>0</v>
      </c>
      <c r="P105" s="83">
        <v>-24</v>
      </c>
      <c r="Q105" s="83">
        <v>0</v>
      </c>
      <c r="R105" s="83">
        <v>0</v>
      </c>
      <c r="S105" s="83">
        <v>0</v>
      </c>
      <c r="T105" s="83">
        <v>0</v>
      </c>
      <c r="U105" s="82"/>
    </row>
    <row r="106" spans="1:21" ht="17.25" customHeight="1" x14ac:dyDescent="0.3">
      <c r="A106" s="66" t="s">
        <v>30</v>
      </c>
      <c r="C106" s="67"/>
      <c r="D106" s="77"/>
      <c r="E106" s="77"/>
      <c r="F106" s="76"/>
      <c r="G106" s="76"/>
      <c r="H106" s="76"/>
      <c r="I106" s="76"/>
      <c r="J106" s="76"/>
      <c r="K106" s="76"/>
      <c r="L106" s="76"/>
      <c r="M106" s="76"/>
      <c r="N106" s="76"/>
      <c r="O106" s="75"/>
      <c r="P106" s="75"/>
      <c r="Q106" s="75"/>
      <c r="R106" s="75"/>
      <c r="S106" s="75"/>
      <c r="T106" s="75"/>
      <c r="U106" s="74"/>
    </row>
    <row r="107" spans="1:21" ht="17.25" customHeight="1" x14ac:dyDescent="0.3">
      <c r="A107" s="66" t="s">
        <v>30</v>
      </c>
      <c r="C107" s="67"/>
      <c r="D107" s="77"/>
      <c r="E107" s="77" t="s">
        <v>31</v>
      </c>
      <c r="F107" s="76" t="s">
        <v>31</v>
      </c>
      <c r="G107" s="76" t="s">
        <v>31</v>
      </c>
      <c r="H107" s="76"/>
      <c r="I107" s="76"/>
      <c r="J107" s="76" t="s">
        <v>31</v>
      </c>
      <c r="K107" s="76" t="s">
        <v>31</v>
      </c>
      <c r="L107" s="76" t="s">
        <v>31</v>
      </c>
      <c r="M107" s="76" t="s">
        <v>31</v>
      </c>
      <c r="N107" s="76"/>
      <c r="U107" s="81"/>
    </row>
    <row r="108" spans="1:21" ht="20.25" customHeight="1" x14ac:dyDescent="0.35">
      <c r="A108" s="66" t="s">
        <v>30</v>
      </c>
      <c r="C108" s="67"/>
      <c r="D108" s="92" t="str">
        <f t="shared" ref="D108" si="58">E108</f>
        <v>C100022</v>
      </c>
      <c r="E108" s="91" t="str">
        <f>"C100022"</f>
        <v>C100022</v>
      </c>
      <c r="F108" s="89" t="str">
        <f>"Two-Toned Cap"</f>
        <v>Two-Toned Cap</v>
      </c>
      <c r="G108" s="89"/>
      <c r="H108" s="90" t="str">
        <f>"EA"</f>
        <v>EA</v>
      </c>
      <c r="I108" s="89"/>
      <c r="J108" s="89"/>
      <c r="K108" s="89"/>
      <c r="L108" s="89"/>
      <c r="M108" s="89"/>
      <c r="N108" s="89"/>
      <c r="O108" s="88">
        <f>(SUBTOTAL(9,O109:O112))</f>
        <v>400</v>
      </c>
      <c r="P108" s="88">
        <f>(SUBTOTAL(9,P109:P112))</f>
        <v>-145</v>
      </c>
      <c r="Q108" s="88">
        <f>(SUBTOTAL(9,Q109:Q112))</f>
        <v>0</v>
      </c>
      <c r="R108" s="88">
        <f>(SUBTOTAL(9,R109:R112))</f>
        <v>0</v>
      </c>
      <c r="S108" s="88">
        <f>(SUBTOTAL(9,S109:S112))</f>
        <v>0</v>
      </c>
      <c r="T108" s="88">
        <f>(SUBTOTAL(9,T109:T112))</f>
        <v>0</v>
      </c>
      <c r="U108" s="87">
        <f t="shared" ref="U108" si="59">SUBTOTAL(9,O109:T112)</f>
        <v>255</v>
      </c>
    </row>
    <row r="109" spans="1:21" ht="17.25" customHeight="1" x14ac:dyDescent="0.3">
      <c r="A109" s="66" t="s">
        <v>30</v>
      </c>
      <c r="C109" s="67"/>
      <c r="D109" s="77" t="str">
        <f t="shared" ref="D109" si="60">D108</f>
        <v>C100022</v>
      </c>
      <c r="E109" s="77"/>
      <c r="F109" s="76"/>
      <c r="G109" s="76" t="str">
        <f>"""NAV Direct"",""CRONUS JetCorp USA"",""32"",""1"",""132507"""</f>
        <v>"NAV Direct","CRONUS JetCorp USA","32","1","132507"</v>
      </c>
      <c r="H109" s="86">
        <v>43466</v>
      </c>
      <c r="I109" s="85">
        <v>132507</v>
      </c>
      <c r="J109" s="84" t="str">
        <f>"Customer"</f>
        <v>Customer</v>
      </c>
      <c r="K109" s="84" t="str">
        <f>"C100040"</f>
        <v>C100040</v>
      </c>
      <c r="L109" s="84" t="str">
        <f>IF($J109="Customer",_xll.NL("first",$J109,"Name","No.","@@"&amp;$K109),"")</f>
        <v>Guildford Water Department</v>
      </c>
      <c r="M109" s="84" t="str">
        <f>""</f>
        <v/>
      </c>
      <c r="N109" s="84" t="str">
        <f>IF($J109="Item",_xll.NL("first",$J109,"Description","No.","@@"&amp;$K109),"")</f>
        <v/>
      </c>
      <c r="O109" s="83">
        <v>0</v>
      </c>
      <c r="P109" s="83">
        <v>-1</v>
      </c>
      <c r="Q109" s="83">
        <v>0</v>
      </c>
      <c r="R109" s="83">
        <v>0</v>
      </c>
      <c r="S109" s="83">
        <v>0</v>
      </c>
      <c r="T109" s="83">
        <v>0</v>
      </c>
      <c r="U109" s="82"/>
    </row>
    <row r="110" spans="1:21" ht="17.25" customHeight="1" x14ac:dyDescent="0.3">
      <c r="A110" s="66" t="s">
        <v>30</v>
      </c>
      <c r="C110" s="67"/>
      <c r="D110" s="77" t="str">
        <f t="shared" ref="D110:D111" si="61">D109</f>
        <v>C100022</v>
      </c>
      <c r="E110" s="77"/>
      <c r="F110" s="76"/>
      <c r="G110" s="76" t="str">
        <f>"""NAV Direct"",""CRONUS JetCorp USA"",""32"",""1"",""167125"""</f>
        <v>"NAV Direct","CRONUS JetCorp USA","32","1","167125"</v>
      </c>
      <c r="H110" s="86">
        <v>43466</v>
      </c>
      <c r="I110" s="85">
        <v>167125</v>
      </c>
      <c r="J110" s="84" t="str">
        <f>"Vendor"</f>
        <v>Vendor</v>
      </c>
      <c r="K110" s="84" t="str">
        <f>"V100007"</f>
        <v>V100007</v>
      </c>
      <c r="L110" s="84" t="str">
        <f>IF($J110="Customer",_xll.NL("first",$J110,"Name","No.","@@"&amp;$K110),"")</f>
        <v/>
      </c>
      <c r="M110" s="84" t="str">
        <f>"TrendTech"</f>
        <v>TrendTech</v>
      </c>
      <c r="N110" s="84" t="str">
        <f>IF($J110="Item",_xll.NL("first",$J110,"Description","No.","@@"&amp;$K110),"")</f>
        <v/>
      </c>
      <c r="O110" s="83">
        <v>400</v>
      </c>
      <c r="P110" s="83">
        <v>0</v>
      </c>
      <c r="Q110" s="83">
        <v>0</v>
      </c>
      <c r="R110" s="83">
        <v>0</v>
      </c>
      <c r="S110" s="83">
        <v>0</v>
      </c>
      <c r="T110" s="83">
        <v>0</v>
      </c>
      <c r="U110" s="82"/>
    </row>
    <row r="111" spans="1:21" ht="17.25" customHeight="1" x14ac:dyDescent="0.3">
      <c r="A111" s="66" t="s">
        <v>30</v>
      </c>
      <c r="C111" s="67"/>
      <c r="D111" s="77" t="str">
        <f t="shared" si="61"/>
        <v>C100022</v>
      </c>
      <c r="E111" s="77"/>
      <c r="F111" s="76"/>
      <c r="G111" s="76" t="str">
        <f>"""NAV Direct"",""CRONUS JetCorp USA"",""32"",""1"",""124515"""</f>
        <v>"NAV Direct","CRONUS JetCorp USA","32","1","124515"</v>
      </c>
      <c r="H111" s="86">
        <v>43470</v>
      </c>
      <c r="I111" s="85">
        <v>124515</v>
      </c>
      <c r="J111" s="84" t="str">
        <f>"Customer"</f>
        <v>Customer</v>
      </c>
      <c r="K111" s="84" t="str">
        <f>"C100025"</f>
        <v>C100025</v>
      </c>
      <c r="L111" s="84" t="str">
        <f>IF($J111="Customer",_xll.NL("first",$J111,"Name","No.","@@"&amp;$K111),"")</f>
        <v>Derringers Resturants</v>
      </c>
      <c r="M111" s="84" t="str">
        <f>""</f>
        <v/>
      </c>
      <c r="N111" s="84" t="str">
        <f>IF($J111="Item",_xll.NL("first",$J111,"Description","No.","@@"&amp;$K111),"")</f>
        <v/>
      </c>
      <c r="O111" s="83">
        <v>0</v>
      </c>
      <c r="P111" s="83">
        <v>-144</v>
      </c>
      <c r="Q111" s="83">
        <v>0</v>
      </c>
      <c r="R111" s="83">
        <v>0</v>
      </c>
      <c r="S111" s="83">
        <v>0</v>
      </c>
      <c r="T111" s="83">
        <v>0</v>
      </c>
      <c r="U111" s="82"/>
    </row>
    <row r="112" spans="1:21" ht="17.25" customHeight="1" x14ac:dyDescent="0.3">
      <c r="A112" s="66" t="s">
        <v>30</v>
      </c>
      <c r="C112" s="67"/>
      <c r="D112" s="77"/>
      <c r="E112" s="77"/>
      <c r="F112" s="76"/>
      <c r="G112" s="76"/>
      <c r="H112" s="76"/>
      <c r="I112" s="76"/>
      <c r="J112" s="76"/>
      <c r="K112" s="76"/>
      <c r="L112" s="76"/>
      <c r="M112" s="76"/>
      <c r="N112" s="76"/>
      <c r="O112" s="75"/>
      <c r="P112" s="75"/>
      <c r="Q112" s="75"/>
      <c r="R112" s="75"/>
      <c r="S112" s="75"/>
      <c r="T112" s="75"/>
      <c r="U112" s="74"/>
    </row>
    <row r="113" spans="1:21" ht="17.25" customHeight="1" x14ac:dyDescent="0.3">
      <c r="A113" s="66" t="s">
        <v>30</v>
      </c>
      <c r="C113" s="67"/>
      <c r="D113" s="77"/>
      <c r="E113" s="77" t="s">
        <v>31</v>
      </c>
      <c r="F113" s="76" t="s">
        <v>31</v>
      </c>
      <c r="G113" s="76" t="s">
        <v>31</v>
      </c>
      <c r="H113" s="76"/>
      <c r="I113" s="76"/>
      <c r="J113" s="76" t="s">
        <v>31</v>
      </c>
      <c r="K113" s="76" t="s">
        <v>31</v>
      </c>
      <c r="L113" s="76" t="s">
        <v>31</v>
      </c>
      <c r="M113" s="76" t="s">
        <v>31</v>
      </c>
      <c r="N113" s="76"/>
      <c r="U113" s="81"/>
    </row>
    <row r="114" spans="1:21" ht="20.25" customHeight="1" x14ac:dyDescent="0.35">
      <c r="A114" s="66" t="s">
        <v>30</v>
      </c>
      <c r="C114" s="67"/>
      <c r="D114" s="92" t="str">
        <f t="shared" ref="D114" si="62">E114</f>
        <v>C100023</v>
      </c>
      <c r="E114" s="91" t="str">
        <f>"C100023"</f>
        <v>C100023</v>
      </c>
      <c r="F114" s="89" t="str">
        <f>"Two-Toned Knit Hat"</f>
        <v>Two-Toned Knit Hat</v>
      </c>
      <c r="G114" s="89"/>
      <c r="H114" s="90" t="str">
        <f>"EA"</f>
        <v>EA</v>
      </c>
      <c r="I114" s="89"/>
      <c r="J114" s="89"/>
      <c r="K114" s="89"/>
      <c r="L114" s="89"/>
      <c r="M114" s="89"/>
      <c r="N114" s="89"/>
      <c r="O114" s="88">
        <f>(SUBTOTAL(9,O115:O117))</f>
        <v>400</v>
      </c>
      <c r="P114" s="88">
        <f>(SUBTOTAL(9,P115:P117))</f>
        <v>-144</v>
      </c>
      <c r="Q114" s="88">
        <f>(SUBTOTAL(9,Q115:Q117))</f>
        <v>0</v>
      </c>
      <c r="R114" s="88">
        <f>(SUBTOTAL(9,R115:R117))</f>
        <v>0</v>
      </c>
      <c r="S114" s="88">
        <f>(SUBTOTAL(9,S115:S117))</f>
        <v>0</v>
      </c>
      <c r="T114" s="88">
        <f>(SUBTOTAL(9,T115:T117))</f>
        <v>0</v>
      </c>
      <c r="U114" s="87">
        <f t="shared" ref="U114" si="63">SUBTOTAL(9,O115:T117)</f>
        <v>256</v>
      </c>
    </row>
    <row r="115" spans="1:21" ht="17.25" customHeight="1" x14ac:dyDescent="0.3">
      <c r="A115" s="66" t="s">
        <v>30</v>
      </c>
      <c r="C115" s="67"/>
      <c r="D115" s="77" t="str">
        <f t="shared" ref="D115" si="64">D114</f>
        <v>C100023</v>
      </c>
      <c r="E115" s="77"/>
      <c r="F115" s="76"/>
      <c r="G115" s="76" t="str">
        <f>"""NAV Direct"",""CRONUS JetCorp USA"",""32"",""1"",""132500"""</f>
        <v>"NAV Direct","CRONUS JetCorp USA","32","1","132500"</v>
      </c>
      <c r="H115" s="86">
        <v>43466</v>
      </c>
      <c r="I115" s="85">
        <v>132500</v>
      </c>
      <c r="J115" s="84" t="str">
        <f>"Customer"</f>
        <v>Customer</v>
      </c>
      <c r="K115" s="84" t="str">
        <f>"C100040"</f>
        <v>C100040</v>
      </c>
      <c r="L115" s="84" t="str">
        <f>IF($J115="Customer",_xll.NL("first",$J115,"Name","No.","@@"&amp;$K115),"")</f>
        <v>Guildford Water Department</v>
      </c>
      <c r="M115" s="84" t="str">
        <f>""</f>
        <v/>
      </c>
      <c r="N115" s="84" t="str">
        <f>IF($J115="Item",_xll.NL("first",$J115,"Description","No.","@@"&amp;$K115),"")</f>
        <v/>
      </c>
      <c r="O115" s="83">
        <v>0</v>
      </c>
      <c r="P115" s="83">
        <v>-144</v>
      </c>
      <c r="Q115" s="83">
        <v>0</v>
      </c>
      <c r="R115" s="83">
        <v>0</v>
      </c>
      <c r="S115" s="83">
        <v>0</v>
      </c>
      <c r="T115" s="83">
        <v>0</v>
      </c>
      <c r="U115" s="82"/>
    </row>
    <row r="116" spans="1:21" ht="17.25" customHeight="1" x14ac:dyDescent="0.3">
      <c r="A116" s="66" t="s">
        <v>30</v>
      </c>
      <c r="C116" s="67"/>
      <c r="D116" s="77" t="str">
        <f t="shared" ref="D116" si="65">D115</f>
        <v>C100023</v>
      </c>
      <c r="E116" s="77"/>
      <c r="F116" s="76"/>
      <c r="G116" s="76" t="str">
        <f>"""NAV Direct"",""CRONUS JetCorp USA"",""32"",""1"",""167124"""</f>
        <v>"NAV Direct","CRONUS JetCorp USA","32","1","167124"</v>
      </c>
      <c r="H116" s="86">
        <v>43466</v>
      </c>
      <c r="I116" s="85">
        <v>167124</v>
      </c>
      <c r="J116" s="84" t="str">
        <f>"Vendor"</f>
        <v>Vendor</v>
      </c>
      <c r="K116" s="84" t="str">
        <f>"V100007"</f>
        <v>V100007</v>
      </c>
      <c r="L116" s="84" t="str">
        <f>IF($J116="Customer",_xll.NL("first",$J116,"Name","No.","@@"&amp;$K116),"")</f>
        <v/>
      </c>
      <c r="M116" s="84" t="str">
        <f>"TrendTech"</f>
        <v>TrendTech</v>
      </c>
      <c r="N116" s="84" t="str">
        <f>IF($J116="Item",_xll.NL("first",$J116,"Description","No.","@@"&amp;$K116),"")</f>
        <v/>
      </c>
      <c r="O116" s="83">
        <v>400</v>
      </c>
      <c r="P116" s="83">
        <v>0</v>
      </c>
      <c r="Q116" s="83">
        <v>0</v>
      </c>
      <c r="R116" s="83">
        <v>0</v>
      </c>
      <c r="S116" s="83">
        <v>0</v>
      </c>
      <c r="T116" s="83">
        <v>0</v>
      </c>
      <c r="U116" s="82"/>
    </row>
    <row r="117" spans="1:21" ht="17.25" customHeight="1" x14ac:dyDescent="0.3">
      <c r="A117" s="66" t="s">
        <v>30</v>
      </c>
      <c r="C117" s="67"/>
      <c r="D117" s="77"/>
      <c r="E117" s="77"/>
      <c r="F117" s="76"/>
      <c r="G117" s="76"/>
      <c r="H117" s="76"/>
      <c r="I117" s="76"/>
      <c r="J117" s="76"/>
      <c r="K117" s="76"/>
      <c r="L117" s="76"/>
      <c r="M117" s="76"/>
      <c r="N117" s="76"/>
      <c r="O117" s="75"/>
      <c r="P117" s="75"/>
      <c r="Q117" s="75"/>
      <c r="R117" s="75"/>
      <c r="S117" s="75"/>
      <c r="T117" s="75"/>
      <c r="U117" s="74"/>
    </row>
    <row r="118" spans="1:21" ht="17.25" customHeight="1" x14ac:dyDescent="0.3">
      <c r="A118" s="66" t="s">
        <v>30</v>
      </c>
      <c r="C118" s="67"/>
      <c r="D118" s="77"/>
      <c r="E118" s="77" t="s">
        <v>31</v>
      </c>
      <c r="F118" s="76" t="s">
        <v>31</v>
      </c>
      <c r="G118" s="76" t="s">
        <v>31</v>
      </c>
      <c r="H118" s="76"/>
      <c r="I118" s="76"/>
      <c r="J118" s="76" t="s">
        <v>31</v>
      </c>
      <c r="K118" s="76" t="s">
        <v>31</v>
      </c>
      <c r="L118" s="76" t="s">
        <v>31</v>
      </c>
      <c r="M118" s="76" t="s">
        <v>31</v>
      </c>
      <c r="N118" s="76"/>
      <c r="U118" s="81"/>
    </row>
    <row r="119" spans="1:21" ht="20.25" customHeight="1" x14ac:dyDescent="0.35">
      <c r="A119" s="66" t="s">
        <v>30</v>
      </c>
      <c r="C119" s="67"/>
      <c r="D119" s="92" t="str">
        <f t="shared" ref="D119" si="66">E119</f>
        <v>C100024</v>
      </c>
      <c r="E119" s="91" t="str">
        <f>"C100024"</f>
        <v>C100024</v>
      </c>
      <c r="F119" s="89" t="str">
        <f>"Knit Hat with Bill"</f>
        <v>Knit Hat with Bill</v>
      </c>
      <c r="G119" s="89"/>
      <c r="H119" s="90" t="str">
        <f>"EA"</f>
        <v>EA</v>
      </c>
      <c r="I119" s="89"/>
      <c r="J119" s="89"/>
      <c r="K119" s="89"/>
      <c r="L119" s="89"/>
      <c r="M119" s="89"/>
      <c r="N119" s="89"/>
      <c r="O119" s="88">
        <f>(SUBTOTAL(9,O120:O122))</f>
        <v>0</v>
      </c>
      <c r="P119" s="88">
        <f>(SUBTOTAL(9,P120:P122))</f>
        <v>-146</v>
      </c>
      <c r="Q119" s="88">
        <f>(SUBTOTAL(9,Q120:Q122))</f>
        <v>0</v>
      </c>
      <c r="R119" s="88">
        <f>(SUBTOTAL(9,R120:R122))</f>
        <v>0</v>
      </c>
      <c r="S119" s="88">
        <f>(SUBTOTAL(9,S120:S122))</f>
        <v>0</v>
      </c>
      <c r="T119" s="88">
        <f>(SUBTOTAL(9,T120:T122))</f>
        <v>0</v>
      </c>
      <c r="U119" s="87">
        <f t="shared" ref="U119" si="67">SUBTOTAL(9,O120:T122)</f>
        <v>-146</v>
      </c>
    </row>
    <row r="120" spans="1:21" ht="17.25" customHeight="1" x14ac:dyDescent="0.3">
      <c r="A120" s="66" t="s">
        <v>30</v>
      </c>
      <c r="C120" s="67"/>
      <c r="D120" s="77" t="str">
        <f t="shared" ref="D120" si="68">D119</f>
        <v>C100024</v>
      </c>
      <c r="E120" s="77"/>
      <c r="F120" s="76"/>
      <c r="G120" s="76" t="str">
        <f>"""NAV Direct"",""CRONUS JetCorp USA"",""32"",""1"",""124556"""</f>
        <v>"NAV Direct","CRONUS JetCorp USA","32","1","124556"</v>
      </c>
      <c r="H120" s="86">
        <v>43473</v>
      </c>
      <c r="I120" s="85">
        <v>124556</v>
      </c>
      <c r="J120" s="84" t="str">
        <f>"Customer"</f>
        <v>Customer</v>
      </c>
      <c r="K120" s="84" t="str">
        <f>"C100035"</f>
        <v>C100035</v>
      </c>
      <c r="L120" s="84" t="str">
        <f>IF($J120="Customer",_xll.NL("first",$J120,"Name","No.","@@"&amp;$K120),"")</f>
        <v>First Touch Marketing</v>
      </c>
      <c r="M120" s="84" t="str">
        <f>""</f>
        <v/>
      </c>
      <c r="N120" s="84" t="str">
        <f>IF($J120="Item",_xll.NL("first",$J120,"Description","No.","@@"&amp;$K120),"")</f>
        <v/>
      </c>
      <c r="O120" s="83">
        <v>0</v>
      </c>
      <c r="P120" s="83">
        <v>-2</v>
      </c>
      <c r="Q120" s="83">
        <v>0</v>
      </c>
      <c r="R120" s="83">
        <v>0</v>
      </c>
      <c r="S120" s="83">
        <v>0</v>
      </c>
      <c r="T120" s="83">
        <v>0</v>
      </c>
      <c r="U120" s="82"/>
    </row>
    <row r="121" spans="1:21" ht="17.25" customHeight="1" x14ac:dyDescent="0.3">
      <c r="A121" s="66" t="s">
        <v>30</v>
      </c>
      <c r="C121" s="67"/>
      <c r="D121" s="77" t="str">
        <f t="shared" ref="D121" si="69">D120</f>
        <v>C100024</v>
      </c>
      <c r="E121" s="77"/>
      <c r="F121" s="76"/>
      <c r="G121" s="76" t="str">
        <f>"""NAV Direct"",""CRONUS JetCorp USA"",""32"",""1"",""30060"""</f>
        <v>"NAV Direct","CRONUS JetCorp USA","32","1","30060"</v>
      </c>
      <c r="H121" s="86">
        <v>43474</v>
      </c>
      <c r="I121" s="85">
        <v>30060</v>
      </c>
      <c r="J121" s="84" t="str">
        <f>"Customer"</f>
        <v>Customer</v>
      </c>
      <c r="K121" s="84" t="str">
        <f>"C100086"</f>
        <v>C100086</v>
      </c>
      <c r="L121" s="84" t="str">
        <f>IF($J121="Customer",_xll.NL("first",$J121,"Name","No.","@@"&amp;$K121),"")</f>
        <v>Top Action Sports</v>
      </c>
      <c r="M121" s="84" t="str">
        <f>""</f>
        <v/>
      </c>
      <c r="N121" s="84" t="str">
        <f>IF($J121="Item",_xll.NL("first",$J121,"Description","No.","@@"&amp;$K121),"")</f>
        <v/>
      </c>
      <c r="O121" s="83">
        <v>0</v>
      </c>
      <c r="P121" s="83">
        <v>-144</v>
      </c>
      <c r="Q121" s="83">
        <v>0</v>
      </c>
      <c r="R121" s="83">
        <v>0</v>
      </c>
      <c r="S121" s="83">
        <v>0</v>
      </c>
      <c r="T121" s="83">
        <v>0</v>
      </c>
      <c r="U121" s="82"/>
    </row>
    <row r="122" spans="1:21" ht="17.25" customHeight="1" x14ac:dyDescent="0.3">
      <c r="A122" s="66" t="s">
        <v>30</v>
      </c>
      <c r="C122" s="67"/>
      <c r="D122" s="77"/>
      <c r="E122" s="77"/>
      <c r="F122" s="76"/>
      <c r="G122" s="76"/>
      <c r="H122" s="76"/>
      <c r="I122" s="76"/>
      <c r="J122" s="76"/>
      <c r="K122" s="76"/>
      <c r="L122" s="76"/>
      <c r="M122" s="76"/>
      <c r="N122" s="76"/>
      <c r="O122" s="75"/>
      <c r="P122" s="75"/>
      <c r="Q122" s="75"/>
      <c r="R122" s="75"/>
      <c r="S122" s="75"/>
      <c r="T122" s="75"/>
      <c r="U122" s="74"/>
    </row>
    <row r="123" spans="1:21" ht="17.25" customHeight="1" x14ac:dyDescent="0.3">
      <c r="A123" s="66" t="s">
        <v>30</v>
      </c>
      <c r="C123" s="67"/>
      <c r="D123" s="77"/>
      <c r="E123" s="77" t="s">
        <v>31</v>
      </c>
      <c r="F123" s="76" t="s">
        <v>31</v>
      </c>
      <c r="G123" s="76" t="s">
        <v>31</v>
      </c>
      <c r="H123" s="76"/>
      <c r="I123" s="76"/>
      <c r="J123" s="76" t="s">
        <v>31</v>
      </c>
      <c r="K123" s="76" t="s">
        <v>31</v>
      </c>
      <c r="L123" s="76" t="s">
        <v>31</v>
      </c>
      <c r="M123" s="76" t="s">
        <v>31</v>
      </c>
      <c r="N123" s="76"/>
      <c r="U123" s="81"/>
    </row>
    <row r="124" spans="1:21" ht="20.25" customHeight="1" x14ac:dyDescent="0.35">
      <c r="A124" s="66" t="s">
        <v>30</v>
      </c>
      <c r="C124" s="67"/>
      <c r="D124" s="92" t="str">
        <f t="shared" ref="D124" si="70">E124</f>
        <v>C100025</v>
      </c>
      <c r="E124" s="91" t="str">
        <f>"C100025"</f>
        <v>C100025</v>
      </c>
      <c r="F124" s="89" t="str">
        <f>"Striped Knit Hat"</f>
        <v>Striped Knit Hat</v>
      </c>
      <c r="G124" s="89"/>
      <c r="H124" s="90" t="str">
        <f>"EA"</f>
        <v>EA</v>
      </c>
      <c r="I124" s="89"/>
      <c r="J124" s="89"/>
      <c r="K124" s="89"/>
      <c r="L124" s="89"/>
      <c r="M124" s="89"/>
      <c r="N124" s="89"/>
      <c r="O124" s="88">
        <f>(SUBTOTAL(9,O125:O128))</f>
        <v>800</v>
      </c>
      <c r="P124" s="88">
        <f>(SUBTOTAL(9,P125:P128))</f>
        <v>-192</v>
      </c>
      <c r="Q124" s="88">
        <f>(SUBTOTAL(9,Q125:Q128))</f>
        <v>0</v>
      </c>
      <c r="R124" s="88">
        <f>(SUBTOTAL(9,R125:R128))</f>
        <v>0</v>
      </c>
      <c r="S124" s="88">
        <f>(SUBTOTAL(9,S125:S128))</f>
        <v>0</v>
      </c>
      <c r="T124" s="88">
        <f>(SUBTOTAL(9,T125:T128))</f>
        <v>0</v>
      </c>
      <c r="U124" s="87">
        <f t="shared" ref="U124" si="71">SUBTOTAL(9,O125:T128)</f>
        <v>608</v>
      </c>
    </row>
    <row r="125" spans="1:21" ht="17.25" customHeight="1" x14ac:dyDescent="0.3">
      <c r="A125" s="66" t="s">
        <v>30</v>
      </c>
      <c r="C125" s="67"/>
      <c r="D125" s="77" t="str">
        <f t="shared" ref="D125" si="72">D124</f>
        <v>C100025</v>
      </c>
      <c r="E125" s="77"/>
      <c r="F125" s="76"/>
      <c r="G125" s="76" t="str">
        <f>"""NAV Direct"",""CRONUS JetCorp USA"",""32"",""1"",""167123"""</f>
        <v>"NAV Direct","CRONUS JetCorp USA","32","1","167123"</v>
      </c>
      <c r="H125" s="86">
        <v>43466</v>
      </c>
      <c r="I125" s="85">
        <v>167123</v>
      </c>
      <c r="J125" s="84" t="str">
        <f>"Vendor"</f>
        <v>Vendor</v>
      </c>
      <c r="K125" s="84" t="str">
        <f>"V100007"</f>
        <v>V100007</v>
      </c>
      <c r="L125" s="84" t="str">
        <f>IF($J125="Customer",_xll.NL("first",$J125,"Name","No.","@@"&amp;$K125),"")</f>
        <v/>
      </c>
      <c r="M125" s="84" t="str">
        <f>"TrendTech"</f>
        <v>TrendTech</v>
      </c>
      <c r="N125" s="84" t="str">
        <f>IF($J125="Item",_xll.NL("first",$J125,"Description","No.","@@"&amp;$K125),"")</f>
        <v/>
      </c>
      <c r="O125" s="83">
        <v>800</v>
      </c>
      <c r="P125" s="83">
        <v>0</v>
      </c>
      <c r="Q125" s="83">
        <v>0</v>
      </c>
      <c r="R125" s="83">
        <v>0</v>
      </c>
      <c r="S125" s="83">
        <v>0</v>
      </c>
      <c r="T125" s="83">
        <v>0</v>
      </c>
      <c r="U125" s="82"/>
    </row>
    <row r="126" spans="1:21" ht="17.25" customHeight="1" x14ac:dyDescent="0.3">
      <c r="A126" s="66" t="s">
        <v>30</v>
      </c>
      <c r="C126" s="67"/>
      <c r="D126" s="77" t="str">
        <f t="shared" ref="D126:D127" si="73">D125</f>
        <v>C100025</v>
      </c>
      <c r="E126" s="77"/>
      <c r="F126" s="76"/>
      <c r="G126" s="76" t="str">
        <f>"""NAV Direct"",""CRONUS JetCorp USA"",""32"",""1"",""25256"""</f>
        <v>"NAV Direct","CRONUS JetCorp USA","32","1","25256"</v>
      </c>
      <c r="H126" s="86">
        <v>43472</v>
      </c>
      <c r="I126" s="85">
        <v>25256</v>
      </c>
      <c r="J126" s="84" t="str">
        <f>"Customer"</f>
        <v>Customer</v>
      </c>
      <c r="K126" s="84" t="str">
        <f>"C100098"</f>
        <v>C100098</v>
      </c>
      <c r="L126" s="84" t="str">
        <f>IF($J126="Customer",_xll.NL("first",$J126,"Name","No.","@@"&amp;$K126),"")</f>
        <v>BlackCane Motor Works</v>
      </c>
      <c r="M126" s="84" t="str">
        <f>""</f>
        <v/>
      </c>
      <c r="N126" s="84" t="str">
        <f>IF($J126="Item",_xll.NL("first",$J126,"Description","No.","@@"&amp;$K126),"")</f>
        <v/>
      </c>
      <c r="O126" s="83">
        <v>0</v>
      </c>
      <c r="P126" s="83">
        <v>-144</v>
      </c>
      <c r="Q126" s="83">
        <v>0</v>
      </c>
      <c r="R126" s="83">
        <v>0</v>
      </c>
      <c r="S126" s="83">
        <v>0</v>
      </c>
      <c r="T126" s="83">
        <v>0</v>
      </c>
      <c r="U126" s="82"/>
    </row>
    <row r="127" spans="1:21" ht="17.25" customHeight="1" x14ac:dyDescent="0.3">
      <c r="A127" s="66" t="s">
        <v>30</v>
      </c>
      <c r="C127" s="67"/>
      <c r="D127" s="77" t="str">
        <f t="shared" si="73"/>
        <v>C100025</v>
      </c>
      <c r="E127" s="77"/>
      <c r="F127" s="76"/>
      <c r="G127" s="76" t="str">
        <f>"""NAV Direct"",""CRONUS JetCorp USA"",""32"",""1"",""30065"""</f>
        <v>"NAV Direct","CRONUS JetCorp USA","32","1","30065"</v>
      </c>
      <c r="H127" s="86">
        <v>43474</v>
      </c>
      <c r="I127" s="85">
        <v>30065</v>
      </c>
      <c r="J127" s="84" t="str">
        <f>"Customer"</f>
        <v>Customer</v>
      </c>
      <c r="K127" s="84" t="str">
        <f>"C100086"</f>
        <v>C100086</v>
      </c>
      <c r="L127" s="84" t="str">
        <f>IF($J127="Customer",_xll.NL("first",$J127,"Name","No.","@@"&amp;$K127),"")</f>
        <v>Top Action Sports</v>
      </c>
      <c r="M127" s="84" t="str">
        <f>""</f>
        <v/>
      </c>
      <c r="N127" s="84" t="str">
        <f>IF($J127="Item",_xll.NL("first",$J127,"Description","No.","@@"&amp;$K127),"")</f>
        <v/>
      </c>
      <c r="O127" s="83">
        <v>0</v>
      </c>
      <c r="P127" s="83">
        <v>-48</v>
      </c>
      <c r="Q127" s="83">
        <v>0</v>
      </c>
      <c r="R127" s="83">
        <v>0</v>
      </c>
      <c r="S127" s="83">
        <v>0</v>
      </c>
      <c r="T127" s="83">
        <v>0</v>
      </c>
      <c r="U127" s="82"/>
    </row>
    <row r="128" spans="1:21" ht="17.25" customHeight="1" x14ac:dyDescent="0.3">
      <c r="A128" s="66" t="s">
        <v>30</v>
      </c>
      <c r="C128" s="67"/>
      <c r="D128" s="77"/>
      <c r="E128" s="77"/>
      <c r="F128" s="76"/>
      <c r="G128" s="76"/>
      <c r="H128" s="76"/>
      <c r="I128" s="76"/>
      <c r="J128" s="76"/>
      <c r="K128" s="76"/>
      <c r="L128" s="76"/>
      <c r="M128" s="76"/>
      <c r="N128" s="76"/>
      <c r="O128" s="75"/>
      <c r="P128" s="75"/>
      <c r="Q128" s="75"/>
      <c r="R128" s="75"/>
      <c r="S128" s="75"/>
      <c r="T128" s="75"/>
      <c r="U128" s="74"/>
    </row>
    <row r="129" spans="1:21" ht="17.25" customHeight="1" x14ac:dyDescent="0.3">
      <c r="A129" s="66" t="s">
        <v>30</v>
      </c>
      <c r="C129" s="67"/>
      <c r="D129" s="77"/>
      <c r="E129" s="77" t="s">
        <v>31</v>
      </c>
      <c r="F129" s="76" t="s">
        <v>31</v>
      </c>
      <c r="G129" s="76" t="s">
        <v>31</v>
      </c>
      <c r="H129" s="76"/>
      <c r="I129" s="76"/>
      <c r="J129" s="76" t="s">
        <v>31</v>
      </c>
      <c r="K129" s="76" t="s">
        <v>31</v>
      </c>
      <c r="L129" s="76" t="s">
        <v>31</v>
      </c>
      <c r="M129" s="76" t="s">
        <v>31</v>
      </c>
      <c r="N129" s="76"/>
      <c r="U129" s="81"/>
    </row>
    <row r="130" spans="1:21" ht="20.25" customHeight="1" x14ac:dyDescent="0.35">
      <c r="A130" s="66" t="s">
        <v>30</v>
      </c>
      <c r="C130" s="67"/>
      <c r="D130" s="92" t="str">
        <f t="shared" ref="D130" si="74">E130</f>
        <v>C100026</v>
      </c>
      <c r="E130" s="91" t="str">
        <f>"C100026"</f>
        <v>C100026</v>
      </c>
      <c r="F130" s="89" t="str">
        <f>"Fleece Beanie"</f>
        <v>Fleece Beanie</v>
      </c>
      <c r="G130" s="89"/>
      <c r="H130" s="90" t="str">
        <f>"EA"</f>
        <v>EA</v>
      </c>
      <c r="I130" s="89"/>
      <c r="J130" s="89"/>
      <c r="K130" s="89"/>
      <c r="L130" s="89"/>
      <c r="M130" s="89"/>
      <c r="N130" s="89"/>
      <c r="O130" s="88">
        <f>(SUBTOTAL(9,O131:O135))</f>
        <v>400</v>
      </c>
      <c r="P130" s="88">
        <f>(SUBTOTAL(9,P131:P135))</f>
        <v>-582</v>
      </c>
      <c r="Q130" s="88">
        <f>(SUBTOTAL(9,Q131:Q135))</f>
        <v>0</v>
      </c>
      <c r="R130" s="88">
        <f>(SUBTOTAL(9,R131:R135))</f>
        <v>0</v>
      </c>
      <c r="S130" s="88">
        <f>(SUBTOTAL(9,S131:S135))</f>
        <v>0</v>
      </c>
      <c r="T130" s="88">
        <f>(SUBTOTAL(9,T131:T135))</f>
        <v>0</v>
      </c>
      <c r="U130" s="87">
        <f t="shared" ref="U130" si="75">SUBTOTAL(9,O131:T135)</f>
        <v>-182</v>
      </c>
    </row>
    <row r="131" spans="1:21" ht="17.25" customHeight="1" x14ac:dyDescent="0.3">
      <c r="A131" s="66" t="s">
        <v>30</v>
      </c>
      <c r="C131" s="67"/>
      <c r="D131" s="77" t="str">
        <f t="shared" ref="D131" si="76">D130</f>
        <v>C100026</v>
      </c>
      <c r="E131" s="77"/>
      <c r="F131" s="76"/>
      <c r="G131" s="76" t="str">
        <f>"""NAV Direct"",""CRONUS JetCorp USA"",""32"",""1"",""132498"""</f>
        <v>"NAV Direct","CRONUS JetCorp USA","32","1","132498"</v>
      </c>
      <c r="H131" s="86">
        <v>43466</v>
      </c>
      <c r="I131" s="85">
        <v>132498</v>
      </c>
      <c r="J131" s="84" t="str">
        <f>"Customer"</f>
        <v>Customer</v>
      </c>
      <c r="K131" s="84" t="str">
        <f>"C100040"</f>
        <v>C100040</v>
      </c>
      <c r="L131" s="84" t="str">
        <f>IF($J131="Customer",_xll.NL("first",$J131,"Name","No.","@@"&amp;$K131),"")</f>
        <v>Guildford Water Department</v>
      </c>
      <c r="M131" s="84" t="str">
        <f>""</f>
        <v/>
      </c>
      <c r="N131" s="84" t="str">
        <f>IF($J131="Item",_xll.NL("first",$J131,"Description","No.","@@"&amp;$K131),"")</f>
        <v/>
      </c>
      <c r="O131" s="83">
        <v>0</v>
      </c>
      <c r="P131" s="83">
        <v>-144</v>
      </c>
      <c r="Q131" s="83">
        <v>0</v>
      </c>
      <c r="R131" s="83">
        <v>0</v>
      </c>
      <c r="S131" s="83">
        <v>0</v>
      </c>
      <c r="T131" s="83">
        <v>0</v>
      </c>
      <c r="U131" s="82"/>
    </row>
    <row r="132" spans="1:21" ht="17.25" customHeight="1" x14ac:dyDescent="0.3">
      <c r="A132" s="66" t="s">
        <v>30</v>
      </c>
      <c r="C132" s="67"/>
      <c r="D132" s="77" t="str">
        <f t="shared" ref="D132:D134" si="77">D131</f>
        <v>C100026</v>
      </c>
      <c r="E132" s="77"/>
      <c r="F132" s="76"/>
      <c r="G132" s="76" t="str">
        <f>"""NAV Direct"",""CRONUS JetCorp USA"",""32"",""1"",""167122"""</f>
        <v>"NAV Direct","CRONUS JetCorp USA","32","1","167122"</v>
      </c>
      <c r="H132" s="86">
        <v>43466</v>
      </c>
      <c r="I132" s="85">
        <v>167122</v>
      </c>
      <c r="J132" s="84" t="str">
        <f>"Vendor"</f>
        <v>Vendor</v>
      </c>
      <c r="K132" s="84" t="str">
        <f>"V100007"</f>
        <v>V100007</v>
      </c>
      <c r="L132" s="84" t="str">
        <f>IF($J132="Customer",_xll.NL("first",$J132,"Name","No.","@@"&amp;$K132),"")</f>
        <v/>
      </c>
      <c r="M132" s="84" t="str">
        <f>"TrendTech"</f>
        <v>TrendTech</v>
      </c>
      <c r="N132" s="84" t="str">
        <f>IF($J132="Item",_xll.NL("first",$J132,"Description","No.","@@"&amp;$K132),"")</f>
        <v/>
      </c>
      <c r="O132" s="83">
        <v>400</v>
      </c>
      <c r="P132" s="83">
        <v>0</v>
      </c>
      <c r="Q132" s="83">
        <v>0</v>
      </c>
      <c r="R132" s="83">
        <v>0</v>
      </c>
      <c r="S132" s="83">
        <v>0</v>
      </c>
      <c r="T132" s="83">
        <v>0</v>
      </c>
      <c r="U132" s="82"/>
    </row>
    <row r="133" spans="1:21" ht="17.25" customHeight="1" x14ac:dyDescent="0.3">
      <c r="A133" s="66" t="s">
        <v>30</v>
      </c>
      <c r="C133" s="67"/>
      <c r="D133" s="77" t="str">
        <f t="shared" si="77"/>
        <v>C100026</v>
      </c>
      <c r="E133" s="77"/>
      <c r="F133" s="76"/>
      <c r="G133" s="76" t="str">
        <f>"""NAV Direct"",""CRONUS JetCorp USA"",""32"",""1"",""124519"""</f>
        <v>"NAV Direct","CRONUS JetCorp USA","32","1","124519"</v>
      </c>
      <c r="H133" s="86">
        <v>43470</v>
      </c>
      <c r="I133" s="85">
        <v>124519</v>
      </c>
      <c r="J133" s="84" t="str">
        <f>"Customer"</f>
        <v>Customer</v>
      </c>
      <c r="K133" s="84" t="str">
        <f>"C100025"</f>
        <v>C100025</v>
      </c>
      <c r="L133" s="84" t="str">
        <f>IF($J133="Customer",_xll.NL("first",$J133,"Name","No.","@@"&amp;$K133),"")</f>
        <v>Derringers Resturants</v>
      </c>
      <c r="M133" s="84" t="str">
        <f>""</f>
        <v/>
      </c>
      <c r="N133" s="84" t="str">
        <f>IF($J133="Item",_xll.NL("first",$J133,"Description","No.","@@"&amp;$K133),"")</f>
        <v/>
      </c>
      <c r="O133" s="83">
        <v>0</v>
      </c>
      <c r="P133" s="83">
        <v>-6</v>
      </c>
      <c r="Q133" s="83">
        <v>0</v>
      </c>
      <c r="R133" s="83">
        <v>0</v>
      </c>
      <c r="S133" s="83">
        <v>0</v>
      </c>
      <c r="T133" s="83">
        <v>0</v>
      </c>
      <c r="U133" s="82"/>
    </row>
    <row r="134" spans="1:21" ht="17.25" customHeight="1" x14ac:dyDescent="0.3">
      <c r="A134" s="66" t="s">
        <v>30</v>
      </c>
      <c r="C134" s="67"/>
      <c r="D134" s="77" t="str">
        <f t="shared" si="77"/>
        <v>C100026</v>
      </c>
      <c r="E134" s="77"/>
      <c r="F134" s="76"/>
      <c r="G134" s="76" t="str">
        <f>"""NAV Direct"",""CRONUS JetCorp USA"",""32"",""1"",""30059"""</f>
        <v>"NAV Direct","CRONUS JetCorp USA","32","1","30059"</v>
      </c>
      <c r="H134" s="86">
        <v>43474</v>
      </c>
      <c r="I134" s="85">
        <v>30059</v>
      </c>
      <c r="J134" s="84" t="str">
        <f>"Customer"</f>
        <v>Customer</v>
      </c>
      <c r="K134" s="84" t="str">
        <f>"C100086"</f>
        <v>C100086</v>
      </c>
      <c r="L134" s="84" t="str">
        <f>IF($J134="Customer",_xll.NL("first",$J134,"Name","No.","@@"&amp;$K134),"")</f>
        <v>Top Action Sports</v>
      </c>
      <c r="M134" s="84" t="str">
        <f>""</f>
        <v/>
      </c>
      <c r="N134" s="84" t="str">
        <f>IF($J134="Item",_xll.NL("first",$J134,"Description","No.","@@"&amp;$K134),"")</f>
        <v/>
      </c>
      <c r="O134" s="83">
        <v>0</v>
      </c>
      <c r="P134" s="83">
        <v>-432</v>
      </c>
      <c r="Q134" s="83">
        <v>0</v>
      </c>
      <c r="R134" s="83">
        <v>0</v>
      </c>
      <c r="S134" s="83">
        <v>0</v>
      </c>
      <c r="T134" s="83">
        <v>0</v>
      </c>
      <c r="U134" s="82"/>
    </row>
    <row r="135" spans="1:21" ht="17.25" customHeight="1" x14ac:dyDescent="0.3">
      <c r="A135" s="66" t="s">
        <v>30</v>
      </c>
      <c r="C135" s="67"/>
      <c r="D135" s="77"/>
      <c r="E135" s="77"/>
      <c r="F135" s="76"/>
      <c r="G135" s="76"/>
      <c r="H135" s="76"/>
      <c r="I135" s="76"/>
      <c r="J135" s="76"/>
      <c r="K135" s="76"/>
      <c r="L135" s="76"/>
      <c r="M135" s="76"/>
      <c r="N135" s="76"/>
      <c r="O135" s="75"/>
      <c r="P135" s="75"/>
      <c r="Q135" s="75"/>
      <c r="R135" s="75"/>
      <c r="S135" s="75"/>
      <c r="T135" s="75"/>
      <c r="U135" s="74"/>
    </row>
    <row r="136" spans="1:21" ht="17.25" customHeight="1" x14ac:dyDescent="0.3">
      <c r="A136" s="66" t="s">
        <v>30</v>
      </c>
      <c r="C136" s="67"/>
      <c r="D136" s="77"/>
      <c r="E136" s="77" t="s">
        <v>31</v>
      </c>
      <c r="F136" s="76" t="s">
        <v>31</v>
      </c>
      <c r="G136" s="76" t="s">
        <v>31</v>
      </c>
      <c r="H136" s="76"/>
      <c r="I136" s="76"/>
      <c r="J136" s="76" t="s">
        <v>31</v>
      </c>
      <c r="K136" s="76" t="s">
        <v>31</v>
      </c>
      <c r="L136" s="76" t="s">
        <v>31</v>
      </c>
      <c r="M136" s="76" t="s">
        <v>31</v>
      </c>
      <c r="N136" s="76"/>
      <c r="U136" s="81"/>
    </row>
    <row r="137" spans="1:21" ht="20.25" customHeight="1" x14ac:dyDescent="0.35">
      <c r="A137" s="66" t="s">
        <v>30</v>
      </c>
      <c r="C137" s="67"/>
      <c r="D137" s="92" t="str">
        <f t="shared" ref="D137" si="78">E137</f>
        <v>C100027</v>
      </c>
      <c r="E137" s="91" t="str">
        <f>"C100027"</f>
        <v>C100027</v>
      </c>
      <c r="F137" s="89" t="str">
        <f>"Pique Visor"</f>
        <v>Pique Visor</v>
      </c>
      <c r="G137" s="89"/>
      <c r="H137" s="90" t="str">
        <f>"EA"</f>
        <v>EA</v>
      </c>
      <c r="I137" s="89"/>
      <c r="J137" s="89"/>
      <c r="K137" s="89"/>
      <c r="L137" s="89"/>
      <c r="M137" s="89"/>
      <c r="N137" s="89"/>
      <c r="O137" s="88">
        <f>(SUBTOTAL(9,O138:O142))</f>
        <v>800</v>
      </c>
      <c r="P137" s="88">
        <f>(SUBTOTAL(9,P138:P142))</f>
        <v>-626</v>
      </c>
      <c r="Q137" s="88">
        <f>(SUBTOTAL(9,Q138:Q142))</f>
        <v>0</v>
      </c>
      <c r="R137" s="88">
        <f>(SUBTOTAL(9,R138:R142))</f>
        <v>0</v>
      </c>
      <c r="S137" s="88">
        <f>(SUBTOTAL(9,S138:S142))</f>
        <v>0</v>
      </c>
      <c r="T137" s="88">
        <f>(SUBTOTAL(9,T138:T142))</f>
        <v>0</v>
      </c>
      <c r="U137" s="87">
        <f t="shared" ref="U137" si="79">SUBTOTAL(9,O138:T142)</f>
        <v>174</v>
      </c>
    </row>
    <row r="138" spans="1:21" ht="17.25" customHeight="1" x14ac:dyDescent="0.3">
      <c r="A138" s="66" t="s">
        <v>30</v>
      </c>
      <c r="C138" s="67"/>
      <c r="D138" s="77" t="str">
        <f t="shared" ref="D138" si="80">D137</f>
        <v>C100027</v>
      </c>
      <c r="E138" s="77"/>
      <c r="F138" s="76"/>
      <c r="G138" s="76" t="str">
        <f>"""NAV Direct"",""CRONUS JetCorp USA"",""32"",""1"",""167121"""</f>
        <v>"NAV Direct","CRONUS JetCorp USA","32","1","167121"</v>
      </c>
      <c r="H138" s="86">
        <v>43466</v>
      </c>
      <c r="I138" s="85">
        <v>167121</v>
      </c>
      <c r="J138" s="84" t="str">
        <f>"Vendor"</f>
        <v>Vendor</v>
      </c>
      <c r="K138" s="84" t="str">
        <f>"V100007"</f>
        <v>V100007</v>
      </c>
      <c r="L138" s="84" t="str">
        <f>IF($J138="Customer",_xll.NL("first",$J138,"Name","No.","@@"&amp;$K138),"")</f>
        <v/>
      </c>
      <c r="M138" s="84" t="str">
        <f>"TrendTech"</f>
        <v>TrendTech</v>
      </c>
      <c r="N138" s="84" t="str">
        <f>IF($J138="Item",_xll.NL("first",$J138,"Description","No.","@@"&amp;$K138),"")</f>
        <v/>
      </c>
      <c r="O138" s="83">
        <v>800</v>
      </c>
      <c r="P138" s="83">
        <v>0</v>
      </c>
      <c r="Q138" s="83">
        <v>0</v>
      </c>
      <c r="R138" s="83">
        <v>0</v>
      </c>
      <c r="S138" s="83">
        <v>0</v>
      </c>
      <c r="T138" s="83">
        <v>0</v>
      </c>
      <c r="U138" s="82"/>
    </row>
    <row r="139" spans="1:21" ht="17.25" customHeight="1" x14ac:dyDescent="0.3">
      <c r="A139" s="66" t="s">
        <v>30</v>
      </c>
      <c r="C139" s="67"/>
      <c r="D139" s="77" t="str">
        <f t="shared" ref="D139:D141" si="81">D138</f>
        <v>C100027</v>
      </c>
      <c r="E139" s="77"/>
      <c r="F139" s="76"/>
      <c r="G139" s="76" t="str">
        <f>"""NAV Direct"",""CRONUS JetCorp USA"",""32"",""1"",""124538"""</f>
        <v>"NAV Direct","CRONUS JetCorp USA","32","1","124538"</v>
      </c>
      <c r="H139" s="86">
        <v>43473</v>
      </c>
      <c r="I139" s="85">
        <v>124538</v>
      </c>
      <c r="J139" s="84" t="str">
        <f>"Customer"</f>
        <v>Customer</v>
      </c>
      <c r="K139" s="84" t="str">
        <f>"C100035"</f>
        <v>C100035</v>
      </c>
      <c r="L139" s="84" t="str">
        <f>IF($J139="Customer",_xll.NL("first",$J139,"Name","No.","@@"&amp;$K139),"")</f>
        <v>First Touch Marketing</v>
      </c>
      <c r="M139" s="84" t="str">
        <f>""</f>
        <v/>
      </c>
      <c r="N139" s="84" t="str">
        <f>IF($J139="Item",_xll.NL("first",$J139,"Description","No.","@@"&amp;$K139),"")</f>
        <v/>
      </c>
      <c r="O139" s="83">
        <v>0</v>
      </c>
      <c r="P139" s="83">
        <v>-288</v>
      </c>
      <c r="Q139" s="83">
        <v>0</v>
      </c>
      <c r="R139" s="83">
        <v>0</v>
      </c>
      <c r="S139" s="83">
        <v>0</v>
      </c>
      <c r="T139" s="83">
        <v>0</v>
      </c>
      <c r="U139" s="82"/>
    </row>
    <row r="140" spans="1:21" ht="17.25" customHeight="1" x14ac:dyDescent="0.3">
      <c r="A140" s="66" t="s">
        <v>30</v>
      </c>
      <c r="C140" s="67"/>
      <c r="D140" s="77" t="str">
        <f t="shared" si="81"/>
        <v>C100027</v>
      </c>
      <c r="E140" s="77"/>
      <c r="F140" s="76"/>
      <c r="G140" s="76" t="str">
        <f>"""NAV Direct"",""CRONUS JetCorp USA"",""32"",""1"",""30048"""</f>
        <v>"NAV Direct","CRONUS JetCorp USA","32","1","30048"</v>
      </c>
      <c r="H140" s="86">
        <v>43474</v>
      </c>
      <c r="I140" s="85">
        <v>30048</v>
      </c>
      <c r="J140" s="84" t="str">
        <f>"Customer"</f>
        <v>Customer</v>
      </c>
      <c r="K140" s="84" t="str">
        <f>"C100086"</f>
        <v>C100086</v>
      </c>
      <c r="L140" s="84" t="str">
        <f>IF($J140="Customer",_xll.NL("first",$J140,"Name","No.","@@"&amp;$K140),"")</f>
        <v>Top Action Sports</v>
      </c>
      <c r="M140" s="84" t="str">
        <f>""</f>
        <v/>
      </c>
      <c r="N140" s="84" t="str">
        <f>IF($J140="Item",_xll.NL("first",$J140,"Description","No.","@@"&amp;$K140),"")</f>
        <v/>
      </c>
      <c r="O140" s="83">
        <v>0</v>
      </c>
      <c r="P140" s="83">
        <v>-145</v>
      </c>
      <c r="Q140" s="83">
        <v>0</v>
      </c>
      <c r="R140" s="83">
        <v>0</v>
      </c>
      <c r="S140" s="83">
        <v>0</v>
      </c>
      <c r="T140" s="83">
        <v>0</v>
      </c>
      <c r="U140" s="82"/>
    </row>
    <row r="141" spans="1:21" ht="17.25" customHeight="1" x14ac:dyDescent="0.3">
      <c r="A141" s="66" t="s">
        <v>30</v>
      </c>
      <c r="C141" s="67"/>
      <c r="D141" s="77" t="str">
        <f t="shared" si="81"/>
        <v>C100027</v>
      </c>
      <c r="E141" s="77"/>
      <c r="F141" s="76"/>
      <c r="G141" s="76" t="str">
        <f>"""NAV Direct"",""CRONUS JetCorp USA"",""32"",""1"",""124587"""</f>
        <v>"NAV Direct","CRONUS JetCorp USA","32","1","124587"</v>
      </c>
      <c r="H141" s="86">
        <v>43475</v>
      </c>
      <c r="I141" s="85">
        <v>124587</v>
      </c>
      <c r="J141" s="84" t="str">
        <f>"Customer"</f>
        <v>Customer</v>
      </c>
      <c r="K141" s="84" t="str">
        <f>"C100035"</f>
        <v>C100035</v>
      </c>
      <c r="L141" s="84" t="str">
        <f>IF($J141="Customer",_xll.NL("first",$J141,"Name","No.","@@"&amp;$K141),"")</f>
        <v>First Touch Marketing</v>
      </c>
      <c r="M141" s="84" t="str">
        <f>""</f>
        <v/>
      </c>
      <c r="N141" s="84" t="str">
        <f>IF($J141="Item",_xll.NL("first",$J141,"Description","No.","@@"&amp;$K141),"")</f>
        <v/>
      </c>
      <c r="O141" s="83">
        <v>0</v>
      </c>
      <c r="P141" s="83">
        <v>-193</v>
      </c>
      <c r="Q141" s="83">
        <v>0</v>
      </c>
      <c r="R141" s="83">
        <v>0</v>
      </c>
      <c r="S141" s="83">
        <v>0</v>
      </c>
      <c r="T141" s="83">
        <v>0</v>
      </c>
      <c r="U141" s="82"/>
    </row>
    <row r="142" spans="1:21" ht="17.25" customHeight="1" x14ac:dyDescent="0.3">
      <c r="A142" s="66" t="s">
        <v>30</v>
      </c>
      <c r="C142" s="67"/>
      <c r="D142" s="77"/>
      <c r="E142" s="77"/>
      <c r="F142" s="76"/>
      <c r="G142" s="76"/>
      <c r="H142" s="76"/>
      <c r="I142" s="76"/>
      <c r="J142" s="76"/>
      <c r="K142" s="76"/>
      <c r="L142" s="76"/>
      <c r="M142" s="76"/>
      <c r="N142" s="76"/>
      <c r="O142" s="75"/>
      <c r="P142" s="75"/>
      <c r="Q142" s="75"/>
      <c r="R142" s="75"/>
      <c r="S142" s="75"/>
      <c r="T142" s="75"/>
      <c r="U142" s="74"/>
    </row>
    <row r="143" spans="1:21" ht="17.25" customHeight="1" x14ac:dyDescent="0.3">
      <c r="A143" s="66" t="s">
        <v>30</v>
      </c>
      <c r="C143" s="67"/>
      <c r="D143" s="77"/>
      <c r="E143" s="77" t="s">
        <v>31</v>
      </c>
      <c r="F143" s="76" t="s">
        <v>31</v>
      </c>
      <c r="G143" s="76" t="s">
        <v>31</v>
      </c>
      <c r="H143" s="76"/>
      <c r="I143" s="76"/>
      <c r="J143" s="76" t="s">
        <v>31</v>
      </c>
      <c r="K143" s="76" t="s">
        <v>31</v>
      </c>
      <c r="L143" s="76" t="s">
        <v>31</v>
      </c>
      <c r="M143" s="76" t="s">
        <v>31</v>
      </c>
      <c r="N143" s="76"/>
      <c r="U143" s="81"/>
    </row>
    <row r="144" spans="1:21" ht="20.25" customHeight="1" x14ac:dyDescent="0.35">
      <c r="A144" s="66" t="s">
        <v>30</v>
      </c>
      <c r="C144" s="67"/>
      <c r="D144" s="92" t="str">
        <f t="shared" ref="D144" si="82">E144</f>
        <v>C100028</v>
      </c>
      <c r="E144" s="91" t="str">
        <f>"C100028"</f>
        <v>C100028</v>
      </c>
      <c r="F144" s="89" t="str">
        <f>"Twill Visor"</f>
        <v>Twill Visor</v>
      </c>
      <c r="G144" s="89"/>
      <c r="H144" s="90" t="str">
        <f>"EA"</f>
        <v>EA</v>
      </c>
      <c r="I144" s="89"/>
      <c r="J144" s="89"/>
      <c r="K144" s="89"/>
      <c r="L144" s="89"/>
      <c r="M144" s="89"/>
      <c r="N144" s="89"/>
      <c r="O144" s="88">
        <f>(SUBTOTAL(9,O145:O147))</f>
        <v>400</v>
      </c>
      <c r="P144" s="88">
        <f>(SUBTOTAL(9,P145:P147))</f>
        <v>-144</v>
      </c>
      <c r="Q144" s="88">
        <f>(SUBTOTAL(9,Q145:Q147))</f>
        <v>0</v>
      </c>
      <c r="R144" s="88">
        <f>(SUBTOTAL(9,R145:R147))</f>
        <v>0</v>
      </c>
      <c r="S144" s="88">
        <f>(SUBTOTAL(9,S145:S147))</f>
        <v>0</v>
      </c>
      <c r="T144" s="88">
        <f>(SUBTOTAL(9,T145:T147))</f>
        <v>0</v>
      </c>
      <c r="U144" s="87">
        <f t="shared" ref="U144" si="83">SUBTOTAL(9,O145:T147)</f>
        <v>256</v>
      </c>
    </row>
    <row r="145" spans="1:21" ht="17.25" customHeight="1" x14ac:dyDescent="0.3">
      <c r="A145" s="66" t="s">
        <v>30</v>
      </c>
      <c r="C145" s="67"/>
      <c r="D145" s="77" t="str">
        <f t="shared" ref="D145" si="84">D144</f>
        <v>C100028</v>
      </c>
      <c r="E145" s="77"/>
      <c r="F145" s="76"/>
      <c r="G145" s="76" t="str">
        <f>"""NAV Direct"",""CRONUS JetCorp USA"",""32"",""1"",""167120"""</f>
        <v>"NAV Direct","CRONUS JetCorp USA","32","1","167120"</v>
      </c>
      <c r="H145" s="86">
        <v>43466</v>
      </c>
      <c r="I145" s="85">
        <v>167120</v>
      </c>
      <c r="J145" s="84" t="str">
        <f>"Vendor"</f>
        <v>Vendor</v>
      </c>
      <c r="K145" s="84" t="str">
        <f>"V100007"</f>
        <v>V100007</v>
      </c>
      <c r="L145" s="84" t="str">
        <f>IF($J145="Customer",_xll.NL("first",$J145,"Name","No.","@@"&amp;$K145),"")</f>
        <v/>
      </c>
      <c r="M145" s="84" t="str">
        <f>"TrendTech"</f>
        <v>TrendTech</v>
      </c>
      <c r="N145" s="84" t="str">
        <f>IF($J145="Item",_xll.NL("first",$J145,"Description","No.","@@"&amp;$K145),"")</f>
        <v/>
      </c>
      <c r="O145" s="83">
        <v>400</v>
      </c>
      <c r="P145" s="83">
        <v>0</v>
      </c>
      <c r="Q145" s="83">
        <v>0</v>
      </c>
      <c r="R145" s="83">
        <v>0</v>
      </c>
      <c r="S145" s="83">
        <v>0</v>
      </c>
      <c r="T145" s="83">
        <v>0</v>
      </c>
      <c r="U145" s="82"/>
    </row>
    <row r="146" spans="1:21" ht="17.25" customHeight="1" x14ac:dyDescent="0.3">
      <c r="A146" s="66" t="s">
        <v>30</v>
      </c>
      <c r="C146" s="67"/>
      <c r="D146" s="77" t="str">
        <f t="shared" ref="D146" si="85">D145</f>
        <v>C100028</v>
      </c>
      <c r="E146" s="77"/>
      <c r="F146" s="76"/>
      <c r="G146" s="76" t="str">
        <f>"""NAV Direct"",""CRONUS JetCorp USA"",""32"",""1"",""124550"""</f>
        <v>"NAV Direct","CRONUS JetCorp USA","32","1","124550"</v>
      </c>
      <c r="H146" s="86">
        <v>43473</v>
      </c>
      <c r="I146" s="85">
        <v>124550</v>
      </c>
      <c r="J146" s="84" t="str">
        <f>"Customer"</f>
        <v>Customer</v>
      </c>
      <c r="K146" s="84" t="str">
        <f>"C100035"</f>
        <v>C100035</v>
      </c>
      <c r="L146" s="84" t="str">
        <f>IF($J146="Customer",_xll.NL("first",$J146,"Name","No.","@@"&amp;$K146),"")</f>
        <v>First Touch Marketing</v>
      </c>
      <c r="M146" s="84" t="str">
        <f>""</f>
        <v/>
      </c>
      <c r="N146" s="84" t="str">
        <f>IF($J146="Item",_xll.NL("first",$J146,"Description","No.","@@"&amp;$K146),"")</f>
        <v/>
      </c>
      <c r="O146" s="83">
        <v>0</v>
      </c>
      <c r="P146" s="83">
        <v>-144</v>
      </c>
      <c r="Q146" s="83">
        <v>0</v>
      </c>
      <c r="R146" s="83">
        <v>0</v>
      </c>
      <c r="S146" s="83">
        <v>0</v>
      </c>
      <c r="T146" s="83">
        <v>0</v>
      </c>
      <c r="U146" s="82"/>
    </row>
    <row r="147" spans="1:21" ht="17.25" customHeight="1" x14ac:dyDescent="0.3">
      <c r="A147" s="66" t="s">
        <v>30</v>
      </c>
      <c r="C147" s="67"/>
      <c r="D147" s="77"/>
      <c r="E147" s="77"/>
      <c r="F147" s="76"/>
      <c r="G147" s="76"/>
      <c r="H147" s="76"/>
      <c r="I147" s="76"/>
      <c r="J147" s="76"/>
      <c r="K147" s="76"/>
      <c r="L147" s="76"/>
      <c r="M147" s="76"/>
      <c r="N147" s="76"/>
      <c r="O147" s="75"/>
      <c r="P147" s="75"/>
      <c r="Q147" s="75"/>
      <c r="R147" s="75"/>
      <c r="S147" s="75"/>
      <c r="T147" s="75"/>
      <c r="U147" s="74"/>
    </row>
    <row r="148" spans="1:21" ht="17.25" customHeight="1" x14ac:dyDescent="0.3">
      <c r="A148" s="66" t="s">
        <v>30</v>
      </c>
      <c r="C148" s="67"/>
      <c r="D148" s="77"/>
      <c r="E148" s="77" t="s">
        <v>31</v>
      </c>
      <c r="F148" s="76" t="s">
        <v>31</v>
      </c>
      <c r="G148" s="76" t="s">
        <v>31</v>
      </c>
      <c r="H148" s="76"/>
      <c r="I148" s="76"/>
      <c r="J148" s="76" t="s">
        <v>31</v>
      </c>
      <c r="K148" s="76" t="s">
        <v>31</v>
      </c>
      <c r="L148" s="76" t="s">
        <v>31</v>
      </c>
      <c r="M148" s="76" t="s">
        <v>31</v>
      </c>
      <c r="N148" s="76"/>
      <c r="U148" s="81"/>
    </row>
    <row r="149" spans="1:21" ht="20.25" customHeight="1" x14ac:dyDescent="0.35">
      <c r="A149" s="66" t="s">
        <v>30</v>
      </c>
      <c r="C149" s="67"/>
      <c r="D149" s="92" t="str">
        <f t="shared" ref="D149" si="86">E149</f>
        <v>C100029</v>
      </c>
      <c r="E149" s="91" t="str">
        <f>"C100029"</f>
        <v>C100029</v>
      </c>
      <c r="F149" s="89" t="str">
        <f>"Distressed Twill Visor"</f>
        <v>Distressed Twill Visor</v>
      </c>
      <c r="G149" s="89"/>
      <c r="H149" s="90" t="str">
        <f>"EA"</f>
        <v>EA</v>
      </c>
      <c r="I149" s="89"/>
      <c r="J149" s="89"/>
      <c r="K149" s="89"/>
      <c r="L149" s="89"/>
      <c r="M149" s="89"/>
      <c r="N149" s="89"/>
      <c r="O149" s="88">
        <f>(SUBTOTAL(9,O150:O153))</f>
        <v>800</v>
      </c>
      <c r="P149" s="88">
        <f>(SUBTOTAL(9,P150:P153))</f>
        <v>-600</v>
      </c>
      <c r="Q149" s="88">
        <f>(SUBTOTAL(9,Q150:Q153))</f>
        <v>0</v>
      </c>
      <c r="R149" s="88">
        <f>(SUBTOTAL(9,R150:R153))</f>
        <v>0</v>
      </c>
      <c r="S149" s="88">
        <f>(SUBTOTAL(9,S150:S153))</f>
        <v>0</v>
      </c>
      <c r="T149" s="88">
        <f>(SUBTOTAL(9,T150:T153))</f>
        <v>0</v>
      </c>
      <c r="U149" s="87">
        <f t="shared" ref="U149" si="87">SUBTOTAL(9,O150:T153)</f>
        <v>200</v>
      </c>
    </row>
    <row r="150" spans="1:21" ht="17.25" customHeight="1" x14ac:dyDescent="0.3">
      <c r="A150" s="66" t="s">
        <v>30</v>
      </c>
      <c r="C150" s="67"/>
      <c r="D150" s="77" t="str">
        <f t="shared" ref="D150" si="88">D149</f>
        <v>C100029</v>
      </c>
      <c r="E150" s="77"/>
      <c r="F150" s="76"/>
      <c r="G150" s="76" t="str">
        <f>"""NAV Direct"",""CRONUS JetCorp USA"",""32"",""1"",""132497"""</f>
        <v>"NAV Direct","CRONUS JetCorp USA","32","1","132497"</v>
      </c>
      <c r="H150" s="86">
        <v>43466</v>
      </c>
      <c r="I150" s="85">
        <v>132497</v>
      </c>
      <c r="J150" s="84" t="str">
        <f>"Customer"</f>
        <v>Customer</v>
      </c>
      <c r="K150" s="84" t="str">
        <f>"C100040"</f>
        <v>C100040</v>
      </c>
      <c r="L150" s="84" t="str">
        <f>IF($J150="Customer",_xll.NL("first",$J150,"Name","No.","@@"&amp;$K150),"")</f>
        <v>Guildford Water Department</v>
      </c>
      <c r="M150" s="84" t="str">
        <f>""</f>
        <v/>
      </c>
      <c r="N150" s="84" t="str">
        <f>IF($J150="Item",_xll.NL("first",$J150,"Description","No.","@@"&amp;$K150),"")</f>
        <v/>
      </c>
      <c r="O150" s="83">
        <v>0</v>
      </c>
      <c r="P150" s="83">
        <v>-144</v>
      </c>
      <c r="Q150" s="83">
        <v>0</v>
      </c>
      <c r="R150" s="83">
        <v>0</v>
      </c>
      <c r="S150" s="83">
        <v>0</v>
      </c>
      <c r="T150" s="83">
        <v>0</v>
      </c>
      <c r="U150" s="82"/>
    </row>
    <row r="151" spans="1:21" ht="17.25" customHeight="1" x14ac:dyDescent="0.3">
      <c r="A151" s="66" t="s">
        <v>30</v>
      </c>
      <c r="C151" s="67"/>
      <c r="D151" s="77" t="str">
        <f t="shared" ref="D151:D152" si="89">D150</f>
        <v>C100029</v>
      </c>
      <c r="E151" s="77"/>
      <c r="F151" s="76"/>
      <c r="G151" s="76" t="str">
        <f>"""NAV Direct"",""CRONUS JetCorp USA"",""32"",""1"",""167119"""</f>
        <v>"NAV Direct","CRONUS JetCorp USA","32","1","167119"</v>
      </c>
      <c r="H151" s="86">
        <v>43466</v>
      </c>
      <c r="I151" s="85">
        <v>167119</v>
      </c>
      <c r="J151" s="84" t="str">
        <f>"Vendor"</f>
        <v>Vendor</v>
      </c>
      <c r="K151" s="84" t="str">
        <f>"V100007"</f>
        <v>V100007</v>
      </c>
      <c r="L151" s="84" t="str">
        <f>IF($J151="Customer",_xll.NL("first",$J151,"Name","No.","@@"&amp;$K151),"")</f>
        <v/>
      </c>
      <c r="M151" s="84" t="str">
        <f>"TrendTech"</f>
        <v>TrendTech</v>
      </c>
      <c r="N151" s="84" t="str">
        <f>IF($J151="Item",_xll.NL("first",$J151,"Description","No.","@@"&amp;$K151),"")</f>
        <v/>
      </c>
      <c r="O151" s="83">
        <v>800</v>
      </c>
      <c r="P151" s="83">
        <v>0</v>
      </c>
      <c r="Q151" s="83">
        <v>0</v>
      </c>
      <c r="R151" s="83">
        <v>0</v>
      </c>
      <c r="S151" s="83">
        <v>0</v>
      </c>
      <c r="T151" s="83">
        <v>0</v>
      </c>
      <c r="U151" s="82"/>
    </row>
    <row r="152" spans="1:21" ht="17.25" customHeight="1" x14ac:dyDescent="0.3">
      <c r="A152" s="66" t="s">
        <v>30</v>
      </c>
      <c r="C152" s="67"/>
      <c r="D152" s="77" t="str">
        <f t="shared" si="89"/>
        <v>C100029</v>
      </c>
      <c r="E152" s="77"/>
      <c r="F152" s="76"/>
      <c r="G152" s="76" t="str">
        <f>"""NAV Direct"",""CRONUS JetCorp USA"",""32"",""1"",""124585"""</f>
        <v>"NAV Direct","CRONUS JetCorp USA","32","1","124585"</v>
      </c>
      <c r="H152" s="86">
        <v>43475</v>
      </c>
      <c r="I152" s="85">
        <v>124585</v>
      </c>
      <c r="J152" s="84" t="str">
        <f>"Customer"</f>
        <v>Customer</v>
      </c>
      <c r="K152" s="84" t="str">
        <f>"C100035"</f>
        <v>C100035</v>
      </c>
      <c r="L152" s="84" t="str">
        <f>IF($J152="Customer",_xll.NL("first",$J152,"Name","No.","@@"&amp;$K152),"")</f>
        <v>First Touch Marketing</v>
      </c>
      <c r="M152" s="84" t="str">
        <f>""</f>
        <v/>
      </c>
      <c r="N152" s="84" t="str">
        <f>IF($J152="Item",_xll.NL("first",$J152,"Description","No.","@@"&amp;$K152),"")</f>
        <v/>
      </c>
      <c r="O152" s="83">
        <v>0</v>
      </c>
      <c r="P152" s="83">
        <v>-456</v>
      </c>
      <c r="Q152" s="83">
        <v>0</v>
      </c>
      <c r="R152" s="83">
        <v>0</v>
      </c>
      <c r="S152" s="83">
        <v>0</v>
      </c>
      <c r="T152" s="83">
        <v>0</v>
      </c>
      <c r="U152" s="82"/>
    </row>
    <row r="153" spans="1:21" ht="17.25" customHeight="1" x14ac:dyDescent="0.3">
      <c r="A153" s="66" t="s">
        <v>30</v>
      </c>
      <c r="C153" s="67"/>
      <c r="D153" s="77"/>
      <c r="E153" s="77"/>
      <c r="F153" s="76"/>
      <c r="G153" s="76"/>
      <c r="H153" s="76"/>
      <c r="I153" s="76"/>
      <c r="J153" s="76"/>
      <c r="K153" s="76"/>
      <c r="L153" s="76"/>
      <c r="M153" s="76"/>
      <c r="N153" s="76"/>
      <c r="O153" s="75"/>
      <c r="P153" s="75"/>
      <c r="Q153" s="75"/>
      <c r="R153" s="75"/>
      <c r="S153" s="75"/>
      <c r="T153" s="75"/>
      <c r="U153" s="74"/>
    </row>
    <row r="154" spans="1:21" ht="17.25" customHeight="1" x14ac:dyDescent="0.3">
      <c r="A154" s="66" t="s">
        <v>30</v>
      </c>
      <c r="C154" s="67"/>
      <c r="D154" s="77"/>
      <c r="E154" s="77" t="s">
        <v>31</v>
      </c>
      <c r="F154" s="76" t="s">
        <v>31</v>
      </c>
      <c r="G154" s="76" t="s">
        <v>31</v>
      </c>
      <c r="H154" s="76"/>
      <c r="I154" s="76"/>
      <c r="J154" s="76" t="s">
        <v>31</v>
      </c>
      <c r="K154" s="76" t="s">
        <v>31</v>
      </c>
      <c r="L154" s="76" t="s">
        <v>31</v>
      </c>
      <c r="M154" s="76" t="s">
        <v>31</v>
      </c>
      <c r="N154" s="76"/>
      <c r="U154" s="81"/>
    </row>
    <row r="155" spans="1:21" ht="20.25" customHeight="1" x14ac:dyDescent="0.35">
      <c r="A155" s="66" t="s">
        <v>30</v>
      </c>
      <c r="C155" s="67"/>
      <c r="D155" s="92" t="str">
        <f t="shared" ref="D155" si="90">E155</f>
        <v>C100030</v>
      </c>
      <c r="E155" s="91" t="str">
        <f>"C100030"</f>
        <v>C100030</v>
      </c>
      <c r="F155" s="89" t="str">
        <f>"Fashion Visor"</f>
        <v>Fashion Visor</v>
      </c>
      <c r="G155" s="89"/>
      <c r="H155" s="90" t="str">
        <f>"EA"</f>
        <v>EA</v>
      </c>
      <c r="I155" s="89"/>
      <c r="J155" s="89"/>
      <c r="K155" s="89"/>
      <c r="L155" s="89"/>
      <c r="M155" s="89"/>
      <c r="N155" s="89"/>
      <c r="O155" s="88">
        <f>(SUBTOTAL(9,O156:O157))</f>
        <v>400</v>
      </c>
      <c r="P155" s="88">
        <f>(SUBTOTAL(9,P156:P157))</f>
        <v>0</v>
      </c>
      <c r="Q155" s="88">
        <f>(SUBTOTAL(9,Q156:Q157))</f>
        <v>0</v>
      </c>
      <c r="R155" s="88">
        <f>(SUBTOTAL(9,R156:R157))</f>
        <v>0</v>
      </c>
      <c r="S155" s="88">
        <f>(SUBTOTAL(9,S156:S157))</f>
        <v>0</v>
      </c>
      <c r="T155" s="88">
        <f>(SUBTOTAL(9,T156:T157))</f>
        <v>0</v>
      </c>
      <c r="U155" s="87">
        <f t="shared" ref="U155" si="91">SUBTOTAL(9,O156:T157)</f>
        <v>400</v>
      </c>
    </row>
    <row r="156" spans="1:21" ht="17.25" customHeight="1" x14ac:dyDescent="0.3">
      <c r="A156" s="66" t="s">
        <v>30</v>
      </c>
      <c r="C156" s="67"/>
      <c r="D156" s="77" t="str">
        <f t="shared" ref="D156" si="92">D155</f>
        <v>C100030</v>
      </c>
      <c r="E156" s="77"/>
      <c r="F156" s="76"/>
      <c r="G156" s="76" t="str">
        <f>"""NAV Direct"",""CRONUS JetCorp USA"",""32"",""1"",""167118"""</f>
        <v>"NAV Direct","CRONUS JetCorp USA","32","1","167118"</v>
      </c>
      <c r="H156" s="86">
        <v>43466</v>
      </c>
      <c r="I156" s="85">
        <v>167118</v>
      </c>
      <c r="J156" s="84" t="str">
        <f>"Vendor"</f>
        <v>Vendor</v>
      </c>
      <c r="K156" s="84" t="str">
        <f>"V100007"</f>
        <v>V100007</v>
      </c>
      <c r="L156" s="84" t="str">
        <f>IF($J156="Customer",_xll.NL("first",$J156,"Name","No.","@@"&amp;$K156),"")</f>
        <v/>
      </c>
      <c r="M156" s="84" t="str">
        <f>"TrendTech"</f>
        <v>TrendTech</v>
      </c>
      <c r="N156" s="84" t="str">
        <f>IF($J156="Item",_xll.NL("first",$J156,"Description","No.","@@"&amp;$K156),"")</f>
        <v/>
      </c>
      <c r="O156" s="83">
        <v>400</v>
      </c>
      <c r="P156" s="83">
        <v>0</v>
      </c>
      <c r="Q156" s="83">
        <v>0</v>
      </c>
      <c r="R156" s="83">
        <v>0</v>
      </c>
      <c r="S156" s="83">
        <v>0</v>
      </c>
      <c r="T156" s="83">
        <v>0</v>
      </c>
      <c r="U156" s="82"/>
    </row>
    <row r="157" spans="1:21" ht="17.25" customHeight="1" x14ac:dyDescent="0.3">
      <c r="A157" s="66" t="s">
        <v>30</v>
      </c>
      <c r="C157" s="67"/>
      <c r="D157" s="77"/>
      <c r="E157" s="77"/>
      <c r="F157" s="76"/>
      <c r="G157" s="76"/>
      <c r="H157" s="76"/>
      <c r="I157" s="76"/>
      <c r="J157" s="76"/>
      <c r="K157" s="76"/>
      <c r="L157" s="76"/>
      <c r="M157" s="76"/>
      <c r="N157" s="76"/>
      <c r="O157" s="75"/>
      <c r="P157" s="75"/>
      <c r="Q157" s="75"/>
      <c r="R157" s="75"/>
      <c r="S157" s="75"/>
      <c r="T157" s="75"/>
      <c r="U157" s="74"/>
    </row>
    <row r="158" spans="1:21" ht="17.25" customHeight="1" x14ac:dyDescent="0.3">
      <c r="A158" s="66" t="s">
        <v>30</v>
      </c>
      <c r="C158" s="67"/>
      <c r="D158" s="77"/>
      <c r="E158" s="77" t="s">
        <v>31</v>
      </c>
      <c r="F158" s="76" t="s">
        <v>31</v>
      </c>
      <c r="G158" s="76" t="s">
        <v>31</v>
      </c>
      <c r="H158" s="76"/>
      <c r="I158" s="76"/>
      <c r="J158" s="76" t="s">
        <v>31</v>
      </c>
      <c r="K158" s="76" t="s">
        <v>31</v>
      </c>
      <c r="L158" s="76" t="s">
        <v>31</v>
      </c>
      <c r="M158" s="76" t="s">
        <v>31</v>
      </c>
      <c r="N158" s="76"/>
      <c r="U158" s="81"/>
    </row>
    <row r="159" spans="1:21" ht="20.25" customHeight="1" x14ac:dyDescent="0.35">
      <c r="A159" s="66" t="s">
        <v>30</v>
      </c>
      <c r="C159" s="67"/>
      <c r="D159" s="92" t="str">
        <f t="shared" ref="D159" si="93">E159</f>
        <v>C100031</v>
      </c>
      <c r="E159" s="91" t="str">
        <f>"C100031"</f>
        <v>C100031</v>
      </c>
      <c r="F159" s="89" t="str">
        <f>"Carabiner Watch"</f>
        <v>Carabiner Watch</v>
      </c>
      <c r="G159" s="89"/>
      <c r="H159" s="90" t="str">
        <f>"EA"</f>
        <v>EA</v>
      </c>
      <c r="I159" s="89"/>
      <c r="J159" s="89"/>
      <c r="K159" s="89"/>
      <c r="L159" s="89"/>
      <c r="M159" s="89"/>
      <c r="N159" s="89"/>
      <c r="O159" s="88">
        <f>(SUBTOTAL(9,O160:O162))</f>
        <v>400</v>
      </c>
      <c r="P159" s="88">
        <f>(SUBTOTAL(9,P160:P162))</f>
        <v>-12</v>
      </c>
      <c r="Q159" s="88">
        <f>(SUBTOTAL(9,Q160:Q162))</f>
        <v>0</v>
      </c>
      <c r="R159" s="88">
        <f>(SUBTOTAL(9,R160:R162))</f>
        <v>0</v>
      </c>
      <c r="S159" s="88">
        <f>(SUBTOTAL(9,S160:S162))</f>
        <v>0</v>
      </c>
      <c r="T159" s="88">
        <f>(SUBTOTAL(9,T160:T162))</f>
        <v>0</v>
      </c>
      <c r="U159" s="87">
        <f t="shared" ref="U159" si="94">SUBTOTAL(9,O160:T162)</f>
        <v>388</v>
      </c>
    </row>
    <row r="160" spans="1:21" ht="17.25" customHeight="1" x14ac:dyDescent="0.3">
      <c r="A160" s="66" t="s">
        <v>30</v>
      </c>
      <c r="C160" s="67"/>
      <c r="D160" s="77" t="str">
        <f t="shared" ref="D160" si="95">D159</f>
        <v>C100031</v>
      </c>
      <c r="E160" s="77"/>
      <c r="F160" s="76"/>
      <c r="G160" s="76" t="str">
        <f>"""NAV Direct"",""CRONUS JetCorp USA"",""32"",""1"",""132502"""</f>
        <v>"NAV Direct","CRONUS JetCorp USA","32","1","132502"</v>
      </c>
      <c r="H160" s="86">
        <v>43466</v>
      </c>
      <c r="I160" s="85">
        <v>132502</v>
      </c>
      <c r="J160" s="84" t="str">
        <f>"Customer"</f>
        <v>Customer</v>
      </c>
      <c r="K160" s="84" t="str">
        <f>"C100040"</f>
        <v>C100040</v>
      </c>
      <c r="L160" s="84" t="str">
        <f>IF($J160="Customer",_xll.NL("first",$J160,"Name","No.","@@"&amp;$K160),"")</f>
        <v>Guildford Water Department</v>
      </c>
      <c r="M160" s="84" t="str">
        <f>""</f>
        <v/>
      </c>
      <c r="N160" s="84" t="str">
        <f>IF($J160="Item",_xll.NL("first",$J160,"Description","No.","@@"&amp;$K160),"")</f>
        <v/>
      </c>
      <c r="O160" s="83">
        <v>0</v>
      </c>
      <c r="P160" s="83">
        <v>-12</v>
      </c>
      <c r="Q160" s="83">
        <v>0</v>
      </c>
      <c r="R160" s="83">
        <v>0</v>
      </c>
      <c r="S160" s="83">
        <v>0</v>
      </c>
      <c r="T160" s="83">
        <v>0</v>
      </c>
      <c r="U160" s="82"/>
    </row>
    <row r="161" spans="1:21" ht="17.25" customHeight="1" x14ac:dyDescent="0.3">
      <c r="A161" s="66" t="s">
        <v>30</v>
      </c>
      <c r="C161" s="67"/>
      <c r="D161" s="77" t="str">
        <f t="shared" ref="D161" si="96">D160</f>
        <v>C100031</v>
      </c>
      <c r="E161" s="77"/>
      <c r="F161" s="76"/>
      <c r="G161" s="76" t="str">
        <f>"""NAV Direct"",""CRONUS JetCorp USA"",""32"",""1"",""167568"""</f>
        <v>"NAV Direct","CRONUS JetCorp USA","32","1","167568"</v>
      </c>
      <c r="H161" s="86">
        <v>43466</v>
      </c>
      <c r="I161" s="85">
        <v>167568</v>
      </c>
      <c r="J161" s="84" t="str">
        <f>"Vendor"</f>
        <v>Vendor</v>
      </c>
      <c r="K161" s="84" t="str">
        <f>"V100007"</f>
        <v>V100007</v>
      </c>
      <c r="L161" s="84" t="str">
        <f>IF($J161="Customer",_xll.NL("first",$J161,"Name","No.","@@"&amp;$K161),"")</f>
        <v/>
      </c>
      <c r="M161" s="84" t="str">
        <f>"TrendTech"</f>
        <v>TrendTech</v>
      </c>
      <c r="N161" s="84" t="str">
        <f>IF($J161="Item",_xll.NL("first",$J161,"Description","No.","@@"&amp;$K161),"")</f>
        <v/>
      </c>
      <c r="O161" s="83">
        <v>400</v>
      </c>
      <c r="P161" s="83">
        <v>0</v>
      </c>
      <c r="Q161" s="83">
        <v>0</v>
      </c>
      <c r="R161" s="83">
        <v>0</v>
      </c>
      <c r="S161" s="83">
        <v>0</v>
      </c>
      <c r="T161" s="83">
        <v>0</v>
      </c>
      <c r="U161" s="82"/>
    </row>
    <row r="162" spans="1:21" ht="17.25" customHeight="1" x14ac:dyDescent="0.3">
      <c r="A162" s="66" t="s">
        <v>30</v>
      </c>
      <c r="C162" s="67"/>
      <c r="D162" s="77"/>
      <c r="E162" s="77"/>
      <c r="F162" s="76"/>
      <c r="G162" s="76"/>
      <c r="H162" s="76"/>
      <c r="I162" s="76"/>
      <c r="J162" s="76"/>
      <c r="K162" s="76"/>
      <c r="L162" s="76"/>
      <c r="M162" s="76"/>
      <c r="N162" s="76"/>
      <c r="O162" s="75"/>
      <c r="P162" s="75"/>
      <c r="Q162" s="75"/>
      <c r="R162" s="75"/>
      <c r="S162" s="75"/>
      <c r="T162" s="75"/>
      <c r="U162" s="74"/>
    </row>
    <row r="163" spans="1:21" ht="17.25" customHeight="1" x14ac:dyDescent="0.3">
      <c r="A163" s="66" t="s">
        <v>30</v>
      </c>
      <c r="C163" s="67"/>
      <c r="D163" s="77"/>
      <c r="E163" s="77" t="s">
        <v>31</v>
      </c>
      <c r="F163" s="76" t="s">
        <v>31</v>
      </c>
      <c r="G163" s="76" t="s">
        <v>31</v>
      </c>
      <c r="H163" s="76"/>
      <c r="I163" s="76"/>
      <c r="J163" s="76" t="s">
        <v>31</v>
      </c>
      <c r="K163" s="76" t="s">
        <v>31</v>
      </c>
      <c r="L163" s="76" t="s">
        <v>31</v>
      </c>
      <c r="M163" s="76" t="s">
        <v>31</v>
      </c>
      <c r="N163" s="76"/>
      <c r="U163" s="81"/>
    </row>
    <row r="164" spans="1:21" ht="20.25" customHeight="1" x14ac:dyDescent="0.35">
      <c r="A164" s="66" t="s">
        <v>30</v>
      </c>
      <c r="C164" s="67"/>
      <c r="D164" s="92" t="str">
        <f t="shared" ref="D164" si="97">E164</f>
        <v>C100032</v>
      </c>
      <c r="E164" s="91" t="str">
        <f>"C100032"</f>
        <v>C100032</v>
      </c>
      <c r="F164" s="89" t="str">
        <f>"Clip-on Clock"</f>
        <v>Clip-on Clock</v>
      </c>
      <c r="G164" s="89"/>
      <c r="H164" s="90" t="str">
        <f>"EA"</f>
        <v>EA</v>
      </c>
      <c r="I164" s="89"/>
      <c r="J164" s="89"/>
      <c r="K164" s="89"/>
      <c r="L164" s="89"/>
      <c r="M164" s="89"/>
      <c r="N164" s="89"/>
      <c r="O164" s="88">
        <f>(SUBTOTAL(9,O165:O170))</f>
        <v>600</v>
      </c>
      <c r="P164" s="88">
        <f>(SUBTOTAL(9,P165:P170))</f>
        <v>-337</v>
      </c>
      <c r="Q164" s="88">
        <f>(SUBTOTAL(9,Q165:Q170))</f>
        <v>0</v>
      </c>
      <c r="R164" s="88">
        <f>(SUBTOTAL(9,R165:R170))</f>
        <v>0</v>
      </c>
      <c r="S164" s="88">
        <f>(SUBTOTAL(9,S165:S170))</f>
        <v>0</v>
      </c>
      <c r="T164" s="88">
        <f>(SUBTOTAL(9,T165:T170))</f>
        <v>0</v>
      </c>
      <c r="U164" s="87">
        <f t="shared" ref="U164" si="98">SUBTOTAL(9,O165:T170)</f>
        <v>263</v>
      </c>
    </row>
    <row r="165" spans="1:21" ht="17.25" customHeight="1" x14ac:dyDescent="0.3">
      <c r="A165" s="66" t="s">
        <v>30</v>
      </c>
      <c r="C165" s="67"/>
      <c r="D165" s="77" t="str">
        <f t="shared" ref="D165" si="99">D164</f>
        <v>C100032</v>
      </c>
      <c r="E165" s="77"/>
      <c r="F165" s="76"/>
      <c r="G165" s="76" t="str">
        <f>"""NAV Direct"",""CRONUS JetCorp USA"",""32"",""1"",""167567"""</f>
        <v>"NAV Direct","CRONUS JetCorp USA","32","1","167567"</v>
      </c>
      <c r="H165" s="86">
        <v>43466</v>
      </c>
      <c r="I165" s="85">
        <v>167567</v>
      </c>
      <c r="J165" s="84" t="str">
        <f>"Vendor"</f>
        <v>Vendor</v>
      </c>
      <c r="K165" s="84" t="str">
        <f>"V100007"</f>
        <v>V100007</v>
      </c>
      <c r="L165" s="84" t="str">
        <f>IF($J165="Customer",_xll.NL("first",$J165,"Name","No.","@@"&amp;$K165),"")</f>
        <v/>
      </c>
      <c r="M165" s="84" t="str">
        <f>"TrendTech"</f>
        <v>TrendTech</v>
      </c>
      <c r="N165" s="84" t="str">
        <f>IF($J165="Item",_xll.NL("first",$J165,"Description","No.","@@"&amp;$K165),"")</f>
        <v/>
      </c>
      <c r="O165" s="83">
        <v>600</v>
      </c>
      <c r="P165" s="83">
        <v>0</v>
      </c>
      <c r="Q165" s="83">
        <v>0</v>
      </c>
      <c r="R165" s="83">
        <v>0</v>
      </c>
      <c r="S165" s="83">
        <v>0</v>
      </c>
      <c r="T165" s="83">
        <v>0</v>
      </c>
      <c r="U165" s="82"/>
    </row>
    <row r="166" spans="1:21" ht="17.25" customHeight="1" x14ac:dyDescent="0.3">
      <c r="A166" s="66" t="s">
        <v>30</v>
      </c>
      <c r="C166" s="67"/>
      <c r="D166" s="77" t="str">
        <f t="shared" ref="D166:D169" si="100">D165</f>
        <v>C100032</v>
      </c>
      <c r="E166" s="77"/>
      <c r="F166" s="76"/>
      <c r="G166" s="76" t="str">
        <f>"""NAV Direct"",""CRONUS JetCorp USA"",""32"",""1"",""111296"""</f>
        <v>"NAV Direct","CRONUS JetCorp USA","32","1","111296"</v>
      </c>
      <c r="H166" s="86">
        <v>43470</v>
      </c>
      <c r="I166" s="85">
        <v>111296</v>
      </c>
      <c r="J166" s="84" t="str">
        <f>"Customer"</f>
        <v>Customer</v>
      </c>
      <c r="K166" s="84" t="str">
        <f>"C100037"</f>
        <v>C100037</v>
      </c>
      <c r="L166" s="84" t="str">
        <f>IF($J166="Customer",_xll.NL("first",$J166,"Name","No.","@@"&amp;$K166),"")</f>
        <v>Tempsons Tropies</v>
      </c>
      <c r="M166" s="84" t="str">
        <f>""</f>
        <v/>
      </c>
      <c r="N166" s="84" t="str">
        <f>IF($J166="Item",_xll.NL("first",$J166,"Description","No.","@@"&amp;$K166),"")</f>
        <v/>
      </c>
      <c r="O166" s="83">
        <v>0</v>
      </c>
      <c r="P166" s="83">
        <v>-1</v>
      </c>
      <c r="Q166" s="83">
        <v>0</v>
      </c>
      <c r="R166" s="83">
        <v>0</v>
      </c>
      <c r="S166" s="83">
        <v>0</v>
      </c>
      <c r="T166" s="83">
        <v>0</v>
      </c>
      <c r="U166" s="82"/>
    </row>
    <row r="167" spans="1:21" ht="17.25" customHeight="1" x14ac:dyDescent="0.3">
      <c r="A167" s="66" t="s">
        <v>30</v>
      </c>
      <c r="C167" s="67"/>
      <c r="D167" s="77" t="str">
        <f t="shared" si="100"/>
        <v>C100032</v>
      </c>
      <c r="E167" s="77"/>
      <c r="F167" s="76"/>
      <c r="G167" s="76" t="str">
        <f>"""NAV Direct"",""CRONUS JetCorp USA"",""32"",""1"",""111313"""</f>
        <v>"NAV Direct","CRONUS JetCorp USA","32","1","111313"</v>
      </c>
      <c r="H167" s="86">
        <v>43472</v>
      </c>
      <c r="I167" s="85">
        <v>111313</v>
      </c>
      <c r="J167" s="84" t="str">
        <f>"Customer"</f>
        <v>Customer</v>
      </c>
      <c r="K167" s="84" t="str">
        <f>"C100099"</f>
        <v>C100099</v>
      </c>
      <c r="L167" s="84" t="str">
        <f>IF($J167="Customer",_xll.NL("first",$J167,"Name","No.","@@"&amp;$K167),"")</f>
        <v>Voltive Systems</v>
      </c>
      <c r="M167" s="84" t="str">
        <f>""</f>
        <v/>
      </c>
      <c r="N167" s="84" t="str">
        <f>IF($J167="Item",_xll.NL("first",$J167,"Description","No.","@@"&amp;$K167),"")</f>
        <v/>
      </c>
      <c r="O167" s="83">
        <v>0</v>
      </c>
      <c r="P167" s="83">
        <v>-48</v>
      </c>
      <c r="Q167" s="83">
        <v>0</v>
      </c>
      <c r="R167" s="83">
        <v>0</v>
      </c>
      <c r="S167" s="83">
        <v>0</v>
      </c>
      <c r="T167" s="83">
        <v>0</v>
      </c>
      <c r="U167" s="82"/>
    </row>
    <row r="168" spans="1:21" ht="17.25" customHeight="1" x14ac:dyDescent="0.3">
      <c r="A168" s="66" t="s">
        <v>30</v>
      </c>
      <c r="C168" s="67"/>
      <c r="D168" s="77" t="str">
        <f t="shared" si="100"/>
        <v>C100032</v>
      </c>
      <c r="E168" s="77"/>
      <c r="F168" s="76"/>
      <c r="G168" s="76" t="str">
        <f>"""NAV Direct"",""CRONUS JetCorp USA"",""32"",""1"",""3899"""</f>
        <v>"NAV Direct","CRONUS JetCorp USA","32","1","3899"</v>
      </c>
      <c r="H168" s="86">
        <v>43473</v>
      </c>
      <c r="I168" s="85">
        <v>3899</v>
      </c>
      <c r="J168" s="84" t="str">
        <f>"Customer"</f>
        <v>Customer</v>
      </c>
      <c r="K168" s="84" t="str">
        <f>"C100037"</f>
        <v>C100037</v>
      </c>
      <c r="L168" s="84" t="str">
        <f>IF($J168="Customer",_xll.NL("first",$J168,"Name","No.","@@"&amp;$K168),"")</f>
        <v>Tempsons Tropies</v>
      </c>
      <c r="M168" s="84" t="str">
        <f>""</f>
        <v/>
      </c>
      <c r="N168" s="84" t="str">
        <f>IF($J168="Item",_xll.NL("first",$J168,"Description","No.","@@"&amp;$K168),"")</f>
        <v/>
      </c>
      <c r="O168" s="83">
        <v>0</v>
      </c>
      <c r="P168" s="83">
        <v>-144</v>
      </c>
      <c r="Q168" s="83">
        <v>0</v>
      </c>
      <c r="R168" s="83">
        <v>0</v>
      </c>
      <c r="S168" s="83">
        <v>0</v>
      </c>
      <c r="T168" s="83">
        <v>0</v>
      </c>
      <c r="U168" s="82"/>
    </row>
    <row r="169" spans="1:21" ht="17.25" customHeight="1" x14ac:dyDescent="0.3">
      <c r="A169" s="66" t="s">
        <v>30</v>
      </c>
      <c r="C169" s="67"/>
      <c r="D169" s="77" t="str">
        <f t="shared" si="100"/>
        <v>C100032</v>
      </c>
      <c r="E169" s="77"/>
      <c r="F169" s="76"/>
      <c r="G169" s="76" t="str">
        <f>"""NAV Direct"",""CRONUS JetCorp USA"",""32"",""1"",""124544"""</f>
        <v>"NAV Direct","CRONUS JetCorp USA","32","1","124544"</v>
      </c>
      <c r="H169" s="86">
        <v>43473</v>
      </c>
      <c r="I169" s="85">
        <v>124544</v>
      </c>
      <c r="J169" s="84" t="str">
        <f>"Customer"</f>
        <v>Customer</v>
      </c>
      <c r="K169" s="84" t="str">
        <f>"C100035"</f>
        <v>C100035</v>
      </c>
      <c r="L169" s="84" t="str">
        <f>IF($J169="Customer",_xll.NL("first",$J169,"Name","No.","@@"&amp;$K169),"")</f>
        <v>First Touch Marketing</v>
      </c>
      <c r="M169" s="84" t="str">
        <f>""</f>
        <v/>
      </c>
      <c r="N169" s="84" t="str">
        <f>IF($J169="Item",_xll.NL("first",$J169,"Description","No.","@@"&amp;$K169),"")</f>
        <v/>
      </c>
      <c r="O169" s="83">
        <v>0</v>
      </c>
      <c r="P169" s="83">
        <v>-144</v>
      </c>
      <c r="Q169" s="83">
        <v>0</v>
      </c>
      <c r="R169" s="83">
        <v>0</v>
      </c>
      <c r="S169" s="83">
        <v>0</v>
      </c>
      <c r="T169" s="83">
        <v>0</v>
      </c>
      <c r="U169" s="82"/>
    </row>
    <row r="170" spans="1:21" ht="17.25" customHeight="1" x14ac:dyDescent="0.3">
      <c r="A170" s="66" t="s">
        <v>30</v>
      </c>
      <c r="C170" s="67"/>
      <c r="D170" s="77"/>
      <c r="E170" s="77"/>
      <c r="F170" s="76"/>
      <c r="G170" s="76"/>
      <c r="H170" s="76"/>
      <c r="I170" s="76"/>
      <c r="J170" s="76"/>
      <c r="K170" s="76"/>
      <c r="L170" s="76"/>
      <c r="M170" s="76"/>
      <c r="N170" s="76"/>
      <c r="O170" s="75"/>
      <c r="P170" s="75"/>
      <c r="Q170" s="75"/>
      <c r="R170" s="75"/>
      <c r="S170" s="75"/>
      <c r="T170" s="75"/>
      <c r="U170" s="74"/>
    </row>
    <row r="171" spans="1:21" ht="17.25" customHeight="1" x14ac:dyDescent="0.3">
      <c r="A171" s="66" t="s">
        <v>30</v>
      </c>
      <c r="C171" s="67"/>
      <c r="D171" s="77"/>
      <c r="E171" s="77" t="s">
        <v>31</v>
      </c>
      <c r="F171" s="76" t="s">
        <v>31</v>
      </c>
      <c r="G171" s="76" t="s">
        <v>31</v>
      </c>
      <c r="H171" s="76"/>
      <c r="I171" s="76"/>
      <c r="J171" s="76" t="s">
        <v>31</v>
      </c>
      <c r="K171" s="76" t="s">
        <v>31</v>
      </c>
      <c r="L171" s="76" t="s">
        <v>31</v>
      </c>
      <c r="M171" s="76" t="s">
        <v>31</v>
      </c>
      <c r="N171" s="76"/>
      <c r="U171" s="81"/>
    </row>
    <row r="172" spans="1:21" ht="20.25" customHeight="1" x14ac:dyDescent="0.35">
      <c r="A172" s="66" t="s">
        <v>30</v>
      </c>
      <c r="C172" s="67"/>
      <c r="D172" s="92" t="str">
        <f t="shared" ref="D172" si="101">E172</f>
        <v>C100033</v>
      </c>
      <c r="E172" s="91" t="str">
        <f>"C100033"</f>
        <v>C100033</v>
      </c>
      <c r="F172" s="89" t="str">
        <f>"Frames &amp; Clock"</f>
        <v>Frames &amp; Clock</v>
      </c>
      <c r="G172" s="89"/>
      <c r="H172" s="90" t="str">
        <f>"EA"</f>
        <v>EA</v>
      </c>
      <c r="I172" s="89"/>
      <c r="J172" s="89"/>
      <c r="K172" s="89"/>
      <c r="L172" s="89"/>
      <c r="M172" s="89"/>
      <c r="N172" s="89"/>
      <c r="O172" s="88">
        <f>(SUBTOTAL(9,O173:O175))</f>
        <v>600</v>
      </c>
      <c r="P172" s="88">
        <f>(SUBTOTAL(9,P173:P175))</f>
        <v>-6</v>
      </c>
      <c r="Q172" s="88">
        <f>(SUBTOTAL(9,Q173:Q175))</f>
        <v>0</v>
      </c>
      <c r="R172" s="88">
        <f>(SUBTOTAL(9,R173:R175))</f>
        <v>0</v>
      </c>
      <c r="S172" s="88">
        <f>(SUBTOTAL(9,S173:S175))</f>
        <v>0</v>
      </c>
      <c r="T172" s="88">
        <f>(SUBTOTAL(9,T173:T175))</f>
        <v>0</v>
      </c>
      <c r="U172" s="87">
        <f t="shared" ref="U172" si="102">SUBTOTAL(9,O173:T175)</f>
        <v>594</v>
      </c>
    </row>
    <row r="173" spans="1:21" ht="17.25" customHeight="1" x14ac:dyDescent="0.3">
      <c r="A173" s="66" t="s">
        <v>30</v>
      </c>
      <c r="C173" s="67"/>
      <c r="D173" s="77" t="str">
        <f t="shared" ref="D173" si="103">D172</f>
        <v>C100033</v>
      </c>
      <c r="E173" s="77"/>
      <c r="F173" s="76"/>
      <c r="G173" s="76" t="str">
        <f>"""NAV Direct"",""CRONUS JetCorp USA"",""32"",""1"",""167566"""</f>
        <v>"NAV Direct","CRONUS JetCorp USA","32","1","167566"</v>
      </c>
      <c r="H173" s="86">
        <v>43466</v>
      </c>
      <c r="I173" s="85">
        <v>167566</v>
      </c>
      <c r="J173" s="84" t="str">
        <f>"Vendor"</f>
        <v>Vendor</v>
      </c>
      <c r="K173" s="84" t="str">
        <f>"V100007"</f>
        <v>V100007</v>
      </c>
      <c r="L173" s="84" t="str">
        <f>IF($J173="Customer",_xll.NL("first",$J173,"Name","No.","@@"&amp;$K173),"")</f>
        <v/>
      </c>
      <c r="M173" s="84" t="str">
        <f>"TrendTech"</f>
        <v>TrendTech</v>
      </c>
      <c r="N173" s="84" t="str">
        <f>IF($J173="Item",_xll.NL("first",$J173,"Description","No.","@@"&amp;$K173),"")</f>
        <v/>
      </c>
      <c r="O173" s="83">
        <v>600</v>
      </c>
      <c r="P173" s="83">
        <v>0</v>
      </c>
      <c r="Q173" s="83">
        <v>0</v>
      </c>
      <c r="R173" s="83">
        <v>0</v>
      </c>
      <c r="S173" s="83">
        <v>0</v>
      </c>
      <c r="T173" s="83">
        <v>0</v>
      </c>
      <c r="U173" s="82"/>
    </row>
    <row r="174" spans="1:21" ht="17.25" customHeight="1" x14ac:dyDescent="0.3">
      <c r="A174" s="66" t="s">
        <v>30</v>
      </c>
      <c r="C174" s="67"/>
      <c r="D174" s="77" t="str">
        <f t="shared" ref="D174" si="104">D173</f>
        <v>C100033</v>
      </c>
      <c r="E174" s="77"/>
      <c r="F174" s="76"/>
      <c r="G174" s="76" t="str">
        <f>"""NAV Direct"",""CRONUS JetCorp USA"",""32"",""1"",""111284"""</f>
        <v>"NAV Direct","CRONUS JetCorp USA","32","1","111284"</v>
      </c>
      <c r="H174" s="86">
        <v>43472</v>
      </c>
      <c r="I174" s="85">
        <v>111284</v>
      </c>
      <c r="J174" s="84" t="str">
        <f>"Customer"</f>
        <v>Customer</v>
      </c>
      <c r="K174" s="84" t="str">
        <f>"C100099"</f>
        <v>C100099</v>
      </c>
      <c r="L174" s="84" t="str">
        <f>IF($J174="Customer",_xll.NL("first",$J174,"Name","No.","@@"&amp;$K174),"")</f>
        <v>Voltive Systems</v>
      </c>
      <c r="M174" s="84" t="str">
        <f>""</f>
        <v/>
      </c>
      <c r="N174" s="84" t="str">
        <f>IF($J174="Item",_xll.NL("first",$J174,"Description","No.","@@"&amp;$K174),"")</f>
        <v/>
      </c>
      <c r="O174" s="83">
        <v>0</v>
      </c>
      <c r="P174" s="83">
        <v>-6</v>
      </c>
      <c r="Q174" s="83">
        <v>0</v>
      </c>
      <c r="R174" s="83">
        <v>0</v>
      </c>
      <c r="S174" s="83">
        <v>0</v>
      </c>
      <c r="T174" s="83">
        <v>0</v>
      </c>
      <c r="U174" s="82"/>
    </row>
    <row r="175" spans="1:21" ht="17.25" customHeight="1" x14ac:dyDescent="0.3">
      <c r="A175" s="66" t="s">
        <v>30</v>
      </c>
      <c r="C175" s="67"/>
      <c r="D175" s="77"/>
      <c r="E175" s="77"/>
      <c r="F175" s="76"/>
      <c r="G175" s="76"/>
      <c r="H175" s="76"/>
      <c r="I175" s="76"/>
      <c r="J175" s="76"/>
      <c r="K175" s="76"/>
      <c r="L175" s="76"/>
      <c r="M175" s="76"/>
      <c r="N175" s="76"/>
      <c r="O175" s="75"/>
      <c r="P175" s="75"/>
      <c r="Q175" s="75"/>
      <c r="R175" s="75"/>
      <c r="S175" s="75"/>
      <c r="T175" s="75"/>
      <c r="U175" s="74"/>
    </row>
    <row r="176" spans="1:21" ht="17.25" customHeight="1" x14ac:dyDescent="0.3">
      <c r="A176" s="66" t="s">
        <v>30</v>
      </c>
      <c r="C176" s="67"/>
      <c r="D176" s="77"/>
      <c r="E176" s="77" t="s">
        <v>31</v>
      </c>
      <c r="F176" s="76" t="s">
        <v>31</v>
      </c>
      <c r="G176" s="76" t="s">
        <v>31</v>
      </c>
      <c r="H176" s="76"/>
      <c r="I176" s="76"/>
      <c r="J176" s="76" t="s">
        <v>31</v>
      </c>
      <c r="K176" s="76" t="s">
        <v>31</v>
      </c>
      <c r="L176" s="76" t="s">
        <v>31</v>
      </c>
      <c r="M176" s="76" t="s">
        <v>31</v>
      </c>
      <c r="N176" s="76"/>
      <c r="U176" s="81"/>
    </row>
    <row r="177" spans="1:21" ht="20.25" customHeight="1" x14ac:dyDescent="0.35">
      <c r="A177" s="66" t="s">
        <v>30</v>
      </c>
      <c r="C177" s="67"/>
      <c r="D177" s="92" t="str">
        <f t="shared" ref="D177" si="105">E177</f>
        <v>C100034</v>
      </c>
      <c r="E177" s="91" t="str">
        <f>"C100034"</f>
        <v>C100034</v>
      </c>
      <c r="F177" s="89" t="str">
        <f>"Clock &amp; Pen Holder"</f>
        <v>Clock &amp; Pen Holder</v>
      </c>
      <c r="G177" s="89"/>
      <c r="H177" s="90" t="str">
        <f>"EA"</f>
        <v>EA</v>
      </c>
      <c r="I177" s="89"/>
      <c r="J177" s="89"/>
      <c r="K177" s="89"/>
      <c r="L177" s="89"/>
      <c r="M177" s="89"/>
      <c r="N177" s="89"/>
      <c r="O177" s="88">
        <f>(SUBTOTAL(9,O178:O179))</f>
        <v>400</v>
      </c>
      <c r="P177" s="88">
        <f>(SUBTOTAL(9,P178:P179))</f>
        <v>0</v>
      </c>
      <c r="Q177" s="88">
        <f>(SUBTOTAL(9,Q178:Q179))</f>
        <v>0</v>
      </c>
      <c r="R177" s="88">
        <f>(SUBTOTAL(9,R178:R179))</f>
        <v>0</v>
      </c>
      <c r="S177" s="88">
        <f>(SUBTOTAL(9,S178:S179))</f>
        <v>0</v>
      </c>
      <c r="T177" s="88">
        <f>(SUBTOTAL(9,T178:T179))</f>
        <v>0</v>
      </c>
      <c r="U177" s="87">
        <f t="shared" ref="U177" si="106">SUBTOTAL(9,O178:T179)</f>
        <v>400</v>
      </c>
    </row>
    <row r="178" spans="1:21" ht="17.25" customHeight="1" x14ac:dyDescent="0.3">
      <c r="A178" s="66" t="s">
        <v>30</v>
      </c>
      <c r="C178" s="67"/>
      <c r="D178" s="77" t="str">
        <f t="shared" ref="D178" si="107">D177</f>
        <v>C100034</v>
      </c>
      <c r="E178" s="77"/>
      <c r="F178" s="76"/>
      <c r="G178" s="76" t="str">
        <f>"""NAV Direct"",""CRONUS JetCorp USA"",""32"",""1"",""167565"""</f>
        <v>"NAV Direct","CRONUS JetCorp USA","32","1","167565"</v>
      </c>
      <c r="H178" s="86">
        <v>43466</v>
      </c>
      <c r="I178" s="85">
        <v>167565</v>
      </c>
      <c r="J178" s="84" t="str">
        <f>"Vendor"</f>
        <v>Vendor</v>
      </c>
      <c r="K178" s="84" t="str">
        <f>"V100007"</f>
        <v>V100007</v>
      </c>
      <c r="L178" s="84" t="str">
        <f>IF($J178="Customer",_xll.NL("first",$J178,"Name","No.","@@"&amp;$K178),"")</f>
        <v/>
      </c>
      <c r="M178" s="84" t="str">
        <f>"TrendTech"</f>
        <v>TrendTech</v>
      </c>
      <c r="N178" s="84" t="str">
        <f>IF($J178="Item",_xll.NL("first",$J178,"Description","No.","@@"&amp;$K178),"")</f>
        <v/>
      </c>
      <c r="O178" s="83">
        <v>400</v>
      </c>
      <c r="P178" s="83">
        <v>0</v>
      </c>
      <c r="Q178" s="83">
        <v>0</v>
      </c>
      <c r="R178" s="83">
        <v>0</v>
      </c>
      <c r="S178" s="83">
        <v>0</v>
      </c>
      <c r="T178" s="83">
        <v>0</v>
      </c>
      <c r="U178" s="82"/>
    </row>
    <row r="179" spans="1:21" ht="17.25" customHeight="1" x14ac:dyDescent="0.3">
      <c r="A179" s="66" t="s">
        <v>30</v>
      </c>
      <c r="C179" s="67"/>
      <c r="D179" s="77"/>
      <c r="E179" s="77"/>
      <c r="F179" s="76"/>
      <c r="G179" s="76"/>
      <c r="H179" s="76"/>
      <c r="I179" s="76"/>
      <c r="J179" s="76"/>
      <c r="K179" s="76"/>
      <c r="L179" s="76"/>
      <c r="M179" s="76"/>
      <c r="N179" s="76"/>
      <c r="O179" s="75"/>
      <c r="P179" s="75"/>
      <c r="Q179" s="75"/>
      <c r="R179" s="75"/>
      <c r="S179" s="75"/>
      <c r="T179" s="75"/>
      <c r="U179" s="74"/>
    </row>
    <row r="180" spans="1:21" ht="17.25" customHeight="1" x14ac:dyDescent="0.3">
      <c r="A180" s="66" t="s">
        <v>30</v>
      </c>
      <c r="C180" s="67"/>
      <c r="D180" s="77"/>
      <c r="E180" s="77" t="s">
        <v>31</v>
      </c>
      <c r="F180" s="76" t="s">
        <v>31</v>
      </c>
      <c r="G180" s="76" t="s">
        <v>31</v>
      </c>
      <c r="H180" s="76"/>
      <c r="I180" s="76"/>
      <c r="J180" s="76" t="s">
        <v>31</v>
      </c>
      <c r="K180" s="76" t="s">
        <v>31</v>
      </c>
      <c r="L180" s="76" t="s">
        <v>31</v>
      </c>
      <c r="M180" s="76" t="s">
        <v>31</v>
      </c>
      <c r="N180" s="76"/>
      <c r="U180" s="81"/>
    </row>
    <row r="181" spans="1:21" ht="20.25" customHeight="1" x14ac:dyDescent="0.35">
      <c r="A181" s="66" t="s">
        <v>30</v>
      </c>
      <c r="C181" s="67"/>
      <c r="D181" s="92" t="str">
        <f t="shared" ref="D181" si="108">E181</f>
        <v>C100035</v>
      </c>
      <c r="E181" s="91" t="str">
        <f>"C100035"</f>
        <v>C100035</v>
      </c>
      <c r="F181" s="89" t="str">
        <f>"Calculator &amp; World Time Clock"</f>
        <v>Calculator &amp; World Time Clock</v>
      </c>
      <c r="G181" s="89"/>
      <c r="H181" s="90" t="str">
        <f>"EA"</f>
        <v>EA</v>
      </c>
      <c r="I181" s="89"/>
      <c r="J181" s="89"/>
      <c r="K181" s="89"/>
      <c r="L181" s="89"/>
      <c r="M181" s="89"/>
      <c r="N181" s="89"/>
      <c r="O181" s="88">
        <f>(SUBTOTAL(9,O182:O188))</f>
        <v>999.99999999999989</v>
      </c>
      <c r="P181" s="88">
        <f>(SUBTOTAL(9,P182:P188))</f>
        <v>-148</v>
      </c>
      <c r="Q181" s="88">
        <f>(SUBTOTAL(9,Q182:Q188))</f>
        <v>0</v>
      </c>
      <c r="R181" s="88">
        <f>(SUBTOTAL(9,R182:R188))</f>
        <v>0</v>
      </c>
      <c r="S181" s="88">
        <f>(SUBTOTAL(9,S182:S188))</f>
        <v>0</v>
      </c>
      <c r="T181" s="88">
        <f>(SUBTOTAL(9,T182:T188))</f>
        <v>0</v>
      </c>
      <c r="U181" s="87">
        <f t="shared" ref="U181" si="109">SUBTOTAL(9,O182:T188)</f>
        <v>851.99999999999989</v>
      </c>
    </row>
    <row r="182" spans="1:21" ht="17.25" customHeight="1" x14ac:dyDescent="0.3">
      <c r="A182" s="66" t="s">
        <v>30</v>
      </c>
      <c r="C182" s="67"/>
      <c r="D182" s="77" t="str">
        <f t="shared" ref="D182" si="110">D181</f>
        <v>C100035</v>
      </c>
      <c r="E182" s="77"/>
      <c r="F182" s="76"/>
      <c r="G182" s="76" t="str">
        <f>"""NAV Direct"",""CRONUS JetCorp USA"",""32"",""1"",""167564"""</f>
        <v>"NAV Direct","CRONUS JetCorp USA","32","1","167564"</v>
      </c>
      <c r="H182" s="86">
        <v>43466</v>
      </c>
      <c r="I182" s="85">
        <v>167564</v>
      </c>
      <c r="J182" s="84" t="str">
        <f>"Vendor"</f>
        <v>Vendor</v>
      </c>
      <c r="K182" s="84" t="str">
        <f>"V100007"</f>
        <v>V100007</v>
      </c>
      <c r="L182" s="84" t="str">
        <f>IF($J182="Customer",_xll.NL("first",$J182,"Name","No.","@@"&amp;$K182),"")</f>
        <v/>
      </c>
      <c r="M182" s="84" t="str">
        <f>"TrendTech"</f>
        <v>TrendTech</v>
      </c>
      <c r="N182" s="84" t="str">
        <f>IF($J182="Item",_xll.NL("first",$J182,"Description","No.","@@"&amp;$K182),"")</f>
        <v/>
      </c>
      <c r="O182" s="83">
        <v>999.99999999999989</v>
      </c>
      <c r="P182" s="83">
        <v>0</v>
      </c>
      <c r="Q182" s="83">
        <v>0</v>
      </c>
      <c r="R182" s="83">
        <v>0</v>
      </c>
      <c r="S182" s="83">
        <v>0</v>
      </c>
      <c r="T182" s="83">
        <v>0</v>
      </c>
      <c r="U182" s="82"/>
    </row>
    <row r="183" spans="1:21" ht="17.25" customHeight="1" x14ac:dyDescent="0.3">
      <c r="A183" s="66" t="s">
        <v>30</v>
      </c>
      <c r="C183" s="67"/>
      <c r="D183" s="77" t="str">
        <f t="shared" ref="D183:D187" si="111">D182</f>
        <v>C100035</v>
      </c>
      <c r="E183" s="77"/>
      <c r="F183" s="76"/>
      <c r="G183" s="76" t="str">
        <f>"""NAV Direct"",""CRONUS JetCorp USA"",""32"",""1"",""3888"""</f>
        <v>"NAV Direct","CRONUS JetCorp USA","32","1","3888"</v>
      </c>
      <c r="H183" s="86">
        <v>43467</v>
      </c>
      <c r="I183" s="85">
        <v>3888</v>
      </c>
      <c r="J183" s="84" t="str">
        <f>"Customer"</f>
        <v>Customer</v>
      </c>
      <c r="K183" s="84" t="str">
        <f>"C100099"</f>
        <v>C100099</v>
      </c>
      <c r="L183" s="84" t="str">
        <f>IF($J183="Customer",_xll.NL("first",$J183,"Name","No.","@@"&amp;$K183),"")</f>
        <v>Voltive Systems</v>
      </c>
      <c r="M183" s="84" t="str">
        <f>""</f>
        <v/>
      </c>
      <c r="N183" s="84" t="str">
        <f>IF($J183="Item",_xll.NL("first",$J183,"Description","No.","@@"&amp;$K183),"")</f>
        <v/>
      </c>
      <c r="O183" s="83">
        <v>0</v>
      </c>
      <c r="P183" s="83">
        <v>-144</v>
      </c>
      <c r="Q183" s="83">
        <v>0</v>
      </c>
      <c r="R183" s="83">
        <v>0</v>
      </c>
      <c r="S183" s="83">
        <v>0</v>
      </c>
      <c r="T183" s="83">
        <v>0</v>
      </c>
      <c r="U183" s="82"/>
    </row>
    <row r="184" spans="1:21" ht="17.25" customHeight="1" x14ac:dyDescent="0.3">
      <c r="A184" s="66" t="s">
        <v>30</v>
      </c>
      <c r="C184" s="67"/>
      <c r="D184" s="77" t="str">
        <f t="shared" si="111"/>
        <v>C100035</v>
      </c>
      <c r="E184" s="77"/>
      <c r="F184" s="76"/>
      <c r="G184" s="76" t="str">
        <f>"""NAV Direct"",""CRONUS JetCorp USA"",""32"",""1"",""111299"""</f>
        <v>"NAV Direct","CRONUS JetCorp USA","32","1","111299"</v>
      </c>
      <c r="H184" s="86">
        <v>43470</v>
      </c>
      <c r="I184" s="85">
        <v>111299</v>
      </c>
      <c r="J184" s="84" t="str">
        <f>"Customer"</f>
        <v>Customer</v>
      </c>
      <c r="K184" s="84" t="str">
        <f>"C100037"</f>
        <v>C100037</v>
      </c>
      <c r="L184" s="84" t="str">
        <f>IF($J184="Customer",_xll.NL("first",$J184,"Name","No.","@@"&amp;$K184),"")</f>
        <v>Tempsons Tropies</v>
      </c>
      <c r="M184" s="84" t="str">
        <f>""</f>
        <v/>
      </c>
      <c r="N184" s="84" t="str">
        <f>IF($J184="Item",_xll.NL("first",$J184,"Description","No.","@@"&amp;$K184),"")</f>
        <v/>
      </c>
      <c r="O184" s="83">
        <v>0</v>
      </c>
      <c r="P184" s="83">
        <v>-1</v>
      </c>
      <c r="Q184" s="83">
        <v>0</v>
      </c>
      <c r="R184" s="83">
        <v>0</v>
      </c>
      <c r="S184" s="83">
        <v>0</v>
      </c>
      <c r="T184" s="83">
        <v>0</v>
      </c>
      <c r="U184" s="82"/>
    </row>
    <row r="185" spans="1:21" ht="17.25" customHeight="1" x14ac:dyDescent="0.3">
      <c r="A185" s="66" t="s">
        <v>30</v>
      </c>
      <c r="C185" s="67"/>
      <c r="D185" s="77" t="str">
        <f t="shared" si="111"/>
        <v>C100035</v>
      </c>
      <c r="E185" s="77"/>
      <c r="F185" s="76"/>
      <c r="G185" s="76" t="str">
        <f>"""NAV Direct"",""CRONUS JetCorp USA"",""32"",""1"",""3915"""</f>
        <v>"NAV Direct","CRONUS JetCorp USA","32","1","3915"</v>
      </c>
      <c r="H185" s="86">
        <v>43472</v>
      </c>
      <c r="I185" s="85">
        <v>3915</v>
      </c>
      <c r="J185" s="84" t="str">
        <f>"Customer"</f>
        <v>Customer</v>
      </c>
      <c r="K185" s="84" t="str">
        <f>"C100099"</f>
        <v>C100099</v>
      </c>
      <c r="L185" s="84" t="str">
        <f>IF($J185="Customer",_xll.NL("first",$J185,"Name","No.","@@"&amp;$K185),"")</f>
        <v>Voltive Systems</v>
      </c>
      <c r="M185" s="84" t="str">
        <f>""</f>
        <v/>
      </c>
      <c r="N185" s="84" t="str">
        <f>IF($J185="Item",_xll.NL("first",$J185,"Description","No.","@@"&amp;$K185),"")</f>
        <v/>
      </c>
      <c r="O185" s="83">
        <v>0</v>
      </c>
      <c r="P185" s="83">
        <v>-1</v>
      </c>
      <c r="Q185" s="83">
        <v>0</v>
      </c>
      <c r="R185" s="83">
        <v>0</v>
      </c>
      <c r="S185" s="83">
        <v>0</v>
      </c>
      <c r="T185" s="83">
        <v>0</v>
      </c>
      <c r="U185" s="82"/>
    </row>
    <row r="186" spans="1:21" ht="17.25" customHeight="1" x14ac:dyDescent="0.3">
      <c r="A186" s="66" t="s">
        <v>30</v>
      </c>
      <c r="C186" s="67"/>
      <c r="D186" s="77" t="str">
        <f t="shared" si="111"/>
        <v>C100035</v>
      </c>
      <c r="E186" s="77"/>
      <c r="F186" s="76"/>
      <c r="G186" s="76" t="str">
        <f>"""NAV Direct"",""CRONUS JetCorp USA"",""32"",""1"",""111306"""</f>
        <v>"NAV Direct","CRONUS JetCorp USA","32","1","111306"</v>
      </c>
      <c r="H186" s="86">
        <v>43472</v>
      </c>
      <c r="I186" s="85">
        <v>111306</v>
      </c>
      <c r="J186" s="84" t="str">
        <f>"Customer"</f>
        <v>Customer</v>
      </c>
      <c r="K186" s="84" t="str">
        <f>"C100099"</f>
        <v>C100099</v>
      </c>
      <c r="L186" s="84" t="str">
        <f>IF($J186="Customer",_xll.NL("first",$J186,"Name","No.","@@"&amp;$K186),"")</f>
        <v>Voltive Systems</v>
      </c>
      <c r="M186" s="84" t="str">
        <f>""</f>
        <v/>
      </c>
      <c r="N186" s="84" t="str">
        <f>IF($J186="Item",_xll.NL("first",$J186,"Description","No.","@@"&amp;$K186),"")</f>
        <v/>
      </c>
      <c r="O186" s="83">
        <v>0</v>
      </c>
      <c r="P186" s="83">
        <v>-1</v>
      </c>
      <c r="Q186" s="83">
        <v>0</v>
      </c>
      <c r="R186" s="83">
        <v>0</v>
      </c>
      <c r="S186" s="83">
        <v>0</v>
      </c>
      <c r="T186" s="83">
        <v>0</v>
      </c>
      <c r="U186" s="82"/>
    </row>
    <row r="187" spans="1:21" ht="17.25" customHeight="1" x14ac:dyDescent="0.3">
      <c r="A187" s="66" t="s">
        <v>30</v>
      </c>
      <c r="C187" s="67"/>
      <c r="D187" s="77" t="str">
        <f t="shared" si="111"/>
        <v>C100035</v>
      </c>
      <c r="E187" s="77"/>
      <c r="F187" s="76"/>
      <c r="G187" s="76" t="str">
        <f>"""NAV Direct"",""CRONUS JetCorp USA"",""32"",""1"",""3905"""</f>
        <v>"NAV Direct","CRONUS JetCorp USA","32","1","3905"</v>
      </c>
      <c r="H187" s="86">
        <v>43473</v>
      </c>
      <c r="I187" s="85">
        <v>3905</v>
      </c>
      <c r="J187" s="84" t="str">
        <f>"Customer"</f>
        <v>Customer</v>
      </c>
      <c r="K187" s="84" t="str">
        <f>"C100037"</f>
        <v>C100037</v>
      </c>
      <c r="L187" s="84" t="str">
        <f>IF($J187="Customer",_xll.NL("first",$J187,"Name","No.","@@"&amp;$K187),"")</f>
        <v>Tempsons Tropies</v>
      </c>
      <c r="M187" s="84" t="str">
        <f>""</f>
        <v/>
      </c>
      <c r="N187" s="84" t="str">
        <f>IF($J187="Item",_xll.NL("first",$J187,"Description","No.","@@"&amp;$K187),"")</f>
        <v/>
      </c>
      <c r="O187" s="83">
        <v>0</v>
      </c>
      <c r="P187" s="83">
        <v>-1</v>
      </c>
      <c r="Q187" s="83">
        <v>0</v>
      </c>
      <c r="R187" s="83">
        <v>0</v>
      </c>
      <c r="S187" s="83">
        <v>0</v>
      </c>
      <c r="T187" s="83">
        <v>0</v>
      </c>
      <c r="U187" s="82"/>
    </row>
    <row r="188" spans="1:21" ht="17.25" customHeight="1" x14ac:dyDescent="0.3">
      <c r="A188" s="66" t="s">
        <v>30</v>
      </c>
      <c r="C188" s="67"/>
      <c r="D188" s="77"/>
      <c r="E188" s="77"/>
      <c r="F188" s="76"/>
      <c r="G188" s="76"/>
      <c r="H188" s="76"/>
      <c r="I188" s="76"/>
      <c r="J188" s="76"/>
      <c r="K188" s="76"/>
      <c r="L188" s="76"/>
      <c r="M188" s="76"/>
      <c r="N188" s="76"/>
      <c r="O188" s="75"/>
      <c r="P188" s="75"/>
      <c r="Q188" s="75"/>
      <c r="R188" s="75"/>
      <c r="S188" s="75"/>
      <c r="T188" s="75"/>
      <c r="U188" s="74"/>
    </row>
    <row r="189" spans="1:21" ht="17.25" customHeight="1" x14ac:dyDescent="0.3">
      <c r="A189" s="66" t="s">
        <v>30</v>
      </c>
      <c r="C189" s="67"/>
      <c r="D189" s="77"/>
      <c r="E189" s="77" t="s">
        <v>31</v>
      </c>
      <c r="F189" s="76" t="s">
        <v>31</v>
      </c>
      <c r="G189" s="76" t="s">
        <v>31</v>
      </c>
      <c r="H189" s="76"/>
      <c r="I189" s="76"/>
      <c r="J189" s="76" t="s">
        <v>31</v>
      </c>
      <c r="K189" s="76" t="s">
        <v>31</v>
      </c>
      <c r="L189" s="76" t="s">
        <v>31</v>
      </c>
      <c r="M189" s="76" t="s">
        <v>31</v>
      </c>
      <c r="N189" s="76"/>
      <c r="U189" s="81"/>
    </row>
    <row r="190" spans="1:21" ht="20.25" customHeight="1" x14ac:dyDescent="0.35">
      <c r="A190" s="66" t="s">
        <v>30</v>
      </c>
      <c r="C190" s="67"/>
      <c r="D190" s="92" t="str">
        <f t="shared" ref="D190" si="112">E190</f>
        <v>C100036</v>
      </c>
      <c r="E190" s="91" t="str">
        <f>"C100036"</f>
        <v>C100036</v>
      </c>
      <c r="F190" s="89" t="str">
        <f>"Clock &amp; Business Card Holder"</f>
        <v>Clock &amp; Business Card Holder</v>
      </c>
      <c r="G190" s="89"/>
      <c r="H190" s="90" t="str">
        <f>"EA"</f>
        <v>EA</v>
      </c>
      <c r="I190" s="89"/>
      <c r="J190" s="89"/>
      <c r="K190" s="89"/>
      <c r="L190" s="89"/>
      <c r="M190" s="89"/>
      <c r="N190" s="89"/>
      <c r="O190" s="88">
        <f>(SUBTOTAL(9,O191:O195))</f>
        <v>400</v>
      </c>
      <c r="P190" s="88">
        <f>(SUBTOTAL(9,P191:P195))</f>
        <v>-152</v>
      </c>
      <c r="Q190" s="88">
        <f>(SUBTOTAL(9,Q191:Q195))</f>
        <v>0</v>
      </c>
      <c r="R190" s="88">
        <f>(SUBTOTAL(9,R191:R195))</f>
        <v>0</v>
      </c>
      <c r="S190" s="88">
        <f>(SUBTOTAL(9,S191:S195))</f>
        <v>0</v>
      </c>
      <c r="T190" s="88">
        <f>(SUBTOTAL(9,T191:T195))</f>
        <v>0</v>
      </c>
      <c r="U190" s="87">
        <f t="shared" ref="U190" si="113">SUBTOTAL(9,O191:T195)</f>
        <v>248</v>
      </c>
    </row>
    <row r="191" spans="1:21" ht="17.25" customHeight="1" x14ac:dyDescent="0.3">
      <c r="A191" s="66" t="s">
        <v>30</v>
      </c>
      <c r="C191" s="67"/>
      <c r="D191" s="77" t="str">
        <f t="shared" ref="D191" si="114">D190</f>
        <v>C100036</v>
      </c>
      <c r="E191" s="77"/>
      <c r="F191" s="76"/>
      <c r="G191" s="76" t="str">
        <f>"""NAV Direct"",""CRONUS JetCorp USA"",""32"",""1"",""167563"""</f>
        <v>"NAV Direct","CRONUS JetCorp USA","32","1","167563"</v>
      </c>
      <c r="H191" s="86">
        <v>43466</v>
      </c>
      <c r="I191" s="85">
        <v>167563</v>
      </c>
      <c r="J191" s="84" t="str">
        <f>"Vendor"</f>
        <v>Vendor</v>
      </c>
      <c r="K191" s="84" t="str">
        <f>"V100007"</f>
        <v>V100007</v>
      </c>
      <c r="L191" s="84" t="str">
        <f>IF($J191="Customer",_xll.NL("first",$J191,"Name","No.","@@"&amp;$K191),"")</f>
        <v/>
      </c>
      <c r="M191" s="84" t="str">
        <f>"TrendTech"</f>
        <v>TrendTech</v>
      </c>
      <c r="N191" s="84" t="str">
        <f>IF($J191="Item",_xll.NL("first",$J191,"Description","No.","@@"&amp;$K191),"")</f>
        <v/>
      </c>
      <c r="O191" s="83">
        <v>400</v>
      </c>
      <c r="P191" s="83">
        <v>0</v>
      </c>
      <c r="Q191" s="83">
        <v>0</v>
      </c>
      <c r="R191" s="83">
        <v>0</v>
      </c>
      <c r="S191" s="83">
        <v>0</v>
      </c>
      <c r="T191" s="83">
        <v>0</v>
      </c>
      <c r="U191" s="82"/>
    </row>
    <row r="192" spans="1:21" ht="17.25" customHeight="1" x14ac:dyDescent="0.3">
      <c r="A192" s="66" t="s">
        <v>30</v>
      </c>
      <c r="C192" s="67"/>
      <c r="D192" s="77" t="str">
        <f t="shared" ref="D192:D194" si="115">D191</f>
        <v>C100036</v>
      </c>
      <c r="E192" s="77"/>
      <c r="F192" s="76"/>
      <c r="G192" s="76" t="str">
        <f>"""NAV Direct"",""CRONUS JetCorp USA"",""32"",""1"",""111316"""</f>
        <v>"NAV Direct","CRONUS JetCorp USA","32","1","111316"</v>
      </c>
      <c r="H192" s="86">
        <v>43472</v>
      </c>
      <c r="I192" s="85">
        <v>111316</v>
      </c>
      <c r="J192" s="84" t="str">
        <f>"Customer"</f>
        <v>Customer</v>
      </c>
      <c r="K192" s="84" t="str">
        <f>"C100099"</f>
        <v>C100099</v>
      </c>
      <c r="L192" s="84" t="str">
        <f>IF($J192="Customer",_xll.NL("first",$J192,"Name","No.","@@"&amp;$K192),"")</f>
        <v>Voltive Systems</v>
      </c>
      <c r="M192" s="84" t="str">
        <f>""</f>
        <v/>
      </c>
      <c r="N192" s="84" t="str">
        <f>IF($J192="Item",_xll.NL("first",$J192,"Description","No.","@@"&amp;$K192),"")</f>
        <v/>
      </c>
      <c r="O192" s="83">
        <v>0</v>
      </c>
      <c r="P192" s="83">
        <v>-1</v>
      </c>
      <c r="Q192" s="83">
        <v>0</v>
      </c>
      <c r="R192" s="83">
        <v>0</v>
      </c>
      <c r="S192" s="83">
        <v>0</v>
      </c>
      <c r="T192" s="83">
        <v>0</v>
      </c>
      <c r="U192" s="82"/>
    </row>
    <row r="193" spans="1:21" ht="17.25" customHeight="1" x14ac:dyDescent="0.3">
      <c r="A193" s="66" t="s">
        <v>30</v>
      </c>
      <c r="C193" s="67"/>
      <c r="D193" s="77" t="str">
        <f t="shared" si="115"/>
        <v>C100036</v>
      </c>
      <c r="E193" s="77"/>
      <c r="F193" s="76"/>
      <c r="G193" s="76" t="str">
        <f>"""NAV Direct"",""CRONUS JetCorp USA"",""32"",""1"",""3902"""</f>
        <v>"NAV Direct","CRONUS JetCorp USA","32","1","3902"</v>
      </c>
      <c r="H193" s="86">
        <v>43473</v>
      </c>
      <c r="I193" s="85">
        <v>3902</v>
      </c>
      <c r="J193" s="84" t="str">
        <f>"Customer"</f>
        <v>Customer</v>
      </c>
      <c r="K193" s="84" t="str">
        <f>"C100037"</f>
        <v>C100037</v>
      </c>
      <c r="L193" s="84" t="str">
        <f>IF($J193="Customer",_xll.NL("first",$J193,"Name","No.","@@"&amp;$K193),"")</f>
        <v>Tempsons Tropies</v>
      </c>
      <c r="M193" s="84" t="str">
        <f>""</f>
        <v/>
      </c>
      <c r="N193" s="84" t="str">
        <f>IF($J193="Item",_xll.NL("first",$J193,"Description","No.","@@"&amp;$K193),"")</f>
        <v/>
      </c>
      <c r="O193" s="83">
        <v>0</v>
      </c>
      <c r="P193" s="83">
        <v>-7</v>
      </c>
      <c r="Q193" s="83">
        <v>0</v>
      </c>
      <c r="R193" s="83">
        <v>0</v>
      </c>
      <c r="S193" s="83">
        <v>0</v>
      </c>
      <c r="T193" s="83">
        <v>0</v>
      </c>
      <c r="U193" s="82"/>
    </row>
    <row r="194" spans="1:21" ht="17.25" customHeight="1" x14ac:dyDescent="0.3">
      <c r="A194" s="66" t="s">
        <v>30</v>
      </c>
      <c r="C194" s="67"/>
      <c r="D194" s="77" t="str">
        <f t="shared" si="115"/>
        <v>C100036</v>
      </c>
      <c r="E194" s="77"/>
      <c r="F194" s="76"/>
      <c r="G194" s="76" t="str">
        <f>"""NAV Direct"",""CRONUS JetCorp USA"",""32"",""1"",""7576"""</f>
        <v>"NAV Direct","CRONUS JetCorp USA","32","1","7576"</v>
      </c>
      <c r="H194" s="86">
        <v>43476</v>
      </c>
      <c r="I194" s="85">
        <v>7576</v>
      </c>
      <c r="J194" s="84" t="str">
        <f>"Customer"</f>
        <v>Customer</v>
      </c>
      <c r="K194" s="84" t="str">
        <f>"C100083"</f>
        <v>C100083</v>
      </c>
      <c r="L194" s="84" t="str">
        <f>IF($J194="Customer",_xll.NL("first",$J194,"Name","No.","@@"&amp;$K194),"")</f>
        <v>Stanfords</v>
      </c>
      <c r="M194" s="84" t="str">
        <f>""</f>
        <v/>
      </c>
      <c r="N194" s="84" t="str">
        <f>IF($J194="Item",_xll.NL("first",$J194,"Description","No.","@@"&amp;$K194),"")</f>
        <v/>
      </c>
      <c r="O194" s="83">
        <v>0</v>
      </c>
      <c r="P194" s="83">
        <v>-144</v>
      </c>
      <c r="Q194" s="83">
        <v>0</v>
      </c>
      <c r="R194" s="83">
        <v>0</v>
      </c>
      <c r="S194" s="83">
        <v>0</v>
      </c>
      <c r="T194" s="83">
        <v>0</v>
      </c>
      <c r="U194" s="82"/>
    </row>
    <row r="195" spans="1:21" ht="17.25" customHeight="1" x14ac:dyDescent="0.3">
      <c r="A195" s="66" t="s">
        <v>30</v>
      </c>
      <c r="C195" s="67"/>
      <c r="D195" s="77"/>
      <c r="E195" s="77"/>
      <c r="F195" s="76"/>
      <c r="G195" s="76"/>
      <c r="H195" s="76"/>
      <c r="I195" s="76"/>
      <c r="J195" s="76"/>
      <c r="K195" s="76"/>
      <c r="L195" s="76"/>
      <c r="M195" s="76"/>
      <c r="N195" s="76"/>
      <c r="O195" s="75"/>
      <c r="P195" s="75"/>
      <c r="Q195" s="75"/>
      <c r="R195" s="75"/>
      <c r="S195" s="75"/>
      <c r="T195" s="75"/>
      <c r="U195" s="74"/>
    </row>
    <row r="196" spans="1:21" ht="17.25" customHeight="1" x14ac:dyDescent="0.3">
      <c r="A196" s="66" t="s">
        <v>30</v>
      </c>
      <c r="C196" s="67"/>
      <c r="D196" s="77"/>
      <c r="E196" s="77" t="s">
        <v>31</v>
      </c>
      <c r="F196" s="76" t="s">
        <v>31</v>
      </c>
      <c r="G196" s="76" t="s">
        <v>31</v>
      </c>
      <c r="H196" s="76"/>
      <c r="I196" s="76"/>
      <c r="J196" s="76" t="s">
        <v>31</v>
      </c>
      <c r="K196" s="76" t="s">
        <v>31</v>
      </c>
      <c r="L196" s="76" t="s">
        <v>31</v>
      </c>
      <c r="M196" s="76" t="s">
        <v>31</v>
      </c>
      <c r="N196" s="76"/>
      <c r="U196" s="81"/>
    </row>
    <row r="197" spans="1:21" ht="20.25" customHeight="1" x14ac:dyDescent="0.35">
      <c r="A197" s="66" t="s">
        <v>30</v>
      </c>
      <c r="C197" s="67"/>
      <c r="D197" s="92" t="str">
        <f t="shared" ref="D197" si="116">E197</f>
        <v>C100037</v>
      </c>
      <c r="E197" s="91" t="str">
        <f>"C100037"</f>
        <v>C100037</v>
      </c>
      <c r="F197" s="89" t="str">
        <f>"World Time Travel Alarm"</f>
        <v>World Time Travel Alarm</v>
      </c>
      <c r="G197" s="89"/>
      <c r="H197" s="90" t="str">
        <f>"EA"</f>
        <v>EA</v>
      </c>
      <c r="I197" s="89"/>
      <c r="J197" s="89"/>
      <c r="K197" s="89"/>
      <c r="L197" s="89"/>
      <c r="M197" s="89"/>
      <c r="N197" s="89"/>
      <c r="O197" s="88">
        <f>(SUBTOTAL(9,O198:O202))</f>
        <v>800</v>
      </c>
      <c r="P197" s="88">
        <f>(SUBTOTAL(9,P198:P202))</f>
        <v>-300</v>
      </c>
      <c r="Q197" s="88">
        <f>(SUBTOTAL(9,Q198:Q202))</f>
        <v>0</v>
      </c>
      <c r="R197" s="88">
        <f>(SUBTOTAL(9,R198:R202))</f>
        <v>0</v>
      </c>
      <c r="S197" s="88">
        <f>(SUBTOTAL(9,S198:S202))</f>
        <v>0</v>
      </c>
      <c r="T197" s="88">
        <f>(SUBTOTAL(9,T198:T202))</f>
        <v>0</v>
      </c>
      <c r="U197" s="87">
        <f t="shared" ref="U197" si="117">SUBTOTAL(9,O198:T202)</f>
        <v>500</v>
      </c>
    </row>
    <row r="198" spans="1:21" ht="17.25" customHeight="1" x14ac:dyDescent="0.3">
      <c r="A198" s="66" t="s">
        <v>30</v>
      </c>
      <c r="C198" s="67"/>
      <c r="D198" s="77" t="str">
        <f t="shared" ref="D198" si="118">D197</f>
        <v>C100037</v>
      </c>
      <c r="E198" s="77"/>
      <c r="F198" s="76"/>
      <c r="G198" s="76" t="str">
        <f>"""NAV Direct"",""CRONUS JetCorp USA"",""32"",""1"",""167562"""</f>
        <v>"NAV Direct","CRONUS JetCorp USA","32","1","167562"</v>
      </c>
      <c r="H198" s="86">
        <v>43466</v>
      </c>
      <c r="I198" s="85">
        <v>167562</v>
      </c>
      <c r="J198" s="84" t="str">
        <f>"Vendor"</f>
        <v>Vendor</v>
      </c>
      <c r="K198" s="84" t="str">
        <f>"V100007"</f>
        <v>V100007</v>
      </c>
      <c r="L198" s="84" t="str">
        <f>IF($J198="Customer",_xll.NL("first",$J198,"Name","No.","@@"&amp;$K198),"")</f>
        <v/>
      </c>
      <c r="M198" s="84" t="str">
        <f>"TrendTech"</f>
        <v>TrendTech</v>
      </c>
      <c r="N198" s="84" t="str">
        <f>IF($J198="Item",_xll.NL("first",$J198,"Description","No.","@@"&amp;$K198),"")</f>
        <v/>
      </c>
      <c r="O198" s="83">
        <v>800</v>
      </c>
      <c r="P198" s="83">
        <v>0</v>
      </c>
      <c r="Q198" s="83">
        <v>0</v>
      </c>
      <c r="R198" s="83">
        <v>0</v>
      </c>
      <c r="S198" s="83">
        <v>0</v>
      </c>
      <c r="T198" s="83">
        <v>0</v>
      </c>
      <c r="U198" s="82"/>
    </row>
    <row r="199" spans="1:21" ht="17.25" customHeight="1" x14ac:dyDescent="0.3">
      <c r="A199" s="66" t="s">
        <v>30</v>
      </c>
      <c r="C199" s="67"/>
      <c r="D199" s="77" t="str">
        <f t="shared" ref="D199:D201" si="119">D198</f>
        <v>C100037</v>
      </c>
      <c r="E199" s="77"/>
      <c r="F199" s="76"/>
      <c r="G199" s="76" t="str">
        <f>"""NAV Direct"",""CRONUS JetCorp USA"",""32"",""1"",""3886"""</f>
        <v>"NAV Direct","CRONUS JetCorp USA","32","1","3886"</v>
      </c>
      <c r="H199" s="86">
        <v>43467</v>
      </c>
      <c r="I199" s="85">
        <v>3886</v>
      </c>
      <c r="J199" s="84" t="str">
        <f>"Customer"</f>
        <v>Customer</v>
      </c>
      <c r="K199" s="84" t="str">
        <f>"C100099"</f>
        <v>C100099</v>
      </c>
      <c r="L199" s="84" t="str">
        <f>IF($J199="Customer",_xll.NL("first",$J199,"Name","No.","@@"&amp;$K199),"")</f>
        <v>Voltive Systems</v>
      </c>
      <c r="M199" s="84" t="str">
        <f>""</f>
        <v/>
      </c>
      <c r="N199" s="84" t="str">
        <f>IF($J199="Item",_xll.NL("first",$J199,"Description","No.","@@"&amp;$K199),"")</f>
        <v/>
      </c>
      <c r="O199" s="83">
        <v>0</v>
      </c>
      <c r="P199" s="83">
        <v>-144</v>
      </c>
      <c r="Q199" s="83">
        <v>0</v>
      </c>
      <c r="R199" s="83">
        <v>0</v>
      </c>
      <c r="S199" s="83">
        <v>0</v>
      </c>
      <c r="T199" s="83">
        <v>0</v>
      </c>
      <c r="U199" s="82"/>
    </row>
    <row r="200" spans="1:21" ht="17.25" customHeight="1" x14ac:dyDescent="0.3">
      <c r="A200" s="66" t="s">
        <v>30</v>
      </c>
      <c r="C200" s="67"/>
      <c r="D200" s="77" t="str">
        <f t="shared" si="119"/>
        <v>C100037</v>
      </c>
      <c r="E200" s="77"/>
      <c r="F200" s="76"/>
      <c r="G200" s="76" t="str">
        <f>"""NAV Direct"",""CRONUS JetCorp USA"",""32"",""1"",""111281"""</f>
        <v>"NAV Direct","CRONUS JetCorp USA","32","1","111281"</v>
      </c>
      <c r="H200" s="86">
        <v>43472</v>
      </c>
      <c r="I200" s="85">
        <v>111281</v>
      </c>
      <c r="J200" s="84" t="str">
        <f>"Customer"</f>
        <v>Customer</v>
      </c>
      <c r="K200" s="84" t="str">
        <f>"C100099"</f>
        <v>C100099</v>
      </c>
      <c r="L200" s="84" t="str">
        <f>IF($J200="Customer",_xll.NL("first",$J200,"Name","No.","@@"&amp;$K200),"")</f>
        <v>Voltive Systems</v>
      </c>
      <c r="M200" s="84" t="str">
        <f>""</f>
        <v/>
      </c>
      <c r="N200" s="84" t="str">
        <f>IF($J200="Item",_xll.NL("first",$J200,"Description","No.","@@"&amp;$K200),"")</f>
        <v/>
      </c>
      <c r="O200" s="83">
        <v>0</v>
      </c>
      <c r="P200" s="83">
        <v>-144</v>
      </c>
      <c r="Q200" s="83">
        <v>0</v>
      </c>
      <c r="R200" s="83">
        <v>0</v>
      </c>
      <c r="S200" s="83">
        <v>0</v>
      </c>
      <c r="T200" s="83">
        <v>0</v>
      </c>
      <c r="U200" s="82"/>
    </row>
    <row r="201" spans="1:21" ht="17.25" customHeight="1" x14ac:dyDescent="0.3">
      <c r="A201" s="66" t="s">
        <v>30</v>
      </c>
      <c r="C201" s="67"/>
      <c r="D201" s="77" t="str">
        <f t="shared" si="119"/>
        <v>C100037</v>
      </c>
      <c r="E201" s="77"/>
      <c r="F201" s="76"/>
      <c r="G201" s="76" t="str">
        <f>"""NAV Direct"",""CRONUS JetCorp USA"",""32"",""1"",""7577"""</f>
        <v>"NAV Direct","CRONUS JetCorp USA","32","1","7577"</v>
      </c>
      <c r="H201" s="86">
        <v>43476</v>
      </c>
      <c r="I201" s="85">
        <v>7577</v>
      </c>
      <c r="J201" s="84" t="str">
        <f>"Customer"</f>
        <v>Customer</v>
      </c>
      <c r="K201" s="84" t="str">
        <f>"C100083"</f>
        <v>C100083</v>
      </c>
      <c r="L201" s="84" t="str">
        <f>IF($J201="Customer",_xll.NL("first",$J201,"Name","No.","@@"&amp;$K201),"")</f>
        <v>Stanfords</v>
      </c>
      <c r="M201" s="84" t="str">
        <f>""</f>
        <v/>
      </c>
      <c r="N201" s="84" t="str">
        <f>IF($J201="Item",_xll.NL("first",$J201,"Description","No.","@@"&amp;$K201),"")</f>
        <v/>
      </c>
      <c r="O201" s="83">
        <v>0</v>
      </c>
      <c r="P201" s="83">
        <v>-12</v>
      </c>
      <c r="Q201" s="83">
        <v>0</v>
      </c>
      <c r="R201" s="83">
        <v>0</v>
      </c>
      <c r="S201" s="83">
        <v>0</v>
      </c>
      <c r="T201" s="83">
        <v>0</v>
      </c>
      <c r="U201" s="82"/>
    </row>
    <row r="202" spans="1:21" ht="17.25" customHeight="1" x14ac:dyDescent="0.3">
      <c r="A202" s="66" t="s">
        <v>30</v>
      </c>
      <c r="C202" s="67"/>
      <c r="D202" s="77"/>
      <c r="E202" s="77"/>
      <c r="F202" s="76"/>
      <c r="G202" s="76"/>
      <c r="H202" s="76"/>
      <c r="I202" s="76"/>
      <c r="J202" s="76"/>
      <c r="K202" s="76"/>
      <c r="L202" s="76"/>
      <c r="M202" s="76"/>
      <c r="N202" s="76"/>
      <c r="O202" s="75"/>
      <c r="P202" s="75"/>
      <c r="Q202" s="75"/>
      <c r="R202" s="75"/>
      <c r="S202" s="75"/>
      <c r="T202" s="75"/>
      <c r="U202" s="74"/>
    </row>
    <row r="203" spans="1:21" ht="17.25" customHeight="1" x14ac:dyDescent="0.3">
      <c r="A203" s="66" t="s">
        <v>30</v>
      </c>
      <c r="C203" s="67"/>
      <c r="D203" s="77"/>
      <c r="E203" s="77" t="s">
        <v>31</v>
      </c>
      <c r="F203" s="76" t="s">
        <v>31</v>
      </c>
      <c r="G203" s="76" t="s">
        <v>31</v>
      </c>
      <c r="H203" s="76"/>
      <c r="I203" s="76"/>
      <c r="J203" s="76" t="s">
        <v>31</v>
      </c>
      <c r="K203" s="76" t="s">
        <v>31</v>
      </c>
      <c r="L203" s="76" t="s">
        <v>31</v>
      </c>
      <c r="M203" s="76" t="s">
        <v>31</v>
      </c>
      <c r="N203" s="76"/>
      <c r="U203" s="81"/>
    </row>
    <row r="204" spans="1:21" ht="20.25" customHeight="1" x14ac:dyDescent="0.35">
      <c r="A204" s="66" t="s">
        <v>30</v>
      </c>
      <c r="C204" s="67"/>
      <c r="D204" s="92" t="str">
        <f t="shared" ref="D204" si="120">E204</f>
        <v>C100038</v>
      </c>
      <c r="E204" s="91" t="str">
        <f>"C100038"</f>
        <v>C100038</v>
      </c>
      <c r="F204" s="89" t="str">
        <f>"Foldable Travel Speakers"</f>
        <v>Foldable Travel Speakers</v>
      </c>
      <c r="G204" s="89"/>
      <c r="H204" s="90" t="str">
        <f>"EA"</f>
        <v>EA</v>
      </c>
      <c r="I204" s="89"/>
      <c r="J204" s="89"/>
      <c r="K204" s="89"/>
      <c r="L204" s="89"/>
      <c r="M204" s="89"/>
      <c r="N204" s="89"/>
      <c r="O204" s="88">
        <f>(SUBTOTAL(9,O205:O211))</f>
        <v>999.99999999999989</v>
      </c>
      <c r="P204" s="88">
        <f>(SUBTOTAL(9,P205:P211))</f>
        <v>-314</v>
      </c>
      <c r="Q204" s="88">
        <f>(SUBTOTAL(9,Q205:Q211))</f>
        <v>0</v>
      </c>
      <c r="R204" s="88">
        <f>(SUBTOTAL(9,R205:R211))</f>
        <v>0</v>
      </c>
      <c r="S204" s="88">
        <f>(SUBTOTAL(9,S205:S211))</f>
        <v>0</v>
      </c>
      <c r="T204" s="88">
        <f>(SUBTOTAL(9,T205:T211))</f>
        <v>0</v>
      </c>
      <c r="U204" s="87">
        <f t="shared" ref="U204" si="121">SUBTOTAL(9,O205:T211)</f>
        <v>685.99999999999989</v>
      </c>
    </row>
    <row r="205" spans="1:21" ht="17.25" customHeight="1" x14ac:dyDescent="0.3">
      <c r="A205" s="66" t="s">
        <v>30</v>
      </c>
      <c r="C205" s="67"/>
      <c r="D205" s="77" t="str">
        <f t="shared" ref="D205" si="122">D204</f>
        <v>C100038</v>
      </c>
      <c r="E205" s="77"/>
      <c r="F205" s="76"/>
      <c r="G205" s="76" t="str">
        <f>"""NAV Direct"",""CRONUS JetCorp USA"",""32"",""1"",""168036"""</f>
        <v>"NAV Direct","CRONUS JetCorp USA","32","1","168036"</v>
      </c>
      <c r="H205" s="86">
        <v>43466</v>
      </c>
      <c r="I205" s="85">
        <v>168036</v>
      </c>
      <c r="J205" s="84" t="str">
        <f>"Vendor"</f>
        <v>Vendor</v>
      </c>
      <c r="K205" s="84" t="str">
        <f>"V100007"</f>
        <v>V100007</v>
      </c>
      <c r="L205" s="84" t="str">
        <f>IF($J205="Customer",_xll.NL("first",$J205,"Name","No.","@@"&amp;$K205),"")</f>
        <v/>
      </c>
      <c r="M205" s="84" t="str">
        <f>"TrendTech"</f>
        <v>TrendTech</v>
      </c>
      <c r="N205" s="84" t="str">
        <f>IF($J205="Item",_xll.NL("first",$J205,"Description","No.","@@"&amp;$K205),"")</f>
        <v/>
      </c>
      <c r="O205" s="83">
        <v>999.99999999999989</v>
      </c>
      <c r="P205" s="83">
        <v>0</v>
      </c>
      <c r="Q205" s="83">
        <v>0</v>
      </c>
      <c r="R205" s="83">
        <v>0</v>
      </c>
      <c r="S205" s="83">
        <v>0</v>
      </c>
      <c r="T205" s="83">
        <v>0</v>
      </c>
      <c r="U205" s="82"/>
    </row>
    <row r="206" spans="1:21" ht="17.25" customHeight="1" x14ac:dyDescent="0.3">
      <c r="A206" s="66" t="s">
        <v>30</v>
      </c>
      <c r="C206" s="67"/>
      <c r="D206" s="77" t="str">
        <f t="shared" ref="D206:D210" si="123">D205</f>
        <v>C100038</v>
      </c>
      <c r="E206" s="77"/>
      <c r="F206" s="76"/>
      <c r="G206" s="76" t="str">
        <f>"""NAV Direct"",""CRONUS JetCorp USA"",""32"",""1"",""111297"""</f>
        <v>"NAV Direct","CRONUS JetCorp USA","32","1","111297"</v>
      </c>
      <c r="H206" s="86">
        <v>43470</v>
      </c>
      <c r="I206" s="85">
        <v>111297</v>
      </c>
      <c r="J206" s="84" t="str">
        <f>"Customer"</f>
        <v>Customer</v>
      </c>
      <c r="K206" s="84" t="str">
        <f>"C100037"</f>
        <v>C100037</v>
      </c>
      <c r="L206" s="84" t="str">
        <f>IF($J206="Customer",_xll.NL("first",$J206,"Name","No.","@@"&amp;$K206),"")</f>
        <v>Tempsons Tropies</v>
      </c>
      <c r="M206" s="84" t="str">
        <f>""</f>
        <v/>
      </c>
      <c r="N206" s="84" t="str">
        <f>IF($J206="Item",_xll.NL("first",$J206,"Description","No.","@@"&amp;$K206),"")</f>
        <v/>
      </c>
      <c r="O206" s="83">
        <v>0</v>
      </c>
      <c r="P206" s="83">
        <v>-1</v>
      </c>
      <c r="Q206" s="83">
        <v>0</v>
      </c>
      <c r="R206" s="83">
        <v>0</v>
      </c>
      <c r="S206" s="83">
        <v>0</v>
      </c>
      <c r="T206" s="83">
        <v>0</v>
      </c>
      <c r="U206" s="82"/>
    </row>
    <row r="207" spans="1:21" ht="17.25" customHeight="1" x14ac:dyDescent="0.3">
      <c r="A207" s="66" t="s">
        <v>30</v>
      </c>
      <c r="C207" s="67"/>
      <c r="D207" s="77" t="str">
        <f t="shared" si="123"/>
        <v>C100038</v>
      </c>
      <c r="E207" s="77"/>
      <c r="F207" s="76"/>
      <c r="G207" s="76" t="str">
        <f>"""NAV Direct"",""CRONUS JetCorp USA"",""32"",""1"",""111303"""</f>
        <v>"NAV Direct","CRONUS JetCorp USA","32","1","111303"</v>
      </c>
      <c r="H207" s="86">
        <v>43472</v>
      </c>
      <c r="I207" s="85">
        <v>111303</v>
      </c>
      <c r="J207" s="84" t="str">
        <f>"Customer"</f>
        <v>Customer</v>
      </c>
      <c r="K207" s="84" t="str">
        <f>"C100099"</f>
        <v>C100099</v>
      </c>
      <c r="L207" s="84" t="str">
        <f>IF($J207="Customer",_xll.NL("first",$J207,"Name","No.","@@"&amp;$K207),"")</f>
        <v>Voltive Systems</v>
      </c>
      <c r="M207" s="84" t="str">
        <f>""</f>
        <v/>
      </c>
      <c r="N207" s="84" t="str">
        <f>IF($J207="Item",_xll.NL("first",$J207,"Description","No.","@@"&amp;$K207),"")</f>
        <v/>
      </c>
      <c r="O207" s="83">
        <v>0</v>
      </c>
      <c r="P207" s="83">
        <v>-24</v>
      </c>
      <c r="Q207" s="83">
        <v>0</v>
      </c>
      <c r="R207" s="83">
        <v>0</v>
      </c>
      <c r="S207" s="83">
        <v>0</v>
      </c>
      <c r="T207" s="83">
        <v>0</v>
      </c>
      <c r="U207" s="82"/>
    </row>
    <row r="208" spans="1:21" ht="17.25" customHeight="1" x14ac:dyDescent="0.3">
      <c r="A208" s="66" t="s">
        <v>30</v>
      </c>
      <c r="C208" s="67"/>
      <c r="D208" s="77" t="str">
        <f t="shared" si="123"/>
        <v>C100038</v>
      </c>
      <c r="E208" s="77"/>
      <c r="F208" s="76"/>
      <c r="G208" s="76" t="str">
        <f>"""NAV Direct"",""CRONUS JetCorp USA"",""32"",""1"",""3904"""</f>
        <v>"NAV Direct","CRONUS JetCorp USA","32","1","3904"</v>
      </c>
      <c r="H208" s="86">
        <v>43473</v>
      </c>
      <c r="I208" s="85">
        <v>3904</v>
      </c>
      <c r="J208" s="84" t="str">
        <f>"Customer"</f>
        <v>Customer</v>
      </c>
      <c r="K208" s="84" t="str">
        <f>"C100037"</f>
        <v>C100037</v>
      </c>
      <c r="L208" s="84" t="str">
        <f>IF($J208="Customer",_xll.NL("first",$J208,"Name","No.","@@"&amp;$K208),"")</f>
        <v>Tempsons Tropies</v>
      </c>
      <c r="M208" s="84" t="str">
        <f>""</f>
        <v/>
      </c>
      <c r="N208" s="84" t="str">
        <f>IF($J208="Item",_xll.NL("first",$J208,"Description","No.","@@"&amp;$K208),"")</f>
        <v/>
      </c>
      <c r="O208" s="83">
        <v>0</v>
      </c>
      <c r="P208" s="83">
        <v>-1</v>
      </c>
      <c r="Q208" s="83">
        <v>0</v>
      </c>
      <c r="R208" s="83">
        <v>0</v>
      </c>
      <c r="S208" s="83">
        <v>0</v>
      </c>
      <c r="T208" s="83">
        <v>0</v>
      </c>
      <c r="U208" s="82"/>
    </row>
    <row r="209" spans="1:21" ht="17.25" customHeight="1" x14ac:dyDescent="0.3">
      <c r="A209" s="66" t="s">
        <v>30</v>
      </c>
      <c r="C209" s="67"/>
      <c r="D209" s="77" t="str">
        <f t="shared" si="123"/>
        <v>C100038</v>
      </c>
      <c r="E209" s="77"/>
      <c r="F209" s="76"/>
      <c r="G209" s="76" t="str">
        <f>"""NAV Direct"",""CRONUS JetCorp USA"",""32"",""1"",""114284"""</f>
        <v>"NAV Direct","CRONUS JetCorp USA","32","1","114284"</v>
      </c>
      <c r="H209" s="86">
        <v>43473</v>
      </c>
      <c r="I209" s="85">
        <v>114284</v>
      </c>
      <c r="J209" s="84" t="str">
        <f>"Customer"</f>
        <v>Customer</v>
      </c>
      <c r="K209" s="84" t="str">
        <f>"C100083"</f>
        <v>C100083</v>
      </c>
      <c r="L209" s="84" t="str">
        <f>IF($J209="Customer",_xll.NL("first",$J209,"Name","No.","@@"&amp;$K209),"")</f>
        <v>Stanfords</v>
      </c>
      <c r="M209" s="84" t="str">
        <f>""</f>
        <v/>
      </c>
      <c r="N209" s="84" t="str">
        <f>IF($J209="Item",_xll.NL("first",$J209,"Description","No.","@@"&amp;$K209),"")</f>
        <v/>
      </c>
      <c r="O209" s="83">
        <v>0</v>
      </c>
      <c r="P209" s="83">
        <v>-144</v>
      </c>
      <c r="Q209" s="83">
        <v>0</v>
      </c>
      <c r="R209" s="83">
        <v>0</v>
      </c>
      <c r="S209" s="83">
        <v>0</v>
      </c>
      <c r="T209" s="83">
        <v>0</v>
      </c>
      <c r="U209" s="82"/>
    </row>
    <row r="210" spans="1:21" ht="17.25" customHeight="1" x14ac:dyDescent="0.3">
      <c r="A210" s="66" t="s">
        <v>30</v>
      </c>
      <c r="C210" s="67"/>
      <c r="D210" s="77" t="str">
        <f t="shared" si="123"/>
        <v>C100038</v>
      </c>
      <c r="E210" s="77"/>
      <c r="F210" s="76"/>
      <c r="G210" s="76" t="str">
        <f>"""NAV Direct"",""CRONUS JetCorp USA"",""32"",""1"",""3922"""</f>
        <v>"NAV Direct","CRONUS JetCorp USA","32","1","3922"</v>
      </c>
      <c r="H210" s="86">
        <v>43475</v>
      </c>
      <c r="I210" s="85">
        <v>3922</v>
      </c>
      <c r="J210" s="84" t="str">
        <f>"Customer"</f>
        <v>Customer</v>
      </c>
      <c r="K210" s="84" t="str">
        <f>"C100099"</f>
        <v>C100099</v>
      </c>
      <c r="L210" s="84" t="str">
        <f>IF($J210="Customer",_xll.NL("first",$J210,"Name","No.","@@"&amp;$K210),"")</f>
        <v>Voltive Systems</v>
      </c>
      <c r="M210" s="84" t="str">
        <f>""</f>
        <v/>
      </c>
      <c r="N210" s="84" t="str">
        <f>IF($J210="Item",_xll.NL("first",$J210,"Description","No.","@@"&amp;$K210),"")</f>
        <v/>
      </c>
      <c r="O210" s="83">
        <v>0</v>
      </c>
      <c r="P210" s="83">
        <v>-144</v>
      </c>
      <c r="Q210" s="83">
        <v>0</v>
      </c>
      <c r="R210" s="83">
        <v>0</v>
      </c>
      <c r="S210" s="83">
        <v>0</v>
      </c>
      <c r="T210" s="83">
        <v>0</v>
      </c>
      <c r="U210" s="82"/>
    </row>
    <row r="211" spans="1:21" ht="17.25" customHeight="1" x14ac:dyDescent="0.3">
      <c r="A211" s="66" t="s">
        <v>30</v>
      </c>
      <c r="C211" s="67"/>
      <c r="D211" s="77"/>
      <c r="E211" s="77"/>
      <c r="F211" s="76"/>
      <c r="G211" s="76"/>
      <c r="H211" s="76"/>
      <c r="I211" s="76"/>
      <c r="J211" s="76"/>
      <c r="K211" s="76"/>
      <c r="L211" s="76"/>
      <c r="M211" s="76"/>
      <c r="N211" s="76"/>
      <c r="O211" s="75"/>
      <c r="P211" s="75"/>
      <c r="Q211" s="75"/>
      <c r="R211" s="75"/>
      <c r="S211" s="75"/>
      <c r="T211" s="75"/>
      <c r="U211" s="74"/>
    </row>
    <row r="212" spans="1:21" ht="17.25" customHeight="1" x14ac:dyDescent="0.3">
      <c r="A212" s="66" t="s">
        <v>30</v>
      </c>
      <c r="C212" s="67"/>
      <c r="D212" s="77"/>
      <c r="E212" s="77" t="s">
        <v>31</v>
      </c>
      <c r="F212" s="76" t="s">
        <v>31</v>
      </c>
      <c r="G212" s="76" t="s">
        <v>31</v>
      </c>
      <c r="H212" s="76"/>
      <c r="I212" s="76"/>
      <c r="J212" s="76" t="s">
        <v>31</v>
      </c>
      <c r="K212" s="76" t="s">
        <v>31</v>
      </c>
      <c r="L212" s="76" t="s">
        <v>31</v>
      </c>
      <c r="M212" s="76" t="s">
        <v>31</v>
      </c>
      <c r="N212" s="76"/>
      <c r="U212" s="81"/>
    </row>
    <row r="213" spans="1:21" ht="20.25" customHeight="1" x14ac:dyDescent="0.35">
      <c r="A213" s="66" t="s">
        <v>30</v>
      </c>
      <c r="C213" s="67"/>
      <c r="D213" s="92" t="str">
        <f t="shared" ref="D213" si="124">E213</f>
        <v>C100039</v>
      </c>
      <c r="E213" s="91" t="str">
        <f>"C100039"</f>
        <v>C100039</v>
      </c>
      <c r="F213" s="89" t="str">
        <f>"Portable Speaker &amp; MP3 Dock"</f>
        <v>Portable Speaker &amp; MP3 Dock</v>
      </c>
      <c r="G213" s="89"/>
      <c r="H213" s="90" t="str">
        <f>"EA"</f>
        <v>EA</v>
      </c>
      <c r="I213" s="89"/>
      <c r="J213" s="89"/>
      <c r="K213" s="89"/>
      <c r="L213" s="89"/>
      <c r="M213" s="89"/>
      <c r="N213" s="89"/>
      <c r="O213" s="88">
        <f>(SUBTOTAL(9,O214:O217))</f>
        <v>300</v>
      </c>
      <c r="P213" s="88">
        <f>(SUBTOTAL(9,P214:P217))</f>
        <v>-49</v>
      </c>
      <c r="Q213" s="88">
        <f>(SUBTOTAL(9,Q214:Q217))</f>
        <v>0</v>
      </c>
      <c r="R213" s="88">
        <f>(SUBTOTAL(9,R214:R217))</f>
        <v>0</v>
      </c>
      <c r="S213" s="88">
        <f>(SUBTOTAL(9,S214:S217))</f>
        <v>0</v>
      </c>
      <c r="T213" s="88">
        <f>(SUBTOTAL(9,T214:T217))</f>
        <v>0</v>
      </c>
      <c r="U213" s="87">
        <f t="shared" ref="U213" si="125">SUBTOTAL(9,O214:T217)</f>
        <v>251</v>
      </c>
    </row>
    <row r="214" spans="1:21" ht="17.25" customHeight="1" x14ac:dyDescent="0.3">
      <c r="A214" s="66" t="s">
        <v>30</v>
      </c>
      <c r="C214" s="67"/>
      <c r="D214" s="77" t="str">
        <f t="shared" ref="D214" si="126">D213</f>
        <v>C100039</v>
      </c>
      <c r="E214" s="77"/>
      <c r="F214" s="76"/>
      <c r="G214" s="76" t="str">
        <f>"""NAV Direct"",""CRONUS JetCorp USA"",""32"",""1"",""168035"""</f>
        <v>"NAV Direct","CRONUS JetCorp USA","32","1","168035"</v>
      </c>
      <c r="H214" s="86">
        <v>43466</v>
      </c>
      <c r="I214" s="85">
        <v>168035</v>
      </c>
      <c r="J214" s="84" t="str">
        <f>"Vendor"</f>
        <v>Vendor</v>
      </c>
      <c r="K214" s="84" t="str">
        <f>"V100007"</f>
        <v>V100007</v>
      </c>
      <c r="L214" s="84" t="str">
        <f>IF($J214="Customer",_xll.NL("first",$J214,"Name","No.","@@"&amp;$K214),"")</f>
        <v/>
      </c>
      <c r="M214" s="84" t="str">
        <f>"TrendTech"</f>
        <v>TrendTech</v>
      </c>
      <c r="N214" s="84" t="str">
        <f>IF($J214="Item",_xll.NL("first",$J214,"Description","No.","@@"&amp;$K214),"")</f>
        <v/>
      </c>
      <c r="O214" s="83">
        <v>300</v>
      </c>
      <c r="P214" s="83">
        <v>0</v>
      </c>
      <c r="Q214" s="83">
        <v>0</v>
      </c>
      <c r="R214" s="83">
        <v>0</v>
      </c>
      <c r="S214" s="83">
        <v>0</v>
      </c>
      <c r="T214" s="83">
        <v>0</v>
      </c>
      <c r="U214" s="82"/>
    </row>
    <row r="215" spans="1:21" ht="17.25" customHeight="1" x14ac:dyDescent="0.3">
      <c r="A215" s="66" t="s">
        <v>30</v>
      </c>
      <c r="C215" s="67"/>
      <c r="D215" s="77" t="str">
        <f t="shared" ref="D215:D216" si="127">D214</f>
        <v>C100039</v>
      </c>
      <c r="E215" s="77"/>
      <c r="F215" s="76"/>
      <c r="G215" s="76" t="str">
        <f>"""NAV Direct"",""CRONUS JetCorp USA"",""32"",""1"",""111290"""</f>
        <v>"NAV Direct","CRONUS JetCorp USA","32","1","111290"</v>
      </c>
      <c r="H215" s="86">
        <v>43470</v>
      </c>
      <c r="I215" s="85">
        <v>111290</v>
      </c>
      <c r="J215" s="84" t="str">
        <f>"Customer"</f>
        <v>Customer</v>
      </c>
      <c r="K215" s="84" t="str">
        <f>"C100037"</f>
        <v>C100037</v>
      </c>
      <c r="L215" s="84" t="str">
        <f>IF($J215="Customer",_xll.NL("first",$J215,"Name","No.","@@"&amp;$K215),"")</f>
        <v>Tempsons Tropies</v>
      </c>
      <c r="M215" s="84" t="str">
        <f>""</f>
        <v/>
      </c>
      <c r="N215" s="84" t="str">
        <f>IF($J215="Item",_xll.NL("first",$J215,"Description","No.","@@"&amp;$K215),"")</f>
        <v/>
      </c>
      <c r="O215" s="83">
        <v>0</v>
      </c>
      <c r="P215" s="83">
        <v>-48</v>
      </c>
      <c r="Q215" s="83">
        <v>0</v>
      </c>
      <c r="R215" s="83">
        <v>0</v>
      </c>
      <c r="S215" s="83">
        <v>0</v>
      </c>
      <c r="T215" s="83">
        <v>0</v>
      </c>
      <c r="U215" s="82"/>
    </row>
    <row r="216" spans="1:21" ht="17.25" customHeight="1" x14ac:dyDescent="0.3">
      <c r="A216" s="66" t="s">
        <v>30</v>
      </c>
      <c r="C216" s="67"/>
      <c r="D216" s="77" t="str">
        <f t="shared" si="127"/>
        <v>C100039</v>
      </c>
      <c r="E216" s="77"/>
      <c r="F216" s="76"/>
      <c r="G216" s="76" t="str">
        <f>"""NAV Direct"",""CRONUS JetCorp USA"",""32"",""1"",""7579"""</f>
        <v>"NAV Direct","CRONUS JetCorp USA","32","1","7579"</v>
      </c>
      <c r="H216" s="86">
        <v>43476</v>
      </c>
      <c r="I216" s="85">
        <v>7579</v>
      </c>
      <c r="J216" s="84" t="str">
        <f>"Customer"</f>
        <v>Customer</v>
      </c>
      <c r="K216" s="84" t="str">
        <f>"C100083"</f>
        <v>C100083</v>
      </c>
      <c r="L216" s="84" t="str">
        <f>IF($J216="Customer",_xll.NL("first",$J216,"Name","No.","@@"&amp;$K216),"")</f>
        <v>Stanfords</v>
      </c>
      <c r="M216" s="84" t="str">
        <f>""</f>
        <v/>
      </c>
      <c r="N216" s="84" t="str">
        <f>IF($J216="Item",_xll.NL("first",$J216,"Description","No.","@@"&amp;$K216),"")</f>
        <v/>
      </c>
      <c r="O216" s="83">
        <v>0</v>
      </c>
      <c r="P216" s="83">
        <v>-1</v>
      </c>
      <c r="Q216" s="83">
        <v>0</v>
      </c>
      <c r="R216" s="83">
        <v>0</v>
      </c>
      <c r="S216" s="83">
        <v>0</v>
      </c>
      <c r="T216" s="83">
        <v>0</v>
      </c>
      <c r="U216" s="82"/>
    </row>
    <row r="217" spans="1:21" ht="17.25" customHeight="1" x14ac:dyDescent="0.3">
      <c r="A217" s="66" t="s">
        <v>30</v>
      </c>
      <c r="C217" s="67"/>
      <c r="D217" s="77"/>
      <c r="E217" s="77"/>
      <c r="F217" s="76"/>
      <c r="G217" s="76"/>
      <c r="H217" s="76"/>
      <c r="I217" s="76"/>
      <c r="J217" s="76"/>
      <c r="K217" s="76"/>
      <c r="L217" s="76"/>
      <c r="M217" s="76"/>
      <c r="N217" s="76"/>
      <c r="O217" s="75"/>
      <c r="P217" s="75"/>
      <c r="Q217" s="75"/>
      <c r="R217" s="75"/>
      <c r="S217" s="75"/>
      <c r="T217" s="75"/>
      <c r="U217" s="74"/>
    </row>
    <row r="218" spans="1:21" ht="17.25" customHeight="1" x14ac:dyDescent="0.3">
      <c r="A218" s="66" t="s">
        <v>30</v>
      </c>
      <c r="C218" s="67"/>
      <c r="D218" s="77"/>
      <c r="E218" s="77" t="s">
        <v>31</v>
      </c>
      <c r="F218" s="76" t="s">
        <v>31</v>
      </c>
      <c r="G218" s="76" t="s">
        <v>31</v>
      </c>
      <c r="H218" s="76"/>
      <c r="I218" s="76"/>
      <c r="J218" s="76" t="s">
        <v>31</v>
      </c>
      <c r="K218" s="76" t="s">
        <v>31</v>
      </c>
      <c r="L218" s="76" t="s">
        <v>31</v>
      </c>
      <c r="M218" s="76" t="s">
        <v>31</v>
      </c>
      <c r="N218" s="76"/>
      <c r="U218" s="81"/>
    </row>
    <row r="219" spans="1:21" ht="20.25" customHeight="1" x14ac:dyDescent="0.35">
      <c r="A219" s="66" t="s">
        <v>30</v>
      </c>
      <c r="C219" s="67"/>
      <c r="D219" s="92" t="str">
        <f t="shared" ref="D219" si="128">E219</f>
        <v>C100040</v>
      </c>
      <c r="E219" s="91" t="str">
        <f>"C100040"</f>
        <v>C100040</v>
      </c>
      <c r="F219" s="89" t="str">
        <f>"Channel Speaker System"</f>
        <v>Channel Speaker System</v>
      </c>
      <c r="G219" s="89"/>
      <c r="H219" s="90" t="str">
        <f>"EA"</f>
        <v>EA</v>
      </c>
      <c r="I219" s="89"/>
      <c r="J219" s="89"/>
      <c r="K219" s="89"/>
      <c r="L219" s="89"/>
      <c r="M219" s="89"/>
      <c r="N219" s="89"/>
      <c r="O219" s="88">
        <f>(SUBTOTAL(9,O220:O225))</f>
        <v>499.99999999999994</v>
      </c>
      <c r="P219" s="88">
        <f>(SUBTOTAL(9,P220:P225))</f>
        <v>-481</v>
      </c>
      <c r="Q219" s="88">
        <f>(SUBTOTAL(9,Q220:Q225))</f>
        <v>0</v>
      </c>
      <c r="R219" s="88">
        <f>(SUBTOTAL(9,R220:R225))</f>
        <v>0</v>
      </c>
      <c r="S219" s="88">
        <f>(SUBTOTAL(9,S220:S225))</f>
        <v>0</v>
      </c>
      <c r="T219" s="88">
        <f>(SUBTOTAL(9,T220:T225))</f>
        <v>0</v>
      </c>
      <c r="U219" s="87">
        <f t="shared" ref="U219" si="129">SUBTOTAL(9,O220:T225)</f>
        <v>18.999999999999943</v>
      </c>
    </row>
    <row r="220" spans="1:21" ht="17.25" customHeight="1" x14ac:dyDescent="0.3">
      <c r="A220" s="66" t="s">
        <v>30</v>
      </c>
      <c r="C220" s="67"/>
      <c r="D220" s="77" t="str">
        <f t="shared" ref="D220" si="130">D219</f>
        <v>C100040</v>
      </c>
      <c r="E220" s="77"/>
      <c r="F220" s="76"/>
      <c r="G220" s="76" t="str">
        <f>"""NAV Direct"",""CRONUS JetCorp USA"",""32"",""1"",""168034"""</f>
        <v>"NAV Direct","CRONUS JetCorp USA","32","1","168034"</v>
      </c>
      <c r="H220" s="86">
        <v>43466</v>
      </c>
      <c r="I220" s="85">
        <v>168034</v>
      </c>
      <c r="J220" s="84" t="str">
        <f>"Vendor"</f>
        <v>Vendor</v>
      </c>
      <c r="K220" s="84" t="str">
        <f>"V100007"</f>
        <v>V100007</v>
      </c>
      <c r="L220" s="84" t="str">
        <f>IF($J220="Customer",_xll.NL("first",$J220,"Name","No.","@@"&amp;$K220),"")</f>
        <v/>
      </c>
      <c r="M220" s="84" t="str">
        <f>"TrendTech"</f>
        <v>TrendTech</v>
      </c>
      <c r="N220" s="84" t="str">
        <f>IF($J220="Item",_xll.NL("first",$J220,"Description","No.","@@"&amp;$K220),"")</f>
        <v/>
      </c>
      <c r="O220" s="83">
        <v>499.99999999999994</v>
      </c>
      <c r="P220" s="83">
        <v>0</v>
      </c>
      <c r="Q220" s="83">
        <v>0</v>
      </c>
      <c r="R220" s="83">
        <v>0</v>
      </c>
      <c r="S220" s="83">
        <v>0</v>
      </c>
      <c r="T220" s="83">
        <v>0</v>
      </c>
      <c r="U220" s="82"/>
    </row>
    <row r="221" spans="1:21" ht="17.25" customHeight="1" x14ac:dyDescent="0.3">
      <c r="A221" s="66" t="s">
        <v>30</v>
      </c>
      <c r="C221" s="67"/>
      <c r="D221" s="77" t="str">
        <f t="shared" ref="D221:D224" si="131">D220</f>
        <v>C100040</v>
      </c>
      <c r="E221" s="77"/>
      <c r="F221" s="76"/>
      <c r="G221" s="76" t="str">
        <f>"""NAV Direct"",""CRONUS JetCorp USA"",""32"",""1"",""3884"""</f>
        <v>"NAV Direct","CRONUS JetCorp USA","32","1","3884"</v>
      </c>
      <c r="H221" s="86">
        <v>43467</v>
      </c>
      <c r="I221" s="85">
        <v>3884</v>
      </c>
      <c r="J221" s="84" t="str">
        <f>"Customer"</f>
        <v>Customer</v>
      </c>
      <c r="K221" s="84" t="str">
        <f>"C100099"</f>
        <v>C100099</v>
      </c>
      <c r="L221" s="84" t="str">
        <f>IF($J221="Customer",_xll.NL("first",$J221,"Name","No.","@@"&amp;$K221),"")</f>
        <v>Voltive Systems</v>
      </c>
      <c r="M221" s="84" t="str">
        <f>""</f>
        <v/>
      </c>
      <c r="N221" s="84" t="str">
        <f>IF($J221="Item",_xll.NL("first",$J221,"Description","No.","@@"&amp;$K221),"")</f>
        <v/>
      </c>
      <c r="O221" s="83">
        <v>0</v>
      </c>
      <c r="P221" s="83">
        <v>-192</v>
      </c>
      <c r="Q221" s="83">
        <v>0</v>
      </c>
      <c r="R221" s="83">
        <v>0</v>
      </c>
      <c r="S221" s="83">
        <v>0</v>
      </c>
      <c r="T221" s="83">
        <v>0</v>
      </c>
      <c r="U221" s="82"/>
    </row>
    <row r="222" spans="1:21" ht="17.25" customHeight="1" x14ac:dyDescent="0.3">
      <c r="A222" s="66" t="s">
        <v>30</v>
      </c>
      <c r="C222" s="67"/>
      <c r="D222" s="77" t="str">
        <f t="shared" si="131"/>
        <v>C100040</v>
      </c>
      <c r="E222" s="77"/>
      <c r="F222" s="76"/>
      <c r="G222" s="76" t="str">
        <f>"""NAV Direct"",""CRONUS JetCorp USA"",""32"",""1"",""111287"""</f>
        <v>"NAV Direct","CRONUS JetCorp USA","32","1","111287"</v>
      </c>
      <c r="H222" s="86">
        <v>43470</v>
      </c>
      <c r="I222" s="85">
        <v>111287</v>
      </c>
      <c r="J222" s="84" t="str">
        <f>"Customer"</f>
        <v>Customer</v>
      </c>
      <c r="K222" s="84" t="str">
        <f>"C100037"</f>
        <v>C100037</v>
      </c>
      <c r="L222" s="84" t="str">
        <f>IF($J222="Customer",_xll.NL("first",$J222,"Name","No.","@@"&amp;$K222),"")</f>
        <v>Tempsons Tropies</v>
      </c>
      <c r="M222" s="84" t="str">
        <f>""</f>
        <v/>
      </c>
      <c r="N222" s="84" t="str">
        <f>IF($J222="Item",_xll.NL("first",$J222,"Description","No.","@@"&amp;$K222),"")</f>
        <v/>
      </c>
      <c r="O222" s="83">
        <v>0</v>
      </c>
      <c r="P222" s="83">
        <v>-144</v>
      </c>
      <c r="Q222" s="83">
        <v>0</v>
      </c>
      <c r="R222" s="83">
        <v>0</v>
      </c>
      <c r="S222" s="83">
        <v>0</v>
      </c>
      <c r="T222" s="83">
        <v>0</v>
      </c>
      <c r="U222" s="82"/>
    </row>
    <row r="223" spans="1:21" ht="17.25" customHeight="1" x14ac:dyDescent="0.3">
      <c r="A223" s="66" t="s">
        <v>30</v>
      </c>
      <c r="C223" s="67"/>
      <c r="D223" s="77" t="str">
        <f t="shared" si="131"/>
        <v>C100040</v>
      </c>
      <c r="E223" s="77"/>
      <c r="F223" s="76"/>
      <c r="G223" s="76" t="str">
        <f>"""NAV Direct"",""CRONUS JetCorp USA"",""32"",""1"",""111310"""</f>
        <v>"NAV Direct","CRONUS JetCorp USA","32","1","111310"</v>
      </c>
      <c r="H223" s="86">
        <v>43472</v>
      </c>
      <c r="I223" s="85">
        <v>111310</v>
      </c>
      <c r="J223" s="84" t="str">
        <f>"Customer"</f>
        <v>Customer</v>
      </c>
      <c r="K223" s="84" t="str">
        <f>"C100099"</f>
        <v>C100099</v>
      </c>
      <c r="L223" s="84" t="str">
        <f>IF($J223="Customer",_xll.NL("first",$J223,"Name","No.","@@"&amp;$K223),"")</f>
        <v>Voltive Systems</v>
      </c>
      <c r="M223" s="84" t="str">
        <f>""</f>
        <v/>
      </c>
      <c r="N223" s="84" t="str">
        <f>IF($J223="Item",_xll.NL("first",$J223,"Description","No.","@@"&amp;$K223),"")</f>
        <v/>
      </c>
      <c r="O223" s="83">
        <v>0</v>
      </c>
      <c r="P223" s="83">
        <v>-144</v>
      </c>
      <c r="Q223" s="83">
        <v>0</v>
      </c>
      <c r="R223" s="83">
        <v>0</v>
      </c>
      <c r="S223" s="83">
        <v>0</v>
      </c>
      <c r="T223" s="83">
        <v>0</v>
      </c>
      <c r="U223" s="82"/>
    </row>
    <row r="224" spans="1:21" ht="17.25" customHeight="1" x14ac:dyDescent="0.3">
      <c r="A224" s="66" t="s">
        <v>30</v>
      </c>
      <c r="C224" s="67"/>
      <c r="D224" s="77" t="str">
        <f t="shared" si="131"/>
        <v>C100040</v>
      </c>
      <c r="E224" s="77"/>
      <c r="F224" s="76"/>
      <c r="G224" s="76" t="str">
        <f>"""NAV Direct"",""CRONUS JetCorp USA"",""32"",""1"",""7578"""</f>
        <v>"NAV Direct","CRONUS JetCorp USA","32","1","7578"</v>
      </c>
      <c r="H224" s="86">
        <v>43476</v>
      </c>
      <c r="I224" s="85">
        <v>7578</v>
      </c>
      <c r="J224" s="84" t="str">
        <f>"Customer"</f>
        <v>Customer</v>
      </c>
      <c r="K224" s="84" t="str">
        <f>"C100083"</f>
        <v>C100083</v>
      </c>
      <c r="L224" s="84" t="str">
        <f>IF($J224="Customer",_xll.NL("first",$J224,"Name","No.","@@"&amp;$K224),"")</f>
        <v>Stanfords</v>
      </c>
      <c r="M224" s="84" t="str">
        <f>""</f>
        <v/>
      </c>
      <c r="N224" s="84" t="str">
        <f>IF($J224="Item",_xll.NL("first",$J224,"Description","No.","@@"&amp;$K224),"")</f>
        <v/>
      </c>
      <c r="O224" s="83">
        <v>0</v>
      </c>
      <c r="P224" s="83">
        <v>-1</v>
      </c>
      <c r="Q224" s="83">
        <v>0</v>
      </c>
      <c r="R224" s="83">
        <v>0</v>
      </c>
      <c r="S224" s="83">
        <v>0</v>
      </c>
      <c r="T224" s="83">
        <v>0</v>
      </c>
      <c r="U224" s="82"/>
    </row>
    <row r="225" spans="1:21" ht="17.25" customHeight="1" x14ac:dyDescent="0.3">
      <c r="A225" s="66" t="s">
        <v>30</v>
      </c>
      <c r="C225" s="67"/>
      <c r="D225" s="77"/>
      <c r="E225" s="77"/>
      <c r="F225" s="76"/>
      <c r="G225" s="76"/>
      <c r="H225" s="76"/>
      <c r="I225" s="76"/>
      <c r="J225" s="76"/>
      <c r="K225" s="76"/>
      <c r="L225" s="76"/>
      <c r="M225" s="76"/>
      <c r="N225" s="76"/>
      <c r="O225" s="75"/>
      <c r="P225" s="75"/>
      <c r="Q225" s="75"/>
      <c r="R225" s="75"/>
      <c r="S225" s="75"/>
      <c r="T225" s="75"/>
      <c r="U225" s="74"/>
    </row>
    <row r="226" spans="1:21" ht="17.25" customHeight="1" x14ac:dyDescent="0.3">
      <c r="A226" s="66" t="s">
        <v>30</v>
      </c>
      <c r="C226" s="67"/>
      <c r="D226" s="77"/>
      <c r="E226" s="77" t="s">
        <v>31</v>
      </c>
      <c r="F226" s="76" t="s">
        <v>31</v>
      </c>
      <c r="G226" s="76" t="s">
        <v>31</v>
      </c>
      <c r="H226" s="76"/>
      <c r="I226" s="76"/>
      <c r="J226" s="76" t="s">
        <v>31</v>
      </c>
      <c r="K226" s="76" t="s">
        <v>31</v>
      </c>
      <c r="L226" s="76" t="s">
        <v>31</v>
      </c>
      <c r="M226" s="76" t="s">
        <v>31</v>
      </c>
      <c r="N226" s="76"/>
      <c r="U226" s="81"/>
    </row>
    <row r="227" spans="1:21" ht="20.25" customHeight="1" x14ac:dyDescent="0.35">
      <c r="A227" s="66" t="s">
        <v>30</v>
      </c>
      <c r="C227" s="67"/>
      <c r="D227" s="92" t="str">
        <f t="shared" ref="D227" si="132">E227</f>
        <v>C100041</v>
      </c>
      <c r="E227" s="91" t="str">
        <f>"C100041"</f>
        <v>C100041</v>
      </c>
      <c r="F227" s="89" t="str">
        <f>"Folding Stereo Speakers"</f>
        <v>Folding Stereo Speakers</v>
      </c>
      <c r="G227" s="89"/>
      <c r="H227" s="90" t="str">
        <f>"EA"</f>
        <v>EA</v>
      </c>
      <c r="I227" s="89"/>
      <c r="J227" s="89"/>
      <c r="K227" s="89"/>
      <c r="L227" s="89"/>
      <c r="M227" s="89"/>
      <c r="N227" s="89"/>
      <c r="O227" s="88">
        <f>(SUBTOTAL(9,O228:O233))</f>
        <v>499.99999999999994</v>
      </c>
      <c r="P227" s="88">
        <f>(SUBTOTAL(9,P228:P233))</f>
        <v>-175</v>
      </c>
      <c r="Q227" s="88">
        <f>(SUBTOTAL(9,Q228:Q233))</f>
        <v>0</v>
      </c>
      <c r="R227" s="88">
        <f>(SUBTOTAL(9,R228:R233))</f>
        <v>0</v>
      </c>
      <c r="S227" s="88">
        <f>(SUBTOTAL(9,S228:S233))</f>
        <v>0</v>
      </c>
      <c r="T227" s="88">
        <f>(SUBTOTAL(9,T228:T233))</f>
        <v>0</v>
      </c>
      <c r="U227" s="87">
        <f t="shared" ref="U227" si="133">SUBTOTAL(9,O228:T233)</f>
        <v>324.99999999999994</v>
      </c>
    </row>
    <row r="228" spans="1:21" ht="17.25" customHeight="1" x14ac:dyDescent="0.3">
      <c r="A228" s="66" t="s">
        <v>30</v>
      </c>
      <c r="C228" s="67"/>
      <c r="D228" s="77" t="str">
        <f t="shared" ref="D228" si="134">D227</f>
        <v>C100041</v>
      </c>
      <c r="E228" s="77"/>
      <c r="F228" s="76"/>
      <c r="G228" s="76" t="str">
        <f>"""NAV Direct"",""CRONUS JetCorp USA"",""32"",""1"",""168033"""</f>
        <v>"NAV Direct","CRONUS JetCorp USA","32","1","168033"</v>
      </c>
      <c r="H228" s="86">
        <v>43466</v>
      </c>
      <c r="I228" s="85">
        <v>168033</v>
      </c>
      <c r="J228" s="84" t="str">
        <f>"Vendor"</f>
        <v>Vendor</v>
      </c>
      <c r="K228" s="84" t="str">
        <f>"V100007"</f>
        <v>V100007</v>
      </c>
      <c r="L228" s="84" t="str">
        <f>IF($J228="Customer",_xll.NL("first",$J228,"Name","No.","@@"&amp;$K228),"")</f>
        <v/>
      </c>
      <c r="M228" s="84" t="str">
        <f>"TrendTech"</f>
        <v>TrendTech</v>
      </c>
      <c r="N228" s="84" t="str">
        <f>IF($J228="Item",_xll.NL("first",$J228,"Description","No.","@@"&amp;$K228),"")</f>
        <v/>
      </c>
      <c r="O228" s="83">
        <v>499.99999999999994</v>
      </c>
      <c r="P228" s="83">
        <v>0</v>
      </c>
      <c r="Q228" s="83">
        <v>0</v>
      </c>
      <c r="R228" s="83">
        <v>0</v>
      </c>
      <c r="S228" s="83">
        <v>0</v>
      </c>
      <c r="T228" s="83">
        <v>0</v>
      </c>
      <c r="U228" s="82"/>
    </row>
    <row r="229" spans="1:21" ht="17.25" customHeight="1" x14ac:dyDescent="0.3">
      <c r="A229" s="66" t="s">
        <v>30</v>
      </c>
      <c r="C229" s="67"/>
      <c r="D229" s="77" t="str">
        <f t="shared" ref="D229:D232" si="135">D228</f>
        <v>C100041</v>
      </c>
      <c r="E229" s="77"/>
      <c r="F229" s="76"/>
      <c r="G229" s="76" t="str">
        <f>"""NAV Direct"",""CRONUS JetCorp USA"",""32"",""1"",""3911"""</f>
        <v>"NAV Direct","CRONUS JetCorp USA","32","1","3911"</v>
      </c>
      <c r="H229" s="86">
        <v>43472</v>
      </c>
      <c r="I229" s="85">
        <v>3911</v>
      </c>
      <c r="J229" s="84" t="str">
        <f>"Customer"</f>
        <v>Customer</v>
      </c>
      <c r="K229" s="84" t="str">
        <f>"C100099"</f>
        <v>C100099</v>
      </c>
      <c r="L229" s="84" t="str">
        <f>IF($J229="Customer",_xll.NL("first",$J229,"Name","No.","@@"&amp;$K229),"")</f>
        <v>Voltive Systems</v>
      </c>
      <c r="M229" s="84" t="str">
        <f>""</f>
        <v/>
      </c>
      <c r="N229" s="84" t="str">
        <f>IF($J229="Item",_xll.NL("first",$J229,"Description","No.","@@"&amp;$K229),"")</f>
        <v/>
      </c>
      <c r="O229" s="83">
        <v>0</v>
      </c>
      <c r="P229" s="83">
        <v>-24</v>
      </c>
      <c r="Q229" s="83">
        <v>0</v>
      </c>
      <c r="R229" s="83">
        <v>0</v>
      </c>
      <c r="S229" s="83">
        <v>0</v>
      </c>
      <c r="T229" s="83">
        <v>0</v>
      </c>
      <c r="U229" s="82"/>
    </row>
    <row r="230" spans="1:21" ht="17.25" customHeight="1" x14ac:dyDescent="0.3">
      <c r="A230" s="66" t="s">
        <v>30</v>
      </c>
      <c r="C230" s="67"/>
      <c r="D230" s="77" t="str">
        <f t="shared" si="135"/>
        <v>C100041</v>
      </c>
      <c r="E230" s="77"/>
      <c r="F230" s="76"/>
      <c r="G230" s="76" t="str">
        <f>"""NAV Direct"",""CRONUS JetCorp USA"",""32"",""1"",""111285"""</f>
        <v>"NAV Direct","CRONUS JetCorp USA","32","1","111285"</v>
      </c>
      <c r="H230" s="86">
        <v>43472</v>
      </c>
      <c r="I230" s="85">
        <v>111285</v>
      </c>
      <c r="J230" s="84" t="str">
        <f>"Customer"</f>
        <v>Customer</v>
      </c>
      <c r="K230" s="84" t="str">
        <f>"C100099"</f>
        <v>C100099</v>
      </c>
      <c r="L230" s="84" t="str">
        <f>IF($J230="Customer",_xll.NL("first",$J230,"Name","No.","@@"&amp;$K230),"")</f>
        <v>Voltive Systems</v>
      </c>
      <c r="M230" s="84" t="str">
        <f>""</f>
        <v/>
      </c>
      <c r="N230" s="84" t="str">
        <f>IF($J230="Item",_xll.NL("first",$J230,"Description","No.","@@"&amp;$K230),"")</f>
        <v/>
      </c>
      <c r="O230" s="83">
        <v>0</v>
      </c>
      <c r="P230" s="83">
        <v>-1</v>
      </c>
      <c r="Q230" s="83">
        <v>0</v>
      </c>
      <c r="R230" s="83">
        <v>0</v>
      </c>
      <c r="S230" s="83">
        <v>0</v>
      </c>
      <c r="T230" s="83">
        <v>0</v>
      </c>
      <c r="U230" s="82"/>
    </row>
    <row r="231" spans="1:21" ht="17.25" customHeight="1" x14ac:dyDescent="0.3">
      <c r="A231" s="66" t="s">
        <v>30</v>
      </c>
      <c r="C231" s="67"/>
      <c r="D231" s="77" t="str">
        <f t="shared" si="135"/>
        <v>C100041</v>
      </c>
      <c r="E231" s="77"/>
      <c r="F231" s="76"/>
      <c r="G231" s="76" t="str">
        <f>"""NAV Direct"",""CRONUS JetCorp USA"",""32"",""1"",""111315"""</f>
        <v>"NAV Direct","CRONUS JetCorp USA","32","1","111315"</v>
      </c>
      <c r="H231" s="86">
        <v>43472</v>
      </c>
      <c r="I231" s="85">
        <v>111315</v>
      </c>
      <c r="J231" s="84" t="str">
        <f>"Customer"</f>
        <v>Customer</v>
      </c>
      <c r="K231" s="84" t="str">
        <f>"C100099"</f>
        <v>C100099</v>
      </c>
      <c r="L231" s="84" t="str">
        <f>IF($J231="Customer",_xll.NL("first",$J231,"Name","No.","@@"&amp;$K231),"")</f>
        <v>Voltive Systems</v>
      </c>
      <c r="M231" s="84" t="str">
        <f>""</f>
        <v/>
      </c>
      <c r="N231" s="84" t="str">
        <f>IF($J231="Item",_xll.NL("first",$J231,"Description","No.","@@"&amp;$K231),"")</f>
        <v/>
      </c>
      <c r="O231" s="83">
        <v>0</v>
      </c>
      <c r="P231" s="83">
        <v>-6</v>
      </c>
      <c r="Q231" s="83">
        <v>0</v>
      </c>
      <c r="R231" s="83">
        <v>0</v>
      </c>
      <c r="S231" s="83">
        <v>0</v>
      </c>
      <c r="T231" s="83">
        <v>0</v>
      </c>
      <c r="U231" s="82"/>
    </row>
    <row r="232" spans="1:21" ht="17.25" customHeight="1" x14ac:dyDescent="0.3">
      <c r="A232" s="66" t="s">
        <v>30</v>
      </c>
      <c r="C232" s="67"/>
      <c r="D232" s="77" t="str">
        <f t="shared" si="135"/>
        <v>C100041</v>
      </c>
      <c r="E232" s="77"/>
      <c r="F232" s="76"/>
      <c r="G232" s="76" t="str">
        <f>"""NAV Direct"",""CRONUS JetCorp USA"",""32"",""1"",""3920"""</f>
        <v>"NAV Direct","CRONUS JetCorp USA","32","1","3920"</v>
      </c>
      <c r="H232" s="86">
        <v>43475</v>
      </c>
      <c r="I232" s="85">
        <v>3920</v>
      </c>
      <c r="J232" s="84" t="str">
        <f>"Customer"</f>
        <v>Customer</v>
      </c>
      <c r="K232" s="84" t="str">
        <f>"C100099"</f>
        <v>C100099</v>
      </c>
      <c r="L232" s="84" t="str">
        <f>IF($J232="Customer",_xll.NL("first",$J232,"Name","No.","@@"&amp;$K232),"")</f>
        <v>Voltive Systems</v>
      </c>
      <c r="M232" s="84" t="str">
        <f>""</f>
        <v/>
      </c>
      <c r="N232" s="84" t="str">
        <f>IF($J232="Item",_xll.NL("first",$J232,"Description","No.","@@"&amp;$K232),"")</f>
        <v/>
      </c>
      <c r="O232" s="83">
        <v>0</v>
      </c>
      <c r="P232" s="83">
        <v>-144</v>
      </c>
      <c r="Q232" s="83">
        <v>0</v>
      </c>
      <c r="R232" s="83">
        <v>0</v>
      </c>
      <c r="S232" s="83">
        <v>0</v>
      </c>
      <c r="T232" s="83">
        <v>0</v>
      </c>
      <c r="U232" s="82"/>
    </row>
    <row r="233" spans="1:21" ht="17.25" customHeight="1" x14ac:dyDescent="0.3">
      <c r="A233" s="66" t="s">
        <v>30</v>
      </c>
      <c r="C233" s="67"/>
      <c r="D233" s="77"/>
      <c r="E233" s="77"/>
      <c r="F233" s="76"/>
      <c r="G233" s="76"/>
      <c r="H233" s="76"/>
      <c r="I233" s="76"/>
      <c r="J233" s="76"/>
      <c r="K233" s="76"/>
      <c r="L233" s="76"/>
      <c r="M233" s="76"/>
      <c r="N233" s="76"/>
      <c r="O233" s="75"/>
      <c r="P233" s="75"/>
      <c r="Q233" s="75"/>
      <c r="R233" s="75"/>
      <c r="S233" s="75"/>
      <c r="T233" s="75"/>
      <c r="U233" s="74"/>
    </row>
    <row r="234" spans="1:21" ht="17.25" customHeight="1" x14ac:dyDescent="0.3">
      <c r="A234" s="66" t="s">
        <v>30</v>
      </c>
      <c r="C234" s="67"/>
      <c r="D234" s="77"/>
      <c r="E234" s="77" t="s">
        <v>31</v>
      </c>
      <c r="F234" s="76" t="s">
        <v>31</v>
      </c>
      <c r="G234" s="76" t="s">
        <v>31</v>
      </c>
      <c r="H234" s="76"/>
      <c r="I234" s="76"/>
      <c r="J234" s="76" t="s">
        <v>31</v>
      </c>
      <c r="K234" s="76" t="s">
        <v>31</v>
      </c>
      <c r="L234" s="76" t="s">
        <v>31</v>
      </c>
      <c r="M234" s="76" t="s">
        <v>31</v>
      </c>
      <c r="N234" s="76"/>
      <c r="U234" s="81"/>
    </row>
    <row r="235" spans="1:21" ht="20.25" customHeight="1" x14ac:dyDescent="0.35">
      <c r="A235" s="66" t="s">
        <v>30</v>
      </c>
      <c r="C235" s="67"/>
      <c r="D235" s="92" t="str">
        <f t="shared" ref="D235" si="136">E235</f>
        <v>C100043</v>
      </c>
      <c r="E235" s="91" t="str">
        <f>"C100043"</f>
        <v>C100043</v>
      </c>
      <c r="F235" s="89" t="str">
        <f>"Pro-Travel Technology Set"</f>
        <v>Pro-Travel Technology Set</v>
      </c>
      <c r="G235" s="89"/>
      <c r="H235" s="90" t="str">
        <f>"EA"</f>
        <v>EA</v>
      </c>
      <c r="I235" s="89"/>
      <c r="J235" s="89"/>
      <c r="K235" s="89"/>
      <c r="L235" s="89"/>
      <c r="M235" s="89"/>
      <c r="N235" s="89"/>
      <c r="O235" s="88">
        <f>(SUBTOTAL(9,O236:O241))</f>
        <v>200</v>
      </c>
      <c r="P235" s="88">
        <f>(SUBTOTAL(9,P236:P241))</f>
        <v>-169</v>
      </c>
      <c r="Q235" s="88">
        <f>(SUBTOTAL(9,Q236:Q241))</f>
        <v>0</v>
      </c>
      <c r="R235" s="88">
        <f>(SUBTOTAL(9,R236:R241))</f>
        <v>0</v>
      </c>
      <c r="S235" s="88">
        <f>(SUBTOTAL(9,S236:S241))</f>
        <v>0</v>
      </c>
      <c r="T235" s="88">
        <f>(SUBTOTAL(9,T236:T241))</f>
        <v>0</v>
      </c>
      <c r="U235" s="87">
        <f t="shared" ref="U235" si="137">SUBTOTAL(9,O236:T241)</f>
        <v>31</v>
      </c>
    </row>
    <row r="236" spans="1:21" ht="17.25" customHeight="1" x14ac:dyDescent="0.3">
      <c r="A236" s="66" t="s">
        <v>30</v>
      </c>
      <c r="C236" s="67"/>
      <c r="D236" s="77" t="str">
        <f t="shared" ref="D236" si="138">D235</f>
        <v>C100043</v>
      </c>
      <c r="E236" s="77"/>
      <c r="F236" s="76"/>
      <c r="G236" s="76" t="str">
        <f>"""NAV Direct"",""CRONUS JetCorp USA"",""32"",""1"",""168032"""</f>
        <v>"NAV Direct","CRONUS JetCorp USA","32","1","168032"</v>
      </c>
      <c r="H236" s="86">
        <v>43466</v>
      </c>
      <c r="I236" s="85">
        <v>168032</v>
      </c>
      <c r="J236" s="84" t="str">
        <f>"Vendor"</f>
        <v>Vendor</v>
      </c>
      <c r="K236" s="84" t="str">
        <f>"V100007"</f>
        <v>V100007</v>
      </c>
      <c r="L236" s="84" t="str">
        <f>IF($J236="Customer",_xll.NL("first",$J236,"Name","No.","@@"&amp;$K236),"")</f>
        <v/>
      </c>
      <c r="M236" s="84" t="str">
        <f>"TrendTech"</f>
        <v>TrendTech</v>
      </c>
      <c r="N236" s="84" t="str">
        <f>IF($J236="Item",_xll.NL("first",$J236,"Description","No.","@@"&amp;$K236),"")</f>
        <v/>
      </c>
      <c r="O236" s="83">
        <v>200</v>
      </c>
      <c r="P236" s="83">
        <v>0</v>
      </c>
      <c r="Q236" s="83">
        <v>0</v>
      </c>
      <c r="R236" s="83">
        <v>0</v>
      </c>
      <c r="S236" s="83">
        <v>0</v>
      </c>
      <c r="T236" s="83">
        <v>0</v>
      </c>
      <c r="U236" s="82"/>
    </row>
    <row r="237" spans="1:21" ht="17.25" customHeight="1" x14ac:dyDescent="0.3">
      <c r="A237" s="66" t="s">
        <v>30</v>
      </c>
      <c r="C237" s="67"/>
      <c r="D237" s="77" t="str">
        <f t="shared" ref="D237:D240" si="139">D236</f>
        <v>C100043</v>
      </c>
      <c r="E237" s="77"/>
      <c r="F237" s="76"/>
      <c r="G237" s="76" t="str">
        <f>"""NAV Direct"",""CRONUS JetCorp USA"",""32"",""1"",""3889"""</f>
        <v>"NAV Direct","CRONUS JetCorp USA","32","1","3889"</v>
      </c>
      <c r="H237" s="86">
        <v>43467</v>
      </c>
      <c r="I237" s="85">
        <v>3889</v>
      </c>
      <c r="J237" s="84" t="str">
        <f>"Customer"</f>
        <v>Customer</v>
      </c>
      <c r="K237" s="84" t="str">
        <f>"C100099"</f>
        <v>C100099</v>
      </c>
      <c r="L237" s="84" t="str">
        <f>IF($J237="Customer",_xll.NL("first",$J237,"Name","No.","@@"&amp;$K237),"")</f>
        <v>Voltive Systems</v>
      </c>
      <c r="M237" s="84" t="str">
        <f>""</f>
        <v/>
      </c>
      <c r="N237" s="84" t="str">
        <f>IF($J237="Item",_xll.NL("first",$J237,"Description","No.","@@"&amp;$K237),"")</f>
        <v/>
      </c>
      <c r="O237" s="83">
        <v>0</v>
      </c>
      <c r="P237" s="83">
        <v>-12</v>
      </c>
      <c r="Q237" s="83">
        <v>0</v>
      </c>
      <c r="R237" s="83">
        <v>0</v>
      </c>
      <c r="S237" s="83">
        <v>0</v>
      </c>
      <c r="T237" s="83">
        <v>0</v>
      </c>
      <c r="U237" s="82"/>
    </row>
    <row r="238" spans="1:21" ht="17.25" customHeight="1" x14ac:dyDescent="0.3">
      <c r="A238" s="66" t="s">
        <v>30</v>
      </c>
      <c r="C238" s="67"/>
      <c r="D238" s="77" t="str">
        <f t="shared" si="139"/>
        <v>C100043</v>
      </c>
      <c r="E238" s="77"/>
      <c r="F238" s="76"/>
      <c r="G238" s="76" t="str">
        <f>"""NAV Direct"",""CRONUS JetCorp USA"",""32"",""1"",""111291"""</f>
        <v>"NAV Direct","CRONUS JetCorp USA","32","1","111291"</v>
      </c>
      <c r="H238" s="86">
        <v>43470</v>
      </c>
      <c r="I238" s="85">
        <v>111291</v>
      </c>
      <c r="J238" s="84" t="str">
        <f>"Customer"</f>
        <v>Customer</v>
      </c>
      <c r="K238" s="84" t="str">
        <f>"C100037"</f>
        <v>C100037</v>
      </c>
      <c r="L238" s="84" t="str">
        <f>IF($J238="Customer",_xll.NL("first",$J238,"Name","No.","@@"&amp;$K238),"")</f>
        <v>Tempsons Tropies</v>
      </c>
      <c r="M238" s="84" t="str">
        <f>""</f>
        <v/>
      </c>
      <c r="N238" s="84" t="str">
        <f>IF($J238="Item",_xll.NL("first",$J238,"Description","No.","@@"&amp;$K238),"")</f>
        <v/>
      </c>
      <c r="O238" s="83">
        <v>0</v>
      </c>
      <c r="P238" s="83">
        <v>-12</v>
      </c>
      <c r="Q238" s="83">
        <v>0</v>
      </c>
      <c r="R238" s="83">
        <v>0</v>
      </c>
      <c r="S238" s="83">
        <v>0</v>
      </c>
      <c r="T238" s="83">
        <v>0</v>
      </c>
      <c r="U238" s="82"/>
    </row>
    <row r="239" spans="1:21" ht="17.25" customHeight="1" x14ac:dyDescent="0.3">
      <c r="A239" s="66" t="s">
        <v>30</v>
      </c>
      <c r="C239" s="67"/>
      <c r="D239" s="77" t="str">
        <f t="shared" si="139"/>
        <v>C100043</v>
      </c>
      <c r="E239" s="77"/>
      <c r="F239" s="76"/>
      <c r="G239" s="76" t="str">
        <f>"""NAV Direct"",""CRONUS JetCorp USA"",""32"",""1"",""111277"""</f>
        <v>"NAV Direct","CRONUS JetCorp USA","32","1","111277"</v>
      </c>
      <c r="H239" s="86">
        <v>43472</v>
      </c>
      <c r="I239" s="85">
        <v>111277</v>
      </c>
      <c r="J239" s="84" t="str">
        <f>"Customer"</f>
        <v>Customer</v>
      </c>
      <c r="K239" s="84" t="str">
        <f>"C100099"</f>
        <v>C100099</v>
      </c>
      <c r="L239" s="84" t="str">
        <f>IF($J239="Customer",_xll.NL("first",$J239,"Name","No.","@@"&amp;$K239),"")</f>
        <v>Voltive Systems</v>
      </c>
      <c r="M239" s="84" t="str">
        <f>""</f>
        <v/>
      </c>
      <c r="N239" s="84" t="str">
        <f>IF($J239="Item",_xll.NL("first",$J239,"Description","No.","@@"&amp;$K239),"")</f>
        <v/>
      </c>
      <c r="O239" s="83">
        <v>0</v>
      </c>
      <c r="P239" s="83">
        <v>-144</v>
      </c>
      <c r="Q239" s="83">
        <v>0</v>
      </c>
      <c r="R239" s="83">
        <v>0</v>
      </c>
      <c r="S239" s="83">
        <v>0</v>
      </c>
      <c r="T239" s="83">
        <v>0</v>
      </c>
      <c r="U239" s="82"/>
    </row>
    <row r="240" spans="1:21" ht="17.25" customHeight="1" x14ac:dyDescent="0.3">
      <c r="A240" s="66" t="s">
        <v>30</v>
      </c>
      <c r="C240" s="67"/>
      <c r="D240" s="77" t="str">
        <f t="shared" si="139"/>
        <v>C100043</v>
      </c>
      <c r="E240" s="77"/>
      <c r="F240" s="76"/>
      <c r="G240" s="76" t="str">
        <f>"""NAV Direct"",""CRONUS JetCorp USA"",""32"",""1"",""114287"""</f>
        <v>"NAV Direct","CRONUS JetCorp USA","32","1","114287"</v>
      </c>
      <c r="H240" s="86">
        <v>43473</v>
      </c>
      <c r="I240" s="85">
        <v>114287</v>
      </c>
      <c r="J240" s="84" t="str">
        <f>"Customer"</f>
        <v>Customer</v>
      </c>
      <c r="K240" s="84" t="str">
        <f>"C100083"</f>
        <v>C100083</v>
      </c>
      <c r="L240" s="84" t="str">
        <f>IF($J240="Customer",_xll.NL("first",$J240,"Name","No.","@@"&amp;$K240),"")</f>
        <v>Stanfords</v>
      </c>
      <c r="M240" s="84" t="str">
        <f>""</f>
        <v/>
      </c>
      <c r="N240" s="84" t="str">
        <f>IF($J240="Item",_xll.NL("first",$J240,"Description","No.","@@"&amp;$K240),"")</f>
        <v/>
      </c>
      <c r="O240" s="83">
        <v>0</v>
      </c>
      <c r="P240" s="83">
        <v>-1</v>
      </c>
      <c r="Q240" s="83">
        <v>0</v>
      </c>
      <c r="R240" s="83">
        <v>0</v>
      </c>
      <c r="S240" s="83">
        <v>0</v>
      </c>
      <c r="T240" s="83">
        <v>0</v>
      </c>
      <c r="U240" s="82"/>
    </row>
    <row r="241" spans="1:21" ht="17.25" customHeight="1" x14ac:dyDescent="0.3">
      <c r="A241" s="66" t="s">
        <v>30</v>
      </c>
      <c r="C241" s="67"/>
      <c r="D241" s="77"/>
      <c r="E241" s="77"/>
      <c r="F241" s="76"/>
      <c r="G241" s="76"/>
      <c r="H241" s="76"/>
      <c r="I241" s="76"/>
      <c r="J241" s="76"/>
      <c r="K241" s="76"/>
      <c r="L241" s="76"/>
      <c r="M241" s="76"/>
      <c r="N241" s="76"/>
      <c r="O241" s="75"/>
      <c r="P241" s="75"/>
      <c r="Q241" s="75"/>
      <c r="R241" s="75"/>
      <c r="S241" s="75"/>
      <c r="T241" s="75"/>
      <c r="U241" s="74"/>
    </row>
    <row r="242" spans="1:21" ht="17.25" customHeight="1" x14ac:dyDescent="0.3">
      <c r="A242" s="66" t="s">
        <v>30</v>
      </c>
      <c r="C242" s="67"/>
      <c r="D242" s="77"/>
      <c r="E242" s="77" t="s">
        <v>31</v>
      </c>
      <c r="F242" s="76" t="s">
        <v>31</v>
      </c>
      <c r="G242" s="76" t="s">
        <v>31</v>
      </c>
      <c r="H242" s="76"/>
      <c r="I242" s="76"/>
      <c r="J242" s="76" t="s">
        <v>31</v>
      </c>
      <c r="K242" s="76" t="s">
        <v>31</v>
      </c>
      <c r="L242" s="76" t="s">
        <v>31</v>
      </c>
      <c r="M242" s="76" t="s">
        <v>31</v>
      </c>
      <c r="N242" s="76"/>
      <c r="U242" s="81"/>
    </row>
    <row r="243" spans="1:21" ht="20.25" customHeight="1" x14ac:dyDescent="0.35">
      <c r="A243" s="66" t="s">
        <v>30</v>
      </c>
      <c r="C243" s="67"/>
      <c r="D243" s="92" t="str">
        <f t="shared" ref="D243" si="140">E243</f>
        <v>C100044</v>
      </c>
      <c r="E243" s="91" t="str">
        <f>"C100044"</f>
        <v>C100044</v>
      </c>
      <c r="F243" s="89" t="str">
        <f>"VOIP Headset with Mic"</f>
        <v>VOIP Headset with Mic</v>
      </c>
      <c r="G243" s="89"/>
      <c r="H243" s="90" t="str">
        <f>"EA"</f>
        <v>EA</v>
      </c>
      <c r="I243" s="89"/>
      <c r="J243" s="89"/>
      <c r="K243" s="89"/>
      <c r="L243" s="89"/>
      <c r="M243" s="89"/>
      <c r="N243" s="89"/>
      <c r="O243" s="88">
        <f>(SUBTOTAL(9,O244:O250))</f>
        <v>1400</v>
      </c>
      <c r="P243" s="88">
        <f>(SUBTOTAL(9,P244:P250))</f>
        <v>-459</v>
      </c>
      <c r="Q243" s="88">
        <f>(SUBTOTAL(9,Q244:Q250))</f>
        <v>0</v>
      </c>
      <c r="R243" s="88">
        <f>(SUBTOTAL(9,R244:R250))</f>
        <v>0</v>
      </c>
      <c r="S243" s="88">
        <f>(SUBTOTAL(9,S244:S250))</f>
        <v>0</v>
      </c>
      <c r="T243" s="88">
        <f>(SUBTOTAL(9,T244:T250))</f>
        <v>0</v>
      </c>
      <c r="U243" s="87">
        <f t="shared" ref="U243" si="141">SUBTOTAL(9,O244:T250)</f>
        <v>941</v>
      </c>
    </row>
    <row r="244" spans="1:21" ht="17.25" customHeight="1" x14ac:dyDescent="0.3">
      <c r="A244" s="66" t="s">
        <v>30</v>
      </c>
      <c r="C244" s="67"/>
      <c r="D244" s="77" t="str">
        <f t="shared" ref="D244" si="142">D243</f>
        <v>C100044</v>
      </c>
      <c r="E244" s="77"/>
      <c r="F244" s="76"/>
      <c r="G244" s="76" t="str">
        <f>"""NAV Direct"",""CRONUS JetCorp USA"",""32"",""1"",""168031"""</f>
        <v>"NAV Direct","CRONUS JetCorp USA","32","1","168031"</v>
      </c>
      <c r="H244" s="86">
        <v>43466</v>
      </c>
      <c r="I244" s="85">
        <v>168031</v>
      </c>
      <c r="J244" s="84" t="str">
        <f>"Vendor"</f>
        <v>Vendor</v>
      </c>
      <c r="K244" s="84" t="str">
        <f>"V100007"</f>
        <v>V100007</v>
      </c>
      <c r="L244" s="84" t="str">
        <f>IF($J244="Customer",_xll.NL("first",$J244,"Name","No.","@@"&amp;$K244),"")</f>
        <v/>
      </c>
      <c r="M244" s="84" t="str">
        <f>"TrendTech"</f>
        <v>TrendTech</v>
      </c>
      <c r="N244" s="84" t="str">
        <f>IF($J244="Item",_xll.NL("first",$J244,"Description","No.","@@"&amp;$K244),"")</f>
        <v/>
      </c>
      <c r="O244" s="83">
        <v>1400</v>
      </c>
      <c r="P244" s="83">
        <v>0</v>
      </c>
      <c r="Q244" s="83">
        <v>0</v>
      </c>
      <c r="R244" s="83">
        <v>0</v>
      </c>
      <c r="S244" s="83">
        <v>0</v>
      </c>
      <c r="T244" s="83">
        <v>0</v>
      </c>
      <c r="U244" s="82"/>
    </row>
    <row r="245" spans="1:21" ht="17.25" customHeight="1" x14ac:dyDescent="0.3">
      <c r="A245" s="66" t="s">
        <v>30</v>
      </c>
      <c r="C245" s="67"/>
      <c r="D245" s="77" t="str">
        <f t="shared" ref="D245:D249" si="143">D244</f>
        <v>C100044</v>
      </c>
      <c r="E245" s="77"/>
      <c r="F245" s="76"/>
      <c r="G245" s="76" t="str">
        <f>"""NAV Direct"",""CRONUS JetCorp USA"",""32"",""1"",""3890"""</f>
        <v>"NAV Direct","CRONUS JetCorp USA","32","1","3890"</v>
      </c>
      <c r="H245" s="86">
        <v>43467</v>
      </c>
      <c r="I245" s="85">
        <v>3890</v>
      </c>
      <c r="J245" s="84" t="str">
        <f>"Customer"</f>
        <v>Customer</v>
      </c>
      <c r="K245" s="84" t="str">
        <f>"C100099"</f>
        <v>C100099</v>
      </c>
      <c r="L245" s="84" t="str">
        <f>IF($J245="Customer",_xll.NL("first",$J245,"Name","No.","@@"&amp;$K245),"")</f>
        <v>Voltive Systems</v>
      </c>
      <c r="M245" s="84" t="str">
        <f>""</f>
        <v/>
      </c>
      <c r="N245" s="84" t="str">
        <f>IF($J245="Item",_xll.NL("first",$J245,"Description","No.","@@"&amp;$K245),"")</f>
        <v/>
      </c>
      <c r="O245" s="83">
        <v>0</v>
      </c>
      <c r="P245" s="83">
        <v>-168</v>
      </c>
      <c r="Q245" s="83">
        <v>0</v>
      </c>
      <c r="R245" s="83">
        <v>0</v>
      </c>
      <c r="S245" s="83">
        <v>0</v>
      </c>
      <c r="T245" s="83">
        <v>0</v>
      </c>
      <c r="U245" s="82"/>
    </row>
    <row r="246" spans="1:21" ht="17.25" customHeight="1" x14ac:dyDescent="0.3">
      <c r="A246" s="66" t="s">
        <v>30</v>
      </c>
      <c r="C246" s="67"/>
      <c r="D246" s="77" t="str">
        <f t="shared" si="143"/>
        <v>C100044</v>
      </c>
      <c r="E246" s="77"/>
      <c r="F246" s="76"/>
      <c r="G246" s="76" t="str">
        <f>"""NAV Direct"",""CRONUS JetCorp USA"",""32"",""1"",""111300"""</f>
        <v>"NAV Direct","CRONUS JetCorp USA","32","1","111300"</v>
      </c>
      <c r="H246" s="86">
        <v>43470</v>
      </c>
      <c r="I246" s="85">
        <v>111300</v>
      </c>
      <c r="J246" s="84" t="str">
        <f>"Customer"</f>
        <v>Customer</v>
      </c>
      <c r="K246" s="84" t="str">
        <f>"C100037"</f>
        <v>C100037</v>
      </c>
      <c r="L246" s="84" t="str">
        <f>IF($J246="Customer",_xll.NL("first",$J246,"Name","No.","@@"&amp;$K246),"")</f>
        <v>Tempsons Tropies</v>
      </c>
      <c r="M246" s="84" t="str">
        <f>""</f>
        <v/>
      </c>
      <c r="N246" s="84" t="str">
        <f>IF($J246="Item",_xll.NL("first",$J246,"Description","No.","@@"&amp;$K246),"")</f>
        <v/>
      </c>
      <c r="O246" s="83">
        <v>0</v>
      </c>
      <c r="P246" s="83">
        <v>-1</v>
      </c>
      <c r="Q246" s="83">
        <v>0</v>
      </c>
      <c r="R246" s="83">
        <v>0</v>
      </c>
      <c r="S246" s="83">
        <v>0</v>
      </c>
      <c r="T246" s="83">
        <v>0</v>
      </c>
      <c r="U246" s="82"/>
    </row>
    <row r="247" spans="1:21" ht="17.25" customHeight="1" x14ac:dyDescent="0.3">
      <c r="A247" s="66" t="s">
        <v>30</v>
      </c>
      <c r="C247" s="67"/>
      <c r="D247" s="77" t="str">
        <f t="shared" si="143"/>
        <v>C100044</v>
      </c>
      <c r="E247" s="77"/>
      <c r="F247" s="76"/>
      <c r="G247" s="76" t="str">
        <f>"""NAV Direct"",""CRONUS JetCorp USA"",""32"",""1"",""111314"""</f>
        <v>"NAV Direct","CRONUS JetCorp USA","32","1","111314"</v>
      </c>
      <c r="H247" s="86">
        <v>43472</v>
      </c>
      <c r="I247" s="85">
        <v>111314</v>
      </c>
      <c r="J247" s="84" t="str">
        <f>"Customer"</f>
        <v>Customer</v>
      </c>
      <c r="K247" s="84" t="str">
        <f>"C100099"</f>
        <v>C100099</v>
      </c>
      <c r="L247" s="84" t="str">
        <f>IF($J247="Customer",_xll.NL("first",$J247,"Name","No.","@@"&amp;$K247),"")</f>
        <v>Voltive Systems</v>
      </c>
      <c r="M247" s="84" t="str">
        <f>""</f>
        <v/>
      </c>
      <c r="N247" s="84" t="str">
        <f>IF($J247="Item",_xll.NL("first",$J247,"Description","No.","@@"&amp;$K247),"")</f>
        <v/>
      </c>
      <c r="O247" s="83">
        <v>0</v>
      </c>
      <c r="P247" s="83">
        <v>-144</v>
      </c>
      <c r="Q247" s="83">
        <v>0</v>
      </c>
      <c r="R247" s="83">
        <v>0</v>
      </c>
      <c r="S247" s="83">
        <v>0</v>
      </c>
      <c r="T247" s="83">
        <v>0</v>
      </c>
      <c r="U247" s="82"/>
    </row>
    <row r="248" spans="1:21" ht="17.25" customHeight="1" x14ac:dyDescent="0.3">
      <c r="A248" s="66" t="s">
        <v>30</v>
      </c>
      <c r="C248" s="67"/>
      <c r="D248" s="77" t="str">
        <f t="shared" si="143"/>
        <v>C100044</v>
      </c>
      <c r="E248" s="77"/>
      <c r="F248" s="76"/>
      <c r="G248" s="76" t="str">
        <f>"""NAV Direct"",""CRONUS JetCorp USA"",""32"",""1"",""114285"""</f>
        <v>"NAV Direct","CRONUS JetCorp USA","32","1","114285"</v>
      </c>
      <c r="H248" s="86">
        <v>43473</v>
      </c>
      <c r="I248" s="85">
        <v>114285</v>
      </c>
      <c r="J248" s="84" t="str">
        <f>"Customer"</f>
        <v>Customer</v>
      </c>
      <c r="K248" s="84" t="str">
        <f>"C100083"</f>
        <v>C100083</v>
      </c>
      <c r="L248" s="84" t="str">
        <f>IF($J248="Customer",_xll.NL("first",$J248,"Name","No.","@@"&amp;$K248),"")</f>
        <v>Stanfords</v>
      </c>
      <c r="M248" s="84" t="str">
        <f>""</f>
        <v/>
      </c>
      <c r="N248" s="84" t="str">
        <f>IF($J248="Item",_xll.NL("first",$J248,"Description","No.","@@"&amp;$K248),"")</f>
        <v/>
      </c>
      <c r="O248" s="83">
        <v>0</v>
      </c>
      <c r="P248" s="83">
        <v>-144</v>
      </c>
      <c r="Q248" s="83">
        <v>0</v>
      </c>
      <c r="R248" s="83">
        <v>0</v>
      </c>
      <c r="S248" s="83">
        <v>0</v>
      </c>
      <c r="T248" s="83">
        <v>0</v>
      </c>
      <c r="U248" s="82"/>
    </row>
    <row r="249" spans="1:21" ht="17.25" customHeight="1" x14ac:dyDescent="0.3">
      <c r="A249" s="66" t="s">
        <v>30</v>
      </c>
      <c r="C249" s="67"/>
      <c r="D249" s="77" t="str">
        <f t="shared" si="143"/>
        <v>C100044</v>
      </c>
      <c r="E249" s="77"/>
      <c r="F249" s="76"/>
      <c r="G249" s="76" t="str">
        <f>"""NAV Direct"",""CRONUS JetCorp USA"",""32"",""1"",""7580"""</f>
        <v>"NAV Direct","CRONUS JetCorp USA","32","1","7580"</v>
      </c>
      <c r="H249" s="86">
        <v>43476</v>
      </c>
      <c r="I249" s="85">
        <v>7580</v>
      </c>
      <c r="J249" s="84" t="str">
        <f>"Customer"</f>
        <v>Customer</v>
      </c>
      <c r="K249" s="84" t="str">
        <f>"C100083"</f>
        <v>C100083</v>
      </c>
      <c r="L249" s="84" t="str">
        <f>IF($J249="Customer",_xll.NL("first",$J249,"Name","No.","@@"&amp;$K249),"")</f>
        <v>Stanfords</v>
      </c>
      <c r="M249" s="84" t="str">
        <f>""</f>
        <v/>
      </c>
      <c r="N249" s="84" t="str">
        <f>IF($J249="Item",_xll.NL("first",$J249,"Description","No.","@@"&amp;$K249),"")</f>
        <v/>
      </c>
      <c r="O249" s="83">
        <v>0</v>
      </c>
      <c r="P249" s="83">
        <v>-2</v>
      </c>
      <c r="Q249" s="83">
        <v>0</v>
      </c>
      <c r="R249" s="83">
        <v>0</v>
      </c>
      <c r="S249" s="83">
        <v>0</v>
      </c>
      <c r="T249" s="83">
        <v>0</v>
      </c>
      <c r="U249" s="82"/>
    </row>
    <row r="250" spans="1:21" ht="17.25" customHeight="1" x14ac:dyDescent="0.3">
      <c r="A250" s="66" t="s">
        <v>30</v>
      </c>
      <c r="C250" s="67"/>
      <c r="D250" s="77"/>
      <c r="E250" s="77"/>
      <c r="F250" s="76"/>
      <c r="G250" s="76"/>
      <c r="H250" s="76"/>
      <c r="I250" s="76"/>
      <c r="J250" s="76"/>
      <c r="K250" s="76"/>
      <c r="L250" s="76"/>
      <c r="M250" s="76"/>
      <c r="N250" s="76"/>
      <c r="O250" s="75"/>
      <c r="P250" s="75"/>
      <c r="Q250" s="75"/>
      <c r="R250" s="75"/>
      <c r="S250" s="75"/>
      <c r="T250" s="75"/>
      <c r="U250" s="74"/>
    </row>
    <row r="251" spans="1:21" ht="17.25" customHeight="1" x14ac:dyDescent="0.3">
      <c r="A251" s="66" t="s">
        <v>30</v>
      </c>
      <c r="C251" s="67"/>
      <c r="D251" s="77"/>
      <c r="E251" s="77" t="s">
        <v>31</v>
      </c>
      <c r="F251" s="76" t="s">
        <v>31</v>
      </c>
      <c r="G251" s="76" t="s">
        <v>31</v>
      </c>
      <c r="H251" s="76"/>
      <c r="I251" s="76"/>
      <c r="J251" s="76" t="s">
        <v>31</v>
      </c>
      <c r="K251" s="76" t="s">
        <v>31</v>
      </c>
      <c r="L251" s="76" t="s">
        <v>31</v>
      </c>
      <c r="M251" s="76" t="s">
        <v>31</v>
      </c>
      <c r="N251" s="76"/>
      <c r="U251" s="81"/>
    </row>
    <row r="252" spans="1:21" ht="20.25" customHeight="1" x14ac:dyDescent="0.35">
      <c r="A252" s="66" t="s">
        <v>30</v>
      </c>
      <c r="C252" s="67"/>
      <c r="D252" s="92" t="str">
        <f t="shared" ref="D252" si="144">E252</f>
        <v>C100045</v>
      </c>
      <c r="E252" s="91" t="str">
        <f>"C100045"</f>
        <v>C100045</v>
      </c>
      <c r="F252" s="89" t="str">
        <f>"Wireless Headphones"</f>
        <v>Wireless Headphones</v>
      </c>
      <c r="G252" s="89"/>
      <c r="H252" s="90" t="str">
        <f>"EA"</f>
        <v>EA</v>
      </c>
      <c r="I252" s="89"/>
      <c r="J252" s="89"/>
      <c r="K252" s="89"/>
      <c r="L252" s="89"/>
      <c r="M252" s="89"/>
      <c r="N252" s="89"/>
      <c r="O252" s="88">
        <f>(SUBTOTAL(9,O253:O257))</f>
        <v>700</v>
      </c>
      <c r="P252" s="88">
        <f>(SUBTOTAL(9,P253:P257))</f>
        <v>-433</v>
      </c>
      <c r="Q252" s="88">
        <f>(SUBTOTAL(9,Q253:Q257))</f>
        <v>0</v>
      </c>
      <c r="R252" s="88">
        <f>(SUBTOTAL(9,R253:R257))</f>
        <v>0</v>
      </c>
      <c r="S252" s="88">
        <f>(SUBTOTAL(9,S253:S257))</f>
        <v>0</v>
      </c>
      <c r="T252" s="88">
        <f>(SUBTOTAL(9,T253:T257))</f>
        <v>0</v>
      </c>
      <c r="U252" s="87">
        <f t="shared" ref="U252" si="145">SUBTOTAL(9,O253:T257)</f>
        <v>267</v>
      </c>
    </row>
    <row r="253" spans="1:21" ht="17.25" customHeight="1" x14ac:dyDescent="0.3">
      <c r="A253" s="66" t="s">
        <v>30</v>
      </c>
      <c r="C253" s="67"/>
      <c r="D253" s="77" t="str">
        <f t="shared" ref="D253" si="146">D252</f>
        <v>C100045</v>
      </c>
      <c r="E253" s="77"/>
      <c r="F253" s="76"/>
      <c r="G253" s="76" t="str">
        <f>"""NAV Direct"",""CRONUS JetCorp USA"",""32"",""1"",""168030"""</f>
        <v>"NAV Direct","CRONUS JetCorp USA","32","1","168030"</v>
      </c>
      <c r="H253" s="86">
        <v>43466</v>
      </c>
      <c r="I253" s="85">
        <v>168030</v>
      </c>
      <c r="J253" s="84" t="str">
        <f>"Vendor"</f>
        <v>Vendor</v>
      </c>
      <c r="K253" s="84" t="str">
        <f>"V100007"</f>
        <v>V100007</v>
      </c>
      <c r="L253" s="84" t="str">
        <f>IF($J253="Customer",_xll.NL("first",$J253,"Name","No.","@@"&amp;$K253),"")</f>
        <v/>
      </c>
      <c r="M253" s="84" t="str">
        <f>"TrendTech"</f>
        <v>TrendTech</v>
      </c>
      <c r="N253" s="84" t="str">
        <f>IF($J253="Item",_xll.NL("first",$J253,"Description","No.","@@"&amp;$K253),"")</f>
        <v/>
      </c>
      <c r="O253" s="83">
        <v>700</v>
      </c>
      <c r="P253" s="83">
        <v>0</v>
      </c>
      <c r="Q253" s="83">
        <v>0</v>
      </c>
      <c r="R253" s="83">
        <v>0</v>
      </c>
      <c r="S253" s="83">
        <v>0</v>
      </c>
      <c r="T253" s="83">
        <v>0</v>
      </c>
      <c r="U253" s="82"/>
    </row>
    <row r="254" spans="1:21" ht="17.25" customHeight="1" x14ac:dyDescent="0.3">
      <c r="A254" s="66" t="s">
        <v>30</v>
      </c>
      <c r="C254" s="67"/>
      <c r="D254" s="77" t="str">
        <f t="shared" ref="D254:D256" si="147">D253</f>
        <v>C100045</v>
      </c>
      <c r="E254" s="77"/>
      <c r="F254" s="76"/>
      <c r="G254" s="76" t="str">
        <f>"""NAV Direct"",""CRONUS JetCorp USA"",""32"",""1"",""111278"""</f>
        <v>"NAV Direct","CRONUS JetCorp USA","32","1","111278"</v>
      </c>
      <c r="H254" s="86">
        <v>43472</v>
      </c>
      <c r="I254" s="85">
        <v>111278</v>
      </c>
      <c r="J254" s="84" t="str">
        <f>"Customer"</f>
        <v>Customer</v>
      </c>
      <c r="K254" s="84" t="str">
        <f>"C100099"</f>
        <v>C100099</v>
      </c>
      <c r="L254" s="84" t="str">
        <f>IF($J254="Customer",_xll.NL("first",$J254,"Name","No.","@@"&amp;$K254),"")</f>
        <v>Voltive Systems</v>
      </c>
      <c r="M254" s="84" t="str">
        <f>""</f>
        <v/>
      </c>
      <c r="N254" s="84" t="str">
        <f>IF($J254="Item",_xll.NL("first",$J254,"Description","No.","@@"&amp;$K254),"")</f>
        <v/>
      </c>
      <c r="O254" s="83">
        <v>0</v>
      </c>
      <c r="P254" s="83">
        <v>-144</v>
      </c>
      <c r="Q254" s="83">
        <v>0</v>
      </c>
      <c r="R254" s="83">
        <v>0</v>
      </c>
      <c r="S254" s="83">
        <v>0</v>
      </c>
      <c r="T254" s="83">
        <v>0</v>
      </c>
      <c r="U254" s="82"/>
    </row>
    <row r="255" spans="1:21" ht="17.25" customHeight="1" x14ac:dyDescent="0.3">
      <c r="A255" s="66" t="s">
        <v>30</v>
      </c>
      <c r="C255" s="67"/>
      <c r="D255" s="77" t="str">
        <f t="shared" si="147"/>
        <v>C100045</v>
      </c>
      <c r="E255" s="77"/>
      <c r="F255" s="76"/>
      <c r="G255" s="76" t="str">
        <f>"""NAV Direct"",""CRONUS JetCorp USA"",""32"",""1"",""3896"""</f>
        <v>"NAV Direct","CRONUS JetCorp USA","32","1","3896"</v>
      </c>
      <c r="H255" s="86">
        <v>43473</v>
      </c>
      <c r="I255" s="85">
        <v>3896</v>
      </c>
      <c r="J255" s="84" t="str">
        <f>"Customer"</f>
        <v>Customer</v>
      </c>
      <c r="K255" s="84" t="str">
        <f>"C100037"</f>
        <v>C100037</v>
      </c>
      <c r="L255" s="84" t="str">
        <f>IF($J255="Customer",_xll.NL("first",$J255,"Name","No.","@@"&amp;$K255),"")</f>
        <v>Tempsons Tropies</v>
      </c>
      <c r="M255" s="84" t="str">
        <f>""</f>
        <v/>
      </c>
      <c r="N255" s="84" t="str">
        <f>IF($J255="Item",_xll.NL("first",$J255,"Description","No.","@@"&amp;$K255),"")</f>
        <v/>
      </c>
      <c r="O255" s="83">
        <v>0</v>
      </c>
      <c r="P255" s="83">
        <v>-144</v>
      </c>
      <c r="Q255" s="83">
        <v>0</v>
      </c>
      <c r="R255" s="83">
        <v>0</v>
      </c>
      <c r="S255" s="83">
        <v>0</v>
      </c>
      <c r="T255" s="83">
        <v>0</v>
      </c>
      <c r="U255" s="82"/>
    </row>
    <row r="256" spans="1:21" ht="17.25" customHeight="1" x14ac:dyDescent="0.3">
      <c r="A256" s="66" t="s">
        <v>30</v>
      </c>
      <c r="C256" s="67"/>
      <c r="D256" s="77" t="str">
        <f t="shared" si="147"/>
        <v>C100045</v>
      </c>
      <c r="E256" s="77"/>
      <c r="F256" s="76"/>
      <c r="G256" s="76" t="str">
        <f>"""NAV Direct"",""CRONUS JetCorp USA"",""32"",""1"",""3917"""</f>
        <v>"NAV Direct","CRONUS JetCorp USA","32","1","3917"</v>
      </c>
      <c r="H256" s="86">
        <v>43475</v>
      </c>
      <c r="I256" s="85">
        <v>3917</v>
      </c>
      <c r="J256" s="84" t="str">
        <f>"Customer"</f>
        <v>Customer</v>
      </c>
      <c r="K256" s="84" t="str">
        <f>"C100099"</f>
        <v>C100099</v>
      </c>
      <c r="L256" s="84" t="str">
        <f>IF($J256="Customer",_xll.NL("first",$J256,"Name","No.","@@"&amp;$K256),"")</f>
        <v>Voltive Systems</v>
      </c>
      <c r="M256" s="84" t="str">
        <f>""</f>
        <v/>
      </c>
      <c r="N256" s="84" t="str">
        <f>IF($J256="Item",_xll.NL("first",$J256,"Description","No.","@@"&amp;$K256),"")</f>
        <v/>
      </c>
      <c r="O256" s="83">
        <v>0</v>
      </c>
      <c r="P256" s="83">
        <v>-145</v>
      </c>
      <c r="Q256" s="83">
        <v>0</v>
      </c>
      <c r="R256" s="83">
        <v>0</v>
      </c>
      <c r="S256" s="83">
        <v>0</v>
      </c>
      <c r="T256" s="83">
        <v>0</v>
      </c>
      <c r="U256" s="82"/>
    </row>
    <row r="257" spans="1:21" ht="17.25" customHeight="1" x14ac:dyDescent="0.3">
      <c r="A257" s="66" t="s">
        <v>30</v>
      </c>
      <c r="C257" s="67"/>
      <c r="D257" s="77"/>
      <c r="E257" s="77"/>
      <c r="F257" s="76"/>
      <c r="G257" s="76"/>
      <c r="H257" s="76"/>
      <c r="I257" s="76"/>
      <c r="J257" s="76"/>
      <c r="K257" s="76"/>
      <c r="L257" s="76"/>
      <c r="M257" s="76"/>
      <c r="N257" s="76"/>
      <c r="O257" s="75"/>
      <c r="P257" s="75"/>
      <c r="Q257" s="75"/>
      <c r="R257" s="75"/>
      <c r="S257" s="75"/>
      <c r="T257" s="75"/>
      <c r="U257" s="74"/>
    </row>
    <row r="258" spans="1:21" ht="17.25" customHeight="1" x14ac:dyDescent="0.3">
      <c r="A258" s="66" t="s">
        <v>30</v>
      </c>
      <c r="C258" s="67"/>
      <c r="D258" s="77"/>
      <c r="E258" s="77" t="s">
        <v>31</v>
      </c>
      <c r="F258" s="76" t="s">
        <v>31</v>
      </c>
      <c r="G258" s="76" t="s">
        <v>31</v>
      </c>
      <c r="H258" s="76"/>
      <c r="I258" s="76"/>
      <c r="J258" s="76" t="s">
        <v>31</v>
      </c>
      <c r="K258" s="76" t="s">
        <v>31</v>
      </c>
      <c r="L258" s="76" t="s">
        <v>31</v>
      </c>
      <c r="M258" s="76" t="s">
        <v>31</v>
      </c>
      <c r="N258" s="76"/>
      <c r="U258" s="81"/>
    </row>
    <row r="259" spans="1:21" ht="20.25" customHeight="1" x14ac:dyDescent="0.35">
      <c r="A259" s="66" t="s">
        <v>30</v>
      </c>
      <c r="C259" s="67"/>
      <c r="D259" s="92" t="str">
        <f t="shared" ref="D259" si="148">E259</f>
        <v>C100046</v>
      </c>
      <c r="E259" s="91" t="str">
        <f>"C100046"</f>
        <v>C100046</v>
      </c>
      <c r="F259" s="89" t="str">
        <f>"1GB MP3 Player"</f>
        <v>1GB MP3 Player</v>
      </c>
      <c r="G259" s="89"/>
      <c r="H259" s="90" t="str">
        <f>"EA"</f>
        <v>EA</v>
      </c>
      <c r="I259" s="89"/>
      <c r="J259" s="89"/>
      <c r="K259" s="89"/>
      <c r="L259" s="89"/>
      <c r="M259" s="89"/>
      <c r="N259" s="89"/>
      <c r="O259" s="88">
        <f>(SUBTOTAL(9,O260:O263))</f>
        <v>499.99999999999994</v>
      </c>
      <c r="P259" s="88">
        <f>(SUBTOTAL(9,P260:P263))</f>
        <v>-157</v>
      </c>
      <c r="Q259" s="88">
        <f>(SUBTOTAL(9,Q260:Q263))</f>
        <v>0</v>
      </c>
      <c r="R259" s="88">
        <f>(SUBTOTAL(9,R260:R263))</f>
        <v>0</v>
      </c>
      <c r="S259" s="88">
        <f>(SUBTOTAL(9,S260:S263))</f>
        <v>0</v>
      </c>
      <c r="T259" s="88">
        <f>(SUBTOTAL(9,T260:T263))</f>
        <v>0</v>
      </c>
      <c r="U259" s="87">
        <f t="shared" ref="U259" si="149">SUBTOTAL(9,O260:T263)</f>
        <v>342.99999999999994</v>
      </c>
    </row>
    <row r="260" spans="1:21" ht="17.25" customHeight="1" x14ac:dyDescent="0.3">
      <c r="A260" s="66" t="s">
        <v>30</v>
      </c>
      <c r="C260" s="67"/>
      <c r="D260" s="77" t="str">
        <f t="shared" ref="D260" si="150">D259</f>
        <v>C100046</v>
      </c>
      <c r="E260" s="77"/>
      <c r="F260" s="76"/>
      <c r="G260" s="76" t="str">
        <f>"""NAV Direct"",""CRONUS JetCorp USA"",""32"",""1"",""168029"""</f>
        <v>"NAV Direct","CRONUS JetCorp USA","32","1","168029"</v>
      </c>
      <c r="H260" s="86">
        <v>43466</v>
      </c>
      <c r="I260" s="85">
        <v>168029</v>
      </c>
      <c r="J260" s="84" t="str">
        <f>"Vendor"</f>
        <v>Vendor</v>
      </c>
      <c r="K260" s="84" t="str">
        <f>"V100007"</f>
        <v>V100007</v>
      </c>
      <c r="L260" s="84" t="str">
        <f>IF($J260="Customer",_xll.NL("first",$J260,"Name","No.","@@"&amp;$K260),"")</f>
        <v/>
      </c>
      <c r="M260" s="84" t="str">
        <f>"TrendTech"</f>
        <v>TrendTech</v>
      </c>
      <c r="N260" s="84" t="str">
        <f>IF($J260="Item",_xll.NL("first",$J260,"Description","No.","@@"&amp;$K260),"")</f>
        <v/>
      </c>
      <c r="O260" s="83">
        <v>499.99999999999994</v>
      </c>
      <c r="P260" s="83">
        <v>0</v>
      </c>
      <c r="Q260" s="83">
        <v>0</v>
      </c>
      <c r="R260" s="83">
        <v>0</v>
      </c>
      <c r="S260" s="83">
        <v>0</v>
      </c>
      <c r="T260" s="83">
        <v>0</v>
      </c>
      <c r="U260" s="82"/>
    </row>
    <row r="261" spans="1:21" ht="17.25" customHeight="1" x14ac:dyDescent="0.3">
      <c r="A261" s="66" t="s">
        <v>30</v>
      </c>
      <c r="C261" s="67"/>
      <c r="D261" s="77" t="str">
        <f t="shared" ref="D261:D262" si="151">D260</f>
        <v>C100046</v>
      </c>
      <c r="E261" s="77"/>
      <c r="F261" s="76"/>
      <c r="G261" s="76" t="str">
        <f>"""NAV Direct"",""CRONUS JetCorp USA"",""32"",""1"",""3912"""</f>
        <v>"NAV Direct","CRONUS JetCorp USA","32","1","3912"</v>
      </c>
      <c r="H261" s="86">
        <v>43472</v>
      </c>
      <c r="I261" s="85">
        <v>3912</v>
      </c>
      <c r="J261" s="84" t="str">
        <f>"Customer"</f>
        <v>Customer</v>
      </c>
      <c r="K261" s="84" t="str">
        <f>"C100099"</f>
        <v>C100099</v>
      </c>
      <c r="L261" s="84" t="str">
        <f>IF($J261="Customer",_xll.NL("first",$J261,"Name","No.","@@"&amp;$K261),"")</f>
        <v>Voltive Systems</v>
      </c>
      <c r="M261" s="84" t="str">
        <f>""</f>
        <v/>
      </c>
      <c r="N261" s="84" t="str">
        <f>IF($J261="Item",_xll.NL("first",$J261,"Description","No.","@@"&amp;$K261),"")</f>
        <v/>
      </c>
      <c r="O261" s="83">
        <v>0</v>
      </c>
      <c r="P261" s="83">
        <v>-13</v>
      </c>
      <c r="Q261" s="83">
        <v>0</v>
      </c>
      <c r="R261" s="83">
        <v>0</v>
      </c>
      <c r="S261" s="83">
        <v>0</v>
      </c>
      <c r="T261" s="83">
        <v>0</v>
      </c>
      <c r="U261" s="82"/>
    </row>
    <row r="262" spans="1:21" ht="17.25" customHeight="1" x14ac:dyDescent="0.3">
      <c r="A262" s="66" t="s">
        <v>30</v>
      </c>
      <c r="C262" s="67"/>
      <c r="D262" s="77" t="str">
        <f t="shared" si="151"/>
        <v>C100046</v>
      </c>
      <c r="E262" s="77"/>
      <c r="F262" s="76"/>
      <c r="G262" s="76" t="str">
        <f>"""NAV Direct"",""CRONUS JetCorp USA"",""32"",""1"",""7574"""</f>
        <v>"NAV Direct","CRONUS JetCorp USA","32","1","7574"</v>
      </c>
      <c r="H262" s="86">
        <v>43476</v>
      </c>
      <c r="I262" s="85">
        <v>7574</v>
      </c>
      <c r="J262" s="84" t="str">
        <f>"Customer"</f>
        <v>Customer</v>
      </c>
      <c r="K262" s="84" t="str">
        <f>"C100083"</f>
        <v>C100083</v>
      </c>
      <c r="L262" s="84" t="str">
        <f>IF($J262="Customer",_xll.NL("first",$J262,"Name","No.","@@"&amp;$K262),"")</f>
        <v>Stanfords</v>
      </c>
      <c r="M262" s="84" t="str">
        <f>""</f>
        <v/>
      </c>
      <c r="N262" s="84" t="str">
        <f>IF($J262="Item",_xll.NL("first",$J262,"Description","No.","@@"&amp;$K262),"")</f>
        <v/>
      </c>
      <c r="O262" s="83">
        <v>0</v>
      </c>
      <c r="P262" s="83">
        <v>-144</v>
      </c>
      <c r="Q262" s="83">
        <v>0</v>
      </c>
      <c r="R262" s="83">
        <v>0</v>
      </c>
      <c r="S262" s="83">
        <v>0</v>
      </c>
      <c r="T262" s="83">
        <v>0</v>
      </c>
      <c r="U262" s="82"/>
    </row>
    <row r="263" spans="1:21" ht="17.25" customHeight="1" x14ac:dyDescent="0.3">
      <c r="A263" s="66" t="s">
        <v>30</v>
      </c>
      <c r="C263" s="67"/>
      <c r="D263" s="77"/>
      <c r="E263" s="77"/>
      <c r="F263" s="76"/>
      <c r="G263" s="76"/>
      <c r="H263" s="76"/>
      <c r="I263" s="76"/>
      <c r="J263" s="76"/>
      <c r="K263" s="76"/>
      <c r="L263" s="76"/>
      <c r="M263" s="76"/>
      <c r="N263" s="76"/>
      <c r="O263" s="75"/>
      <c r="P263" s="75"/>
      <c r="Q263" s="75"/>
      <c r="R263" s="75"/>
      <c r="S263" s="75"/>
      <c r="T263" s="75"/>
      <c r="U263" s="74"/>
    </row>
    <row r="264" spans="1:21" ht="17.25" customHeight="1" x14ac:dyDescent="0.3">
      <c r="A264" s="66" t="s">
        <v>30</v>
      </c>
      <c r="C264" s="67"/>
      <c r="D264" s="77"/>
      <c r="E264" s="77" t="s">
        <v>31</v>
      </c>
      <c r="F264" s="76" t="s">
        <v>31</v>
      </c>
      <c r="G264" s="76" t="s">
        <v>31</v>
      </c>
      <c r="H264" s="76"/>
      <c r="I264" s="76"/>
      <c r="J264" s="76" t="s">
        <v>31</v>
      </c>
      <c r="K264" s="76" t="s">
        <v>31</v>
      </c>
      <c r="L264" s="76" t="s">
        <v>31</v>
      </c>
      <c r="M264" s="76" t="s">
        <v>31</v>
      </c>
      <c r="N264" s="76"/>
      <c r="U264" s="81"/>
    </row>
    <row r="265" spans="1:21" ht="20.25" customHeight="1" x14ac:dyDescent="0.35">
      <c r="A265" s="66" t="s">
        <v>30</v>
      </c>
      <c r="C265" s="67"/>
      <c r="D265" s="92" t="str">
        <f t="shared" ref="D265" si="152">E265</f>
        <v>C100047</v>
      </c>
      <c r="E265" s="91" t="str">
        <f>"C100047"</f>
        <v>C100047</v>
      </c>
      <c r="F265" s="89" t="str">
        <f>"2GB MP3 Player"</f>
        <v>2GB MP3 Player</v>
      </c>
      <c r="G265" s="89"/>
      <c r="H265" s="90" t="str">
        <f>"EA"</f>
        <v>EA</v>
      </c>
      <c r="I265" s="89"/>
      <c r="J265" s="89"/>
      <c r="K265" s="89"/>
      <c r="L265" s="89"/>
      <c r="M265" s="89"/>
      <c r="N265" s="89"/>
      <c r="O265" s="88">
        <f>(SUBTOTAL(9,O266:O269))</f>
        <v>400</v>
      </c>
      <c r="P265" s="88">
        <f>(SUBTOTAL(9,P266:P269))</f>
        <v>-54</v>
      </c>
      <c r="Q265" s="88">
        <f>(SUBTOTAL(9,Q266:Q269))</f>
        <v>0</v>
      </c>
      <c r="R265" s="88">
        <f>(SUBTOTAL(9,R266:R269))</f>
        <v>0</v>
      </c>
      <c r="S265" s="88">
        <f>(SUBTOTAL(9,S266:S269))</f>
        <v>0</v>
      </c>
      <c r="T265" s="88">
        <f>(SUBTOTAL(9,T266:T269))</f>
        <v>0</v>
      </c>
      <c r="U265" s="87">
        <f t="shared" ref="U265" si="153">SUBTOTAL(9,O266:T269)</f>
        <v>346</v>
      </c>
    </row>
    <row r="266" spans="1:21" ht="17.25" customHeight="1" x14ac:dyDescent="0.3">
      <c r="A266" s="66" t="s">
        <v>30</v>
      </c>
      <c r="C266" s="67"/>
      <c r="D266" s="77" t="str">
        <f t="shared" ref="D266" si="154">D265</f>
        <v>C100047</v>
      </c>
      <c r="E266" s="77"/>
      <c r="F266" s="76"/>
      <c r="G266" s="76" t="str">
        <f>"""NAV Direct"",""CRONUS JetCorp USA"",""32"",""1"",""168028"""</f>
        <v>"NAV Direct","CRONUS JetCorp USA","32","1","168028"</v>
      </c>
      <c r="H266" s="86">
        <v>43466</v>
      </c>
      <c r="I266" s="85">
        <v>168028</v>
      </c>
      <c r="J266" s="84" t="str">
        <f>"Vendor"</f>
        <v>Vendor</v>
      </c>
      <c r="K266" s="84" t="str">
        <f>"V100007"</f>
        <v>V100007</v>
      </c>
      <c r="L266" s="84" t="str">
        <f>IF($J266="Customer",_xll.NL("first",$J266,"Name","No.","@@"&amp;$K266),"")</f>
        <v/>
      </c>
      <c r="M266" s="84" t="str">
        <f>"TrendTech"</f>
        <v>TrendTech</v>
      </c>
      <c r="N266" s="84" t="str">
        <f>IF($J266="Item",_xll.NL("first",$J266,"Description","No.","@@"&amp;$K266),"")</f>
        <v/>
      </c>
      <c r="O266" s="83">
        <v>400</v>
      </c>
      <c r="P266" s="83">
        <v>0</v>
      </c>
      <c r="Q266" s="83">
        <v>0</v>
      </c>
      <c r="R266" s="83">
        <v>0</v>
      </c>
      <c r="S266" s="83">
        <v>0</v>
      </c>
      <c r="T266" s="83">
        <v>0</v>
      </c>
      <c r="U266" s="82"/>
    </row>
    <row r="267" spans="1:21" ht="17.25" customHeight="1" x14ac:dyDescent="0.3">
      <c r="A267" s="66" t="s">
        <v>30</v>
      </c>
      <c r="C267" s="67"/>
      <c r="D267" s="77" t="str">
        <f t="shared" ref="D267:D268" si="155">D266</f>
        <v>C100047</v>
      </c>
      <c r="E267" s="77"/>
      <c r="F267" s="76"/>
      <c r="G267" s="76" t="str">
        <f>"""NAV Direct"",""CRONUS JetCorp USA"",""32"",""1"",""111282"""</f>
        <v>"NAV Direct","CRONUS JetCorp USA","32","1","111282"</v>
      </c>
      <c r="H267" s="86">
        <v>43472</v>
      </c>
      <c r="I267" s="85">
        <v>111282</v>
      </c>
      <c r="J267" s="84" t="str">
        <f>"Customer"</f>
        <v>Customer</v>
      </c>
      <c r="K267" s="84" t="str">
        <f>"C100099"</f>
        <v>C100099</v>
      </c>
      <c r="L267" s="84" t="str">
        <f>IF($J267="Customer",_xll.NL("first",$J267,"Name","No.","@@"&amp;$K267),"")</f>
        <v>Voltive Systems</v>
      </c>
      <c r="M267" s="84" t="str">
        <f>""</f>
        <v/>
      </c>
      <c r="N267" s="84" t="str">
        <f>IF($J267="Item",_xll.NL("first",$J267,"Description","No.","@@"&amp;$K267),"")</f>
        <v/>
      </c>
      <c r="O267" s="83">
        <v>0</v>
      </c>
      <c r="P267" s="83">
        <v>-6</v>
      </c>
      <c r="Q267" s="83">
        <v>0</v>
      </c>
      <c r="R267" s="83">
        <v>0</v>
      </c>
      <c r="S267" s="83">
        <v>0</v>
      </c>
      <c r="T267" s="83">
        <v>0</v>
      </c>
      <c r="U267" s="82"/>
    </row>
    <row r="268" spans="1:21" ht="17.25" customHeight="1" x14ac:dyDescent="0.3">
      <c r="A268" s="66" t="s">
        <v>30</v>
      </c>
      <c r="C268" s="67"/>
      <c r="D268" s="77" t="str">
        <f t="shared" si="155"/>
        <v>C100047</v>
      </c>
      <c r="E268" s="77"/>
      <c r="F268" s="76"/>
      <c r="G268" s="76" t="str">
        <f>"""NAV Direct"",""CRONUS JetCorp USA"",""32"",""1"",""111311"""</f>
        <v>"NAV Direct","CRONUS JetCorp USA","32","1","111311"</v>
      </c>
      <c r="H268" s="86">
        <v>43472</v>
      </c>
      <c r="I268" s="85">
        <v>111311</v>
      </c>
      <c r="J268" s="84" t="str">
        <f>"Customer"</f>
        <v>Customer</v>
      </c>
      <c r="K268" s="84" t="str">
        <f>"C100099"</f>
        <v>C100099</v>
      </c>
      <c r="L268" s="84" t="str">
        <f>IF($J268="Customer",_xll.NL("first",$J268,"Name","No.","@@"&amp;$K268),"")</f>
        <v>Voltive Systems</v>
      </c>
      <c r="M268" s="84" t="str">
        <f>""</f>
        <v/>
      </c>
      <c r="N268" s="84" t="str">
        <f>IF($J268="Item",_xll.NL("first",$J268,"Description","No.","@@"&amp;$K268),"")</f>
        <v/>
      </c>
      <c r="O268" s="83">
        <v>0</v>
      </c>
      <c r="P268" s="83">
        <v>-48</v>
      </c>
      <c r="Q268" s="83">
        <v>0</v>
      </c>
      <c r="R268" s="83">
        <v>0</v>
      </c>
      <c r="S268" s="83">
        <v>0</v>
      </c>
      <c r="T268" s="83">
        <v>0</v>
      </c>
      <c r="U268" s="82"/>
    </row>
    <row r="269" spans="1:21" ht="17.25" customHeight="1" x14ac:dyDescent="0.3">
      <c r="A269" s="66" t="s">
        <v>30</v>
      </c>
      <c r="C269" s="67"/>
      <c r="D269" s="77"/>
      <c r="E269" s="77"/>
      <c r="F269" s="76"/>
      <c r="G269" s="76"/>
      <c r="H269" s="76"/>
      <c r="I269" s="76"/>
      <c r="J269" s="76"/>
      <c r="K269" s="76"/>
      <c r="L269" s="76"/>
      <c r="M269" s="76"/>
      <c r="N269" s="76"/>
      <c r="O269" s="75"/>
      <c r="P269" s="75"/>
      <c r="Q269" s="75"/>
      <c r="R269" s="75"/>
      <c r="S269" s="75"/>
      <c r="T269" s="75"/>
      <c r="U269" s="74"/>
    </row>
    <row r="270" spans="1:21" ht="17.25" customHeight="1" x14ac:dyDescent="0.3">
      <c r="A270" s="66" t="s">
        <v>30</v>
      </c>
      <c r="C270" s="67"/>
      <c r="D270" s="77"/>
      <c r="E270" s="77" t="s">
        <v>31</v>
      </c>
      <c r="F270" s="76" t="s">
        <v>31</v>
      </c>
      <c r="G270" s="76" t="s">
        <v>31</v>
      </c>
      <c r="H270" s="76"/>
      <c r="I270" s="76"/>
      <c r="J270" s="76" t="s">
        <v>31</v>
      </c>
      <c r="K270" s="76" t="s">
        <v>31</v>
      </c>
      <c r="L270" s="76" t="s">
        <v>31</v>
      </c>
      <c r="M270" s="76" t="s">
        <v>31</v>
      </c>
      <c r="N270" s="76"/>
      <c r="U270" s="81"/>
    </row>
    <row r="271" spans="1:21" ht="20.25" customHeight="1" x14ac:dyDescent="0.35">
      <c r="A271" s="66" t="s">
        <v>30</v>
      </c>
      <c r="C271" s="67"/>
      <c r="D271" s="92" t="str">
        <f t="shared" ref="D271" si="156">E271</f>
        <v>C100048</v>
      </c>
      <c r="E271" s="91" t="str">
        <f>"C100048"</f>
        <v>C100048</v>
      </c>
      <c r="F271" s="89" t="str">
        <f>"USB MP3 Player"</f>
        <v>USB MP3 Player</v>
      </c>
      <c r="G271" s="89"/>
      <c r="H271" s="90" t="str">
        <f>"EA"</f>
        <v>EA</v>
      </c>
      <c r="I271" s="89"/>
      <c r="J271" s="89"/>
      <c r="K271" s="89"/>
      <c r="L271" s="89"/>
      <c r="M271" s="89"/>
      <c r="N271" s="89"/>
      <c r="O271" s="88">
        <f>(SUBTOTAL(9,O272:O276))</f>
        <v>300</v>
      </c>
      <c r="P271" s="88">
        <f>(SUBTOTAL(9,P272:P276))</f>
        <v>-146</v>
      </c>
      <c r="Q271" s="88">
        <f>(SUBTOTAL(9,Q272:Q276))</f>
        <v>0</v>
      </c>
      <c r="R271" s="88">
        <f>(SUBTOTAL(9,R272:R276))</f>
        <v>0</v>
      </c>
      <c r="S271" s="88">
        <f>(SUBTOTAL(9,S272:S276))</f>
        <v>0</v>
      </c>
      <c r="T271" s="88">
        <f>(SUBTOTAL(9,T272:T276))</f>
        <v>0</v>
      </c>
      <c r="U271" s="87">
        <f t="shared" ref="U271" si="157">SUBTOTAL(9,O272:T276)</f>
        <v>154</v>
      </c>
    </row>
    <row r="272" spans="1:21" ht="17.25" customHeight="1" x14ac:dyDescent="0.3">
      <c r="A272" s="66" t="s">
        <v>30</v>
      </c>
      <c r="C272" s="67"/>
      <c r="D272" s="77" t="str">
        <f t="shared" ref="D272" si="158">D271</f>
        <v>C100048</v>
      </c>
      <c r="E272" s="77"/>
      <c r="F272" s="76"/>
      <c r="G272" s="76" t="str">
        <f>"""NAV Direct"",""CRONUS JetCorp USA"",""32"",""1"",""168027"""</f>
        <v>"NAV Direct","CRONUS JetCorp USA","32","1","168027"</v>
      </c>
      <c r="H272" s="86">
        <v>43466</v>
      </c>
      <c r="I272" s="85">
        <v>168027</v>
      </c>
      <c r="J272" s="84" t="str">
        <f>"Vendor"</f>
        <v>Vendor</v>
      </c>
      <c r="K272" s="84" t="str">
        <f>"V100007"</f>
        <v>V100007</v>
      </c>
      <c r="L272" s="84" t="str">
        <f>IF($J272="Customer",_xll.NL("first",$J272,"Name","No.","@@"&amp;$K272),"")</f>
        <v/>
      </c>
      <c r="M272" s="84" t="str">
        <f>"TrendTech"</f>
        <v>TrendTech</v>
      </c>
      <c r="N272" s="84" t="str">
        <f>IF($J272="Item",_xll.NL("first",$J272,"Description","No.","@@"&amp;$K272),"")</f>
        <v/>
      </c>
      <c r="O272" s="83">
        <v>300</v>
      </c>
      <c r="P272" s="83">
        <v>0</v>
      </c>
      <c r="Q272" s="83">
        <v>0</v>
      </c>
      <c r="R272" s="83">
        <v>0</v>
      </c>
      <c r="S272" s="83">
        <v>0</v>
      </c>
      <c r="T272" s="83">
        <v>0</v>
      </c>
      <c r="U272" s="82"/>
    </row>
    <row r="273" spans="1:21" ht="17.25" customHeight="1" x14ac:dyDescent="0.3">
      <c r="A273" s="66" t="s">
        <v>30</v>
      </c>
      <c r="C273" s="67"/>
      <c r="D273" s="77" t="str">
        <f t="shared" ref="D273:D275" si="159">D272</f>
        <v>C100048</v>
      </c>
      <c r="E273" s="77"/>
      <c r="F273" s="76"/>
      <c r="G273" s="76" t="str">
        <f>"""NAV Direct"",""CRONUS JetCorp USA"",""32"",""1"",""111295"""</f>
        <v>"NAV Direct","CRONUS JetCorp USA","32","1","111295"</v>
      </c>
      <c r="H273" s="86">
        <v>43470</v>
      </c>
      <c r="I273" s="85">
        <v>111295</v>
      </c>
      <c r="J273" s="84" t="str">
        <f>"Customer"</f>
        <v>Customer</v>
      </c>
      <c r="K273" s="84" t="str">
        <f>"C100037"</f>
        <v>C100037</v>
      </c>
      <c r="L273" s="84" t="str">
        <f>IF($J273="Customer",_xll.NL("first",$J273,"Name","No.","@@"&amp;$K273),"")</f>
        <v>Tempsons Tropies</v>
      </c>
      <c r="M273" s="84" t="str">
        <f>""</f>
        <v/>
      </c>
      <c r="N273" s="84" t="str">
        <f>IF($J273="Item",_xll.NL("first",$J273,"Description","No.","@@"&amp;$K273),"")</f>
        <v/>
      </c>
      <c r="O273" s="83">
        <v>0</v>
      </c>
      <c r="P273" s="83">
        <v>-1</v>
      </c>
      <c r="Q273" s="83">
        <v>0</v>
      </c>
      <c r="R273" s="83">
        <v>0</v>
      </c>
      <c r="S273" s="83">
        <v>0</v>
      </c>
      <c r="T273" s="83">
        <v>0</v>
      </c>
      <c r="U273" s="82"/>
    </row>
    <row r="274" spans="1:21" ht="17.25" customHeight="1" x14ac:dyDescent="0.3">
      <c r="A274" s="66" t="s">
        <v>30</v>
      </c>
      <c r="C274" s="67"/>
      <c r="D274" s="77" t="str">
        <f t="shared" si="159"/>
        <v>C100048</v>
      </c>
      <c r="E274" s="77"/>
      <c r="F274" s="76"/>
      <c r="G274" s="76" t="str">
        <f>"""NAV Direct"",""CRONUS JetCorp USA"",""32"",""1"",""3903"""</f>
        <v>"NAV Direct","CRONUS JetCorp USA","32","1","3903"</v>
      </c>
      <c r="H274" s="86">
        <v>43473</v>
      </c>
      <c r="I274" s="85">
        <v>3903</v>
      </c>
      <c r="J274" s="84" t="str">
        <f>"Customer"</f>
        <v>Customer</v>
      </c>
      <c r="K274" s="84" t="str">
        <f>"C100037"</f>
        <v>C100037</v>
      </c>
      <c r="L274" s="84" t="str">
        <f>IF($J274="Customer",_xll.NL("first",$J274,"Name","No.","@@"&amp;$K274),"")</f>
        <v>Tempsons Tropies</v>
      </c>
      <c r="M274" s="84" t="str">
        <f>""</f>
        <v/>
      </c>
      <c r="N274" s="84" t="str">
        <f>IF($J274="Item",_xll.NL("first",$J274,"Description","No.","@@"&amp;$K274),"")</f>
        <v/>
      </c>
      <c r="O274" s="83">
        <v>0</v>
      </c>
      <c r="P274" s="83">
        <v>-1</v>
      </c>
      <c r="Q274" s="83">
        <v>0</v>
      </c>
      <c r="R274" s="83">
        <v>0</v>
      </c>
      <c r="S274" s="83">
        <v>0</v>
      </c>
      <c r="T274" s="83">
        <v>0</v>
      </c>
      <c r="U274" s="82"/>
    </row>
    <row r="275" spans="1:21" ht="17.25" customHeight="1" x14ac:dyDescent="0.3">
      <c r="A275" s="66" t="s">
        <v>30</v>
      </c>
      <c r="C275" s="67"/>
      <c r="D275" s="77" t="str">
        <f t="shared" si="159"/>
        <v>C100048</v>
      </c>
      <c r="E275" s="77"/>
      <c r="F275" s="76"/>
      <c r="G275" s="76" t="str">
        <f>"""NAV Direct"",""CRONUS JetCorp USA"",""32"",""1"",""7575"""</f>
        <v>"NAV Direct","CRONUS JetCorp USA","32","1","7575"</v>
      </c>
      <c r="H275" s="86">
        <v>43476</v>
      </c>
      <c r="I275" s="85">
        <v>7575</v>
      </c>
      <c r="J275" s="84" t="str">
        <f>"Customer"</f>
        <v>Customer</v>
      </c>
      <c r="K275" s="84" t="str">
        <f>"C100083"</f>
        <v>C100083</v>
      </c>
      <c r="L275" s="84" t="str">
        <f>IF($J275="Customer",_xll.NL("first",$J275,"Name","No.","@@"&amp;$K275),"")</f>
        <v>Stanfords</v>
      </c>
      <c r="M275" s="84" t="str">
        <f>""</f>
        <v/>
      </c>
      <c r="N275" s="84" t="str">
        <f>IF($J275="Item",_xll.NL("first",$J275,"Description","No.","@@"&amp;$K275),"")</f>
        <v/>
      </c>
      <c r="O275" s="83">
        <v>0</v>
      </c>
      <c r="P275" s="83">
        <v>-144</v>
      </c>
      <c r="Q275" s="83">
        <v>0</v>
      </c>
      <c r="R275" s="83">
        <v>0</v>
      </c>
      <c r="S275" s="83">
        <v>0</v>
      </c>
      <c r="T275" s="83">
        <v>0</v>
      </c>
      <c r="U275" s="82"/>
    </row>
    <row r="276" spans="1:21" ht="17.25" customHeight="1" x14ac:dyDescent="0.3">
      <c r="A276" s="66" t="s">
        <v>30</v>
      </c>
      <c r="C276" s="67"/>
      <c r="D276" s="77"/>
      <c r="E276" s="77"/>
      <c r="F276" s="76"/>
      <c r="G276" s="76"/>
      <c r="H276" s="76"/>
      <c r="I276" s="76"/>
      <c r="J276" s="76"/>
      <c r="K276" s="76"/>
      <c r="L276" s="76"/>
      <c r="M276" s="76"/>
      <c r="N276" s="76"/>
      <c r="O276" s="75"/>
      <c r="P276" s="75"/>
      <c r="Q276" s="75"/>
      <c r="R276" s="75"/>
      <c r="S276" s="75"/>
      <c r="T276" s="75"/>
      <c r="U276" s="74"/>
    </row>
    <row r="277" spans="1:21" ht="17.25" customHeight="1" x14ac:dyDescent="0.3">
      <c r="A277" s="66" t="s">
        <v>30</v>
      </c>
      <c r="C277" s="67"/>
      <c r="D277" s="77"/>
      <c r="E277" s="77" t="s">
        <v>31</v>
      </c>
      <c r="F277" s="76" t="s">
        <v>31</v>
      </c>
      <c r="G277" s="76" t="s">
        <v>31</v>
      </c>
      <c r="H277" s="76"/>
      <c r="I277" s="76"/>
      <c r="J277" s="76" t="s">
        <v>31</v>
      </c>
      <c r="K277" s="76" t="s">
        <v>31</v>
      </c>
      <c r="L277" s="76" t="s">
        <v>31</v>
      </c>
      <c r="M277" s="76" t="s">
        <v>31</v>
      </c>
      <c r="N277" s="76"/>
      <c r="U277" s="81"/>
    </row>
    <row r="278" spans="1:21" ht="20.25" customHeight="1" x14ac:dyDescent="0.35">
      <c r="A278" s="66" t="s">
        <v>30</v>
      </c>
      <c r="C278" s="67"/>
      <c r="D278" s="92" t="str">
        <f t="shared" ref="D278" si="160">E278</f>
        <v>C100049</v>
      </c>
      <c r="E278" s="91" t="str">
        <f>"C100049"</f>
        <v>C100049</v>
      </c>
      <c r="F278" s="89" t="str">
        <f>"4GB MP3 Player"</f>
        <v>4GB MP3 Player</v>
      </c>
      <c r="G278" s="89"/>
      <c r="H278" s="90" t="str">
        <f>"EA"</f>
        <v>EA</v>
      </c>
      <c r="I278" s="89"/>
      <c r="J278" s="89"/>
      <c r="K278" s="89"/>
      <c r="L278" s="89"/>
      <c r="M278" s="89"/>
      <c r="N278" s="89"/>
      <c r="O278" s="88">
        <f>(SUBTOTAL(9,O279:O282))</f>
        <v>800</v>
      </c>
      <c r="P278" s="88">
        <f>(SUBTOTAL(9,P279:P282))</f>
        <v>-288</v>
      </c>
      <c r="Q278" s="88">
        <f>(SUBTOTAL(9,Q279:Q282))</f>
        <v>0</v>
      </c>
      <c r="R278" s="88">
        <f>(SUBTOTAL(9,R279:R282))</f>
        <v>0</v>
      </c>
      <c r="S278" s="88">
        <f>(SUBTOTAL(9,S279:S282))</f>
        <v>0</v>
      </c>
      <c r="T278" s="88">
        <f>(SUBTOTAL(9,T279:T282))</f>
        <v>0</v>
      </c>
      <c r="U278" s="87">
        <f t="shared" ref="U278" si="161">SUBTOTAL(9,O279:T282)</f>
        <v>512</v>
      </c>
    </row>
    <row r="279" spans="1:21" ht="17.25" customHeight="1" x14ac:dyDescent="0.3">
      <c r="A279" s="66" t="s">
        <v>30</v>
      </c>
      <c r="C279" s="67"/>
      <c r="D279" s="77" t="str">
        <f t="shared" ref="D279" si="162">D278</f>
        <v>C100049</v>
      </c>
      <c r="E279" s="77"/>
      <c r="F279" s="76"/>
      <c r="G279" s="76" t="str">
        <f>"""NAV Direct"",""CRONUS JetCorp USA"",""32"",""1"",""168026"""</f>
        <v>"NAV Direct","CRONUS JetCorp USA","32","1","168026"</v>
      </c>
      <c r="H279" s="86">
        <v>43466</v>
      </c>
      <c r="I279" s="85">
        <v>168026</v>
      </c>
      <c r="J279" s="84" t="str">
        <f>"Vendor"</f>
        <v>Vendor</v>
      </c>
      <c r="K279" s="84" t="str">
        <f>"V100007"</f>
        <v>V100007</v>
      </c>
      <c r="L279" s="84" t="str">
        <f>IF($J279="Customer",_xll.NL("first",$J279,"Name","No.","@@"&amp;$K279),"")</f>
        <v/>
      </c>
      <c r="M279" s="84" t="str">
        <f>"TrendTech"</f>
        <v>TrendTech</v>
      </c>
      <c r="N279" s="84" t="str">
        <f>IF($J279="Item",_xll.NL("first",$J279,"Description","No.","@@"&amp;$K279),"")</f>
        <v/>
      </c>
      <c r="O279" s="83">
        <v>800</v>
      </c>
      <c r="P279" s="83">
        <v>0</v>
      </c>
      <c r="Q279" s="83">
        <v>0</v>
      </c>
      <c r="R279" s="83">
        <v>0</v>
      </c>
      <c r="S279" s="83">
        <v>0</v>
      </c>
      <c r="T279" s="83">
        <v>0</v>
      </c>
      <c r="U279" s="82"/>
    </row>
    <row r="280" spans="1:21" ht="17.25" customHeight="1" x14ac:dyDescent="0.3">
      <c r="A280" s="66" t="s">
        <v>30</v>
      </c>
      <c r="C280" s="67"/>
      <c r="D280" s="77" t="str">
        <f t="shared" ref="D280:D281" si="163">D279</f>
        <v>C100049</v>
      </c>
      <c r="E280" s="77"/>
      <c r="F280" s="76"/>
      <c r="G280" s="76" t="str">
        <f>"""NAV Direct"",""CRONUS JetCorp USA"",""32"",""1"",""111289"""</f>
        <v>"NAV Direct","CRONUS JetCorp USA","32","1","111289"</v>
      </c>
      <c r="H280" s="86">
        <v>43470</v>
      </c>
      <c r="I280" s="85">
        <v>111289</v>
      </c>
      <c r="J280" s="84" t="str">
        <f>"Customer"</f>
        <v>Customer</v>
      </c>
      <c r="K280" s="84" t="str">
        <f>"C100037"</f>
        <v>C100037</v>
      </c>
      <c r="L280" s="84" t="str">
        <f>IF($J280="Customer",_xll.NL("first",$J280,"Name","No.","@@"&amp;$K280),"")</f>
        <v>Tempsons Tropies</v>
      </c>
      <c r="M280" s="84" t="str">
        <f>""</f>
        <v/>
      </c>
      <c r="N280" s="84" t="str">
        <f>IF($J280="Item",_xll.NL("first",$J280,"Description","No.","@@"&amp;$K280),"")</f>
        <v/>
      </c>
      <c r="O280" s="83">
        <v>0</v>
      </c>
      <c r="P280" s="83">
        <v>-144</v>
      </c>
      <c r="Q280" s="83">
        <v>0</v>
      </c>
      <c r="R280" s="83">
        <v>0</v>
      </c>
      <c r="S280" s="83">
        <v>0</v>
      </c>
      <c r="T280" s="83">
        <v>0</v>
      </c>
      <c r="U280" s="82"/>
    </row>
    <row r="281" spans="1:21" ht="17.25" customHeight="1" x14ac:dyDescent="0.3">
      <c r="A281" s="66" t="s">
        <v>30</v>
      </c>
      <c r="C281" s="67"/>
      <c r="D281" s="77" t="str">
        <f t="shared" si="163"/>
        <v>C100049</v>
      </c>
      <c r="E281" s="77"/>
      <c r="F281" s="76"/>
      <c r="G281" s="76" t="str">
        <f>"""NAV Direct"",""CRONUS JetCorp USA"",""32"",""1"",""111280"""</f>
        <v>"NAV Direct","CRONUS JetCorp USA","32","1","111280"</v>
      </c>
      <c r="H281" s="86">
        <v>43472</v>
      </c>
      <c r="I281" s="85">
        <v>111280</v>
      </c>
      <c r="J281" s="84" t="str">
        <f>"Customer"</f>
        <v>Customer</v>
      </c>
      <c r="K281" s="84" t="str">
        <f>"C100099"</f>
        <v>C100099</v>
      </c>
      <c r="L281" s="84" t="str">
        <f>IF($J281="Customer",_xll.NL("first",$J281,"Name","No.","@@"&amp;$K281),"")</f>
        <v>Voltive Systems</v>
      </c>
      <c r="M281" s="84" t="str">
        <f>""</f>
        <v/>
      </c>
      <c r="N281" s="84" t="str">
        <f>IF($J281="Item",_xll.NL("first",$J281,"Description","No.","@@"&amp;$K281),"")</f>
        <v/>
      </c>
      <c r="O281" s="83">
        <v>0</v>
      </c>
      <c r="P281" s="83">
        <v>-144</v>
      </c>
      <c r="Q281" s="83">
        <v>0</v>
      </c>
      <c r="R281" s="83">
        <v>0</v>
      </c>
      <c r="S281" s="83">
        <v>0</v>
      </c>
      <c r="T281" s="83">
        <v>0</v>
      </c>
      <c r="U281" s="82"/>
    </row>
    <row r="282" spans="1:21" ht="17.25" customHeight="1" x14ac:dyDescent="0.3">
      <c r="A282" s="66" t="s">
        <v>30</v>
      </c>
      <c r="C282" s="67"/>
      <c r="D282" s="77"/>
      <c r="E282" s="77"/>
      <c r="F282" s="76"/>
      <c r="G282" s="76"/>
      <c r="H282" s="76"/>
      <c r="I282" s="76"/>
      <c r="J282" s="76"/>
      <c r="K282" s="76"/>
      <c r="L282" s="76"/>
      <c r="M282" s="76"/>
      <c r="N282" s="76"/>
      <c r="O282" s="75"/>
      <c r="P282" s="75"/>
      <c r="Q282" s="75"/>
      <c r="R282" s="75"/>
      <c r="S282" s="75"/>
      <c r="T282" s="75"/>
      <c r="U282" s="74"/>
    </row>
    <row r="283" spans="1:21" ht="17.25" customHeight="1" x14ac:dyDescent="0.3">
      <c r="A283" s="66" t="s">
        <v>30</v>
      </c>
      <c r="C283" s="67"/>
      <c r="D283" s="77"/>
      <c r="E283" s="77" t="s">
        <v>31</v>
      </c>
      <c r="F283" s="76" t="s">
        <v>31</v>
      </c>
      <c r="G283" s="76" t="s">
        <v>31</v>
      </c>
      <c r="H283" s="76"/>
      <c r="I283" s="76"/>
      <c r="J283" s="76" t="s">
        <v>31</v>
      </c>
      <c r="K283" s="76" t="s">
        <v>31</v>
      </c>
      <c r="L283" s="76" t="s">
        <v>31</v>
      </c>
      <c r="M283" s="76" t="s">
        <v>31</v>
      </c>
      <c r="N283" s="76"/>
      <c r="U283" s="81"/>
    </row>
    <row r="284" spans="1:21" ht="20.25" customHeight="1" x14ac:dyDescent="0.35">
      <c r="A284" s="66" t="s">
        <v>30</v>
      </c>
      <c r="C284" s="67"/>
      <c r="D284" s="92" t="str">
        <f t="shared" ref="D284" si="164">E284</f>
        <v>C100050</v>
      </c>
      <c r="E284" s="91" t="str">
        <f>"C100050"</f>
        <v>C100050</v>
      </c>
      <c r="F284" s="89" t="str">
        <f>"Clip-on MP3 Player"</f>
        <v>Clip-on MP3 Player</v>
      </c>
      <c r="G284" s="89"/>
      <c r="H284" s="90" t="str">
        <f>"EA"</f>
        <v>EA</v>
      </c>
      <c r="I284" s="89"/>
      <c r="J284" s="89"/>
      <c r="K284" s="89"/>
      <c r="L284" s="89"/>
      <c r="M284" s="89"/>
      <c r="N284" s="89"/>
      <c r="O284" s="88">
        <f>(SUBTOTAL(9,O285:O286))</f>
        <v>700</v>
      </c>
      <c r="P284" s="88">
        <f>(SUBTOTAL(9,P285:P286))</f>
        <v>0</v>
      </c>
      <c r="Q284" s="88">
        <f>(SUBTOTAL(9,Q285:Q286))</f>
        <v>0</v>
      </c>
      <c r="R284" s="88">
        <f>(SUBTOTAL(9,R285:R286))</f>
        <v>0</v>
      </c>
      <c r="S284" s="88">
        <f>(SUBTOTAL(9,S285:S286))</f>
        <v>0</v>
      </c>
      <c r="T284" s="88">
        <f>(SUBTOTAL(9,T285:T286))</f>
        <v>0</v>
      </c>
      <c r="U284" s="87">
        <f t="shared" ref="U284" si="165">SUBTOTAL(9,O285:T286)</f>
        <v>700</v>
      </c>
    </row>
    <row r="285" spans="1:21" ht="17.25" customHeight="1" x14ac:dyDescent="0.3">
      <c r="A285" s="66" t="s">
        <v>30</v>
      </c>
      <c r="C285" s="67"/>
      <c r="D285" s="77" t="str">
        <f t="shared" ref="D285" si="166">D284</f>
        <v>C100050</v>
      </c>
      <c r="E285" s="77"/>
      <c r="F285" s="76"/>
      <c r="G285" s="76" t="str">
        <f>"""NAV Direct"",""CRONUS JetCorp USA"",""32"",""1"",""168025"""</f>
        <v>"NAV Direct","CRONUS JetCorp USA","32","1","168025"</v>
      </c>
      <c r="H285" s="86">
        <v>43466</v>
      </c>
      <c r="I285" s="85">
        <v>168025</v>
      </c>
      <c r="J285" s="84" t="str">
        <f>"Vendor"</f>
        <v>Vendor</v>
      </c>
      <c r="K285" s="84" t="str">
        <f>"V100007"</f>
        <v>V100007</v>
      </c>
      <c r="L285" s="84" t="str">
        <f>IF($J285="Customer",_xll.NL("first",$J285,"Name","No.","@@"&amp;$K285),"")</f>
        <v/>
      </c>
      <c r="M285" s="84" t="str">
        <f>"TrendTech"</f>
        <v>TrendTech</v>
      </c>
      <c r="N285" s="84" t="str">
        <f>IF($J285="Item",_xll.NL("first",$J285,"Description","No.","@@"&amp;$K285),"")</f>
        <v/>
      </c>
      <c r="O285" s="83">
        <v>700</v>
      </c>
      <c r="P285" s="83">
        <v>0</v>
      </c>
      <c r="Q285" s="83">
        <v>0</v>
      </c>
      <c r="R285" s="83">
        <v>0</v>
      </c>
      <c r="S285" s="83">
        <v>0</v>
      </c>
      <c r="T285" s="83">
        <v>0</v>
      </c>
      <c r="U285" s="82"/>
    </row>
    <row r="286" spans="1:21" ht="17.25" customHeight="1" x14ac:dyDescent="0.3">
      <c r="A286" s="66" t="s">
        <v>30</v>
      </c>
      <c r="C286" s="67"/>
      <c r="D286" s="77"/>
      <c r="E286" s="77"/>
      <c r="F286" s="76"/>
      <c r="G286" s="76"/>
      <c r="H286" s="76"/>
      <c r="I286" s="76"/>
      <c r="J286" s="76"/>
      <c r="K286" s="76"/>
      <c r="L286" s="76"/>
      <c r="M286" s="76"/>
      <c r="N286" s="76"/>
      <c r="O286" s="75"/>
      <c r="P286" s="75"/>
      <c r="Q286" s="75"/>
      <c r="R286" s="75"/>
      <c r="S286" s="75"/>
      <c r="T286" s="75"/>
      <c r="U286" s="74"/>
    </row>
    <row r="287" spans="1:21" ht="17.25" customHeight="1" x14ac:dyDescent="0.3">
      <c r="A287" s="66" t="s">
        <v>30</v>
      </c>
      <c r="C287" s="67"/>
      <c r="D287" s="77"/>
      <c r="E287" s="77" t="s">
        <v>31</v>
      </c>
      <c r="F287" s="76" t="s">
        <v>31</v>
      </c>
      <c r="G287" s="76" t="s">
        <v>31</v>
      </c>
      <c r="H287" s="76"/>
      <c r="I287" s="76"/>
      <c r="J287" s="76" t="s">
        <v>31</v>
      </c>
      <c r="K287" s="76" t="s">
        <v>31</v>
      </c>
      <c r="L287" s="76" t="s">
        <v>31</v>
      </c>
      <c r="M287" s="76" t="s">
        <v>31</v>
      </c>
      <c r="N287" s="76"/>
      <c r="U287" s="81"/>
    </row>
    <row r="288" spans="1:21" ht="20.25" customHeight="1" x14ac:dyDescent="0.35">
      <c r="A288" s="66" t="s">
        <v>30</v>
      </c>
      <c r="C288" s="67"/>
      <c r="D288" s="92" t="str">
        <f t="shared" ref="D288" si="167">E288</f>
        <v>C100051</v>
      </c>
      <c r="E288" s="91" t="str">
        <f>"C100051"</f>
        <v>C100051</v>
      </c>
      <c r="F288" s="89" t="str">
        <f>"Bamboo Digital Picutre Frame"</f>
        <v>Bamboo Digital Picutre Frame</v>
      </c>
      <c r="G288" s="89"/>
      <c r="H288" s="90" t="str">
        <f>"EA"</f>
        <v>EA</v>
      </c>
      <c r="I288" s="89"/>
      <c r="J288" s="89"/>
      <c r="K288" s="89"/>
      <c r="L288" s="89"/>
      <c r="M288" s="89"/>
      <c r="N288" s="89"/>
      <c r="O288" s="88">
        <f>(SUBTOTAL(9,O289:O291))</f>
        <v>700</v>
      </c>
      <c r="P288" s="88">
        <f>(SUBTOTAL(9,P289:P291))</f>
        <v>-144</v>
      </c>
      <c r="Q288" s="88">
        <f>(SUBTOTAL(9,Q289:Q291))</f>
        <v>0</v>
      </c>
      <c r="R288" s="88">
        <f>(SUBTOTAL(9,R289:R291))</f>
        <v>0</v>
      </c>
      <c r="S288" s="88">
        <f>(SUBTOTAL(9,S289:S291))</f>
        <v>0</v>
      </c>
      <c r="T288" s="88">
        <f>(SUBTOTAL(9,T289:T291))</f>
        <v>0</v>
      </c>
      <c r="U288" s="87">
        <f t="shared" ref="U288" si="168">SUBTOTAL(9,O289:T291)</f>
        <v>556</v>
      </c>
    </row>
    <row r="289" spans="1:21" ht="17.25" customHeight="1" x14ac:dyDescent="0.3">
      <c r="A289" s="66" t="s">
        <v>30</v>
      </c>
      <c r="C289" s="67"/>
      <c r="D289" s="77" t="str">
        <f t="shared" ref="D289" si="169">D288</f>
        <v>C100051</v>
      </c>
      <c r="E289" s="77"/>
      <c r="F289" s="76"/>
      <c r="G289" s="76" t="str">
        <f>"""NAV Direct"",""CRONUS JetCorp USA"",""32"",""1"",""168024"""</f>
        <v>"NAV Direct","CRONUS JetCorp USA","32","1","168024"</v>
      </c>
      <c r="H289" s="86">
        <v>43466</v>
      </c>
      <c r="I289" s="85">
        <v>168024</v>
      </c>
      <c r="J289" s="84" t="str">
        <f>"Vendor"</f>
        <v>Vendor</v>
      </c>
      <c r="K289" s="84" t="str">
        <f>"V100007"</f>
        <v>V100007</v>
      </c>
      <c r="L289" s="84" t="str">
        <f>IF($J289="Customer",_xll.NL("first",$J289,"Name","No.","@@"&amp;$K289),"")</f>
        <v/>
      </c>
      <c r="M289" s="84" t="str">
        <f>"TrendTech"</f>
        <v>TrendTech</v>
      </c>
      <c r="N289" s="84" t="str">
        <f>IF($J289="Item",_xll.NL("first",$J289,"Description","No.","@@"&amp;$K289),"")</f>
        <v/>
      </c>
      <c r="O289" s="83">
        <v>700</v>
      </c>
      <c r="P289" s="83">
        <v>0</v>
      </c>
      <c r="Q289" s="83">
        <v>0</v>
      </c>
      <c r="R289" s="83">
        <v>0</v>
      </c>
      <c r="S289" s="83">
        <v>0</v>
      </c>
      <c r="T289" s="83">
        <v>0</v>
      </c>
      <c r="U289" s="82"/>
    </row>
    <row r="290" spans="1:21" ht="17.25" customHeight="1" x14ac:dyDescent="0.3">
      <c r="A290" s="66" t="s">
        <v>30</v>
      </c>
      <c r="C290" s="67"/>
      <c r="D290" s="77" t="str">
        <f t="shared" ref="D290" si="170">D289</f>
        <v>C100051</v>
      </c>
      <c r="E290" s="77"/>
      <c r="F290" s="76"/>
      <c r="G290" s="76" t="str">
        <f>"""NAV Direct"",""CRONUS JetCorp USA"",""32"",""1"",""111309"""</f>
        <v>"NAV Direct","CRONUS JetCorp USA","32","1","111309"</v>
      </c>
      <c r="H290" s="86">
        <v>43472</v>
      </c>
      <c r="I290" s="85">
        <v>111309</v>
      </c>
      <c r="J290" s="84" t="str">
        <f>"Customer"</f>
        <v>Customer</v>
      </c>
      <c r="K290" s="84" t="str">
        <f>"C100099"</f>
        <v>C100099</v>
      </c>
      <c r="L290" s="84" t="str">
        <f>IF($J290="Customer",_xll.NL("first",$J290,"Name","No.","@@"&amp;$K290),"")</f>
        <v>Voltive Systems</v>
      </c>
      <c r="M290" s="84" t="str">
        <f>""</f>
        <v/>
      </c>
      <c r="N290" s="84" t="str">
        <f>IF($J290="Item",_xll.NL("first",$J290,"Description","No.","@@"&amp;$K290),"")</f>
        <v/>
      </c>
      <c r="O290" s="83">
        <v>0</v>
      </c>
      <c r="P290" s="83">
        <v>-144</v>
      </c>
      <c r="Q290" s="83">
        <v>0</v>
      </c>
      <c r="R290" s="83">
        <v>0</v>
      </c>
      <c r="S290" s="83">
        <v>0</v>
      </c>
      <c r="T290" s="83">
        <v>0</v>
      </c>
      <c r="U290" s="82"/>
    </row>
    <row r="291" spans="1:21" ht="17.25" customHeight="1" x14ac:dyDescent="0.3">
      <c r="A291" s="66" t="s">
        <v>30</v>
      </c>
      <c r="C291" s="67"/>
      <c r="D291" s="77"/>
      <c r="E291" s="77"/>
      <c r="F291" s="76"/>
      <c r="G291" s="76"/>
      <c r="H291" s="76"/>
      <c r="I291" s="76"/>
      <c r="J291" s="76"/>
      <c r="K291" s="76"/>
      <c r="L291" s="76"/>
      <c r="M291" s="76"/>
      <c r="N291" s="76"/>
      <c r="O291" s="75"/>
      <c r="P291" s="75"/>
      <c r="Q291" s="75"/>
      <c r="R291" s="75"/>
      <c r="S291" s="75"/>
      <c r="T291" s="75"/>
      <c r="U291" s="74"/>
    </row>
    <row r="292" spans="1:21" ht="17.25" customHeight="1" x14ac:dyDescent="0.3">
      <c r="A292" s="66" t="s">
        <v>30</v>
      </c>
      <c r="C292" s="67"/>
      <c r="D292" s="77"/>
      <c r="E292" s="77" t="s">
        <v>31</v>
      </c>
      <c r="F292" s="76" t="s">
        <v>31</v>
      </c>
      <c r="G292" s="76" t="s">
        <v>31</v>
      </c>
      <c r="H292" s="76"/>
      <c r="I292" s="76"/>
      <c r="J292" s="76" t="s">
        <v>31</v>
      </c>
      <c r="K292" s="76" t="s">
        <v>31</v>
      </c>
      <c r="L292" s="76" t="s">
        <v>31</v>
      </c>
      <c r="M292" s="76" t="s">
        <v>31</v>
      </c>
      <c r="N292" s="76"/>
      <c r="U292" s="81"/>
    </row>
    <row r="293" spans="1:21" ht="20.25" customHeight="1" x14ac:dyDescent="0.35">
      <c r="A293" s="66" t="s">
        <v>30</v>
      </c>
      <c r="C293" s="67"/>
      <c r="D293" s="92" t="str">
        <f t="shared" ref="D293" si="171">E293</f>
        <v>C100052</v>
      </c>
      <c r="E293" s="91" t="str">
        <f>"C100052"</f>
        <v>C100052</v>
      </c>
      <c r="F293" s="89" t="str">
        <f>"Black Digital Picture Frame"</f>
        <v>Black Digital Picture Frame</v>
      </c>
      <c r="G293" s="89"/>
      <c r="H293" s="90" t="str">
        <f>"EA"</f>
        <v>EA</v>
      </c>
      <c r="I293" s="89"/>
      <c r="J293" s="89"/>
      <c r="K293" s="89"/>
      <c r="L293" s="89"/>
      <c r="M293" s="89"/>
      <c r="N293" s="89"/>
      <c r="O293" s="88">
        <f>(SUBTOTAL(9,O294:O295))</f>
        <v>200</v>
      </c>
      <c r="P293" s="88">
        <f>(SUBTOTAL(9,P294:P295))</f>
        <v>0</v>
      </c>
      <c r="Q293" s="88">
        <f>(SUBTOTAL(9,Q294:Q295))</f>
        <v>0</v>
      </c>
      <c r="R293" s="88">
        <f>(SUBTOTAL(9,R294:R295))</f>
        <v>0</v>
      </c>
      <c r="S293" s="88">
        <f>(SUBTOTAL(9,S294:S295))</f>
        <v>0</v>
      </c>
      <c r="T293" s="88">
        <f>(SUBTOTAL(9,T294:T295))</f>
        <v>0</v>
      </c>
      <c r="U293" s="87">
        <f t="shared" ref="U293" si="172">SUBTOTAL(9,O294:T295)</f>
        <v>200</v>
      </c>
    </row>
    <row r="294" spans="1:21" ht="17.25" customHeight="1" x14ac:dyDescent="0.3">
      <c r="A294" s="66" t="s">
        <v>30</v>
      </c>
      <c r="C294" s="67"/>
      <c r="D294" s="77" t="str">
        <f t="shared" ref="D294" si="173">D293</f>
        <v>C100052</v>
      </c>
      <c r="E294" s="77"/>
      <c r="F294" s="76"/>
      <c r="G294" s="76" t="str">
        <f>"""NAV Direct"",""CRONUS JetCorp USA"",""32"",""1"",""168023"""</f>
        <v>"NAV Direct","CRONUS JetCorp USA","32","1","168023"</v>
      </c>
      <c r="H294" s="86">
        <v>43466</v>
      </c>
      <c r="I294" s="85">
        <v>168023</v>
      </c>
      <c r="J294" s="84" t="str">
        <f>"Vendor"</f>
        <v>Vendor</v>
      </c>
      <c r="K294" s="84" t="str">
        <f>"V100007"</f>
        <v>V100007</v>
      </c>
      <c r="L294" s="84" t="str">
        <f>IF($J294="Customer",_xll.NL("first",$J294,"Name","No.","@@"&amp;$K294),"")</f>
        <v/>
      </c>
      <c r="M294" s="84" t="str">
        <f>"TrendTech"</f>
        <v>TrendTech</v>
      </c>
      <c r="N294" s="84" t="str">
        <f>IF($J294="Item",_xll.NL("first",$J294,"Description","No.","@@"&amp;$K294),"")</f>
        <v/>
      </c>
      <c r="O294" s="83">
        <v>200</v>
      </c>
      <c r="P294" s="83">
        <v>0</v>
      </c>
      <c r="Q294" s="83">
        <v>0</v>
      </c>
      <c r="R294" s="83">
        <v>0</v>
      </c>
      <c r="S294" s="83">
        <v>0</v>
      </c>
      <c r="T294" s="83">
        <v>0</v>
      </c>
      <c r="U294" s="82"/>
    </row>
    <row r="295" spans="1:21" ht="17.25" customHeight="1" x14ac:dyDescent="0.3">
      <c r="A295" s="66" t="s">
        <v>30</v>
      </c>
      <c r="C295" s="67"/>
      <c r="D295" s="77"/>
      <c r="E295" s="77"/>
      <c r="F295" s="76"/>
      <c r="G295" s="76"/>
      <c r="H295" s="76"/>
      <c r="I295" s="76"/>
      <c r="J295" s="76"/>
      <c r="K295" s="76"/>
      <c r="L295" s="76"/>
      <c r="M295" s="76"/>
      <c r="N295" s="76"/>
      <c r="O295" s="75"/>
      <c r="P295" s="75"/>
      <c r="Q295" s="75"/>
      <c r="R295" s="75"/>
      <c r="S295" s="75"/>
      <c r="T295" s="75"/>
      <c r="U295" s="74"/>
    </row>
    <row r="296" spans="1:21" ht="17.25" customHeight="1" x14ac:dyDescent="0.3">
      <c r="A296" s="66" t="s">
        <v>30</v>
      </c>
      <c r="C296" s="67"/>
      <c r="D296" s="77"/>
      <c r="E296" s="77" t="s">
        <v>31</v>
      </c>
      <c r="F296" s="76" t="s">
        <v>31</v>
      </c>
      <c r="G296" s="76" t="s">
        <v>31</v>
      </c>
      <c r="H296" s="76"/>
      <c r="I296" s="76"/>
      <c r="J296" s="76" t="s">
        <v>31</v>
      </c>
      <c r="K296" s="76" t="s">
        <v>31</v>
      </c>
      <c r="L296" s="76" t="s">
        <v>31</v>
      </c>
      <c r="M296" s="76" t="s">
        <v>31</v>
      </c>
      <c r="N296" s="76"/>
      <c r="U296" s="81"/>
    </row>
    <row r="297" spans="1:21" ht="20.25" customHeight="1" x14ac:dyDescent="0.35">
      <c r="A297" s="66" t="s">
        <v>30</v>
      </c>
      <c r="C297" s="67"/>
      <c r="D297" s="92" t="str">
        <f t="shared" ref="D297" si="174">E297</f>
        <v>C100053</v>
      </c>
      <c r="E297" s="91" t="str">
        <f>"C100053"</f>
        <v>C100053</v>
      </c>
      <c r="F297" s="89" t="str">
        <f>"Book Style Photo Frame &amp; Clock"</f>
        <v>Book Style Photo Frame &amp; Clock</v>
      </c>
      <c r="G297" s="89"/>
      <c r="H297" s="90" t="str">
        <f>"EA"</f>
        <v>EA</v>
      </c>
      <c r="I297" s="89"/>
      <c r="J297" s="89"/>
      <c r="K297" s="89"/>
      <c r="L297" s="89"/>
      <c r="M297" s="89"/>
      <c r="N297" s="89"/>
      <c r="O297" s="88">
        <f>(SUBTOTAL(9,O298:O301))</f>
        <v>0</v>
      </c>
      <c r="P297" s="88">
        <f>(SUBTOTAL(9,P298:P301))</f>
        <v>-78</v>
      </c>
      <c r="Q297" s="88">
        <f>(SUBTOTAL(9,Q298:Q301))</f>
        <v>0</v>
      </c>
      <c r="R297" s="88">
        <f>(SUBTOTAL(9,R298:R301))</f>
        <v>0</v>
      </c>
      <c r="S297" s="88">
        <f>(SUBTOTAL(9,S298:S301))</f>
        <v>0</v>
      </c>
      <c r="T297" s="88">
        <f>(SUBTOTAL(9,T298:T301))</f>
        <v>0</v>
      </c>
      <c r="U297" s="87">
        <f t="shared" ref="U297" si="175">SUBTOTAL(9,O298:T301)</f>
        <v>-78</v>
      </c>
    </row>
    <row r="298" spans="1:21" ht="17.25" customHeight="1" x14ac:dyDescent="0.3">
      <c r="A298" s="66" t="s">
        <v>30</v>
      </c>
      <c r="C298" s="67"/>
      <c r="D298" s="77" t="str">
        <f t="shared" ref="D298" si="176">D297</f>
        <v>C100053</v>
      </c>
      <c r="E298" s="77"/>
      <c r="F298" s="76"/>
      <c r="G298" s="76" t="str">
        <f>"""NAV Direct"",""CRONUS JetCorp USA"",""32"",""1"",""3887"""</f>
        <v>"NAV Direct","CRONUS JetCorp USA","32","1","3887"</v>
      </c>
      <c r="H298" s="86">
        <v>43467</v>
      </c>
      <c r="I298" s="85">
        <v>3887</v>
      </c>
      <c r="J298" s="84" t="str">
        <f>"Customer"</f>
        <v>Customer</v>
      </c>
      <c r="K298" s="84" t="str">
        <f>"C100099"</f>
        <v>C100099</v>
      </c>
      <c r="L298" s="84" t="str">
        <f>IF($J298="Customer",_xll.NL("first",$J298,"Name","No.","@@"&amp;$K298),"")</f>
        <v>Voltive Systems</v>
      </c>
      <c r="M298" s="84" t="str">
        <f>""</f>
        <v/>
      </c>
      <c r="N298" s="84" t="str">
        <f>IF($J298="Item",_xll.NL("first",$J298,"Description","No.","@@"&amp;$K298),"")</f>
        <v/>
      </c>
      <c r="O298" s="83">
        <v>0</v>
      </c>
      <c r="P298" s="83">
        <v>-48</v>
      </c>
      <c r="Q298" s="83">
        <v>0</v>
      </c>
      <c r="R298" s="83">
        <v>0</v>
      </c>
      <c r="S298" s="83">
        <v>0</v>
      </c>
      <c r="T298" s="83">
        <v>0</v>
      </c>
      <c r="U298" s="82"/>
    </row>
    <row r="299" spans="1:21" ht="17.25" customHeight="1" x14ac:dyDescent="0.3">
      <c r="A299" s="66" t="s">
        <v>30</v>
      </c>
      <c r="C299" s="67"/>
      <c r="D299" s="77" t="str">
        <f t="shared" ref="D299:D300" si="177">D298</f>
        <v>C100053</v>
      </c>
      <c r="E299" s="77"/>
      <c r="F299" s="76"/>
      <c r="G299" s="76" t="str">
        <f>"""NAV Direct"",""CRONUS JetCorp USA"",""32"",""1"",""3901"""</f>
        <v>"NAV Direct","CRONUS JetCorp USA","32","1","3901"</v>
      </c>
      <c r="H299" s="86">
        <v>43473</v>
      </c>
      <c r="I299" s="85">
        <v>3901</v>
      </c>
      <c r="J299" s="84" t="str">
        <f>"Customer"</f>
        <v>Customer</v>
      </c>
      <c r="K299" s="84" t="str">
        <f>"C100037"</f>
        <v>C100037</v>
      </c>
      <c r="L299" s="84" t="str">
        <f>IF($J299="Customer",_xll.NL("first",$J299,"Name","No.","@@"&amp;$K299),"")</f>
        <v>Tempsons Tropies</v>
      </c>
      <c r="M299" s="84" t="str">
        <f>""</f>
        <v/>
      </c>
      <c r="N299" s="84" t="str">
        <f>IF($J299="Item",_xll.NL("first",$J299,"Description","No.","@@"&amp;$K299),"")</f>
        <v/>
      </c>
      <c r="O299" s="83">
        <v>0</v>
      </c>
      <c r="P299" s="83">
        <v>-6</v>
      </c>
      <c r="Q299" s="83">
        <v>0</v>
      </c>
      <c r="R299" s="83">
        <v>0</v>
      </c>
      <c r="S299" s="83">
        <v>0</v>
      </c>
      <c r="T299" s="83">
        <v>0</v>
      </c>
      <c r="U299" s="82"/>
    </row>
    <row r="300" spans="1:21" ht="17.25" customHeight="1" x14ac:dyDescent="0.3">
      <c r="A300" s="66" t="s">
        <v>30</v>
      </c>
      <c r="C300" s="67"/>
      <c r="D300" s="77" t="str">
        <f t="shared" si="177"/>
        <v>C100053</v>
      </c>
      <c r="E300" s="77"/>
      <c r="F300" s="76"/>
      <c r="G300" s="76" t="str">
        <f>"""NAV Direct"",""CRONUS JetCorp USA"",""32"",""1"",""3923"""</f>
        <v>"NAV Direct","CRONUS JetCorp USA","32","1","3923"</v>
      </c>
      <c r="H300" s="86">
        <v>43475</v>
      </c>
      <c r="I300" s="85">
        <v>3923</v>
      </c>
      <c r="J300" s="84" t="str">
        <f>"Customer"</f>
        <v>Customer</v>
      </c>
      <c r="K300" s="84" t="str">
        <f>"C100099"</f>
        <v>C100099</v>
      </c>
      <c r="L300" s="84" t="str">
        <f>IF($J300="Customer",_xll.NL("first",$J300,"Name","No.","@@"&amp;$K300),"")</f>
        <v>Voltive Systems</v>
      </c>
      <c r="M300" s="84" t="str">
        <f>""</f>
        <v/>
      </c>
      <c r="N300" s="84" t="str">
        <f>IF($J300="Item",_xll.NL("first",$J300,"Description","No.","@@"&amp;$K300),"")</f>
        <v/>
      </c>
      <c r="O300" s="83">
        <v>0</v>
      </c>
      <c r="P300" s="83">
        <v>-24</v>
      </c>
      <c r="Q300" s="83">
        <v>0</v>
      </c>
      <c r="R300" s="83">
        <v>0</v>
      </c>
      <c r="S300" s="83">
        <v>0</v>
      </c>
      <c r="T300" s="83">
        <v>0</v>
      </c>
      <c r="U300" s="82"/>
    </row>
    <row r="301" spans="1:21" ht="17.25" customHeight="1" x14ac:dyDescent="0.3">
      <c r="A301" s="66" t="s">
        <v>30</v>
      </c>
      <c r="C301" s="67"/>
      <c r="D301" s="77"/>
      <c r="E301" s="77"/>
      <c r="F301" s="76"/>
      <c r="G301" s="76"/>
      <c r="H301" s="76"/>
      <c r="I301" s="76"/>
      <c r="J301" s="76"/>
      <c r="K301" s="76"/>
      <c r="L301" s="76"/>
      <c r="M301" s="76"/>
      <c r="N301" s="76"/>
      <c r="O301" s="75"/>
      <c r="P301" s="75"/>
      <c r="Q301" s="75"/>
      <c r="R301" s="75"/>
      <c r="S301" s="75"/>
      <c r="T301" s="75"/>
      <c r="U301" s="74"/>
    </row>
    <row r="302" spans="1:21" ht="17.25" customHeight="1" x14ac:dyDescent="0.3">
      <c r="A302" s="66" t="s">
        <v>30</v>
      </c>
      <c r="C302" s="67"/>
      <c r="D302" s="77"/>
      <c r="E302" s="77" t="s">
        <v>31</v>
      </c>
      <c r="F302" s="76" t="s">
        <v>31</v>
      </c>
      <c r="G302" s="76" t="s">
        <v>31</v>
      </c>
      <c r="H302" s="76"/>
      <c r="I302" s="76"/>
      <c r="J302" s="76" t="s">
        <v>31</v>
      </c>
      <c r="K302" s="76" t="s">
        <v>31</v>
      </c>
      <c r="L302" s="76" t="s">
        <v>31</v>
      </c>
      <c r="M302" s="76" t="s">
        <v>31</v>
      </c>
      <c r="N302" s="76"/>
      <c r="U302" s="81"/>
    </row>
    <row r="303" spans="1:21" ht="20.25" customHeight="1" x14ac:dyDescent="0.35">
      <c r="A303" s="66" t="s">
        <v>30</v>
      </c>
      <c r="C303" s="67"/>
      <c r="D303" s="92" t="str">
        <f t="shared" ref="D303" si="178">E303</f>
        <v>C100054</v>
      </c>
      <c r="E303" s="91" t="str">
        <f>"C100054"</f>
        <v>C100054</v>
      </c>
      <c r="F303" s="89" t="str">
        <f>"Cherry Finish Photo Frame &amp; Clock"</f>
        <v>Cherry Finish Photo Frame &amp; Clock</v>
      </c>
      <c r="G303" s="89"/>
      <c r="H303" s="90" t="str">
        <f>"EA"</f>
        <v>EA</v>
      </c>
      <c r="I303" s="89"/>
      <c r="J303" s="89"/>
      <c r="K303" s="89"/>
      <c r="L303" s="89"/>
      <c r="M303" s="89"/>
      <c r="N303" s="89"/>
      <c r="O303" s="88">
        <f>(SUBTOTAL(9,O304:O308))</f>
        <v>700</v>
      </c>
      <c r="P303" s="88">
        <f>(SUBTOTAL(9,P304:P308))</f>
        <v>-432</v>
      </c>
      <c r="Q303" s="88">
        <f>(SUBTOTAL(9,Q304:Q308))</f>
        <v>0</v>
      </c>
      <c r="R303" s="88">
        <f>(SUBTOTAL(9,R304:R308))</f>
        <v>0</v>
      </c>
      <c r="S303" s="88">
        <f>(SUBTOTAL(9,S304:S308))</f>
        <v>0</v>
      </c>
      <c r="T303" s="88">
        <f>(SUBTOTAL(9,T304:T308))</f>
        <v>0</v>
      </c>
      <c r="U303" s="87">
        <f t="shared" ref="U303" si="179">SUBTOTAL(9,O304:T308)</f>
        <v>268</v>
      </c>
    </row>
    <row r="304" spans="1:21" ht="17.25" customHeight="1" x14ac:dyDescent="0.3">
      <c r="A304" s="66" t="s">
        <v>30</v>
      </c>
      <c r="C304" s="67"/>
      <c r="D304" s="77" t="str">
        <f t="shared" ref="D304" si="180">D303</f>
        <v>C100054</v>
      </c>
      <c r="E304" s="77"/>
      <c r="F304" s="76"/>
      <c r="G304" s="76" t="str">
        <f>"""NAV Direct"",""CRONUS JetCorp USA"",""32"",""1"",""168022"""</f>
        <v>"NAV Direct","CRONUS JetCorp USA","32","1","168022"</v>
      </c>
      <c r="H304" s="86">
        <v>43466</v>
      </c>
      <c r="I304" s="85">
        <v>168022</v>
      </c>
      <c r="J304" s="84" t="str">
        <f>"Vendor"</f>
        <v>Vendor</v>
      </c>
      <c r="K304" s="84" t="str">
        <f>"V100007"</f>
        <v>V100007</v>
      </c>
      <c r="L304" s="84" t="str">
        <f>IF($J304="Customer",_xll.NL("first",$J304,"Name","No.","@@"&amp;$K304),"")</f>
        <v/>
      </c>
      <c r="M304" s="84" t="str">
        <f>"TrendTech"</f>
        <v>TrendTech</v>
      </c>
      <c r="N304" s="84" t="str">
        <f>IF($J304="Item",_xll.NL("first",$J304,"Description","No.","@@"&amp;$K304),"")</f>
        <v/>
      </c>
      <c r="O304" s="83">
        <v>700</v>
      </c>
      <c r="P304" s="83">
        <v>0</v>
      </c>
      <c r="Q304" s="83">
        <v>0</v>
      </c>
      <c r="R304" s="83">
        <v>0</v>
      </c>
      <c r="S304" s="83">
        <v>0</v>
      </c>
      <c r="T304" s="83">
        <v>0</v>
      </c>
      <c r="U304" s="82"/>
    </row>
    <row r="305" spans="1:21" ht="17.25" customHeight="1" x14ac:dyDescent="0.3">
      <c r="A305" s="66" t="s">
        <v>30</v>
      </c>
      <c r="C305" s="67"/>
      <c r="D305" s="77" t="str">
        <f t="shared" ref="D305:D307" si="181">D304</f>
        <v>C100054</v>
      </c>
      <c r="E305" s="77"/>
      <c r="F305" s="76"/>
      <c r="G305" s="76" t="str">
        <f>"""NAV Direct"",""CRONUS JetCorp USA"",""32"",""1"",""3908"""</f>
        <v>"NAV Direct","CRONUS JetCorp USA","32","1","3908"</v>
      </c>
      <c r="H305" s="86">
        <v>43472</v>
      </c>
      <c r="I305" s="85">
        <v>3908</v>
      </c>
      <c r="J305" s="84" t="str">
        <f>"Customer"</f>
        <v>Customer</v>
      </c>
      <c r="K305" s="84" t="str">
        <f>"C100099"</f>
        <v>C100099</v>
      </c>
      <c r="L305" s="84" t="str">
        <f>IF($J305="Customer",_xll.NL("first",$J305,"Name","No.","@@"&amp;$K305),"")</f>
        <v>Voltive Systems</v>
      </c>
      <c r="M305" s="84" t="str">
        <f>""</f>
        <v/>
      </c>
      <c r="N305" s="84" t="str">
        <f>IF($J305="Item",_xll.NL("first",$J305,"Description","No.","@@"&amp;$K305),"")</f>
        <v/>
      </c>
      <c r="O305" s="83">
        <v>0</v>
      </c>
      <c r="P305" s="83">
        <v>-144</v>
      </c>
      <c r="Q305" s="83">
        <v>0</v>
      </c>
      <c r="R305" s="83">
        <v>0</v>
      </c>
      <c r="S305" s="83">
        <v>0</v>
      </c>
      <c r="T305" s="83">
        <v>0</v>
      </c>
      <c r="U305" s="82"/>
    </row>
    <row r="306" spans="1:21" ht="17.25" customHeight="1" x14ac:dyDescent="0.3">
      <c r="A306" s="66" t="s">
        <v>30</v>
      </c>
      <c r="C306" s="67"/>
      <c r="D306" s="77" t="str">
        <f t="shared" si="181"/>
        <v>C100054</v>
      </c>
      <c r="E306" s="77"/>
      <c r="F306" s="76"/>
      <c r="G306" s="76" t="str">
        <f>"""NAV Direct"",""CRONUS JetCorp USA"",""32"",""1"",""114283"""</f>
        <v>"NAV Direct","CRONUS JetCorp USA","32","1","114283"</v>
      </c>
      <c r="H306" s="86">
        <v>43473</v>
      </c>
      <c r="I306" s="85">
        <v>114283</v>
      </c>
      <c r="J306" s="84" t="str">
        <f>"Customer"</f>
        <v>Customer</v>
      </c>
      <c r="K306" s="84" t="str">
        <f>"C100083"</f>
        <v>C100083</v>
      </c>
      <c r="L306" s="84" t="str">
        <f>IF($J306="Customer",_xll.NL("first",$J306,"Name","No.","@@"&amp;$K306),"")</f>
        <v>Stanfords</v>
      </c>
      <c r="M306" s="84" t="str">
        <f>""</f>
        <v/>
      </c>
      <c r="N306" s="84" t="str">
        <f>IF($J306="Item",_xll.NL("first",$J306,"Description","No.","@@"&amp;$K306),"")</f>
        <v/>
      </c>
      <c r="O306" s="83">
        <v>0</v>
      </c>
      <c r="P306" s="83">
        <v>-144</v>
      </c>
      <c r="Q306" s="83">
        <v>0</v>
      </c>
      <c r="R306" s="83">
        <v>0</v>
      </c>
      <c r="S306" s="83">
        <v>0</v>
      </c>
      <c r="T306" s="83">
        <v>0</v>
      </c>
      <c r="U306" s="82"/>
    </row>
    <row r="307" spans="1:21" ht="17.25" customHeight="1" x14ac:dyDescent="0.3">
      <c r="A307" s="66" t="s">
        <v>30</v>
      </c>
      <c r="C307" s="67"/>
      <c r="D307" s="77" t="str">
        <f t="shared" si="181"/>
        <v>C100054</v>
      </c>
      <c r="E307" s="77"/>
      <c r="F307" s="76"/>
      <c r="G307" s="76" t="str">
        <f>"""NAV Direct"",""CRONUS JetCorp USA"",""32"",""1"",""3918"""</f>
        <v>"NAV Direct","CRONUS JetCorp USA","32","1","3918"</v>
      </c>
      <c r="H307" s="86">
        <v>43475</v>
      </c>
      <c r="I307" s="85">
        <v>3918</v>
      </c>
      <c r="J307" s="84" t="str">
        <f>"Customer"</f>
        <v>Customer</v>
      </c>
      <c r="K307" s="84" t="str">
        <f>"C100099"</f>
        <v>C100099</v>
      </c>
      <c r="L307" s="84" t="str">
        <f>IF($J307="Customer",_xll.NL("first",$J307,"Name","No.","@@"&amp;$K307),"")</f>
        <v>Voltive Systems</v>
      </c>
      <c r="M307" s="84" t="str">
        <f>""</f>
        <v/>
      </c>
      <c r="N307" s="84" t="str">
        <f>IF($J307="Item",_xll.NL("first",$J307,"Description","No.","@@"&amp;$K307),"")</f>
        <v/>
      </c>
      <c r="O307" s="83">
        <v>0</v>
      </c>
      <c r="P307" s="83">
        <v>-144</v>
      </c>
      <c r="Q307" s="83">
        <v>0</v>
      </c>
      <c r="R307" s="83">
        <v>0</v>
      </c>
      <c r="S307" s="83">
        <v>0</v>
      </c>
      <c r="T307" s="83">
        <v>0</v>
      </c>
      <c r="U307" s="82"/>
    </row>
    <row r="308" spans="1:21" ht="17.25" customHeight="1" x14ac:dyDescent="0.3">
      <c r="A308" s="66" t="s">
        <v>30</v>
      </c>
      <c r="C308" s="67"/>
      <c r="D308" s="77"/>
      <c r="E308" s="77"/>
      <c r="F308" s="76"/>
      <c r="G308" s="76"/>
      <c r="H308" s="76"/>
      <c r="I308" s="76"/>
      <c r="J308" s="76"/>
      <c r="K308" s="76"/>
      <c r="L308" s="76"/>
      <c r="M308" s="76"/>
      <c r="N308" s="76"/>
      <c r="O308" s="75"/>
      <c r="P308" s="75"/>
      <c r="Q308" s="75"/>
      <c r="R308" s="75"/>
      <c r="S308" s="75"/>
      <c r="T308" s="75"/>
      <c r="U308" s="74"/>
    </row>
    <row r="309" spans="1:21" ht="17.25" customHeight="1" x14ac:dyDescent="0.3">
      <c r="A309" s="66" t="s">
        <v>30</v>
      </c>
      <c r="C309" s="67"/>
      <c r="D309" s="77"/>
      <c r="E309" s="77" t="s">
        <v>31</v>
      </c>
      <c r="F309" s="76" t="s">
        <v>31</v>
      </c>
      <c r="G309" s="76" t="s">
        <v>31</v>
      </c>
      <c r="H309" s="76"/>
      <c r="I309" s="76"/>
      <c r="J309" s="76" t="s">
        <v>31</v>
      </c>
      <c r="K309" s="76" t="s">
        <v>31</v>
      </c>
      <c r="L309" s="76" t="s">
        <v>31</v>
      </c>
      <c r="M309" s="76" t="s">
        <v>31</v>
      </c>
      <c r="N309" s="76"/>
      <c r="U309" s="81"/>
    </row>
    <row r="310" spans="1:21" ht="20.25" customHeight="1" x14ac:dyDescent="0.35">
      <c r="A310" s="66" t="s">
        <v>30</v>
      </c>
      <c r="C310" s="67"/>
      <c r="D310" s="92" t="str">
        <f t="shared" ref="D310" si="182">E310</f>
        <v>C100055</v>
      </c>
      <c r="E310" s="91" t="str">
        <f>"C100055"</f>
        <v>C100055</v>
      </c>
      <c r="F310" s="89" t="str">
        <f>"Silver Plated Photo Frame"</f>
        <v>Silver Plated Photo Frame</v>
      </c>
      <c r="G310" s="89"/>
      <c r="H310" s="90" t="str">
        <f>"EA"</f>
        <v>EA</v>
      </c>
      <c r="I310" s="89"/>
      <c r="J310" s="89"/>
      <c r="K310" s="89"/>
      <c r="L310" s="89"/>
      <c r="M310" s="89"/>
      <c r="N310" s="89"/>
      <c r="O310" s="88">
        <f>(SUBTOTAL(9,O311:O315))</f>
        <v>999.99999999999989</v>
      </c>
      <c r="P310" s="88">
        <f>(SUBTOTAL(9,P311:P315))</f>
        <v>-432</v>
      </c>
      <c r="Q310" s="88">
        <f>(SUBTOTAL(9,Q311:Q315))</f>
        <v>0</v>
      </c>
      <c r="R310" s="88">
        <f>(SUBTOTAL(9,R311:R315))</f>
        <v>0</v>
      </c>
      <c r="S310" s="88">
        <f>(SUBTOTAL(9,S311:S315))</f>
        <v>0</v>
      </c>
      <c r="T310" s="88">
        <f>(SUBTOTAL(9,T311:T315))</f>
        <v>0</v>
      </c>
      <c r="U310" s="87">
        <f t="shared" ref="U310" si="183">SUBTOTAL(9,O311:T315)</f>
        <v>567.99999999999989</v>
      </c>
    </row>
    <row r="311" spans="1:21" ht="17.25" customHeight="1" x14ac:dyDescent="0.3">
      <c r="A311" s="66" t="s">
        <v>30</v>
      </c>
      <c r="C311" s="67"/>
      <c r="D311" s="77" t="str">
        <f t="shared" ref="D311" si="184">D310</f>
        <v>C100055</v>
      </c>
      <c r="E311" s="77"/>
      <c r="F311" s="76"/>
      <c r="G311" s="76" t="str">
        <f>"""NAV Direct"",""CRONUS JetCorp USA"",""32"",""1"",""168021"""</f>
        <v>"NAV Direct","CRONUS JetCorp USA","32","1","168021"</v>
      </c>
      <c r="H311" s="86">
        <v>43466</v>
      </c>
      <c r="I311" s="85">
        <v>168021</v>
      </c>
      <c r="J311" s="84" t="str">
        <f>"Vendor"</f>
        <v>Vendor</v>
      </c>
      <c r="K311" s="84" t="str">
        <f>"V100007"</f>
        <v>V100007</v>
      </c>
      <c r="L311" s="84" t="str">
        <f>IF($J311="Customer",_xll.NL("first",$J311,"Name","No.","@@"&amp;$K311),"")</f>
        <v/>
      </c>
      <c r="M311" s="84" t="str">
        <f>"TrendTech"</f>
        <v>TrendTech</v>
      </c>
      <c r="N311" s="84" t="str">
        <f>IF($J311="Item",_xll.NL("first",$J311,"Description","No.","@@"&amp;$K311),"")</f>
        <v/>
      </c>
      <c r="O311" s="83">
        <v>999.99999999999989</v>
      </c>
      <c r="P311" s="83">
        <v>0</v>
      </c>
      <c r="Q311" s="83">
        <v>0</v>
      </c>
      <c r="R311" s="83">
        <v>0</v>
      </c>
      <c r="S311" s="83">
        <v>0</v>
      </c>
      <c r="T311" s="83">
        <v>0</v>
      </c>
      <c r="U311" s="82"/>
    </row>
    <row r="312" spans="1:21" ht="17.25" customHeight="1" x14ac:dyDescent="0.3">
      <c r="A312" s="66" t="s">
        <v>30</v>
      </c>
      <c r="C312" s="67"/>
      <c r="D312" s="77" t="str">
        <f t="shared" ref="D312:D314" si="185">D311</f>
        <v>C100055</v>
      </c>
      <c r="E312" s="77"/>
      <c r="F312" s="76"/>
      <c r="G312" s="76" t="str">
        <f>"""NAV Direct"",""CRONUS JetCorp USA"",""32"",""1"",""111288"""</f>
        <v>"NAV Direct","CRONUS JetCorp USA","32","1","111288"</v>
      </c>
      <c r="H312" s="86">
        <v>43470</v>
      </c>
      <c r="I312" s="85">
        <v>111288</v>
      </c>
      <c r="J312" s="84" t="str">
        <f>"Customer"</f>
        <v>Customer</v>
      </c>
      <c r="K312" s="84" t="str">
        <f>"C100037"</f>
        <v>C100037</v>
      </c>
      <c r="L312" s="84" t="str">
        <f>IF($J312="Customer",_xll.NL("first",$J312,"Name","No.","@@"&amp;$K312),"")</f>
        <v>Tempsons Tropies</v>
      </c>
      <c r="M312" s="84" t="str">
        <f>""</f>
        <v/>
      </c>
      <c r="N312" s="84" t="str">
        <f>IF($J312="Item",_xll.NL("first",$J312,"Description","No.","@@"&amp;$K312),"")</f>
        <v/>
      </c>
      <c r="O312" s="83">
        <v>0</v>
      </c>
      <c r="P312" s="83">
        <v>-144</v>
      </c>
      <c r="Q312" s="83">
        <v>0</v>
      </c>
      <c r="R312" s="83">
        <v>0</v>
      </c>
      <c r="S312" s="83">
        <v>0</v>
      </c>
      <c r="T312" s="83">
        <v>0</v>
      </c>
      <c r="U312" s="82"/>
    </row>
    <row r="313" spans="1:21" ht="17.25" customHeight="1" x14ac:dyDescent="0.3">
      <c r="A313" s="66" t="s">
        <v>30</v>
      </c>
      <c r="C313" s="67"/>
      <c r="D313" s="77" t="str">
        <f t="shared" si="185"/>
        <v>C100055</v>
      </c>
      <c r="E313" s="77"/>
      <c r="F313" s="76"/>
      <c r="G313" s="76" t="str">
        <f>"""NAV Direct"",""CRONUS JetCorp USA"",""32"",""1"",""111302"""</f>
        <v>"NAV Direct","CRONUS JetCorp USA","32","1","111302"</v>
      </c>
      <c r="H313" s="86">
        <v>43472</v>
      </c>
      <c r="I313" s="85">
        <v>111302</v>
      </c>
      <c r="J313" s="84" t="str">
        <f>"Customer"</f>
        <v>Customer</v>
      </c>
      <c r="K313" s="84" t="str">
        <f>"C100099"</f>
        <v>C100099</v>
      </c>
      <c r="L313" s="84" t="str">
        <f>IF($J313="Customer",_xll.NL("first",$J313,"Name","No.","@@"&amp;$K313),"")</f>
        <v>Voltive Systems</v>
      </c>
      <c r="M313" s="84" t="str">
        <f>""</f>
        <v/>
      </c>
      <c r="N313" s="84" t="str">
        <f>IF($J313="Item",_xll.NL("first",$J313,"Description","No.","@@"&amp;$K313),"")</f>
        <v/>
      </c>
      <c r="O313" s="83">
        <v>0</v>
      </c>
      <c r="P313" s="83">
        <v>-144</v>
      </c>
      <c r="Q313" s="83">
        <v>0</v>
      </c>
      <c r="R313" s="83">
        <v>0</v>
      </c>
      <c r="S313" s="83">
        <v>0</v>
      </c>
      <c r="T313" s="83">
        <v>0</v>
      </c>
      <c r="U313" s="82"/>
    </row>
    <row r="314" spans="1:21" ht="17.25" customHeight="1" x14ac:dyDescent="0.3">
      <c r="A314" s="66" t="s">
        <v>30</v>
      </c>
      <c r="C314" s="67"/>
      <c r="D314" s="77" t="str">
        <f t="shared" si="185"/>
        <v>C100055</v>
      </c>
      <c r="E314" s="77"/>
      <c r="F314" s="76"/>
      <c r="G314" s="76" t="str">
        <f>"""NAV Direct"",""CRONUS JetCorp USA"",""32"",""1"",""3895"""</f>
        <v>"NAV Direct","CRONUS JetCorp USA","32","1","3895"</v>
      </c>
      <c r="H314" s="86">
        <v>43473</v>
      </c>
      <c r="I314" s="85">
        <v>3895</v>
      </c>
      <c r="J314" s="84" t="str">
        <f>"Customer"</f>
        <v>Customer</v>
      </c>
      <c r="K314" s="84" t="str">
        <f>"C100037"</f>
        <v>C100037</v>
      </c>
      <c r="L314" s="84" t="str">
        <f>IF($J314="Customer",_xll.NL("first",$J314,"Name","No.","@@"&amp;$K314),"")</f>
        <v>Tempsons Tropies</v>
      </c>
      <c r="M314" s="84" t="str">
        <f>""</f>
        <v/>
      </c>
      <c r="N314" s="84" t="str">
        <f>IF($J314="Item",_xll.NL("first",$J314,"Description","No.","@@"&amp;$K314),"")</f>
        <v/>
      </c>
      <c r="O314" s="83">
        <v>0</v>
      </c>
      <c r="P314" s="83">
        <v>-144</v>
      </c>
      <c r="Q314" s="83">
        <v>0</v>
      </c>
      <c r="R314" s="83">
        <v>0</v>
      </c>
      <c r="S314" s="83">
        <v>0</v>
      </c>
      <c r="T314" s="83">
        <v>0</v>
      </c>
      <c r="U314" s="82"/>
    </row>
    <row r="315" spans="1:21" ht="17.25" customHeight="1" x14ac:dyDescent="0.3">
      <c r="A315" s="66" t="s">
        <v>30</v>
      </c>
      <c r="C315" s="67"/>
      <c r="D315" s="77"/>
      <c r="E315" s="77"/>
      <c r="F315" s="76"/>
      <c r="G315" s="76"/>
      <c r="H315" s="76"/>
      <c r="I315" s="76"/>
      <c r="J315" s="76"/>
      <c r="K315" s="76"/>
      <c r="L315" s="76"/>
      <c r="M315" s="76"/>
      <c r="N315" s="76"/>
      <c r="O315" s="75"/>
      <c r="P315" s="75"/>
      <c r="Q315" s="75"/>
      <c r="R315" s="75"/>
      <c r="S315" s="75"/>
      <c r="T315" s="75"/>
      <c r="U315" s="74"/>
    </row>
    <row r="316" spans="1:21" ht="17.25" customHeight="1" x14ac:dyDescent="0.3">
      <c r="A316" s="66" t="s">
        <v>30</v>
      </c>
      <c r="C316" s="67"/>
      <c r="D316" s="77"/>
      <c r="E316" s="77" t="s">
        <v>31</v>
      </c>
      <c r="F316" s="76" t="s">
        <v>31</v>
      </c>
      <c r="G316" s="76" t="s">
        <v>31</v>
      </c>
      <c r="H316" s="76"/>
      <c r="I316" s="76"/>
      <c r="J316" s="76" t="s">
        <v>31</v>
      </c>
      <c r="K316" s="76" t="s">
        <v>31</v>
      </c>
      <c r="L316" s="76" t="s">
        <v>31</v>
      </c>
      <c r="M316" s="76" t="s">
        <v>31</v>
      </c>
      <c r="N316" s="76"/>
      <c r="U316" s="81"/>
    </row>
    <row r="317" spans="1:21" ht="20.25" customHeight="1" x14ac:dyDescent="0.35">
      <c r="A317" s="66" t="s">
        <v>30</v>
      </c>
      <c r="C317" s="67"/>
      <c r="D317" s="92" t="str">
        <f t="shared" ref="D317" si="186">E317</f>
        <v>C100056</v>
      </c>
      <c r="E317" s="91" t="str">
        <f>"C100056"</f>
        <v>C100056</v>
      </c>
      <c r="F317" s="89" t="str">
        <f>"Contemporary Desk Calculator"</f>
        <v>Contemporary Desk Calculator</v>
      </c>
      <c r="G317" s="89"/>
      <c r="H317" s="90" t="str">
        <f>"EA"</f>
        <v>EA</v>
      </c>
      <c r="I317" s="89"/>
      <c r="J317" s="89"/>
      <c r="K317" s="89"/>
      <c r="L317" s="89"/>
      <c r="M317" s="89"/>
      <c r="N317" s="89"/>
      <c r="O317" s="88">
        <f>(SUBTOTAL(9,O318:O319))</f>
        <v>249.99999999999997</v>
      </c>
      <c r="P317" s="88">
        <f>(SUBTOTAL(9,P318:P319))</f>
        <v>0</v>
      </c>
      <c r="Q317" s="88">
        <f>(SUBTOTAL(9,Q318:Q319))</f>
        <v>0</v>
      </c>
      <c r="R317" s="88">
        <f>(SUBTOTAL(9,R318:R319))</f>
        <v>0</v>
      </c>
      <c r="S317" s="88">
        <f>(SUBTOTAL(9,S318:S319))</f>
        <v>0</v>
      </c>
      <c r="T317" s="88">
        <f>(SUBTOTAL(9,T318:T319))</f>
        <v>0</v>
      </c>
      <c r="U317" s="87">
        <f t="shared" ref="U317" si="187">SUBTOTAL(9,O318:T319)</f>
        <v>249.99999999999997</v>
      </c>
    </row>
    <row r="318" spans="1:21" ht="17.25" customHeight="1" x14ac:dyDescent="0.3">
      <c r="A318" s="66" t="s">
        <v>30</v>
      </c>
      <c r="C318" s="67"/>
      <c r="D318" s="77" t="str">
        <f t="shared" ref="D318" si="188">D317</f>
        <v>C100056</v>
      </c>
      <c r="E318" s="77"/>
      <c r="F318" s="76"/>
      <c r="G318" s="76" t="str">
        <f>"""NAV Direct"",""CRONUS JetCorp USA"",""32"",""1"",""168331"""</f>
        <v>"NAV Direct","CRONUS JetCorp USA","32","1","168331"</v>
      </c>
      <c r="H318" s="86">
        <v>43466</v>
      </c>
      <c r="I318" s="85">
        <v>168331</v>
      </c>
      <c r="J318" s="84" t="str">
        <f>"Vendor"</f>
        <v>Vendor</v>
      </c>
      <c r="K318" s="84" t="str">
        <f>"V100007"</f>
        <v>V100007</v>
      </c>
      <c r="L318" s="84" t="str">
        <f>IF($J318="Customer",_xll.NL("first",$J318,"Name","No.","@@"&amp;$K318),"")</f>
        <v/>
      </c>
      <c r="M318" s="84" t="str">
        <f>"TrendTech"</f>
        <v>TrendTech</v>
      </c>
      <c r="N318" s="84" t="str">
        <f>IF($J318="Item",_xll.NL("first",$J318,"Description","No.","@@"&amp;$K318),"")</f>
        <v/>
      </c>
      <c r="O318" s="83">
        <v>249.99999999999997</v>
      </c>
      <c r="P318" s="83">
        <v>0</v>
      </c>
      <c r="Q318" s="83">
        <v>0</v>
      </c>
      <c r="R318" s="83">
        <v>0</v>
      </c>
      <c r="S318" s="83">
        <v>0</v>
      </c>
      <c r="T318" s="83">
        <v>0</v>
      </c>
      <c r="U318" s="82"/>
    </row>
    <row r="319" spans="1:21" ht="17.25" customHeight="1" x14ac:dyDescent="0.3">
      <c r="A319" s="66" t="s">
        <v>30</v>
      </c>
      <c r="C319" s="67"/>
      <c r="D319" s="77"/>
      <c r="E319" s="77"/>
      <c r="F319" s="76"/>
      <c r="G319" s="76"/>
      <c r="H319" s="76"/>
      <c r="I319" s="76"/>
      <c r="J319" s="76"/>
      <c r="K319" s="76"/>
      <c r="L319" s="76"/>
      <c r="M319" s="76"/>
      <c r="N319" s="76"/>
      <c r="O319" s="75"/>
      <c r="P319" s="75"/>
      <c r="Q319" s="75"/>
      <c r="R319" s="75"/>
      <c r="S319" s="75"/>
      <c r="T319" s="75"/>
      <c r="U319" s="74"/>
    </row>
    <row r="320" spans="1:21" ht="17.25" customHeight="1" x14ac:dyDescent="0.3">
      <c r="A320" s="66" t="s">
        <v>30</v>
      </c>
      <c r="C320" s="67"/>
      <c r="D320" s="77"/>
      <c r="E320" s="77" t="s">
        <v>31</v>
      </c>
      <c r="F320" s="76" t="s">
        <v>31</v>
      </c>
      <c r="G320" s="76" t="s">
        <v>31</v>
      </c>
      <c r="H320" s="76"/>
      <c r="I320" s="76"/>
      <c r="J320" s="76" t="s">
        <v>31</v>
      </c>
      <c r="K320" s="76" t="s">
        <v>31</v>
      </c>
      <c r="L320" s="76" t="s">
        <v>31</v>
      </c>
      <c r="M320" s="76" t="s">
        <v>31</v>
      </c>
      <c r="N320" s="76"/>
      <c r="U320" s="81"/>
    </row>
    <row r="321" spans="1:21" ht="20.25" customHeight="1" x14ac:dyDescent="0.35">
      <c r="A321" s="66" t="s">
        <v>30</v>
      </c>
      <c r="C321" s="67"/>
      <c r="D321" s="92" t="str">
        <f t="shared" ref="D321" si="189">E321</f>
        <v>C100063</v>
      </c>
      <c r="E321" s="91" t="str">
        <f>"C100063"</f>
        <v>C100063</v>
      </c>
      <c r="F321" s="89" t="str">
        <f>"Soup Mug"</f>
        <v>Soup Mug</v>
      </c>
      <c r="G321" s="89"/>
      <c r="H321" s="90" t="str">
        <f>"EA"</f>
        <v>EA</v>
      </c>
      <c r="I321" s="89"/>
      <c r="J321" s="89"/>
      <c r="K321" s="89"/>
      <c r="L321" s="89"/>
      <c r="M321" s="89"/>
      <c r="N321" s="89"/>
      <c r="O321" s="88">
        <f>(SUBTOTAL(9,O322:O323))</f>
        <v>249.99999999999997</v>
      </c>
      <c r="P321" s="88">
        <f>(SUBTOTAL(9,P322:P323))</f>
        <v>0</v>
      </c>
      <c r="Q321" s="88">
        <f>(SUBTOTAL(9,Q322:Q323))</f>
        <v>0</v>
      </c>
      <c r="R321" s="88">
        <f>(SUBTOTAL(9,R322:R323))</f>
        <v>0</v>
      </c>
      <c r="S321" s="88">
        <f>(SUBTOTAL(9,S322:S323))</f>
        <v>0</v>
      </c>
      <c r="T321" s="88">
        <f>(SUBTOTAL(9,T322:T323))</f>
        <v>0</v>
      </c>
      <c r="U321" s="87">
        <f t="shared" ref="U321" si="190">SUBTOTAL(9,O322:T323)</f>
        <v>249.99999999999997</v>
      </c>
    </row>
    <row r="322" spans="1:21" ht="17.25" customHeight="1" x14ac:dyDescent="0.3">
      <c r="A322" s="66" t="s">
        <v>30</v>
      </c>
      <c r="C322" s="67"/>
      <c r="D322" s="77" t="str">
        <f t="shared" ref="D322" si="191">D321</f>
        <v>C100063</v>
      </c>
      <c r="E322" s="77"/>
      <c r="F322" s="76"/>
      <c r="G322" s="76" t="str">
        <f>"""NAV Direct"",""CRONUS JetCorp USA"",""32"",""1"",""168628"""</f>
        <v>"NAV Direct","CRONUS JetCorp USA","32","1","168628"</v>
      </c>
      <c r="H322" s="86">
        <v>43466</v>
      </c>
      <c r="I322" s="85">
        <v>168628</v>
      </c>
      <c r="J322" s="84" t="str">
        <f>"Vendor"</f>
        <v>Vendor</v>
      </c>
      <c r="K322" s="84" t="str">
        <f>"V100007"</f>
        <v>V100007</v>
      </c>
      <c r="L322" s="84" t="str">
        <f>IF($J322="Customer",_xll.NL("first",$J322,"Name","No.","@@"&amp;$K322),"")</f>
        <v/>
      </c>
      <c r="M322" s="84" t="str">
        <f>"TrendTech"</f>
        <v>TrendTech</v>
      </c>
      <c r="N322" s="84" t="str">
        <f>IF($J322="Item",_xll.NL("first",$J322,"Description","No.","@@"&amp;$K322),"")</f>
        <v/>
      </c>
      <c r="O322" s="83">
        <v>249.99999999999997</v>
      </c>
      <c r="P322" s="83">
        <v>0</v>
      </c>
      <c r="Q322" s="83">
        <v>0</v>
      </c>
      <c r="R322" s="83">
        <v>0</v>
      </c>
      <c r="S322" s="83">
        <v>0</v>
      </c>
      <c r="T322" s="83">
        <v>0</v>
      </c>
      <c r="U322" s="82"/>
    </row>
    <row r="323" spans="1:21" ht="17.25" customHeight="1" x14ac:dyDescent="0.3">
      <c r="A323" s="66" t="s">
        <v>30</v>
      </c>
      <c r="C323" s="67"/>
      <c r="D323" s="77"/>
      <c r="E323" s="77"/>
      <c r="F323" s="76"/>
      <c r="G323" s="76"/>
      <c r="H323" s="76"/>
      <c r="I323" s="76"/>
      <c r="J323" s="76"/>
      <c r="K323" s="76"/>
      <c r="L323" s="76"/>
      <c r="M323" s="76"/>
      <c r="N323" s="76"/>
      <c r="O323" s="75"/>
      <c r="P323" s="75"/>
      <c r="Q323" s="75"/>
      <c r="R323" s="75"/>
      <c r="S323" s="75"/>
      <c r="T323" s="75"/>
      <c r="U323" s="74"/>
    </row>
    <row r="324" spans="1:21" ht="17.25" customHeight="1" x14ac:dyDescent="0.3">
      <c r="A324" s="66" t="s">
        <v>30</v>
      </c>
      <c r="C324" s="67"/>
      <c r="D324" s="77"/>
      <c r="E324" s="77" t="s">
        <v>31</v>
      </c>
      <c r="F324" s="76" t="s">
        <v>31</v>
      </c>
      <c r="G324" s="76" t="s">
        <v>31</v>
      </c>
      <c r="H324" s="76"/>
      <c r="I324" s="76"/>
      <c r="J324" s="76" t="s">
        <v>31</v>
      </c>
      <c r="K324" s="76" t="s">
        <v>31</v>
      </c>
      <c r="L324" s="76" t="s">
        <v>31</v>
      </c>
      <c r="M324" s="76" t="s">
        <v>31</v>
      </c>
      <c r="N324" s="76"/>
      <c r="U324" s="81"/>
    </row>
    <row r="325" spans="1:21" ht="20.25" customHeight="1" x14ac:dyDescent="0.35">
      <c r="A325" s="66" t="s">
        <v>30</v>
      </c>
      <c r="C325" s="67"/>
      <c r="D325" s="92" t="str">
        <f t="shared" ref="D325" si="192">E325</f>
        <v>E100001</v>
      </c>
      <c r="E325" s="91" t="str">
        <f>"E100001"</f>
        <v>E100001</v>
      </c>
      <c r="F325" s="89" t="str">
        <f>"Sport Bag"</f>
        <v>Sport Bag</v>
      </c>
      <c r="G325" s="89"/>
      <c r="H325" s="90" t="str">
        <f>"EA"</f>
        <v>EA</v>
      </c>
      <c r="I325" s="89"/>
      <c r="J325" s="89"/>
      <c r="K325" s="89"/>
      <c r="L325" s="89"/>
      <c r="M325" s="89"/>
      <c r="N325" s="89"/>
      <c r="O325" s="88">
        <f>(SUBTOTAL(9,O326:O330))</f>
        <v>800</v>
      </c>
      <c r="P325" s="88">
        <f>(SUBTOTAL(9,P326:P330))</f>
        <v>-432</v>
      </c>
      <c r="Q325" s="88">
        <f>(SUBTOTAL(9,Q326:Q330))</f>
        <v>0</v>
      </c>
      <c r="R325" s="88">
        <f>(SUBTOTAL(9,R326:R330))</f>
        <v>0</v>
      </c>
      <c r="S325" s="88">
        <f>(SUBTOTAL(9,S326:S330))</f>
        <v>0</v>
      </c>
      <c r="T325" s="88">
        <f>(SUBTOTAL(9,T326:T330))</f>
        <v>0</v>
      </c>
      <c r="U325" s="87">
        <f t="shared" ref="U325" si="193">SUBTOTAL(9,O326:T330)</f>
        <v>368</v>
      </c>
    </row>
    <row r="326" spans="1:21" ht="17.25" customHeight="1" x14ac:dyDescent="0.3">
      <c r="A326" s="66" t="s">
        <v>30</v>
      </c>
      <c r="C326" s="67"/>
      <c r="D326" s="77" t="str">
        <f t="shared" ref="D326" si="194">D325</f>
        <v>E100001</v>
      </c>
      <c r="E326" s="77"/>
      <c r="F326" s="76"/>
      <c r="G326" s="76" t="str">
        <f>"""NAV Direct"",""CRONUS JetCorp USA"",""32"",""1"",""166757"""</f>
        <v>"NAV Direct","CRONUS JetCorp USA","32","1","166757"</v>
      </c>
      <c r="H326" s="86">
        <v>43466</v>
      </c>
      <c r="I326" s="85">
        <v>166757</v>
      </c>
      <c r="J326" s="84" t="str">
        <f>"Vendor"</f>
        <v>Vendor</v>
      </c>
      <c r="K326" s="84" t="str">
        <f>"V100007"</f>
        <v>V100007</v>
      </c>
      <c r="L326" s="84" t="str">
        <f>IF($J326="Customer",_xll.NL("first",$J326,"Name","No.","@@"&amp;$K326),"")</f>
        <v/>
      </c>
      <c r="M326" s="84" t="str">
        <f>"TrendTech"</f>
        <v>TrendTech</v>
      </c>
      <c r="N326" s="84" t="str">
        <f>IF($J326="Item",_xll.NL("first",$J326,"Description","No.","@@"&amp;$K326),"")</f>
        <v/>
      </c>
      <c r="O326" s="83">
        <v>800</v>
      </c>
      <c r="P326" s="83">
        <v>0</v>
      </c>
      <c r="Q326" s="83">
        <v>0</v>
      </c>
      <c r="R326" s="83">
        <v>0</v>
      </c>
      <c r="S326" s="83">
        <v>0</v>
      </c>
      <c r="T326" s="83">
        <v>0</v>
      </c>
      <c r="U326" s="82"/>
    </row>
    <row r="327" spans="1:21" ht="17.25" customHeight="1" x14ac:dyDescent="0.3">
      <c r="A327" s="66" t="s">
        <v>30</v>
      </c>
      <c r="C327" s="67"/>
      <c r="D327" s="77" t="str">
        <f t="shared" ref="D327:D329" si="195">D326</f>
        <v>E100001</v>
      </c>
      <c r="E327" s="77"/>
      <c r="F327" s="76"/>
      <c r="G327" s="76" t="str">
        <f>"""NAV Direct"",""CRONUS JetCorp USA"",""32"",""1"",""142553"""</f>
        <v>"NAV Direct","CRONUS JetCorp USA","32","1","142553"</v>
      </c>
      <c r="H327" s="86">
        <v>43472</v>
      </c>
      <c r="I327" s="85">
        <v>142553</v>
      </c>
      <c r="J327" s="84" t="str">
        <f>"Customer"</f>
        <v>Customer</v>
      </c>
      <c r="K327" s="84" t="str">
        <f>"C100100"</f>
        <v>C100100</v>
      </c>
      <c r="L327" s="84" t="str">
        <f>IF($J327="Customer",_xll.NL("first",$J327,"Name","No.","@@"&amp;$K327),"")</f>
        <v>Keybase, Inc.</v>
      </c>
      <c r="M327" s="84" t="str">
        <f>""</f>
        <v/>
      </c>
      <c r="N327" s="84" t="str">
        <f>IF($J327="Item",_xll.NL("first",$J327,"Description","No.","@@"&amp;$K327),"")</f>
        <v/>
      </c>
      <c r="O327" s="83">
        <v>0</v>
      </c>
      <c r="P327" s="83">
        <v>-144</v>
      </c>
      <c r="Q327" s="83">
        <v>0</v>
      </c>
      <c r="R327" s="83">
        <v>0</v>
      </c>
      <c r="S327" s="83">
        <v>0</v>
      </c>
      <c r="T327" s="83">
        <v>0</v>
      </c>
      <c r="U327" s="82"/>
    </row>
    <row r="328" spans="1:21" ht="17.25" customHeight="1" x14ac:dyDescent="0.3">
      <c r="A328" s="66" t="s">
        <v>30</v>
      </c>
      <c r="C328" s="67"/>
      <c r="D328" s="77" t="str">
        <f t="shared" si="195"/>
        <v>E100001</v>
      </c>
      <c r="E328" s="77"/>
      <c r="F328" s="76"/>
      <c r="G328" s="76" t="str">
        <f>"""NAV Direct"",""CRONUS JetCorp USA"",""32"",""1"",""30051"""</f>
        <v>"NAV Direct","CRONUS JetCorp USA","32","1","30051"</v>
      </c>
      <c r="H328" s="86">
        <v>43474</v>
      </c>
      <c r="I328" s="85">
        <v>30051</v>
      </c>
      <c r="J328" s="84" t="str">
        <f>"Customer"</f>
        <v>Customer</v>
      </c>
      <c r="K328" s="84" t="str">
        <f>"C100086"</f>
        <v>C100086</v>
      </c>
      <c r="L328" s="84" t="str">
        <f>IF($J328="Customer",_xll.NL("first",$J328,"Name","No.","@@"&amp;$K328),"")</f>
        <v>Top Action Sports</v>
      </c>
      <c r="M328" s="84" t="str">
        <f>""</f>
        <v/>
      </c>
      <c r="N328" s="84" t="str">
        <f>IF($J328="Item",_xll.NL("first",$J328,"Description","No.","@@"&amp;$K328),"")</f>
        <v/>
      </c>
      <c r="O328" s="83">
        <v>0</v>
      </c>
      <c r="P328" s="83">
        <v>-144</v>
      </c>
      <c r="Q328" s="83">
        <v>0</v>
      </c>
      <c r="R328" s="83">
        <v>0</v>
      </c>
      <c r="S328" s="83">
        <v>0</v>
      </c>
      <c r="T328" s="83">
        <v>0</v>
      </c>
      <c r="U328" s="82"/>
    </row>
    <row r="329" spans="1:21" ht="17.25" customHeight="1" x14ac:dyDescent="0.3">
      <c r="A329" s="66" t="s">
        <v>30</v>
      </c>
      <c r="C329" s="67"/>
      <c r="D329" s="77" t="str">
        <f t="shared" si="195"/>
        <v>E100001</v>
      </c>
      <c r="E329" s="77"/>
      <c r="F329" s="76"/>
      <c r="G329" s="76" t="str">
        <f>"""NAV Direct"",""CRONUS JetCorp USA"",""32"",""1"",""30063"""</f>
        <v>"NAV Direct","CRONUS JetCorp USA","32","1","30063"</v>
      </c>
      <c r="H329" s="86">
        <v>43474</v>
      </c>
      <c r="I329" s="85">
        <v>30063</v>
      </c>
      <c r="J329" s="84" t="str">
        <f>"Customer"</f>
        <v>Customer</v>
      </c>
      <c r="K329" s="84" t="str">
        <f>"C100086"</f>
        <v>C100086</v>
      </c>
      <c r="L329" s="84" t="str">
        <f>IF($J329="Customer",_xll.NL("first",$J329,"Name","No.","@@"&amp;$K329),"")</f>
        <v>Top Action Sports</v>
      </c>
      <c r="M329" s="84" t="str">
        <f>""</f>
        <v/>
      </c>
      <c r="N329" s="84" t="str">
        <f>IF($J329="Item",_xll.NL("first",$J329,"Description","No.","@@"&amp;$K329),"")</f>
        <v/>
      </c>
      <c r="O329" s="83">
        <v>0</v>
      </c>
      <c r="P329" s="83">
        <v>-144</v>
      </c>
      <c r="Q329" s="83">
        <v>0</v>
      </c>
      <c r="R329" s="83">
        <v>0</v>
      </c>
      <c r="S329" s="83">
        <v>0</v>
      </c>
      <c r="T329" s="83">
        <v>0</v>
      </c>
      <c r="U329" s="82"/>
    </row>
    <row r="330" spans="1:21" ht="17.25" customHeight="1" x14ac:dyDescent="0.3">
      <c r="A330" s="66" t="s">
        <v>30</v>
      </c>
      <c r="C330" s="67"/>
      <c r="D330" s="77"/>
      <c r="E330" s="77"/>
      <c r="F330" s="76"/>
      <c r="G330" s="76"/>
      <c r="H330" s="76"/>
      <c r="I330" s="76"/>
      <c r="J330" s="76"/>
      <c r="K330" s="76"/>
      <c r="L330" s="76"/>
      <c r="M330" s="76"/>
      <c r="N330" s="76"/>
      <c r="O330" s="75"/>
      <c r="P330" s="75"/>
      <c r="Q330" s="75"/>
      <c r="R330" s="75"/>
      <c r="S330" s="75"/>
      <c r="T330" s="75"/>
      <c r="U330" s="74"/>
    </row>
    <row r="331" spans="1:21" ht="17.25" customHeight="1" x14ac:dyDescent="0.3">
      <c r="A331" s="66" t="s">
        <v>30</v>
      </c>
      <c r="C331" s="67"/>
      <c r="D331" s="77"/>
      <c r="E331" s="77" t="s">
        <v>31</v>
      </c>
      <c r="F331" s="76" t="s">
        <v>31</v>
      </c>
      <c r="G331" s="76" t="s">
        <v>31</v>
      </c>
      <c r="H331" s="76"/>
      <c r="I331" s="76"/>
      <c r="J331" s="76" t="s">
        <v>31</v>
      </c>
      <c r="K331" s="76" t="s">
        <v>31</v>
      </c>
      <c r="L331" s="76" t="s">
        <v>31</v>
      </c>
      <c r="M331" s="76" t="s">
        <v>31</v>
      </c>
      <c r="N331" s="76"/>
      <c r="U331" s="81"/>
    </row>
    <row r="332" spans="1:21" ht="20.25" customHeight="1" x14ac:dyDescent="0.35">
      <c r="A332" s="66" t="s">
        <v>30</v>
      </c>
      <c r="C332" s="67"/>
      <c r="D332" s="92" t="str">
        <f t="shared" ref="D332" si="196">E332</f>
        <v>E100005</v>
      </c>
      <c r="E332" s="91" t="str">
        <f>"E100005"</f>
        <v>E100005</v>
      </c>
      <c r="F332" s="89" t="str">
        <f>"All Purpose Tote"</f>
        <v>All Purpose Tote</v>
      </c>
      <c r="G332" s="89"/>
      <c r="H332" s="90" t="str">
        <f>"EA"</f>
        <v>EA</v>
      </c>
      <c r="I332" s="89"/>
      <c r="J332" s="89"/>
      <c r="K332" s="89"/>
      <c r="L332" s="89"/>
      <c r="M332" s="89"/>
      <c r="N332" s="89"/>
      <c r="O332" s="88">
        <f>(SUBTOTAL(9,O333:O334))</f>
        <v>0</v>
      </c>
      <c r="P332" s="88">
        <f>(SUBTOTAL(9,P333:P334))</f>
        <v>-144</v>
      </c>
      <c r="Q332" s="88">
        <f>(SUBTOTAL(9,Q333:Q334))</f>
        <v>0</v>
      </c>
      <c r="R332" s="88">
        <f>(SUBTOTAL(9,R333:R334))</f>
        <v>0</v>
      </c>
      <c r="S332" s="88">
        <f>(SUBTOTAL(9,S333:S334))</f>
        <v>0</v>
      </c>
      <c r="T332" s="88">
        <f>(SUBTOTAL(9,T333:T334))</f>
        <v>0</v>
      </c>
      <c r="U332" s="87">
        <f t="shared" ref="U332" si="197">SUBTOTAL(9,O333:T334)</f>
        <v>-144</v>
      </c>
    </row>
    <row r="333" spans="1:21" ht="17.25" customHeight="1" x14ac:dyDescent="0.3">
      <c r="A333" s="66" t="s">
        <v>30</v>
      </c>
      <c r="C333" s="67"/>
      <c r="D333" s="77" t="str">
        <f t="shared" ref="D333" si="198">D332</f>
        <v>E100005</v>
      </c>
      <c r="E333" s="77"/>
      <c r="F333" s="76"/>
      <c r="G333" s="76" t="str">
        <f>"""NAV Direct"",""CRONUS JetCorp USA"",""32"",""1"",""142551"""</f>
        <v>"NAV Direct","CRONUS JetCorp USA","32","1","142551"</v>
      </c>
      <c r="H333" s="86">
        <v>43472</v>
      </c>
      <c r="I333" s="85">
        <v>142551</v>
      </c>
      <c r="J333" s="84" t="str">
        <f>"Customer"</f>
        <v>Customer</v>
      </c>
      <c r="K333" s="84" t="str">
        <f>"C100100"</f>
        <v>C100100</v>
      </c>
      <c r="L333" s="84" t="str">
        <f>IF($J333="Customer",_xll.NL("first",$J333,"Name","No.","@@"&amp;$K333),"")</f>
        <v>Keybase, Inc.</v>
      </c>
      <c r="M333" s="84" t="str">
        <f>""</f>
        <v/>
      </c>
      <c r="N333" s="84" t="str">
        <f>IF($J333="Item",_xll.NL("first",$J333,"Description","No.","@@"&amp;$K333),"")</f>
        <v/>
      </c>
      <c r="O333" s="83">
        <v>0</v>
      </c>
      <c r="P333" s="83">
        <v>-144</v>
      </c>
      <c r="Q333" s="83">
        <v>0</v>
      </c>
      <c r="R333" s="83">
        <v>0</v>
      </c>
      <c r="S333" s="83">
        <v>0</v>
      </c>
      <c r="T333" s="83">
        <v>0</v>
      </c>
      <c r="U333" s="82"/>
    </row>
    <row r="334" spans="1:21" ht="17.25" customHeight="1" x14ac:dyDescent="0.3">
      <c r="A334" s="66" t="s">
        <v>30</v>
      </c>
      <c r="C334" s="67"/>
      <c r="D334" s="77"/>
      <c r="E334" s="77"/>
      <c r="F334" s="76"/>
      <c r="G334" s="76"/>
      <c r="H334" s="76"/>
      <c r="I334" s="76"/>
      <c r="J334" s="76"/>
      <c r="K334" s="76"/>
      <c r="L334" s="76"/>
      <c r="M334" s="76"/>
      <c r="N334" s="76"/>
      <c r="O334" s="75"/>
      <c r="P334" s="75"/>
      <c r="Q334" s="75"/>
      <c r="R334" s="75"/>
      <c r="S334" s="75"/>
      <c r="T334" s="75"/>
      <c r="U334" s="74"/>
    </row>
    <row r="335" spans="1:21" ht="17.25" customHeight="1" x14ac:dyDescent="0.3">
      <c r="A335" s="66" t="s">
        <v>30</v>
      </c>
      <c r="C335" s="67"/>
      <c r="D335" s="77"/>
      <c r="E335" s="77" t="s">
        <v>31</v>
      </c>
      <c r="F335" s="76" t="s">
        <v>31</v>
      </c>
      <c r="G335" s="76" t="s">
        <v>31</v>
      </c>
      <c r="H335" s="76"/>
      <c r="I335" s="76"/>
      <c r="J335" s="76" t="s">
        <v>31</v>
      </c>
      <c r="K335" s="76" t="s">
        <v>31</v>
      </c>
      <c r="L335" s="76" t="s">
        <v>31</v>
      </c>
      <c r="M335" s="76" t="s">
        <v>31</v>
      </c>
      <c r="N335" s="76"/>
      <c r="U335" s="81"/>
    </row>
    <row r="336" spans="1:21" ht="20.25" customHeight="1" x14ac:dyDescent="0.35">
      <c r="A336" s="66" t="s">
        <v>30</v>
      </c>
      <c r="C336" s="67"/>
      <c r="D336" s="92" t="str">
        <f t="shared" ref="D336" si="199">E336</f>
        <v>E100009</v>
      </c>
      <c r="E336" s="91" t="str">
        <f>"E100009"</f>
        <v>E100009</v>
      </c>
      <c r="F336" s="89" t="str">
        <f>"Die-Cut Tote"</f>
        <v>Die-Cut Tote</v>
      </c>
      <c r="G336" s="89"/>
      <c r="H336" s="90" t="str">
        <f>"EA"</f>
        <v>EA</v>
      </c>
      <c r="I336" s="89"/>
      <c r="J336" s="89"/>
      <c r="K336" s="89"/>
      <c r="L336" s="89"/>
      <c r="M336" s="89"/>
      <c r="N336" s="89"/>
      <c r="O336" s="88">
        <f>(SUBTOTAL(9,O337:O339))</f>
        <v>200</v>
      </c>
      <c r="P336" s="88">
        <f>(SUBTOTAL(9,P337:P339))</f>
        <v>-288</v>
      </c>
      <c r="Q336" s="88">
        <f>(SUBTOTAL(9,Q337:Q339))</f>
        <v>0</v>
      </c>
      <c r="R336" s="88">
        <f>(SUBTOTAL(9,R337:R339))</f>
        <v>0</v>
      </c>
      <c r="S336" s="88">
        <f>(SUBTOTAL(9,S337:S339))</f>
        <v>0</v>
      </c>
      <c r="T336" s="88">
        <f>(SUBTOTAL(9,T337:T339))</f>
        <v>0</v>
      </c>
      <c r="U336" s="87">
        <f t="shared" ref="U336" si="200">SUBTOTAL(9,O337:T339)</f>
        <v>-88</v>
      </c>
    </row>
    <row r="337" spans="1:21" ht="17.25" customHeight="1" x14ac:dyDescent="0.3">
      <c r="A337" s="66" t="s">
        <v>30</v>
      </c>
      <c r="C337" s="67"/>
      <c r="D337" s="77" t="str">
        <f t="shared" ref="D337" si="201">D336</f>
        <v>E100009</v>
      </c>
      <c r="E337" s="77"/>
      <c r="F337" s="76"/>
      <c r="G337" s="76" t="str">
        <f>"""NAV Direct"",""CRONUS JetCorp USA"",""32"",""1"",""166756"""</f>
        <v>"NAV Direct","CRONUS JetCorp USA","32","1","166756"</v>
      </c>
      <c r="H337" s="86">
        <v>43466</v>
      </c>
      <c r="I337" s="85">
        <v>166756</v>
      </c>
      <c r="J337" s="84" t="str">
        <f>"Vendor"</f>
        <v>Vendor</v>
      </c>
      <c r="K337" s="84" t="str">
        <f>"V100007"</f>
        <v>V100007</v>
      </c>
      <c r="L337" s="84" t="str">
        <f>IF($J337="Customer",_xll.NL("first",$J337,"Name","No.","@@"&amp;$K337),"")</f>
        <v/>
      </c>
      <c r="M337" s="84" t="str">
        <f>"TrendTech"</f>
        <v>TrendTech</v>
      </c>
      <c r="N337" s="84" t="str">
        <f>IF($J337="Item",_xll.NL("first",$J337,"Description","No.","@@"&amp;$K337),"")</f>
        <v/>
      </c>
      <c r="O337" s="83">
        <v>200</v>
      </c>
      <c r="P337" s="83">
        <v>0</v>
      </c>
      <c r="Q337" s="83">
        <v>0</v>
      </c>
      <c r="R337" s="83">
        <v>0</v>
      </c>
      <c r="S337" s="83">
        <v>0</v>
      </c>
      <c r="T337" s="83">
        <v>0</v>
      </c>
      <c r="U337" s="82"/>
    </row>
    <row r="338" spans="1:21" ht="17.25" customHeight="1" x14ac:dyDescent="0.3">
      <c r="A338" s="66" t="s">
        <v>30</v>
      </c>
      <c r="C338" s="67"/>
      <c r="D338" s="77" t="str">
        <f t="shared" ref="D338" si="202">D337</f>
        <v>E100009</v>
      </c>
      <c r="E338" s="77"/>
      <c r="F338" s="76"/>
      <c r="G338" s="76" t="str">
        <f>"""NAV Direct"",""CRONUS JetCorp USA"",""32"",""1"",""142555"""</f>
        <v>"NAV Direct","CRONUS JetCorp USA","32","1","142555"</v>
      </c>
      <c r="H338" s="86">
        <v>43472</v>
      </c>
      <c r="I338" s="85">
        <v>142555</v>
      </c>
      <c r="J338" s="84" t="str">
        <f>"Customer"</f>
        <v>Customer</v>
      </c>
      <c r="K338" s="84" t="str">
        <f>"C100100"</f>
        <v>C100100</v>
      </c>
      <c r="L338" s="84" t="str">
        <f>IF($J338="Customer",_xll.NL("first",$J338,"Name","No.","@@"&amp;$K338),"")</f>
        <v>Keybase, Inc.</v>
      </c>
      <c r="M338" s="84" t="str">
        <f>""</f>
        <v/>
      </c>
      <c r="N338" s="84" t="str">
        <f>IF($J338="Item",_xll.NL("first",$J338,"Description","No.","@@"&amp;$K338),"")</f>
        <v/>
      </c>
      <c r="O338" s="83">
        <v>0</v>
      </c>
      <c r="P338" s="83">
        <v>-288</v>
      </c>
      <c r="Q338" s="83">
        <v>0</v>
      </c>
      <c r="R338" s="83">
        <v>0</v>
      </c>
      <c r="S338" s="83">
        <v>0</v>
      </c>
      <c r="T338" s="83">
        <v>0</v>
      </c>
      <c r="U338" s="82"/>
    </row>
    <row r="339" spans="1:21" ht="17.25" customHeight="1" x14ac:dyDescent="0.3">
      <c r="A339" s="66" t="s">
        <v>30</v>
      </c>
      <c r="C339" s="67"/>
      <c r="D339" s="77"/>
      <c r="E339" s="77"/>
      <c r="F339" s="76"/>
      <c r="G339" s="76"/>
      <c r="H339" s="76"/>
      <c r="I339" s="76"/>
      <c r="J339" s="76"/>
      <c r="K339" s="76"/>
      <c r="L339" s="76"/>
      <c r="M339" s="76"/>
      <c r="N339" s="76"/>
      <c r="O339" s="75"/>
      <c r="P339" s="75"/>
      <c r="Q339" s="75"/>
      <c r="R339" s="75"/>
      <c r="S339" s="75"/>
      <c r="T339" s="75"/>
      <c r="U339" s="74"/>
    </row>
    <row r="340" spans="1:21" ht="17.25" customHeight="1" x14ac:dyDescent="0.3">
      <c r="A340" s="66" t="s">
        <v>30</v>
      </c>
      <c r="C340" s="67"/>
      <c r="D340" s="77"/>
      <c r="E340" s="77" t="s">
        <v>31</v>
      </c>
      <c r="F340" s="76" t="s">
        <v>31</v>
      </c>
      <c r="G340" s="76" t="s">
        <v>31</v>
      </c>
      <c r="H340" s="76"/>
      <c r="I340" s="76"/>
      <c r="J340" s="76" t="s">
        <v>31</v>
      </c>
      <c r="K340" s="76" t="s">
        <v>31</v>
      </c>
      <c r="L340" s="76" t="s">
        <v>31</v>
      </c>
      <c r="M340" s="76" t="s">
        <v>31</v>
      </c>
      <c r="N340" s="76"/>
      <c r="U340" s="81"/>
    </row>
    <row r="341" spans="1:21" ht="20.25" customHeight="1" x14ac:dyDescent="0.35">
      <c r="A341" s="66" t="s">
        <v>30</v>
      </c>
      <c r="C341" s="67"/>
      <c r="D341" s="92" t="str">
        <f t="shared" ref="D341" si="203">E341</f>
        <v>E100011</v>
      </c>
      <c r="E341" s="91" t="str">
        <f>"E100011"</f>
        <v>E100011</v>
      </c>
      <c r="F341" s="89" t="str">
        <f>"Plastic Sun Visor"</f>
        <v>Plastic Sun Visor</v>
      </c>
      <c r="G341" s="89"/>
      <c r="H341" s="90" t="str">
        <f>"EA"</f>
        <v>EA</v>
      </c>
      <c r="I341" s="89"/>
      <c r="J341" s="89"/>
      <c r="K341" s="89"/>
      <c r="L341" s="89"/>
      <c r="M341" s="89"/>
      <c r="N341" s="89"/>
      <c r="O341" s="88">
        <f>(SUBTOTAL(9,O342:O346))</f>
        <v>0</v>
      </c>
      <c r="P341" s="88">
        <f>(SUBTOTAL(9,P342:P346))</f>
        <v>-433</v>
      </c>
      <c r="Q341" s="88">
        <f>(SUBTOTAL(9,Q342:Q346))</f>
        <v>0</v>
      </c>
      <c r="R341" s="88">
        <f>(SUBTOTAL(9,R342:R346))</f>
        <v>0</v>
      </c>
      <c r="S341" s="88">
        <f>(SUBTOTAL(9,S342:S346))</f>
        <v>0</v>
      </c>
      <c r="T341" s="88">
        <f>(SUBTOTAL(9,T342:T346))</f>
        <v>0</v>
      </c>
      <c r="U341" s="87">
        <f t="shared" ref="U341" si="204">SUBTOTAL(9,O342:T346)</f>
        <v>-433</v>
      </c>
    </row>
    <row r="342" spans="1:21" ht="17.25" customHeight="1" x14ac:dyDescent="0.3">
      <c r="A342" s="66" t="s">
        <v>30</v>
      </c>
      <c r="C342" s="67"/>
      <c r="D342" s="77" t="str">
        <f t="shared" ref="D342" si="205">D341</f>
        <v>E100011</v>
      </c>
      <c r="E342" s="77"/>
      <c r="F342" s="76"/>
      <c r="G342" s="76" t="str">
        <f>"""NAV Direct"",""CRONUS JetCorp USA"",""32"",""1"",""124518"""</f>
        <v>"NAV Direct","CRONUS JetCorp USA","32","1","124518"</v>
      </c>
      <c r="H342" s="86">
        <v>43470</v>
      </c>
      <c r="I342" s="85">
        <v>124518</v>
      </c>
      <c r="J342" s="84" t="str">
        <f>"Customer"</f>
        <v>Customer</v>
      </c>
      <c r="K342" s="84" t="str">
        <f>"C100025"</f>
        <v>C100025</v>
      </c>
      <c r="L342" s="84" t="str">
        <f>IF($J342="Customer",_xll.NL("first",$J342,"Name","No.","@@"&amp;$K342),"")</f>
        <v>Derringers Resturants</v>
      </c>
      <c r="M342" s="84" t="str">
        <f>""</f>
        <v/>
      </c>
      <c r="N342" s="84" t="str">
        <f>IF($J342="Item",_xll.NL("first",$J342,"Description","No.","@@"&amp;$K342),"")</f>
        <v/>
      </c>
      <c r="O342" s="83">
        <v>0</v>
      </c>
      <c r="P342" s="83">
        <v>-144</v>
      </c>
      <c r="Q342" s="83">
        <v>0</v>
      </c>
      <c r="R342" s="83">
        <v>0</v>
      </c>
      <c r="S342" s="83">
        <v>0</v>
      </c>
      <c r="T342" s="83">
        <v>0</v>
      </c>
      <c r="U342" s="82"/>
    </row>
    <row r="343" spans="1:21" ht="17.25" customHeight="1" x14ac:dyDescent="0.3">
      <c r="A343" s="66" t="s">
        <v>30</v>
      </c>
      <c r="C343" s="67"/>
      <c r="D343" s="77" t="str">
        <f t="shared" ref="D343:D345" si="206">D342</f>
        <v>E100011</v>
      </c>
      <c r="E343" s="77"/>
      <c r="F343" s="76"/>
      <c r="G343" s="76" t="str">
        <f>"""NAV Direct"",""CRONUS JetCorp USA"",""32"",""1"",""25258"""</f>
        <v>"NAV Direct","CRONUS JetCorp USA","32","1","25258"</v>
      </c>
      <c r="H343" s="86">
        <v>43472</v>
      </c>
      <c r="I343" s="85">
        <v>25258</v>
      </c>
      <c r="J343" s="84" t="str">
        <f>"Customer"</f>
        <v>Customer</v>
      </c>
      <c r="K343" s="84" t="str">
        <f>"C100098"</f>
        <v>C100098</v>
      </c>
      <c r="L343" s="84" t="str">
        <f>IF($J343="Customer",_xll.NL("first",$J343,"Name","No.","@@"&amp;$K343),"")</f>
        <v>BlackCane Motor Works</v>
      </c>
      <c r="M343" s="84" t="str">
        <f>""</f>
        <v/>
      </c>
      <c r="N343" s="84" t="str">
        <f>IF($J343="Item",_xll.NL("first",$J343,"Description","No.","@@"&amp;$K343),"")</f>
        <v/>
      </c>
      <c r="O343" s="83">
        <v>0</v>
      </c>
      <c r="P343" s="83">
        <v>-144</v>
      </c>
      <c r="Q343" s="83">
        <v>0</v>
      </c>
      <c r="R343" s="83">
        <v>0</v>
      </c>
      <c r="S343" s="83">
        <v>0</v>
      </c>
      <c r="T343" s="83">
        <v>0</v>
      </c>
      <c r="U343" s="82"/>
    </row>
    <row r="344" spans="1:21" ht="17.25" customHeight="1" x14ac:dyDescent="0.3">
      <c r="A344" s="66" t="s">
        <v>30</v>
      </c>
      <c r="C344" s="67"/>
      <c r="D344" s="77" t="str">
        <f t="shared" si="206"/>
        <v>E100011</v>
      </c>
      <c r="E344" s="77"/>
      <c r="F344" s="76"/>
      <c r="G344" s="76" t="str">
        <f>"""NAV Direct"",""CRONUS JetCorp USA"",""32"",""1"",""142557"""</f>
        <v>"NAV Direct","CRONUS JetCorp USA","32","1","142557"</v>
      </c>
      <c r="H344" s="86">
        <v>43472</v>
      </c>
      <c r="I344" s="85">
        <v>142557</v>
      </c>
      <c r="J344" s="84" t="str">
        <f>"Customer"</f>
        <v>Customer</v>
      </c>
      <c r="K344" s="84" t="str">
        <f>"C100100"</f>
        <v>C100100</v>
      </c>
      <c r="L344" s="84" t="str">
        <f>IF($J344="Customer",_xll.NL("first",$J344,"Name","No.","@@"&amp;$K344),"")</f>
        <v>Keybase, Inc.</v>
      </c>
      <c r="M344" s="84" t="str">
        <f>""</f>
        <v/>
      </c>
      <c r="N344" s="84" t="str">
        <f>IF($J344="Item",_xll.NL("first",$J344,"Description","No.","@@"&amp;$K344),"")</f>
        <v/>
      </c>
      <c r="O344" s="83">
        <v>0</v>
      </c>
      <c r="P344" s="83">
        <v>-1</v>
      </c>
      <c r="Q344" s="83">
        <v>0</v>
      </c>
      <c r="R344" s="83">
        <v>0</v>
      </c>
      <c r="S344" s="83">
        <v>0</v>
      </c>
      <c r="T344" s="83">
        <v>0</v>
      </c>
      <c r="U344" s="82"/>
    </row>
    <row r="345" spans="1:21" ht="17.25" customHeight="1" x14ac:dyDescent="0.3">
      <c r="A345" s="66" t="s">
        <v>30</v>
      </c>
      <c r="C345" s="67"/>
      <c r="D345" s="77" t="str">
        <f t="shared" si="206"/>
        <v>E100011</v>
      </c>
      <c r="E345" s="77"/>
      <c r="F345" s="76"/>
      <c r="G345" s="76" t="str">
        <f>"""NAV Direct"",""CRONUS JetCorp USA"",""32"",""1"",""124555"""</f>
        <v>"NAV Direct","CRONUS JetCorp USA","32","1","124555"</v>
      </c>
      <c r="H345" s="86">
        <v>43473</v>
      </c>
      <c r="I345" s="85">
        <v>124555</v>
      </c>
      <c r="J345" s="84" t="str">
        <f>"Customer"</f>
        <v>Customer</v>
      </c>
      <c r="K345" s="84" t="str">
        <f>"C100035"</f>
        <v>C100035</v>
      </c>
      <c r="L345" s="84" t="str">
        <f>IF($J345="Customer",_xll.NL("first",$J345,"Name","No.","@@"&amp;$K345),"")</f>
        <v>First Touch Marketing</v>
      </c>
      <c r="M345" s="84" t="str">
        <f>""</f>
        <v/>
      </c>
      <c r="N345" s="84" t="str">
        <f>IF($J345="Item",_xll.NL("first",$J345,"Description","No.","@@"&amp;$K345),"")</f>
        <v/>
      </c>
      <c r="O345" s="83">
        <v>0</v>
      </c>
      <c r="P345" s="83">
        <v>-144</v>
      </c>
      <c r="Q345" s="83">
        <v>0</v>
      </c>
      <c r="R345" s="83">
        <v>0</v>
      </c>
      <c r="S345" s="83">
        <v>0</v>
      </c>
      <c r="T345" s="83">
        <v>0</v>
      </c>
      <c r="U345" s="82"/>
    </row>
    <row r="346" spans="1:21" ht="17.25" customHeight="1" x14ac:dyDescent="0.3">
      <c r="A346" s="66" t="s">
        <v>30</v>
      </c>
      <c r="C346" s="67"/>
      <c r="D346" s="77"/>
      <c r="E346" s="77"/>
      <c r="F346" s="76"/>
      <c r="G346" s="76"/>
      <c r="H346" s="76"/>
      <c r="I346" s="76"/>
      <c r="J346" s="76"/>
      <c r="K346" s="76"/>
      <c r="L346" s="76"/>
      <c r="M346" s="76"/>
      <c r="N346" s="76"/>
      <c r="O346" s="75"/>
      <c r="P346" s="75"/>
      <c r="Q346" s="75"/>
      <c r="R346" s="75"/>
      <c r="S346" s="75"/>
      <c r="T346" s="75"/>
      <c r="U346" s="74"/>
    </row>
    <row r="347" spans="1:21" ht="17.25" customHeight="1" x14ac:dyDescent="0.3">
      <c r="A347" s="66" t="s">
        <v>30</v>
      </c>
      <c r="C347" s="67"/>
      <c r="D347" s="77"/>
      <c r="E347" s="77" t="s">
        <v>31</v>
      </c>
      <c r="F347" s="76" t="s">
        <v>31</v>
      </c>
      <c r="G347" s="76" t="s">
        <v>31</v>
      </c>
      <c r="H347" s="76"/>
      <c r="I347" s="76"/>
      <c r="J347" s="76" t="s">
        <v>31</v>
      </c>
      <c r="K347" s="76" t="s">
        <v>31</v>
      </c>
      <c r="L347" s="76" t="s">
        <v>31</v>
      </c>
      <c r="M347" s="76" t="s">
        <v>31</v>
      </c>
      <c r="N347" s="76"/>
      <c r="U347" s="81"/>
    </row>
    <row r="348" spans="1:21" ht="20.25" customHeight="1" x14ac:dyDescent="0.35">
      <c r="A348" s="66" t="s">
        <v>30</v>
      </c>
      <c r="C348" s="67"/>
      <c r="D348" s="92" t="str">
        <f t="shared" ref="D348" si="207">E348</f>
        <v>E100012</v>
      </c>
      <c r="E348" s="91" t="str">
        <f>"E100012"</f>
        <v>E100012</v>
      </c>
      <c r="F348" s="89" t="str">
        <f>"Canvas Stopwatch"</f>
        <v>Canvas Stopwatch</v>
      </c>
      <c r="G348" s="89"/>
      <c r="H348" s="90" t="str">
        <f>"EA"</f>
        <v>EA</v>
      </c>
      <c r="I348" s="89"/>
      <c r="J348" s="89"/>
      <c r="K348" s="89"/>
      <c r="L348" s="89"/>
      <c r="M348" s="89"/>
      <c r="N348" s="89"/>
      <c r="O348" s="88">
        <f>(SUBTOTAL(9,O349:O352))</f>
        <v>800</v>
      </c>
      <c r="P348" s="88">
        <f>(SUBTOTAL(9,P349:P352))</f>
        <v>-294</v>
      </c>
      <c r="Q348" s="88">
        <f>(SUBTOTAL(9,Q349:Q352))</f>
        <v>0</v>
      </c>
      <c r="R348" s="88">
        <f>(SUBTOTAL(9,R349:R352))</f>
        <v>0</v>
      </c>
      <c r="S348" s="88">
        <f>(SUBTOTAL(9,S349:S352))</f>
        <v>0</v>
      </c>
      <c r="T348" s="88">
        <f>(SUBTOTAL(9,T349:T352))</f>
        <v>0</v>
      </c>
      <c r="U348" s="87">
        <f t="shared" ref="U348" si="208">SUBTOTAL(9,O349:T352)</f>
        <v>506</v>
      </c>
    </row>
    <row r="349" spans="1:21" ht="17.25" customHeight="1" x14ac:dyDescent="0.3">
      <c r="A349" s="66" t="s">
        <v>30</v>
      </c>
      <c r="C349" s="67"/>
      <c r="D349" s="77" t="str">
        <f t="shared" ref="D349" si="209">D348</f>
        <v>E100012</v>
      </c>
      <c r="E349" s="77"/>
      <c r="F349" s="76"/>
      <c r="G349" s="76" t="str">
        <f>"""NAV Direct"",""CRONUS JetCorp USA"",""32"",""1"",""167561"""</f>
        <v>"NAV Direct","CRONUS JetCorp USA","32","1","167561"</v>
      </c>
      <c r="H349" s="86">
        <v>43466</v>
      </c>
      <c r="I349" s="85">
        <v>167561</v>
      </c>
      <c r="J349" s="84" t="str">
        <f>"Vendor"</f>
        <v>Vendor</v>
      </c>
      <c r="K349" s="84" t="str">
        <f>"V100007"</f>
        <v>V100007</v>
      </c>
      <c r="L349" s="84" t="str">
        <f>IF($J349="Customer",_xll.NL("first",$J349,"Name","No.","@@"&amp;$K349),"")</f>
        <v/>
      </c>
      <c r="M349" s="84" t="str">
        <f>"TrendTech"</f>
        <v>TrendTech</v>
      </c>
      <c r="N349" s="84" t="str">
        <f>IF($J349="Item",_xll.NL("first",$J349,"Description","No.","@@"&amp;$K349),"")</f>
        <v/>
      </c>
      <c r="O349" s="83">
        <v>800</v>
      </c>
      <c r="P349" s="83">
        <v>0</v>
      </c>
      <c r="Q349" s="83">
        <v>0</v>
      </c>
      <c r="R349" s="83">
        <v>0</v>
      </c>
      <c r="S349" s="83">
        <v>0</v>
      </c>
      <c r="T349" s="83">
        <v>0</v>
      </c>
      <c r="U349" s="82"/>
    </row>
    <row r="350" spans="1:21" ht="17.25" customHeight="1" x14ac:dyDescent="0.3">
      <c r="A350" s="66" t="s">
        <v>30</v>
      </c>
      <c r="C350" s="67"/>
      <c r="D350" s="77" t="str">
        <f t="shared" ref="D350:D351" si="210">D349</f>
        <v>E100012</v>
      </c>
      <c r="E350" s="77"/>
      <c r="F350" s="76"/>
      <c r="G350" s="76" t="str">
        <f>"""NAV Direct"",""CRONUS JetCorp USA"",""32"",""1"",""124546"""</f>
        <v>"NAV Direct","CRONUS JetCorp USA","32","1","124546"</v>
      </c>
      <c r="H350" s="86">
        <v>43473</v>
      </c>
      <c r="I350" s="85">
        <v>124546</v>
      </c>
      <c r="J350" s="84" t="str">
        <f>"Customer"</f>
        <v>Customer</v>
      </c>
      <c r="K350" s="84" t="str">
        <f>"C100035"</f>
        <v>C100035</v>
      </c>
      <c r="L350" s="84" t="str">
        <f>IF($J350="Customer",_xll.NL("first",$J350,"Name","No.","@@"&amp;$K350),"")</f>
        <v>First Touch Marketing</v>
      </c>
      <c r="M350" s="84" t="str">
        <f>""</f>
        <v/>
      </c>
      <c r="N350" s="84" t="str">
        <f>IF($J350="Item",_xll.NL("first",$J350,"Description","No.","@@"&amp;$K350),"")</f>
        <v/>
      </c>
      <c r="O350" s="83">
        <v>0</v>
      </c>
      <c r="P350" s="83">
        <v>-288</v>
      </c>
      <c r="Q350" s="83">
        <v>0</v>
      </c>
      <c r="R350" s="83">
        <v>0</v>
      </c>
      <c r="S350" s="83">
        <v>0</v>
      </c>
      <c r="T350" s="83">
        <v>0</v>
      </c>
      <c r="U350" s="82"/>
    </row>
    <row r="351" spans="1:21" ht="17.25" customHeight="1" x14ac:dyDescent="0.3">
      <c r="A351" s="66" t="s">
        <v>30</v>
      </c>
      <c r="C351" s="67"/>
      <c r="D351" s="77" t="str">
        <f t="shared" si="210"/>
        <v>E100012</v>
      </c>
      <c r="E351" s="77"/>
      <c r="F351" s="76"/>
      <c r="G351" s="76" t="str">
        <f>"""NAV Direct"",""CRONUS JetCorp USA"",""32"",""1"",""124596"""</f>
        <v>"NAV Direct","CRONUS JetCorp USA","32","1","124596"</v>
      </c>
      <c r="H351" s="86">
        <v>43475</v>
      </c>
      <c r="I351" s="85">
        <v>124596</v>
      </c>
      <c r="J351" s="84" t="str">
        <f>"Customer"</f>
        <v>Customer</v>
      </c>
      <c r="K351" s="84" t="str">
        <f>"C100035"</f>
        <v>C100035</v>
      </c>
      <c r="L351" s="84" t="str">
        <f>IF($J351="Customer",_xll.NL("first",$J351,"Name","No.","@@"&amp;$K351),"")</f>
        <v>First Touch Marketing</v>
      </c>
      <c r="M351" s="84" t="str">
        <f>""</f>
        <v/>
      </c>
      <c r="N351" s="84" t="str">
        <f>IF($J351="Item",_xll.NL("first",$J351,"Description","No.","@@"&amp;$K351),"")</f>
        <v/>
      </c>
      <c r="O351" s="83">
        <v>0</v>
      </c>
      <c r="P351" s="83">
        <v>-6</v>
      </c>
      <c r="Q351" s="83">
        <v>0</v>
      </c>
      <c r="R351" s="83">
        <v>0</v>
      </c>
      <c r="S351" s="83">
        <v>0</v>
      </c>
      <c r="T351" s="83">
        <v>0</v>
      </c>
      <c r="U351" s="82"/>
    </row>
    <row r="352" spans="1:21" ht="17.25" customHeight="1" x14ac:dyDescent="0.3">
      <c r="A352" s="66" t="s">
        <v>30</v>
      </c>
      <c r="C352" s="67"/>
      <c r="D352" s="77"/>
      <c r="E352" s="77"/>
      <c r="F352" s="76"/>
      <c r="G352" s="76"/>
      <c r="H352" s="76"/>
      <c r="I352" s="76"/>
      <c r="J352" s="76"/>
      <c r="K352" s="76"/>
      <c r="L352" s="76"/>
      <c r="M352" s="76"/>
      <c r="N352" s="76"/>
      <c r="O352" s="75"/>
      <c r="P352" s="75"/>
      <c r="Q352" s="75"/>
      <c r="R352" s="75"/>
      <c r="S352" s="75"/>
      <c r="T352" s="75"/>
      <c r="U352" s="74"/>
    </row>
    <row r="353" spans="1:21" ht="17.25" customHeight="1" x14ac:dyDescent="0.3">
      <c r="A353" s="66" t="s">
        <v>30</v>
      </c>
      <c r="C353" s="67"/>
      <c r="D353" s="77"/>
      <c r="E353" s="77" t="s">
        <v>31</v>
      </c>
      <c r="F353" s="76" t="s">
        <v>31</v>
      </c>
      <c r="G353" s="76" t="s">
        <v>31</v>
      </c>
      <c r="H353" s="76"/>
      <c r="I353" s="76"/>
      <c r="J353" s="76" t="s">
        <v>31</v>
      </c>
      <c r="K353" s="76" t="s">
        <v>31</v>
      </c>
      <c r="L353" s="76" t="s">
        <v>31</v>
      </c>
      <c r="M353" s="76" t="s">
        <v>31</v>
      </c>
      <c r="N353" s="76"/>
      <c r="U353" s="81"/>
    </row>
    <row r="354" spans="1:21" ht="20.25" customHeight="1" x14ac:dyDescent="0.35">
      <c r="A354" s="66" t="s">
        <v>30</v>
      </c>
      <c r="C354" s="67"/>
      <c r="D354" s="92" t="str">
        <f t="shared" ref="D354" si="211">E354</f>
        <v>E100013</v>
      </c>
      <c r="E354" s="91" t="str">
        <f>"E100013"</f>
        <v>E100013</v>
      </c>
      <c r="F354" s="89" t="str">
        <f>"Clip-on Stopwatch"</f>
        <v>Clip-on Stopwatch</v>
      </c>
      <c r="G354" s="89"/>
      <c r="H354" s="90" t="str">
        <f>"EA"</f>
        <v>EA</v>
      </c>
      <c r="I354" s="89"/>
      <c r="J354" s="89"/>
      <c r="K354" s="89"/>
      <c r="L354" s="89"/>
      <c r="M354" s="89"/>
      <c r="N354" s="89"/>
      <c r="O354" s="88">
        <f>(SUBTOTAL(9,O355:O358))</f>
        <v>999.99999999999989</v>
      </c>
      <c r="P354" s="88">
        <f>(SUBTOTAL(9,P355:P358))</f>
        <v>-432</v>
      </c>
      <c r="Q354" s="88">
        <f>(SUBTOTAL(9,Q355:Q358))</f>
        <v>0</v>
      </c>
      <c r="R354" s="88">
        <f>(SUBTOTAL(9,R355:R358))</f>
        <v>0</v>
      </c>
      <c r="S354" s="88">
        <f>(SUBTOTAL(9,S355:S358))</f>
        <v>0</v>
      </c>
      <c r="T354" s="88">
        <f>(SUBTOTAL(9,T355:T358))</f>
        <v>0</v>
      </c>
      <c r="U354" s="87">
        <f t="shared" ref="U354" si="212">SUBTOTAL(9,O355:T358)</f>
        <v>567.99999999999989</v>
      </c>
    </row>
    <row r="355" spans="1:21" ht="17.25" customHeight="1" x14ac:dyDescent="0.3">
      <c r="A355" s="66" t="s">
        <v>30</v>
      </c>
      <c r="C355" s="67"/>
      <c r="D355" s="77" t="str">
        <f t="shared" ref="D355" si="213">D354</f>
        <v>E100013</v>
      </c>
      <c r="E355" s="77"/>
      <c r="F355" s="76"/>
      <c r="G355" s="76" t="str">
        <f>"""NAV Direct"",""CRONUS JetCorp USA"",""32"",""1"",""167560"""</f>
        <v>"NAV Direct","CRONUS JetCorp USA","32","1","167560"</v>
      </c>
      <c r="H355" s="86">
        <v>43466</v>
      </c>
      <c r="I355" s="85">
        <v>167560</v>
      </c>
      <c r="J355" s="84" t="str">
        <f>"Vendor"</f>
        <v>Vendor</v>
      </c>
      <c r="K355" s="84" t="str">
        <f>"V100007"</f>
        <v>V100007</v>
      </c>
      <c r="L355" s="84" t="str">
        <f>IF($J355="Customer",_xll.NL("first",$J355,"Name","No.","@@"&amp;$K355),"")</f>
        <v/>
      </c>
      <c r="M355" s="84" t="str">
        <f>"TrendTech"</f>
        <v>TrendTech</v>
      </c>
      <c r="N355" s="84" t="str">
        <f>IF($J355="Item",_xll.NL("first",$J355,"Description","No.","@@"&amp;$K355),"")</f>
        <v/>
      </c>
      <c r="O355" s="83">
        <v>999.99999999999989</v>
      </c>
      <c r="P355" s="83">
        <v>0</v>
      </c>
      <c r="Q355" s="83">
        <v>0</v>
      </c>
      <c r="R355" s="83">
        <v>0</v>
      </c>
      <c r="S355" s="83">
        <v>0</v>
      </c>
      <c r="T355" s="83">
        <v>0</v>
      </c>
      <c r="U355" s="82"/>
    </row>
    <row r="356" spans="1:21" ht="17.25" customHeight="1" x14ac:dyDescent="0.3">
      <c r="A356" s="66" t="s">
        <v>30</v>
      </c>
      <c r="C356" s="67"/>
      <c r="D356" s="77" t="str">
        <f t="shared" ref="D356:D357" si="214">D355</f>
        <v>E100013</v>
      </c>
      <c r="E356" s="77"/>
      <c r="F356" s="76"/>
      <c r="G356" s="76" t="str">
        <f>"""NAV Direct"",""CRONUS JetCorp USA"",""32"",""1"",""142550"""</f>
        <v>"NAV Direct","CRONUS JetCorp USA","32","1","142550"</v>
      </c>
      <c r="H356" s="86">
        <v>43472</v>
      </c>
      <c r="I356" s="85">
        <v>142550</v>
      </c>
      <c r="J356" s="84" t="str">
        <f>"Customer"</f>
        <v>Customer</v>
      </c>
      <c r="K356" s="84" t="str">
        <f>"C100100"</f>
        <v>C100100</v>
      </c>
      <c r="L356" s="84" t="str">
        <f>IF($J356="Customer",_xll.NL("first",$J356,"Name","No.","@@"&amp;$K356),"")</f>
        <v>Keybase, Inc.</v>
      </c>
      <c r="M356" s="84" t="str">
        <f>""</f>
        <v/>
      </c>
      <c r="N356" s="84" t="str">
        <f>IF($J356="Item",_xll.NL("first",$J356,"Description","No.","@@"&amp;$K356),"")</f>
        <v/>
      </c>
      <c r="O356" s="83">
        <v>0</v>
      </c>
      <c r="P356" s="83">
        <v>-144</v>
      </c>
      <c r="Q356" s="83">
        <v>0</v>
      </c>
      <c r="R356" s="83">
        <v>0</v>
      </c>
      <c r="S356" s="83">
        <v>0</v>
      </c>
      <c r="T356" s="83">
        <v>0</v>
      </c>
      <c r="U356" s="82"/>
    </row>
    <row r="357" spans="1:21" ht="17.25" customHeight="1" x14ac:dyDescent="0.3">
      <c r="A357" s="66" t="s">
        <v>30</v>
      </c>
      <c r="C357" s="67"/>
      <c r="D357" s="77" t="str">
        <f t="shared" si="214"/>
        <v>E100013</v>
      </c>
      <c r="E357" s="77"/>
      <c r="F357" s="76"/>
      <c r="G357" s="76" t="str">
        <f>"""NAV Direct"",""CRONUS JetCorp USA"",""32"",""1"",""124549"""</f>
        <v>"NAV Direct","CRONUS JetCorp USA","32","1","124549"</v>
      </c>
      <c r="H357" s="86">
        <v>43473</v>
      </c>
      <c r="I357" s="85">
        <v>124549</v>
      </c>
      <c r="J357" s="84" t="str">
        <f>"Customer"</f>
        <v>Customer</v>
      </c>
      <c r="K357" s="84" t="str">
        <f>"C100035"</f>
        <v>C100035</v>
      </c>
      <c r="L357" s="84" t="str">
        <f>IF($J357="Customer",_xll.NL("first",$J357,"Name","No.","@@"&amp;$K357),"")</f>
        <v>First Touch Marketing</v>
      </c>
      <c r="M357" s="84" t="str">
        <f>""</f>
        <v/>
      </c>
      <c r="N357" s="84" t="str">
        <f>IF($J357="Item",_xll.NL("first",$J357,"Description","No.","@@"&amp;$K357),"")</f>
        <v/>
      </c>
      <c r="O357" s="83">
        <v>0</v>
      </c>
      <c r="P357" s="83">
        <v>-288</v>
      </c>
      <c r="Q357" s="83">
        <v>0</v>
      </c>
      <c r="R357" s="83">
        <v>0</v>
      </c>
      <c r="S357" s="83">
        <v>0</v>
      </c>
      <c r="T357" s="83">
        <v>0</v>
      </c>
      <c r="U357" s="82"/>
    </row>
    <row r="358" spans="1:21" ht="17.25" customHeight="1" x14ac:dyDescent="0.3">
      <c r="A358" s="66" t="s">
        <v>30</v>
      </c>
      <c r="C358" s="67"/>
      <c r="D358" s="77"/>
      <c r="E358" s="77"/>
      <c r="F358" s="76"/>
      <c r="G358" s="76"/>
      <c r="H358" s="76"/>
      <c r="I358" s="76"/>
      <c r="J358" s="76"/>
      <c r="K358" s="76"/>
      <c r="L358" s="76"/>
      <c r="M358" s="76"/>
      <c r="N358" s="76"/>
      <c r="O358" s="75"/>
      <c r="P358" s="75"/>
      <c r="Q358" s="75"/>
      <c r="R358" s="75"/>
      <c r="S358" s="75"/>
      <c r="T358" s="75"/>
      <c r="U358" s="74"/>
    </row>
    <row r="359" spans="1:21" ht="17.25" customHeight="1" x14ac:dyDescent="0.3">
      <c r="A359" s="66" t="s">
        <v>30</v>
      </c>
      <c r="C359" s="67"/>
      <c r="D359" s="77"/>
      <c r="E359" s="77" t="s">
        <v>31</v>
      </c>
      <c r="F359" s="76" t="s">
        <v>31</v>
      </c>
      <c r="G359" s="76" t="s">
        <v>31</v>
      </c>
      <c r="H359" s="76"/>
      <c r="I359" s="76"/>
      <c r="J359" s="76" t="s">
        <v>31</v>
      </c>
      <c r="K359" s="76" t="s">
        <v>31</v>
      </c>
      <c r="L359" s="76" t="s">
        <v>31</v>
      </c>
      <c r="M359" s="76" t="s">
        <v>31</v>
      </c>
      <c r="N359" s="76"/>
      <c r="U359" s="81"/>
    </row>
    <row r="360" spans="1:21" ht="20.25" customHeight="1" x14ac:dyDescent="0.35">
      <c r="A360" s="66" t="s">
        <v>30</v>
      </c>
      <c r="C360" s="67"/>
      <c r="D360" s="92" t="str">
        <f t="shared" ref="D360" si="215">E360</f>
        <v>E100014</v>
      </c>
      <c r="E360" s="91" t="str">
        <f>"E100014"</f>
        <v>E100014</v>
      </c>
      <c r="F360" s="89" t="str">
        <f>"Stopwatch with Neck Rope"</f>
        <v>Stopwatch with Neck Rope</v>
      </c>
      <c r="G360" s="89"/>
      <c r="H360" s="90" t="str">
        <f>"EA"</f>
        <v>EA</v>
      </c>
      <c r="I360" s="89"/>
      <c r="J360" s="89"/>
      <c r="K360" s="89"/>
      <c r="L360" s="89"/>
      <c r="M360" s="89"/>
      <c r="N360" s="89"/>
      <c r="O360" s="88">
        <f>(SUBTOTAL(9,O361:O362))</f>
        <v>200</v>
      </c>
      <c r="P360" s="88">
        <f>(SUBTOTAL(9,P361:P362))</f>
        <v>0</v>
      </c>
      <c r="Q360" s="88">
        <f>(SUBTOTAL(9,Q361:Q362))</f>
        <v>0</v>
      </c>
      <c r="R360" s="88">
        <f>(SUBTOTAL(9,R361:R362))</f>
        <v>0</v>
      </c>
      <c r="S360" s="88">
        <f>(SUBTOTAL(9,S361:S362))</f>
        <v>0</v>
      </c>
      <c r="T360" s="88">
        <f>(SUBTOTAL(9,T361:T362))</f>
        <v>0</v>
      </c>
      <c r="U360" s="87">
        <f t="shared" ref="U360" si="216">SUBTOTAL(9,O361:T362)</f>
        <v>200</v>
      </c>
    </row>
    <row r="361" spans="1:21" ht="17.25" customHeight="1" x14ac:dyDescent="0.3">
      <c r="A361" s="66" t="s">
        <v>30</v>
      </c>
      <c r="C361" s="67"/>
      <c r="D361" s="77" t="str">
        <f t="shared" ref="D361" si="217">D360</f>
        <v>E100014</v>
      </c>
      <c r="E361" s="77"/>
      <c r="F361" s="76"/>
      <c r="G361" s="76" t="str">
        <f>"""NAV Direct"",""CRONUS JetCorp USA"",""32"",""1"",""167559"""</f>
        <v>"NAV Direct","CRONUS JetCorp USA","32","1","167559"</v>
      </c>
      <c r="H361" s="86">
        <v>43466</v>
      </c>
      <c r="I361" s="85">
        <v>167559</v>
      </c>
      <c r="J361" s="84" t="str">
        <f>"Vendor"</f>
        <v>Vendor</v>
      </c>
      <c r="K361" s="84" t="str">
        <f>"V100007"</f>
        <v>V100007</v>
      </c>
      <c r="L361" s="84" t="str">
        <f>IF($J361="Customer",_xll.NL("first",$J361,"Name","No.","@@"&amp;$K361),"")</f>
        <v/>
      </c>
      <c r="M361" s="84" t="str">
        <f>"TrendTech"</f>
        <v>TrendTech</v>
      </c>
      <c r="N361" s="84" t="str">
        <f>IF($J361="Item",_xll.NL("first",$J361,"Description","No.","@@"&amp;$K361),"")</f>
        <v/>
      </c>
      <c r="O361" s="83">
        <v>200</v>
      </c>
      <c r="P361" s="83">
        <v>0</v>
      </c>
      <c r="Q361" s="83">
        <v>0</v>
      </c>
      <c r="R361" s="83">
        <v>0</v>
      </c>
      <c r="S361" s="83">
        <v>0</v>
      </c>
      <c r="T361" s="83">
        <v>0</v>
      </c>
      <c r="U361" s="82"/>
    </row>
    <row r="362" spans="1:21" ht="17.25" customHeight="1" x14ac:dyDescent="0.3">
      <c r="A362" s="66" t="s">
        <v>30</v>
      </c>
      <c r="C362" s="67"/>
      <c r="D362" s="77"/>
      <c r="E362" s="77"/>
      <c r="F362" s="76"/>
      <c r="G362" s="76"/>
      <c r="H362" s="76"/>
      <c r="I362" s="76"/>
      <c r="J362" s="76"/>
      <c r="K362" s="76"/>
      <c r="L362" s="76"/>
      <c r="M362" s="76"/>
      <c r="N362" s="76"/>
      <c r="O362" s="75"/>
      <c r="P362" s="75"/>
      <c r="Q362" s="75"/>
      <c r="R362" s="75"/>
      <c r="S362" s="75"/>
      <c r="T362" s="75"/>
      <c r="U362" s="74"/>
    </row>
    <row r="363" spans="1:21" ht="17.25" customHeight="1" x14ac:dyDescent="0.3">
      <c r="A363" s="66" t="s">
        <v>30</v>
      </c>
      <c r="C363" s="67"/>
      <c r="D363" s="77"/>
      <c r="E363" s="77" t="s">
        <v>31</v>
      </c>
      <c r="F363" s="76" t="s">
        <v>31</v>
      </c>
      <c r="G363" s="76" t="s">
        <v>31</v>
      </c>
      <c r="H363" s="76"/>
      <c r="I363" s="76"/>
      <c r="J363" s="76" t="s">
        <v>31</v>
      </c>
      <c r="K363" s="76" t="s">
        <v>31</v>
      </c>
      <c r="L363" s="76" t="s">
        <v>31</v>
      </c>
      <c r="M363" s="76" t="s">
        <v>31</v>
      </c>
      <c r="N363" s="76"/>
      <c r="U363" s="81"/>
    </row>
    <row r="364" spans="1:21" ht="20.25" customHeight="1" x14ac:dyDescent="0.35">
      <c r="A364" s="66" t="s">
        <v>30</v>
      </c>
      <c r="C364" s="67"/>
      <c r="D364" s="92" t="str">
        <f t="shared" ref="D364" si="218">E364</f>
        <v>E100015</v>
      </c>
      <c r="E364" s="91" t="str">
        <f>"E100015"</f>
        <v>E100015</v>
      </c>
      <c r="F364" s="89" t="str">
        <f>"360 Clip Watch"</f>
        <v>360 Clip Watch</v>
      </c>
      <c r="G364" s="89"/>
      <c r="H364" s="90" t="str">
        <f>"EA"</f>
        <v>EA</v>
      </c>
      <c r="I364" s="89"/>
      <c r="J364" s="89"/>
      <c r="K364" s="89"/>
      <c r="L364" s="89"/>
      <c r="M364" s="89"/>
      <c r="N364" s="89"/>
      <c r="O364" s="88">
        <f>(SUBTOTAL(9,O365:O367))</f>
        <v>999.99999999999989</v>
      </c>
      <c r="P364" s="88">
        <f>(SUBTOTAL(9,P365:P367))</f>
        <v>-1</v>
      </c>
      <c r="Q364" s="88">
        <f>(SUBTOTAL(9,Q365:Q367))</f>
        <v>0</v>
      </c>
      <c r="R364" s="88">
        <f>(SUBTOTAL(9,R365:R367))</f>
        <v>0</v>
      </c>
      <c r="S364" s="88">
        <f>(SUBTOTAL(9,S365:S367))</f>
        <v>0</v>
      </c>
      <c r="T364" s="88">
        <f>(SUBTOTAL(9,T365:T367))</f>
        <v>0</v>
      </c>
      <c r="U364" s="87">
        <f t="shared" ref="U364" si="219">SUBTOTAL(9,O365:T367)</f>
        <v>998.99999999999989</v>
      </c>
    </row>
    <row r="365" spans="1:21" ht="17.25" customHeight="1" x14ac:dyDescent="0.3">
      <c r="A365" s="66" t="s">
        <v>30</v>
      </c>
      <c r="C365" s="67"/>
      <c r="D365" s="77" t="str">
        <f t="shared" ref="D365" si="220">D364</f>
        <v>E100015</v>
      </c>
      <c r="E365" s="77"/>
      <c r="F365" s="76"/>
      <c r="G365" s="76" t="str">
        <f>"""NAV Direct"",""CRONUS JetCorp USA"",""32"",""1"",""167558"""</f>
        <v>"NAV Direct","CRONUS JetCorp USA","32","1","167558"</v>
      </c>
      <c r="H365" s="86">
        <v>43466</v>
      </c>
      <c r="I365" s="85">
        <v>167558</v>
      </c>
      <c r="J365" s="84" t="str">
        <f>"Vendor"</f>
        <v>Vendor</v>
      </c>
      <c r="K365" s="84" t="str">
        <f>"V100007"</f>
        <v>V100007</v>
      </c>
      <c r="L365" s="84" t="str">
        <f>IF($J365="Customer",_xll.NL("first",$J365,"Name","No.","@@"&amp;$K365),"")</f>
        <v/>
      </c>
      <c r="M365" s="84" t="str">
        <f>"TrendTech"</f>
        <v>TrendTech</v>
      </c>
      <c r="N365" s="84" t="str">
        <f>IF($J365="Item",_xll.NL("first",$J365,"Description","No.","@@"&amp;$K365),"")</f>
        <v/>
      </c>
      <c r="O365" s="83">
        <v>999.99999999999989</v>
      </c>
      <c r="P365" s="83">
        <v>0</v>
      </c>
      <c r="Q365" s="83">
        <v>0</v>
      </c>
      <c r="R365" s="83">
        <v>0</v>
      </c>
      <c r="S365" s="83">
        <v>0</v>
      </c>
      <c r="T365" s="83">
        <v>0</v>
      </c>
      <c r="U365" s="82"/>
    </row>
    <row r="366" spans="1:21" ht="17.25" customHeight="1" x14ac:dyDescent="0.3">
      <c r="A366" s="66" t="s">
        <v>30</v>
      </c>
      <c r="C366" s="67"/>
      <c r="D366" s="77" t="str">
        <f t="shared" ref="D366" si="221">D365</f>
        <v>E100015</v>
      </c>
      <c r="E366" s="77"/>
      <c r="F366" s="76"/>
      <c r="G366" s="76" t="str">
        <f>"""NAV Direct"",""CRONUS JetCorp USA"",""32"",""1"",""124558"""</f>
        <v>"NAV Direct","CRONUS JetCorp USA","32","1","124558"</v>
      </c>
      <c r="H366" s="86">
        <v>43473</v>
      </c>
      <c r="I366" s="85">
        <v>124558</v>
      </c>
      <c r="J366" s="84" t="str">
        <f>"Customer"</f>
        <v>Customer</v>
      </c>
      <c r="K366" s="84" t="str">
        <f>"C100035"</f>
        <v>C100035</v>
      </c>
      <c r="L366" s="84" t="str">
        <f>IF($J366="Customer",_xll.NL("first",$J366,"Name","No.","@@"&amp;$K366),"")</f>
        <v>First Touch Marketing</v>
      </c>
      <c r="M366" s="84" t="str">
        <f>""</f>
        <v/>
      </c>
      <c r="N366" s="84" t="str">
        <f>IF($J366="Item",_xll.NL("first",$J366,"Description","No.","@@"&amp;$K366),"")</f>
        <v/>
      </c>
      <c r="O366" s="83">
        <v>0</v>
      </c>
      <c r="P366" s="83">
        <v>-1</v>
      </c>
      <c r="Q366" s="83">
        <v>0</v>
      </c>
      <c r="R366" s="83">
        <v>0</v>
      </c>
      <c r="S366" s="83">
        <v>0</v>
      </c>
      <c r="T366" s="83">
        <v>0</v>
      </c>
      <c r="U366" s="82"/>
    </row>
    <row r="367" spans="1:21" ht="17.25" customHeight="1" x14ac:dyDescent="0.3">
      <c r="A367" s="66" t="s">
        <v>30</v>
      </c>
      <c r="C367" s="67"/>
      <c r="D367" s="77"/>
      <c r="E367" s="77"/>
      <c r="F367" s="76"/>
      <c r="G367" s="76"/>
      <c r="H367" s="76"/>
      <c r="I367" s="76"/>
      <c r="J367" s="76"/>
      <c r="K367" s="76"/>
      <c r="L367" s="76"/>
      <c r="M367" s="76"/>
      <c r="N367" s="76"/>
      <c r="O367" s="75"/>
      <c r="P367" s="75"/>
      <c r="Q367" s="75"/>
      <c r="R367" s="75"/>
      <c r="S367" s="75"/>
      <c r="T367" s="75"/>
      <c r="U367" s="74"/>
    </row>
    <row r="368" spans="1:21" ht="17.25" customHeight="1" x14ac:dyDescent="0.3">
      <c r="A368" s="66" t="s">
        <v>30</v>
      </c>
      <c r="C368" s="67"/>
      <c r="D368" s="77"/>
      <c r="E368" s="77" t="s">
        <v>31</v>
      </c>
      <c r="F368" s="76" t="s">
        <v>31</v>
      </c>
      <c r="G368" s="76" t="s">
        <v>31</v>
      </c>
      <c r="H368" s="76"/>
      <c r="I368" s="76"/>
      <c r="J368" s="76" t="s">
        <v>31</v>
      </c>
      <c r="K368" s="76" t="s">
        <v>31</v>
      </c>
      <c r="L368" s="76" t="s">
        <v>31</v>
      </c>
      <c r="M368" s="76" t="s">
        <v>31</v>
      </c>
      <c r="N368" s="76"/>
      <c r="U368" s="81"/>
    </row>
    <row r="369" spans="1:21" ht="20.25" customHeight="1" x14ac:dyDescent="0.35">
      <c r="A369" s="66" t="s">
        <v>30</v>
      </c>
      <c r="C369" s="67"/>
      <c r="D369" s="92" t="str">
        <f t="shared" ref="D369" si="222">E369</f>
        <v>E100016</v>
      </c>
      <c r="E369" s="91" t="str">
        <f>"E100016"</f>
        <v>E100016</v>
      </c>
      <c r="F369" s="89" t="str">
        <f>"4 Function Rotating Carabiner Watch"</f>
        <v>4 Function Rotating Carabiner Watch</v>
      </c>
      <c r="G369" s="89"/>
      <c r="H369" s="90" t="str">
        <f>"EA"</f>
        <v>EA</v>
      </c>
      <c r="I369" s="89"/>
      <c r="J369" s="89"/>
      <c r="K369" s="89"/>
      <c r="L369" s="89"/>
      <c r="M369" s="89"/>
      <c r="N369" s="89"/>
      <c r="O369" s="88">
        <f>(SUBTOTAL(9,O370:O374))</f>
        <v>600</v>
      </c>
      <c r="P369" s="88">
        <f>(SUBTOTAL(9,P370:P374))</f>
        <v>-577</v>
      </c>
      <c r="Q369" s="88">
        <f>(SUBTOTAL(9,Q370:Q374))</f>
        <v>0</v>
      </c>
      <c r="R369" s="88">
        <f>(SUBTOTAL(9,R370:R374))</f>
        <v>0</v>
      </c>
      <c r="S369" s="88">
        <f>(SUBTOTAL(9,S370:S374))</f>
        <v>0</v>
      </c>
      <c r="T369" s="88">
        <f>(SUBTOTAL(9,T370:T374))</f>
        <v>0</v>
      </c>
      <c r="U369" s="87">
        <f t="shared" ref="U369" si="223">SUBTOTAL(9,O370:T374)</f>
        <v>23</v>
      </c>
    </row>
    <row r="370" spans="1:21" ht="17.25" customHeight="1" x14ac:dyDescent="0.3">
      <c r="A370" s="66" t="s">
        <v>30</v>
      </c>
      <c r="C370" s="67"/>
      <c r="D370" s="77" t="str">
        <f t="shared" ref="D370" si="224">D369</f>
        <v>E100016</v>
      </c>
      <c r="E370" s="77"/>
      <c r="F370" s="76"/>
      <c r="G370" s="76" t="str">
        <f>"""NAV Direct"",""CRONUS JetCorp USA"",""32"",""1"",""132499"""</f>
        <v>"NAV Direct","CRONUS JetCorp USA","32","1","132499"</v>
      </c>
      <c r="H370" s="86">
        <v>43466</v>
      </c>
      <c r="I370" s="85">
        <v>132499</v>
      </c>
      <c r="J370" s="84" t="str">
        <f>"Customer"</f>
        <v>Customer</v>
      </c>
      <c r="K370" s="84" t="str">
        <f>"C100040"</f>
        <v>C100040</v>
      </c>
      <c r="L370" s="84" t="str">
        <f>IF($J370="Customer",_xll.NL("first",$J370,"Name","No.","@@"&amp;$K370),"")</f>
        <v>Guildford Water Department</v>
      </c>
      <c r="M370" s="84" t="str">
        <f>""</f>
        <v/>
      </c>
      <c r="N370" s="84" t="str">
        <f>IF($J370="Item",_xll.NL("first",$J370,"Description","No.","@@"&amp;$K370),"")</f>
        <v/>
      </c>
      <c r="O370" s="83">
        <v>0</v>
      </c>
      <c r="P370" s="83">
        <v>-144</v>
      </c>
      <c r="Q370" s="83">
        <v>0</v>
      </c>
      <c r="R370" s="83">
        <v>0</v>
      </c>
      <c r="S370" s="83">
        <v>0</v>
      </c>
      <c r="T370" s="83">
        <v>0</v>
      </c>
      <c r="U370" s="82"/>
    </row>
    <row r="371" spans="1:21" ht="17.25" customHeight="1" x14ac:dyDescent="0.3">
      <c r="A371" s="66" t="s">
        <v>30</v>
      </c>
      <c r="C371" s="67"/>
      <c r="D371" s="77" t="str">
        <f t="shared" ref="D371:D373" si="225">D370</f>
        <v>E100016</v>
      </c>
      <c r="E371" s="77"/>
      <c r="F371" s="76"/>
      <c r="G371" s="76" t="str">
        <f>"""NAV Direct"",""CRONUS JetCorp USA"",""32"",""1"",""167557"""</f>
        <v>"NAV Direct","CRONUS JetCorp USA","32","1","167557"</v>
      </c>
      <c r="H371" s="86">
        <v>43466</v>
      </c>
      <c r="I371" s="85">
        <v>167557</v>
      </c>
      <c r="J371" s="84" t="str">
        <f>"Vendor"</f>
        <v>Vendor</v>
      </c>
      <c r="K371" s="84" t="str">
        <f>"V100007"</f>
        <v>V100007</v>
      </c>
      <c r="L371" s="84" t="str">
        <f>IF($J371="Customer",_xll.NL("first",$J371,"Name","No.","@@"&amp;$K371),"")</f>
        <v/>
      </c>
      <c r="M371" s="84" t="str">
        <f>"TrendTech"</f>
        <v>TrendTech</v>
      </c>
      <c r="N371" s="84" t="str">
        <f>IF($J371="Item",_xll.NL("first",$J371,"Description","No.","@@"&amp;$K371),"")</f>
        <v/>
      </c>
      <c r="O371" s="83">
        <v>600</v>
      </c>
      <c r="P371" s="83">
        <v>0</v>
      </c>
      <c r="Q371" s="83">
        <v>0</v>
      </c>
      <c r="R371" s="83">
        <v>0</v>
      </c>
      <c r="S371" s="83">
        <v>0</v>
      </c>
      <c r="T371" s="83">
        <v>0</v>
      </c>
      <c r="U371" s="82"/>
    </row>
    <row r="372" spans="1:21" ht="17.25" customHeight="1" x14ac:dyDescent="0.3">
      <c r="A372" s="66" t="s">
        <v>30</v>
      </c>
      <c r="C372" s="67"/>
      <c r="D372" s="77" t="str">
        <f t="shared" si="225"/>
        <v>E100016</v>
      </c>
      <c r="E372" s="77"/>
      <c r="F372" s="76"/>
      <c r="G372" s="76" t="str">
        <f>"""NAV Direct"",""CRONUS JetCorp USA"",""32"",""1"",""124547"""</f>
        <v>"NAV Direct","CRONUS JetCorp USA","32","1","124547"</v>
      </c>
      <c r="H372" s="86">
        <v>43473</v>
      </c>
      <c r="I372" s="85">
        <v>124547</v>
      </c>
      <c r="J372" s="84" t="str">
        <f>"Customer"</f>
        <v>Customer</v>
      </c>
      <c r="K372" s="84" t="str">
        <f>"C100035"</f>
        <v>C100035</v>
      </c>
      <c r="L372" s="84" t="str">
        <f>IF($J372="Customer",_xll.NL("first",$J372,"Name","No.","@@"&amp;$K372),"")</f>
        <v>First Touch Marketing</v>
      </c>
      <c r="M372" s="84" t="str">
        <f>""</f>
        <v/>
      </c>
      <c r="N372" s="84" t="str">
        <f>IF($J372="Item",_xll.NL("first",$J372,"Description","No.","@@"&amp;$K372),"")</f>
        <v/>
      </c>
      <c r="O372" s="83">
        <v>0</v>
      </c>
      <c r="P372" s="83">
        <v>-289</v>
      </c>
      <c r="Q372" s="83">
        <v>0</v>
      </c>
      <c r="R372" s="83">
        <v>0</v>
      </c>
      <c r="S372" s="83">
        <v>0</v>
      </c>
      <c r="T372" s="83">
        <v>0</v>
      </c>
      <c r="U372" s="82"/>
    </row>
    <row r="373" spans="1:21" ht="17.25" customHeight="1" x14ac:dyDescent="0.3">
      <c r="A373" s="66" t="s">
        <v>30</v>
      </c>
      <c r="C373" s="67"/>
      <c r="D373" s="77" t="str">
        <f t="shared" si="225"/>
        <v>E100016</v>
      </c>
      <c r="E373" s="77"/>
      <c r="F373" s="76"/>
      <c r="G373" s="76" t="str">
        <f>"""NAV Direct"",""CRONUS JetCorp USA"",""32"",""1"",""124593"""</f>
        <v>"NAV Direct","CRONUS JetCorp USA","32","1","124593"</v>
      </c>
      <c r="H373" s="86">
        <v>43475</v>
      </c>
      <c r="I373" s="85">
        <v>124593</v>
      </c>
      <c r="J373" s="84" t="str">
        <f>"Customer"</f>
        <v>Customer</v>
      </c>
      <c r="K373" s="84" t="str">
        <f>"C100035"</f>
        <v>C100035</v>
      </c>
      <c r="L373" s="84" t="str">
        <f>IF($J373="Customer",_xll.NL("first",$J373,"Name","No.","@@"&amp;$K373),"")</f>
        <v>First Touch Marketing</v>
      </c>
      <c r="M373" s="84" t="str">
        <f>""</f>
        <v/>
      </c>
      <c r="N373" s="84" t="str">
        <f>IF($J373="Item",_xll.NL("first",$J373,"Description","No.","@@"&amp;$K373),"")</f>
        <v/>
      </c>
      <c r="O373" s="83">
        <v>0</v>
      </c>
      <c r="P373" s="83">
        <v>-144</v>
      </c>
      <c r="Q373" s="83">
        <v>0</v>
      </c>
      <c r="R373" s="83">
        <v>0</v>
      </c>
      <c r="S373" s="83">
        <v>0</v>
      </c>
      <c r="T373" s="83">
        <v>0</v>
      </c>
      <c r="U373" s="82"/>
    </row>
    <row r="374" spans="1:21" ht="17.25" customHeight="1" x14ac:dyDescent="0.3">
      <c r="A374" s="66" t="s">
        <v>30</v>
      </c>
      <c r="C374" s="67"/>
      <c r="D374" s="77"/>
      <c r="E374" s="77"/>
      <c r="F374" s="76"/>
      <c r="G374" s="76"/>
      <c r="H374" s="76"/>
      <c r="I374" s="76"/>
      <c r="J374" s="76"/>
      <c r="K374" s="76"/>
      <c r="L374" s="76"/>
      <c r="M374" s="76"/>
      <c r="N374" s="76"/>
      <c r="O374" s="75"/>
      <c r="P374" s="75"/>
      <c r="Q374" s="75"/>
      <c r="R374" s="75"/>
      <c r="S374" s="75"/>
      <c r="T374" s="75"/>
      <c r="U374" s="74"/>
    </row>
    <row r="375" spans="1:21" ht="17.25" customHeight="1" x14ac:dyDescent="0.3">
      <c r="A375" s="66" t="s">
        <v>30</v>
      </c>
      <c r="C375" s="67"/>
      <c r="D375" s="77"/>
      <c r="E375" s="77" t="s">
        <v>31</v>
      </c>
      <c r="F375" s="76" t="s">
        <v>31</v>
      </c>
      <c r="G375" s="76" t="s">
        <v>31</v>
      </c>
      <c r="H375" s="76"/>
      <c r="I375" s="76"/>
      <c r="J375" s="76" t="s">
        <v>31</v>
      </c>
      <c r="K375" s="76" t="s">
        <v>31</v>
      </c>
      <c r="L375" s="76" t="s">
        <v>31</v>
      </c>
      <c r="M375" s="76" t="s">
        <v>31</v>
      </c>
      <c r="N375" s="76"/>
      <c r="U375" s="81"/>
    </row>
    <row r="376" spans="1:21" ht="20.25" customHeight="1" x14ac:dyDescent="0.35">
      <c r="A376" s="66" t="s">
        <v>30</v>
      </c>
      <c r="C376" s="67"/>
      <c r="D376" s="92" t="str">
        <f t="shared" ref="D376" si="226">E376</f>
        <v>E100017</v>
      </c>
      <c r="E376" s="91" t="str">
        <f>"E100017"</f>
        <v>E100017</v>
      </c>
      <c r="F376" s="89" t="str">
        <f>"Clip-on Clock with Compass"</f>
        <v>Clip-on Clock with Compass</v>
      </c>
      <c r="G376" s="89"/>
      <c r="H376" s="90" t="str">
        <f>"EA"</f>
        <v>EA</v>
      </c>
      <c r="I376" s="89"/>
      <c r="J376" s="89"/>
      <c r="K376" s="89"/>
      <c r="L376" s="89"/>
      <c r="M376" s="89"/>
      <c r="N376" s="89"/>
      <c r="O376" s="88">
        <f>(SUBTOTAL(9,O377:O381))</f>
        <v>800</v>
      </c>
      <c r="P376" s="88">
        <f>(SUBTOTAL(9,P377:P381))</f>
        <v>-336</v>
      </c>
      <c r="Q376" s="88">
        <f>(SUBTOTAL(9,Q377:Q381))</f>
        <v>0</v>
      </c>
      <c r="R376" s="88">
        <f>(SUBTOTAL(9,R377:R381))</f>
        <v>0</v>
      </c>
      <c r="S376" s="88">
        <f>(SUBTOTAL(9,S377:S381))</f>
        <v>0</v>
      </c>
      <c r="T376" s="88">
        <f>(SUBTOTAL(9,T377:T381))</f>
        <v>0</v>
      </c>
      <c r="U376" s="87">
        <f t="shared" ref="U376" si="227">SUBTOTAL(9,O377:T381)</f>
        <v>464</v>
      </c>
    </row>
    <row r="377" spans="1:21" ht="17.25" customHeight="1" x14ac:dyDescent="0.3">
      <c r="A377" s="66" t="s">
        <v>30</v>
      </c>
      <c r="C377" s="67"/>
      <c r="D377" s="77" t="str">
        <f t="shared" ref="D377" si="228">D376</f>
        <v>E100017</v>
      </c>
      <c r="E377" s="77"/>
      <c r="F377" s="76"/>
      <c r="G377" s="76" t="str">
        <f>"""NAV Direct"",""CRONUS JetCorp USA"",""32"",""1"",""167556"""</f>
        <v>"NAV Direct","CRONUS JetCorp USA","32","1","167556"</v>
      </c>
      <c r="H377" s="86">
        <v>43466</v>
      </c>
      <c r="I377" s="85">
        <v>167556</v>
      </c>
      <c r="J377" s="84" t="str">
        <f>"Vendor"</f>
        <v>Vendor</v>
      </c>
      <c r="K377" s="84" t="str">
        <f>"V100007"</f>
        <v>V100007</v>
      </c>
      <c r="L377" s="84" t="str">
        <f>IF($J377="Customer",_xll.NL("first",$J377,"Name","No.","@@"&amp;$K377),"")</f>
        <v/>
      </c>
      <c r="M377" s="84" t="str">
        <f>"TrendTech"</f>
        <v>TrendTech</v>
      </c>
      <c r="N377" s="84" t="str">
        <f>IF($J377="Item",_xll.NL("first",$J377,"Description","No.","@@"&amp;$K377),"")</f>
        <v/>
      </c>
      <c r="O377" s="83">
        <v>800</v>
      </c>
      <c r="P377" s="83">
        <v>0</v>
      </c>
      <c r="Q377" s="83">
        <v>0</v>
      </c>
      <c r="R377" s="83">
        <v>0</v>
      </c>
      <c r="S377" s="83">
        <v>0</v>
      </c>
      <c r="T377" s="83">
        <v>0</v>
      </c>
      <c r="U377" s="82"/>
    </row>
    <row r="378" spans="1:21" ht="17.25" customHeight="1" x14ac:dyDescent="0.3">
      <c r="A378" s="66" t="s">
        <v>30</v>
      </c>
      <c r="C378" s="67"/>
      <c r="D378" s="77" t="str">
        <f t="shared" ref="D378:D380" si="229">D377</f>
        <v>E100017</v>
      </c>
      <c r="E378" s="77"/>
      <c r="F378" s="76"/>
      <c r="G378" s="76" t="str">
        <f>"""NAV Direct"",""CRONUS JetCorp USA"",""32"",""1"",""124554"""</f>
        <v>"NAV Direct","CRONUS JetCorp USA","32","1","124554"</v>
      </c>
      <c r="H378" s="86">
        <v>43473</v>
      </c>
      <c r="I378" s="85">
        <v>124554</v>
      </c>
      <c r="J378" s="84" t="str">
        <f>"Customer"</f>
        <v>Customer</v>
      </c>
      <c r="K378" s="84" t="str">
        <f>"C100035"</f>
        <v>C100035</v>
      </c>
      <c r="L378" s="84" t="str">
        <f>IF($J378="Customer",_xll.NL("first",$J378,"Name","No.","@@"&amp;$K378),"")</f>
        <v>First Touch Marketing</v>
      </c>
      <c r="M378" s="84" t="str">
        <f>""</f>
        <v/>
      </c>
      <c r="N378" s="84" t="str">
        <f>IF($J378="Item",_xll.NL("first",$J378,"Description","No.","@@"&amp;$K378),"")</f>
        <v/>
      </c>
      <c r="O378" s="83">
        <v>0</v>
      </c>
      <c r="P378" s="83">
        <v>-144</v>
      </c>
      <c r="Q378" s="83">
        <v>0</v>
      </c>
      <c r="R378" s="83">
        <v>0</v>
      </c>
      <c r="S378" s="83">
        <v>0</v>
      </c>
      <c r="T378" s="83">
        <v>0</v>
      </c>
      <c r="U378" s="82"/>
    </row>
    <row r="379" spans="1:21" ht="17.25" customHeight="1" x14ac:dyDescent="0.3">
      <c r="A379" s="66" t="s">
        <v>30</v>
      </c>
      <c r="C379" s="67"/>
      <c r="D379" s="77" t="str">
        <f t="shared" si="229"/>
        <v>E100017</v>
      </c>
      <c r="E379" s="77"/>
      <c r="F379" s="76"/>
      <c r="G379" s="76" t="str">
        <f>"""NAV Direct"",""CRONUS JetCorp USA"",""32"",""1"",""30064"""</f>
        <v>"NAV Direct","CRONUS JetCorp USA","32","1","30064"</v>
      </c>
      <c r="H379" s="86">
        <v>43474</v>
      </c>
      <c r="I379" s="85">
        <v>30064</v>
      </c>
      <c r="J379" s="84" t="str">
        <f>"Customer"</f>
        <v>Customer</v>
      </c>
      <c r="K379" s="84" t="str">
        <f>"C100086"</f>
        <v>C100086</v>
      </c>
      <c r="L379" s="84" t="str">
        <f>IF($J379="Customer",_xll.NL("first",$J379,"Name","No.","@@"&amp;$K379),"")</f>
        <v>Top Action Sports</v>
      </c>
      <c r="M379" s="84" t="str">
        <f>""</f>
        <v/>
      </c>
      <c r="N379" s="84" t="str">
        <f>IF($J379="Item",_xll.NL("first",$J379,"Description","No.","@@"&amp;$K379),"")</f>
        <v/>
      </c>
      <c r="O379" s="83">
        <v>0</v>
      </c>
      <c r="P379" s="83">
        <v>-144</v>
      </c>
      <c r="Q379" s="83">
        <v>0</v>
      </c>
      <c r="R379" s="83">
        <v>0</v>
      </c>
      <c r="S379" s="83">
        <v>0</v>
      </c>
      <c r="T379" s="83">
        <v>0</v>
      </c>
      <c r="U379" s="82"/>
    </row>
    <row r="380" spans="1:21" ht="17.25" customHeight="1" x14ac:dyDescent="0.3">
      <c r="A380" s="66" t="s">
        <v>30</v>
      </c>
      <c r="C380" s="67"/>
      <c r="D380" s="77" t="str">
        <f t="shared" si="229"/>
        <v>E100017</v>
      </c>
      <c r="E380" s="77"/>
      <c r="F380" s="76"/>
      <c r="G380" s="76" t="str">
        <f>"""NAV Direct"",""CRONUS JetCorp USA"",""32"",""1"",""124595"""</f>
        <v>"NAV Direct","CRONUS JetCorp USA","32","1","124595"</v>
      </c>
      <c r="H380" s="86">
        <v>43475</v>
      </c>
      <c r="I380" s="85">
        <v>124595</v>
      </c>
      <c r="J380" s="84" t="str">
        <f>"Customer"</f>
        <v>Customer</v>
      </c>
      <c r="K380" s="84" t="str">
        <f>"C100035"</f>
        <v>C100035</v>
      </c>
      <c r="L380" s="84" t="str">
        <f>IF($J380="Customer",_xll.NL("first",$J380,"Name","No.","@@"&amp;$K380),"")</f>
        <v>First Touch Marketing</v>
      </c>
      <c r="M380" s="84" t="str">
        <f>""</f>
        <v/>
      </c>
      <c r="N380" s="84" t="str">
        <f>IF($J380="Item",_xll.NL("first",$J380,"Description","No.","@@"&amp;$K380),"")</f>
        <v/>
      </c>
      <c r="O380" s="83">
        <v>0</v>
      </c>
      <c r="P380" s="83">
        <v>-48</v>
      </c>
      <c r="Q380" s="83">
        <v>0</v>
      </c>
      <c r="R380" s="83">
        <v>0</v>
      </c>
      <c r="S380" s="83">
        <v>0</v>
      </c>
      <c r="T380" s="83">
        <v>0</v>
      </c>
      <c r="U380" s="82"/>
    </row>
    <row r="381" spans="1:21" ht="17.25" customHeight="1" x14ac:dyDescent="0.3">
      <c r="A381" s="66" t="s">
        <v>30</v>
      </c>
      <c r="C381" s="67"/>
      <c r="D381" s="77"/>
      <c r="E381" s="77"/>
      <c r="F381" s="76"/>
      <c r="G381" s="76"/>
      <c r="H381" s="76"/>
      <c r="I381" s="76"/>
      <c r="J381" s="76"/>
      <c r="K381" s="76"/>
      <c r="L381" s="76"/>
      <c r="M381" s="76"/>
      <c r="N381" s="76"/>
      <c r="O381" s="75"/>
      <c r="P381" s="75"/>
      <c r="Q381" s="75"/>
      <c r="R381" s="75"/>
      <c r="S381" s="75"/>
      <c r="T381" s="75"/>
      <c r="U381" s="74"/>
    </row>
    <row r="382" spans="1:21" ht="17.25" customHeight="1" x14ac:dyDescent="0.3">
      <c r="A382" s="66" t="s">
        <v>30</v>
      </c>
      <c r="C382" s="67"/>
      <c r="D382" s="77"/>
      <c r="E382" s="77" t="s">
        <v>31</v>
      </c>
      <c r="F382" s="76" t="s">
        <v>31</v>
      </c>
      <c r="G382" s="76" t="s">
        <v>31</v>
      </c>
      <c r="H382" s="76"/>
      <c r="I382" s="76"/>
      <c r="J382" s="76" t="s">
        <v>31</v>
      </c>
      <c r="K382" s="76" t="s">
        <v>31</v>
      </c>
      <c r="L382" s="76" t="s">
        <v>31</v>
      </c>
      <c r="M382" s="76" t="s">
        <v>31</v>
      </c>
      <c r="N382" s="76"/>
      <c r="U382" s="81"/>
    </row>
    <row r="383" spans="1:21" ht="20.25" customHeight="1" x14ac:dyDescent="0.35">
      <c r="A383" s="66" t="s">
        <v>30</v>
      </c>
      <c r="C383" s="67"/>
      <c r="D383" s="92" t="str">
        <f t="shared" ref="D383" si="230">E383</f>
        <v>E100018</v>
      </c>
      <c r="E383" s="91" t="str">
        <f>"E100018"</f>
        <v>E100018</v>
      </c>
      <c r="F383" s="89" t="str">
        <f>"Flexi-Clock &amp; Clip"</f>
        <v>Flexi-Clock &amp; Clip</v>
      </c>
      <c r="G383" s="89"/>
      <c r="H383" s="90" t="str">
        <f>"EA"</f>
        <v>EA</v>
      </c>
      <c r="I383" s="89"/>
      <c r="J383" s="89"/>
      <c r="K383" s="89"/>
      <c r="L383" s="89"/>
      <c r="M383" s="89"/>
      <c r="N383" s="89"/>
      <c r="O383" s="88">
        <f>(SUBTOTAL(9,O384:O393))</f>
        <v>1400</v>
      </c>
      <c r="P383" s="88">
        <f>(SUBTOTAL(9,P384:P393))</f>
        <v>-1041</v>
      </c>
      <c r="Q383" s="88">
        <f>(SUBTOTAL(9,Q384:Q393))</f>
        <v>0</v>
      </c>
      <c r="R383" s="88">
        <f>(SUBTOTAL(9,R384:R393))</f>
        <v>0</v>
      </c>
      <c r="S383" s="88">
        <f>(SUBTOTAL(9,S384:S393))</f>
        <v>0</v>
      </c>
      <c r="T383" s="88">
        <f>(SUBTOTAL(9,T384:T393))</f>
        <v>0</v>
      </c>
      <c r="U383" s="87">
        <f t="shared" ref="U383" si="231">SUBTOTAL(9,O384:T393)</f>
        <v>359</v>
      </c>
    </row>
    <row r="384" spans="1:21" ht="17.25" customHeight="1" x14ac:dyDescent="0.3">
      <c r="A384" s="66" t="s">
        <v>30</v>
      </c>
      <c r="C384" s="67"/>
      <c r="D384" s="77" t="str">
        <f t="shared" ref="D384" si="232">D383</f>
        <v>E100018</v>
      </c>
      <c r="E384" s="77"/>
      <c r="F384" s="76"/>
      <c r="G384" s="76" t="str">
        <f>"""NAV Direct"",""CRONUS JetCorp USA"",""32"",""1"",""167555"""</f>
        <v>"NAV Direct","CRONUS JetCorp USA","32","1","167555"</v>
      </c>
      <c r="H384" s="86">
        <v>43466</v>
      </c>
      <c r="I384" s="85">
        <v>167555</v>
      </c>
      <c r="J384" s="84" t="str">
        <f>"Vendor"</f>
        <v>Vendor</v>
      </c>
      <c r="K384" s="84" t="str">
        <f>"V100007"</f>
        <v>V100007</v>
      </c>
      <c r="L384" s="84" t="str">
        <f>IF($J384="Customer",_xll.NL("first",$J384,"Name","No.","@@"&amp;$K384),"")</f>
        <v/>
      </c>
      <c r="M384" s="84" t="str">
        <f>"TrendTech"</f>
        <v>TrendTech</v>
      </c>
      <c r="N384" s="84" t="str">
        <f>IF($J384="Item",_xll.NL("first",$J384,"Description","No.","@@"&amp;$K384),"")</f>
        <v/>
      </c>
      <c r="O384" s="83">
        <v>1400</v>
      </c>
      <c r="P384" s="83">
        <v>0</v>
      </c>
      <c r="Q384" s="83">
        <v>0</v>
      </c>
      <c r="R384" s="83">
        <v>0</v>
      </c>
      <c r="S384" s="83">
        <v>0</v>
      </c>
      <c r="T384" s="83">
        <v>0</v>
      </c>
      <c r="U384" s="82"/>
    </row>
    <row r="385" spans="1:21" ht="17.25" customHeight="1" x14ac:dyDescent="0.3">
      <c r="A385" s="66" t="s">
        <v>30</v>
      </c>
      <c r="C385" s="67"/>
      <c r="D385" s="77" t="str">
        <f t="shared" ref="D385:D392" si="233">D384</f>
        <v>E100018</v>
      </c>
      <c r="E385" s="77"/>
      <c r="F385" s="76"/>
      <c r="G385" s="76" t="str">
        <f>"""NAV Direct"",""CRONUS JetCorp USA"",""32"",""1"",""3892"""</f>
        <v>"NAV Direct","CRONUS JetCorp USA","32","1","3892"</v>
      </c>
      <c r="H385" s="86">
        <v>43467</v>
      </c>
      <c r="I385" s="85">
        <v>3892</v>
      </c>
      <c r="J385" s="84" t="str">
        <f>"Customer"</f>
        <v>Customer</v>
      </c>
      <c r="K385" s="84" t="str">
        <f>"C100099"</f>
        <v>C100099</v>
      </c>
      <c r="L385" s="84" t="str">
        <f>IF($J385="Customer",_xll.NL("first",$J385,"Name","No.","@@"&amp;$K385),"")</f>
        <v>Voltive Systems</v>
      </c>
      <c r="M385" s="84" t="str">
        <f>""</f>
        <v/>
      </c>
      <c r="N385" s="84" t="str">
        <f>IF($J385="Item",_xll.NL("first",$J385,"Description","No.","@@"&amp;$K385),"")</f>
        <v/>
      </c>
      <c r="O385" s="83">
        <v>0</v>
      </c>
      <c r="P385" s="83">
        <v>-144</v>
      </c>
      <c r="Q385" s="83">
        <v>0</v>
      </c>
      <c r="R385" s="83">
        <v>0</v>
      </c>
      <c r="S385" s="83">
        <v>0</v>
      </c>
      <c r="T385" s="83">
        <v>0</v>
      </c>
      <c r="U385" s="82"/>
    </row>
    <row r="386" spans="1:21" ht="17.25" customHeight="1" x14ac:dyDescent="0.3">
      <c r="A386" s="66" t="s">
        <v>30</v>
      </c>
      <c r="C386" s="67"/>
      <c r="D386" s="77" t="str">
        <f t="shared" si="233"/>
        <v>E100018</v>
      </c>
      <c r="E386" s="77"/>
      <c r="F386" s="76"/>
      <c r="G386" s="76" t="str">
        <f>"""NAV Direct"",""CRONUS JetCorp USA"",""32"",""1"",""111294"""</f>
        <v>"NAV Direct","CRONUS JetCorp USA","32","1","111294"</v>
      </c>
      <c r="H386" s="86">
        <v>43470</v>
      </c>
      <c r="I386" s="85">
        <v>111294</v>
      </c>
      <c r="J386" s="84" t="str">
        <f>"Customer"</f>
        <v>Customer</v>
      </c>
      <c r="K386" s="84" t="str">
        <f>"C100037"</f>
        <v>C100037</v>
      </c>
      <c r="L386" s="84" t="str">
        <f>IF($J386="Customer",_xll.NL("first",$J386,"Name","No.","@@"&amp;$K386),"")</f>
        <v>Tempsons Tropies</v>
      </c>
      <c r="M386" s="84" t="str">
        <f>""</f>
        <v/>
      </c>
      <c r="N386" s="84" t="str">
        <f>IF($J386="Item",_xll.NL("first",$J386,"Description","No.","@@"&amp;$K386),"")</f>
        <v/>
      </c>
      <c r="O386" s="83">
        <v>0</v>
      </c>
      <c r="P386" s="83">
        <v>-144</v>
      </c>
      <c r="Q386" s="83">
        <v>0</v>
      </c>
      <c r="R386" s="83">
        <v>0</v>
      </c>
      <c r="S386" s="83">
        <v>0</v>
      </c>
      <c r="T386" s="83">
        <v>0</v>
      </c>
      <c r="U386" s="82"/>
    </row>
    <row r="387" spans="1:21" ht="17.25" customHeight="1" x14ac:dyDescent="0.3">
      <c r="A387" s="66" t="s">
        <v>30</v>
      </c>
      <c r="C387" s="67"/>
      <c r="D387" s="77" t="str">
        <f t="shared" si="233"/>
        <v>E100018</v>
      </c>
      <c r="E387" s="77"/>
      <c r="F387" s="76"/>
      <c r="G387" s="76" t="str">
        <f>"""NAV Direct"",""CRONUS JetCorp USA"",""32"",""1"",""25257"""</f>
        <v>"NAV Direct","CRONUS JetCorp USA","32","1","25257"</v>
      </c>
      <c r="H387" s="86">
        <v>43472</v>
      </c>
      <c r="I387" s="85">
        <v>25257</v>
      </c>
      <c r="J387" s="84" t="str">
        <f>"Customer"</f>
        <v>Customer</v>
      </c>
      <c r="K387" s="84" t="str">
        <f>"C100098"</f>
        <v>C100098</v>
      </c>
      <c r="L387" s="84" t="str">
        <f>IF($J387="Customer",_xll.NL("first",$J387,"Name","No.","@@"&amp;$K387),"")</f>
        <v>BlackCane Motor Works</v>
      </c>
      <c r="M387" s="84" t="str">
        <f>""</f>
        <v/>
      </c>
      <c r="N387" s="84" t="str">
        <f>IF($J387="Item",_xll.NL("first",$J387,"Description","No.","@@"&amp;$K387),"")</f>
        <v/>
      </c>
      <c r="O387" s="83">
        <v>0</v>
      </c>
      <c r="P387" s="83">
        <v>-289</v>
      </c>
      <c r="Q387" s="83">
        <v>0</v>
      </c>
      <c r="R387" s="83">
        <v>0</v>
      </c>
      <c r="S387" s="83">
        <v>0</v>
      </c>
      <c r="T387" s="83">
        <v>0</v>
      </c>
      <c r="U387" s="82"/>
    </row>
    <row r="388" spans="1:21" ht="17.25" customHeight="1" x14ac:dyDescent="0.3">
      <c r="A388" s="66" t="s">
        <v>30</v>
      </c>
      <c r="C388" s="67"/>
      <c r="D388" s="77" t="str">
        <f t="shared" si="233"/>
        <v>E100018</v>
      </c>
      <c r="E388" s="77"/>
      <c r="F388" s="76"/>
      <c r="G388" s="76" t="str">
        <f>"""NAV Direct"",""CRONUS JetCorp USA"",""32"",""1"",""111286"""</f>
        <v>"NAV Direct","CRONUS JetCorp USA","32","1","111286"</v>
      </c>
      <c r="H388" s="86">
        <v>43472</v>
      </c>
      <c r="I388" s="85">
        <v>111286</v>
      </c>
      <c r="J388" s="84" t="str">
        <f>"Customer"</f>
        <v>Customer</v>
      </c>
      <c r="K388" s="84" t="str">
        <f>"C100099"</f>
        <v>C100099</v>
      </c>
      <c r="L388" s="84" t="str">
        <f>IF($J388="Customer",_xll.NL("first",$J388,"Name","No.","@@"&amp;$K388),"")</f>
        <v>Voltive Systems</v>
      </c>
      <c r="M388" s="84" t="str">
        <f>""</f>
        <v/>
      </c>
      <c r="N388" s="84" t="str">
        <f>IF($J388="Item",_xll.NL("first",$J388,"Description","No.","@@"&amp;$K388),"")</f>
        <v/>
      </c>
      <c r="O388" s="83">
        <v>0</v>
      </c>
      <c r="P388" s="83">
        <v>-6</v>
      </c>
      <c r="Q388" s="83">
        <v>0</v>
      </c>
      <c r="R388" s="83">
        <v>0</v>
      </c>
      <c r="S388" s="83">
        <v>0</v>
      </c>
      <c r="T388" s="83">
        <v>0</v>
      </c>
      <c r="U388" s="82"/>
    </row>
    <row r="389" spans="1:21" ht="17.25" customHeight="1" x14ac:dyDescent="0.3">
      <c r="A389" s="66" t="s">
        <v>30</v>
      </c>
      <c r="C389" s="67"/>
      <c r="D389" s="77" t="str">
        <f t="shared" si="233"/>
        <v>E100018</v>
      </c>
      <c r="E389" s="77"/>
      <c r="F389" s="76"/>
      <c r="G389" s="76" t="str">
        <f>"""NAV Direct"",""CRONUS JetCorp USA"",""32"",""1"",""111317"""</f>
        <v>"NAV Direct","CRONUS JetCorp USA","32","1","111317"</v>
      </c>
      <c r="H389" s="86">
        <v>43472</v>
      </c>
      <c r="I389" s="85">
        <v>111317</v>
      </c>
      <c r="J389" s="84" t="str">
        <f>"Customer"</f>
        <v>Customer</v>
      </c>
      <c r="K389" s="84" t="str">
        <f>"C100099"</f>
        <v>C100099</v>
      </c>
      <c r="L389" s="84" t="str">
        <f>IF($J389="Customer",_xll.NL("first",$J389,"Name","No.","@@"&amp;$K389),"")</f>
        <v>Voltive Systems</v>
      </c>
      <c r="M389" s="84" t="str">
        <f>""</f>
        <v/>
      </c>
      <c r="N389" s="84" t="str">
        <f>IF($J389="Item",_xll.NL("first",$J389,"Description","No.","@@"&amp;$K389),"")</f>
        <v/>
      </c>
      <c r="O389" s="83">
        <v>0</v>
      </c>
      <c r="P389" s="83">
        <v>-1</v>
      </c>
      <c r="Q389" s="83">
        <v>0</v>
      </c>
      <c r="R389" s="83">
        <v>0</v>
      </c>
      <c r="S389" s="83">
        <v>0</v>
      </c>
      <c r="T389" s="83">
        <v>0</v>
      </c>
      <c r="U389" s="82"/>
    </row>
    <row r="390" spans="1:21" ht="17.25" customHeight="1" x14ac:dyDescent="0.3">
      <c r="A390" s="66" t="s">
        <v>30</v>
      </c>
      <c r="C390" s="67"/>
      <c r="D390" s="77" t="str">
        <f t="shared" si="233"/>
        <v>E100018</v>
      </c>
      <c r="E390" s="77"/>
      <c r="F390" s="76"/>
      <c r="G390" s="76" t="str">
        <f>"""NAV Direct"",""CRONUS JetCorp USA"",""32"",""1"",""142554"""</f>
        <v>"NAV Direct","CRONUS JetCorp USA","32","1","142554"</v>
      </c>
      <c r="H390" s="86">
        <v>43472</v>
      </c>
      <c r="I390" s="85">
        <v>142554</v>
      </c>
      <c r="J390" s="84" t="str">
        <f>"Customer"</f>
        <v>Customer</v>
      </c>
      <c r="K390" s="84" t="str">
        <f>"C100100"</f>
        <v>C100100</v>
      </c>
      <c r="L390" s="84" t="str">
        <f>IF($J390="Customer",_xll.NL("first",$J390,"Name","No.","@@"&amp;$K390),"")</f>
        <v>Keybase, Inc.</v>
      </c>
      <c r="M390" s="84" t="str">
        <f>""</f>
        <v/>
      </c>
      <c r="N390" s="84" t="str">
        <f>IF($J390="Item",_xll.NL("first",$J390,"Description","No.","@@"&amp;$K390),"")</f>
        <v/>
      </c>
      <c r="O390" s="83">
        <v>0</v>
      </c>
      <c r="P390" s="83">
        <v>-168</v>
      </c>
      <c r="Q390" s="83">
        <v>0</v>
      </c>
      <c r="R390" s="83">
        <v>0</v>
      </c>
      <c r="S390" s="83">
        <v>0</v>
      </c>
      <c r="T390" s="83">
        <v>0</v>
      </c>
      <c r="U390" s="82"/>
    </row>
    <row r="391" spans="1:21" ht="17.25" customHeight="1" x14ac:dyDescent="0.3">
      <c r="A391" s="66" t="s">
        <v>30</v>
      </c>
      <c r="C391" s="67"/>
      <c r="D391" s="77" t="str">
        <f t="shared" si="233"/>
        <v>E100018</v>
      </c>
      <c r="E391" s="77"/>
      <c r="F391" s="76"/>
      <c r="G391" s="76" t="str">
        <f>"""NAV Direct"",""CRONUS JetCorp USA"",""32"",""1"",""124552"""</f>
        <v>"NAV Direct","CRONUS JetCorp USA","32","1","124552"</v>
      </c>
      <c r="H391" s="86">
        <v>43473</v>
      </c>
      <c r="I391" s="85">
        <v>124552</v>
      </c>
      <c r="J391" s="84" t="str">
        <f>"Customer"</f>
        <v>Customer</v>
      </c>
      <c r="K391" s="84" t="str">
        <f>"C100035"</f>
        <v>C100035</v>
      </c>
      <c r="L391" s="84" t="str">
        <f>IF($J391="Customer",_xll.NL("first",$J391,"Name","No.","@@"&amp;$K391),"")</f>
        <v>First Touch Marketing</v>
      </c>
      <c r="M391" s="84" t="str">
        <f>""</f>
        <v/>
      </c>
      <c r="N391" s="84" t="str">
        <f>IF($J391="Item",_xll.NL("first",$J391,"Description","No.","@@"&amp;$K391),"")</f>
        <v/>
      </c>
      <c r="O391" s="83">
        <v>0</v>
      </c>
      <c r="P391" s="83">
        <v>-288</v>
      </c>
      <c r="Q391" s="83">
        <v>0</v>
      </c>
      <c r="R391" s="83">
        <v>0</v>
      </c>
      <c r="S391" s="83">
        <v>0</v>
      </c>
      <c r="T391" s="83">
        <v>0</v>
      </c>
      <c r="U391" s="82"/>
    </row>
    <row r="392" spans="1:21" ht="17.25" customHeight="1" x14ac:dyDescent="0.3">
      <c r="A392" s="66" t="s">
        <v>30</v>
      </c>
      <c r="C392" s="67"/>
      <c r="D392" s="77" t="str">
        <f t="shared" si="233"/>
        <v>E100018</v>
      </c>
      <c r="E392" s="77"/>
      <c r="F392" s="76"/>
      <c r="G392" s="76" t="str">
        <f>"""NAV Direct"",""CRONUS JetCorp USA"",""32"",""1"",""7582"""</f>
        <v>"NAV Direct","CRONUS JetCorp USA","32","1","7582"</v>
      </c>
      <c r="H392" s="86">
        <v>43476</v>
      </c>
      <c r="I392" s="85">
        <v>7582</v>
      </c>
      <c r="J392" s="84" t="str">
        <f>"Customer"</f>
        <v>Customer</v>
      </c>
      <c r="K392" s="84" t="str">
        <f>"C100083"</f>
        <v>C100083</v>
      </c>
      <c r="L392" s="84" t="str">
        <f>IF($J392="Customer",_xll.NL("first",$J392,"Name","No.","@@"&amp;$K392),"")</f>
        <v>Stanfords</v>
      </c>
      <c r="M392" s="84" t="str">
        <f>""</f>
        <v/>
      </c>
      <c r="N392" s="84" t="str">
        <f>IF($J392="Item",_xll.NL("first",$J392,"Description","No.","@@"&amp;$K392),"")</f>
        <v/>
      </c>
      <c r="O392" s="83">
        <v>0</v>
      </c>
      <c r="P392" s="83">
        <v>-1</v>
      </c>
      <c r="Q392" s="83">
        <v>0</v>
      </c>
      <c r="R392" s="83">
        <v>0</v>
      </c>
      <c r="S392" s="83">
        <v>0</v>
      </c>
      <c r="T392" s="83">
        <v>0</v>
      </c>
      <c r="U392" s="82"/>
    </row>
    <row r="393" spans="1:21" ht="17.25" customHeight="1" x14ac:dyDescent="0.3">
      <c r="A393" s="66" t="s">
        <v>30</v>
      </c>
      <c r="C393" s="67"/>
      <c r="D393" s="77"/>
      <c r="E393" s="77"/>
      <c r="F393" s="76"/>
      <c r="G393" s="76"/>
      <c r="H393" s="76"/>
      <c r="I393" s="76"/>
      <c r="J393" s="76"/>
      <c r="K393" s="76"/>
      <c r="L393" s="76"/>
      <c r="M393" s="76"/>
      <c r="N393" s="76"/>
      <c r="O393" s="75"/>
      <c r="P393" s="75"/>
      <c r="Q393" s="75"/>
      <c r="R393" s="75"/>
      <c r="S393" s="75"/>
      <c r="T393" s="75"/>
      <c r="U393" s="74"/>
    </row>
    <row r="394" spans="1:21" ht="17.25" customHeight="1" x14ac:dyDescent="0.3">
      <c r="A394" s="66" t="s">
        <v>30</v>
      </c>
      <c r="C394" s="67"/>
      <c r="D394" s="77"/>
      <c r="E394" s="77" t="s">
        <v>31</v>
      </c>
      <c r="F394" s="76" t="s">
        <v>31</v>
      </c>
      <c r="G394" s="76" t="s">
        <v>31</v>
      </c>
      <c r="H394" s="76"/>
      <c r="I394" s="76"/>
      <c r="J394" s="76" t="s">
        <v>31</v>
      </c>
      <c r="K394" s="76" t="s">
        <v>31</v>
      </c>
      <c r="L394" s="76" t="s">
        <v>31</v>
      </c>
      <c r="M394" s="76" t="s">
        <v>31</v>
      </c>
      <c r="N394" s="76"/>
      <c r="U394" s="81"/>
    </row>
    <row r="395" spans="1:21" ht="20.25" customHeight="1" x14ac:dyDescent="0.35">
      <c r="A395" s="66" t="s">
        <v>30</v>
      </c>
      <c r="C395" s="67"/>
      <c r="D395" s="92" t="str">
        <f t="shared" ref="D395" si="234">E395</f>
        <v>E100019</v>
      </c>
      <c r="E395" s="91" t="str">
        <f>"E100019"</f>
        <v>E100019</v>
      </c>
      <c r="F395" s="89" t="str">
        <f>"Mini Travel Alarm"</f>
        <v>Mini Travel Alarm</v>
      </c>
      <c r="G395" s="89"/>
      <c r="H395" s="90" t="str">
        <f>"EA"</f>
        <v>EA</v>
      </c>
      <c r="I395" s="89"/>
      <c r="J395" s="89"/>
      <c r="K395" s="89"/>
      <c r="L395" s="89"/>
      <c r="M395" s="89"/>
      <c r="N395" s="89"/>
      <c r="O395" s="88">
        <f>(SUBTOTAL(9,O396:O401))</f>
        <v>800</v>
      </c>
      <c r="P395" s="88">
        <f>(SUBTOTAL(9,P396:P401))</f>
        <v>-290</v>
      </c>
      <c r="Q395" s="88">
        <f>(SUBTOTAL(9,Q396:Q401))</f>
        <v>0</v>
      </c>
      <c r="R395" s="88">
        <f>(SUBTOTAL(9,R396:R401))</f>
        <v>0</v>
      </c>
      <c r="S395" s="88">
        <f>(SUBTOTAL(9,S396:S401))</f>
        <v>0</v>
      </c>
      <c r="T395" s="88">
        <f>(SUBTOTAL(9,T396:T401))</f>
        <v>0</v>
      </c>
      <c r="U395" s="87">
        <f t="shared" ref="U395" si="235">SUBTOTAL(9,O396:T401)</f>
        <v>510</v>
      </c>
    </row>
    <row r="396" spans="1:21" ht="17.25" customHeight="1" x14ac:dyDescent="0.3">
      <c r="A396" s="66" t="s">
        <v>30</v>
      </c>
      <c r="C396" s="67"/>
      <c r="D396" s="77" t="str">
        <f t="shared" ref="D396" si="236">D395</f>
        <v>E100019</v>
      </c>
      <c r="E396" s="77"/>
      <c r="F396" s="76"/>
      <c r="G396" s="76" t="str">
        <f>"""NAV Direct"",""CRONUS JetCorp USA"",""32"",""1"",""167554"""</f>
        <v>"NAV Direct","CRONUS JetCorp USA","32","1","167554"</v>
      </c>
      <c r="H396" s="86">
        <v>43466</v>
      </c>
      <c r="I396" s="85">
        <v>167554</v>
      </c>
      <c r="J396" s="84" t="str">
        <f>"Vendor"</f>
        <v>Vendor</v>
      </c>
      <c r="K396" s="84" t="str">
        <f>"V100007"</f>
        <v>V100007</v>
      </c>
      <c r="L396" s="84" t="str">
        <f>IF($J396="Customer",_xll.NL("first",$J396,"Name","No.","@@"&amp;$K396),"")</f>
        <v/>
      </c>
      <c r="M396" s="84" t="str">
        <f>"TrendTech"</f>
        <v>TrendTech</v>
      </c>
      <c r="N396" s="84" t="str">
        <f>IF($J396="Item",_xll.NL("first",$J396,"Description","No.","@@"&amp;$K396),"")</f>
        <v/>
      </c>
      <c r="O396" s="83">
        <v>800</v>
      </c>
      <c r="P396" s="83">
        <v>0</v>
      </c>
      <c r="Q396" s="83">
        <v>0</v>
      </c>
      <c r="R396" s="83">
        <v>0</v>
      </c>
      <c r="S396" s="83">
        <v>0</v>
      </c>
      <c r="T396" s="83">
        <v>0</v>
      </c>
      <c r="U396" s="82"/>
    </row>
    <row r="397" spans="1:21" ht="17.25" customHeight="1" x14ac:dyDescent="0.3">
      <c r="A397" s="66" t="s">
        <v>30</v>
      </c>
      <c r="C397" s="67"/>
      <c r="D397" s="77" t="str">
        <f t="shared" ref="D397:D400" si="237">D396</f>
        <v>E100019</v>
      </c>
      <c r="E397" s="77"/>
      <c r="F397" s="76"/>
      <c r="G397" s="76" t="str">
        <f>"""NAV Direct"",""CRONUS JetCorp USA"",""32"",""1"",""111298"""</f>
        <v>"NAV Direct","CRONUS JetCorp USA","32","1","111298"</v>
      </c>
      <c r="H397" s="86">
        <v>43470</v>
      </c>
      <c r="I397" s="85">
        <v>111298</v>
      </c>
      <c r="J397" s="84" t="str">
        <f>"Customer"</f>
        <v>Customer</v>
      </c>
      <c r="K397" s="84" t="str">
        <f>"C100037"</f>
        <v>C100037</v>
      </c>
      <c r="L397" s="84" t="str">
        <f>IF($J397="Customer",_xll.NL("first",$J397,"Name","No.","@@"&amp;$K397),"")</f>
        <v>Tempsons Tropies</v>
      </c>
      <c r="M397" s="84" t="str">
        <f>""</f>
        <v/>
      </c>
      <c r="N397" s="84" t="str">
        <f>IF($J397="Item",_xll.NL("first",$J397,"Description","No.","@@"&amp;$K397),"")</f>
        <v/>
      </c>
      <c r="O397" s="83">
        <v>0</v>
      </c>
      <c r="P397" s="83">
        <v>-1</v>
      </c>
      <c r="Q397" s="83">
        <v>0</v>
      </c>
      <c r="R397" s="83">
        <v>0</v>
      </c>
      <c r="S397" s="83">
        <v>0</v>
      </c>
      <c r="T397" s="83">
        <v>0</v>
      </c>
      <c r="U397" s="82"/>
    </row>
    <row r="398" spans="1:21" ht="17.25" customHeight="1" x14ac:dyDescent="0.3">
      <c r="A398" s="66" t="s">
        <v>30</v>
      </c>
      <c r="C398" s="67"/>
      <c r="D398" s="77" t="str">
        <f t="shared" si="237"/>
        <v>E100019</v>
      </c>
      <c r="E398" s="77"/>
      <c r="F398" s="76"/>
      <c r="G398" s="76" t="str">
        <f>"""NAV Direct"",""CRONUS JetCorp USA"",""32"",""1"",""111305"""</f>
        <v>"NAV Direct","CRONUS JetCorp USA","32","1","111305"</v>
      </c>
      <c r="H398" s="86">
        <v>43472</v>
      </c>
      <c r="I398" s="85">
        <v>111305</v>
      </c>
      <c r="J398" s="84" t="str">
        <f>"Customer"</f>
        <v>Customer</v>
      </c>
      <c r="K398" s="84" t="str">
        <f>"C100099"</f>
        <v>C100099</v>
      </c>
      <c r="L398" s="84" t="str">
        <f>IF($J398="Customer",_xll.NL("first",$J398,"Name","No.","@@"&amp;$K398),"")</f>
        <v>Voltive Systems</v>
      </c>
      <c r="M398" s="84" t="str">
        <f>""</f>
        <v/>
      </c>
      <c r="N398" s="84" t="str">
        <f>IF($J398="Item",_xll.NL("first",$J398,"Description","No.","@@"&amp;$K398),"")</f>
        <v/>
      </c>
      <c r="O398" s="83">
        <v>0</v>
      </c>
      <c r="P398" s="83">
        <v>-1</v>
      </c>
      <c r="Q398" s="83">
        <v>0</v>
      </c>
      <c r="R398" s="83">
        <v>0</v>
      </c>
      <c r="S398" s="83">
        <v>0</v>
      </c>
      <c r="T398" s="83">
        <v>0</v>
      </c>
      <c r="U398" s="82"/>
    </row>
    <row r="399" spans="1:21" ht="17.25" customHeight="1" x14ac:dyDescent="0.3">
      <c r="A399" s="66" t="s">
        <v>30</v>
      </c>
      <c r="C399" s="67"/>
      <c r="D399" s="77" t="str">
        <f t="shared" si="237"/>
        <v>E100019</v>
      </c>
      <c r="E399" s="77"/>
      <c r="F399" s="76"/>
      <c r="G399" s="76" t="str">
        <f>"""NAV Direct"",""CRONUS JetCorp USA"",""32"",""1"",""3900"""</f>
        <v>"NAV Direct","CRONUS JetCorp USA","32","1","3900"</v>
      </c>
      <c r="H399" s="86">
        <v>43473</v>
      </c>
      <c r="I399" s="85">
        <v>3900</v>
      </c>
      <c r="J399" s="84" t="str">
        <f>"Customer"</f>
        <v>Customer</v>
      </c>
      <c r="K399" s="84" t="str">
        <f>"C100037"</f>
        <v>C100037</v>
      </c>
      <c r="L399" s="84" t="str">
        <f>IF($J399="Customer",_xll.NL("first",$J399,"Name","No.","@@"&amp;$K399),"")</f>
        <v>Tempsons Tropies</v>
      </c>
      <c r="M399" s="84" t="str">
        <f>""</f>
        <v/>
      </c>
      <c r="N399" s="84" t="str">
        <f>IF($J399="Item",_xll.NL("first",$J399,"Description","No.","@@"&amp;$K399),"")</f>
        <v/>
      </c>
      <c r="O399" s="83">
        <v>0</v>
      </c>
      <c r="P399" s="83">
        <v>-144</v>
      </c>
      <c r="Q399" s="83">
        <v>0</v>
      </c>
      <c r="R399" s="83">
        <v>0</v>
      </c>
      <c r="S399" s="83">
        <v>0</v>
      </c>
      <c r="T399" s="83">
        <v>0</v>
      </c>
      <c r="U399" s="82"/>
    </row>
    <row r="400" spans="1:21" ht="17.25" customHeight="1" x14ac:dyDescent="0.3">
      <c r="A400" s="66" t="s">
        <v>30</v>
      </c>
      <c r="C400" s="67"/>
      <c r="D400" s="77" t="str">
        <f t="shared" si="237"/>
        <v>E100019</v>
      </c>
      <c r="E400" s="77"/>
      <c r="F400" s="76"/>
      <c r="G400" s="76" t="str">
        <f>"""NAV Direct"",""CRONUS JetCorp USA"",""32"",""1"",""3924"""</f>
        <v>"NAV Direct","CRONUS JetCorp USA","32","1","3924"</v>
      </c>
      <c r="H400" s="86">
        <v>43475</v>
      </c>
      <c r="I400" s="85">
        <v>3924</v>
      </c>
      <c r="J400" s="84" t="str">
        <f>"Customer"</f>
        <v>Customer</v>
      </c>
      <c r="K400" s="84" t="str">
        <f>"C100099"</f>
        <v>C100099</v>
      </c>
      <c r="L400" s="84" t="str">
        <f>IF($J400="Customer",_xll.NL("first",$J400,"Name","No.","@@"&amp;$K400),"")</f>
        <v>Voltive Systems</v>
      </c>
      <c r="M400" s="84" t="str">
        <f>""</f>
        <v/>
      </c>
      <c r="N400" s="84" t="str">
        <f>IF($J400="Item",_xll.NL("first",$J400,"Description","No.","@@"&amp;$K400),"")</f>
        <v/>
      </c>
      <c r="O400" s="83">
        <v>0</v>
      </c>
      <c r="P400" s="83">
        <v>-144</v>
      </c>
      <c r="Q400" s="83">
        <v>0</v>
      </c>
      <c r="R400" s="83">
        <v>0</v>
      </c>
      <c r="S400" s="83">
        <v>0</v>
      </c>
      <c r="T400" s="83">
        <v>0</v>
      </c>
      <c r="U400" s="82"/>
    </row>
    <row r="401" spans="1:21" ht="17.25" customHeight="1" x14ac:dyDescent="0.3">
      <c r="A401" s="66" t="s">
        <v>30</v>
      </c>
      <c r="C401" s="67"/>
      <c r="D401" s="77"/>
      <c r="E401" s="77"/>
      <c r="F401" s="76"/>
      <c r="G401" s="76"/>
      <c r="H401" s="76"/>
      <c r="I401" s="76"/>
      <c r="J401" s="76"/>
      <c r="K401" s="76"/>
      <c r="L401" s="76"/>
      <c r="M401" s="76"/>
      <c r="N401" s="76"/>
      <c r="O401" s="75"/>
      <c r="P401" s="75"/>
      <c r="Q401" s="75"/>
      <c r="R401" s="75"/>
      <c r="S401" s="75"/>
      <c r="T401" s="75"/>
      <c r="U401" s="74"/>
    </row>
    <row r="402" spans="1:21" ht="17.25" customHeight="1" x14ac:dyDescent="0.3">
      <c r="A402" s="66" t="s">
        <v>30</v>
      </c>
      <c r="C402" s="67"/>
      <c r="D402" s="77"/>
      <c r="E402" s="77" t="s">
        <v>31</v>
      </c>
      <c r="F402" s="76" t="s">
        <v>31</v>
      </c>
      <c r="G402" s="76" t="s">
        <v>31</v>
      </c>
      <c r="H402" s="76"/>
      <c r="I402" s="76"/>
      <c r="J402" s="76" t="s">
        <v>31</v>
      </c>
      <c r="K402" s="76" t="s">
        <v>31</v>
      </c>
      <c r="L402" s="76" t="s">
        <v>31</v>
      </c>
      <c r="M402" s="76" t="s">
        <v>31</v>
      </c>
      <c r="N402" s="76"/>
      <c r="U402" s="81"/>
    </row>
    <row r="403" spans="1:21" ht="20.25" customHeight="1" x14ac:dyDescent="0.35">
      <c r="A403" s="66" t="s">
        <v>30</v>
      </c>
      <c r="C403" s="67"/>
      <c r="D403" s="92" t="str">
        <f t="shared" ref="D403" si="238">E403</f>
        <v>E100020</v>
      </c>
      <c r="E403" s="91" t="str">
        <f>"E100020"</f>
        <v>E100020</v>
      </c>
      <c r="F403" s="89" t="str">
        <f>"Flip-up Travel Alarm"</f>
        <v>Flip-up Travel Alarm</v>
      </c>
      <c r="G403" s="89"/>
      <c r="H403" s="90" t="str">
        <f>"EA"</f>
        <v>EA</v>
      </c>
      <c r="I403" s="89"/>
      <c r="J403" s="89"/>
      <c r="K403" s="89"/>
      <c r="L403" s="89"/>
      <c r="M403" s="89"/>
      <c r="N403" s="89"/>
      <c r="O403" s="88">
        <f>(SUBTOTAL(9,O404:O408))</f>
        <v>800</v>
      </c>
      <c r="P403" s="88">
        <f>(SUBTOTAL(9,P404:P408))</f>
        <v>-433</v>
      </c>
      <c r="Q403" s="88">
        <f>(SUBTOTAL(9,Q404:Q408))</f>
        <v>0</v>
      </c>
      <c r="R403" s="88">
        <f>(SUBTOTAL(9,R404:R408))</f>
        <v>0</v>
      </c>
      <c r="S403" s="88">
        <f>(SUBTOTAL(9,S404:S408))</f>
        <v>0</v>
      </c>
      <c r="T403" s="88">
        <f>(SUBTOTAL(9,T404:T408))</f>
        <v>0</v>
      </c>
      <c r="U403" s="87">
        <f t="shared" ref="U403" si="239">SUBTOTAL(9,O404:T408)</f>
        <v>367</v>
      </c>
    </row>
    <row r="404" spans="1:21" ht="17.25" customHeight="1" x14ac:dyDescent="0.3">
      <c r="A404" s="66" t="s">
        <v>30</v>
      </c>
      <c r="C404" s="67"/>
      <c r="D404" s="77" t="str">
        <f t="shared" ref="D404" si="240">D403</f>
        <v>E100020</v>
      </c>
      <c r="E404" s="77"/>
      <c r="F404" s="76"/>
      <c r="G404" s="76" t="str">
        <f>"""NAV Direct"",""CRONUS JetCorp USA"",""32"",""1"",""167553"""</f>
        <v>"NAV Direct","CRONUS JetCorp USA","32","1","167553"</v>
      </c>
      <c r="H404" s="86">
        <v>43466</v>
      </c>
      <c r="I404" s="85">
        <v>167553</v>
      </c>
      <c r="J404" s="84" t="str">
        <f>"Vendor"</f>
        <v>Vendor</v>
      </c>
      <c r="K404" s="84" t="str">
        <f>"V100007"</f>
        <v>V100007</v>
      </c>
      <c r="L404" s="84" t="str">
        <f>IF($J404="Customer",_xll.NL("first",$J404,"Name","No.","@@"&amp;$K404),"")</f>
        <v/>
      </c>
      <c r="M404" s="84" t="str">
        <f>"TrendTech"</f>
        <v>TrendTech</v>
      </c>
      <c r="N404" s="84" t="str">
        <f>IF($J404="Item",_xll.NL("first",$J404,"Description","No.","@@"&amp;$K404),"")</f>
        <v/>
      </c>
      <c r="O404" s="83">
        <v>800</v>
      </c>
      <c r="P404" s="83">
        <v>0</v>
      </c>
      <c r="Q404" s="83">
        <v>0</v>
      </c>
      <c r="R404" s="83">
        <v>0</v>
      </c>
      <c r="S404" s="83">
        <v>0</v>
      </c>
      <c r="T404" s="83">
        <v>0</v>
      </c>
      <c r="U404" s="82"/>
    </row>
    <row r="405" spans="1:21" ht="17.25" customHeight="1" x14ac:dyDescent="0.3">
      <c r="A405" s="66" t="s">
        <v>30</v>
      </c>
      <c r="C405" s="67"/>
      <c r="D405" s="77" t="str">
        <f t="shared" ref="D405:D407" si="241">D404</f>
        <v>E100020</v>
      </c>
      <c r="E405" s="77"/>
      <c r="F405" s="76"/>
      <c r="G405" s="76" t="str">
        <f>"""NAV Direct"",""CRONUS JetCorp USA"",""32"",""1"",""3910"""</f>
        <v>"NAV Direct","CRONUS JetCorp USA","32","1","3910"</v>
      </c>
      <c r="H405" s="86">
        <v>43472</v>
      </c>
      <c r="I405" s="85">
        <v>3910</v>
      </c>
      <c r="J405" s="84" t="str">
        <f>"Customer"</f>
        <v>Customer</v>
      </c>
      <c r="K405" s="84" t="str">
        <f>"C100099"</f>
        <v>C100099</v>
      </c>
      <c r="L405" s="84" t="str">
        <f>IF($J405="Customer",_xll.NL("first",$J405,"Name","No.","@@"&amp;$K405),"")</f>
        <v>Voltive Systems</v>
      </c>
      <c r="M405" s="84" t="str">
        <f>""</f>
        <v/>
      </c>
      <c r="N405" s="84" t="str">
        <f>IF($J405="Item",_xll.NL("first",$J405,"Description","No.","@@"&amp;$K405),"")</f>
        <v/>
      </c>
      <c r="O405" s="83">
        <v>0</v>
      </c>
      <c r="P405" s="83">
        <v>-145</v>
      </c>
      <c r="Q405" s="83">
        <v>0</v>
      </c>
      <c r="R405" s="83">
        <v>0</v>
      </c>
      <c r="S405" s="83">
        <v>0</v>
      </c>
      <c r="T405" s="83">
        <v>0</v>
      </c>
      <c r="U405" s="82"/>
    </row>
    <row r="406" spans="1:21" ht="17.25" customHeight="1" x14ac:dyDescent="0.3">
      <c r="A406" s="66" t="s">
        <v>30</v>
      </c>
      <c r="C406" s="67"/>
      <c r="D406" s="77" t="str">
        <f t="shared" si="241"/>
        <v>E100020</v>
      </c>
      <c r="E406" s="77"/>
      <c r="F406" s="76"/>
      <c r="G406" s="76" t="str">
        <f>"""NAV Direct"",""CRONUS JetCorp USA"",""32"",""1"",""3898"""</f>
        <v>"NAV Direct","CRONUS JetCorp USA","32","1","3898"</v>
      </c>
      <c r="H406" s="86">
        <v>43473</v>
      </c>
      <c r="I406" s="85">
        <v>3898</v>
      </c>
      <c r="J406" s="84" t="str">
        <f>"Customer"</f>
        <v>Customer</v>
      </c>
      <c r="K406" s="84" t="str">
        <f>"C100037"</f>
        <v>C100037</v>
      </c>
      <c r="L406" s="84" t="str">
        <f>IF($J406="Customer",_xll.NL("first",$J406,"Name","No.","@@"&amp;$K406),"")</f>
        <v>Tempsons Tropies</v>
      </c>
      <c r="M406" s="84" t="str">
        <f>""</f>
        <v/>
      </c>
      <c r="N406" s="84" t="str">
        <f>IF($J406="Item",_xll.NL("first",$J406,"Description","No.","@@"&amp;$K406),"")</f>
        <v/>
      </c>
      <c r="O406" s="83">
        <v>0</v>
      </c>
      <c r="P406" s="83">
        <v>-144</v>
      </c>
      <c r="Q406" s="83">
        <v>0</v>
      </c>
      <c r="R406" s="83">
        <v>0</v>
      </c>
      <c r="S406" s="83">
        <v>0</v>
      </c>
      <c r="T406" s="83">
        <v>0</v>
      </c>
      <c r="U406" s="82"/>
    </row>
    <row r="407" spans="1:21" ht="17.25" customHeight="1" x14ac:dyDescent="0.3">
      <c r="A407" s="66" t="s">
        <v>30</v>
      </c>
      <c r="C407" s="67"/>
      <c r="D407" s="77" t="str">
        <f t="shared" si="241"/>
        <v>E100020</v>
      </c>
      <c r="E407" s="77"/>
      <c r="F407" s="76"/>
      <c r="G407" s="76" t="str">
        <f>"""NAV Direct"",""CRONUS JetCorp USA"",""32"",""1"",""3921"""</f>
        <v>"NAV Direct","CRONUS JetCorp USA","32","1","3921"</v>
      </c>
      <c r="H407" s="86">
        <v>43475</v>
      </c>
      <c r="I407" s="85">
        <v>3921</v>
      </c>
      <c r="J407" s="84" t="str">
        <f>"Customer"</f>
        <v>Customer</v>
      </c>
      <c r="K407" s="84" t="str">
        <f>"C100099"</f>
        <v>C100099</v>
      </c>
      <c r="L407" s="84" t="str">
        <f>IF($J407="Customer",_xll.NL("first",$J407,"Name","No.","@@"&amp;$K407),"")</f>
        <v>Voltive Systems</v>
      </c>
      <c r="M407" s="84" t="str">
        <f>""</f>
        <v/>
      </c>
      <c r="N407" s="84" t="str">
        <f>IF($J407="Item",_xll.NL("first",$J407,"Description","No.","@@"&amp;$K407),"")</f>
        <v/>
      </c>
      <c r="O407" s="83">
        <v>0</v>
      </c>
      <c r="P407" s="83">
        <v>-144</v>
      </c>
      <c r="Q407" s="83">
        <v>0</v>
      </c>
      <c r="R407" s="83">
        <v>0</v>
      </c>
      <c r="S407" s="83">
        <v>0</v>
      </c>
      <c r="T407" s="83">
        <v>0</v>
      </c>
      <c r="U407" s="82"/>
    </row>
    <row r="408" spans="1:21" ht="17.25" customHeight="1" x14ac:dyDescent="0.3">
      <c r="A408" s="66" t="s">
        <v>30</v>
      </c>
      <c r="C408" s="67"/>
      <c r="D408" s="77"/>
      <c r="E408" s="77"/>
      <c r="F408" s="76"/>
      <c r="G408" s="76"/>
      <c r="H408" s="76"/>
      <c r="I408" s="76"/>
      <c r="J408" s="76"/>
      <c r="K408" s="76"/>
      <c r="L408" s="76"/>
      <c r="M408" s="76"/>
      <c r="N408" s="76"/>
      <c r="O408" s="75"/>
      <c r="P408" s="75"/>
      <c r="Q408" s="75"/>
      <c r="R408" s="75"/>
      <c r="S408" s="75"/>
      <c r="T408" s="75"/>
      <c r="U408" s="74"/>
    </row>
    <row r="409" spans="1:21" ht="17.25" customHeight="1" x14ac:dyDescent="0.3">
      <c r="A409" s="66" t="s">
        <v>30</v>
      </c>
      <c r="C409" s="67"/>
      <c r="D409" s="77"/>
      <c r="E409" s="77" t="s">
        <v>31</v>
      </c>
      <c r="F409" s="76" t="s">
        <v>31</v>
      </c>
      <c r="G409" s="76" t="s">
        <v>31</v>
      </c>
      <c r="H409" s="76"/>
      <c r="I409" s="76"/>
      <c r="J409" s="76" t="s">
        <v>31</v>
      </c>
      <c r="K409" s="76" t="s">
        <v>31</v>
      </c>
      <c r="L409" s="76" t="s">
        <v>31</v>
      </c>
      <c r="M409" s="76" t="s">
        <v>31</v>
      </c>
      <c r="N409" s="76"/>
      <c r="U409" s="81"/>
    </row>
    <row r="410" spans="1:21" ht="20.25" customHeight="1" x14ac:dyDescent="0.35">
      <c r="A410" s="66" t="s">
        <v>30</v>
      </c>
      <c r="C410" s="67"/>
      <c r="D410" s="92" t="str">
        <f t="shared" ref="D410" si="242">E410</f>
        <v>E100021</v>
      </c>
      <c r="E410" s="91" t="str">
        <f>"E100021"</f>
        <v>E100021</v>
      </c>
      <c r="F410" s="89" t="str">
        <f>"Slim Travel Alarm"</f>
        <v>Slim Travel Alarm</v>
      </c>
      <c r="G410" s="89"/>
      <c r="H410" s="90" t="str">
        <f>"EA"</f>
        <v>EA</v>
      </c>
      <c r="I410" s="89"/>
      <c r="J410" s="89"/>
      <c r="K410" s="89"/>
      <c r="L410" s="89"/>
      <c r="M410" s="89"/>
      <c r="N410" s="89"/>
      <c r="O410" s="88">
        <f>(SUBTOTAL(9,O411:O418))</f>
        <v>600</v>
      </c>
      <c r="P410" s="88">
        <f>(SUBTOTAL(9,P411:P418))</f>
        <v>-219</v>
      </c>
      <c r="Q410" s="88">
        <f>(SUBTOTAL(9,Q411:Q418))</f>
        <v>0</v>
      </c>
      <c r="R410" s="88">
        <f>(SUBTOTAL(9,R411:R418))</f>
        <v>0</v>
      </c>
      <c r="S410" s="88">
        <f>(SUBTOTAL(9,S411:S418))</f>
        <v>0</v>
      </c>
      <c r="T410" s="88">
        <f>(SUBTOTAL(9,T411:T418))</f>
        <v>0</v>
      </c>
      <c r="U410" s="87">
        <f t="shared" ref="U410" si="243">SUBTOTAL(9,O411:T418)</f>
        <v>381</v>
      </c>
    </row>
    <row r="411" spans="1:21" ht="17.25" customHeight="1" x14ac:dyDescent="0.3">
      <c r="A411" s="66" t="s">
        <v>30</v>
      </c>
      <c r="C411" s="67"/>
      <c r="D411" s="77" t="str">
        <f t="shared" ref="D411" si="244">D410</f>
        <v>E100021</v>
      </c>
      <c r="E411" s="77"/>
      <c r="F411" s="76"/>
      <c r="G411" s="76" t="str">
        <f>"""NAV Direct"",""CRONUS JetCorp USA"",""32"",""1"",""167552"""</f>
        <v>"NAV Direct","CRONUS JetCorp USA","32","1","167552"</v>
      </c>
      <c r="H411" s="86">
        <v>43466</v>
      </c>
      <c r="I411" s="85">
        <v>167552</v>
      </c>
      <c r="J411" s="84" t="str">
        <f>"Vendor"</f>
        <v>Vendor</v>
      </c>
      <c r="K411" s="84" t="str">
        <f>"V100007"</f>
        <v>V100007</v>
      </c>
      <c r="L411" s="84" t="str">
        <f>IF($J411="Customer",_xll.NL("first",$J411,"Name","No.","@@"&amp;$K411),"")</f>
        <v/>
      </c>
      <c r="M411" s="84" t="str">
        <f>"TrendTech"</f>
        <v>TrendTech</v>
      </c>
      <c r="N411" s="84" t="str">
        <f>IF($J411="Item",_xll.NL("first",$J411,"Description","No.","@@"&amp;$K411),"")</f>
        <v/>
      </c>
      <c r="O411" s="83">
        <v>600</v>
      </c>
      <c r="P411" s="83">
        <v>0</v>
      </c>
      <c r="Q411" s="83">
        <v>0</v>
      </c>
      <c r="R411" s="83">
        <v>0</v>
      </c>
      <c r="S411" s="83">
        <v>0</v>
      </c>
      <c r="T411" s="83">
        <v>0</v>
      </c>
      <c r="U411" s="82"/>
    </row>
    <row r="412" spans="1:21" ht="17.25" customHeight="1" x14ac:dyDescent="0.3">
      <c r="A412" s="66" t="s">
        <v>30</v>
      </c>
      <c r="C412" s="67"/>
      <c r="D412" s="77" t="str">
        <f t="shared" ref="D412:D417" si="245">D411</f>
        <v>E100021</v>
      </c>
      <c r="E412" s="77"/>
      <c r="F412" s="76"/>
      <c r="G412" s="76" t="str">
        <f>"""NAV Direct"",""CRONUS JetCorp USA"",""32"",""1"",""3894"""</f>
        <v>"NAV Direct","CRONUS JetCorp USA","32","1","3894"</v>
      </c>
      <c r="H412" s="86">
        <v>43467</v>
      </c>
      <c r="I412" s="85">
        <v>3894</v>
      </c>
      <c r="J412" s="84" t="str">
        <f>"Customer"</f>
        <v>Customer</v>
      </c>
      <c r="K412" s="84" t="str">
        <f>"C100099"</f>
        <v>C100099</v>
      </c>
      <c r="L412" s="84" t="str">
        <f>IF($J412="Customer",_xll.NL("first",$J412,"Name","No.","@@"&amp;$K412),"")</f>
        <v>Voltive Systems</v>
      </c>
      <c r="M412" s="84" t="str">
        <f>""</f>
        <v/>
      </c>
      <c r="N412" s="84" t="str">
        <f>IF($J412="Item",_xll.NL("first",$J412,"Description","No.","@@"&amp;$K412),"")</f>
        <v/>
      </c>
      <c r="O412" s="83">
        <v>0</v>
      </c>
      <c r="P412" s="83">
        <v>-1</v>
      </c>
      <c r="Q412" s="83">
        <v>0</v>
      </c>
      <c r="R412" s="83">
        <v>0</v>
      </c>
      <c r="S412" s="83">
        <v>0</v>
      </c>
      <c r="T412" s="83">
        <v>0</v>
      </c>
      <c r="U412" s="82"/>
    </row>
    <row r="413" spans="1:21" ht="17.25" customHeight="1" x14ac:dyDescent="0.3">
      <c r="A413" s="66" t="s">
        <v>30</v>
      </c>
      <c r="C413" s="67"/>
      <c r="D413" s="77" t="str">
        <f t="shared" si="245"/>
        <v>E100021</v>
      </c>
      <c r="E413" s="77"/>
      <c r="F413" s="76"/>
      <c r="G413" s="76" t="str">
        <f>"""NAV Direct"",""CRONUS JetCorp USA"",""32"",""1"",""111283"""</f>
        <v>"NAV Direct","CRONUS JetCorp USA","32","1","111283"</v>
      </c>
      <c r="H413" s="86">
        <v>43472</v>
      </c>
      <c r="I413" s="85">
        <v>111283</v>
      </c>
      <c r="J413" s="84" t="str">
        <f>"Customer"</f>
        <v>Customer</v>
      </c>
      <c r="K413" s="84" t="str">
        <f>"C100099"</f>
        <v>C100099</v>
      </c>
      <c r="L413" s="84" t="str">
        <f>IF($J413="Customer",_xll.NL("first",$J413,"Name","No.","@@"&amp;$K413),"")</f>
        <v>Voltive Systems</v>
      </c>
      <c r="M413" s="84" t="str">
        <f>""</f>
        <v/>
      </c>
      <c r="N413" s="84" t="str">
        <f>IF($J413="Item",_xll.NL("first",$J413,"Description","No.","@@"&amp;$K413),"")</f>
        <v/>
      </c>
      <c r="O413" s="83">
        <v>0</v>
      </c>
      <c r="P413" s="83">
        <v>-24</v>
      </c>
      <c r="Q413" s="83">
        <v>0</v>
      </c>
      <c r="R413" s="83">
        <v>0</v>
      </c>
      <c r="S413" s="83">
        <v>0</v>
      </c>
      <c r="T413" s="83">
        <v>0</v>
      </c>
      <c r="U413" s="82"/>
    </row>
    <row r="414" spans="1:21" ht="17.25" customHeight="1" x14ac:dyDescent="0.3">
      <c r="A414" s="66" t="s">
        <v>30</v>
      </c>
      <c r="C414" s="67"/>
      <c r="D414" s="77" t="str">
        <f t="shared" si="245"/>
        <v>E100021</v>
      </c>
      <c r="E414" s="77"/>
      <c r="F414" s="76"/>
      <c r="G414" s="76" t="str">
        <f>"""NAV Direct"",""CRONUS JetCorp USA"",""32"",""1"",""111307"""</f>
        <v>"NAV Direct","CRONUS JetCorp USA","32","1","111307"</v>
      </c>
      <c r="H414" s="86">
        <v>43472</v>
      </c>
      <c r="I414" s="85">
        <v>111307</v>
      </c>
      <c r="J414" s="84" t="str">
        <f>"Customer"</f>
        <v>Customer</v>
      </c>
      <c r="K414" s="84" t="str">
        <f>"C100099"</f>
        <v>C100099</v>
      </c>
      <c r="L414" s="84" t="str">
        <f>IF($J414="Customer",_xll.NL("first",$J414,"Name","No.","@@"&amp;$K414),"")</f>
        <v>Voltive Systems</v>
      </c>
      <c r="M414" s="84" t="str">
        <f>""</f>
        <v/>
      </c>
      <c r="N414" s="84" t="str">
        <f>IF($J414="Item",_xll.NL("first",$J414,"Description","No.","@@"&amp;$K414),"")</f>
        <v/>
      </c>
      <c r="O414" s="83">
        <v>0</v>
      </c>
      <c r="P414" s="83">
        <v>-1</v>
      </c>
      <c r="Q414" s="83">
        <v>0</v>
      </c>
      <c r="R414" s="83">
        <v>0</v>
      </c>
      <c r="S414" s="83">
        <v>0</v>
      </c>
      <c r="T414" s="83">
        <v>0</v>
      </c>
      <c r="U414" s="82"/>
    </row>
    <row r="415" spans="1:21" ht="17.25" customHeight="1" x14ac:dyDescent="0.3">
      <c r="A415" s="66" t="s">
        <v>30</v>
      </c>
      <c r="C415" s="67"/>
      <c r="D415" s="77" t="str">
        <f t="shared" si="245"/>
        <v>E100021</v>
      </c>
      <c r="E415" s="77"/>
      <c r="F415" s="76"/>
      <c r="G415" s="76" t="str">
        <f>"""NAV Direct"",""CRONUS JetCorp USA"",""32"",""1"",""3906"""</f>
        <v>"NAV Direct","CRONUS JetCorp USA","32","1","3906"</v>
      </c>
      <c r="H415" s="86">
        <v>43473</v>
      </c>
      <c r="I415" s="85">
        <v>3906</v>
      </c>
      <c r="J415" s="84" t="str">
        <f>"Customer"</f>
        <v>Customer</v>
      </c>
      <c r="K415" s="84" t="str">
        <f>"C100037"</f>
        <v>C100037</v>
      </c>
      <c r="L415" s="84" t="str">
        <f>IF($J415="Customer",_xll.NL("first",$J415,"Name","No.","@@"&amp;$K415),"")</f>
        <v>Tempsons Tropies</v>
      </c>
      <c r="M415" s="84" t="str">
        <f>""</f>
        <v/>
      </c>
      <c r="N415" s="84" t="str">
        <f>IF($J415="Item",_xll.NL("first",$J415,"Description","No.","@@"&amp;$K415),"")</f>
        <v/>
      </c>
      <c r="O415" s="83">
        <v>0</v>
      </c>
      <c r="P415" s="83">
        <v>-1</v>
      </c>
      <c r="Q415" s="83">
        <v>0</v>
      </c>
      <c r="R415" s="83">
        <v>0</v>
      </c>
      <c r="S415" s="83">
        <v>0</v>
      </c>
      <c r="T415" s="83">
        <v>0</v>
      </c>
      <c r="U415" s="82"/>
    </row>
    <row r="416" spans="1:21" ht="17.25" customHeight="1" x14ac:dyDescent="0.3">
      <c r="A416" s="66" t="s">
        <v>30</v>
      </c>
      <c r="C416" s="67"/>
      <c r="D416" s="77" t="str">
        <f t="shared" si="245"/>
        <v>E100021</v>
      </c>
      <c r="E416" s="77"/>
      <c r="F416" s="76"/>
      <c r="G416" s="76" t="str">
        <f>"""NAV Direct"",""CRONUS JetCorp USA"",""32"",""1"",""114286"""</f>
        <v>"NAV Direct","CRONUS JetCorp USA","32","1","114286"</v>
      </c>
      <c r="H416" s="86">
        <v>43473</v>
      </c>
      <c r="I416" s="85">
        <v>114286</v>
      </c>
      <c r="J416" s="84" t="str">
        <f>"Customer"</f>
        <v>Customer</v>
      </c>
      <c r="K416" s="84" t="str">
        <f>"C100083"</f>
        <v>C100083</v>
      </c>
      <c r="L416" s="84" t="str">
        <f>IF($J416="Customer",_xll.NL("first",$J416,"Name","No.","@@"&amp;$K416),"")</f>
        <v>Stanfords</v>
      </c>
      <c r="M416" s="84" t="str">
        <f>""</f>
        <v/>
      </c>
      <c r="N416" s="84" t="str">
        <f>IF($J416="Item",_xll.NL("first",$J416,"Description","No.","@@"&amp;$K416),"")</f>
        <v/>
      </c>
      <c r="O416" s="83">
        <v>0</v>
      </c>
      <c r="P416" s="83">
        <v>-48</v>
      </c>
      <c r="Q416" s="83">
        <v>0</v>
      </c>
      <c r="R416" s="83">
        <v>0</v>
      </c>
      <c r="S416" s="83">
        <v>0</v>
      </c>
      <c r="T416" s="83">
        <v>0</v>
      </c>
      <c r="U416" s="82"/>
    </row>
    <row r="417" spans="1:21" ht="17.25" customHeight="1" x14ac:dyDescent="0.3">
      <c r="A417" s="66" t="s">
        <v>30</v>
      </c>
      <c r="C417" s="67"/>
      <c r="D417" s="77" t="str">
        <f t="shared" si="245"/>
        <v>E100021</v>
      </c>
      <c r="E417" s="77"/>
      <c r="F417" s="76"/>
      <c r="G417" s="76" t="str">
        <f>"""NAV Direct"",""CRONUS JetCorp USA"",""32"",""1"",""3925"""</f>
        <v>"NAV Direct","CRONUS JetCorp USA","32","1","3925"</v>
      </c>
      <c r="H417" s="86">
        <v>43475</v>
      </c>
      <c r="I417" s="85">
        <v>3925</v>
      </c>
      <c r="J417" s="84" t="str">
        <f>"Customer"</f>
        <v>Customer</v>
      </c>
      <c r="K417" s="84" t="str">
        <f>"C100099"</f>
        <v>C100099</v>
      </c>
      <c r="L417" s="84" t="str">
        <f>IF($J417="Customer",_xll.NL("first",$J417,"Name","No.","@@"&amp;$K417),"")</f>
        <v>Voltive Systems</v>
      </c>
      <c r="M417" s="84" t="str">
        <f>""</f>
        <v/>
      </c>
      <c r="N417" s="84" t="str">
        <f>IF($J417="Item",_xll.NL("first",$J417,"Description","No.","@@"&amp;$K417),"")</f>
        <v/>
      </c>
      <c r="O417" s="83">
        <v>0</v>
      </c>
      <c r="P417" s="83">
        <v>-144</v>
      </c>
      <c r="Q417" s="83">
        <v>0</v>
      </c>
      <c r="R417" s="83">
        <v>0</v>
      </c>
      <c r="S417" s="83">
        <v>0</v>
      </c>
      <c r="T417" s="83">
        <v>0</v>
      </c>
      <c r="U417" s="82"/>
    </row>
    <row r="418" spans="1:21" ht="17.25" customHeight="1" x14ac:dyDescent="0.3">
      <c r="A418" s="66" t="s">
        <v>30</v>
      </c>
      <c r="C418" s="67"/>
      <c r="D418" s="77"/>
      <c r="E418" s="77"/>
      <c r="F418" s="76"/>
      <c r="G418" s="76"/>
      <c r="H418" s="76"/>
      <c r="I418" s="76"/>
      <c r="J418" s="76"/>
      <c r="K418" s="76"/>
      <c r="L418" s="76"/>
      <c r="M418" s="76"/>
      <c r="N418" s="76"/>
      <c r="O418" s="75"/>
      <c r="P418" s="75"/>
      <c r="Q418" s="75"/>
      <c r="R418" s="75"/>
      <c r="S418" s="75"/>
      <c r="T418" s="75"/>
      <c r="U418" s="74"/>
    </row>
    <row r="419" spans="1:21" ht="17.25" customHeight="1" x14ac:dyDescent="0.3">
      <c r="A419" s="66" t="s">
        <v>30</v>
      </c>
      <c r="C419" s="67"/>
      <c r="D419" s="77"/>
      <c r="E419" s="77" t="s">
        <v>31</v>
      </c>
      <c r="F419" s="76" t="s">
        <v>31</v>
      </c>
      <c r="G419" s="76" t="s">
        <v>31</v>
      </c>
      <c r="H419" s="76"/>
      <c r="I419" s="76"/>
      <c r="J419" s="76" t="s">
        <v>31</v>
      </c>
      <c r="K419" s="76" t="s">
        <v>31</v>
      </c>
      <c r="L419" s="76" t="s">
        <v>31</v>
      </c>
      <c r="M419" s="76" t="s">
        <v>31</v>
      </c>
      <c r="N419" s="76"/>
      <c r="U419" s="81"/>
    </row>
    <row r="420" spans="1:21" ht="20.25" customHeight="1" x14ac:dyDescent="0.35">
      <c r="A420" s="66" t="s">
        <v>30</v>
      </c>
      <c r="C420" s="67"/>
      <c r="D420" s="92" t="str">
        <f t="shared" ref="D420" si="246">E420</f>
        <v>E100022</v>
      </c>
      <c r="E420" s="91" t="str">
        <f>"E100022"</f>
        <v>E100022</v>
      </c>
      <c r="F420" s="89" t="str">
        <f>"Wide Screen Alarm Clock"</f>
        <v>Wide Screen Alarm Clock</v>
      </c>
      <c r="G420" s="89"/>
      <c r="H420" s="90" t="str">
        <f>"EA"</f>
        <v>EA</v>
      </c>
      <c r="I420" s="89"/>
      <c r="J420" s="89"/>
      <c r="K420" s="89"/>
      <c r="L420" s="89"/>
      <c r="M420" s="89"/>
      <c r="N420" s="89"/>
      <c r="O420" s="88">
        <f>(SUBTOTAL(9,O421:O429))</f>
        <v>1200</v>
      </c>
      <c r="P420" s="88">
        <f>(SUBTOTAL(9,P421:P429))</f>
        <v>-607</v>
      </c>
      <c r="Q420" s="88">
        <f>(SUBTOTAL(9,Q421:Q429))</f>
        <v>0</v>
      </c>
      <c r="R420" s="88">
        <f>(SUBTOTAL(9,R421:R429))</f>
        <v>0</v>
      </c>
      <c r="S420" s="88">
        <f>(SUBTOTAL(9,S421:S429))</f>
        <v>0</v>
      </c>
      <c r="T420" s="88">
        <f>(SUBTOTAL(9,T421:T429))</f>
        <v>0</v>
      </c>
      <c r="U420" s="87">
        <f t="shared" ref="U420" si="247">SUBTOTAL(9,O421:T429)</f>
        <v>593</v>
      </c>
    </row>
    <row r="421" spans="1:21" ht="17.25" customHeight="1" x14ac:dyDescent="0.3">
      <c r="A421" s="66" t="s">
        <v>30</v>
      </c>
      <c r="C421" s="67"/>
      <c r="D421" s="77" t="str">
        <f t="shared" ref="D421" si="248">D420</f>
        <v>E100022</v>
      </c>
      <c r="E421" s="77"/>
      <c r="F421" s="76"/>
      <c r="G421" s="76" t="str">
        <f>"""NAV Direct"",""CRONUS JetCorp USA"",""32"",""1"",""167551"""</f>
        <v>"NAV Direct","CRONUS JetCorp USA","32","1","167551"</v>
      </c>
      <c r="H421" s="86">
        <v>43466</v>
      </c>
      <c r="I421" s="85">
        <v>167551</v>
      </c>
      <c r="J421" s="84" t="str">
        <f>"Vendor"</f>
        <v>Vendor</v>
      </c>
      <c r="K421" s="84" t="str">
        <f>"V100007"</f>
        <v>V100007</v>
      </c>
      <c r="L421" s="84" t="str">
        <f>IF($J421="Customer",_xll.NL("first",$J421,"Name","No.","@@"&amp;$K421),"")</f>
        <v/>
      </c>
      <c r="M421" s="84" t="str">
        <f>"TrendTech"</f>
        <v>TrendTech</v>
      </c>
      <c r="N421" s="84" t="str">
        <f>IF($J421="Item",_xll.NL("first",$J421,"Description","No.","@@"&amp;$K421),"")</f>
        <v/>
      </c>
      <c r="O421" s="83">
        <v>1200</v>
      </c>
      <c r="P421" s="83">
        <v>0</v>
      </c>
      <c r="Q421" s="83">
        <v>0</v>
      </c>
      <c r="R421" s="83">
        <v>0</v>
      </c>
      <c r="S421" s="83">
        <v>0</v>
      </c>
      <c r="T421" s="83">
        <v>0</v>
      </c>
      <c r="U421" s="82"/>
    </row>
    <row r="422" spans="1:21" ht="17.25" customHeight="1" x14ac:dyDescent="0.3">
      <c r="A422" s="66" t="s">
        <v>30</v>
      </c>
      <c r="C422" s="67"/>
      <c r="D422" s="77" t="str">
        <f t="shared" ref="D422:D428" si="249">D421</f>
        <v>E100022</v>
      </c>
      <c r="E422" s="77"/>
      <c r="F422" s="76"/>
      <c r="G422" s="76" t="str">
        <f>"""NAV Direct"",""CRONUS JetCorp USA"",""32"",""1"",""3893"""</f>
        <v>"NAV Direct","CRONUS JetCorp USA","32","1","3893"</v>
      </c>
      <c r="H422" s="86">
        <v>43467</v>
      </c>
      <c r="I422" s="85">
        <v>3893</v>
      </c>
      <c r="J422" s="84" t="str">
        <f>"Customer"</f>
        <v>Customer</v>
      </c>
      <c r="K422" s="84" t="str">
        <f>"C100099"</f>
        <v>C100099</v>
      </c>
      <c r="L422" s="84" t="str">
        <f>IF($J422="Customer",_xll.NL("first",$J422,"Name","No.","@@"&amp;$K422),"")</f>
        <v>Voltive Systems</v>
      </c>
      <c r="M422" s="84" t="str">
        <f>""</f>
        <v/>
      </c>
      <c r="N422" s="84" t="str">
        <f>IF($J422="Item",_xll.NL("first",$J422,"Description","No.","@@"&amp;$K422),"")</f>
        <v/>
      </c>
      <c r="O422" s="83">
        <v>0</v>
      </c>
      <c r="P422" s="83">
        <v>-3</v>
      </c>
      <c r="Q422" s="83">
        <v>0</v>
      </c>
      <c r="R422" s="83">
        <v>0</v>
      </c>
      <c r="S422" s="83">
        <v>0</v>
      </c>
      <c r="T422" s="83">
        <v>0</v>
      </c>
      <c r="U422" s="82"/>
    </row>
    <row r="423" spans="1:21" ht="17.25" customHeight="1" x14ac:dyDescent="0.3">
      <c r="A423" s="66" t="s">
        <v>30</v>
      </c>
      <c r="C423" s="67"/>
      <c r="D423" s="77" t="str">
        <f t="shared" si="249"/>
        <v>E100022</v>
      </c>
      <c r="E423" s="77"/>
      <c r="F423" s="76"/>
      <c r="G423" s="76" t="str">
        <f>"""NAV Direct"",""CRONUS JetCorp USA"",""32"",""1"",""111292"""</f>
        <v>"NAV Direct","CRONUS JetCorp USA","32","1","111292"</v>
      </c>
      <c r="H423" s="86">
        <v>43470</v>
      </c>
      <c r="I423" s="85">
        <v>111292</v>
      </c>
      <c r="J423" s="84" t="str">
        <f>"Customer"</f>
        <v>Customer</v>
      </c>
      <c r="K423" s="84" t="str">
        <f>"C100037"</f>
        <v>C100037</v>
      </c>
      <c r="L423" s="84" t="str">
        <f>IF($J423="Customer",_xll.NL("first",$J423,"Name","No.","@@"&amp;$K423),"")</f>
        <v>Tempsons Tropies</v>
      </c>
      <c r="M423" s="84" t="str">
        <f>""</f>
        <v/>
      </c>
      <c r="N423" s="84" t="str">
        <f>IF($J423="Item",_xll.NL("first",$J423,"Description","No.","@@"&amp;$K423),"")</f>
        <v/>
      </c>
      <c r="O423" s="83">
        <v>0</v>
      </c>
      <c r="P423" s="83">
        <v>-168</v>
      </c>
      <c r="Q423" s="83">
        <v>0</v>
      </c>
      <c r="R423" s="83">
        <v>0</v>
      </c>
      <c r="S423" s="83">
        <v>0</v>
      </c>
      <c r="T423" s="83">
        <v>0</v>
      </c>
      <c r="U423" s="82"/>
    </row>
    <row r="424" spans="1:21" ht="17.25" customHeight="1" x14ac:dyDescent="0.3">
      <c r="A424" s="66" t="s">
        <v>30</v>
      </c>
      <c r="C424" s="67"/>
      <c r="D424" s="77" t="str">
        <f t="shared" si="249"/>
        <v>E100022</v>
      </c>
      <c r="E424" s="77"/>
      <c r="F424" s="76"/>
      <c r="G424" s="76" t="str">
        <f>"""NAV Direct"",""CRONUS JetCorp USA"",""32"",""1"",""3916"""</f>
        <v>"NAV Direct","CRONUS JetCorp USA","32","1","3916"</v>
      </c>
      <c r="H424" s="86">
        <v>43472</v>
      </c>
      <c r="I424" s="85">
        <v>3916</v>
      </c>
      <c r="J424" s="84" t="str">
        <f>"Customer"</f>
        <v>Customer</v>
      </c>
      <c r="K424" s="84" t="str">
        <f>"C100099"</f>
        <v>C100099</v>
      </c>
      <c r="L424" s="84" t="str">
        <f>IF($J424="Customer",_xll.NL("first",$J424,"Name","No.","@@"&amp;$K424),"")</f>
        <v>Voltive Systems</v>
      </c>
      <c r="M424" s="84" t="str">
        <f>""</f>
        <v/>
      </c>
      <c r="N424" s="84" t="str">
        <f>IF($J424="Item",_xll.NL("first",$J424,"Description","No.","@@"&amp;$K424),"")</f>
        <v/>
      </c>
      <c r="O424" s="83">
        <v>0</v>
      </c>
      <c r="P424" s="83">
        <v>-1</v>
      </c>
      <c r="Q424" s="83">
        <v>0</v>
      </c>
      <c r="R424" s="83">
        <v>0</v>
      </c>
      <c r="S424" s="83">
        <v>0</v>
      </c>
      <c r="T424" s="83">
        <v>0</v>
      </c>
      <c r="U424" s="82"/>
    </row>
    <row r="425" spans="1:21" ht="17.25" customHeight="1" x14ac:dyDescent="0.3">
      <c r="A425" s="66" t="s">
        <v>30</v>
      </c>
      <c r="C425" s="67"/>
      <c r="D425" s="77" t="str">
        <f t="shared" si="249"/>
        <v>E100022</v>
      </c>
      <c r="E425" s="77"/>
      <c r="F425" s="76"/>
      <c r="G425" s="76" t="str">
        <f>"""NAV Direct"",""CRONUS JetCorp USA"",""32"",""1"",""111308"""</f>
        <v>"NAV Direct","CRONUS JetCorp USA","32","1","111308"</v>
      </c>
      <c r="H425" s="86">
        <v>43472</v>
      </c>
      <c r="I425" s="85">
        <v>111308</v>
      </c>
      <c r="J425" s="84" t="str">
        <f>"Customer"</f>
        <v>Customer</v>
      </c>
      <c r="K425" s="84" t="str">
        <f>"C100099"</f>
        <v>C100099</v>
      </c>
      <c r="L425" s="84" t="str">
        <f>IF($J425="Customer",_xll.NL("first",$J425,"Name","No.","@@"&amp;$K425),"")</f>
        <v>Voltive Systems</v>
      </c>
      <c r="M425" s="84" t="str">
        <f>""</f>
        <v/>
      </c>
      <c r="N425" s="84" t="str">
        <f>IF($J425="Item",_xll.NL("first",$J425,"Description","No.","@@"&amp;$K425),"")</f>
        <v/>
      </c>
      <c r="O425" s="83">
        <v>0</v>
      </c>
      <c r="P425" s="83">
        <v>-1</v>
      </c>
      <c r="Q425" s="83">
        <v>0</v>
      </c>
      <c r="R425" s="83">
        <v>0</v>
      </c>
      <c r="S425" s="83">
        <v>0</v>
      </c>
      <c r="T425" s="83">
        <v>0</v>
      </c>
      <c r="U425" s="82"/>
    </row>
    <row r="426" spans="1:21" ht="17.25" customHeight="1" x14ac:dyDescent="0.3">
      <c r="A426" s="66" t="s">
        <v>30</v>
      </c>
      <c r="C426" s="67"/>
      <c r="D426" s="77" t="str">
        <f t="shared" si="249"/>
        <v>E100022</v>
      </c>
      <c r="E426" s="77"/>
      <c r="F426" s="76"/>
      <c r="G426" s="76" t="str">
        <f>"""NAV Direct"",""CRONUS JetCorp USA"",""32"",""1"",""111312"""</f>
        <v>"NAV Direct","CRONUS JetCorp USA","32","1","111312"</v>
      </c>
      <c r="H426" s="86">
        <v>43472</v>
      </c>
      <c r="I426" s="85">
        <v>111312</v>
      </c>
      <c r="J426" s="84" t="str">
        <f>"Customer"</f>
        <v>Customer</v>
      </c>
      <c r="K426" s="84" t="str">
        <f>"C100099"</f>
        <v>C100099</v>
      </c>
      <c r="L426" s="84" t="str">
        <f>IF($J426="Customer",_xll.NL("first",$J426,"Name","No.","@@"&amp;$K426),"")</f>
        <v>Voltive Systems</v>
      </c>
      <c r="M426" s="84" t="str">
        <f>""</f>
        <v/>
      </c>
      <c r="N426" s="84" t="str">
        <f>IF($J426="Item",_xll.NL("first",$J426,"Description","No.","@@"&amp;$K426),"")</f>
        <v/>
      </c>
      <c r="O426" s="83">
        <v>0</v>
      </c>
      <c r="P426" s="83">
        <v>-289</v>
      </c>
      <c r="Q426" s="83">
        <v>0</v>
      </c>
      <c r="R426" s="83">
        <v>0</v>
      </c>
      <c r="S426" s="83">
        <v>0</v>
      </c>
      <c r="T426" s="83">
        <v>0</v>
      </c>
      <c r="U426" s="82"/>
    </row>
    <row r="427" spans="1:21" ht="17.25" customHeight="1" x14ac:dyDescent="0.3">
      <c r="A427" s="66" t="s">
        <v>30</v>
      </c>
      <c r="C427" s="67"/>
      <c r="D427" s="77" t="str">
        <f t="shared" si="249"/>
        <v>E100022</v>
      </c>
      <c r="E427" s="77"/>
      <c r="F427" s="76"/>
      <c r="G427" s="76" t="str">
        <f>"""NAV Direct"",""CRONUS JetCorp USA"",""32"",""1"",""3926"""</f>
        <v>"NAV Direct","CRONUS JetCorp USA","32","1","3926"</v>
      </c>
      <c r="H427" s="86">
        <v>43475</v>
      </c>
      <c r="I427" s="85">
        <v>3926</v>
      </c>
      <c r="J427" s="84" t="str">
        <f>"Customer"</f>
        <v>Customer</v>
      </c>
      <c r="K427" s="84" t="str">
        <f>"C100099"</f>
        <v>C100099</v>
      </c>
      <c r="L427" s="84" t="str">
        <f>IF($J427="Customer",_xll.NL("first",$J427,"Name","No.","@@"&amp;$K427),"")</f>
        <v>Voltive Systems</v>
      </c>
      <c r="M427" s="84" t="str">
        <f>""</f>
        <v/>
      </c>
      <c r="N427" s="84" t="str">
        <f>IF($J427="Item",_xll.NL("first",$J427,"Description","No.","@@"&amp;$K427),"")</f>
        <v/>
      </c>
      <c r="O427" s="83">
        <v>0</v>
      </c>
      <c r="P427" s="83">
        <v>-144</v>
      </c>
      <c r="Q427" s="83">
        <v>0</v>
      </c>
      <c r="R427" s="83">
        <v>0</v>
      </c>
      <c r="S427" s="83">
        <v>0</v>
      </c>
      <c r="T427" s="83">
        <v>0</v>
      </c>
      <c r="U427" s="82"/>
    </row>
    <row r="428" spans="1:21" ht="17.25" customHeight="1" x14ac:dyDescent="0.3">
      <c r="A428" s="66" t="s">
        <v>30</v>
      </c>
      <c r="C428" s="67"/>
      <c r="D428" s="77" t="str">
        <f t="shared" si="249"/>
        <v>E100022</v>
      </c>
      <c r="E428" s="77"/>
      <c r="F428" s="76"/>
      <c r="G428" s="76" t="str">
        <f>"""NAV Direct"",""CRONUS JetCorp USA"",""32"",""1"",""7581"""</f>
        <v>"NAV Direct","CRONUS JetCorp USA","32","1","7581"</v>
      </c>
      <c r="H428" s="86">
        <v>43476</v>
      </c>
      <c r="I428" s="85">
        <v>7581</v>
      </c>
      <c r="J428" s="84" t="str">
        <f>"Customer"</f>
        <v>Customer</v>
      </c>
      <c r="K428" s="84" t="str">
        <f>"C100083"</f>
        <v>C100083</v>
      </c>
      <c r="L428" s="84" t="str">
        <f>IF($J428="Customer",_xll.NL("first",$J428,"Name","No.","@@"&amp;$K428),"")</f>
        <v>Stanfords</v>
      </c>
      <c r="M428" s="84" t="str">
        <f>""</f>
        <v/>
      </c>
      <c r="N428" s="84" t="str">
        <f>IF($J428="Item",_xll.NL("first",$J428,"Description","No.","@@"&amp;$K428),"")</f>
        <v/>
      </c>
      <c r="O428" s="83">
        <v>0</v>
      </c>
      <c r="P428" s="83">
        <v>-1</v>
      </c>
      <c r="Q428" s="83">
        <v>0</v>
      </c>
      <c r="R428" s="83">
        <v>0</v>
      </c>
      <c r="S428" s="83">
        <v>0</v>
      </c>
      <c r="T428" s="83">
        <v>0</v>
      </c>
      <c r="U428" s="82"/>
    </row>
    <row r="429" spans="1:21" ht="17.25" customHeight="1" x14ac:dyDescent="0.3">
      <c r="A429" s="66" t="s">
        <v>30</v>
      </c>
      <c r="C429" s="67"/>
      <c r="D429" s="77"/>
      <c r="E429" s="77"/>
      <c r="F429" s="76"/>
      <c r="G429" s="76"/>
      <c r="H429" s="76"/>
      <c r="I429" s="76"/>
      <c r="J429" s="76"/>
      <c r="K429" s="76"/>
      <c r="L429" s="76"/>
      <c r="M429" s="76"/>
      <c r="N429" s="76"/>
      <c r="O429" s="75"/>
      <c r="P429" s="75"/>
      <c r="Q429" s="75"/>
      <c r="R429" s="75"/>
      <c r="S429" s="75"/>
      <c r="T429" s="75"/>
      <c r="U429" s="74"/>
    </row>
    <row r="430" spans="1:21" ht="17.25" customHeight="1" x14ac:dyDescent="0.3">
      <c r="A430" s="66" t="s">
        <v>30</v>
      </c>
      <c r="C430" s="67"/>
      <c r="D430" s="77"/>
      <c r="E430" s="77" t="s">
        <v>31</v>
      </c>
      <c r="F430" s="76" t="s">
        <v>31</v>
      </c>
      <c r="G430" s="76" t="s">
        <v>31</v>
      </c>
      <c r="H430" s="76"/>
      <c r="I430" s="76"/>
      <c r="J430" s="76" t="s">
        <v>31</v>
      </c>
      <c r="K430" s="76" t="s">
        <v>31</v>
      </c>
      <c r="L430" s="76" t="s">
        <v>31</v>
      </c>
      <c r="M430" s="76" t="s">
        <v>31</v>
      </c>
      <c r="N430" s="76"/>
      <c r="U430" s="81"/>
    </row>
    <row r="431" spans="1:21" ht="20.25" customHeight="1" x14ac:dyDescent="0.35">
      <c r="A431" s="66" t="s">
        <v>30</v>
      </c>
      <c r="C431" s="67"/>
      <c r="D431" s="92" t="str">
        <f t="shared" ref="D431" si="250">E431</f>
        <v>E100024</v>
      </c>
      <c r="E431" s="91" t="str">
        <f>"E100024"</f>
        <v>E100024</v>
      </c>
      <c r="F431" s="89" t="str">
        <f>"Arch Calculator"</f>
        <v>Arch Calculator</v>
      </c>
      <c r="G431" s="89"/>
      <c r="H431" s="90" t="str">
        <f>"EA"</f>
        <v>EA</v>
      </c>
      <c r="I431" s="89"/>
      <c r="J431" s="89"/>
      <c r="K431" s="89"/>
      <c r="L431" s="89"/>
      <c r="M431" s="89"/>
      <c r="N431" s="89"/>
      <c r="O431" s="88">
        <f>(SUBTOTAL(9,O432:O433))</f>
        <v>249.99999999999997</v>
      </c>
      <c r="P431" s="88">
        <f>(SUBTOTAL(9,P432:P433))</f>
        <v>0</v>
      </c>
      <c r="Q431" s="88">
        <f>(SUBTOTAL(9,Q432:Q433))</f>
        <v>0</v>
      </c>
      <c r="R431" s="88">
        <f>(SUBTOTAL(9,R432:R433))</f>
        <v>0</v>
      </c>
      <c r="S431" s="88">
        <f>(SUBTOTAL(9,S432:S433))</f>
        <v>0</v>
      </c>
      <c r="T431" s="88">
        <f>(SUBTOTAL(9,T432:T433))</f>
        <v>0</v>
      </c>
      <c r="U431" s="87">
        <f t="shared" ref="U431" si="251">SUBTOTAL(9,O432:T433)</f>
        <v>249.99999999999997</v>
      </c>
    </row>
    <row r="432" spans="1:21" ht="17.25" customHeight="1" x14ac:dyDescent="0.3">
      <c r="A432" s="66" t="s">
        <v>30</v>
      </c>
      <c r="C432" s="67"/>
      <c r="D432" s="77" t="str">
        <f t="shared" ref="D432" si="252">D431</f>
        <v>E100024</v>
      </c>
      <c r="E432" s="77"/>
      <c r="F432" s="76"/>
      <c r="G432" s="76" t="str">
        <f>"""NAV Direct"",""CRONUS JetCorp USA"",""32"",""1"",""168330"""</f>
        <v>"NAV Direct","CRONUS JetCorp USA","32","1","168330"</v>
      </c>
      <c r="H432" s="86">
        <v>43466</v>
      </c>
      <c r="I432" s="85">
        <v>168330</v>
      </c>
      <c r="J432" s="84" t="str">
        <f>"Vendor"</f>
        <v>Vendor</v>
      </c>
      <c r="K432" s="84" t="str">
        <f>"V100007"</f>
        <v>V100007</v>
      </c>
      <c r="L432" s="84" t="str">
        <f>IF($J432="Customer",_xll.NL("first",$J432,"Name","No.","@@"&amp;$K432),"")</f>
        <v/>
      </c>
      <c r="M432" s="84" t="str">
        <f>"TrendTech"</f>
        <v>TrendTech</v>
      </c>
      <c r="N432" s="84" t="str">
        <f>IF($J432="Item",_xll.NL("first",$J432,"Description","No.","@@"&amp;$K432),"")</f>
        <v/>
      </c>
      <c r="O432" s="83">
        <v>249.99999999999997</v>
      </c>
      <c r="P432" s="83">
        <v>0</v>
      </c>
      <c r="Q432" s="83">
        <v>0</v>
      </c>
      <c r="R432" s="83">
        <v>0</v>
      </c>
      <c r="S432" s="83">
        <v>0</v>
      </c>
      <c r="T432" s="83">
        <v>0</v>
      </c>
      <c r="U432" s="82"/>
    </row>
    <row r="433" spans="1:21" ht="17.25" customHeight="1" x14ac:dyDescent="0.3">
      <c r="A433" s="66" t="s">
        <v>30</v>
      </c>
      <c r="C433" s="67"/>
      <c r="D433" s="77"/>
      <c r="E433" s="77"/>
      <c r="F433" s="76"/>
      <c r="G433" s="76"/>
      <c r="H433" s="76"/>
      <c r="I433" s="76"/>
      <c r="J433" s="76"/>
      <c r="K433" s="76"/>
      <c r="L433" s="76"/>
      <c r="M433" s="76"/>
      <c r="N433" s="76"/>
      <c r="O433" s="75"/>
      <c r="P433" s="75"/>
      <c r="Q433" s="75"/>
      <c r="R433" s="75"/>
      <c r="S433" s="75"/>
      <c r="T433" s="75"/>
      <c r="U433" s="74"/>
    </row>
    <row r="434" spans="1:21" ht="17.25" customHeight="1" x14ac:dyDescent="0.3">
      <c r="A434" s="66" t="s">
        <v>30</v>
      </c>
      <c r="C434" s="67"/>
      <c r="D434" s="77"/>
      <c r="E434" s="77" t="s">
        <v>31</v>
      </c>
      <c r="F434" s="76" t="s">
        <v>31</v>
      </c>
      <c r="G434" s="76" t="s">
        <v>31</v>
      </c>
      <c r="H434" s="76"/>
      <c r="I434" s="76"/>
      <c r="J434" s="76" t="s">
        <v>31</v>
      </c>
      <c r="K434" s="76" t="s">
        <v>31</v>
      </c>
      <c r="L434" s="76" t="s">
        <v>31</v>
      </c>
      <c r="M434" s="76" t="s">
        <v>31</v>
      </c>
      <c r="N434" s="76"/>
      <c r="U434" s="81"/>
    </row>
    <row r="435" spans="1:21" ht="20.25" customHeight="1" x14ac:dyDescent="0.35">
      <c r="A435" s="66" t="s">
        <v>30</v>
      </c>
      <c r="C435" s="67"/>
      <c r="D435" s="92" t="str">
        <f t="shared" ref="D435" si="253">E435</f>
        <v>E100034</v>
      </c>
      <c r="E435" s="91" t="str">
        <f>"E100034"</f>
        <v>E100034</v>
      </c>
      <c r="F435" s="89" t="str">
        <f>"Bamboo 1GB USB Flash Drive"</f>
        <v>Bamboo 1GB USB Flash Drive</v>
      </c>
      <c r="G435" s="89"/>
      <c r="H435" s="90" t="str">
        <f>"EA"</f>
        <v>EA</v>
      </c>
      <c r="I435" s="89"/>
      <c r="J435" s="89"/>
      <c r="K435" s="89"/>
      <c r="L435" s="89"/>
      <c r="M435" s="89"/>
      <c r="N435" s="89"/>
      <c r="O435" s="88">
        <f>(SUBTOTAL(9,O436:O437))</f>
        <v>249.99999999999997</v>
      </c>
      <c r="P435" s="88">
        <f>(SUBTOTAL(9,P436:P437))</f>
        <v>0</v>
      </c>
      <c r="Q435" s="88">
        <f>(SUBTOTAL(9,Q436:Q437))</f>
        <v>0</v>
      </c>
      <c r="R435" s="88">
        <f>(SUBTOTAL(9,R436:R437))</f>
        <v>0</v>
      </c>
      <c r="S435" s="88">
        <f>(SUBTOTAL(9,S436:S437))</f>
        <v>0</v>
      </c>
      <c r="T435" s="88">
        <f>(SUBTOTAL(9,T436:T437))</f>
        <v>0</v>
      </c>
      <c r="U435" s="87">
        <f t="shared" ref="U435" si="254">SUBTOTAL(9,O436:T437)</f>
        <v>249.99999999999997</v>
      </c>
    </row>
    <row r="436" spans="1:21" ht="17.25" customHeight="1" x14ac:dyDescent="0.3">
      <c r="A436" s="66" t="s">
        <v>30</v>
      </c>
      <c r="C436" s="67"/>
      <c r="D436" s="77" t="str">
        <f t="shared" ref="D436" si="255">D435</f>
        <v>E100034</v>
      </c>
      <c r="E436" s="77"/>
      <c r="F436" s="76"/>
      <c r="G436" s="76" t="str">
        <f>"""NAV Direct"",""CRONUS JetCorp USA"",""32"",""1"",""168329"""</f>
        <v>"NAV Direct","CRONUS JetCorp USA","32","1","168329"</v>
      </c>
      <c r="H436" s="86">
        <v>43466</v>
      </c>
      <c r="I436" s="85">
        <v>168329</v>
      </c>
      <c r="J436" s="84" t="str">
        <f>"Vendor"</f>
        <v>Vendor</v>
      </c>
      <c r="K436" s="84" t="str">
        <f>"V100007"</f>
        <v>V100007</v>
      </c>
      <c r="L436" s="84" t="str">
        <f>IF($J436="Customer",_xll.NL("first",$J436,"Name","No.","@@"&amp;$K436),"")</f>
        <v/>
      </c>
      <c r="M436" s="84" t="str">
        <f>"TrendTech"</f>
        <v>TrendTech</v>
      </c>
      <c r="N436" s="84" t="str">
        <f>IF($J436="Item",_xll.NL("first",$J436,"Description","No.","@@"&amp;$K436),"")</f>
        <v/>
      </c>
      <c r="O436" s="83">
        <v>249.99999999999997</v>
      </c>
      <c r="P436" s="83">
        <v>0</v>
      </c>
      <c r="Q436" s="83">
        <v>0</v>
      </c>
      <c r="R436" s="83">
        <v>0</v>
      </c>
      <c r="S436" s="83">
        <v>0</v>
      </c>
      <c r="T436" s="83">
        <v>0</v>
      </c>
      <c r="U436" s="82"/>
    </row>
    <row r="437" spans="1:21" ht="17.25" customHeight="1" x14ac:dyDescent="0.3">
      <c r="A437" s="66" t="s">
        <v>30</v>
      </c>
      <c r="C437" s="67"/>
      <c r="D437" s="77"/>
      <c r="E437" s="77"/>
      <c r="F437" s="76"/>
      <c r="G437" s="76"/>
      <c r="H437" s="76"/>
      <c r="I437" s="76"/>
      <c r="J437" s="76"/>
      <c r="K437" s="76"/>
      <c r="L437" s="76"/>
      <c r="M437" s="76"/>
      <c r="N437" s="76"/>
      <c r="O437" s="75"/>
      <c r="P437" s="75"/>
      <c r="Q437" s="75"/>
      <c r="R437" s="75"/>
      <c r="S437" s="75"/>
      <c r="T437" s="75"/>
      <c r="U437" s="74"/>
    </row>
    <row r="438" spans="1:21" ht="17.25" customHeight="1" x14ac:dyDescent="0.3">
      <c r="A438" s="66" t="s">
        <v>30</v>
      </c>
      <c r="C438" s="67"/>
      <c r="D438" s="77"/>
      <c r="E438" s="77" t="s">
        <v>31</v>
      </c>
      <c r="F438" s="76" t="s">
        <v>31</v>
      </c>
      <c r="G438" s="76" t="s">
        <v>31</v>
      </c>
      <c r="H438" s="76"/>
      <c r="I438" s="76"/>
      <c r="J438" s="76" t="s">
        <v>31</v>
      </c>
      <c r="K438" s="76" t="s">
        <v>31</v>
      </c>
      <c r="L438" s="76" t="s">
        <v>31</v>
      </c>
      <c r="M438" s="76" t="s">
        <v>31</v>
      </c>
      <c r="N438" s="76"/>
      <c r="U438" s="81"/>
    </row>
    <row r="439" spans="1:21" ht="20.25" customHeight="1" x14ac:dyDescent="0.35">
      <c r="A439" s="66" t="s">
        <v>30</v>
      </c>
      <c r="C439" s="67"/>
      <c r="D439" s="92" t="str">
        <f t="shared" ref="D439" si="256">E439</f>
        <v>E100038</v>
      </c>
      <c r="E439" s="91" t="str">
        <f>"E100038"</f>
        <v>E100038</v>
      </c>
      <c r="F439" s="89" t="str">
        <f>"1GB USB Flash Drive Pen"</f>
        <v>1GB USB Flash Drive Pen</v>
      </c>
      <c r="G439" s="89"/>
      <c r="H439" s="90" t="str">
        <f>"EA"</f>
        <v>EA</v>
      </c>
      <c r="I439" s="89"/>
      <c r="J439" s="89"/>
      <c r="K439" s="89"/>
      <c r="L439" s="89"/>
      <c r="M439" s="89"/>
      <c r="N439" s="89"/>
      <c r="O439" s="88">
        <f>(SUBTOTAL(9,O440:O441))</f>
        <v>249.99999999999997</v>
      </c>
      <c r="P439" s="88">
        <f>(SUBTOTAL(9,P440:P441))</f>
        <v>0</v>
      </c>
      <c r="Q439" s="88">
        <f>(SUBTOTAL(9,Q440:Q441))</f>
        <v>0</v>
      </c>
      <c r="R439" s="88">
        <f>(SUBTOTAL(9,R440:R441))</f>
        <v>0</v>
      </c>
      <c r="S439" s="88">
        <f>(SUBTOTAL(9,S440:S441))</f>
        <v>0</v>
      </c>
      <c r="T439" s="88">
        <f>(SUBTOTAL(9,T440:T441))</f>
        <v>0</v>
      </c>
      <c r="U439" s="87">
        <f t="shared" ref="U439" si="257">SUBTOTAL(9,O440:T441)</f>
        <v>249.99999999999997</v>
      </c>
    </row>
    <row r="440" spans="1:21" ht="17.25" customHeight="1" x14ac:dyDescent="0.3">
      <c r="A440" s="66" t="s">
        <v>30</v>
      </c>
      <c r="C440" s="67"/>
      <c r="D440" s="77" t="str">
        <f t="shared" ref="D440" si="258">D439</f>
        <v>E100038</v>
      </c>
      <c r="E440" s="77"/>
      <c r="F440" s="76"/>
      <c r="G440" s="76" t="str">
        <f>"""NAV Direct"",""CRONUS JetCorp USA"",""32"",""1"",""168328"""</f>
        <v>"NAV Direct","CRONUS JetCorp USA","32","1","168328"</v>
      </c>
      <c r="H440" s="86">
        <v>43466</v>
      </c>
      <c r="I440" s="85">
        <v>168328</v>
      </c>
      <c r="J440" s="84" t="str">
        <f>"Vendor"</f>
        <v>Vendor</v>
      </c>
      <c r="K440" s="84" t="str">
        <f>"V100007"</f>
        <v>V100007</v>
      </c>
      <c r="L440" s="84" t="str">
        <f>IF($J440="Customer",_xll.NL("first",$J440,"Name","No.","@@"&amp;$K440),"")</f>
        <v/>
      </c>
      <c r="M440" s="84" t="str">
        <f>"TrendTech"</f>
        <v>TrendTech</v>
      </c>
      <c r="N440" s="84" t="str">
        <f>IF($J440="Item",_xll.NL("first",$J440,"Description","No.","@@"&amp;$K440),"")</f>
        <v/>
      </c>
      <c r="O440" s="83">
        <v>249.99999999999997</v>
      </c>
      <c r="P440" s="83">
        <v>0</v>
      </c>
      <c r="Q440" s="83">
        <v>0</v>
      </c>
      <c r="R440" s="83">
        <v>0</v>
      </c>
      <c r="S440" s="83">
        <v>0</v>
      </c>
      <c r="T440" s="83">
        <v>0</v>
      </c>
      <c r="U440" s="82"/>
    </row>
    <row r="441" spans="1:21" ht="17.25" customHeight="1" x14ac:dyDescent="0.3">
      <c r="A441" s="66" t="s">
        <v>30</v>
      </c>
      <c r="C441" s="67"/>
      <c r="D441" s="77"/>
      <c r="E441" s="77"/>
      <c r="F441" s="76"/>
      <c r="G441" s="76"/>
      <c r="H441" s="76"/>
      <c r="I441" s="76"/>
      <c r="J441" s="76"/>
      <c r="K441" s="76"/>
      <c r="L441" s="76"/>
      <c r="M441" s="76"/>
      <c r="N441" s="76"/>
      <c r="O441" s="75"/>
      <c r="P441" s="75"/>
      <c r="Q441" s="75"/>
      <c r="R441" s="75"/>
      <c r="S441" s="75"/>
      <c r="T441" s="75"/>
      <c r="U441" s="74"/>
    </row>
    <row r="442" spans="1:21" ht="17.25" customHeight="1" x14ac:dyDescent="0.3">
      <c r="A442" s="66" t="s">
        <v>30</v>
      </c>
      <c r="C442" s="67"/>
      <c r="D442" s="77"/>
      <c r="E442" s="77" t="s">
        <v>31</v>
      </c>
      <c r="F442" s="76" t="s">
        <v>31</v>
      </c>
      <c r="G442" s="76" t="s">
        <v>31</v>
      </c>
      <c r="H442" s="76"/>
      <c r="I442" s="76"/>
      <c r="J442" s="76" t="s">
        <v>31</v>
      </c>
      <c r="K442" s="76" t="s">
        <v>31</v>
      </c>
      <c r="L442" s="76" t="s">
        <v>31</v>
      </c>
      <c r="M442" s="76" t="s">
        <v>31</v>
      </c>
      <c r="N442" s="76"/>
      <c r="U442" s="81"/>
    </row>
    <row r="443" spans="1:21" ht="20.25" customHeight="1" x14ac:dyDescent="0.35">
      <c r="A443" s="66" t="s">
        <v>30</v>
      </c>
      <c r="C443" s="67"/>
      <c r="D443" s="92" t="str">
        <f t="shared" ref="D443" si="259">E443</f>
        <v>E100039</v>
      </c>
      <c r="E443" s="91" t="str">
        <f>"E100039"</f>
        <v>E100039</v>
      </c>
      <c r="F443" s="89" t="str">
        <f>"Campfire Mug"</f>
        <v>Campfire Mug</v>
      </c>
      <c r="G443" s="89"/>
      <c r="H443" s="90" t="str">
        <f>"EA"</f>
        <v>EA</v>
      </c>
      <c r="I443" s="89"/>
      <c r="J443" s="89"/>
      <c r="K443" s="89"/>
      <c r="L443" s="89"/>
      <c r="M443" s="89"/>
      <c r="N443" s="89"/>
      <c r="O443" s="88">
        <f>(SUBTOTAL(9,O444:O445))</f>
        <v>249.99999999999997</v>
      </c>
      <c r="P443" s="88">
        <f>(SUBTOTAL(9,P444:P445))</f>
        <v>0</v>
      </c>
      <c r="Q443" s="88">
        <f>(SUBTOTAL(9,Q444:Q445))</f>
        <v>0</v>
      </c>
      <c r="R443" s="88">
        <f>(SUBTOTAL(9,R444:R445))</f>
        <v>0</v>
      </c>
      <c r="S443" s="88">
        <f>(SUBTOTAL(9,S444:S445))</f>
        <v>0</v>
      </c>
      <c r="T443" s="88">
        <f>(SUBTOTAL(9,T444:T445))</f>
        <v>0</v>
      </c>
      <c r="U443" s="87">
        <f t="shared" ref="U443" si="260">SUBTOTAL(9,O444:T445)</f>
        <v>249.99999999999997</v>
      </c>
    </row>
    <row r="444" spans="1:21" ht="17.25" customHeight="1" x14ac:dyDescent="0.3">
      <c r="A444" s="66" t="s">
        <v>30</v>
      </c>
      <c r="C444" s="67"/>
      <c r="D444" s="77" t="str">
        <f t="shared" ref="D444" si="261">D443</f>
        <v>E100039</v>
      </c>
      <c r="E444" s="77"/>
      <c r="F444" s="76"/>
      <c r="G444" s="76" t="str">
        <f>"""NAV Direct"",""CRONUS JetCorp USA"",""32"",""1"",""168627"""</f>
        <v>"NAV Direct","CRONUS JetCorp USA","32","1","168627"</v>
      </c>
      <c r="H444" s="86">
        <v>43466</v>
      </c>
      <c r="I444" s="85">
        <v>168627</v>
      </c>
      <c r="J444" s="84" t="str">
        <f>"Vendor"</f>
        <v>Vendor</v>
      </c>
      <c r="K444" s="84" t="str">
        <f>"V100007"</f>
        <v>V100007</v>
      </c>
      <c r="L444" s="84" t="str">
        <f>IF($J444="Customer",_xll.NL("first",$J444,"Name","No.","@@"&amp;$K444),"")</f>
        <v/>
      </c>
      <c r="M444" s="84" t="str">
        <f>"TrendTech"</f>
        <v>TrendTech</v>
      </c>
      <c r="N444" s="84" t="str">
        <f>IF($J444="Item",_xll.NL("first",$J444,"Description","No.","@@"&amp;$K444),"")</f>
        <v/>
      </c>
      <c r="O444" s="83">
        <v>249.99999999999997</v>
      </c>
      <c r="P444" s="83">
        <v>0</v>
      </c>
      <c r="Q444" s="83">
        <v>0</v>
      </c>
      <c r="R444" s="83">
        <v>0</v>
      </c>
      <c r="S444" s="83">
        <v>0</v>
      </c>
      <c r="T444" s="83">
        <v>0</v>
      </c>
      <c r="U444" s="82"/>
    </row>
    <row r="445" spans="1:21" ht="17.25" customHeight="1" x14ac:dyDescent="0.3">
      <c r="A445" s="66" t="s">
        <v>30</v>
      </c>
      <c r="C445" s="67"/>
      <c r="D445" s="77"/>
      <c r="E445" s="77"/>
      <c r="F445" s="76"/>
      <c r="G445" s="76"/>
      <c r="H445" s="76"/>
      <c r="I445" s="76"/>
      <c r="J445" s="76"/>
      <c r="K445" s="76"/>
      <c r="L445" s="76"/>
      <c r="M445" s="76"/>
      <c r="N445" s="76"/>
      <c r="O445" s="75"/>
      <c r="P445" s="75"/>
      <c r="Q445" s="75"/>
      <c r="R445" s="75"/>
      <c r="S445" s="75"/>
      <c r="T445" s="75"/>
      <c r="U445" s="74"/>
    </row>
    <row r="446" spans="1:21" ht="17.25" customHeight="1" x14ac:dyDescent="0.3">
      <c r="A446" s="66" t="s">
        <v>30</v>
      </c>
      <c r="C446" s="67"/>
      <c r="D446" s="77"/>
      <c r="E446" s="77" t="s">
        <v>31</v>
      </c>
      <c r="F446" s="76" t="s">
        <v>31</v>
      </c>
      <c r="G446" s="76" t="s">
        <v>31</v>
      </c>
      <c r="H446" s="76"/>
      <c r="I446" s="76"/>
      <c r="J446" s="76" t="s">
        <v>31</v>
      </c>
      <c r="K446" s="76" t="s">
        <v>31</v>
      </c>
      <c r="L446" s="76" t="s">
        <v>31</v>
      </c>
      <c r="M446" s="76" t="s">
        <v>31</v>
      </c>
      <c r="N446" s="76"/>
      <c r="U446" s="81"/>
    </row>
    <row r="447" spans="1:21" ht="20.25" customHeight="1" x14ac:dyDescent="0.35">
      <c r="A447" s="66" t="s">
        <v>30</v>
      </c>
      <c r="C447" s="67"/>
      <c r="D447" s="92" t="str">
        <f t="shared" ref="D447" si="262">E447</f>
        <v>E100043</v>
      </c>
      <c r="E447" s="91" t="str">
        <f>"E100043"</f>
        <v>E100043</v>
      </c>
      <c r="F447" s="89" t="str">
        <f>"Pub Glass"</f>
        <v>Pub Glass</v>
      </c>
      <c r="G447" s="89"/>
      <c r="H447" s="90" t="str">
        <f>"EA"</f>
        <v>EA</v>
      </c>
      <c r="I447" s="89"/>
      <c r="J447" s="89"/>
      <c r="K447" s="89"/>
      <c r="L447" s="89"/>
      <c r="M447" s="89"/>
      <c r="N447" s="89"/>
      <c r="O447" s="88">
        <f>(SUBTOTAL(9,O448:O449))</f>
        <v>0</v>
      </c>
      <c r="P447" s="88">
        <f>(SUBTOTAL(9,P448:P449))</f>
        <v>-1</v>
      </c>
      <c r="Q447" s="88">
        <f>(SUBTOTAL(9,Q448:Q449))</f>
        <v>0</v>
      </c>
      <c r="R447" s="88">
        <f>(SUBTOTAL(9,R448:R449))</f>
        <v>0</v>
      </c>
      <c r="S447" s="88">
        <f>(SUBTOTAL(9,S448:S449))</f>
        <v>0</v>
      </c>
      <c r="T447" s="88">
        <f>(SUBTOTAL(9,T448:T449))</f>
        <v>0</v>
      </c>
      <c r="U447" s="87">
        <f t="shared" ref="U447" si="263">SUBTOTAL(9,O448:T449)</f>
        <v>-1</v>
      </c>
    </row>
    <row r="448" spans="1:21" ht="17.25" customHeight="1" x14ac:dyDescent="0.3">
      <c r="A448" s="66" t="s">
        <v>30</v>
      </c>
      <c r="C448" s="67"/>
      <c r="D448" s="77" t="str">
        <f t="shared" ref="D448" si="264">D447</f>
        <v>E100043</v>
      </c>
      <c r="E448" s="77"/>
      <c r="F448" s="76"/>
      <c r="G448" s="76" t="str">
        <f>"""NAV Direct"",""CRONUS JetCorp USA"",""32"",""1"",""142556"""</f>
        <v>"NAV Direct","CRONUS JetCorp USA","32","1","142556"</v>
      </c>
      <c r="H448" s="86">
        <v>43472</v>
      </c>
      <c r="I448" s="85">
        <v>142556</v>
      </c>
      <c r="J448" s="84" t="str">
        <f>"Customer"</f>
        <v>Customer</v>
      </c>
      <c r="K448" s="84" t="str">
        <f>"C100100"</f>
        <v>C100100</v>
      </c>
      <c r="L448" s="84" t="str">
        <f>IF($J448="Customer",_xll.NL("first",$J448,"Name","No.","@@"&amp;$K448),"")</f>
        <v>Keybase, Inc.</v>
      </c>
      <c r="M448" s="84" t="str">
        <f>""</f>
        <v/>
      </c>
      <c r="N448" s="84" t="str">
        <f>IF($J448="Item",_xll.NL("first",$J448,"Description","No.","@@"&amp;$K448),"")</f>
        <v/>
      </c>
      <c r="O448" s="83">
        <v>0</v>
      </c>
      <c r="P448" s="83">
        <v>-1</v>
      </c>
      <c r="Q448" s="83">
        <v>0</v>
      </c>
      <c r="R448" s="83">
        <v>0</v>
      </c>
      <c r="S448" s="83">
        <v>0</v>
      </c>
      <c r="T448" s="83">
        <v>0</v>
      </c>
      <c r="U448" s="82"/>
    </row>
    <row r="449" spans="1:21" ht="17.25" customHeight="1" x14ac:dyDescent="0.3">
      <c r="A449" s="66" t="s">
        <v>30</v>
      </c>
      <c r="C449" s="67"/>
      <c r="D449" s="77"/>
      <c r="E449" s="77"/>
      <c r="F449" s="76"/>
      <c r="G449" s="76"/>
      <c r="H449" s="76"/>
      <c r="I449" s="76"/>
      <c r="J449" s="76"/>
      <c r="K449" s="76"/>
      <c r="L449" s="76"/>
      <c r="M449" s="76"/>
      <c r="N449" s="76"/>
      <c r="O449" s="75"/>
      <c r="P449" s="75"/>
      <c r="Q449" s="75"/>
      <c r="R449" s="75"/>
      <c r="S449" s="75"/>
      <c r="T449" s="75"/>
      <c r="U449" s="74"/>
    </row>
    <row r="450" spans="1:21" ht="17.25" customHeight="1" x14ac:dyDescent="0.3">
      <c r="A450" s="66" t="s">
        <v>30</v>
      </c>
      <c r="C450" s="67"/>
      <c r="D450" s="77"/>
      <c r="E450" s="77" t="s">
        <v>31</v>
      </c>
      <c r="F450" s="76" t="s">
        <v>31</v>
      </c>
      <c r="G450" s="76" t="s">
        <v>31</v>
      </c>
      <c r="H450" s="76"/>
      <c r="I450" s="76"/>
      <c r="J450" s="76" t="s">
        <v>31</v>
      </c>
      <c r="K450" s="76" t="s">
        <v>31</v>
      </c>
      <c r="L450" s="76" t="s">
        <v>31</v>
      </c>
      <c r="M450" s="76" t="s">
        <v>31</v>
      </c>
      <c r="N450" s="76"/>
      <c r="U450" s="81"/>
    </row>
    <row r="451" spans="1:21" ht="20.25" customHeight="1" x14ac:dyDescent="0.35">
      <c r="A451" s="66" t="s">
        <v>30</v>
      </c>
      <c r="C451" s="67"/>
      <c r="D451" s="92" t="str">
        <f t="shared" ref="D451" si="265">E451</f>
        <v>E100045</v>
      </c>
      <c r="E451" s="91" t="str">
        <f>"E100045"</f>
        <v>E100045</v>
      </c>
      <c r="F451" s="89" t="str">
        <f>"Flute"</f>
        <v>Flute</v>
      </c>
      <c r="G451" s="89"/>
      <c r="H451" s="90" t="str">
        <f>"EA"</f>
        <v>EA</v>
      </c>
      <c r="I451" s="89"/>
      <c r="J451" s="89"/>
      <c r="K451" s="89"/>
      <c r="L451" s="89"/>
      <c r="M451" s="89"/>
      <c r="N451" s="89"/>
      <c r="O451" s="88">
        <f>(SUBTOTAL(9,O452:O453))</f>
        <v>499.99999999999994</v>
      </c>
      <c r="P451" s="88">
        <f>(SUBTOTAL(9,P452:P453))</f>
        <v>0</v>
      </c>
      <c r="Q451" s="88">
        <f>(SUBTOTAL(9,Q452:Q453))</f>
        <v>0</v>
      </c>
      <c r="R451" s="88">
        <f>(SUBTOTAL(9,R452:R453))</f>
        <v>0</v>
      </c>
      <c r="S451" s="88">
        <f>(SUBTOTAL(9,S452:S453))</f>
        <v>0</v>
      </c>
      <c r="T451" s="88">
        <f>(SUBTOTAL(9,T452:T453))</f>
        <v>0</v>
      </c>
      <c r="U451" s="87">
        <f t="shared" ref="U451" si="266">SUBTOTAL(9,O452:T453)</f>
        <v>499.99999999999994</v>
      </c>
    </row>
    <row r="452" spans="1:21" ht="17.25" customHeight="1" x14ac:dyDescent="0.3">
      <c r="A452" s="66" t="s">
        <v>30</v>
      </c>
      <c r="C452" s="67"/>
      <c r="D452" s="77" t="str">
        <f t="shared" ref="D452" si="267">D451</f>
        <v>E100045</v>
      </c>
      <c r="E452" s="77"/>
      <c r="F452" s="76"/>
      <c r="G452" s="76" t="str">
        <f>"""NAV Direct"",""CRONUS JetCorp USA"",""32"",""1"",""168626"""</f>
        <v>"NAV Direct","CRONUS JetCorp USA","32","1","168626"</v>
      </c>
      <c r="H452" s="86">
        <v>43466</v>
      </c>
      <c r="I452" s="85">
        <v>168626</v>
      </c>
      <c r="J452" s="84" t="str">
        <f>"Vendor"</f>
        <v>Vendor</v>
      </c>
      <c r="K452" s="84" t="str">
        <f>"V100007"</f>
        <v>V100007</v>
      </c>
      <c r="L452" s="84" t="str">
        <f>IF($J452="Customer",_xll.NL("first",$J452,"Name","No.","@@"&amp;$K452),"")</f>
        <v/>
      </c>
      <c r="M452" s="84" t="str">
        <f>"TrendTech"</f>
        <v>TrendTech</v>
      </c>
      <c r="N452" s="84" t="str">
        <f>IF($J452="Item",_xll.NL("first",$J452,"Description","No.","@@"&amp;$K452),"")</f>
        <v/>
      </c>
      <c r="O452" s="83">
        <v>499.99999999999994</v>
      </c>
      <c r="P452" s="83">
        <v>0</v>
      </c>
      <c r="Q452" s="83">
        <v>0</v>
      </c>
      <c r="R452" s="83">
        <v>0</v>
      </c>
      <c r="S452" s="83">
        <v>0</v>
      </c>
      <c r="T452" s="83">
        <v>0</v>
      </c>
      <c r="U452" s="82"/>
    </row>
    <row r="453" spans="1:21" ht="17.25" customHeight="1" x14ac:dyDescent="0.3">
      <c r="A453" s="66" t="s">
        <v>30</v>
      </c>
      <c r="C453" s="67"/>
      <c r="D453" s="77"/>
      <c r="E453" s="77"/>
      <c r="F453" s="76"/>
      <c r="G453" s="76"/>
      <c r="H453" s="76"/>
      <c r="I453" s="76"/>
      <c r="J453" s="76"/>
      <c r="K453" s="76"/>
      <c r="L453" s="76"/>
      <c r="M453" s="76"/>
      <c r="N453" s="76"/>
      <c r="O453" s="75"/>
      <c r="P453" s="75"/>
      <c r="Q453" s="75"/>
      <c r="R453" s="75"/>
      <c r="S453" s="75"/>
      <c r="T453" s="75"/>
      <c r="U453" s="74"/>
    </row>
    <row r="454" spans="1:21" ht="17.25" customHeight="1" x14ac:dyDescent="0.3">
      <c r="A454" s="66" t="s">
        <v>30</v>
      </c>
      <c r="C454" s="67"/>
      <c r="D454" s="77"/>
      <c r="E454" s="77" t="s">
        <v>31</v>
      </c>
      <c r="F454" s="76" t="s">
        <v>31</v>
      </c>
      <c r="G454" s="76" t="s">
        <v>31</v>
      </c>
      <c r="H454" s="76"/>
      <c r="I454" s="76"/>
      <c r="J454" s="76" t="s">
        <v>31</v>
      </c>
      <c r="K454" s="76" t="s">
        <v>31</v>
      </c>
      <c r="L454" s="76" t="s">
        <v>31</v>
      </c>
      <c r="M454" s="76" t="s">
        <v>31</v>
      </c>
      <c r="N454" s="76"/>
      <c r="U454" s="81"/>
    </row>
    <row r="455" spans="1:21" ht="20.25" customHeight="1" x14ac:dyDescent="0.35">
      <c r="A455" s="66" t="s">
        <v>30</v>
      </c>
      <c r="C455" s="67"/>
      <c r="D455" s="92" t="str">
        <f t="shared" ref="D455" si="268">E455</f>
        <v>E100046</v>
      </c>
      <c r="E455" s="91" t="str">
        <f>"E100046"</f>
        <v>E100046</v>
      </c>
      <c r="F455" s="89" t="str">
        <f>"Milk Bottle"</f>
        <v>Milk Bottle</v>
      </c>
      <c r="G455" s="89"/>
      <c r="H455" s="90" t="str">
        <f>"EA"</f>
        <v>EA</v>
      </c>
      <c r="I455" s="89"/>
      <c r="J455" s="89"/>
      <c r="K455" s="89"/>
      <c r="L455" s="89"/>
      <c r="M455" s="89"/>
      <c r="N455" s="89"/>
      <c r="O455" s="88">
        <f>(SUBTOTAL(9,O456:O457))</f>
        <v>499.99999999999994</v>
      </c>
      <c r="P455" s="88">
        <f>(SUBTOTAL(9,P456:P457))</f>
        <v>0</v>
      </c>
      <c r="Q455" s="88">
        <f>(SUBTOTAL(9,Q456:Q457))</f>
        <v>0</v>
      </c>
      <c r="R455" s="88">
        <f>(SUBTOTAL(9,R456:R457))</f>
        <v>0</v>
      </c>
      <c r="S455" s="88">
        <f>(SUBTOTAL(9,S456:S457))</f>
        <v>0</v>
      </c>
      <c r="T455" s="88">
        <f>(SUBTOTAL(9,T456:T457))</f>
        <v>0</v>
      </c>
      <c r="U455" s="87">
        <f t="shared" ref="U455" si="269">SUBTOTAL(9,O456:T457)</f>
        <v>499.99999999999994</v>
      </c>
    </row>
    <row r="456" spans="1:21" ht="17.25" customHeight="1" x14ac:dyDescent="0.3">
      <c r="A456" s="66" t="s">
        <v>30</v>
      </c>
      <c r="C456" s="67"/>
      <c r="D456" s="77" t="str">
        <f t="shared" ref="D456" si="270">D455</f>
        <v>E100046</v>
      </c>
      <c r="E456" s="77"/>
      <c r="F456" s="76"/>
      <c r="G456" s="76" t="str">
        <f>"""NAV Direct"",""CRONUS JetCorp USA"",""32"",""1"",""168625"""</f>
        <v>"NAV Direct","CRONUS JetCorp USA","32","1","168625"</v>
      </c>
      <c r="H456" s="86">
        <v>43466</v>
      </c>
      <c r="I456" s="85">
        <v>168625</v>
      </c>
      <c r="J456" s="84" t="str">
        <f>"Vendor"</f>
        <v>Vendor</v>
      </c>
      <c r="K456" s="84" t="str">
        <f>"V100007"</f>
        <v>V100007</v>
      </c>
      <c r="L456" s="84" t="str">
        <f>IF($J456="Customer",_xll.NL("first",$J456,"Name","No.","@@"&amp;$K456),"")</f>
        <v/>
      </c>
      <c r="M456" s="84" t="str">
        <f>"TrendTech"</f>
        <v>TrendTech</v>
      </c>
      <c r="N456" s="84" t="str">
        <f>IF($J456="Item",_xll.NL("first",$J456,"Description","No.","@@"&amp;$K456),"")</f>
        <v/>
      </c>
      <c r="O456" s="83">
        <v>499.99999999999994</v>
      </c>
      <c r="P456" s="83">
        <v>0</v>
      </c>
      <c r="Q456" s="83">
        <v>0</v>
      </c>
      <c r="R456" s="83">
        <v>0</v>
      </c>
      <c r="S456" s="83">
        <v>0</v>
      </c>
      <c r="T456" s="83">
        <v>0</v>
      </c>
      <c r="U456" s="82"/>
    </row>
    <row r="457" spans="1:21" ht="17.25" customHeight="1" x14ac:dyDescent="0.3">
      <c r="A457" s="66" t="s">
        <v>30</v>
      </c>
      <c r="C457" s="67"/>
      <c r="D457" s="77"/>
      <c r="E457" s="77"/>
      <c r="F457" s="76"/>
      <c r="G457" s="76"/>
      <c r="H457" s="76"/>
      <c r="I457" s="76"/>
      <c r="J457" s="76"/>
      <c r="K457" s="76"/>
      <c r="L457" s="76"/>
      <c r="M457" s="76"/>
      <c r="N457" s="76"/>
      <c r="O457" s="75"/>
      <c r="P457" s="75"/>
      <c r="Q457" s="75"/>
      <c r="R457" s="75"/>
      <c r="S457" s="75"/>
      <c r="T457" s="75"/>
      <c r="U457" s="74"/>
    </row>
    <row r="458" spans="1:21" ht="17.25" customHeight="1" x14ac:dyDescent="0.3">
      <c r="A458" s="66" t="s">
        <v>30</v>
      </c>
      <c r="C458" s="67"/>
      <c r="D458" s="77"/>
      <c r="E458" s="77" t="s">
        <v>31</v>
      </c>
      <c r="F458" s="76" t="s">
        <v>31</v>
      </c>
      <c r="G458" s="76" t="s">
        <v>31</v>
      </c>
      <c r="H458" s="76"/>
      <c r="I458" s="76"/>
      <c r="J458" s="76" t="s">
        <v>31</v>
      </c>
      <c r="K458" s="76" t="s">
        <v>31</v>
      </c>
      <c r="L458" s="76" t="s">
        <v>31</v>
      </c>
      <c r="M458" s="76" t="s">
        <v>31</v>
      </c>
      <c r="N458" s="76"/>
      <c r="U458" s="81"/>
    </row>
    <row r="459" spans="1:21" ht="20.25" customHeight="1" x14ac:dyDescent="0.35">
      <c r="A459" s="66" t="s">
        <v>30</v>
      </c>
      <c r="C459" s="67"/>
      <c r="D459" s="92" t="str">
        <f t="shared" ref="D459" si="271">E459</f>
        <v>S100001</v>
      </c>
      <c r="E459" s="91" t="str">
        <f>"S100001"</f>
        <v>S100001</v>
      </c>
      <c r="F459" s="89" t="str">
        <f>"Basketball Graphic Plaque"</f>
        <v>Basketball Graphic Plaque</v>
      </c>
      <c r="G459" s="89"/>
      <c r="H459" s="90" t="str">
        <f>"EA"</f>
        <v>EA</v>
      </c>
      <c r="I459" s="89"/>
      <c r="J459" s="89"/>
      <c r="K459" s="89"/>
      <c r="L459" s="89"/>
      <c r="M459" s="89"/>
      <c r="N459" s="89"/>
      <c r="O459" s="88">
        <f>(SUBTOTAL(9,O460:O462))</f>
        <v>600</v>
      </c>
      <c r="P459" s="88">
        <f>(SUBTOTAL(9,P460:P462))</f>
        <v>-144</v>
      </c>
      <c r="Q459" s="88">
        <f>(SUBTOTAL(9,Q460:Q462))</f>
        <v>0</v>
      </c>
      <c r="R459" s="88">
        <f>(SUBTOTAL(9,R460:R462))</f>
        <v>0</v>
      </c>
      <c r="S459" s="88">
        <f>(SUBTOTAL(9,S460:S462))</f>
        <v>0</v>
      </c>
      <c r="T459" s="88">
        <f>(SUBTOTAL(9,T460:T462))</f>
        <v>0</v>
      </c>
      <c r="U459" s="87">
        <f t="shared" ref="U459" si="272">SUBTOTAL(9,O460:T462)</f>
        <v>456</v>
      </c>
    </row>
    <row r="460" spans="1:21" ht="17.25" customHeight="1" x14ac:dyDescent="0.3">
      <c r="A460" s="66" t="s">
        <v>30</v>
      </c>
      <c r="C460" s="67"/>
      <c r="D460" s="77" t="str">
        <f t="shared" ref="D460" si="273">D459</f>
        <v>S100001</v>
      </c>
      <c r="E460" s="77"/>
      <c r="F460" s="76"/>
      <c r="G460" s="76" t="str">
        <f>"""NAV Direct"",""CRONUS JetCorp USA"",""32"",""1"",""166362"""</f>
        <v>"NAV Direct","CRONUS JetCorp USA","32","1","166362"</v>
      </c>
      <c r="H460" s="86">
        <v>43466</v>
      </c>
      <c r="I460" s="85">
        <v>166362</v>
      </c>
      <c r="J460" s="84" t="str">
        <f>"Vendor"</f>
        <v>Vendor</v>
      </c>
      <c r="K460" s="84" t="str">
        <f>"V100007"</f>
        <v>V100007</v>
      </c>
      <c r="L460" s="84" t="str">
        <f>IF($J460="Customer",_xll.NL("first",$J460,"Name","No.","@@"&amp;$K460),"")</f>
        <v/>
      </c>
      <c r="M460" s="84" t="str">
        <f>"TrendTech"</f>
        <v>TrendTech</v>
      </c>
      <c r="N460" s="84" t="str">
        <f>IF($J460="Item",_xll.NL("first",$J460,"Description","No.","@@"&amp;$K460),"")</f>
        <v/>
      </c>
      <c r="O460" s="83">
        <v>600</v>
      </c>
      <c r="P460" s="83">
        <v>0</v>
      </c>
      <c r="Q460" s="83">
        <v>0</v>
      </c>
      <c r="R460" s="83">
        <v>0</v>
      </c>
      <c r="S460" s="83">
        <v>0</v>
      </c>
      <c r="T460" s="83">
        <v>0</v>
      </c>
      <c r="U460" s="82"/>
    </row>
    <row r="461" spans="1:21" ht="17.25" customHeight="1" x14ac:dyDescent="0.3">
      <c r="A461" s="66" t="s">
        <v>30</v>
      </c>
      <c r="C461" s="67"/>
      <c r="D461" s="77" t="str">
        <f t="shared" ref="D461" si="274">D460</f>
        <v>S100001</v>
      </c>
      <c r="E461" s="77"/>
      <c r="F461" s="76"/>
      <c r="G461" s="76" t="str">
        <f>"""NAV Direct"",""CRONUS JetCorp USA"",""32"",""1"",""30057"""</f>
        <v>"NAV Direct","CRONUS JetCorp USA","32","1","30057"</v>
      </c>
      <c r="H461" s="86">
        <v>43474</v>
      </c>
      <c r="I461" s="85">
        <v>30057</v>
      </c>
      <c r="J461" s="84" t="str">
        <f>"Customer"</f>
        <v>Customer</v>
      </c>
      <c r="K461" s="84" t="str">
        <f>"C100086"</f>
        <v>C100086</v>
      </c>
      <c r="L461" s="84" t="str">
        <f>IF($J461="Customer",_xll.NL("first",$J461,"Name","No.","@@"&amp;$K461),"")</f>
        <v>Top Action Sports</v>
      </c>
      <c r="M461" s="84" t="str">
        <f>""</f>
        <v/>
      </c>
      <c r="N461" s="84" t="str">
        <f>IF($J461="Item",_xll.NL("first",$J461,"Description","No.","@@"&amp;$K461),"")</f>
        <v/>
      </c>
      <c r="O461" s="83">
        <v>0</v>
      </c>
      <c r="P461" s="83">
        <v>-144</v>
      </c>
      <c r="Q461" s="83">
        <v>0</v>
      </c>
      <c r="R461" s="83">
        <v>0</v>
      </c>
      <c r="S461" s="83">
        <v>0</v>
      </c>
      <c r="T461" s="83">
        <v>0</v>
      </c>
      <c r="U461" s="82"/>
    </row>
    <row r="462" spans="1:21" ht="17.25" customHeight="1" x14ac:dyDescent="0.3">
      <c r="A462" s="66" t="s">
        <v>30</v>
      </c>
      <c r="C462" s="67"/>
      <c r="D462" s="77"/>
      <c r="E462" s="77"/>
      <c r="F462" s="76"/>
      <c r="G462" s="76"/>
      <c r="H462" s="76"/>
      <c r="I462" s="76"/>
      <c r="J462" s="76"/>
      <c r="K462" s="76"/>
      <c r="L462" s="76"/>
      <c r="M462" s="76"/>
      <c r="N462" s="76"/>
      <c r="O462" s="75"/>
      <c r="P462" s="75"/>
      <c r="Q462" s="75"/>
      <c r="R462" s="75"/>
      <c r="S462" s="75"/>
      <c r="T462" s="75"/>
      <c r="U462" s="74"/>
    </row>
    <row r="463" spans="1:21" ht="17.25" customHeight="1" x14ac:dyDescent="0.3">
      <c r="A463" s="66" t="s">
        <v>30</v>
      </c>
      <c r="C463" s="67"/>
      <c r="D463" s="77"/>
      <c r="E463" s="77" t="s">
        <v>31</v>
      </c>
      <c r="F463" s="76" t="s">
        <v>31</v>
      </c>
      <c r="G463" s="76" t="s">
        <v>31</v>
      </c>
      <c r="H463" s="76"/>
      <c r="I463" s="76"/>
      <c r="J463" s="76" t="s">
        <v>31</v>
      </c>
      <c r="K463" s="76" t="s">
        <v>31</v>
      </c>
      <c r="L463" s="76" t="s">
        <v>31</v>
      </c>
      <c r="M463" s="76" t="s">
        <v>31</v>
      </c>
      <c r="N463" s="76"/>
      <c r="U463" s="81"/>
    </row>
    <row r="464" spans="1:21" ht="20.25" customHeight="1" x14ac:dyDescent="0.35">
      <c r="A464" s="66" t="s">
        <v>30</v>
      </c>
      <c r="C464" s="67"/>
      <c r="D464" s="92" t="str">
        <f t="shared" ref="D464" si="275">E464</f>
        <v>S100002</v>
      </c>
      <c r="E464" s="91" t="str">
        <f>"S100002"</f>
        <v>S100002</v>
      </c>
      <c r="F464" s="89" t="str">
        <f>"Football Graphic Plaque"</f>
        <v>Football Graphic Plaque</v>
      </c>
      <c r="G464" s="89"/>
      <c r="H464" s="90" t="str">
        <f>"EA"</f>
        <v>EA</v>
      </c>
      <c r="I464" s="89"/>
      <c r="J464" s="89"/>
      <c r="K464" s="89"/>
      <c r="L464" s="89"/>
      <c r="M464" s="89"/>
      <c r="N464" s="89"/>
      <c r="O464" s="88">
        <f>(SUBTOTAL(9,O465:O466))</f>
        <v>100</v>
      </c>
      <c r="P464" s="88">
        <f>(SUBTOTAL(9,P465:P466))</f>
        <v>0</v>
      </c>
      <c r="Q464" s="88">
        <f>(SUBTOTAL(9,Q465:Q466))</f>
        <v>0</v>
      </c>
      <c r="R464" s="88">
        <f>(SUBTOTAL(9,R465:R466))</f>
        <v>0</v>
      </c>
      <c r="S464" s="88">
        <f>(SUBTOTAL(9,S465:S466))</f>
        <v>0</v>
      </c>
      <c r="T464" s="88">
        <f>(SUBTOTAL(9,T465:T466))</f>
        <v>0</v>
      </c>
      <c r="U464" s="87">
        <f t="shared" ref="U464" si="276">SUBTOTAL(9,O465:T466)</f>
        <v>100</v>
      </c>
    </row>
    <row r="465" spans="1:21" ht="17.25" customHeight="1" x14ac:dyDescent="0.3">
      <c r="A465" s="66" t="s">
        <v>30</v>
      </c>
      <c r="C465" s="67"/>
      <c r="D465" s="77" t="str">
        <f t="shared" ref="D465" si="277">D464</f>
        <v>S100002</v>
      </c>
      <c r="E465" s="77"/>
      <c r="F465" s="76"/>
      <c r="G465" s="76" t="str">
        <f>"""NAV Direct"",""CRONUS JetCorp USA"",""32"",""1"",""166361"""</f>
        <v>"NAV Direct","CRONUS JetCorp USA","32","1","166361"</v>
      </c>
      <c r="H465" s="86">
        <v>43466</v>
      </c>
      <c r="I465" s="85">
        <v>166361</v>
      </c>
      <c r="J465" s="84" t="str">
        <f>"Vendor"</f>
        <v>Vendor</v>
      </c>
      <c r="K465" s="84" t="str">
        <f>"V100007"</f>
        <v>V100007</v>
      </c>
      <c r="L465" s="84" t="str">
        <f>IF($J465="Customer",_xll.NL("first",$J465,"Name","No.","@@"&amp;$K465),"")</f>
        <v/>
      </c>
      <c r="M465" s="84" t="str">
        <f>"TrendTech"</f>
        <v>TrendTech</v>
      </c>
      <c r="N465" s="84" t="str">
        <f>IF($J465="Item",_xll.NL("first",$J465,"Description","No.","@@"&amp;$K465),"")</f>
        <v/>
      </c>
      <c r="O465" s="83">
        <v>100</v>
      </c>
      <c r="P465" s="83">
        <v>0</v>
      </c>
      <c r="Q465" s="83">
        <v>0</v>
      </c>
      <c r="R465" s="83">
        <v>0</v>
      </c>
      <c r="S465" s="83">
        <v>0</v>
      </c>
      <c r="T465" s="83">
        <v>0</v>
      </c>
      <c r="U465" s="82"/>
    </row>
    <row r="466" spans="1:21" ht="17.25" customHeight="1" x14ac:dyDescent="0.3">
      <c r="A466" s="66" t="s">
        <v>30</v>
      </c>
      <c r="C466" s="67"/>
      <c r="D466" s="77"/>
      <c r="E466" s="77"/>
      <c r="F466" s="76"/>
      <c r="G466" s="76"/>
      <c r="H466" s="76"/>
      <c r="I466" s="76"/>
      <c r="J466" s="76"/>
      <c r="K466" s="76"/>
      <c r="L466" s="76"/>
      <c r="M466" s="76"/>
      <c r="N466" s="76"/>
      <c r="O466" s="75"/>
      <c r="P466" s="75"/>
      <c r="Q466" s="75"/>
      <c r="R466" s="75"/>
      <c r="S466" s="75"/>
      <c r="T466" s="75"/>
      <c r="U466" s="74"/>
    </row>
    <row r="467" spans="1:21" ht="17.25" customHeight="1" x14ac:dyDescent="0.3">
      <c r="A467" s="66" t="s">
        <v>30</v>
      </c>
      <c r="C467" s="67"/>
      <c r="D467" s="77"/>
      <c r="E467" s="77" t="s">
        <v>31</v>
      </c>
      <c r="F467" s="76" t="s">
        <v>31</v>
      </c>
      <c r="G467" s="76" t="s">
        <v>31</v>
      </c>
      <c r="H467" s="76"/>
      <c r="I467" s="76"/>
      <c r="J467" s="76" t="s">
        <v>31</v>
      </c>
      <c r="K467" s="76" t="s">
        <v>31</v>
      </c>
      <c r="L467" s="76" t="s">
        <v>31</v>
      </c>
      <c r="M467" s="76" t="s">
        <v>31</v>
      </c>
      <c r="N467" s="76"/>
      <c r="U467" s="81"/>
    </row>
    <row r="468" spans="1:21" ht="20.25" customHeight="1" x14ac:dyDescent="0.35">
      <c r="A468" s="66" t="s">
        <v>30</v>
      </c>
      <c r="C468" s="67"/>
      <c r="D468" s="92" t="str">
        <f t="shared" ref="D468" si="278">E468</f>
        <v>S100003</v>
      </c>
      <c r="E468" s="91" t="str">
        <f>"S100003"</f>
        <v>S100003</v>
      </c>
      <c r="F468" s="89" t="str">
        <f>"Soccer #1 Pin"</f>
        <v>Soccer #1 Pin</v>
      </c>
      <c r="G468" s="89"/>
      <c r="H468" s="90" t="str">
        <f>"EA"</f>
        <v>EA</v>
      </c>
      <c r="I468" s="89"/>
      <c r="J468" s="89"/>
      <c r="K468" s="89"/>
      <c r="L468" s="89"/>
      <c r="M468" s="89"/>
      <c r="N468" s="89"/>
      <c r="O468" s="88">
        <f>(SUBTOTAL(9,O469:O472))</f>
        <v>600</v>
      </c>
      <c r="P468" s="88">
        <f>(SUBTOTAL(9,P469:P472))</f>
        <v>-433</v>
      </c>
      <c r="Q468" s="88">
        <f>(SUBTOTAL(9,Q469:Q472))</f>
        <v>0</v>
      </c>
      <c r="R468" s="88">
        <f>(SUBTOTAL(9,R469:R472))</f>
        <v>0</v>
      </c>
      <c r="S468" s="88">
        <f>(SUBTOTAL(9,S469:S472))</f>
        <v>0</v>
      </c>
      <c r="T468" s="88">
        <f>(SUBTOTAL(9,T469:T472))</f>
        <v>0</v>
      </c>
      <c r="U468" s="87">
        <f t="shared" ref="U468" si="279">SUBTOTAL(9,O469:T472)</f>
        <v>167</v>
      </c>
    </row>
    <row r="469" spans="1:21" ht="17.25" customHeight="1" x14ac:dyDescent="0.3">
      <c r="A469" s="66" t="s">
        <v>30</v>
      </c>
      <c r="C469" s="67"/>
      <c r="D469" s="77" t="str">
        <f t="shared" ref="D469" si="280">D468</f>
        <v>S100003</v>
      </c>
      <c r="E469" s="77"/>
      <c r="F469" s="76"/>
      <c r="G469" s="76" t="str">
        <f>"""NAV Direct"",""CRONUS JetCorp USA"",""32"",""1"",""132503"""</f>
        <v>"NAV Direct","CRONUS JetCorp USA","32","1","132503"</v>
      </c>
      <c r="H469" s="86">
        <v>43466</v>
      </c>
      <c r="I469" s="85">
        <v>132503</v>
      </c>
      <c r="J469" s="84" t="str">
        <f>"Customer"</f>
        <v>Customer</v>
      </c>
      <c r="K469" s="84" t="str">
        <f>"C100040"</f>
        <v>C100040</v>
      </c>
      <c r="L469" s="84" t="str">
        <f>IF($J469="Customer",_xll.NL("first",$J469,"Name","No.","@@"&amp;$K469),"")</f>
        <v>Guildford Water Department</v>
      </c>
      <c r="M469" s="84" t="str">
        <f>""</f>
        <v/>
      </c>
      <c r="N469" s="84" t="str">
        <f>IF($J469="Item",_xll.NL("first",$J469,"Description","No.","@@"&amp;$K469),"")</f>
        <v/>
      </c>
      <c r="O469" s="83">
        <v>0</v>
      </c>
      <c r="P469" s="83">
        <v>-145</v>
      </c>
      <c r="Q469" s="83">
        <v>0</v>
      </c>
      <c r="R469" s="83">
        <v>0</v>
      </c>
      <c r="S469" s="83">
        <v>0</v>
      </c>
      <c r="T469" s="83">
        <v>0</v>
      </c>
      <c r="U469" s="82"/>
    </row>
    <row r="470" spans="1:21" ht="17.25" customHeight="1" x14ac:dyDescent="0.3">
      <c r="A470" s="66" t="s">
        <v>30</v>
      </c>
      <c r="C470" s="67"/>
      <c r="D470" s="77" t="str">
        <f t="shared" ref="D470:D471" si="281">D469</f>
        <v>S100003</v>
      </c>
      <c r="E470" s="77"/>
      <c r="F470" s="76"/>
      <c r="G470" s="76" t="str">
        <f>"""NAV Direct"",""CRONUS JetCorp USA"",""32"",""1"",""166360"""</f>
        <v>"NAV Direct","CRONUS JetCorp USA","32","1","166360"</v>
      </c>
      <c r="H470" s="86">
        <v>43466</v>
      </c>
      <c r="I470" s="85">
        <v>166360</v>
      </c>
      <c r="J470" s="84" t="str">
        <f>"Vendor"</f>
        <v>Vendor</v>
      </c>
      <c r="K470" s="84" t="str">
        <f>"V100007"</f>
        <v>V100007</v>
      </c>
      <c r="L470" s="84" t="str">
        <f>IF($J470="Customer",_xll.NL("first",$J470,"Name","No.","@@"&amp;$K470),"")</f>
        <v/>
      </c>
      <c r="M470" s="84" t="str">
        <f>"TrendTech"</f>
        <v>TrendTech</v>
      </c>
      <c r="N470" s="84" t="str">
        <f>IF($J470="Item",_xll.NL("first",$J470,"Description","No.","@@"&amp;$K470),"")</f>
        <v/>
      </c>
      <c r="O470" s="83">
        <v>600</v>
      </c>
      <c r="P470" s="83">
        <v>0</v>
      </c>
      <c r="Q470" s="83">
        <v>0</v>
      </c>
      <c r="R470" s="83">
        <v>0</v>
      </c>
      <c r="S470" s="83">
        <v>0</v>
      </c>
      <c r="T470" s="83">
        <v>0</v>
      </c>
      <c r="U470" s="82"/>
    </row>
    <row r="471" spans="1:21" ht="17.25" customHeight="1" x14ac:dyDescent="0.3">
      <c r="A471" s="66" t="s">
        <v>30</v>
      </c>
      <c r="C471" s="67"/>
      <c r="D471" s="77" t="str">
        <f t="shared" si="281"/>
        <v>S100003</v>
      </c>
      <c r="E471" s="77"/>
      <c r="F471" s="76"/>
      <c r="G471" s="76" t="str">
        <f>"""NAV Direct"",""CRONUS JetCorp USA"",""32"",""1"",""124551"""</f>
        <v>"NAV Direct","CRONUS JetCorp USA","32","1","124551"</v>
      </c>
      <c r="H471" s="86">
        <v>43473</v>
      </c>
      <c r="I471" s="85">
        <v>124551</v>
      </c>
      <c r="J471" s="84" t="str">
        <f>"Customer"</f>
        <v>Customer</v>
      </c>
      <c r="K471" s="84" t="str">
        <f>"C100035"</f>
        <v>C100035</v>
      </c>
      <c r="L471" s="84" t="str">
        <f>IF($J471="Customer",_xll.NL("first",$J471,"Name","No.","@@"&amp;$K471),"")</f>
        <v>First Touch Marketing</v>
      </c>
      <c r="M471" s="84" t="str">
        <f>""</f>
        <v/>
      </c>
      <c r="N471" s="84" t="str">
        <f>IF($J471="Item",_xll.NL("first",$J471,"Description","No.","@@"&amp;$K471),"")</f>
        <v/>
      </c>
      <c r="O471" s="83">
        <v>0</v>
      </c>
      <c r="P471" s="83">
        <v>-288</v>
      </c>
      <c r="Q471" s="83">
        <v>0</v>
      </c>
      <c r="R471" s="83">
        <v>0</v>
      </c>
      <c r="S471" s="83">
        <v>0</v>
      </c>
      <c r="T471" s="83">
        <v>0</v>
      </c>
      <c r="U471" s="82"/>
    </row>
    <row r="472" spans="1:21" ht="17.25" customHeight="1" x14ac:dyDescent="0.3">
      <c r="A472" s="66" t="s">
        <v>30</v>
      </c>
      <c r="C472" s="67"/>
      <c r="D472" s="77"/>
      <c r="E472" s="77"/>
      <c r="F472" s="76"/>
      <c r="G472" s="76"/>
      <c r="H472" s="76"/>
      <c r="I472" s="76"/>
      <c r="J472" s="76"/>
      <c r="K472" s="76"/>
      <c r="L472" s="76"/>
      <c r="M472" s="76"/>
      <c r="N472" s="76"/>
      <c r="O472" s="75"/>
      <c r="P472" s="75"/>
      <c r="Q472" s="75"/>
      <c r="R472" s="75"/>
      <c r="S472" s="75"/>
      <c r="T472" s="75"/>
      <c r="U472" s="74"/>
    </row>
    <row r="473" spans="1:21" ht="17.25" customHeight="1" x14ac:dyDescent="0.3">
      <c r="A473" s="66" t="s">
        <v>30</v>
      </c>
      <c r="C473" s="67"/>
      <c r="D473" s="77"/>
      <c r="E473" s="77" t="s">
        <v>31</v>
      </c>
      <c r="F473" s="76" t="s">
        <v>31</v>
      </c>
      <c r="G473" s="76" t="s">
        <v>31</v>
      </c>
      <c r="H473" s="76"/>
      <c r="I473" s="76"/>
      <c r="J473" s="76" t="s">
        <v>31</v>
      </c>
      <c r="K473" s="76" t="s">
        <v>31</v>
      </c>
      <c r="L473" s="76" t="s">
        <v>31</v>
      </c>
      <c r="M473" s="76" t="s">
        <v>31</v>
      </c>
      <c r="N473" s="76"/>
      <c r="U473" s="81"/>
    </row>
    <row r="474" spans="1:21" ht="20.25" customHeight="1" x14ac:dyDescent="0.35">
      <c r="A474" s="66" t="s">
        <v>30</v>
      </c>
      <c r="C474" s="67"/>
      <c r="D474" s="92" t="str">
        <f t="shared" ref="D474" si="282">E474</f>
        <v>S100004</v>
      </c>
      <c r="E474" s="91" t="str">
        <f>"S100004"</f>
        <v>S100004</v>
      </c>
      <c r="F474" s="89" t="str">
        <f>"Award Medallian - 2''"</f>
        <v>Award Medallian - 2''</v>
      </c>
      <c r="G474" s="89"/>
      <c r="H474" s="90" t="str">
        <f>"EA"</f>
        <v>EA</v>
      </c>
      <c r="I474" s="89"/>
      <c r="J474" s="89"/>
      <c r="K474" s="89"/>
      <c r="L474" s="89"/>
      <c r="M474" s="89"/>
      <c r="N474" s="89"/>
      <c r="O474" s="88">
        <f>(SUBTOTAL(9,O475:O477))</f>
        <v>300</v>
      </c>
      <c r="P474" s="88">
        <f>(SUBTOTAL(9,P475:P477))</f>
        <v>-144</v>
      </c>
      <c r="Q474" s="88">
        <f>(SUBTOTAL(9,Q475:Q477))</f>
        <v>0</v>
      </c>
      <c r="R474" s="88">
        <f>(SUBTOTAL(9,R475:R477))</f>
        <v>0</v>
      </c>
      <c r="S474" s="88">
        <f>(SUBTOTAL(9,S475:S477))</f>
        <v>0</v>
      </c>
      <c r="T474" s="88">
        <f>(SUBTOTAL(9,T475:T477))</f>
        <v>0</v>
      </c>
      <c r="U474" s="87">
        <f t="shared" ref="U474" si="283">SUBTOTAL(9,O475:T477)</f>
        <v>156</v>
      </c>
    </row>
    <row r="475" spans="1:21" ht="17.25" customHeight="1" x14ac:dyDescent="0.3">
      <c r="A475" s="66" t="s">
        <v>30</v>
      </c>
      <c r="C475" s="67"/>
      <c r="D475" s="77" t="str">
        <f t="shared" ref="D475" si="284">D474</f>
        <v>S100004</v>
      </c>
      <c r="E475" s="77"/>
      <c r="F475" s="76"/>
      <c r="G475" s="76" t="str">
        <f>"""NAV Direct"",""CRONUS JetCorp USA"",""32"",""1"",""166359"""</f>
        <v>"NAV Direct","CRONUS JetCorp USA","32","1","166359"</v>
      </c>
      <c r="H475" s="86">
        <v>43466</v>
      </c>
      <c r="I475" s="85">
        <v>166359</v>
      </c>
      <c r="J475" s="84" t="str">
        <f>"Vendor"</f>
        <v>Vendor</v>
      </c>
      <c r="K475" s="84" t="str">
        <f>"V100007"</f>
        <v>V100007</v>
      </c>
      <c r="L475" s="84" t="str">
        <f>IF($J475="Customer",_xll.NL("first",$J475,"Name","No.","@@"&amp;$K475),"")</f>
        <v/>
      </c>
      <c r="M475" s="84" t="str">
        <f>"TrendTech"</f>
        <v>TrendTech</v>
      </c>
      <c r="N475" s="84" t="str">
        <f>IF($J475="Item",_xll.NL("first",$J475,"Description","No.","@@"&amp;$K475),"")</f>
        <v/>
      </c>
      <c r="O475" s="83">
        <v>300</v>
      </c>
      <c r="P475" s="83">
        <v>0</v>
      </c>
      <c r="Q475" s="83">
        <v>0</v>
      </c>
      <c r="R475" s="83">
        <v>0</v>
      </c>
      <c r="S475" s="83">
        <v>0</v>
      </c>
      <c r="T475" s="83">
        <v>0</v>
      </c>
      <c r="U475" s="82"/>
    </row>
    <row r="476" spans="1:21" ht="17.25" customHeight="1" x14ac:dyDescent="0.3">
      <c r="A476" s="66" t="s">
        <v>30</v>
      </c>
      <c r="C476" s="67"/>
      <c r="D476" s="77" t="str">
        <f t="shared" ref="D476" si="285">D475</f>
        <v>S100004</v>
      </c>
      <c r="E476" s="77"/>
      <c r="F476" s="76"/>
      <c r="G476" s="76" t="str">
        <f>"""NAV Direct"",""CRONUS JetCorp USA"",""32"",""1"",""30045"""</f>
        <v>"NAV Direct","CRONUS JetCorp USA","32","1","30045"</v>
      </c>
      <c r="H476" s="86">
        <v>43474</v>
      </c>
      <c r="I476" s="85">
        <v>30045</v>
      </c>
      <c r="J476" s="84" t="str">
        <f>"Customer"</f>
        <v>Customer</v>
      </c>
      <c r="K476" s="84" t="str">
        <f>"C100086"</f>
        <v>C100086</v>
      </c>
      <c r="L476" s="84" t="str">
        <f>IF($J476="Customer",_xll.NL("first",$J476,"Name","No.","@@"&amp;$K476),"")</f>
        <v>Top Action Sports</v>
      </c>
      <c r="M476" s="84" t="str">
        <f>""</f>
        <v/>
      </c>
      <c r="N476" s="84" t="str">
        <f>IF($J476="Item",_xll.NL("first",$J476,"Description","No.","@@"&amp;$K476),"")</f>
        <v/>
      </c>
      <c r="O476" s="83">
        <v>0</v>
      </c>
      <c r="P476" s="83">
        <v>-144</v>
      </c>
      <c r="Q476" s="83">
        <v>0</v>
      </c>
      <c r="R476" s="83">
        <v>0</v>
      </c>
      <c r="S476" s="83">
        <v>0</v>
      </c>
      <c r="T476" s="83">
        <v>0</v>
      </c>
      <c r="U476" s="82"/>
    </row>
    <row r="477" spans="1:21" ht="17.25" customHeight="1" x14ac:dyDescent="0.3">
      <c r="A477" s="66" t="s">
        <v>30</v>
      </c>
      <c r="C477" s="67"/>
      <c r="D477" s="77"/>
      <c r="E477" s="77"/>
      <c r="F477" s="76"/>
      <c r="G477" s="76"/>
      <c r="H477" s="76"/>
      <c r="I477" s="76"/>
      <c r="J477" s="76"/>
      <c r="K477" s="76"/>
      <c r="L477" s="76"/>
      <c r="M477" s="76"/>
      <c r="N477" s="76"/>
      <c r="O477" s="75"/>
      <c r="P477" s="75"/>
      <c r="Q477" s="75"/>
      <c r="R477" s="75"/>
      <c r="S477" s="75"/>
      <c r="T477" s="75"/>
      <c r="U477" s="74"/>
    </row>
    <row r="478" spans="1:21" ht="17.25" customHeight="1" x14ac:dyDescent="0.3">
      <c r="A478" s="66" t="s">
        <v>30</v>
      </c>
      <c r="C478" s="67"/>
      <c r="D478" s="77"/>
      <c r="E478" s="77" t="s">
        <v>31</v>
      </c>
      <c r="F478" s="76" t="s">
        <v>31</v>
      </c>
      <c r="G478" s="76" t="s">
        <v>31</v>
      </c>
      <c r="H478" s="76"/>
      <c r="I478" s="76"/>
      <c r="J478" s="76" t="s">
        <v>31</v>
      </c>
      <c r="K478" s="76" t="s">
        <v>31</v>
      </c>
      <c r="L478" s="76" t="s">
        <v>31</v>
      </c>
      <c r="M478" s="76" t="s">
        <v>31</v>
      </c>
      <c r="N478" s="76"/>
      <c r="U478" s="81"/>
    </row>
    <row r="479" spans="1:21" ht="20.25" customHeight="1" x14ac:dyDescent="0.35">
      <c r="A479" s="66" t="s">
        <v>30</v>
      </c>
      <c r="C479" s="67"/>
      <c r="D479" s="92" t="str">
        <f t="shared" ref="D479" si="286">E479</f>
        <v>S100005</v>
      </c>
      <c r="E479" s="91" t="str">
        <f>"S100005"</f>
        <v>S100005</v>
      </c>
      <c r="F479" s="89" t="str">
        <f>"Award Medallian - 2.5''"</f>
        <v>Award Medallian - 2.5''</v>
      </c>
      <c r="G479" s="89"/>
      <c r="H479" s="90" t="str">
        <f>"EA"</f>
        <v>EA</v>
      </c>
      <c r="I479" s="89"/>
      <c r="J479" s="89"/>
      <c r="K479" s="89"/>
      <c r="L479" s="89"/>
      <c r="M479" s="89"/>
      <c r="N479" s="89"/>
      <c r="O479" s="88">
        <f>(SUBTOTAL(9,O480:O483))</f>
        <v>600</v>
      </c>
      <c r="P479" s="88">
        <f>(SUBTOTAL(9,P480:P483))</f>
        <v>-432</v>
      </c>
      <c r="Q479" s="88">
        <f>(SUBTOTAL(9,Q480:Q483))</f>
        <v>0</v>
      </c>
      <c r="R479" s="88">
        <f>(SUBTOTAL(9,R480:R483))</f>
        <v>0</v>
      </c>
      <c r="S479" s="88">
        <f>(SUBTOTAL(9,S480:S483))</f>
        <v>0</v>
      </c>
      <c r="T479" s="88">
        <f>(SUBTOTAL(9,T480:T483))</f>
        <v>0</v>
      </c>
      <c r="U479" s="87">
        <f t="shared" ref="U479" si="287">SUBTOTAL(9,O480:T483)</f>
        <v>168</v>
      </c>
    </row>
    <row r="480" spans="1:21" ht="17.25" customHeight="1" x14ac:dyDescent="0.3">
      <c r="A480" s="66" t="s">
        <v>30</v>
      </c>
      <c r="C480" s="67"/>
      <c r="D480" s="77" t="str">
        <f t="shared" ref="D480" si="288">D479</f>
        <v>S100005</v>
      </c>
      <c r="E480" s="77"/>
      <c r="F480" s="76"/>
      <c r="G480" s="76" t="str">
        <f>"""NAV Direct"",""CRONUS JetCorp USA"",""32"",""1"",""166358"""</f>
        <v>"NAV Direct","CRONUS JetCorp USA","32","1","166358"</v>
      </c>
      <c r="H480" s="86">
        <v>43466</v>
      </c>
      <c r="I480" s="85">
        <v>166358</v>
      </c>
      <c r="J480" s="84" t="str">
        <f>"Vendor"</f>
        <v>Vendor</v>
      </c>
      <c r="K480" s="84" t="str">
        <f>"V100007"</f>
        <v>V100007</v>
      </c>
      <c r="L480" s="84" t="str">
        <f>IF($J480="Customer",_xll.NL("first",$J480,"Name","No.","@@"&amp;$K480),"")</f>
        <v/>
      </c>
      <c r="M480" s="84" t="str">
        <f>"TrendTech"</f>
        <v>TrendTech</v>
      </c>
      <c r="N480" s="84" t="str">
        <f>IF($J480="Item",_xll.NL("first",$J480,"Description","No.","@@"&amp;$K480),"")</f>
        <v/>
      </c>
      <c r="O480" s="83">
        <v>600</v>
      </c>
      <c r="P480" s="83">
        <v>0</v>
      </c>
      <c r="Q480" s="83">
        <v>0</v>
      </c>
      <c r="R480" s="83">
        <v>0</v>
      </c>
      <c r="S480" s="83">
        <v>0</v>
      </c>
      <c r="T480" s="83">
        <v>0</v>
      </c>
      <c r="U480" s="82"/>
    </row>
    <row r="481" spans="1:21" ht="17.25" customHeight="1" x14ac:dyDescent="0.3">
      <c r="A481" s="66" t="s">
        <v>30</v>
      </c>
      <c r="C481" s="67"/>
      <c r="D481" s="77" t="str">
        <f t="shared" ref="D481:D482" si="289">D480</f>
        <v>S100005</v>
      </c>
      <c r="E481" s="77"/>
      <c r="F481" s="76"/>
      <c r="G481" s="76" t="str">
        <f>"""NAV Direct"",""CRONUS JetCorp USA"",""32"",""1"",""124511"""</f>
        <v>"NAV Direct","CRONUS JetCorp USA","32","1","124511"</v>
      </c>
      <c r="H481" s="86">
        <v>43470</v>
      </c>
      <c r="I481" s="85">
        <v>124511</v>
      </c>
      <c r="J481" s="84" t="str">
        <f>"Customer"</f>
        <v>Customer</v>
      </c>
      <c r="K481" s="84" t="str">
        <f>"C100025"</f>
        <v>C100025</v>
      </c>
      <c r="L481" s="84" t="str">
        <f>IF($J481="Customer",_xll.NL("first",$J481,"Name","No.","@@"&amp;$K481),"")</f>
        <v>Derringers Resturants</v>
      </c>
      <c r="M481" s="84" t="str">
        <f>""</f>
        <v/>
      </c>
      <c r="N481" s="84" t="str">
        <f>IF($J481="Item",_xll.NL("first",$J481,"Description","No.","@@"&amp;$K481),"")</f>
        <v/>
      </c>
      <c r="O481" s="83">
        <v>0</v>
      </c>
      <c r="P481" s="83">
        <v>-288</v>
      </c>
      <c r="Q481" s="83">
        <v>0</v>
      </c>
      <c r="R481" s="83">
        <v>0</v>
      </c>
      <c r="S481" s="83">
        <v>0</v>
      </c>
      <c r="T481" s="83">
        <v>0</v>
      </c>
      <c r="U481" s="82"/>
    </row>
    <row r="482" spans="1:21" ht="17.25" customHeight="1" x14ac:dyDescent="0.3">
      <c r="A482" s="66" t="s">
        <v>30</v>
      </c>
      <c r="C482" s="67"/>
      <c r="D482" s="77" t="str">
        <f t="shared" si="289"/>
        <v>S100005</v>
      </c>
      <c r="E482" s="77"/>
      <c r="F482" s="76"/>
      <c r="G482" s="76" t="str">
        <f>"""NAV Direct"",""CRONUS JetCorp USA"",""32"",""1"",""124542"""</f>
        <v>"NAV Direct","CRONUS JetCorp USA","32","1","124542"</v>
      </c>
      <c r="H482" s="86">
        <v>43473</v>
      </c>
      <c r="I482" s="85">
        <v>124542</v>
      </c>
      <c r="J482" s="84" t="str">
        <f>"Customer"</f>
        <v>Customer</v>
      </c>
      <c r="K482" s="84" t="str">
        <f>"C100035"</f>
        <v>C100035</v>
      </c>
      <c r="L482" s="84" t="str">
        <f>IF($J482="Customer",_xll.NL("first",$J482,"Name","No.","@@"&amp;$K482),"")</f>
        <v>First Touch Marketing</v>
      </c>
      <c r="M482" s="84" t="str">
        <f>""</f>
        <v/>
      </c>
      <c r="N482" s="84" t="str">
        <f>IF($J482="Item",_xll.NL("first",$J482,"Description","No.","@@"&amp;$K482),"")</f>
        <v/>
      </c>
      <c r="O482" s="83">
        <v>0</v>
      </c>
      <c r="P482" s="83">
        <v>-144</v>
      </c>
      <c r="Q482" s="83">
        <v>0</v>
      </c>
      <c r="R482" s="83">
        <v>0</v>
      </c>
      <c r="S482" s="83">
        <v>0</v>
      </c>
      <c r="T482" s="83">
        <v>0</v>
      </c>
      <c r="U482" s="82"/>
    </row>
    <row r="483" spans="1:21" ht="17.25" customHeight="1" x14ac:dyDescent="0.3">
      <c r="A483" s="66" t="s">
        <v>30</v>
      </c>
      <c r="C483" s="67"/>
      <c r="D483" s="77"/>
      <c r="E483" s="77"/>
      <c r="F483" s="76"/>
      <c r="G483" s="76"/>
      <c r="H483" s="76"/>
      <c r="I483" s="76"/>
      <c r="J483" s="76"/>
      <c r="K483" s="76"/>
      <c r="L483" s="76"/>
      <c r="M483" s="76"/>
      <c r="N483" s="76"/>
      <c r="O483" s="75"/>
      <c r="P483" s="75"/>
      <c r="Q483" s="75"/>
      <c r="R483" s="75"/>
      <c r="S483" s="75"/>
      <c r="T483" s="75"/>
      <c r="U483" s="74"/>
    </row>
    <row r="484" spans="1:21" ht="17.25" customHeight="1" x14ac:dyDescent="0.3">
      <c r="A484" s="66" t="s">
        <v>30</v>
      </c>
      <c r="C484" s="67"/>
      <c r="D484" s="77"/>
      <c r="E484" s="77" t="s">
        <v>31</v>
      </c>
      <c r="F484" s="76" t="s">
        <v>31</v>
      </c>
      <c r="G484" s="76" t="s">
        <v>31</v>
      </c>
      <c r="H484" s="76"/>
      <c r="I484" s="76"/>
      <c r="J484" s="76" t="s">
        <v>31</v>
      </c>
      <c r="K484" s="76" t="s">
        <v>31</v>
      </c>
      <c r="L484" s="76" t="s">
        <v>31</v>
      </c>
      <c r="M484" s="76" t="s">
        <v>31</v>
      </c>
      <c r="N484" s="76"/>
      <c r="U484" s="81"/>
    </row>
    <row r="485" spans="1:21" ht="20.25" customHeight="1" x14ac:dyDescent="0.35">
      <c r="A485" s="66" t="s">
        <v>30</v>
      </c>
      <c r="C485" s="67"/>
      <c r="D485" s="92" t="str">
        <f t="shared" ref="D485" si="290">E485</f>
        <v>S100006</v>
      </c>
      <c r="E485" s="91" t="str">
        <f>"S100006"</f>
        <v>S100006</v>
      </c>
      <c r="F485" s="89" t="str">
        <f>"Award Medallian - 3''"</f>
        <v>Award Medallian - 3''</v>
      </c>
      <c r="G485" s="89"/>
      <c r="H485" s="90" t="str">
        <f>"EA"</f>
        <v>EA</v>
      </c>
      <c r="I485" s="89"/>
      <c r="J485" s="89"/>
      <c r="K485" s="89"/>
      <c r="L485" s="89"/>
      <c r="M485" s="89"/>
      <c r="N485" s="89"/>
      <c r="O485" s="88">
        <f>(SUBTOTAL(9,O486:O488))</f>
        <v>499.99999999999994</v>
      </c>
      <c r="P485" s="88">
        <f>(SUBTOTAL(9,P486:P488))</f>
        <v>-288</v>
      </c>
      <c r="Q485" s="88">
        <f>(SUBTOTAL(9,Q486:Q488))</f>
        <v>0</v>
      </c>
      <c r="R485" s="88">
        <f>(SUBTOTAL(9,R486:R488))</f>
        <v>0</v>
      </c>
      <c r="S485" s="88">
        <f>(SUBTOTAL(9,S486:S488))</f>
        <v>0</v>
      </c>
      <c r="T485" s="88">
        <f>(SUBTOTAL(9,T486:T488))</f>
        <v>0</v>
      </c>
      <c r="U485" s="87">
        <f t="shared" ref="U485" si="291">SUBTOTAL(9,O486:T488)</f>
        <v>211.99999999999994</v>
      </c>
    </row>
    <row r="486" spans="1:21" ht="17.25" customHeight="1" x14ac:dyDescent="0.3">
      <c r="A486" s="66" t="s">
        <v>30</v>
      </c>
      <c r="C486" s="67"/>
      <c r="D486" s="77" t="str">
        <f t="shared" ref="D486" si="292">D485</f>
        <v>S100006</v>
      </c>
      <c r="E486" s="77"/>
      <c r="F486" s="76"/>
      <c r="G486" s="76" t="str">
        <f>"""NAV Direct"",""CRONUS JetCorp USA"",""32"",""1"",""166357"""</f>
        <v>"NAV Direct","CRONUS JetCorp USA","32","1","166357"</v>
      </c>
      <c r="H486" s="86">
        <v>43466</v>
      </c>
      <c r="I486" s="85">
        <v>166357</v>
      </c>
      <c r="J486" s="84" t="str">
        <f>"Vendor"</f>
        <v>Vendor</v>
      </c>
      <c r="K486" s="84" t="str">
        <f>"V100007"</f>
        <v>V100007</v>
      </c>
      <c r="L486" s="84" t="str">
        <f>IF($J486="Customer",_xll.NL("first",$J486,"Name","No.","@@"&amp;$K486),"")</f>
        <v/>
      </c>
      <c r="M486" s="84" t="str">
        <f>"TrendTech"</f>
        <v>TrendTech</v>
      </c>
      <c r="N486" s="84" t="str">
        <f>IF($J486="Item",_xll.NL("first",$J486,"Description","No.","@@"&amp;$K486),"")</f>
        <v/>
      </c>
      <c r="O486" s="83">
        <v>499.99999999999994</v>
      </c>
      <c r="P486" s="83">
        <v>0</v>
      </c>
      <c r="Q486" s="83">
        <v>0</v>
      </c>
      <c r="R486" s="83">
        <v>0</v>
      </c>
      <c r="S486" s="83">
        <v>0</v>
      </c>
      <c r="T486" s="83">
        <v>0</v>
      </c>
      <c r="U486" s="82"/>
    </row>
    <row r="487" spans="1:21" ht="17.25" customHeight="1" x14ac:dyDescent="0.3">
      <c r="A487" s="66" t="s">
        <v>30</v>
      </c>
      <c r="C487" s="67"/>
      <c r="D487" s="77" t="str">
        <f t="shared" ref="D487" si="293">D486</f>
        <v>S100006</v>
      </c>
      <c r="E487" s="77"/>
      <c r="F487" s="76"/>
      <c r="G487" s="76" t="str">
        <f>"""NAV Direct"",""CRONUS JetCorp USA"",""32"",""1"",""124510"""</f>
        <v>"NAV Direct","CRONUS JetCorp USA","32","1","124510"</v>
      </c>
      <c r="H487" s="86">
        <v>43470</v>
      </c>
      <c r="I487" s="85">
        <v>124510</v>
      </c>
      <c r="J487" s="84" t="str">
        <f>"Customer"</f>
        <v>Customer</v>
      </c>
      <c r="K487" s="84" t="str">
        <f>"C100025"</f>
        <v>C100025</v>
      </c>
      <c r="L487" s="84" t="str">
        <f>IF($J487="Customer",_xll.NL("first",$J487,"Name","No.","@@"&amp;$K487),"")</f>
        <v>Derringers Resturants</v>
      </c>
      <c r="M487" s="84" t="str">
        <f>""</f>
        <v/>
      </c>
      <c r="N487" s="84" t="str">
        <f>IF($J487="Item",_xll.NL("first",$J487,"Description","No.","@@"&amp;$K487),"")</f>
        <v/>
      </c>
      <c r="O487" s="83">
        <v>0</v>
      </c>
      <c r="P487" s="83">
        <v>-288</v>
      </c>
      <c r="Q487" s="83">
        <v>0</v>
      </c>
      <c r="R487" s="83">
        <v>0</v>
      </c>
      <c r="S487" s="83">
        <v>0</v>
      </c>
      <c r="T487" s="83">
        <v>0</v>
      </c>
      <c r="U487" s="82"/>
    </row>
    <row r="488" spans="1:21" ht="17.25" customHeight="1" x14ac:dyDescent="0.3">
      <c r="A488" s="66" t="s">
        <v>30</v>
      </c>
      <c r="C488" s="67"/>
      <c r="D488" s="77"/>
      <c r="E488" s="77"/>
      <c r="F488" s="76"/>
      <c r="G488" s="76"/>
      <c r="H488" s="76"/>
      <c r="I488" s="76"/>
      <c r="J488" s="76"/>
      <c r="K488" s="76"/>
      <c r="L488" s="76"/>
      <c r="M488" s="76"/>
      <c r="N488" s="76"/>
      <c r="O488" s="75"/>
      <c r="P488" s="75"/>
      <c r="Q488" s="75"/>
      <c r="R488" s="75"/>
      <c r="S488" s="75"/>
      <c r="T488" s="75"/>
      <c r="U488" s="74"/>
    </row>
    <row r="489" spans="1:21" ht="17.25" customHeight="1" x14ac:dyDescent="0.3">
      <c r="A489" s="66" t="s">
        <v>30</v>
      </c>
      <c r="C489" s="67"/>
      <c r="D489" s="77"/>
      <c r="E489" s="77" t="s">
        <v>31</v>
      </c>
      <c r="F489" s="76" t="s">
        <v>31</v>
      </c>
      <c r="G489" s="76" t="s">
        <v>31</v>
      </c>
      <c r="H489" s="76"/>
      <c r="I489" s="76"/>
      <c r="J489" s="76" t="s">
        <v>31</v>
      </c>
      <c r="K489" s="76" t="s">
        <v>31</v>
      </c>
      <c r="L489" s="76" t="s">
        <v>31</v>
      </c>
      <c r="M489" s="76" t="s">
        <v>31</v>
      </c>
      <c r="N489" s="76"/>
      <c r="U489" s="81"/>
    </row>
    <row r="490" spans="1:21" ht="20.25" customHeight="1" x14ac:dyDescent="0.35">
      <c r="A490" s="66" t="s">
        <v>30</v>
      </c>
      <c r="C490" s="67"/>
      <c r="D490" s="92" t="str">
        <f t="shared" ref="D490" si="294">E490</f>
        <v>S100007</v>
      </c>
      <c r="E490" s="91" t="str">
        <f>"S100007"</f>
        <v>S100007</v>
      </c>
      <c r="F490" s="89" t="str">
        <f>"Baseball Figure Trophy"</f>
        <v>Baseball Figure Trophy</v>
      </c>
      <c r="G490" s="89"/>
      <c r="H490" s="90" t="str">
        <f>"EA"</f>
        <v>EA</v>
      </c>
      <c r="I490" s="89"/>
      <c r="J490" s="89"/>
      <c r="K490" s="89"/>
      <c r="L490" s="89"/>
      <c r="M490" s="89"/>
      <c r="N490" s="89"/>
      <c r="O490" s="88">
        <f>(SUBTOTAL(9,O491:O492))</f>
        <v>0</v>
      </c>
      <c r="P490" s="88">
        <f>(SUBTOTAL(9,P491:P492))</f>
        <v>-48</v>
      </c>
      <c r="Q490" s="88">
        <f>(SUBTOTAL(9,Q491:Q492))</f>
        <v>0</v>
      </c>
      <c r="R490" s="88">
        <f>(SUBTOTAL(9,R491:R492))</f>
        <v>0</v>
      </c>
      <c r="S490" s="88">
        <f>(SUBTOTAL(9,S491:S492))</f>
        <v>0</v>
      </c>
      <c r="T490" s="88">
        <f>(SUBTOTAL(9,T491:T492))</f>
        <v>0</v>
      </c>
      <c r="U490" s="87">
        <f t="shared" ref="U490" si="295">SUBTOTAL(9,O491:T492)</f>
        <v>-48</v>
      </c>
    </row>
    <row r="491" spans="1:21" ht="17.25" customHeight="1" x14ac:dyDescent="0.3">
      <c r="A491" s="66" t="s">
        <v>30</v>
      </c>
      <c r="C491" s="67"/>
      <c r="D491" s="77" t="str">
        <f t="shared" ref="D491" si="296">D490</f>
        <v>S100007</v>
      </c>
      <c r="E491" s="77"/>
      <c r="F491" s="76"/>
      <c r="G491" s="76" t="str">
        <f>"""NAV Direct"",""CRONUS JetCorp USA"",""32"",""1"",""132501"""</f>
        <v>"NAV Direct","CRONUS JetCorp USA","32","1","132501"</v>
      </c>
      <c r="H491" s="86">
        <v>43466</v>
      </c>
      <c r="I491" s="85">
        <v>132501</v>
      </c>
      <c r="J491" s="84" t="str">
        <f>"Customer"</f>
        <v>Customer</v>
      </c>
      <c r="K491" s="84" t="str">
        <f>"C100040"</f>
        <v>C100040</v>
      </c>
      <c r="L491" s="84" t="str">
        <f>IF($J491="Customer",_xll.NL("first",$J491,"Name","No.","@@"&amp;$K491),"")</f>
        <v>Guildford Water Department</v>
      </c>
      <c r="M491" s="84" t="str">
        <f>""</f>
        <v/>
      </c>
      <c r="N491" s="84" t="str">
        <f>IF($J491="Item",_xll.NL("first",$J491,"Description","No.","@@"&amp;$K491),"")</f>
        <v/>
      </c>
      <c r="O491" s="83">
        <v>0</v>
      </c>
      <c r="P491" s="83">
        <v>-48</v>
      </c>
      <c r="Q491" s="83">
        <v>0</v>
      </c>
      <c r="R491" s="83">
        <v>0</v>
      </c>
      <c r="S491" s="83">
        <v>0</v>
      </c>
      <c r="T491" s="83">
        <v>0</v>
      </c>
      <c r="U491" s="82"/>
    </row>
    <row r="492" spans="1:21" ht="17.25" customHeight="1" x14ac:dyDescent="0.3">
      <c r="A492" s="66" t="s">
        <v>30</v>
      </c>
      <c r="C492" s="67"/>
      <c r="D492" s="77"/>
      <c r="E492" s="77"/>
      <c r="F492" s="76"/>
      <c r="G492" s="76"/>
      <c r="H492" s="76"/>
      <c r="I492" s="76"/>
      <c r="J492" s="76"/>
      <c r="K492" s="76"/>
      <c r="L492" s="76"/>
      <c r="M492" s="76"/>
      <c r="N492" s="76"/>
      <c r="O492" s="75"/>
      <c r="P492" s="75"/>
      <c r="Q492" s="75"/>
      <c r="R492" s="75"/>
      <c r="S492" s="75"/>
      <c r="T492" s="75"/>
      <c r="U492" s="74"/>
    </row>
    <row r="493" spans="1:21" ht="17.25" customHeight="1" x14ac:dyDescent="0.3">
      <c r="A493" s="66" t="s">
        <v>30</v>
      </c>
      <c r="C493" s="67"/>
      <c r="D493" s="77"/>
      <c r="E493" s="77" t="s">
        <v>31</v>
      </c>
      <c r="F493" s="76" t="s">
        <v>31</v>
      </c>
      <c r="G493" s="76" t="s">
        <v>31</v>
      </c>
      <c r="H493" s="76"/>
      <c r="I493" s="76"/>
      <c r="J493" s="76" t="s">
        <v>31</v>
      </c>
      <c r="K493" s="76" t="s">
        <v>31</v>
      </c>
      <c r="L493" s="76" t="s">
        <v>31</v>
      </c>
      <c r="M493" s="76" t="s">
        <v>31</v>
      </c>
      <c r="N493" s="76"/>
      <c r="U493" s="81"/>
    </row>
    <row r="494" spans="1:21" ht="20.25" customHeight="1" x14ac:dyDescent="0.35">
      <c r="A494" s="66" t="s">
        <v>30</v>
      </c>
      <c r="C494" s="67"/>
      <c r="D494" s="92" t="str">
        <f t="shared" ref="D494" si="297">E494</f>
        <v>S100008</v>
      </c>
      <c r="E494" s="91" t="str">
        <f>"S100008"</f>
        <v>S100008</v>
      </c>
      <c r="F494" s="89" t="str">
        <f>"Soccer Figure Trophy"</f>
        <v>Soccer Figure Trophy</v>
      </c>
      <c r="G494" s="89"/>
      <c r="H494" s="90" t="str">
        <f>"EA"</f>
        <v>EA</v>
      </c>
      <c r="I494" s="89"/>
      <c r="J494" s="89"/>
      <c r="K494" s="89"/>
      <c r="L494" s="89"/>
      <c r="M494" s="89"/>
      <c r="N494" s="89"/>
      <c r="O494" s="88">
        <f>(SUBTOTAL(9,O495:O498))</f>
        <v>300</v>
      </c>
      <c r="P494" s="88">
        <f>(SUBTOTAL(9,P495:P498))</f>
        <v>-288</v>
      </c>
      <c r="Q494" s="88">
        <f>(SUBTOTAL(9,Q495:Q498))</f>
        <v>0</v>
      </c>
      <c r="R494" s="88">
        <f>(SUBTOTAL(9,R495:R498))</f>
        <v>0</v>
      </c>
      <c r="S494" s="88">
        <f>(SUBTOTAL(9,S495:S498))</f>
        <v>0</v>
      </c>
      <c r="T494" s="88">
        <f>(SUBTOTAL(9,T495:T498))</f>
        <v>0</v>
      </c>
      <c r="U494" s="87">
        <f t="shared" ref="U494" si="298">SUBTOTAL(9,O495:T498)</f>
        <v>12</v>
      </c>
    </row>
    <row r="495" spans="1:21" ht="17.25" customHeight="1" x14ac:dyDescent="0.3">
      <c r="A495" s="66" t="s">
        <v>30</v>
      </c>
      <c r="C495" s="67"/>
      <c r="D495" s="77" t="str">
        <f t="shared" ref="D495" si="299">D494</f>
        <v>S100008</v>
      </c>
      <c r="E495" s="77"/>
      <c r="F495" s="76"/>
      <c r="G495" s="76" t="str">
        <f>"""NAV Direct"",""CRONUS JetCorp USA"",""32"",""1"",""166356"""</f>
        <v>"NAV Direct","CRONUS JetCorp USA","32","1","166356"</v>
      </c>
      <c r="H495" s="86">
        <v>43466</v>
      </c>
      <c r="I495" s="85">
        <v>166356</v>
      </c>
      <c r="J495" s="84" t="str">
        <f>"Vendor"</f>
        <v>Vendor</v>
      </c>
      <c r="K495" s="84" t="str">
        <f>"V100007"</f>
        <v>V100007</v>
      </c>
      <c r="L495" s="84" t="str">
        <f>IF($J495="Customer",_xll.NL("first",$J495,"Name","No.","@@"&amp;$K495),"")</f>
        <v/>
      </c>
      <c r="M495" s="84" t="str">
        <f>"TrendTech"</f>
        <v>TrendTech</v>
      </c>
      <c r="N495" s="84" t="str">
        <f>IF($J495="Item",_xll.NL("first",$J495,"Description","No.","@@"&amp;$K495),"")</f>
        <v/>
      </c>
      <c r="O495" s="83">
        <v>300</v>
      </c>
      <c r="P495" s="83">
        <v>0</v>
      </c>
      <c r="Q495" s="83">
        <v>0</v>
      </c>
      <c r="R495" s="83">
        <v>0</v>
      </c>
      <c r="S495" s="83">
        <v>0</v>
      </c>
      <c r="T495" s="83">
        <v>0</v>
      </c>
      <c r="U495" s="82"/>
    </row>
    <row r="496" spans="1:21" ht="17.25" customHeight="1" x14ac:dyDescent="0.3">
      <c r="A496" s="66" t="s">
        <v>30</v>
      </c>
      <c r="C496" s="67"/>
      <c r="D496" s="77" t="str">
        <f t="shared" ref="D496:D497" si="300">D495</f>
        <v>S100008</v>
      </c>
      <c r="E496" s="77"/>
      <c r="F496" s="76"/>
      <c r="G496" s="76" t="str">
        <f>"""NAV Direct"",""CRONUS JetCorp USA"",""32"",""1"",""124512"""</f>
        <v>"NAV Direct","CRONUS JetCorp USA","32","1","124512"</v>
      </c>
      <c r="H496" s="86">
        <v>43470</v>
      </c>
      <c r="I496" s="85">
        <v>124512</v>
      </c>
      <c r="J496" s="84" t="str">
        <f>"Customer"</f>
        <v>Customer</v>
      </c>
      <c r="K496" s="84" t="str">
        <f>"C100025"</f>
        <v>C100025</v>
      </c>
      <c r="L496" s="84" t="str">
        <f>IF($J496="Customer",_xll.NL("first",$J496,"Name","No.","@@"&amp;$K496),"")</f>
        <v>Derringers Resturants</v>
      </c>
      <c r="M496" s="84" t="str">
        <f>""</f>
        <v/>
      </c>
      <c r="N496" s="84" t="str">
        <f>IF($J496="Item",_xll.NL("first",$J496,"Description","No.","@@"&amp;$K496),"")</f>
        <v/>
      </c>
      <c r="O496" s="83">
        <v>0</v>
      </c>
      <c r="P496" s="83">
        <v>-144</v>
      </c>
      <c r="Q496" s="83">
        <v>0</v>
      </c>
      <c r="R496" s="83">
        <v>0</v>
      </c>
      <c r="S496" s="83">
        <v>0</v>
      </c>
      <c r="T496" s="83">
        <v>0</v>
      </c>
      <c r="U496" s="82"/>
    </row>
    <row r="497" spans="1:21" ht="17.25" customHeight="1" x14ac:dyDescent="0.3">
      <c r="A497" s="66" t="s">
        <v>30</v>
      </c>
      <c r="C497" s="67"/>
      <c r="D497" s="77" t="str">
        <f t="shared" si="300"/>
        <v>S100008</v>
      </c>
      <c r="E497" s="77"/>
      <c r="F497" s="76"/>
      <c r="G497" s="76" t="str">
        <f>"""NAV Direct"",""CRONUS JetCorp USA"",""32"",""1"",""124589"""</f>
        <v>"NAV Direct","CRONUS JetCorp USA","32","1","124589"</v>
      </c>
      <c r="H497" s="86">
        <v>43475</v>
      </c>
      <c r="I497" s="85">
        <v>124589</v>
      </c>
      <c r="J497" s="84" t="str">
        <f>"Customer"</f>
        <v>Customer</v>
      </c>
      <c r="K497" s="84" t="str">
        <f>"C100035"</f>
        <v>C100035</v>
      </c>
      <c r="L497" s="84" t="str">
        <f>IF($J497="Customer",_xll.NL("first",$J497,"Name","No.","@@"&amp;$K497),"")</f>
        <v>First Touch Marketing</v>
      </c>
      <c r="M497" s="84" t="str">
        <f>""</f>
        <v/>
      </c>
      <c r="N497" s="84" t="str">
        <f>IF($J497="Item",_xll.NL("first",$J497,"Description","No.","@@"&amp;$K497),"")</f>
        <v/>
      </c>
      <c r="O497" s="83">
        <v>0</v>
      </c>
      <c r="P497" s="83">
        <v>-144</v>
      </c>
      <c r="Q497" s="83">
        <v>0</v>
      </c>
      <c r="R497" s="83">
        <v>0</v>
      </c>
      <c r="S497" s="83">
        <v>0</v>
      </c>
      <c r="T497" s="83">
        <v>0</v>
      </c>
      <c r="U497" s="82"/>
    </row>
    <row r="498" spans="1:21" ht="17.25" customHeight="1" x14ac:dyDescent="0.3">
      <c r="A498" s="66" t="s">
        <v>30</v>
      </c>
      <c r="C498" s="67"/>
      <c r="D498" s="77"/>
      <c r="E498" s="77"/>
      <c r="F498" s="76"/>
      <c r="G498" s="76"/>
      <c r="H498" s="76"/>
      <c r="I498" s="76"/>
      <c r="J498" s="76"/>
      <c r="K498" s="76"/>
      <c r="L498" s="76"/>
      <c r="M498" s="76"/>
      <c r="N498" s="76"/>
      <c r="O498" s="75"/>
      <c r="P498" s="75"/>
      <c r="Q498" s="75"/>
      <c r="R498" s="75"/>
      <c r="S498" s="75"/>
      <c r="T498" s="75"/>
      <c r="U498" s="74"/>
    </row>
    <row r="499" spans="1:21" ht="17.25" customHeight="1" x14ac:dyDescent="0.3">
      <c r="A499" s="66" t="s">
        <v>30</v>
      </c>
      <c r="C499" s="67"/>
      <c r="D499" s="77"/>
      <c r="E499" s="77" t="s">
        <v>31</v>
      </c>
      <c r="F499" s="76" t="s">
        <v>31</v>
      </c>
      <c r="G499" s="76" t="s">
        <v>31</v>
      </c>
      <c r="H499" s="76"/>
      <c r="I499" s="76"/>
      <c r="J499" s="76" t="s">
        <v>31</v>
      </c>
      <c r="K499" s="76" t="s">
        <v>31</v>
      </c>
      <c r="L499" s="76" t="s">
        <v>31</v>
      </c>
      <c r="M499" s="76" t="s">
        <v>31</v>
      </c>
      <c r="N499" s="76"/>
      <c r="U499" s="81"/>
    </row>
    <row r="500" spans="1:21" ht="20.25" customHeight="1" x14ac:dyDescent="0.35">
      <c r="A500" s="66" t="s">
        <v>30</v>
      </c>
      <c r="C500" s="67"/>
      <c r="D500" s="92" t="str">
        <f t="shared" ref="D500" si="301">E500</f>
        <v>S100009</v>
      </c>
      <c r="E500" s="91" t="str">
        <f>"S100009"</f>
        <v>S100009</v>
      </c>
      <c r="F500" s="89" t="str">
        <f>"Engraved Basketball Award"</f>
        <v>Engraved Basketball Award</v>
      </c>
      <c r="G500" s="89"/>
      <c r="H500" s="90" t="str">
        <f>"EA"</f>
        <v>EA</v>
      </c>
      <c r="I500" s="89"/>
      <c r="J500" s="89"/>
      <c r="K500" s="89"/>
      <c r="L500" s="89"/>
      <c r="M500" s="89"/>
      <c r="N500" s="89"/>
      <c r="O500" s="88">
        <f>(SUBTOTAL(9,O501:O504))</f>
        <v>400</v>
      </c>
      <c r="P500" s="88">
        <f>(SUBTOTAL(9,P501:P504))</f>
        <v>-432</v>
      </c>
      <c r="Q500" s="88">
        <f>(SUBTOTAL(9,Q501:Q504))</f>
        <v>0</v>
      </c>
      <c r="R500" s="88">
        <f>(SUBTOTAL(9,R501:R504))</f>
        <v>0</v>
      </c>
      <c r="S500" s="88">
        <f>(SUBTOTAL(9,S501:S504))</f>
        <v>0</v>
      </c>
      <c r="T500" s="88">
        <f>(SUBTOTAL(9,T501:T504))</f>
        <v>0</v>
      </c>
      <c r="U500" s="87">
        <f t="shared" ref="U500" si="302">SUBTOTAL(9,O501:T504)</f>
        <v>-32</v>
      </c>
    </row>
    <row r="501" spans="1:21" ht="17.25" customHeight="1" x14ac:dyDescent="0.3">
      <c r="A501" s="66" t="s">
        <v>30</v>
      </c>
      <c r="C501" s="67"/>
      <c r="D501" s="77" t="str">
        <f t="shared" ref="D501" si="303">D500</f>
        <v>S100009</v>
      </c>
      <c r="E501" s="77"/>
      <c r="F501" s="76"/>
      <c r="G501" s="76" t="str">
        <f>"""NAV Direct"",""CRONUS JetCorp USA"",""32"",""1"",""166355"""</f>
        <v>"NAV Direct","CRONUS JetCorp USA","32","1","166355"</v>
      </c>
      <c r="H501" s="86">
        <v>43466</v>
      </c>
      <c r="I501" s="85">
        <v>166355</v>
      </c>
      <c r="J501" s="84" t="str">
        <f>"Vendor"</f>
        <v>Vendor</v>
      </c>
      <c r="K501" s="84" t="str">
        <f>"V100007"</f>
        <v>V100007</v>
      </c>
      <c r="L501" s="84" t="str">
        <f>IF($J501="Customer",_xll.NL("first",$J501,"Name","No.","@@"&amp;$K501),"")</f>
        <v/>
      </c>
      <c r="M501" s="84" t="str">
        <f>"TrendTech"</f>
        <v>TrendTech</v>
      </c>
      <c r="N501" s="84" t="str">
        <f>IF($J501="Item",_xll.NL("first",$J501,"Description","No.","@@"&amp;$K501),"")</f>
        <v/>
      </c>
      <c r="O501" s="83">
        <v>400</v>
      </c>
      <c r="P501" s="83">
        <v>0</v>
      </c>
      <c r="Q501" s="83">
        <v>0</v>
      </c>
      <c r="R501" s="83">
        <v>0</v>
      </c>
      <c r="S501" s="83">
        <v>0</v>
      </c>
      <c r="T501" s="83">
        <v>0</v>
      </c>
      <c r="U501" s="82"/>
    </row>
    <row r="502" spans="1:21" ht="17.25" customHeight="1" x14ac:dyDescent="0.3">
      <c r="A502" s="66" t="s">
        <v>30</v>
      </c>
      <c r="C502" s="67"/>
      <c r="D502" s="77" t="str">
        <f t="shared" ref="D502:D503" si="304">D501</f>
        <v>S100009</v>
      </c>
      <c r="E502" s="77"/>
      <c r="F502" s="76"/>
      <c r="G502" s="76" t="str">
        <f>"""NAV Direct"",""CRONUS JetCorp USA"",""32"",""1"",""124509"""</f>
        <v>"NAV Direct","CRONUS JetCorp USA","32","1","124509"</v>
      </c>
      <c r="H502" s="86">
        <v>43470</v>
      </c>
      <c r="I502" s="85">
        <v>124509</v>
      </c>
      <c r="J502" s="84" t="str">
        <f>"Customer"</f>
        <v>Customer</v>
      </c>
      <c r="K502" s="84" t="str">
        <f>"C100025"</f>
        <v>C100025</v>
      </c>
      <c r="L502" s="84" t="str">
        <f>IF($J502="Customer",_xll.NL("first",$J502,"Name","No.","@@"&amp;$K502),"")</f>
        <v>Derringers Resturants</v>
      </c>
      <c r="M502" s="84" t="str">
        <f>""</f>
        <v/>
      </c>
      <c r="N502" s="84" t="str">
        <f>IF($J502="Item",_xll.NL("first",$J502,"Description","No.","@@"&amp;$K502),"")</f>
        <v/>
      </c>
      <c r="O502" s="83">
        <v>0</v>
      </c>
      <c r="P502" s="83">
        <v>-288</v>
      </c>
      <c r="Q502" s="83">
        <v>0</v>
      </c>
      <c r="R502" s="83">
        <v>0</v>
      </c>
      <c r="S502" s="83">
        <v>0</v>
      </c>
      <c r="T502" s="83">
        <v>0</v>
      </c>
      <c r="U502" s="82"/>
    </row>
    <row r="503" spans="1:21" ht="17.25" customHeight="1" x14ac:dyDescent="0.3">
      <c r="A503" s="66" t="s">
        <v>30</v>
      </c>
      <c r="C503" s="67"/>
      <c r="D503" s="77" t="str">
        <f t="shared" si="304"/>
        <v>S100009</v>
      </c>
      <c r="E503" s="77"/>
      <c r="F503" s="76"/>
      <c r="G503" s="76" t="str">
        <f>"""NAV Direct"",""CRONUS JetCorp USA"",""32"",""1"",""124536"""</f>
        <v>"NAV Direct","CRONUS JetCorp USA","32","1","124536"</v>
      </c>
      <c r="H503" s="86">
        <v>43473</v>
      </c>
      <c r="I503" s="85">
        <v>124536</v>
      </c>
      <c r="J503" s="84" t="str">
        <f>"Customer"</f>
        <v>Customer</v>
      </c>
      <c r="K503" s="84" t="str">
        <f>"C100035"</f>
        <v>C100035</v>
      </c>
      <c r="L503" s="84" t="str">
        <f>IF($J503="Customer",_xll.NL("first",$J503,"Name","No.","@@"&amp;$K503),"")</f>
        <v>First Touch Marketing</v>
      </c>
      <c r="M503" s="84" t="str">
        <f>""</f>
        <v/>
      </c>
      <c r="N503" s="84" t="str">
        <f>IF($J503="Item",_xll.NL("first",$J503,"Description","No.","@@"&amp;$K503),"")</f>
        <v/>
      </c>
      <c r="O503" s="83">
        <v>0</v>
      </c>
      <c r="P503" s="83">
        <v>-144</v>
      </c>
      <c r="Q503" s="83">
        <v>0</v>
      </c>
      <c r="R503" s="83">
        <v>0</v>
      </c>
      <c r="S503" s="83">
        <v>0</v>
      </c>
      <c r="T503" s="83">
        <v>0</v>
      </c>
      <c r="U503" s="82"/>
    </row>
    <row r="504" spans="1:21" ht="17.25" customHeight="1" x14ac:dyDescent="0.3">
      <c r="A504" s="66" t="s">
        <v>30</v>
      </c>
      <c r="C504" s="67"/>
      <c r="D504" s="77"/>
      <c r="E504" s="77"/>
      <c r="F504" s="76"/>
      <c r="G504" s="76"/>
      <c r="H504" s="76"/>
      <c r="I504" s="76"/>
      <c r="J504" s="76"/>
      <c r="K504" s="76"/>
      <c r="L504" s="76"/>
      <c r="M504" s="76"/>
      <c r="N504" s="76"/>
      <c r="O504" s="75"/>
      <c r="P504" s="75"/>
      <c r="Q504" s="75"/>
      <c r="R504" s="75"/>
      <c r="S504" s="75"/>
      <c r="T504" s="75"/>
      <c r="U504" s="74"/>
    </row>
    <row r="505" spans="1:21" ht="17.25" customHeight="1" x14ac:dyDescent="0.3">
      <c r="A505" s="66" t="s">
        <v>30</v>
      </c>
      <c r="C505" s="67"/>
      <c r="D505" s="77"/>
      <c r="E505" s="77" t="s">
        <v>31</v>
      </c>
      <c r="F505" s="76" t="s">
        <v>31</v>
      </c>
      <c r="G505" s="76" t="s">
        <v>31</v>
      </c>
      <c r="H505" s="76"/>
      <c r="I505" s="76"/>
      <c r="J505" s="76" t="s">
        <v>31</v>
      </c>
      <c r="K505" s="76" t="s">
        <v>31</v>
      </c>
      <c r="L505" s="76" t="s">
        <v>31</v>
      </c>
      <c r="M505" s="76" t="s">
        <v>31</v>
      </c>
      <c r="N505" s="76"/>
      <c r="U505" s="81"/>
    </row>
    <row r="506" spans="1:21" ht="20.25" customHeight="1" x14ac:dyDescent="0.35">
      <c r="A506" s="66" t="s">
        <v>30</v>
      </c>
      <c r="C506" s="67"/>
      <c r="D506" s="92" t="str">
        <f t="shared" ref="D506" si="305">E506</f>
        <v>S100010</v>
      </c>
      <c r="E506" s="91" t="str">
        <f>"S100010"</f>
        <v>S100010</v>
      </c>
      <c r="F506" s="89" t="str">
        <f>"Golf Relaxed Cap"</f>
        <v>Golf Relaxed Cap</v>
      </c>
      <c r="G506" s="89"/>
      <c r="H506" s="90" t="str">
        <f>"EA"</f>
        <v>EA</v>
      </c>
      <c r="I506" s="89"/>
      <c r="J506" s="89"/>
      <c r="K506" s="89"/>
      <c r="L506" s="89"/>
      <c r="M506" s="89"/>
      <c r="N506" s="89"/>
      <c r="O506" s="88">
        <f>(SUBTOTAL(9,O507:O511))</f>
        <v>800</v>
      </c>
      <c r="P506" s="88">
        <f>(SUBTOTAL(9,P507:P511))</f>
        <v>-528</v>
      </c>
      <c r="Q506" s="88">
        <f>(SUBTOTAL(9,Q507:Q511))</f>
        <v>0</v>
      </c>
      <c r="R506" s="88">
        <f>(SUBTOTAL(9,R507:R511))</f>
        <v>0</v>
      </c>
      <c r="S506" s="88">
        <f>(SUBTOTAL(9,S507:S511))</f>
        <v>0</v>
      </c>
      <c r="T506" s="88">
        <f>(SUBTOTAL(9,T507:T511))</f>
        <v>0</v>
      </c>
      <c r="U506" s="87">
        <f t="shared" ref="U506" si="306">SUBTOTAL(9,O507:T511)</f>
        <v>272</v>
      </c>
    </row>
    <row r="507" spans="1:21" ht="17.25" customHeight="1" x14ac:dyDescent="0.3">
      <c r="A507" s="66" t="s">
        <v>30</v>
      </c>
      <c r="C507" s="67"/>
      <c r="D507" s="77" t="str">
        <f t="shared" ref="D507" si="307">D506</f>
        <v>S100010</v>
      </c>
      <c r="E507" s="77"/>
      <c r="F507" s="76"/>
      <c r="G507" s="76" t="str">
        <f>"""NAV Direct"",""CRONUS JetCorp USA"",""32"",""1"",""132493"""</f>
        <v>"NAV Direct","CRONUS JetCorp USA","32","1","132493"</v>
      </c>
      <c r="H507" s="86">
        <v>43466</v>
      </c>
      <c r="I507" s="85">
        <v>132493</v>
      </c>
      <c r="J507" s="84" t="str">
        <f>"Customer"</f>
        <v>Customer</v>
      </c>
      <c r="K507" s="84" t="str">
        <f>"C100040"</f>
        <v>C100040</v>
      </c>
      <c r="L507" s="84" t="str">
        <f>IF($J507="Customer",_xll.NL("first",$J507,"Name","No.","@@"&amp;$K507),"")</f>
        <v>Guildford Water Department</v>
      </c>
      <c r="M507" s="84" t="str">
        <f>""</f>
        <v/>
      </c>
      <c r="N507" s="84" t="str">
        <f>IF($J507="Item",_xll.NL("first",$J507,"Description","No.","@@"&amp;$K507),"")</f>
        <v/>
      </c>
      <c r="O507" s="83">
        <v>0</v>
      </c>
      <c r="P507" s="83">
        <v>-192</v>
      </c>
      <c r="Q507" s="83">
        <v>0</v>
      </c>
      <c r="R507" s="83">
        <v>0</v>
      </c>
      <c r="S507" s="83">
        <v>0</v>
      </c>
      <c r="T507" s="83">
        <v>0</v>
      </c>
      <c r="U507" s="82"/>
    </row>
    <row r="508" spans="1:21" ht="17.25" customHeight="1" x14ac:dyDescent="0.3">
      <c r="A508" s="66" t="s">
        <v>30</v>
      </c>
      <c r="C508" s="67"/>
      <c r="D508" s="77" t="str">
        <f t="shared" ref="D508:D510" si="308">D507</f>
        <v>S100010</v>
      </c>
      <c r="E508" s="77"/>
      <c r="F508" s="76"/>
      <c r="G508" s="76" t="str">
        <f>"""NAV Direct"",""CRONUS JetCorp USA"",""32"",""1"",""167117"""</f>
        <v>"NAV Direct","CRONUS JetCorp USA","32","1","167117"</v>
      </c>
      <c r="H508" s="86">
        <v>43466</v>
      </c>
      <c r="I508" s="85">
        <v>167117</v>
      </c>
      <c r="J508" s="84" t="str">
        <f>"Vendor"</f>
        <v>Vendor</v>
      </c>
      <c r="K508" s="84" t="str">
        <f>"V100007"</f>
        <v>V100007</v>
      </c>
      <c r="L508" s="84" t="str">
        <f>IF($J508="Customer",_xll.NL("first",$J508,"Name","No.","@@"&amp;$K508),"")</f>
        <v/>
      </c>
      <c r="M508" s="84" t="str">
        <f>"TrendTech"</f>
        <v>TrendTech</v>
      </c>
      <c r="N508" s="84" t="str">
        <f>IF($J508="Item",_xll.NL("first",$J508,"Description","No.","@@"&amp;$K508),"")</f>
        <v/>
      </c>
      <c r="O508" s="83">
        <v>800</v>
      </c>
      <c r="P508" s="83">
        <v>0</v>
      </c>
      <c r="Q508" s="83">
        <v>0</v>
      </c>
      <c r="R508" s="83">
        <v>0</v>
      </c>
      <c r="S508" s="83">
        <v>0</v>
      </c>
      <c r="T508" s="83">
        <v>0</v>
      </c>
      <c r="U508" s="82"/>
    </row>
    <row r="509" spans="1:21" ht="17.25" customHeight="1" x14ac:dyDescent="0.3">
      <c r="A509" s="66" t="s">
        <v>30</v>
      </c>
      <c r="C509" s="67"/>
      <c r="D509" s="77" t="str">
        <f t="shared" si="308"/>
        <v>S100010</v>
      </c>
      <c r="E509" s="77"/>
      <c r="F509" s="76"/>
      <c r="G509" s="76" t="str">
        <f>"""NAV Direct"",""CRONUS JetCorp USA"",""32"",""1"",""25253"""</f>
        <v>"NAV Direct","CRONUS JetCorp USA","32","1","25253"</v>
      </c>
      <c r="H509" s="86">
        <v>43472</v>
      </c>
      <c r="I509" s="85">
        <v>25253</v>
      </c>
      <c r="J509" s="84" t="str">
        <f>"Customer"</f>
        <v>Customer</v>
      </c>
      <c r="K509" s="84" t="str">
        <f>"C100098"</f>
        <v>C100098</v>
      </c>
      <c r="L509" s="84" t="str">
        <f>IF($J509="Customer",_xll.NL("first",$J509,"Name","No.","@@"&amp;$K509),"")</f>
        <v>BlackCane Motor Works</v>
      </c>
      <c r="M509" s="84" t="str">
        <f>""</f>
        <v/>
      </c>
      <c r="N509" s="84" t="str">
        <f>IF($J509="Item",_xll.NL("first",$J509,"Description","No.","@@"&amp;$K509),"")</f>
        <v/>
      </c>
      <c r="O509" s="83">
        <v>0</v>
      </c>
      <c r="P509" s="83">
        <v>-192</v>
      </c>
      <c r="Q509" s="83">
        <v>0</v>
      </c>
      <c r="R509" s="83">
        <v>0</v>
      </c>
      <c r="S509" s="83">
        <v>0</v>
      </c>
      <c r="T509" s="83">
        <v>0</v>
      </c>
      <c r="U509" s="82"/>
    </row>
    <row r="510" spans="1:21" ht="17.25" customHeight="1" x14ac:dyDescent="0.3">
      <c r="A510" s="66" t="s">
        <v>30</v>
      </c>
      <c r="C510" s="67"/>
      <c r="D510" s="77" t="str">
        <f t="shared" si="308"/>
        <v>S100010</v>
      </c>
      <c r="E510" s="77"/>
      <c r="F510" s="76"/>
      <c r="G510" s="76" t="str">
        <f>"""NAV Direct"",""CRONUS JetCorp USA"",""32"",""1"",""124540"""</f>
        <v>"NAV Direct","CRONUS JetCorp USA","32","1","124540"</v>
      </c>
      <c r="H510" s="86">
        <v>43473</v>
      </c>
      <c r="I510" s="85">
        <v>124540</v>
      </c>
      <c r="J510" s="84" t="str">
        <f>"Customer"</f>
        <v>Customer</v>
      </c>
      <c r="K510" s="84" t="str">
        <f>"C100035"</f>
        <v>C100035</v>
      </c>
      <c r="L510" s="84" t="str">
        <f>IF($J510="Customer",_xll.NL("first",$J510,"Name","No.","@@"&amp;$K510),"")</f>
        <v>First Touch Marketing</v>
      </c>
      <c r="M510" s="84" t="str">
        <f>""</f>
        <v/>
      </c>
      <c r="N510" s="84" t="str">
        <f>IF($J510="Item",_xll.NL("first",$J510,"Description","No.","@@"&amp;$K510),"")</f>
        <v/>
      </c>
      <c r="O510" s="83">
        <v>0</v>
      </c>
      <c r="P510" s="83">
        <v>-144</v>
      </c>
      <c r="Q510" s="83">
        <v>0</v>
      </c>
      <c r="R510" s="83">
        <v>0</v>
      </c>
      <c r="S510" s="83">
        <v>0</v>
      </c>
      <c r="T510" s="83">
        <v>0</v>
      </c>
      <c r="U510" s="82"/>
    </row>
    <row r="511" spans="1:21" ht="17.25" customHeight="1" x14ac:dyDescent="0.3">
      <c r="A511" s="66" t="s">
        <v>30</v>
      </c>
      <c r="C511" s="67"/>
      <c r="D511" s="77"/>
      <c r="E511" s="77"/>
      <c r="F511" s="76"/>
      <c r="G511" s="76"/>
      <c r="H511" s="76"/>
      <c r="I511" s="76"/>
      <c r="J511" s="76"/>
      <c r="K511" s="76"/>
      <c r="L511" s="76"/>
      <c r="M511" s="76"/>
      <c r="N511" s="76"/>
      <c r="O511" s="75"/>
      <c r="P511" s="75"/>
      <c r="Q511" s="75"/>
      <c r="R511" s="75"/>
      <c r="S511" s="75"/>
      <c r="T511" s="75"/>
      <c r="U511" s="74"/>
    </row>
    <row r="512" spans="1:21" ht="17.25" customHeight="1" x14ac:dyDescent="0.3">
      <c r="A512" s="66" t="s">
        <v>30</v>
      </c>
      <c r="C512" s="67"/>
      <c r="D512" s="77"/>
      <c r="E512" s="77" t="s">
        <v>31</v>
      </c>
      <c r="F512" s="76" t="s">
        <v>31</v>
      </c>
      <c r="G512" s="76" t="s">
        <v>31</v>
      </c>
      <c r="H512" s="76"/>
      <c r="I512" s="76"/>
      <c r="J512" s="76" t="s">
        <v>31</v>
      </c>
      <c r="K512" s="76" t="s">
        <v>31</v>
      </c>
      <c r="L512" s="76" t="s">
        <v>31</v>
      </c>
      <c r="M512" s="76" t="s">
        <v>31</v>
      </c>
      <c r="N512" s="76"/>
      <c r="U512" s="81"/>
    </row>
    <row r="513" spans="1:21" ht="20.25" customHeight="1" x14ac:dyDescent="0.35">
      <c r="A513" s="66" t="s">
        <v>30</v>
      </c>
      <c r="C513" s="67"/>
      <c r="D513" s="92" t="str">
        <f t="shared" ref="D513" si="309">E513</f>
        <v>S100011</v>
      </c>
      <c r="E513" s="91" t="str">
        <f>"S100011"</f>
        <v>S100011</v>
      </c>
      <c r="F513" s="89" t="str">
        <f>"All Star Cap"</f>
        <v>All Star Cap</v>
      </c>
      <c r="G513" s="89"/>
      <c r="H513" s="90" t="str">
        <f>"EA"</f>
        <v>EA</v>
      </c>
      <c r="I513" s="89"/>
      <c r="J513" s="89"/>
      <c r="K513" s="89"/>
      <c r="L513" s="89"/>
      <c r="M513" s="89"/>
      <c r="N513" s="89"/>
      <c r="O513" s="88">
        <f>(SUBTOTAL(9,O514:O519))</f>
        <v>800</v>
      </c>
      <c r="P513" s="88">
        <f>(SUBTOTAL(9,P514:P519))</f>
        <v>-204</v>
      </c>
      <c r="Q513" s="88">
        <f>(SUBTOTAL(9,Q514:Q519))</f>
        <v>0</v>
      </c>
      <c r="R513" s="88">
        <f>(SUBTOTAL(9,R514:R519))</f>
        <v>0</v>
      </c>
      <c r="S513" s="88">
        <f>(SUBTOTAL(9,S514:S519))</f>
        <v>0</v>
      </c>
      <c r="T513" s="88">
        <f>(SUBTOTAL(9,T514:T519))</f>
        <v>0</v>
      </c>
      <c r="U513" s="87">
        <f t="shared" ref="U513" si="310">SUBTOTAL(9,O514:T519)</f>
        <v>596</v>
      </c>
    </row>
    <row r="514" spans="1:21" ht="17.25" customHeight="1" x14ac:dyDescent="0.3">
      <c r="A514" s="66" t="s">
        <v>30</v>
      </c>
      <c r="C514" s="67"/>
      <c r="D514" s="77" t="str">
        <f t="shared" ref="D514" si="311">D513</f>
        <v>S100011</v>
      </c>
      <c r="E514" s="77"/>
      <c r="F514" s="76"/>
      <c r="G514" s="76" t="str">
        <f>"""NAV Direct"",""CRONUS JetCorp USA"",""32"",""1"",""167116"""</f>
        <v>"NAV Direct","CRONUS JetCorp USA","32","1","167116"</v>
      </c>
      <c r="H514" s="86">
        <v>43466</v>
      </c>
      <c r="I514" s="85">
        <v>167116</v>
      </c>
      <c r="J514" s="84" t="str">
        <f>"Vendor"</f>
        <v>Vendor</v>
      </c>
      <c r="K514" s="84" t="str">
        <f>"V100007"</f>
        <v>V100007</v>
      </c>
      <c r="L514" s="84" t="str">
        <f>IF($J514="Customer",_xll.NL("first",$J514,"Name","No.","@@"&amp;$K514),"")</f>
        <v/>
      </c>
      <c r="M514" s="84" t="str">
        <f>"TrendTech"</f>
        <v>TrendTech</v>
      </c>
      <c r="N514" s="84" t="str">
        <f>IF($J514="Item",_xll.NL("first",$J514,"Description","No.","@@"&amp;$K514),"")</f>
        <v/>
      </c>
      <c r="O514" s="83">
        <v>800</v>
      </c>
      <c r="P514" s="83">
        <v>0</v>
      </c>
      <c r="Q514" s="83">
        <v>0</v>
      </c>
      <c r="R514" s="83">
        <v>0</v>
      </c>
      <c r="S514" s="83">
        <v>0</v>
      </c>
      <c r="T514" s="83">
        <v>0</v>
      </c>
      <c r="U514" s="82"/>
    </row>
    <row r="515" spans="1:21" ht="17.25" customHeight="1" x14ac:dyDescent="0.3">
      <c r="A515" s="66" t="s">
        <v>30</v>
      </c>
      <c r="C515" s="67"/>
      <c r="D515" s="77" t="str">
        <f t="shared" ref="D515:D518" si="312">D514</f>
        <v>S100011</v>
      </c>
      <c r="E515" s="77"/>
      <c r="F515" s="76"/>
      <c r="G515" s="76" t="str">
        <f>"""NAV Direct"",""CRONUS JetCorp USA"",""32"",""1"",""25259"""</f>
        <v>"NAV Direct","CRONUS JetCorp USA","32","1","25259"</v>
      </c>
      <c r="H515" s="86">
        <v>43472</v>
      </c>
      <c r="I515" s="85">
        <v>25259</v>
      </c>
      <c r="J515" s="84" t="str">
        <f>"Customer"</f>
        <v>Customer</v>
      </c>
      <c r="K515" s="84" t="str">
        <f>"C100098"</f>
        <v>C100098</v>
      </c>
      <c r="L515" s="84" t="str">
        <f>IF($J515="Customer",_xll.NL("first",$J515,"Name","No.","@@"&amp;$K515),"")</f>
        <v>BlackCane Motor Works</v>
      </c>
      <c r="M515" s="84" t="str">
        <f>""</f>
        <v/>
      </c>
      <c r="N515" s="84" t="str">
        <f>IF($J515="Item",_xll.NL("first",$J515,"Description","No.","@@"&amp;$K515),"")</f>
        <v/>
      </c>
      <c r="O515" s="83">
        <v>0</v>
      </c>
      <c r="P515" s="83">
        <v>-48</v>
      </c>
      <c r="Q515" s="83">
        <v>0</v>
      </c>
      <c r="R515" s="83">
        <v>0</v>
      </c>
      <c r="S515" s="83">
        <v>0</v>
      </c>
      <c r="T515" s="83">
        <v>0</v>
      </c>
      <c r="U515" s="82"/>
    </row>
    <row r="516" spans="1:21" ht="17.25" customHeight="1" x14ac:dyDescent="0.3">
      <c r="A516" s="66" t="s">
        <v>30</v>
      </c>
      <c r="C516" s="67"/>
      <c r="D516" s="77" t="str">
        <f t="shared" si="312"/>
        <v>S100011</v>
      </c>
      <c r="E516" s="77"/>
      <c r="F516" s="76"/>
      <c r="G516" s="76" t="str">
        <f>"""NAV Direct"",""CRONUS JetCorp USA"",""32"",""1"",""124557"""</f>
        <v>"NAV Direct","CRONUS JetCorp USA","32","1","124557"</v>
      </c>
      <c r="H516" s="86">
        <v>43473</v>
      </c>
      <c r="I516" s="85">
        <v>124557</v>
      </c>
      <c r="J516" s="84" t="str">
        <f>"Customer"</f>
        <v>Customer</v>
      </c>
      <c r="K516" s="84" t="str">
        <f>"C100035"</f>
        <v>C100035</v>
      </c>
      <c r="L516" s="84" t="str">
        <f>IF($J516="Customer",_xll.NL("first",$J516,"Name","No.","@@"&amp;$K516),"")</f>
        <v>First Touch Marketing</v>
      </c>
      <c r="M516" s="84" t="str">
        <f>""</f>
        <v/>
      </c>
      <c r="N516" s="84" t="str">
        <f>IF($J516="Item",_xll.NL("first",$J516,"Description","No.","@@"&amp;$K516),"")</f>
        <v/>
      </c>
      <c r="O516" s="83">
        <v>0</v>
      </c>
      <c r="P516" s="83">
        <v>-6</v>
      </c>
      <c r="Q516" s="83">
        <v>0</v>
      </c>
      <c r="R516" s="83">
        <v>0</v>
      </c>
      <c r="S516" s="83">
        <v>0</v>
      </c>
      <c r="T516" s="83">
        <v>0</v>
      </c>
      <c r="U516" s="82"/>
    </row>
    <row r="517" spans="1:21" ht="17.25" customHeight="1" x14ac:dyDescent="0.3">
      <c r="A517" s="66" t="s">
        <v>30</v>
      </c>
      <c r="C517" s="67"/>
      <c r="D517" s="77" t="str">
        <f t="shared" si="312"/>
        <v>S100011</v>
      </c>
      <c r="E517" s="77"/>
      <c r="F517" s="76"/>
      <c r="G517" s="76" t="str">
        <f>"""NAV Direct"",""CRONUS JetCorp USA"",""32"",""1"",""30066"""</f>
        <v>"NAV Direct","CRONUS JetCorp USA","32","1","30066"</v>
      </c>
      <c r="H517" s="86">
        <v>43474</v>
      </c>
      <c r="I517" s="85">
        <v>30066</v>
      </c>
      <c r="J517" s="84" t="str">
        <f>"Customer"</f>
        <v>Customer</v>
      </c>
      <c r="K517" s="84" t="str">
        <f>"C100086"</f>
        <v>C100086</v>
      </c>
      <c r="L517" s="84" t="str">
        <f>IF($J517="Customer",_xll.NL("first",$J517,"Name","No.","@@"&amp;$K517),"")</f>
        <v>Top Action Sports</v>
      </c>
      <c r="M517" s="84" t="str">
        <f>""</f>
        <v/>
      </c>
      <c r="N517" s="84" t="str">
        <f>IF($J517="Item",_xll.NL("first",$J517,"Description","No.","@@"&amp;$K517),"")</f>
        <v/>
      </c>
      <c r="O517" s="83">
        <v>0</v>
      </c>
      <c r="P517" s="83">
        <v>-6</v>
      </c>
      <c r="Q517" s="83">
        <v>0</v>
      </c>
      <c r="R517" s="83">
        <v>0</v>
      </c>
      <c r="S517" s="83">
        <v>0</v>
      </c>
      <c r="T517" s="83">
        <v>0</v>
      </c>
      <c r="U517" s="82"/>
    </row>
    <row r="518" spans="1:21" ht="17.25" customHeight="1" x14ac:dyDescent="0.3">
      <c r="A518" s="66" t="s">
        <v>30</v>
      </c>
      <c r="C518" s="67"/>
      <c r="D518" s="77" t="str">
        <f t="shared" si="312"/>
        <v>S100011</v>
      </c>
      <c r="E518" s="77"/>
      <c r="F518" s="76"/>
      <c r="G518" s="76" t="str">
        <f>"""NAV Direct"",""CRONUS JetCorp USA"",""32"",""1"",""124594"""</f>
        <v>"NAV Direct","CRONUS JetCorp USA","32","1","124594"</v>
      </c>
      <c r="H518" s="86">
        <v>43475</v>
      </c>
      <c r="I518" s="85">
        <v>124594</v>
      </c>
      <c r="J518" s="84" t="str">
        <f>"Customer"</f>
        <v>Customer</v>
      </c>
      <c r="K518" s="84" t="str">
        <f>"C100035"</f>
        <v>C100035</v>
      </c>
      <c r="L518" s="84" t="str">
        <f>IF($J518="Customer",_xll.NL("first",$J518,"Name","No.","@@"&amp;$K518),"")</f>
        <v>First Touch Marketing</v>
      </c>
      <c r="M518" s="84" t="str">
        <f>""</f>
        <v/>
      </c>
      <c r="N518" s="84" t="str">
        <f>IF($J518="Item",_xll.NL("first",$J518,"Description","No.","@@"&amp;$K518),"")</f>
        <v/>
      </c>
      <c r="O518" s="83">
        <v>0</v>
      </c>
      <c r="P518" s="83">
        <v>-144</v>
      </c>
      <c r="Q518" s="83">
        <v>0</v>
      </c>
      <c r="R518" s="83">
        <v>0</v>
      </c>
      <c r="S518" s="83">
        <v>0</v>
      </c>
      <c r="T518" s="83">
        <v>0</v>
      </c>
      <c r="U518" s="82"/>
    </row>
    <row r="519" spans="1:21" ht="17.25" customHeight="1" x14ac:dyDescent="0.3">
      <c r="A519" s="66" t="s">
        <v>30</v>
      </c>
      <c r="C519" s="67"/>
      <c r="D519" s="77"/>
      <c r="E519" s="77"/>
      <c r="F519" s="76"/>
      <c r="G519" s="76"/>
      <c r="H519" s="76"/>
      <c r="I519" s="76"/>
      <c r="J519" s="76"/>
      <c r="K519" s="76"/>
      <c r="L519" s="76"/>
      <c r="M519" s="76"/>
      <c r="N519" s="76"/>
      <c r="O519" s="75"/>
      <c r="P519" s="75"/>
      <c r="Q519" s="75"/>
      <c r="R519" s="75"/>
      <c r="S519" s="75"/>
      <c r="T519" s="75"/>
      <c r="U519" s="74"/>
    </row>
    <row r="520" spans="1:21" ht="17.25" customHeight="1" x14ac:dyDescent="0.3">
      <c r="A520" s="66" t="s">
        <v>30</v>
      </c>
      <c r="C520" s="67"/>
      <c r="D520" s="77"/>
      <c r="E520" s="77" t="s">
        <v>31</v>
      </c>
      <c r="F520" s="76" t="s">
        <v>31</v>
      </c>
      <c r="G520" s="76" t="s">
        <v>31</v>
      </c>
      <c r="H520" s="76"/>
      <c r="I520" s="76"/>
      <c r="J520" s="76" t="s">
        <v>31</v>
      </c>
      <c r="K520" s="76" t="s">
        <v>31</v>
      </c>
      <c r="L520" s="76" t="s">
        <v>31</v>
      </c>
      <c r="M520" s="76" t="s">
        <v>31</v>
      </c>
      <c r="N520" s="76"/>
      <c r="U520" s="81"/>
    </row>
    <row r="521" spans="1:21" ht="20.25" customHeight="1" x14ac:dyDescent="0.35">
      <c r="A521" s="66" t="s">
        <v>30</v>
      </c>
      <c r="C521" s="67"/>
      <c r="D521" s="92" t="str">
        <f t="shared" ref="D521" si="313">E521</f>
        <v>S100012</v>
      </c>
      <c r="E521" s="91" t="str">
        <f>"S100012"</f>
        <v>S100012</v>
      </c>
      <c r="F521" s="89" t="str">
        <f>"Raw-Edge Patch BALL CAP"</f>
        <v>Raw-Edge Patch BALL CAP</v>
      </c>
      <c r="G521" s="89"/>
      <c r="H521" s="90" t="str">
        <f>"EA"</f>
        <v>EA</v>
      </c>
      <c r="I521" s="89"/>
      <c r="J521" s="89"/>
      <c r="K521" s="89"/>
      <c r="L521" s="89"/>
      <c r="M521" s="89"/>
      <c r="N521" s="89"/>
      <c r="O521" s="88">
        <f>(SUBTOTAL(9,O522:O524))</f>
        <v>400</v>
      </c>
      <c r="P521" s="88">
        <f>(SUBTOTAL(9,P522:P524))</f>
        <v>-144</v>
      </c>
      <c r="Q521" s="88">
        <f>(SUBTOTAL(9,Q522:Q524))</f>
        <v>0</v>
      </c>
      <c r="R521" s="88">
        <f>(SUBTOTAL(9,R522:R524))</f>
        <v>0</v>
      </c>
      <c r="S521" s="88">
        <f>(SUBTOTAL(9,S522:S524))</f>
        <v>0</v>
      </c>
      <c r="T521" s="88">
        <f>(SUBTOTAL(9,T522:T524))</f>
        <v>0</v>
      </c>
      <c r="U521" s="87">
        <f t="shared" ref="U521" si="314">SUBTOTAL(9,O522:T524)</f>
        <v>256</v>
      </c>
    </row>
    <row r="522" spans="1:21" ht="17.25" customHeight="1" x14ac:dyDescent="0.3">
      <c r="A522" s="66" t="s">
        <v>30</v>
      </c>
      <c r="C522" s="67"/>
      <c r="D522" s="77" t="str">
        <f t="shared" ref="D522" si="315">D521</f>
        <v>S100012</v>
      </c>
      <c r="E522" s="77"/>
      <c r="F522" s="76"/>
      <c r="G522" s="76" t="str">
        <f>"""NAV Direct"",""CRONUS JetCorp USA"",""32"",""1"",""167115"""</f>
        <v>"NAV Direct","CRONUS JetCorp USA","32","1","167115"</v>
      </c>
      <c r="H522" s="86">
        <v>43466</v>
      </c>
      <c r="I522" s="85">
        <v>167115</v>
      </c>
      <c r="J522" s="84" t="str">
        <f>"Vendor"</f>
        <v>Vendor</v>
      </c>
      <c r="K522" s="84" t="str">
        <f>"V100007"</f>
        <v>V100007</v>
      </c>
      <c r="L522" s="84" t="str">
        <f>IF($J522="Customer",_xll.NL("first",$J522,"Name","No.","@@"&amp;$K522),"")</f>
        <v/>
      </c>
      <c r="M522" s="84" t="str">
        <f>"TrendTech"</f>
        <v>TrendTech</v>
      </c>
      <c r="N522" s="84" t="str">
        <f>IF($J522="Item",_xll.NL("first",$J522,"Description","No.","@@"&amp;$K522),"")</f>
        <v/>
      </c>
      <c r="O522" s="83">
        <v>400</v>
      </c>
      <c r="P522" s="83">
        <v>0</v>
      </c>
      <c r="Q522" s="83">
        <v>0</v>
      </c>
      <c r="R522" s="83">
        <v>0</v>
      </c>
      <c r="S522" s="83">
        <v>0</v>
      </c>
      <c r="T522" s="83">
        <v>0</v>
      </c>
      <c r="U522" s="82"/>
    </row>
    <row r="523" spans="1:21" ht="17.25" customHeight="1" x14ac:dyDescent="0.3">
      <c r="A523" s="66" t="s">
        <v>30</v>
      </c>
      <c r="C523" s="67"/>
      <c r="D523" s="77" t="str">
        <f t="shared" ref="D523" si="316">D522</f>
        <v>S100012</v>
      </c>
      <c r="E523" s="77"/>
      <c r="F523" s="76"/>
      <c r="G523" s="76" t="str">
        <f>"""NAV Direct"",""CRONUS JetCorp USA"",""32"",""1"",""124539"""</f>
        <v>"NAV Direct","CRONUS JetCorp USA","32","1","124539"</v>
      </c>
      <c r="H523" s="86">
        <v>43473</v>
      </c>
      <c r="I523" s="85">
        <v>124539</v>
      </c>
      <c r="J523" s="84" t="str">
        <f>"Customer"</f>
        <v>Customer</v>
      </c>
      <c r="K523" s="84" t="str">
        <f>"C100035"</f>
        <v>C100035</v>
      </c>
      <c r="L523" s="84" t="str">
        <f>IF($J523="Customer",_xll.NL("first",$J523,"Name","No.","@@"&amp;$K523),"")</f>
        <v>First Touch Marketing</v>
      </c>
      <c r="M523" s="84" t="str">
        <f>""</f>
        <v/>
      </c>
      <c r="N523" s="84" t="str">
        <f>IF($J523="Item",_xll.NL("first",$J523,"Description","No.","@@"&amp;$K523),"")</f>
        <v/>
      </c>
      <c r="O523" s="83">
        <v>0</v>
      </c>
      <c r="P523" s="83">
        <v>-144</v>
      </c>
      <c r="Q523" s="83">
        <v>0</v>
      </c>
      <c r="R523" s="83">
        <v>0</v>
      </c>
      <c r="S523" s="83">
        <v>0</v>
      </c>
      <c r="T523" s="83">
        <v>0</v>
      </c>
      <c r="U523" s="82"/>
    </row>
    <row r="524" spans="1:21" ht="17.25" customHeight="1" x14ac:dyDescent="0.3">
      <c r="A524" s="66" t="s">
        <v>30</v>
      </c>
      <c r="C524" s="67"/>
      <c r="D524" s="77"/>
      <c r="E524" s="77"/>
      <c r="F524" s="76"/>
      <c r="G524" s="76"/>
      <c r="H524" s="76"/>
      <c r="I524" s="76"/>
      <c r="J524" s="76"/>
      <c r="K524" s="76"/>
      <c r="L524" s="76"/>
      <c r="M524" s="76"/>
      <c r="N524" s="76"/>
      <c r="O524" s="75"/>
      <c r="P524" s="75"/>
      <c r="Q524" s="75"/>
      <c r="R524" s="75"/>
      <c r="S524" s="75"/>
      <c r="T524" s="75"/>
      <c r="U524" s="74"/>
    </row>
    <row r="525" spans="1:21" ht="17.25" customHeight="1" x14ac:dyDescent="0.3">
      <c r="A525" s="66" t="s">
        <v>30</v>
      </c>
      <c r="C525" s="67"/>
      <c r="D525" s="77"/>
      <c r="E525" s="77" t="s">
        <v>31</v>
      </c>
      <c r="F525" s="76" t="s">
        <v>31</v>
      </c>
      <c r="G525" s="76" t="s">
        <v>31</v>
      </c>
      <c r="H525" s="76"/>
      <c r="I525" s="76"/>
      <c r="J525" s="76" t="s">
        <v>31</v>
      </c>
      <c r="K525" s="76" t="s">
        <v>31</v>
      </c>
      <c r="L525" s="76" t="s">
        <v>31</v>
      </c>
      <c r="M525" s="76" t="s">
        <v>31</v>
      </c>
      <c r="N525" s="76"/>
      <c r="U525" s="81"/>
    </row>
    <row r="526" spans="1:21" ht="20.25" customHeight="1" x14ac:dyDescent="0.35">
      <c r="A526" s="66" t="s">
        <v>30</v>
      </c>
      <c r="C526" s="67"/>
      <c r="D526" s="92" t="str">
        <f t="shared" ref="D526" si="317">E526</f>
        <v>S100013</v>
      </c>
      <c r="E526" s="91" t="str">
        <f>"S100013"</f>
        <v>S100013</v>
      </c>
      <c r="F526" s="89" t="str">
        <f>"Mesh BALL CAP"</f>
        <v>Mesh BALL CAP</v>
      </c>
      <c r="G526" s="89"/>
      <c r="H526" s="90" t="str">
        <f>"EA"</f>
        <v>EA</v>
      </c>
      <c r="I526" s="89"/>
      <c r="J526" s="89"/>
      <c r="K526" s="89"/>
      <c r="L526" s="89"/>
      <c r="M526" s="89"/>
      <c r="N526" s="89"/>
      <c r="O526" s="88">
        <f>(SUBTOTAL(9,O527:O531))</f>
        <v>400</v>
      </c>
      <c r="P526" s="88">
        <f>(SUBTOTAL(9,P527:P531))</f>
        <v>-290</v>
      </c>
      <c r="Q526" s="88">
        <f>(SUBTOTAL(9,Q527:Q531))</f>
        <v>0</v>
      </c>
      <c r="R526" s="88">
        <f>(SUBTOTAL(9,R527:R531))</f>
        <v>0</v>
      </c>
      <c r="S526" s="88">
        <f>(SUBTOTAL(9,S527:S531))</f>
        <v>0</v>
      </c>
      <c r="T526" s="88">
        <f>(SUBTOTAL(9,T527:T531))</f>
        <v>0</v>
      </c>
      <c r="U526" s="87">
        <f t="shared" ref="U526" si="318">SUBTOTAL(9,O527:T531)</f>
        <v>110</v>
      </c>
    </row>
    <row r="527" spans="1:21" ht="17.25" customHeight="1" x14ac:dyDescent="0.3">
      <c r="A527" s="66" t="s">
        <v>30</v>
      </c>
      <c r="C527" s="67"/>
      <c r="D527" s="77" t="str">
        <f t="shared" ref="D527" si="319">D526</f>
        <v>S100013</v>
      </c>
      <c r="E527" s="77"/>
      <c r="F527" s="76"/>
      <c r="G527" s="76" t="str">
        <f>"""NAV Direct"",""CRONUS JetCorp USA"",""32"",""1"",""132506"""</f>
        <v>"NAV Direct","CRONUS JetCorp USA","32","1","132506"</v>
      </c>
      <c r="H527" s="86">
        <v>43466</v>
      </c>
      <c r="I527" s="85">
        <v>132506</v>
      </c>
      <c r="J527" s="84" t="str">
        <f>"Customer"</f>
        <v>Customer</v>
      </c>
      <c r="K527" s="84" t="str">
        <f>"C100040"</f>
        <v>C100040</v>
      </c>
      <c r="L527" s="84" t="str">
        <f>IF($J527="Customer",_xll.NL("first",$J527,"Name","No.","@@"&amp;$K527),"")</f>
        <v>Guildford Water Department</v>
      </c>
      <c r="M527" s="84" t="str">
        <f>""</f>
        <v/>
      </c>
      <c r="N527" s="84" t="str">
        <f>IF($J527="Item",_xll.NL("first",$J527,"Description","No.","@@"&amp;$K527),"")</f>
        <v/>
      </c>
      <c r="O527" s="83">
        <v>0</v>
      </c>
      <c r="P527" s="83">
        <v>-1</v>
      </c>
      <c r="Q527" s="83">
        <v>0</v>
      </c>
      <c r="R527" s="83">
        <v>0</v>
      </c>
      <c r="S527" s="83">
        <v>0</v>
      </c>
      <c r="T527" s="83">
        <v>0</v>
      </c>
      <c r="U527" s="82"/>
    </row>
    <row r="528" spans="1:21" ht="17.25" customHeight="1" x14ac:dyDescent="0.3">
      <c r="A528" s="66" t="s">
        <v>30</v>
      </c>
      <c r="C528" s="67"/>
      <c r="D528" s="77" t="str">
        <f t="shared" ref="D528:D530" si="320">D527</f>
        <v>S100013</v>
      </c>
      <c r="E528" s="77"/>
      <c r="F528" s="76"/>
      <c r="G528" s="76" t="str">
        <f>"""NAV Direct"",""CRONUS JetCorp USA"",""32"",""1"",""167114"""</f>
        <v>"NAV Direct","CRONUS JetCorp USA","32","1","167114"</v>
      </c>
      <c r="H528" s="86">
        <v>43466</v>
      </c>
      <c r="I528" s="85">
        <v>167114</v>
      </c>
      <c r="J528" s="84" t="str">
        <f>"Vendor"</f>
        <v>Vendor</v>
      </c>
      <c r="K528" s="84" t="str">
        <f>"V100007"</f>
        <v>V100007</v>
      </c>
      <c r="L528" s="84" t="str">
        <f>IF($J528="Customer",_xll.NL("first",$J528,"Name","No.","@@"&amp;$K528),"")</f>
        <v/>
      </c>
      <c r="M528" s="84" t="str">
        <f>"TrendTech"</f>
        <v>TrendTech</v>
      </c>
      <c r="N528" s="84" t="str">
        <f>IF($J528="Item",_xll.NL("first",$J528,"Description","No.","@@"&amp;$K528),"")</f>
        <v/>
      </c>
      <c r="O528" s="83">
        <v>400</v>
      </c>
      <c r="P528" s="83">
        <v>0</v>
      </c>
      <c r="Q528" s="83">
        <v>0</v>
      </c>
      <c r="R528" s="83">
        <v>0</v>
      </c>
      <c r="S528" s="83">
        <v>0</v>
      </c>
      <c r="T528" s="83">
        <v>0</v>
      </c>
      <c r="U528" s="82"/>
    </row>
    <row r="529" spans="1:21" ht="17.25" customHeight="1" x14ac:dyDescent="0.3">
      <c r="A529" s="66" t="s">
        <v>30</v>
      </c>
      <c r="C529" s="67"/>
      <c r="D529" s="77" t="str">
        <f t="shared" si="320"/>
        <v>S100013</v>
      </c>
      <c r="E529" s="77"/>
      <c r="F529" s="76"/>
      <c r="G529" s="76" t="str">
        <f>"""NAV Direct"",""CRONUS JetCorp USA"",""32"",""1"",""124537"""</f>
        <v>"NAV Direct","CRONUS JetCorp USA","32","1","124537"</v>
      </c>
      <c r="H529" s="86">
        <v>43473</v>
      </c>
      <c r="I529" s="85">
        <v>124537</v>
      </c>
      <c r="J529" s="84" t="str">
        <f>"Customer"</f>
        <v>Customer</v>
      </c>
      <c r="K529" s="84" t="str">
        <f>"C100035"</f>
        <v>C100035</v>
      </c>
      <c r="L529" s="84" t="str">
        <f>IF($J529="Customer",_xll.NL("first",$J529,"Name","No.","@@"&amp;$K529),"")</f>
        <v>First Touch Marketing</v>
      </c>
      <c r="M529" s="84" t="str">
        <f>""</f>
        <v/>
      </c>
      <c r="N529" s="84" t="str">
        <f>IF($J529="Item",_xll.NL("first",$J529,"Description","No.","@@"&amp;$K529),"")</f>
        <v/>
      </c>
      <c r="O529" s="83">
        <v>0</v>
      </c>
      <c r="P529" s="83">
        <v>-288</v>
      </c>
      <c r="Q529" s="83">
        <v>0</v>
      </c>
      <c r="R529" s="83">
        <v>0</v>
      </c>
      <c r="S529" s="83">
        <v>0</v>
      </c>
      <c r="T529" s="83">
        <v>0</v>
      </c>
      <c r="U529" s="82"/>
    </row>
    <row r="530" spans="1:21" ht="17.25" customHeight="1" x14ac:dyDescent="0.3">
      <c r="A530" s="66" t="s">
        <v>30</v>
      </c>
      <c r="C530" s="67"/>
      <c r="D530" s="77" t="str">
        <f t="shared" si="320"/>
        <v>S100013</v>
      </c>
      <c r="E530" s="77"/>
      <c r="F530" s="76"/>
      <c r="G530" s="76" t="str">
        <f>"""NAV Direct"",""CRONUS JetCorp USA"",""32"",""1"",""30054"""</f>
        <v>"NAV Direct","CRONUS JetCorp USA","32","1","30054"</v>
      </c>
      <c r="H530" s="86">
        <v>43474</v>
      </c>
      <c r="I530" s="85">
        <v>30054</v>
      </c>
      <c r="J530" s="84" t="str">
        <f>"Customer"</f>
        <v>Customer</v>
      </c>
      <c r="K530" s="84" t="str">
        <f>"C100086"</f>
        <v>C100086</v>
      </c>
      <c r="L530" s="84" t="str">
        <f>IF($J530="Customer",_xll.NL("first",$J530,"Name","No.","@@"&amp;$K530),"")</f>
        <v>Top Action Sports</v>
      </c>
      <c r="M530" s="84" t="str">
        <f>""</f>
        <v/>
      </c>
      <c r="N530" s="84" t="str">
        <f>IF($J530="Item",_xll.NL("first",$J530,"Description","No.","@@"&amp;$K530),"")</f>
        <v/>
      </c>
      <c r="O530" s="83">
        <v>0</v>
      </c>
      <c r="P530" s="83">
        <v>-1</v>
      </c>
      <c r="Q530" s="83">
        <v>0</v>
      </c>
      <c r="R530" s="83">
        <v>0</v>
      </c>
      <c r="S530" s="83">
        <v>0</v>
      </c>
      <c r="T530" s="83">
        <v>0</v>
      </c>
      <c r="U530" s="82"/>
    </row>
    <row r="531" spans="1:21" ht="17.25" customHeight="1" x14ac:dyDescent="0.3">
      <c r="A531" s="66" t="s">
        <v>30</v>
      </c>
      <c r="C531" s="67"/>
      <c r="D531" s="77"/>
      <c r="E531" s="77"/>
      <c r="F531" s="76"/>
      <c r="G531" s="76"/>
      <c r="H531" s="76"/>
      <c r="I531" s="76"/>
      <c r="J531" s="76"/>
      <c r="K531" s="76"/>
      <c r="L531" s="76"/>
      <c r="M531" s="76"/>
      <c r="N531" s="76"/>
      <c r="O531" s="75"/>
      <c r="P531" s="75"/>
      <c r="Q531" s="75"/>
      <c r="R531" s="75"/>
      <c r="S531" s="75"/>
      <c r="T531" s="75"/>
      <c r="U531" s="74"/>
    </row>
    <row r="532" spans="1:21" ht="17.25" customHeight="1" x14ac:dyDescent="0.3">
      <c r="A532" s="66" t="s">
        <v>30</v>
      </c>
      <c r="C532" s="67"/>
      <c r="D532" s="77"/>
      <c r="E532" s="77" t="s">
        <v>31</v>
      </c>
      <c r="F532" s="76" t="s">
        <v>31</v>
      </c>
      <c r="G532" s="76" t="s">
        <v>31</v>
      </c>
      <c r="H532" s="76"/>
      <c r="I532" s="76"/>
      <c r="J532" s="76" t="s">
        <v>31</v>
      </c>
      <c r="K532" s="76" t="s">
        <v>31</v>
      </c>
      <c r="L532" s="76" t="s">
        <v>31</v>
      </c>
      <c r="M532" s="76" t="s">
        <v>31</v>
      </c>
      <c r="N532" s="76"/>
      <c r="U532" s="81"/>
    </row>
    <row r="533" spans="1:21" ht="20.25" customHeight="1" x14ac:dyDescent="0.35">
      <c r="A533" s="66" t="s">
        <v>30</v>
      </c>
      <c r="C533" s="67"/>
      <c r="D533" s="92" t="str">
        <f t="shared" ref="D533" si="321">E533</f>
        <v>S100014</v>
      </c>
      <c r="E533" s="91" t="str">
        <f>"S100014"</f>
        <v>S100014</v>
      </c>
      <c r="F533" s="89" t="str">
        <f>"Chunky Knit Hat"</f>
        <v>Chunky Knit Hat</v>
      </c>
      <c r="G533" s="89"/>
      <c r="H533" s="90" t="str">
        <f>"EA"</f>
        <v>EA</v>
      </c>
      <c r="I533" s="89"/>
      <c r="J533" s="89"/>
      <c r="K533" s="89"/>
      <c r="L533" s="89"/>
      <c r="M533" s="89"/>
      <c r="N533" s="89"/>
      <c r="O533" s="88">
        <f>(SUBTOTAL(9,O534:O539))</f>
        <v>800</v>
      </c>
      <c r="P533" s="88">
        <f>(SUBTOTAL(9,P534:P539))</f>
        <v>-325</v>
      </c>
      <c r="Q533" s="88">
        <f>(SUBTOTAL(9,Q534:Q539))</f>
        <v>0</v>
      </c>
      <c r="R533" s="88">
        <f>(SUBTOTAL(9,R534:R539))</f>
        <v>0</v>
      </c>
      <c r="S533" s="88">
        <f>(SUBTOTAL(9,S534:S539))</f>
        <v>0</v>
      </c>
      <c r="T533" s="88">
        <f>(SUBTOTAL(9,T534:T539))</f>
        <v>0</v>
      </c>
      <c r="U533" s="87">
        <f t="shared" ref="U533" si="322">SUBTOTAL(9,O534:T539)</f>
        <v>475</v>
      </c>
    </row>
    <row r="534" spans="1:21" ht="17.25" customHeight="1" x14ac:dyDescent="0.3">
      <c r="A534" s="66" t="s">
        <v>30</v>
      </c>
      <c r="C534" s="67"/>
      <c r="D534" s="77" t="str">
        <f t="shared" ref="D534" si="323">D533</f>
        <v>S100014</v>
      </c>
      <c r="E534" s="77"/>
      <c r="F534" s="76"/>
      <c r="G534" s="76" t="str">
        <f>"""NAV Direct"",""CRONUS JetCorp USA"",""32"",""1"",""132504"""</f>
        <v>"NAV Direct","CRONUS JetCorp USA","32","1","132504"</v>
      </c>
      <c r="H534" s="86">
        <v>43466</v>
      </c>
      <c r="I534" s="85">
        <v>132504</v>
      </c>
      <c r="J534" s="84" t="str">
        <f>"Customer"</f>
        <v>Customer</v>
      </c>
      <c r="K534" s="84" t="str">
        <f>"C100040"</f>
        <v>C100040</v>
      </c>
      <c r="L534" s="84" t="str">
        <f>IF($J534="Customer",_xll.NL("first",$J534,"Name","No.","@@"&amp;$K534),"")</f>
        <v>Guildford Water Department</v>
      </c>
      <c r="M534" s="84" t="str">
        <f>""</f>
        <v/>
      </c>
      <c r="N534" s="84" t="str">
        <f>IF($J534="Item",_xll.NL("first",$J534,"Description","No.","@@"&amp;$K534),"")</f>
        <v/>
      </c>
      <c r="O534" s="83">
        <v>0</v>
      </c>
      <c r="P534" s="83">
        <v>-12</v>
      </c>
      <c r="Q534" s="83">
        <v>0</v>
      </c>
      <c r="R534" s="83">
        <v>0</v>
      </c>
      <c r="S534" s="83">
        <v>0</v>
      </c>
      <c r="T534" s="83">
        <v>0</v>
      </c>
      <c r="U534" s="82"/>
    </row>
    <row r="535" spans="1:21" ht="17.25" customHeight="1" x14ac:dyDescent="0.3">
      <c r="A535" s="66" t="s">
        <v>30</v>
      </c>
      <c r="C535" s="67"/>
      <c r="D535" s="77" t="str">
        <f t="shared" ref="D535:D538" si="324">D534</f>
        <v>S100014</v>
      </c>
      <c r="E535" s="77"/>
      <c r="F535" s="76"/>
      <c r="G535" s="76" t="str">
        <f>"""NAV Direct"",""CRONUS JetCorp USA"",""32"",""1"",""167113"""</f>
        <v>"NAV Direct","CRONUS JetCorp USA","32","1","167113"</v>
      </c>
      <c r="H535" s="86">
        <v>43466</v>
      </c>
      <c r="I535" s="85">
        <v>167113</v>
      </c>
      <c r="J535" s="84" t="str">
        <f>"Vendor"</f>
        <v>Vendor</v>
      </c>
      <c r="K535" s="84" t="str">
        <f>"V100007"</f>
        <v>V100007</v>
      </c>
      <c r="L535" s="84" t="str">
        <f>IF($J535="Customer",_xll.NL("first",$J535,"Name","No.","@@"&amp;$K535),"")</f>
        <v/>
      </c>
      <c r="M535" s="84" t="str">
        <f>"TrendTech"</f>
        <v>TrendTech</v>
      </c>
      <c r="N535" s="84" t="str">
        <f>IF($J535="Item",_xll.NL("first",$J535,"Description","No.","@@"&amp;$K535),"")</f>
        <v/>
      </c>
      <c r="O535" s="83">
        <v>800</v>
      </c>
      <c r="P535" s="83">
        <v>0</v>
      </c>
      <c r="Q535" s="83">
        <v>0</v>
      </c>
      <c r="R535" s="83">
        <v>0</v>
      </c>
      <c r="S535" s="83">
        <v>0</v>
      </c>
      <c r="T535" s="83">
        <v>0</v>
      </c>
      <c r="U535" s="82"/>
    </row>
    <row r="536" spans="1:21" ht="17.25" customHeight="1" x14ac:dyDescent="0.3">
      <c r="A536" s="66" t="s">
        <v>30</v>
      </c>
      <c r="C536" s="67"/>
      <c r="D536" s="77" t="str">
        <f t="shared" si="324"/>
        <v>S100014</v>
      </c>
      <c r="E536" s="77"/>
      <c r="F536" s="76"/>
      <c r="G536" s="76" t="str">
        <f>"""NAV Direct"",""CRONUS JetCorp USA"",""32"",""1"",""124553"""</f>
        <v>"NAV Direct","CRONUS JetCorp USA","32","1","124553"</v>
      </c>
      <c r="H536" s="86">
        <v>43473</v>
      </c>
      <c r="I536" s="85">
        <v>124553</v>
      </c>
      <c r="J536" s="84" t="str">
        <f>"Customer"</f>
        <v>Customer</v>
      </c>
      <c r="K536" s="84" t="str">
        <f>"C100035"</f>
        <v>C100035</v>
      </c>
      <c r="L536" s="84" t="str">
        <f>IF($J536="Customer",_xll.NL("first",$J536,"Name","No.","@@"&amp;$K536),"")</f>
        <v>First Touch Marketing</v>
      </c>
      <c r="M536" s="84" t="str">
        <f>""</f>
        <v/>
      </c>
      <c r="N536" s="84" t="str">
        <f>IF($J536="Item",_xll.NL("first",$J536,"Description","No.","@@"&amp;$K536),"")</f>
        <v/>
      </c>
      <c r="O536" s="83">
        <v>0</v>
      </c>
      <c r="P536" s="83">
        <v>-24</v>
      </c>
      <c r="Q536" s="83">
        <v>0</v>
      </c>
      <c r="R536" s="83">
        <v>0</v>
      </c>
      <c r="S536" s="83">
        <v>0</v>
      </c>
      <c r="T536" s="83">
        <v>0</v>
      </c>
      <c r="U536" s="82"/>
    </row>
    <row r="537" spans="1:21" ht="17.25" customHeight="1" x14ac:dyDescent="0.3">
      <c r="A537" s="66" t="s">
        <v>30</v>
      </c>
      <c r="C537" s="67"/>
      <c r="D537" s="77" t="str">
        <f t="shared" si="324"/>
        <v>S100014</v>
      </c>
      <c r="E537" s="77"/>
      <c r="F537" s="76"/>
      <c r="G537" s="76" t="str">
        <f>"""NAV Direct"",""CRONUS JetCorp USA"",""32"",""1"",""30058"""</f>
        <v>"NAV Direct","CRONUS JetCorp USA","32","1","30058"</v>
      </c>
      <c r="H537" s="86">
        <v>43474</v>
      </c>
      <c r="I537" s="85">
        <v>30058</v>
      </c>
      <c r="J537" s="84" t="str">
        <f>"Customer"</f>
        <v>Customer</v>
      </c>
      <c r="K537" s="84" t="str">
        <f>"C100086"</f>
        <v>C100086</v>
      </c>
      <c r="L537" s="84" t="str">
        <f>IF($J537="Customer",_xll.NL("first",$J537,"Name","No.","@@"&amp;$K537),"")</f>
        <v>Top Action Sports</v>
      </c>
      <c r="M537" s="84" t="str">
        <f>""</f>
        <v/>
      </c>
      <c r="N537" s="84" t="str">
        <f>IF($J537="Item",_xll.NL("first",$J537,"Description","No.","@@"&amp;$K537),"")</f>
        <v/>
      </c>
      <c r="O537" s="83">
        <v>0</v>
      </c>
      <c r="P537" s="83">
        <v>-144</v>
      </c>
      <c r="Q537" s="83">
        <v>0</v>
      </c>
      <c r="R537" s="83">
        <v>0</v>
      </c>
      <c r="S537" s="83">
        <v>0</v>
      </c>
      <c r="T537" s="83">
        <v>0</v>
      </c>
      <c r="U537" s="82"/>
    </row>
    <row r="538" spans="1:21" ht="17.25" customHeight="1" x14ac:dyDescent="0.3">
      <c r="A538" s="66" t="s">
        <v>30</v>
      </c>
      <c r="C538" s="67"/>
      <c r="D538" s="77" t="str">
        <f t="shared" si="324"/>
        <v>S100014</v>
      </c>
      <c r="E538" s="77"/>
      <c r="F538" s="76"/>
      <c r="G538" s="76" t="str">
        <f>"""NAV Direct"",""CRONUS JetCorp USA"",""32"",""1"",""124586"""</f>
        <v>"NAV Direct","CRONUS JetCorp USA","32","1","124586"</v>
      </c>
      <c r="H538" s="86">
        <v>43475</v>
      </c>
      <c r="I538" s="85">
        <v>124586</v>
      </c>
      <c r="J538" s="84" t="str">
        <f>"Customer"</f>
        <v>Customer</v>
      </c>
      <c r="K538" s="84" t="str">
        <f>"C100035"</f>
        <v>C100035</v>
      </c>
      <c r="L538" s="84" t="str">
        <f>IF($J538="Customer",_xll.NL("first",$J538,"Name","No.","@@"&amp;$K538),"")</f>
        <v>First Touch Marketing</v>
      </c>
      <c r="M538" s="84" t="str">
        <f>""</f>
        <v/>
      </c>
      <c r="N538" s="84" t="str">
        <f>IF($J538="Item",_xll.NL("first",$J538,"Description","No.","@@"&amp;$K538),"")</f>
        <v/>
      </c>
      <c r="O538" s="83">
        <v>0</v>
      </c>
      <c r="P538" s="83">
        <v>-145</v>
      </c>
      <c r="Q538" s="83">
        <v>0</v>
      </c>
      <c r="R538" s="83">
        <v>0</v>
      </c>
      <c r="S538" s="83">
        <v>0</v>
      </c>
      <c r="T538" s="83">
        <v>0</v>
      </c>
      <c r="U538" s="82"/>
    </row>
    <row r="539" spans="1:21" ht="17.25" customHeight="1" x14ac:dyDescent="0.3">
      <c r="A539" s="66" t="s">
        <v>30</v>
      </c>
      <c r="C539" s="67"/>
      <c r="D539" s="77"/>
      <c r="E539" s="77"/>
      <c r="F539" s="76"/>
      <c r="G539" s="76"/>
      <c r="H539" s="76"/>
      <c r="I539" s="76"/>
      <c r="J539" s="76"/>
      <c r="K539" s="76"/>
      <c r="L539" s="76"/>
      <c r="M539" s="76"/>
      <c r="N539" s="76"/>
      <c r="O539" s="75"/>
      <c r="P539" s="75"/>
      <c r="Q539" s="75"/>
      <c r="R539" s="75"/>
      <c r="S539" s="75"/>
      <c r="T539" s="75"/>
      <c r="U539" s="74"/>
    </row>
    <row r="540" spans="1:21" ht="17.25" customHeight="1" x14ac:dyDescent="0.3">
      <c r="A540" s="66" t="s">
        <v>30</v>
      </c>
      <c r="C540" s="67"/>
      <c r="D540" s="77"/>
      <c r="E540" s="77" t="s">
        <v>31</v>
      </c>
      <c r="F540" s="76" t="s">
        <v>31</v>
      </c>
      <c r="G540" s="76" t="s">
        <v>31</v>
      </c>
      <c r="H540" s="76"/>
      <c r="I540" s="76"/>
      <c r="J540" s="76" t="s">
        <v>31</v>
      </c>
      <c r="K540" s="76" t="s">
        <v>31</v>
      </c>
      <c r="L540" s="76" t="s">
        <v>31</v>
      </c>
      <c r="M540" s="76" t="s">
        <v>31</v>
      </c>
      <c r="N540" s="76"/>
      <c r="U540" s="81"/>
    </row>
    <row r="541" spans="1:21" ht="20.25" customHeight="1" x14ac:dyDescent="0.35">
      <c r="A541" s="66" t="s">
        <v>30</v>
      </c>
      <c r="C541" s="67"/>
      <c r="D541" s="92" t="str">
        <f t="shared" ref="D541" si="325">E541</f>
        <v>S100015</v>
      </c>
      <c r="E541" s="91" t="str">
        <f>"S100015"</f>
        <v>S100015</v>
      </c>
      <c r="F541" s="89" t="str">
        <f>"Raw-Edge Bucket Hat"</f>
        <v>Raw-Edge Bucket Hat</v>
      </c>
      <c r="G541" s="89"/>
      <c r="H541" s="90" t="str">
        <f>"EA"</f>
        <v>EA</v>
      </c>
      <c r="I541" s="89"/>
      <c r="J541" s="89"/>
      <c r="K541" s="89"/>
      <c r="L541" s="89"/>
      <c r="M541" s="89"/>
      <c r="N541" s="89"/>
      <c r="O541" s="88">
        <f>(SUBTOTAL(9,O542:O544))</f>
        <v>0</v>
      </c>
      <c r="P541" s="88">
        <f>(SUBTOTAL(9,P542:P544))</f>
        <v>-2</v>
      </c>
      <c r="Q541" s="88">
        <f>(SUBTOTAL(9,Q542:Q544))</f>
        <v>0</v>
      </c>
      <c r="R541" s="88">
        <f>(SUBTOTAL(9,R542:R544))</f>
        <v>0</v>
      </c>
      <c r="S541" s="88">
        <f>(SUBTOTAL(9,S542:S544))</f>
        <v>0</v>
      </c>
      <c r="T541" s="88">
        <f>(SUBTOTAL(9,T542:T544))</f>
        <v>0</v>
      </c>
      <c r="U541" s="87">
        <f t="shared" ref="U541" si="326">SUBTOTAL(9,O542:T544)</f>
        <v>-2</v>
      </c>
    </row>
    <row r="542" spans="1:21" ht="17.25" customHeight="1" x14ac:dyDescent="0.3">
      <c r="A542" s="66" t="s">
        <v>30</v>
      </c>
      <c r="C542" s="67"/>
      <c r="D542" s="77" t="str">
        <f t="shared" ref="D542" si="327">D541</f>
        <v>S100015</v>
      </c>
      <c r="E542" s="77"/>
      <c r="F542" s="76"/>
      <c r="G542" s="76" t="str">
        <f>"""NAV Direct"",""CRONUS JetCorp USA"",""32"",""1"",""124520"""</f>
        <v>"NAV Direct","CRONUS JetCorp USA","32","1","124520"</v>
      </c>
      <c r="H542" s="86">
        <v>43470</v>
      </c>
      <c r="I542" s="85">
        <v>124520</v>
      </c>
      <c r="J542" s="84" t="str">
        <f>"Customer"</f>
        <v>Customer</v>
      </c>
      <c r="K542" s="84" t="str">
        <f>"C100025"</f>
        <v>C100025</v>
      </c>
      <c r="L542" s="84" t="str">
        <f>IF($J542="Customer",_xll.NL("first",$J542,"Name","No.","@@"&amp;$K542),"")</f>
        <v>Derringers Resturants</v>
      </c>
      <c r="M542" s="84" t="str">
        <f>""</f>
        <v/>
      </c>
      <c r="N542" s="84" t="str">
        <f>IF($J542="Item",_xll.NL("first",$J542,"Description","No.","@@"&amp;$K542),"")</f>
        <v/>
      </c>
      <c r="O542" s="83">
        <v>0</v>
      </c>
      <c r="P542" s="83">
        <v>-1</v>
      </c>
      <c r="Q542" s="83">
        <v>0</v>
      </c>
      <c r="R542" s="83">
        <v>0</v>
      </c>
      <c r="S542" s="83">
        <v>0</v>
      </c>
      <c r="T542" s="83">
        <v>0</v>
      </c>
      <c r="U542" s="82"/>
    </row>
    <row r="543" spans="1:21" ht="17.25" customHeight="1" x14ac:dyDescent="0.3">
      <c r="A543" s="66" t="s">
        <v>30</v>
      </c>
      <c r="C543" s="67"/>
      <c r="D543" s="77" t="str">
        <f t="shared" ref="D543" si="328">D542</f>
        <v>S100015</v>
      </c>
      <c r="E543" s="77"/>
      <c r="F543" s="76"/>
      <c r="G543" s="76" t="str">
        <f>"""NAV Direct"",""CRONUS JetCorp USA"",""32"",""1"",""30052"""</f>
        <v>"NAV Direct","CRONUS JetCorp USA","32","1","30052"</v>
      </c>
      <c r="H543" s="86">
        <v>43474</v>
      </c>
      <c r="I543" s="85">
        <v>30052</v>
      </c>
      <c r="J543" s="84" t="str">
        <f>"Customer"</f>
        <v>Customer</v>
      </c>
      <c r="K543" s="84" t="str">
        <f>"C100086"</f>
        <v>C100086</v>
      </c>
      <c r="L543" s="84" t="str">
        <f>IF($J543="Customer",_xll.NL("first",$J543,"Name","No.","@@"&amp;$K543),"")</f>
        <v>Top Action Sports</v>
      </c>
      <c r="M543" s="84" t="str">
        <f>""</f>
        <v/>
      </c>
      <c r="N543" s="84" t="str">
        <f>IF($J543="Item",_xll.NL("first",$J543,"Description","No.","@@"&amp;$K543),"")</f>
        <v/>
      </c>
      <c r="O543" s="83">
        <v>0</v>
      </c>
      <c r="P543" s="83">
        <v>-1</v>
      </c>
      <c r="Q543" s="83">
        <v>0</v>
      </c>
      <c r="R543" s="83">
        <v>0</v>
      </c>
      <c r="S543" s="83">
        <v>0</v>
      </c>
      <c r="T543" s="83">
        <v>0</v>
      </c>
      <c r="U543" s="82"/>
    </row>
    <row r="544" spans="1:21" ht="17.25" customHeight="1" x14ac:dyDescent="0.3">
      <c r="A544" s="66" t="s">
        <v>30</v>
      </c>
      <c r="C544" s="67"/>
      <c r="D544" s="77"/>
      <c r="E544" s="77"/>
      <c r="F544" s="76"/>
      <c r="G544" s="76"/>
      <c r="H544" s="76"/>
      <c r="I544" s="76"/>
      <c r="J544" s="76"/>
      <c r="K544" s="76"/>
      <c r="L544" s="76"/>
      <c r="M544" s="76"/>
      <c r="N544" s="76"/>
      <c r="O544" s="75"/>
      <c r="P544" s="75"/>
      <c r="Q544" s="75"/>
      <c r="R544" s="75"/>
      <c r="S544" s="75"/>
      <c r="T544" s="75"/>
      <c r="U544" s="74"/>
    </row>
    <row r="545" spans="1:21" ht="17.25" customHeight="1" x14ac:dyDescent="0.3">
      <c r="A545" s="66" t="s">
        <v>30</v>
      </c>
      <c r="C545" s="67"/>
      <c r="D545" s="77"/>
      <c r="E545" s="77" t="s">
        <v>31</v>
      </c>
      <c r="F545" s="76" t="s">
        <v>31</v>
      </c>
      <c r="G545" s="76" t="s">
        <v>31</v>
      </c>
      <c r="H545" s="76"/>
      <c r="I545" s="76"/>
      <c r="J545" s="76" t="s">
        <v>31</v>
      </c>
      <c r="K545" s="76" t="s">
        <v>31</v>
      </c>
      <c r="L545" s="76" t="s">
        <v>31</v>
      </c>
      <c r="M545" s="76" t="s">
        <v>31</v>
      </c>
      <c r="N545" s="76"/>
      <c r="U545" s="81"/>
    </row>
    <row r="546" spans="1:21" ht="20.25" customHeight="1" x14ac:dyDescent="0.35">
      <c r="A546" s="66" t="s">
        <v>30</v>
      </c>
      <c r="C546" s="67"/>
      <c r="D546" s="92" t="str">
        <f t="shared" ref="D546" si="329">E546</f>
        <v>S100016</v>
      </c>
      <c r="E546" s="91" t="str">
        <f>"S100016"</f>
        <v>S100016</v>
      </c>
      <c r="F546" s="89" t="str">
        <f>"Mesh Bucket Hat"</f>
        <v>Mesh Bucket Hat</v>
      </c>
      <c r="G546" s="89"/>
      <c r="H546" s="90" t="str">
        <f>"EA"</f>
        <v>EA</v>
      </c>
      <c r="I546" s="89"/>
      <c r="J546" s="89"/>
      <c r="K546" s="89"/>
      <c r="L546" s="89"/>
      <c r="M546" s="89"/>
      <c r="N546" s="89"/>
      <c r="O546" s="88">
        <f>(SUBTOTAL(9,O547:O550))</f>
        <v>400</v>
      </c>
      <c r="P546" s="88">
        <f>(SUBTOTAL(9,P547:P550))</f>
        <v>-432</v>
      </c>
      <c r="Q546" s="88">
        <f>(SUBTOTAL(9,Q547:Q550))</f>
        <v>0</v>
      </c>
      <c r="R546" s="88">
        <f>(SUBTOTAL(9,R547:R550))</f>
        <v>0</v>
      </c>
      <c r="S546" s="88">
        <f>(SUBTOTAL(9,S547:S550))</f>
        <v>0</v>
      </c>
      <c r="T546" s="88">
        <f>(SUBTOTAL(9,T547:T550))</f>
        <v>0</v>
      </c>
      <c r="U546" s="87">
        <f t="shared" ref="U546" si="330">SUBTOTAL(9,O547:T550)</f>
        <v>-32</v>
      </c>
    </row>
    <row r="547" spans="1:21" ht="17.25" customHeight="1" x14ac:dyDescent="0.3">
      <c r="A547" s="66" t="s">
        <v>30</v>
      </c>
      <c r="C547" s="67"/>
      <c r="D547" s="77" t="str">
        <f t="shared" ref="D547" si="331">D546</f>
        <v>S100016</v>
      </c>
      <c r="E547" s="77"/>
      <c r="F547" s="76"/>
      <c r="G547" s="76" t="str">
        <f>"""NAV Direct"",""CRONUS JetCorp USA"",""32"",""1"",""167112"""</f>
        <v>"NAV Direct","CRONUS JetCorp USA","32","1","167112"</v>
      </c>
      <c r="H547" s="86">
        <v>43466</v>
      </c>
      <c r="I547" s="85">
        <v>167112</v>
      </c>
      <c r="J547" s="84" t="str">
        <f>"Vendor"</f>
        <v>Vendor</v>
      </c>
      <c r="K547" s="84" t="str">
        <f>"V100007"</f>
        <v>V100007</v>
      </c>
      <c r="L547" s="84" t="str">
        <f>IF($J547="Customer",_xll.NL("first",$J547,"Name","No.","@@"&amp;$K547),"")</f>
        <v/>
      </c>
      <c r="M547" s="84" t="str">
        <f>"TrendTech"</f>
        <v>TrendTech</v>
      </c>
      <c r="N547" s="84" t="str">
        <f>IF($J547="Item",_xll.NL("first",$J547,"Description","No.","@@"&amp;$K547),"")</f>
        <v/>
      </c>
      <c r="O547" s="83">
        <v>400</v>
      </c>
      <c r="P547" s="83">
        <v>0</v>
      </c>
      <c r="Q547" s="83">
        <v>0</v>
      </c>
      <c r="R547" s="83">
        <v>0</v>
      </c>
      <c r="S547" s="83">
        <v>0</v>
      </c>
      <c r="T547" s="83">
        <v>0</v>
      </c>
      <c r="U547" s="82"/>
    </row>
    <row r="548" spans="1:21" ht="17.25" customHeight="1" x14ac:dyDescent="0.3">
      <c r="A548" s="66" t="s">
        <v>30</v>
      </c>
      <c r="C548" s="67"/>
      <c r="D548" s="77" t="str">
        <f t="shared" ref="D548:D549" si="332">D547</f>
        <v>S100016</v>
      </c>
      <c r="E548" s="77"/>
      <c r="F548" s="76"/>
      <c r="G548" s="76" t="str">
        <f>"""NAV Direct"",""CRONUS JetCorp USA"",""32"",""1"",""124541"""</f>
        <v>"NAV Direct","CRONUS JetCorp USA","32","1","124541"</v>
      </c>
      <c r="H548" s="86">
        <v>43473</v>
      </c>
      <c r="I548" s="85">
        <v>124541</v>
      </c>
      <c r="J548" s="84" t="str">
        <f>"Customer"</f>
        <v>Customer</v>
      </c>
      <c r="K548" s="84" t="str">
        <f>"C100035"</f>
        <v>C100035</v>
      </c>
      <c r="L548" s="84" t="str">
        <f>IF($J548="Customer",_xll.NL("first",$J548,"Name","No.","@@"&amp;$K548),"")</f>
        <v>First Touch Marketing</v>
      </c>
      <c r="M548" s="84" t="str">
        <f>""</f>
        <v/>
      </c>
      <c r="N548" s="84" t="str">
        <f>IF($J548="Item",_xll.NL("first",$J548,"Description","No.","@@"&amp;$K548),"")</f>
        <v/>
      </c>
      <c r="O548" s="83">
        <v>0</v>
      </c>
      <c r="P548" s="83">
        <v>-288</v>
      </c>
      <c r="Q548" s="83">
        <v>0</v>
      </c>
      <c r="R548" s="83">
        <v>0</v>
      </c>
      <c r="S548" s="83">
        <v>0</v>
      </c>
      <c r="T548" s="83">
        <v>0</v>
      </c>
      <c r="U548" s="82"/>
    </row>
    <row r="549" spans="1:21" ht="17.25" customHeight="1" x14ac:dyDescent="0.3">
      <c r="A549" s="66" t="s">
        <v>30</v>
      </c>
      <c r="C549" s="67"/>
      <c r="D549" s="77" t="str">
        <f t="shared" si="332"/>
        <v>S100016</v>
      </c>
      <c r="E549" s="77"/>
      <c r="F549" s="76"/>
      <c r="G549" s="76" t="str">
        <f>"""NAV Direct"",""CRONUS JetCorp USA"",""32"",""1"",""124590"""</f>
        <v>"NAV Direct","CRONUS JetCorp USA","32","1","124590"</v>
      </c>
      <c r="H549" s="86">
        <v>43475</v>
      </c>
      <c r="I549" s="85">
        <v>124590</v>
      </c>
      <c r="J549" s="84" t="str">
        <f>"Customer"</f>
        <v>Customer</v>
      </c>
      <c r="K549" s="84" t="str">
        <f>"C100035"</f>
        <v>C100035</v>
      </c>
      <c r="L549" s="84" t="str">
        <f>IF($J549="Customer",_xll.NL("first",$J549,"Name","No.","@@"&amp;$K549),"")</f>
        <v>First Touch Marketing</v>
      </c>
      <c r="M549" s="84" t="str">
        <f>""</f>
        <v/>
      </c>
      <c r="N549" s="84" t="str">
        <f>IF($J549="Item",_xll.NL("first",$J549,"Description","No.","@@"&amp;$K549),"")</f>
        <v/>
      </c>
      <c r="O549" s="83">
        <v>0</v>
      </c>
      <c r="P549" s="83">
        <v>-144</v>
      </c>
      <c r="Q549" s="83">
        <v>0</v>
      </c>
      <c r="R549" s="83">
        <v>0</v>
      </c>
      <c r="S549" s="83">
        <v>0</v>
      </c>
      <c r="T549" s="83">
        <v>0</v>
      </c>
      <c r="U549" s="82"/>
    </row>
    <row r="550" spans="1:21" ht="17.25" customHeight="1" x14ac:dyDescent="0.3">
      <c r="A550" s="66" t="s">
        <v>30</v>
      </c>
      <c r="C550" s="67"/>
      <c r="D550" s="77"/>
      <c r="E550" s="77"/>
      <c r="F550" s="76"/>
      <c r="G550" s="76"/>
      <c r="H550" s="76"/>
      <c r="I550" s="76"/>
      <c r="J550" s="76"/>
      <c r="K550" s="76"/>
      <c r="L550" s="76"/>
      <c r="M550" s="76"/>
      <c r="N550" s="76"/>
      <c r="O550" s="75"/>
      <c r="P550" s="75"/>
      <c r="Q550" s="75"/>
      <c r="R550" s="75"/>
      <c r="S550" s="75"/>
      <c r="T550" s="75"/>
      <c r="U550" s="74"/>
    </row>
    <row r="551" spans="1:21" ht="17.25" customHeight="1" x14ac:dyDescent="0.3">
      <c r="A551" s="66" t="s">
        <v>30</v>
      </c>
      <c r="C551" s="67"/>
      <c r="D551" s="77"/>
      <c r="E551" s="77" t="s">
        <v>31</v>
      </c>
      <c r="F551" s="76" t="s">
        <v>31</v>
      </c>
      <c r="G551" s="76" t="s">
        <v>31</v>
      </c>
      <c r="H551" s="76"/>
      <c r="I551" s="76"/>
      <c r="J551" s="76" t="s">
        <v>31</v>
      </c>
      <c r="K551" s="76" t="s">
        <v>31</v>
      </c>
      <c r="L551" s="76" t="s">
        <v>31</v>
      </c>
      <c r="M551" s="76" t="s">
        <v>31</v>
      </c>
      <c r="N551" s="76"/>
      <c r="U551" s="81"/>
    </row>
    <row r="552" spans="1:21" ht="20.25" customHeight="1" x14ac:dyDescent="0.35">
      <c r="A552" s="66" t="s">
        <v>30</v>
      </c>
      <c r="C552" s="67"/>
      <c r="D552" s="92" t="str">
        <f t="shared" ref="D552" si="333">E552</f>
        <v>S100017</v>
      </c>
      <c r="E552" s="91" t="str">
        <f>"S100017"</f>
        <v>S100017</v>
      </c>
      <c r="F552" s="89" t="str">
        <f>"Microfiber Bucket Hat"</f>
        <v>Microfiber Bucket Hat</v>
      </c>
      <c r="G552" s="89"/>
      <c r="H552" s="90" t="str">
        <f>"EA"</f>
        <v>EA</v>
      </c>
      <c r="I552" s="89"/>
      <c r="J552" s="89"/>
      <c r="K552" s="89"/>
      <c r="L552" s="89"/>
      <c r="M552" s="89"/>
      <c r="N552" s="89"/>
      <c r="O552" s="88">
        <f>(SUBTOTAL(9,O553:O556))</f>
        <v>0</v>
      </c>
      <c r="P552" s="88">
        <f>(SUBTOTAL(9,P553:P556))</f>
        <v>-146</v>
      </c>
      <c r="Q552" s="88">
        <f>(SUBTOTAL(9,Q553:Q556))</f>
        <v>0</v>
      </c>
      <c r="R552" s="88">
        <f>(SUBTOTAL(9,R553:R556))</f>
        <v>0</v>
      </c>
      <c r="S552" s="88">
        <f>(SUBTOTAL(9,S553:S556))</f>
        <v>0</v>
      </c>
      <c r="T552" s="88">
        <f>(SUBTOTAL(9,T553:T556))</f>
        <v>0</v>
      </c>
      <c r="U552" s="87">
        <f t="shared" ref="U552" si="334">SUBTOTAL(9,O553:T556)</f>
        <v>-146</v>
      </c>
    </row>
    <row r="553" spans="1:21" ht="17.25" customHeight="1" x14ac:dyDescent="0.3">
      <c r="A553" s="66" t="s">
        <v>30</v>
      </c>
      <c r="C553" s="67"/>
      <c r="D553" s="77" t="str">
        <f t="shared" ref="D553" si="335">D552</f>
        <v>S100017</v>
      </c>
      <c r="E553" s="77"/>
      <c r="F553" s="76"/>
      <c r="G553" s="76" t="str">
        <f>"""NAV Direct"",""CRONUS JetCorp USA"",""32"",""1"",""25254"""</f>
        <v>"NAV Direct","CRONUS JetCorp USA","32","1","25254"</v>
      </c>
      <c r="H553" s="86">
        <v>43472</v>
      </c>
      <c r="I553" s="85">
        <v>25254</v>
      </c>
      <c r="J553" s="84" t="str">
        <f>"Customer"</f>
        <v>Customer</v>
      </c>
      <c r="K553" s="84" t="str">
        <f>"C100098"</f>
        <v>C100098</v>
      </c>
      <c r="L553" s="84" t="str">
        <f>IF($J553="Customer",_xll.NL("first",$J553,"Name","No.","@@"&amp;$K553),"")</f>
        <v>BlackCane Motor Works</v>
      </c>
      <c r="M553" s="84" t="str">
        <f>""</f>
        <v/>
      </c>
      <c r="N553" s="84" t="str">
        <f>IF($J553="Item",_xll.NL("first",$J553,"Description","No.","@@"&amp;$K553),"")</f>
        <v/>
      </c>
      <c r="O553" s="83">
        <v>0</v>
      </c>
      <c r="P553" s="83">
        <v>-144</v>
      </c>
      <c r="Q553" s="83">
        <v>0</v>
      </c>
      <c r="R553" s="83">
        <v>0</v>
      </c>
      <c r="S553" s="83">
        <v>0</v>
      </c>
      <c r="T553" s="83">
        <v>0</v>
      </c>
      <c r="U553" s="82"/>
    </row>
    <row r="554" spans="1:21" ht="17.25" customHeight="1" x14ac:dyDescent="0.3">
      <c r="A554" s="66" t="s">
        <v>30</v>
      </c>
      <c r="C554" s="67"/>
      <c r="D554" s="77" t="str">
        <f t="shared" ref="D554:D555" si="336">D553</f>
        <v>S100017</v>
      </c>
      <c r="E554" s="77"/>
      <c r="F554" s="76"/>
      <c r="G554" s="76" t="str">
        <f>"""NAV Direct"",""CRONUS JetCorp USA"",""32"",""1"",""30053"""</f>
        <v>"NAV Direct","CRONUS JetCorp USA","32","1","30053"</v>
      </c>
      <c r="H554" s="86">
        <v>43474</v>
      </c>
      <c r="I554" s="85">
        <v>30053</v>
      </c>
      <c r="J554" s="84" t="str">
        <f>"Customer"</f>
        <v>Customer</v>
      </c>
      <c r="K554" s="84" t="str">
        <f>"C100086"</f>
        <v>C100086</v>
      </c>
      <c r="L554" s="84" t="str">
        <f>IF($J554="Customer",_xll.NL("first",$J554,"Name","No.","@@"&amp;$K554),"")</f>
        <v>Top Action Sports</v>
      </c>
      <c r="M554" s="84" t="str">
        <f>""</f>
        <v/>
      </c>
      <c r="N554" s="84" t="str">
        <f>IF($J554="Item",_xll.NL("first",$J554,"Description","No.","@@"&amp;$K554),"")</f>
        <v/>
      </c>
      <c r="O554" s="83">
        <v>0</v>
      </c>
      <c r="P554" s="83">
        <v>-1</v>
      </c>
      <c r="Q554" s="83">
        <v>0</v>
      </c>
      <c r="R554" s="83">
        <v>0</v>
      </c>
      <c r="S554" s="83">
        <v>0</v>
      </c>
      <c r="T554" s="83">
        <v>0</v>
      </c>
      <c r="U554" s="82"/>
    </row>
    <row r="555" spans="1:21" ht="17.25" customHeight="1" x14ac:dyDescent="0.3">
      <c r="A555" s="66" t="s">
        <v>30</v>
      </c>
      <c r="C555" s="67"/>
      <c r="D555" s="77" t="str">
        <f t="shared" si="336"/>
        <v>S100017</v>
      </c>
      <c r="E555" s="77"/>
      <c r="F555" s="76"/>
      <c r="G555" s="76" t="str">
        <f>"""NAV Direct"",""CRONUS JetCorp USA"",""32"",""1"",""124597"""</f>
        <v>"NAV Direct","CRONUS JetCorp USA","32","1","124597"</v>
      </c>
      <c r="H555" s="86">
        <v>43475</v>
      </c>
      <c r="I555" s="85">
        <v>124597</v>
      </c>
      <c r="J555" s="84" t="str">
        <f>"Customer"</f>
        <v>Customer</v>
      </c>
      <c r="K555" s="84" t="str">
        <f>"C100035"</f>
        <v>C100035</v>
      </c>
      <c r="L555" s="84" t="str">
        <f>IF($J555="Customer",_xll.NL("first",$J555,"Name","No.","@@"&amp;$K555),"")</f>
        <v>First Touch Marketing</v>
      </c>
      <c r="M555" s="84" t="str">
        <f>""</f>
        <v/>
      </c>
      <c r="N555" s="84" t="str">
        <f>IF($J555="Item",_xll.NL("first",$J555,"Description","No.","@@"&amp;$K555),"")</f>
        <v/>
      </c>
      <c r="O555" s="83">
        <v>0</v>
      </c>
      <c r="P555" s="83">
        <v>-1</v>
      </c>
      <c r="Q555" s="83">
        <v>0</v>
      </c>
      <c r="R555" s="83">
        <v>0</v>
      </c>
      <c r="S555" s="83">
        <v>0</v>
      </c>
      <c r="T555" s="83">
        <v>0</v>
      </c>
      <c r="U555" s="82"/>
    </row>
    <row r="556" spans="1:21" ht="17.25" customHeight="1" x14ac:dyDescent="0.3">
      <c r="A556" s="66" t="s">
        <v>30</v>
      </c>
      <c r="C556" s="67"/>
      <c r="D556" s="77"/>
      <c r="E556" s="77"/>
      <c r="F556" s="76"/>
      <c r="G556" s="76"/>
      <c r="H556" s="76"/>
      <c r="I556" s="76"/>
      <c r="J556" s="76"/>
      <c r="K556" s="76"/>
      <c r="L556" s="76"/>
      <c r="M556" s="76"/>
      <c r="N556" s="76"/>
      <c r="O556" s="75"/>
      <c r="P556" s="75"/>
      <c r="Q556" s="75"/>
      <c r="R556" s="75"/>
      <c r="S556" s="75"/>
      <c r="T556" s="75"/>
      <c r="U556" s="74"/>
    </row>
    <row r="557" spans="1:21" ht="17.25" customHeight="1" x14ac:dyDescent="0.3">
      <c r="A557" s="66" t="s">
        <v>30</v>
      </c>
      <c r="C557" s="67"/>
      <c r="D557" s="77"/>
      <c r="E557" s="77" t="s">
        <v>31</v>
      </c>
      <c r="F557" s="76" t="s">
        <v>31</v>
      </c>
      <c r="G557" s="76" t="s">
        <v>31</v>
      </c>
      <c r="H557" s="76"/>
      <c r="I557" s="76"/>
      <c r="J557" s="76" t="s">
        <v>31</v>
      </c>
      <c r="K557" s="76" t="s">
        <v>31</v>
      </c>
      <c r="L557" s="76" t="s">
        <v>31</v>
      </c>
      <c r="M557" s="76" t="s">
        <v>31</v>
      </c>
      <c r="N557" s="76"/>
      <c r="U557" s="81"/>
    </row>
    <row r="558" spans="1:21" ht="20.25" customHeight="1" x14ac:dyDescent="0.35">
      <c r="A558" s="66" t="s">
        <v>30</v>
      </c>
      <c r="C558" s="67"/>
      <c r="D558" s="92" t="str">
        <f t="shared" ref="D558" si="337">E558</f>
        <v>S100018</v>
      </c>
      <c r="E558" s="91" t="str">
        <f>"S100018"</f>
        <v>S100018</v>
      </c>
      <c r="F558" s="89" t="str">
        <f>"Crusher Bucket Hat"</f>
        <v>Crusher Bucket Hat</v>
      </c>
      <c r="G558" s="89"/>
      <c r="H558" s="90" t="str">
        <f>"EA"</f>
        <v>EA</v>
      </c>
      <c r="I558" s="89"/>
      <c r="J558" s="89"/>
      <c r="K558" s="89"/>
      <c r="L558" s="89"/>
      <c r="M558" s="89"/>
      <c r="N558" s="89"/>
      <c r="O558" s="88">
        <f>(SUBTOTAL(9,O559:O565))</f>
        <v>1200</v>
      </c>
      <c r="P558" s="88">
        <f>(SUBTOTAL(9,P559:P565))</f>
        <v>-864</v>
      </c>
      <c r="Q558" s="88">
        <f>(SUBTOTAL(9,Q559:Q565))</f>
        <v>0</v>
      </c>
      <c r="R558" s="88">
        <f>(SUBTOTAL(9,R559:R565))</f>
        <v>0</v>
      </c>
      <c r="S558" s="88">
        <f>(SUBTOTAL(9,S559:S565))</f>
        <v>0</v>
      </c>
      <c r="T558" s="88">
        <f>(SUBTOTAL(9,T559:T565))</f>
        <v>0</v>
      </c>
      <c r="U558" s="87">
        <f t="shared" ref="U558" si="338">SUBTOTAL(9,O559:T565)</f>
        <v>336</v>
      </c>
    </row>
    <row r="559" spans="1:21" ht="17.25" customHeight="1" x14ac:dyDescent="0.3">
      <c r="A559" s="66" t="s">
        <v>30</v>
      </c>
      <c r="C559" s="67"/>
      <c r="D559" s="77" t="str">
        <f t="shared" ref="D559" si="339">D558</f>
        <v>S100018</v>
      </c>
      <c r="E559" s="77"/>
      <c r="F559" s="76"/>
      <c r="G559" s="76" t="str">
        <f>"""NAV Direct"",""CRONUS JetCorp USA"",""32"",""1"",""132495"""</f>
        <v>"NAV Direct","CRONUS JetCorp USA","32","1","132495"</v>
      </c>
      <c r="H559" s="86">
        <v>43466</v>
      </c>
      <c r="I559" s="85">
        <v>132495</v>
      </c>
      <c r="J559" s="84" t="str">
        <f>"Customer"</f>
        <v>Customer</v>
      </c>
      <c r="K559" s="84" t="str">
        <f>"C100040"</f>
        <v>C100040</v>
      </c>
      <c r="L559" s="84" t="str">
        <f>IF($J559="Customer",_xll.NL("first",$J559,"Name","No.","@@"&amp;$K559),"")</f>
        <v>Guildford Water Department</v>
      </c>
      <c r="M559" s="84" t="str">
        <f>""</f>
        <v/>
      </c>
      <c r="N559" s="84" t="str">
        <f>IF($J559="Item",_xll.NL("first",$J559,"Description","No.","@@"&amp;$K559),"")</f>
        <v/>
      </c>
      <c r="O559" s="83">
        <v>0</v>
      </c>
      <c r="P559" s="83">
        <v>-144</v>
      </c>
      <c r="Q559" s="83">
        <v>0</v>
      </c>
      <c r="R559" s="83">
        <v>0</v>
      </c>
      <c r="S559" s="83">
        <v>0</v>
      </c>
      <c r="T559" s="83">
        <v>0</v>
      </c>
      <c r="U559" s="82"/>
    </row>
    <row r="560" spans="1:21" ht="17.25" customHeight="1" x14ac:dyDescent="0.3">
      <c r="A560" s="66" t="s">
        <v>30</v>
      </c>
      <c r="C560" s="67"/>
      <c r="D560" s="77" t="str">
        <f t="shared" ref="D560:D564" si="340">D559</f>
        <v>S100018</v>
      </c>
      <c r="E560" s="77"/>
      <c r="F560" s="76"/>
      <c r="G560" s="76" t="str">
        <f>"""NAV Direct"",""CRONUS JetCorp USA"",""32"",""1"",""167111"""</f>
        <v>"NAV Direct","CRONUS JetCorp USA","32","1","167111"</v>
      </c>
      <c r="H560" s="86">
        <v>43466</v>
      </c>
      <c r="I560" s="85">
        <v>167111</v>
      </c>
      <c r="J560" s="84" t="str">
        <f>"Vendor"</f>
        <v>Vendor</v>
      </c>
      <c r="K560" s="84" t="str">
        <f>"V100007"</f>
        <v>V100007</v>
      </c>
      <c r="L560" s="84" t="str">
        <f>IF($J560="Customer",_xll.NL("first",$J560,"Name","No.","@@"&amp;$K560),"")</f>
        <v/>
      </c>
      <c r="M560" s="84" t="str">
        <f>"TrendTech"</f>
        <v>TrendTech</v>
      </c>
      <c r="N560" s="84" t="str">
        <f>IF($J560="Item",_xll.NL("first",$J560,"Description","No.","@@"&amp;$K560),"")</f>
        <v/>
      </c>
      <c r="O560" s="83">
        <v>1200</v>
      </c>
      <c r="P560" s="83">
        <v>0</v>
      </c>
      <c r="Q560" s="83">
        <v>0</v>
      </c>
      <c r="R560" s="83">
        <v>0</v>
      </c>
      <c r="S560" s="83">
        <v>0</v>
      </c>
      <c r="T560" s="83">
        <v>0</v>
      </c>
      <c r="U560" s="82"/>
    </row>
    <row r="561" spans="1:21" ht="17.25" customHeight="1" x14ac:dyDescent="0.3">
      <c r="A561" s="66" t="s">
        <v>30</v>
      </c>
      <c r="C561" s="67"/>
      <c r="D561" s="77" t="str">
        <f t="shared" si="340"/>
        <v>S100018</v>
      </c>
      <c r="E561" s="77"/>
      <c r="F561" s="76"/>
      <c r="G561" s="76" t="str">
        <f>"""NAV Direct"",""CRONUS JetCorp USA"",""32"",""1"",""25252"""</f>
        <v>"NAV Direct","CRONUS JetCorp USA","32","1","25252"</v>
      </c>
      <c r="H561" s="86">
        <v>43472</v>
      </c>
      <c r="I561" s="85">
        <v>25252</v>
      </c>
      <c r="J561" s="84" t="str">
        <f>"Customer"</f>
        <v>Customer</v>
      </c>
      <c r="K561" s="84" t="str">
        <f>"C100098"</f>
        <v>C100098</v>
      </c>
      <c r="L561" s="84" t="str">
        <f>IF($J561="Customer",_xll.NL("first",$J561,"Name","No.","@@"&amp;$K561),"")</f>
        <v>BlackCane Motor Works</v>
      </c>
      <c r="M561" s="84" t="str">
        <f>""</f>
        <v/>
      </c>
      <c r="N561" s="84" t="str">
        <f>IF($J561="Item",_xll.NL("first",$J561,"Description","No.","@@"&amp;$K561),"")</f>
        <v/>
      </c>
      <c r="O561" s="83">
        <v>0</v>
      </c>
      <c r="P561" s="83">
        <v>-288</v>
      </c>
      <c r="Q561" s="83">
        <v>0</v>
      </c>
      <c r="R561" s="83">
        <v>0</v>
      </c>
      <c r="S561" s="83">
        <v>0</v>
      </c>
      <c r="T561" s="83">
        <v>0</v>
      </c>
      <c r="U561" s="82"/>
    </row>
    <row r="562" spans="1:21" ht="17.25" customHeight="1" x14ac:dyDescent="0.3">
      <c r="A562" s="66" t="s">
        <v>30</v>
      </c>
      <c r="C562" s="67"/>
      <c r="D562" s="77" t="str">
        <f t="shared" si="340"/>
        <v>S100018</v>
      </c>
      <c r="E562" s="77"/>
      <c r="F562" s="76"/>
      <c r="G562" s="76" t="str">
        <f>"""NAV Direct"",""CRONUS JetCorp USA"",""32"",""1"",""124545"""</f>
        <v>"NAV Direct","CRONUS JetCorp USA","32","1","124545"</v>
      </c>
      <c r="H562" s="86">
        <v>43473</v>
      </c>
      <c r="I562" s="85">
        <v>124545</v>
      </c>
      <c r="J562" s="84" t="str">
        <f>"Customer"</f>
        <v>Customer</v>
      </c>
      <c r="K562" s="84" t="str">
        <f>"C100035"</f>
        <v>C100035</v>
      </c>
      <c r="L562" s="84" t="str">
        <f>IF($J562="Customer",_xll.NL("first",$J562,"Name","No.","@@"&amp;$K562),"")</f>
        <v>First Touch Marketing</v>
      </c>
      <c r="M562" s="84" t="str">
        <f>""</f>
        <v/>
      </c>
      <c r="N562" s="84" t="str">
        <f>IF($J562="Item",_xll.NL("first",$J562,"Description","No.","@@"&amp;$K562),"")</f>
        <v/>
      </c>
      <c r="O562" s="83">
        <v>0</v>
      </c>
      <c r="P562" s="83">
        <v>-144</v>
      </c>
      <c r="Q562" s="83">
        <v>0</v>
      </c>
      <c r="R562" s="83">
        <v>0</v>
      </c>
      <c r="S562" s="83">
        <v>0</v>
      </c>
      <c r="T562" s="83">
        <v>0</v>
      </c>
      <c r="U562" s="82"/>
    </row>
    <row r="563" spans="1:21" ht="17.25" customHeight="1" x14ac:dyDescent="0.3">
      <c r="A563" s="66" t="s">
        <v>30</v>
      </c>
      <c r="C563" s="67"/>
      <c r="D563" s="77" t="str">
        <f t="shared" si="340"/>
        <v>S100018</v>
      </c>
      <c r="E563" s="77"/>
      <c r="F563" s="76"/>
      <c r="G563" s="76" t="str">
        <f>"""NAV Direct"",""CRONUS JetCorp USA"",""32"",""1"",""30047"""</f>
        <v>"NAV Direct","CRONUS JetCorp USA","32","1","30047"</v>
      </c>
      <c r="H563" s="86">
        <v>43474</v>
      </c>
      <c r="I563" s="85">
        <v>30047</v>
      </c>
      <c r="J563" s="84" t="str">
        <f>"Customer"</f>
        <v>Customer</v>
      </c>
      <c r="K563" s="84" t="str">
        <f>"C100086"</f>
        <v>C100086</v>
      </c>
      <c r="L563" s="84" t="str">
        <f>IF($J563="Customer",_xll.NL("first",$J563,"Name","No.","@@"&amp;$K563),"")</f>
        <v>Top Action Sports</v>
      </c>
      <c r="M563" s="84" t="str">
        <f>""</f>
        <v/>
      </c>
      <c r="N563" s="84" t="str">
        <f>IF($J563="Item",_xll.NL("first",$J563,"Description","No.","@@"&amp;$K563),"")</f>
        <v/>
      </c>
      <c r="O563" s="83">
        <v>0</v>
      </c>
      <c r="P563" s="83">
        <v>-144</v>
      </c>
      <c r="Q563" s="83">
        <v>0</v>
      </c>
      <c r="R563" s="83">
        <v>0</v>
      </c>
      <c r="S563" s="83">
        <v>0</v>
      </c>
      <c r="T563" s="83">
        <v>0</v>
      </c>
      <c r="U563" s="82"/>
    </row>
    <row r="564" spans="1:21" ht="17.25" customHeight="1" x14ac:dyDescent="0.3">
      <c r="A564" s="66" t="s">
        <v>30</v>
      </c>
      <c r="C564" s="67"/>
      <c r="D564" s="77" t="str">
        <f t="shared" si="340"/>
        <v>S100018</v>
      </c>
      <c r="E564" s="77"/>
      <c r="F564" s="76"/>
      <c r="G564" s="76" t="str">
        <f>"""NAV Direct"",""CRONUS JetCorp USA"",""32"",""1"",""124588"""</f>
        <v>"NAV Direct","CRONUS JetCorp USA","32","1","124588"</v>
      </c>
      <c r="H564" s="86">
        <v>43475</v>
      </c>
      <c r="I564" s="85">
        <v>124588</v>
      </c>
      <c r="J564" s="84" t="str">
        <f>"Customer"</f>
        <v>Customer</v>
      </c>
      <c r="K564" s="84" t="str">
        <f>"C100035"</f>
        <v>C100035</v>
      </c>
      <c r="L564" s="84" t="str">
        <f>IF($J564="Customer",_xll.NL("first",$J564,"Name","No.","@@"&amp;$K564),"")</f>
        <v>First Touch Marketing</v>
      </c>
      <c r="M564" s="84" t="str">
        <f>""</f>
        <v/>
      </c>
      <c r="N564" s="84" t="str">
        <f>IF($J564="Item",_xll.NL("first",$J564,"Description","No.","@@"&amp;$K564),"")</f>
        <v/>
      </c>
      <c r="O564" s="83">
        <v>0</v>
      </c>
      <c r="P564" s="83">
        <v>-144</v>
      </c>
      <c r="Q564" s="83">
        <v>0</v>
      </c>
      <c r="R564" s="83">
        <v>0</v>
      </c>
      <c r="S564" s="83">
        <v>0</v>
      </c>
      <c r="T564" s="83">
        <v>0</v>
      </c>
      <c r="U564" s="82"/>
    </row>
    <row r="565" spans="1:21" ht="17.25" customHeight="1" x14ac:dyDescent="0.3">
      <c r="A565" s="66" t="s">
        <v>30</v>
      </c>
      <c r="C565" s="67"/>
      <c r="D565" s="77"/>
      <c r="E565" s="77"/>
      <c r="F565" s="76"/>
      <c r="G565" s="76"/>
      <c r="H565" s="76"/>
      <c r="I565" s="76"/>
      <c r="J565" s="76"/>
      <c r="K565" s="76"/>
      <c r="L565" s="76"/>
      <c r="M565" s="76"/>
      <c r="N565" s="76"/>
      <c r="O565" s="75"/>
      <c r="P565" s="75"/>
      <c r="Q565" s="75"/>
      <c r="R565" s="75"/>
      <c r="S565" s="75"/>
      <c r="T565" s="75"/>
      <c r="U565" s="74"/>
    </row>
    <row r="566" spans="1:21" ht="17.25" customHeight="1" x14ac:dyDescent="0.3">
      <c r="A566" s="66" t="s">
        <v>30</v>
      </c>
      <c r="C566" s="67"/>
      <c r="D566" s="77"/>
      <c r="E566" s="77" t="s">
        <v>31</v>
      </c>
      <c r="F566" s="76" t="s">
        <v>31</v>
      </c>
      <c r="G566" s="76" t="s">
        <v>31</v>
      </c>
      <c r="H566" s="76"/>
      <c r="I566" s="76"/>
      <c r="J566" s="76" t="s">
        <v>31</v>
      </c>
      <c r="K566" s="76" t="s">
        <v>31</v>
      </c>
      <c r="L566" s="76" t="s">
        <v>31</v>
      </c>
      <c r="M566" s="76" t="s">
        <v>31</v>
      </c>
      <c r="N566" s="76"/>
      <c r="U566" s="81"/>
    </row>
    <row r="567" spans="1:21" ht="20.25" customHeight="1" x14ac:dyDescent="0.35">
      <c r="A567" s="66" t="s">
        <v>30</v>
      </c>
      <c r="C567" s="67"/>
      <c r="D567" s="92" t="str">
        <f t="shared" ref="D567" si="341">E567</f>
        <v>S100019</v>
      </c>
      <c r="E567" s="91" t="str">
        <f>"S100019"</f>
        <v>S100019</v>
      </c>
      <c r="F567" s="89" t="str">
        <f>"Sportsman Bucket Hat"</f>
        <v>Sportsman Bucket Hat</v>
      </c>
      <c r="G567" s="89"/>
      <c r="H567" s="90" t="str">
        <f>"EA"</f>
        <v>EA</v>
      </c>
      <c r="I567" s="89"/>
      <c r="J567" s="89"/>
      <c r="K567" s="89"/>
      <c r="L567" s="89"/>
      <c r="M567" s="89"/>
      <c r="N567" s="89"/>
      <c r="O567" s="88">
        <f>(SUBTOTAL(9,O568:O571))</f>
        <v>400</v>
      </c>
      <c r="P567" s="88">
        <f>(SUBTOTAL(9,P568:P571))</f>
        <v>-288</v>
      </c>
      <c r="Q567" s="88">
        <f>(SUBTOTAL(9,Q568:Q571))</f>
        <v>0</v>
      </c>
      <c r="R567" s="88">
        <f>(SUBTOTAL(9,R568:R571))</f>
        <v>0</v>
      </c>
      <c r="S567" s="88">
        <f>(SUBTOTAL(9,S568:S571))</f>
        <v>0</v>
      </c>
      <c r="T567" s="88">
        <f>(SUBTOTAL(9,T568:T571))</f>
        <v>0</v>
      </c>
      <c r="U567" s="87">
        <f t="shared" ref="U567" si="342">SUBTOTAL(9,O568:T571)</f>
        <v>112</v>
      </c>
    </row>
    <row r="568" spans="1:21" ht="17.25" customHeight="1" x14ac:dyDescent="0.3">
      <c r="A568" s="66" t="s">
        <v>30</v>
      </c>
      <c r="C568" s="67"/>
      <c r="D568" s="77" t="str">
        <f t="shared" ref="D568" si="343">D567</f>
        <v>S100019</v>
      </c>
      <c r="E568" s="77"/>
      <c r="F568" s="76"/>
      <c r="G568" s="76" t="str">
        <f>"""NAV Direct"",""CRONUS JetCorp USA"",""32"",""1"",""132496"""</f>
        <v>"NAV Direct","CRONUS JetCorp USA","32","1","132496"</v>
      </c>
      <c r="H568" s="86">
        <v>43466</v>
      </c>
      <c r="I568" s="85">
        <v>132496</v>
      </c>
      <c r="J568" s="84" t="str">
        <f>"Customer"</f>
        <v>Customer</v>
      </c>
      <c r="K568" s="84" t="str">
        <f>"C100040"</f>
        <v>C100040</v>
      </c>
      <c r="L568" s="84" t="str">
        <f>IF($J568="Customer",_xll.NL("first",$J568,"Name","No.","@@"&amp;$K568),"")</f>
        <v>Guildford Water Department</v>
      </c>
      <c r="M568" s="84" t="str">
        <f>""</f>
        <v/>
      </c>
      <c r="N568" s="84" t="str">
        <f>IF($J568="Item",_xll.NL("first",$J568,"Description","No.","@@"&amp;$K568),"")</f>
        <v/>
      </c>
      <c r="O568" s="83">
        <v>0</v>
      </c>
      <c r="P568" s="83">
        <v>-144</v>
      </c>
      <c r="Q568" s="83">
        <v>0</v>
      </c>
      <c r="R568" s="83">
        <v>0</v>
      </c>
      <c r="S568" s="83">
        <v>0</v>
      </c>
      <c r="T568" s="83">
        <v>0</v>
      </c>
      <c r="U568" s="82"/>
    </row>
    <row r="569" spans="1:21" ht="17.25" customHeight="1" x14ac:dyDescent="0.3">
      <c r="A569" s="66" t="s">
        <v>30</v>
      </c>
      <c r="C569" s="67"/>
      <c r="D569" s="77" t="str">
        <f t="shared" ref="D569:D570" si="344">D568</f>
        <v>S100019</v>
      </c>
      <c r="E569" s="77"/>
      <c r="F569" s="76"/>
      <c r="G569" s="76" t="str">
        <f>"""NAV Direct"",""CRONUS JetCorp USA"",""32"",""1"",""167110"""</f>
        <v>"NAV Direct","CRONUS JetCorp USA","32","1","167110"</v>
      </c>
      <c r="H569" s="86">
        <v>43466</v>
      </c>
      <c r="I569" s="85">
        <v>167110</v>
      </c>
      <c r="J569" s="84" t="str">
        <f>"Vendor"</f>
        <v>Vendor</v>
      </c>
      <c r="K569" s="84" t="str">
        <f>"V100007"</f>
        <v>V100007</v>
      </c>
      <c r="L569" s="84" t="str">
        <f>IF($J569="Customer",_xll.NL("first",$J569,"Name","No.","@@"&amp;$K569),"")</f>
        <v/>
      </c>
      <c r="M569" s="84" t="str">
        <f>"TrendTech"</f>
        <v>TrendTech</v>
      </c>
      <c r="N569" s="84" t="str">
        <f>IF($J569="Item",_xll.NL("first",$J569,"Description","No.","@@"&amp;$K569),"")</f>
        <v/>
      </c>
      <c r="O569" s="83">
        <v>400</v>
      </c>
      <c r="P569" s="83">
        <v>0</v>
      </c>
      <c r="Q569" s="83">
        <v>0</v>
      </c>
      <c r="R569" s="83">
        <v>0</v>
      </c>
      <c r="S569" s="83">
        <v>0</v>
      </c>
      <c r="T569" s="83">
        <v>0</v>
      </c>
      <c r="U569" s="82"/>
    </row>
    <row r="570" spans="1:21" ht="17.25" customHeight="1" x14ac:dyDescent="0.3">
      <c r="A570" s="66" t="s">
        <v>30</v>
      </c>
      <c r="C570" s="67"/>
      <c r="D570" s="77" t="str">
        <f t="shared" si="344"/>
        <v>S100019</v>
      </c>
      <c r="E570" s="77"/>
      <c r="F570" s="76"/>
      <c r="G570" s="76" t="str">
        <f>"""NAV Direct"",""CRONUS JetCorp USA"",""32"",""1"",""124591"""</f>
        <v>"NAV Direct","CRONUS JetCorp USA","32","1","124591"</v>
      </c>
      <c r="H570" s="86">
        <v>43475</v>
      </c>
      <c r="I570" s="85">
        <v>124591</v>
      </c>
      <c r="J570" s="84" t="str">
        <f>"Customer"</f>
        <v>Customer</v>
      </c>
      <c r="K570" s="84" t="str">
        <f>"C100035"</f>
        <v>C100035</v>
      </c>
      <c r="L570" s="84" t="str">
        <f>IF($J570="Customer",_xll.NL("first",$J570,"Name","No.","@@"&amp;$K570),"")</f>
        <v>First Touch Marketing</v>
      </c>
      <c r="M570" s="84" t="str">
        <f>""</f>
        <v/>
      </c>
      <c r="N570" s="84" t="str">
        <f>IF($J570="Item",_xll.NL("first",$J570,"Description","No.","@@"&amp;$K570),"")</f>
        <v/>
      </c>
      <c r="O570" s="83">
        <v>0</v>
      </c>
      <c r="P570" s="83">
        <v>-144</v>
      </c>
      <c r="Q570" s="83">
        <v>0</v>
      </c>
      <c r="R570" s="83">
        <v>0</v>
      </c>
      <c r="S570" s="83">
        <v>0</v>
      </c>
      <c r="T570" s="83">
        <v>0</v>
      </c>
      <c r="U570" s="82"/>
    </row>
    <row r="571" spans="1:21" ht="17.25" customHeight="1" x14ac:dyDescent="0.3">
      <c r="A571" s="66" t="s">
        <v>30</v>
      </c>
      <c r="C571" s="67"/>
      <c r="D571" s="77"/>
      <c r="E571" s="77"/>
      <c r="F571" s="76"/>
      <c r="G571" s="76"/>
      <c r="H571" s="76"/>
      <c r="I571" s="76"/>
      <c r="J571" s="76"/>
      <c r="K571" s="76"/>
      <c r="L571" s="76"/>
      <c r="M571" s="76"/>
      <c r="N571" s="76"/>
      <c r="O571" s="75"/>
      <c r="P571" s="75"/>
      <c r="Q571" s="75"/>
      <c r="R571" s="75"/>
      <c r="S571" s="75"/>
      <c r="T571" s="75"/>
      <c r="U571" s="74"/>
    </row>
    <row r="572" spans="1:21" ht="17.25" customHeight="1" x14ac:dyDescent="0.3">
      <c r="A572" s="66" t="s">
        <v>30</v>
      </c>
      <c r="C572" s="67"/>
      <c r="D572" s="77"/>
      <c r="E572" s="77" t="s">
        <v>31</v>
      </c>
      <c r="F572" s="76" t="s">
        <v>31</v>
      </c>
      <c r="G572" s="76" t="s">
        <v>31</v>
      </c>
      <c r="H572" s="76"/>
      <c r="I572" s="76"/>
      <c r="J572" s="76" t="s">
        <v>31</v>
      </c>
      <c r="K572" s="76" t="s">
        <v>31</v>
      </c>
      <c r="L572" s="76" t="s">
        <v>31</v>
      </c>
      <c r="M572" s="76" t="s">
        <v>31</v>
      </c>
      <c r="N572" s="76"/>
      <c r="U572" s="81"/>
    </row>
    <row r="573" spans="1:21" ht="20.25" customHeight="1" x14ac:dyDescent="0.35">
      <c r="A573" s="66" t="s">
        <v>30</v>
      </c>
      <c r="C573" s="67"/>
      <c r="D573" s="92" t="str">
        <f t="shared" ref="D573" si="345">E573</f>
        <v>S100020</v>
      </c>
      <c r="E573" s="91" t="str">
        <f>"S100020"</f>
        <v>S100020</v>
      </c>
      <c r="F573" s="89" t="str">
        <f>"Super Sport Stopwatch"</f>
        <v>Super Sport Stopwatch</v>
      </c>
      <c r="G573" s="89"/>
      <c r="H573" s="90" t="str">
        <f>"EA"</f>
        <v>EA</v>
      </c>
      <c r="I573" s="89"/>
      <c r="J573" s="89"/>
      <c r="K573" s="89"/>
      <c r="L573" s="89"/>
      <c r="M573" s="89"/>
      <c r="N573" s="89"/>
      <c r="O573" s="88">
        <f>(SUBTOTAL(9,O574:O580))</f>
        <v>600</v>
      </c>
      <c r="P573" s="88">
        <f>(SUBTOTAL(9,P574:P580))</f>
        <v>-588</v>
      </c>
      <c r="Q573" s="88">
        <f>(SUBTOTAL(9,Q574:Q580))</f>
        <v>0</v>
      </c>
      <c r="R573" s="88">
        <f>(SUBTOTAL(9,R574:R580))</f>
        <v>0</v>
      </c>
      <c r="S573" s="88">
        <f>(SUBTOTAL(9,S574:S580))</f>
        <v>0</v>
      </c>
      <c r="T573" s="88">
        <f>(SUBTOTAL(9,T574:T580))</f>
        <v>0</v>
      </c>
      <c r="U573" s="87">
        <f t="shared" ref="U573" si="346">SUBTOTAL(9,O574:T580)</f>
        <v>12</v>
      </c>
    </row>
    <row r="574" spans="1:21" ht="17.25" customHeight="1" x14ac:dyDescent="0.3">
      <c r="A574" s="66" t="s">
        <v>30</v>
      </c>
      <c r="C574" s="67"/>
      <c r="D574" s="77" t="str">
        <f t="shared" ref="D574" si="347">D573</f>
        <v>S100020</v>
      </c>
      <c r="E574" s="77"/>
      <c r="F574" s="76"/>
      <c r="G574" s="76" t="str">
        <f>"""NAV Direct"",""CRONUS JetCorp USA"",""32"",""1"",""132505"""</f>
        <v>"NAV Direct","CRONUS JetCorp USA","32","1","132505"</v>
      </c>
      <c r="H574" s="86">
        <v>43466</v>
      </c>
      <c r="I574" s="85">
        <v>132505</v>
      </c>
      <c r="J574" s="84" t="str">
        <f>"Customer"</f>
        <v>Customer</v>
      </c>
      <c r="K574" s="84" t="str">
        <f>"C100040"</f>
        <v>C100040</v>
      </c>
      <c r="L574" s="84" t="str">
        <f>IF($J574="Customer",_xll.NL("first",$J574,"Name","No.","@@"&amp;$K574),"")</f>
        <v>Guildford Water Department</v>
      </c>
      <c r="M574" s="84" t="str">
        <f>""</f>
        <v/>
      </c>
      <c r="N574" s="84" t="str">
        <f>IF($J574="Item",_xll.NL("first",$J574,"Description","No.","@@"&amp;$K574),"")</f>
        <v/>
      </c>
      <c r="O574" s="83">
        <v>0</v>
      </c>
      <c r="P574" s="83">
        <v>-12</v>
      </c>
      <c r="Q574" s="83">
        <v>0</v>
      </c>
      <c r="R574" s="83">
        <v>0</v>
      </c>
      <c r="S574" s="83">
        <v>0</v>
      </c>
      <c r="T574" s="83">
        <v>0</v>
      </c>
      <c r="U574" s="82"/>
    </row>
    <row r="575" spans="1:21" ht="17.25" customHeight="1" x14ac:dyDescent="0.3">
      <c r="A575" s="66" t="s">
        <v>30</v>
      </c>
      <c r="C575" s="67"/>
      <c r="D575" s="77" t="str">
        <f t="shared" ref="D575:D579" si="348">D574</f>
        <v>S100020</v>
      </c>
      <c r="E575" s="77"/>
      <c r="F575" s="76"/>
      <c r="G575" s="76" t="str">
        <f>"""NAV Direct"",""CRONUS JetCorp USA"",""32"",""1"",""167550"""</f>
        <v>"NAV Direct","CRONUS JetCorp USA","32","1","167550"</v>
      </c>
      <c r="H575" s="86">
        <v>43466</v>
      </c>
      <c r="I575" s="85">
        <v>167550</v>
      </c>
      <c r="J575" s="84" t="str">
        <f>"Vendor"</f>
        <v>Vendor</v>
      </c>
      <c r="K575" s="84" t="str">
        <f>"V100007"</f>
        <v>V100007</v>
      </c>
      <c r="L575" s="84" t="str">
        <f>IF($J575="Customer",_xll.NL("first",$J575,"Name","No.","@@"&amp;$K575),"")</f>
        <v/>
      </c>
      <c r="M575" s="84" t="str">
        <f>"TrendTech"</f>
        <v>TrendTech</v>
      </c>
      <c r="N575" s="84" t="str">
        <f>IF($J575="Item",_xll.NL("first",$J575,"Description","No.","@@"&amp;$K575),"")</f>
        <v/>
      </c>
      <c r="O575" s="83">
        <v>600</v>
      </c>
      <c r="P575" s="83">
        <v>0</v>
      </c>
      <c r="Q575" s="83">
        <v>0</v>
      </c>
      <c r="R575" s="83">
        <v>0</v>
      </c>
      <c r="S575" s="83">
        <v>0</v>
      </c>
      <c r="T575" s="83">
        <v>0</v>
      </c>
      <c r="U575" s="82"/>
    </row>
    <row r="576" spans="1:21" ht="17.25" customHeight="1" x14ac:dyDescent="0.3">
      <c r="A576" s="66" t="s">
        <v>30</v>
      </c>
      <c r="C576" s="67"/>
      <c r="D576" s="77" t="str">
        <f t="shared" si="348"/>
        <v>S100020</v>
      </c>
      <c r="E576" s="77"/>
      <c r="F576" s="76"/>
      <c r="G576" s="76" t="str">
        <f>"""NAV Direct"",""CRONUS JetCorp USA"",""32"",""1"",""124516"""</f>
        <v>"NAV Direct","CRONUS JetCorp USA","32","1","124516"</v>
      </c>
      <c r="H576" s="86">
        <v>43470</v>
      </c>
      <c r="I576" s="85">
        <v>124516</v>
      </c>
      <c r="J576" s="84" t="str">
        <f>"Customer"</f>
        <v>Customer</v>
      </c>
      <c r="K576" s="84" t="str">
        <f>"C100025"</f>
        <v>C100025</v>
      </c>
      <c r="L576" s="84" t="str">
        <f>IF($J576="Customer",_xll.NL("first",$J576,"Name","No.","@@"&amp;$K576),"")</f>
        <v>Derringers Resturants</v>
      </c>
      <c r="M576" s="84" t="str">
        <f>""</f>
        <v/>
      </c>
      <c r="N576" s="84" t="str">
        <f>IF($J576="Item",_xll.NL("first",$J576,"Description","No.","@@"&amp;$K576),"")</f>
        <v/>
      </c>
      <c r="O576" s="83">
        <v>0</v>
      </c>
      <c r="P576" s="83">
        <v>-144</v>
      </c>
      <c r="Q576" s="83">
        <v>0</v>
      </c>
      <c r="R576" s="83">
        <v>0</v>
      </c>
      <c r="S576" s="83">
        <v>0</v>
      </c>
      <c r="T576" s="83">
        <v>0</v>
      </c>
      <c r="U576" s="82"/>
    </row>
    <row r="577" spans="1:21" ht="17.25" customHeight="1" x14ac:dyDescent="0.3">
      <c r="A577" s="66" t="s">
        <v>30</v>
      </c>
      <c r="C577" s="67"/>
      <c r="D577" s="77" t="str">
        <f t="shared" si="348"/>
        <v>S100020</v>
      </c>
      <c r="E577" s="77"/>
      <c r="F577" s="76"/>
      <c r="G577" s="76" t="str">
        <f>"""NAV Direct"",""CRONUS JetCorp USA"",""32"",""1"",""142552"""</f>
        <v>"NAV Direct","CRONUS JetCorp USA","32","1","142552"</v>
      </c>
      <c r="H577" s="86">
        <v>43472</v>
      </c>
      <c r="I577" s="85">
        <v>142552</v>
      </c>
      <c r="J577" s="84" t="str">
        <f>"Customer"</f>
        <v>Customer</v>
      </c>
      <c r="K577" s="84" t="str">
        <f>"C100100"</f>
        <v>C100100</v>
      </c>
      <c r="L577" s="84" t="str">
        <f>IF($J577="Customer",_xll.NL("first",$J577,"Name","No.","@@"&amp;$K577),"")</f>
        <v>Keybase, Inc.</v>
      </c>
      <c r="M577" s="84" t="str">
        <f>""</f>
        <v/>
      </c>
      <c r="N577" s="84" t="str">
        <f>IF($J577="Item",_xll.NL("first",$J577,"Description","No.","@@"&amp;$K577),"")</f>
        <v/>
      </c>
      <c r="O577" s="83">
        <v>0</v>
      </c>
      <c r="P577" s="83">
        <v>-144</v>
      </c>
      <c r="Q577" s="83">
        <v>0</v>
      </c>
      <c r="R577" s="83">
        <v>0</v>
      </c>
      <c r="S577" s="83">
        <v>0</v>
      </c>
      <c r="T577" s="83">
        <v>0</v>
      </c>
      <c r="U577" s="82"/>
    </row>
    <row r="578" spans="1:21" ht="17.25" customHeight="1" x14ac:dyDescent="0.3">
      <c r="A578" s="66" t="s">
        <v>30</v>
      </c>
      <c r="C578" s="67"/>
      <c r="D578" s="77" t="str">
        <f t="shared" si="348"/>
        <v>S100020</v>
      </c>
      <c r="E578" s="77"/>
      <c r="F578" s="76"/>
      <c r="G578" s="76" t="str">
        <f>"""NAV Direct"",""CRONUS JetCorp USA"",""32"",""1"",""30050"""</f>
        <v>"NAV Direct","CRONUS JetCorp USA","32","1","30050"</v>
      </c>
      <c r="H578" s="86">
        <v>43474</v>
      </c>
      <c r="I578" s="85">
        <v>30050</v>
      </c>
      <c r="J578" s="84" t="str">
        <f>"Customer"</f>
        <v>Customer</v>
      </c>
      <c r="K578" s="84" t="str">
        <f>"C100086"</f>
        <v>C100086</v>
      </c>
      <c r="L578" s="84" t="str">
        <f>IF($J578="Customer",_xll.NL("first",$J578,"Name","No.","@@"&amp;$K578),"")</f>
        <v>Top Action Sports</v>
      </c>
      <c r="M578" s="84" t="str">
        <f>""</f>
        <v/>
      </c>
      <c r="N578" s="84" t="str">
        <f>IF($J578="Item",_xll.NL("first",$J578,"Description","No.","@@"&amp;$K578),"")</f>
        <v/>
      </c>
      <c r="O578" s="83">
        <v>0</v>
      </c>
      <c r="P578" s="83">
        <v>-144</v>
      </c>
      <c r="Q578" s="83">
        <v>0</v>
      </c>
      <c r="R578" s="83">
        <v>0</v>
      </c>
      <c r="S578" s="83">
        <v>0</v>
      </c>
      <c r="T578" s="83">
        <v>0</v>
      </c>
      <c r="U578" s="82"/>
    </row>
    <row r="579" spans="1:21" ht="17.25" customHeight="1" x14ac:dyDescent="0.3">
      <c r="A579" s="66" t="s">
        <v>30</v>
      </c>
      <c r="C579" s="67"/>
      <c r="D579" s="77" t="str">
        <f t="shared" si="348"/>
        <v>S100020</v>
      </c>
      <c r="E579" s="77"/>
      <c r="F579" s="76"/>
      <c r="G579" s="76" t="str">
        <f>"""NAV Direct"",""CRONUS JetCorp USA"",""32"",""1"",""30062"""</f>
        <v>"NAV Direct","CRONUS JetCorp USA","32","1","30062"</v>
      </c>
      <c r="H579" s="86">
        <v>43474</v>
      </c>
      <c r="I579" s="85">
        <v>30062</v>
      </c>
      <c r="J579" s="84" t="str">
        <f>"Customer"</f>
        <v>Customer</v>
      </c>
      <c r="K579" s="84" t="str">
        <f>"C100086"</f>
        <v>C100086</v>
      </c>
      <c r="L579" s="84" t="str">
        <f>IF($J579="Customer",_xll.NL("first",$J579,"Name","No.","@@"&amp;$K579),"")</f>
        <v>Top Action Sports</v>
      </c>
      <c r="M579" s="84" t="str">
        <f>""</f>
        <v/>
      </c>
      <c r="N579" s="84" t="str">
        <f>IF($J579="Item",_xll.NL("first",$J579,"Description","No.","@@"&amp;$K579),"")</f>
        <v/>
      </c>
      <c r="O579" s="83">
        <v>0</v>
      </c>
      <c r="P579" s="83">
        <v>-144</v>
      </c>
      <c r="Q579" s="83">
        <v>0</v>
      </c>
      <c r="R579" s="83">
        <v>0</v>
      </c>
      <c r="S579" s="83">
        <v>0</v>
      </c>
      <c r="T579" s="83">
        <v>0</v>
      </c>
      <c r="U579" s="82"/>
    </row>
    <row r="580" spans="1:21" ht="17.25" customHeight="1" x14ac:dyDescent="0.3">
      <c r="A580" s="66" t="s">
        <v>30</v>
      </c>
      <c r="C580" s="67"/>
      <c r="D580" s="77"/>
      <c r="E580" s="77"/>
      <c r="F580" s="76"/>
      <c r="G580" s="76"/>
      <c r="H580" s="76"/>
      <c r="I580" s="76"/>
      <c r="J580" s="76"/>
      <c r="K580" s="76"/>
      <c r="L580" s="76"/>
      <c r="M580" s="76"/>
      <c r="N580" s="76"/>
      <c r="O580" s="75"/>
      <c r="P580" s="75"/>
      <c r="Q580" s="75"/>
      <c r="R580" s="75"/>
      <c r="S580" s="75"/>
      <c r="T580" s="75"/>
      <c r="U580" s="74"/>
    </row>
    <row r="581" spans="1:21" ht="17.25" customHeight="1" x14ac:dyDescent="0.3">
      <c r="A581" s="66" t="s">
        <v>30</v>
      </c>
      <c r="C581" s="67"/>
      <c r="D581" s="77"/>
      <c r="E581" s="77" t="s">
        <v>31</v>
      </c>
      <c r="F581" s="76" t="s">
        <v>31</v>
      </c>
      <c r="G581" s="76" t="s">
        <v>31</v>
      </c>
      <c r="H581" s="76"/>
      <c r="I581" s="76"/>
      <c r="J581" s="76" t="s">
        <v>31</v>
      </c>
      <c r="K581" s="76" t="s">
        <v>31</v>
      </c>
      <c r="L581" s="76" t="s">
        <v>31</v>
      </c>
      <c r="M581" s="76" t="s">
        <v>31</v>
      </c>
      <c r="N581" s="76"/>
      <c r="U581" s="81"/>
    </row>
    <row r="582" spans="1:21" ht="20.25" customHeight="1" x14ac:dyDescent="0.35">
      <c r="A582" s="66" t="s">
        <v>30</v>
      </c>
      <c r="C582" s="67"/>
      <c r="D582" s="92" t="str">
        <f t="shared" ref="D582" si="349">E582</f>
        <v>S100021</v>
      </c>
      <c r="E582" s="91" t="str">
        <f>"S100021"</f>
        <v>S100021</v>
      </c>
      <c r="F582" s="89" t="str">
        <f>"Translucent Stopwatch"</f>
        <v>Translucent Stopwatch</v>
      </c>
      <c r="G582" s="89"/>
      <c r="H582" s="90" t="str">
        <f>"EA"</f>
        <v>EA</v>
      </c>
      <c r="I582" s="89"/>
      <c r="J582" s="89"/>
      <c r="K582" s="89"/>
      <c r="L582" s="89"/>
      <c r="M582" s="89"/>
      <c r="N582" s="89"/>
      <c r="O582" s="88">
        <f>(SUBTOTAL(9,O583:O589))</f>
        <v>1200</v>
      </c>
      <c r="P582" s="88">
        <f>(SUBTOTAL(9,P583:P589))</f>
        <v>-866</v>
      </c>
      <c r="Q582" s="88">
        <f>(SUBTOTAL(9,Q583:Q589))</f>
        <v>0</v>
      </c>
      <c r="R582" s="88">
        <f>(SUBTOTAL(9,R583:R589))</f>
        <v>0</v>
      </c>
      <c r="S582" s="88">
        <f>(SUBTOTAL(9,S583:S589))</f>
        <v>0</v>
      </c>
      <c r="T582" s="88">
        <f>(SUBTOTAL(9,T583:T589))</f>
        <v>0</v>
      </c>
      <c r="U582" s="87">
        <f t="shared" ref="U582" si="350">SUBTOTAL(9,O583:T589)</f>
        <v>334</v>
      </c>
    </row>
    <row r="583" spans="1:21" ht="17.25" customHeight="1" x14ac:dyDescent="0.3">
      <c r="A583" s="66" t="s">
        <v>30</v>
      </c>
      <c r="C583" s="67"/>
      <c r="D583" s="77" t="str">
        <f t="shared" ref="D583" si="351">D582</f>
        <v>S100021</v>
      </c>
      <c r="E583" s="77"/>
      <c r="F583" s="76"/>
      <c r="G583" s="76" t="str">
        <f>"""NAV Direct"",""CRONUS JetCorp USA"",""32"",""1"",""167549"""</f>
        <v>"NAV Direct","CRONUS JetCorp USA","32","1","167549"</v>
      </c>
      <c r="H583" s="86">
        <v>43466</v>
      </c>
      <c r="I583" s="85">
        <v>167549</v>
      </c>
      <c r="J583" s="84" t="str">
        <f>"Vendor"</f>
        <v>Vendor</v>
      </c>
      <c r="K583" s="84" t="str">
        <f>"V100007"</f>
        <v>V100007</v>
      </c>
      <c r="L583" s="84" t="str">
        <f>IF($J583="Customer",_xll.NL("first",$J583,"Name","No.","@@"&amp;$K583),"")</f>
        <v/>
      </c>
      <c r="M583" s="84" t="str">
        <f>"TrendTech"</f>
        <v>TrendTech</v>
      </c>
      <c r="N583" s="84" t="str">
        <f>IF($J583="Item",_xll.NL("first",$J583,"Description","No.","@@"&amp;$K583),"")</f>
        <v/>
      </c>
      <c r="O583" s="83">
        <v>1200</v>
      </c>
      <c r="P583" s="83">
        <v>0</v>
      </c>
      <c r="Q583" s="83">
        <v>0</v>
      </c>
      <c r="R583" s="83">
        <v>0</v>
      </c>
      <c r="S583" s="83">
        <v>0</v>
      </c>
      <c r="T583" s="83">
        <v>0</v>
      </c>
      <c r="U583" s="82"/>
    </row>
    <row r="584" spans="1:21" ht="17.25" customHeight="1" x14ac:dyDescent="0.3">
      <c r="A584" s="66" t="s">
        <v>30</v>
      </c>
      <c r="C584" s="67"/>
      <c r="D584" s="77" t="str">
        <f t="shared" ref="D584:D588" si="352">D583</f>
        <v>S100021</v>
      </c>
      <c r="E584" s="77"/>
      <c r="F584" s="76"/>
      <c r="G584" s="76" t="str">
        <f>"""NAV Direct"",""CRONUS JetCorp USA"",""32"",""1"",""124514"""</f>
        <v>"NAV Direct","CRONUS JetCorp USA","32","1","124514"</v>
      </c>
      <c r="H584" s="86">
        <v>43470</v>
      </c>
      <c r="I584" s="85">
        <v>124514</v>
      </c>
      <c r="J584" s="84" t="str">
        <f>"Customer"</f>
        <v>Customer</v>
      </c>
      <c r="K584" s="84" t="str">
        <f>"C100025"</f>
        <v>C100025</v>
      </c>
      <c r="L584" s="84" t="str">
        <f>IF($J584="Customer",_xll.NL("first",$J584,"Name","No.","@@"&amp;$K584),"")</f>
        <v>Derringers Resturants</v>
      </c>
      <c r="M584" s="84" t="str">
        <f>""</f>
        <v/>
      </c>
      <c r="N584" s="84" t="str">
        <f>IF($J584="Item",_xll.NL("first",$J584,"Description","No.","@@"&amp;$K584),"")</f>
        <v/>
      </c>
      <c r="O584" s="83">
        <v>0</v>
      </c>
      <c r="P584" s="83">
        <v>-144</v>
      </c>
      <c r="Q584" s="83">
        <v>0</v>
      </c>
      <c r="R584" s="83">
        <v>0</v>
      </c>
      <c r="S584" s="83">
        <v>0</v>
      </c>
      <c r="T584" s="83">
        <v>0</v>
      </c>
      <c r="U584" s="82"/>
    </row>
    <row r="585" spans="1:21" ht="17.25" customHeight="1" x14ac:dyDescent="0.3">
      <c r="A585" s="66" t="s">
        <v>30</v>
      </c>
      <c r="C585" s="67"/>
      <c r="D585" s="77" t="str">
        <f t="shared" si="352"/>
        <v>S100021</v>
      </c>
      <c r="E585" s="77"/>
      <c r="F585" s="76"/>
      <c r="G585" s="76" t="str">
        <f>"""NAV Direct"",""CRONUS JetCorp USA"",""32"",""1"",""25255"""</f>
        <v>"NAV Direct","CRONUS JetCorp USA","32","1","25255"</v>
      </c>
      <c r="H585" s="86">
        <v>43472</v>
      </c>
      <c r="I585" s="85">
        <v>25255</v>
      </c>
      <c r="J585" s="84" t="str">
        <f>"Customer"</f>
        <v>Customer</v>
      </c>
      <c r="K585" s="84" t="str">
        <f>"C100098"</f>
        <v>C100098</v>
      </c>
      <c r="L585" s="84" t="str">
        <f>IF($J585="Customer",_xll.NL("first",$J585,"Name","No.","@@"&amp;$K585),"")</f>
        <v>BlackCane Motor Works</v>
      </c>
      <c r="M585" s="84" t="str">
        <f>""</f>
        <v/>
      </c>
      <c r="N585" s="84" t="str">
        <f>IF($J585="Item",_xll.NL("first",$J585,"Description","No.","@@"&amp;$K585),"")</f>
        <v/>
      </c>
      <c r="O585" s="83">
        <v>0</v>
      </c>
      <c r="P585" s="83">
        <v>-144</v>
      </c>
      <c r="Q585" s="83">
        <v>0</v>
      </c>
      <c r="R585" s="83">
        <v>0</v>
      </c>
      <c r="S585" s="83">
        <v>0</v>
      </c>
      <c r="T585" s="83">
        <v>0</v>
      </c>
      <c r="U585" s="82"/>
    </row>
    <row r="586" spans="1:21" ht="17.25" customHeight="1" x14ac:dyDescent="0.3">
      <c r="A586" s="66" t="s">
        <v>30</v>
      </c>
      <c r="C586" s="67"/>
      <c r="D586" s="77" t="str">
        <f t="shared" si="352"/>
        <v>S100021</v>
      </c>
      <c r="E586" s="77"/>
      <c r="F586" s="76"/>
      <c r="G586" s="76" t="str">
        <f>"""NAV Direct"",""CRONUS JetCorp USA"",""32"",""1"",""124543"""</f>
        <v>"NAV Direct","CRONUS JetCorp USA","32","1","124543"</v>
      </c>
      <c r="H586" s="86">
        <v>43473</v>
      </c>
      <c r="I586" s="85">
        <v>124543</v>
      </c>
      <c r="J586" s="84" t="str">
        <f>"Customer"</f>
        <v>Customer</v>
      </c>
      <c r="K586" s="84" t="str">
        <f>"C100035"</f>
        <v>C100035</v>
      </c>
      <c r="L586" s="84" t="str">
        <f>IF($J586="Customer",_xll.NL("first",$J586,"Name","No.","@@"&amp;$K586),"")</f>
        <v>First Touch Marketing</v>
      </c>
      <c r="M586" s="84" t="str">
        <f>""</f>
        <v/>
      </c>
      <c r="N586" s="84" t="str">
        <f>IF($J586="Item",_xll.NL("first",$J586,"Description","No.","@@"&amp;$K586),"")</f>
        <v/>
      </c>
      <c r="O586" s="83">
        <v>0</v>
      </c>
      <c r="P586" s="83">
        <v>-289</v>
      </c>
      <c r="Q586" s="83">
        <v>0</v>
      </c>
      <c r="R586" s="83">
        <v>0</v>
      </c>
      <c r="S586" s="83">
        <v>0</v>
      </c>
      <c r="T586" s="83">
        <v>0</v>
      </c>
      <c r="U586" s="82"/>
    </row>
    <row r="587" spans="1:21" ht="17.25" customHeight="1" x14ac:dyDescent="0.3">
      <c r="A587" s="66" t="s">
        <v>30</v>
      </c>
      <c r="C587" s="67"/>
      <c r="D587" s="77" t="str">
        <f t="shared" si="352"/>
        <v>S100021</v>
      </c>
      <c r="E587" s="77"/>
      <c r="F587" s="76"/>
      <c r="G587" s="76" t="str">
        <f>"""NAV Direct"",""CRONUS JetCorp USA"",""32"",""1"",""30061"""</f>
        <v>"NAV Direct","CRONUS JetCorp USA","32","1","30061"</v>
      </c>
      <c r="H587" s="86">
        <v>43474</v>
      </c>
      <c r="I587" s="85">
        <v>30061</v>
      </c>
      <c r="J587" s="84" t="str">
        <f>"Customer"</f>
        <v>Customer</v>
      </c>
      <c r="K587" s="84" t="str">
        <f>"C100086"</f>
        <v>C100086</v>
      </c>
      <c r="L587" s="84" t="str">
        <f>IF($J587="Customer",_xll.NL("first",$J587,"Name","No.","@@"&amp;$K587),"")</f>
        <v>Top Action Sports</v>
      </c>
      <c r="M587" s="84" t="str">
        <f>""</f>
        <v/>
      </c>
      <c r="N587" s="84" t="str">
        <f>IF($J587="Item",_xll.NL("first",$J587,"Description","No.","@@"&amp;$K587),"")</f>
        <v/>
      </c>
      <c r="O587" s="83">
        <v>0</v>
      </c>
      <c r="P587" s="83">
        <v>-144</v>
      </c>
      <c r="Q587" s="83">
        <v>0</v>
      </c>
      <c r="R587" s="83">
        <v>0</v>
      </c>
      <c r="S587" s="83">
        <v>0</v>
      </c>
      <c r="T587" s="83">
        <v>0</v>
      </c>
      <c r="U587" s="82"/>
    </row>
    <row r="588" spans="1:21" ht="17.25" customHeight="1" x14ac:dyDescent="0.3">
      <c r="A588" s="66" t="s">
        <v>30</v>
      </c>
      <c r="C588" s="67"/>
      <c r="D588" s="77" t="str">
        <f t="shared" si="352"/>
        <v>S100021</v>
      </c>
      <c r="E588" s="77"/>
      <c r="F588" s="76"/>
      <c r="G588" s="76" t="str">
        <f>"""NAV Direct"",""CRONUS JetCorp USA"",""32"",""1"",""124592"""</f>
        <v>"NAV Direct","CRONUS JetCorp USA","32","1","124592"</v>
      </c>
      <c r="H588" s="86">
        <v>43475</v>
      </c>
      <c r="I588" s="85">
        <v>124592</v>
      </c>
      <c r="J588" s="84" t="str">
        <f>"Customer"</f>
        <v>Customer</v>
      </c>
      <c r="K588" s="84" t="str">
        <f>"C100035"</f>
        <v>C100035</v>
      </c>
      <c r="L588" s="84" t="str">
        <f>IF($J588="Customer",_xll.NL("first",$J588,"Name","No.","@@"&amp;$K588),"")</f>
        <v>First Touch Marketing</v>
      </c>
      <c r="M588" s="84" t="str">
        <f>""</f>
        <v/>
      </c>
      <c r="N588" s="84" t="str">
        <f>IF($J588="Item",_xll.NL("first",$J588,"Description","No.","@@"&amp;$K588),"")</f>
        <v/>
      </c>
      <c r="O588" s="83">
        <v>0</v>
      </c>
      <c r="P588" s="83">
        <v>-145</v>
      </c>
      <c r="Q588" s="83">
        <v>0</v>
      </c>
      <c r="R588" s="83">
        <v>0</v>
      </c>
      <c r="S588" s="83">
        <v>0</v>
      </c>
      <c r="T588" s="83">
        <v>0</v>
      </c>
      <c r="U588" s="82"/>
    </row>
    <row r="589" spans="1:21" ht="17.25" customHeight="1" x14ac:dyDescent="0.3">
      <c r="A589" s="66" t="s">
        <v>30</v>
      </c>
      <c r="C589" s="67"/>
      <c r="D589" s="77"/>
      <c r="E589" s="77"/>
      <c r="F589" s="76"/>
      <c r="G589" s="76"/>
      <c r="H589" s="76"/>
      <c r="I589" s="76"/>
      <c r="J589" s="76"/>
      <c r="K589" s="76"/>
      <c r="L589" s="76"/>
      <c r="M589" s="76"/>
      <c r="N589" s="76"/>
      <c r="O589" s="75"/>
      <c r="P589" s="75"/>
      <c r="Q589" s="75"/>
      <c r="R589" s="75"/>
      <c r="S589" s="75"/>
      <c r="T589" s="75"/>
      <c r="U589" s="74"/>
    </row>
    <row r="590" spans="1:21" ht="17.25" customHeight="1" x14ac:dyDescent="0.3">
      <c r="A590" s="66" t="s">
        <v>30</v>
      </c>
      <c r="C590" s="67"/>
      <c r="D590" s="77"/>
      <c r="E590" s="77" t="s">
        <v>31</v>
      </c>
      <c r="F590" s="76" t="s">
        <v>31</v>
      </c>
      <c r="G590" s="76" t="s">
        <v>31</v>
      </c>
      <c r="H590" s="76"/>
      <c r="I590" s="76"/>
      <c r="J590" s="76" t="s">
        <v>31</v>
      </c>
      <c r="K590" s="76" t="s">
        <v>31</v>
      </c>
      <c r="L590" s="76" t="s">
        <v>31</v>
      </c>
      <c r="M590" s="76" t="s">
        <v>31</v>
      </c>
      <c r="N590" s="76"/>
      <c r="U590" s="81"/>
    </row>
    <row r="591" spans="1:21" ht="20.25" customHeight="1" x14ac:dyDescent="0.35">
      <c r="A591" s="66" t="s">
        <v>30</v>
      </c>
      <c r="C591" s="67"/>
      <c r="D591" s="92" t="str">
        <f t="shared" ref="D591" si="353">E591</f>
        <v>S100025</v>
      </c>
      <c r="E591" s="91" t="str">
        <f>"S100025"</f>
        <v>S100025</v>
      </c>
      <c r="F591" s="89" t="str">
        <f>"SPORT BOT with Pop Lid"</f>
        <v>SPORT BOT with Pop Lid</v>
      </c>
      <c r="G591" s="89"/>
      <c r="H591" s="90" t="str">
        <f>"EA"</f>
        <v>EA</v>
      </c>
      <c r="I591" s="89"/>
      <c r="J591" s="89"/>
      <c r="K591" s="89"/>
      <c r="L591" s="89"/>
      <c r="M591" s="89"/>
      <c r="N591" s="89"/>
      <c r="O591" s="88">
        <f>(SUBTOTAL(9,O592:O593))</f>
        <v>249.99999999999997</v>
      </c>
      <c r="P591" s="88">
        <f>(SUBTOTAL(9,P592:P593))</f>
        <v>0</v>
      </c>
      <c r="Q591" s="88">
        <f>(SUBTOTAL(9,Q592:Q593))</f>
        <v>0</v>
      </c>
      <c r="R591" s="88">
        <f>(SUBTOTAL(9,R592:R593))</f>
        <v>0</v>
      </c>
      <c r="S591" s="88">
        <f>(SUBTOTAL(9,S592:S593))</f>
        <v>0</v>
      </c>
      <c r="T591" s="88">
        <f>(SUBTOTAL(9,T592:T593))</f>
        <v>0</v>
      </c>
      <c r="U591" s="87">
        <f t="shared" ref="U591" si="354">SUBTOTAL(9,O592:T593)</f>
        <v>249.99999999999997</v>
      </c>
    </row>
    <row r="592" spans="1:21" ht="17.25" customHeight="1" x14ac:dyDescent="0.3">
      <c r="A592" s="66" t="s">
        <v>30</v>
      </c>
      <c r="C592" s="67"/>
      <c r="D592" s="77" t="str">
        <f t="shared" ref="D592:D622" si="355">D591</f>
        <v>S100025</v>
      </c>
      <c r="E592" s="77"/>
      <c r="F592" s="76"/>
      <c r="G592" s="76" t="str">
        <f>"""NAV Direct"",""CRONUS JetCorp USA"",""32"",""1"",""168624"""</f>
        <v>"NAV Direct","CRONUS JetCorp USA","32","1","168624"</v>
      </c>
      <c r="H592" s="86">
        <v>43466</v>
      </c>
      <c r="I592" s="85">
        <v>168624</v>
      </c>
      <c r="J592" s="84" t="str">
        <f>"Vendor"</f>
        <v>Vendor</v>
      </c>
      <c r="K592" s="84" t="str">
        <f>"V100007"</f>
        <v>V100007</v>
      </c>
      <c r="L592" s="84" t="str">
        <f>IF($J592="Customer",_xll.NL("first",$J592,"Name","No.","@@"&amp;$K592),"")</f>
        <v/>
      </c>
      <c r="M592" s="84" t="str">
        <f>"TrendTech"</f>
        <v>TrendTech</v>
      </c>
      <c r="N592" s="84" t="str">
        <f>IF($J592="Item",_xll.NL("first",$J592,"Description","No.","@@"&amp;$K592),"")</f>
        <v/>
      </c>
      <c r="O592" s="83">
        <v>249.99999999999997</v>
      </c>
      <c r="P592" s="83">
        <v>0</v>
      </c>
      <c r="Q592" s="83">
        <v>0</v>
      </c>
      <c r="R592" s="83">
        <v>0</v>
      </c>
      <c r="S592" s="83">
        <v>0</v>
      </c>
      <c r="T592" s="83">
        <v>0</v>
      </c>
      <c r="U592" s="82"/>
    </row>
    <row r="593" spans="1:21" ht="17.25" customHeight="1" x14ac:dyDescent="0.3">
      <c r="A593" s="66" t="s">
        <v>30</v>
      </c>
      <c r="C593" s="67"/>
      <c r="D593" s="77"/>
      <c r="E593" s="77"/>
      <c r="F593" s="76"/>
      <c r="G593" s="76"/>
      <c r="H593" s="76"/>
      <c r="I593" s="76"/>
      <c r="J593" s="76"/>
      <c r="K593" s="76"/>
      <c r="L593" s="76"/>
      <c r="M593" s="76"/>
      <c r="N593" s="76"/>
      <c r="O593" s="75"/>
      <c r="P593" s="75"/>
      <c r="Q593" s="75"/>
      <c r="R593" s="75"/>
      <c r="S593" s="75"/>
      <c r="T593" s="75"/>
      <c r="U593" s="74"/>
    </row>
    <row r="594" spans="1:21" ht="17.25" customHeight="1" x14ac:dyDescent="0.3">
      <c r="A594" s="66" t="s">
        <v>30</v>
      </c>
      <c r="C594" s="67"/>
      <c r="D594" s="77"/>
      <c r="E594" s="77" t="s">
        <v>31</v>
      </c>
      <c r="F594" s="76" t="s">
        <v>31</v>
      </c>
      <c r="G594" s="76" t="s">
        <v>31</v>
      </c>
      <c r="H594" s="76"/>
      <c r="I594" s="76"/>
      <c r="J594" s="76" t="s">
        <v>31</v>
      </c>
      <c r="K594" s="76" t="s">
        <v>31</v>
      </c>
      <c r="L594" s="76" t="s">
        <v>31</v>
      </c>
      <c r="M594" s="76" t="s">
        <v>31</v>
      </c>
      <c r="N594" s="76"/>
      <c r="U594" s="81"/>
    </row>
    <row r="595" spans="1:21" ht="20.25" customHeight="1" x14ac:dyDescent="0.35">
      <c r="A595" s="66" t="s">
        <v>30</v>
      </c>
      <c r="C595" s="67"/>
      <c r="D595" s="92" t="str">
        <f t="shared" ref="D595" si="356">E595</f>
        <v>S100026</v>
      </c>
      <c r="E595" s="91" t="str">
        <f>"S100026"</f>
        <v>S100026</v>
      </c>
      <c r="F595" s="89" t="str">
        <f>"Wide SPORT BOT"</f>
        <v>Wide SPORT BOT</v>
      </c>
      <c r="G595" s="89"/>
      <c r="H595" s="90" t="str">
        <f>"EA"</f>
        <v>EA</v>
      </c>
      <c r="I595" s="89"/>
      <c r="J595" s="89"/>
      <c r="K595" s="89"/>
      <c r="L595" s="89"/>
      <c r="M595" s="89"/>
      <c r="N595" s="89"/>
      <c r="O595" s="88">
        <f>(SUBTOTAL(9,O596:O597))</f>
        <v>249.99999999999997</v>
      </c>
      <c r="P595" s="88">
        <f>(SUBTOTAL(9,P596:P597))</f>
        <v>0</v>
      </c>
      <c r="Q595" s="88">
        <f>(SUBTOTAL(9,Q596:Q597))</f>
        <v>0</v>
      </c>
      <c r="R595" s="88">
        <f>(SUBTOTAL(9,R596:R597))</f>
        <v>0</v>
      </c>
      <c r="S595" s="88">
        <f>(SUBTOTAL(9,S596:S597))</f>
        <v>0</v>
      </c>
      <c r="T595" s="88">
        <f>(SUBTOTAL(9,T596:T597))</f>
        <v>0</v>
      </c>
      <c r="U595" s="87">
        <f t="shared" ref="U595" si="357">SUBTOTAL(9,O596:T597)</f>
        <v>249.99999999999997</v>
      </c>
    </row>
    <row r="596" spans="1:21" ht="17.25" customHeight="1" x14ac:dyDescent="0.3">
      <c r="A596" s="66" t="s">
        <v>30</v>
      </c>
      <c r="C596" s="67"/>
      <c r="D596" s="77" t="str">
        <f t="shared" ref="D596:D622" si="358">D595</f>
        <v>S100026</v>
      </c>
      <c r="E596" s="77"/>
      <c r="F596" s="76"/>
      <c r="G596" s="76" t="str">
        <f>"""NAV Direct"",""CRONUS JetCorp USA"",""32"",""1"",""168623"""</f>
        <v>"NAV Direct","CRONUS JetCorp USA","32","1","168623"</v>
      </c>
      <c r="H596" s="86">
        <v>43466</v>
      </c>
      <c r="I596" s="85">
        <v>168623</v>
      </c>
      <c r="J596" s="84" t="str">
        <f>"Vendor"</f>
        <v>Vendor</v>
      </c>
      <c r="K596" s="84" t="str">
        <f>"V100007"</f>
        <v>V100007</v>
      </c>
      <c r="L596" s="84" t="str">
        <f>IF($J596="Customer",_xll.NL("first",$J596,"Name","No.","@@"&amp;$K596),"")</f>
        <v/>
      </c>
      <c r="M596" s="84" t="str">
        <f>"TrendTech"</f>
        <v>TrendTech</v>
      </c>
      <c r="N596" s="84" t="str">
        <f>IF($J596="Item",_xll.NL("first",$J596,"Description","No.","@@"&amp;$K596),"")</f>
        <v/>
      </c>
      <c r="O596" s="83">
        <v>249.99999999999997</v>
      </c>
      <c r="P596" s="83">
        <v>0</v>
      </c>
      <c r="Q596" s="83">
        <v>0</v>
      </c>
      <c r="R596" s="83">
        <v>0</v>
      </c>
      <c r="S596" s="83">
        <v>0</v>
      </c>
      <c r="T596" s="83">
        <v>0</v>
      </c>
      <c r="U596" s="82"/>
    </row>
    <row r="597" spans="1:21" ht="17.25" customHeight="1" x14ac:dyDescent="0.3">
      <c r="A597" s="66" t="s">
        <v>30</v>
      </c>
      <c r="C597" s="67"/>
      <c r="D597" s="77"/>
      <c r="E597" s="77"/>
      <c r="F597" s="76"/>
      <c r="G597" s="76"/>
      <c r="H597" s="76"/>
      <c r="I597" s="76"/>
      <c r="J597" s="76"/>
      <c r="K597" s="76"/>
      <c r="L597" s="76"/>
      <c r="M597" s="76"/>
      <c r="N597" s="76"/>
      <c r="O597" s="75"/>
      <c r="P597" s="75"/>
      <c r="Q597" s="75"/>
      <c r="R597" s="75"/>
      <c r="S597" s="75"/>
      <c r="T597" s="75"/>
      <c r="U597" s="74"/>
    </row>
    <row r="598" spans="1:21" ht="17.25" customHeight="1" x14ac:dyDescent="0.3">
      <c r="A598" s="66" t="s">
        <v>30</v>
      </c>
      <c r="C598" s="67"/>
      <c r="D598" s="77"/>
      <c r="E598" s="77" t="s">
        <v>31</v>
      </c>
      <c r="F598" s="76" t="s">
        <v>31</v>
      </c>
      <c r="G598" s="76" t="s">
        <v>31</v>
      </c>
      <c r="H598" s="76"/>
      <c r="I598" s="76"/>
      <c r="J598" s="76" t="s">
        <v>31</v>
      </c>
      <c r="K598" s="76" t="s">
        <v>31</v>
      </c>
      <c r="L598" s="76" t="s">
        <v>31</v>
      </c>
      <c r="M598" s="76" t="s">
        <v>31</v>
      </c>
      <c r="N598" s="76"/>
      <c r="U598" s="81"/>
    </row>
    <row r="599" spans="1:21" ht="20.25" customHeight="1" x14ac:dyDescent="0.35">
      <c r="A599" s="66" t="s">
        <v>30</v>
      </c>
      <c r="C599" s="67"/>
      <c r="D599" s="92" t="str">
        <f t="shared" ref="D599" si="359">E599</f>
        <v>S200006</v>
      </c>
      <c r="E599" s="91" t="str">
        <f>"S200006"</f>
        <v>S200006</v>
      </c>
      <c r="F599" s="89" t="str">
        <f>"3.75"" Soccer Trophy"</f>
        <v>3.75" Soccer Trophy</v>
      </c>
      <c r="G599" s="89"/>
      <c r="H599" s="90" t="str">
        <f>"EA"</f>
        <v>EA</v>
      </c>
      <c r="I599" s="89"/>
      <c r="J599" s="89"/>
      <c r="K599" s="89"/>
      <c r="L599" s="89"/>
      <c r="M599" s="89"/>
      <c r="N599" s="89"/>
      <c r="O599" s="88">
        <f>(SUBTOTAL(9,O600:O601))</f>
        <v>0</v>
      </c>
      <c r="P599" s="88">
        <f>(SUBTOTAL(9,P600:P601))</f>
        <v>-48</v>
      </c>
      <c r="Q599" s="88">
        <f>(SUBTOTAL(9,Q600:Q601))</f>
        <v>0</v>
      </c>
      <c r="R599" s="88">
        <f>(SUBTOTAL(9,R600:R601))</f>
        <v>0</v>
      </c>
      <c r="S599" s="88">
        <f>(SUBTOTAL(9,S600:S601))</f>
        <v>0</v>
      </c>
      <c r="T599" s="88">
        <f>(SUBTOTAL(9,T600:T601))</f>
        <v>0</v>
      </c>
      <c r="U599" s="87">
        <f t="shared" ref="U599" si="360">SUBTOTAL(9,O600:T601)</f>
        <v>-48</v>
      </c>
    </row>
    <row r="600" spans="1:21" ht="17.25" customHeight="1" x14ac:dyDescent="0.3">
      <c r="A600" s="66" t="s">
        <v>30</v>
      </c>
      <c r="C600" s="67"/>
      <c r="D600" s="77" t="str">
        <f t="shared" ref="D600:D622" si="361">D599</f>
        <v>S200006</v>
      </c>
      <c r="E600" s="77"/>
      <c r="F600" s="76"/>
      <c r="G600" s="76" t="str">
        <f>"""NAV Direct"",""CRONUS JetCorp USA"",""32"",""1"",""142549"""</f>
        <v>"NAV Direct","CRONUS JetCorp USA","32","1","142549"</v>
      </c>
      <c r="H600" s="86">
        <v>43472</v>
      </c>
      <c r="I600" s="85">
        <v>142549</v>
      </c>
      <c r="J600" s="84" t="str">
        <f>"Customer"</f>
        <v>Customer</v>
      </c>
      <c r="K600" s="84" t="str">
        <f>"C100100"</f>
        <v>C100100</v>
      </c>
      <c r="L600" s="84" t="str">
        <f>IF($J600="Customer",_xll.NL("first",$J600,"Name","No.","@@"&amp;$K600),"")</f>
        <v>Keybase, Inc.</v>
      </c>
      <c r="M600" s="84" t="str">
        <f>""</f>
        <v/>
      </c>
      <c r="N600" s="84" t="str">
        <f>IF($J600="Item",_xll.NL("first",$J600,"Description","No.","@@"&amp;$K600),"")</f>
        <v/>
      </c>
      <c r="O600" s="83">
        <v>0</v>
      </c>
      <c r="P600" s="83">
        <v>-48</v>
      </c>
      <c r="Q600" s="83">
        <v>0</v>
      </c>
      <c r="R600" s="83">
        <v>0</v>
      </c>
      <c r="S600" s="83">
        <v>0</v>
      </c>
      <c r="T600" s="83">
        <v>0</v>
      </c>
      <c r="U600" s="82"/>
    </row>
    <row r="601" spans="1:21" ht="17.25" customHeight="1" x14ac:dyDescent="0.3">
      <c r="A601" s="66" t="s">
        <v>30</v>
      </c>
      <c r="C601" s="67"/>
      <c r="D601" s="77"/>
      <c r="E601" s="77"/>
      <c r="F601" s="76"/>
      <c r="G601" s="76"/>
      <c r="H601" s="76"/>
      <c r="I601" s="76"/>
      <c r="J601" s="76"/>
      <c r="K601" s="76"/>
      <c r="L601" s="76"/>
      <c r="M601" s="76"/>
      <c r="N601" s="76"/>
      <c r="O601" s="75"/>
      <c r="P601" s="75"/>
      <c r="Q601" s="75"/>
      <c r="R601" s="75"/>
      <c r="S601" s="75"/>
      <c r="T601" s="75"/>
      <c r="U601" s="74"/>
    </row>
    <row r="602" spans="1:21" ht="17.25" customHeight="1" x14ac:dyDescent="0.3">
      <c r="A602" s="66" t="s">
        <v>30</v>
      </c>
      <c r="C602" s="67"/>
      <c r="D602" s="77"/>
      <c r="E602" s="77" t="s">
        <v>31</v>
      </c>
      <c r="F602" s="76" t="s">
        <v>31</v>
      </c>
      <c r="G602" s="76" t="s">
        <v>31</v>
      </c>
      <c r="H602" s="76"/>
      <c r="I602" s="76"/>
      <c r="J602" s="76" t="s">
        <v>31</v>
      </c>
      <c r="K602" s="76" t="s">
        <v>31</v>
      </c>
      <c r="L602" s="76" t="s">
        <v>31</v>
      </c>
      <c r="M602" s="76" t="s">
        <v>31</v>
      </c>
      <c r="N602" s="76"/>
      <c r="U602" s="81"/>
    </row>
    <row r="603" spans="1:21" ht="20.25" customHeight="1" x14ac:dyDescent="0.35">
      <c r="A603" s="66" t="s">
        <v>30</v>
      </c>
      <c r="C603" s="67"/>
      <c r="D603" s="92" t="str">
        <f t="shared" ref="D603" si="362">E603</f>
        <v>S200007</v>
      </c>
      <c r="E603" s="91" t="str">
        <f>"S200007"</f>
        <v>S200007</v>
      </c>
      <c r="F603" s="89" t="str">
        <f>"3.75"" Football Trophy"</f>
        <v>3.75" Football Trophy</v>
      </c>
      <c r="G603" s="89"/>
      <c r="H603" s="90" t="str">
        <f>"EA"</f>
        <v>EA</v>
      </c>
      <c r="I603" s="89"/>
      <c r="J603" s="89"/>
      <c r="K603" s="89"/>
      <c r="L603" s="89"/>
      <c r="M603" s="89"/>
      <c r="N603" s="89"/>
      <c r="O603" s="88">
        <f>(SUBTOTAL(9,O604:O605))</f>
        <v>0</v>
      </c>
      <c r="P603" s="88">
        <f>(SUBTOTAL(9,P604:P605))</f>
        <v>-144</v>
      </c>
      <c r="Q603" s="88">
        <f>(SUBTOTAL(9,Q604:Q605))</f>
        <v>0</v>
      </c>
      <c r="R603" s="88">
        <f>(SUBTOTAL(9,R604:R605))</f>
        <v>0</v>
      </c>
      <c r="S603" s="88">
        <f>(SUBTOTAL(9,S604:S605))</f>
        <v>0</v>
      </c>
      <c r="T603" s="88">
        <f>(SUBTOTAL(9,T604:T605))</f>
        <v>0</v>
      </c>
      <c r="U603" s="87">
        <f t="shared" ref="U603" si="363">SUBTOTAL(9,O604:T605)</f>
        <v>-144</v>
      </c>
    </row>
    <row r="604" spans="1:21" ht="17.25" customHeight="1" x14ac:dyDescent="0.3">
      <c r="A604" s="66" t="s">
        <v>30</v>
      </c>
      <c r="C604" s="67"/>
      <c r="D604" s="77" t="str">
        <f t="shared" ref="D604:D622" si="364">D603</f>
        <v>S200007</v>
      </c>
      <c r="E604" s="77"/>
      <c r="F604" s="76"/>
      <c r="G604" s="76" t="str">
        <f>"""NAV Direct"",""CRONUS JetCorp USA"",""32"",""1"",""142548"""</f>
        <v>"NAV Direct","CRONUS JetCorp USA","32","1","142548"</v>
      </c>
      <c r="H604" s="86">
        <v>43472</v>
      </c>
      <c r="I604" s="85">
        <v>142548</v>
      </c>
      <c r="J604" s="84" t="str">
        <f>"Customer"</f>
        <v>Customer</v>
      </c>
      <c r="K604" s="84" t="str">
        <f>"C100100"</f>
        <v>C100100</v>
      </c>
      <c r="L604" s="84" t="str">
        <f>IF($J604="Customer",_xll.NL("first",$J604,"Name","No.","@@"&amp;$K604),"")</f>
        <v>Keybase, Inc.</v>
      </c>
      <c r="M604" s="84" t="str">
        <f>""</f>
        <v/>
      </c>
      <c r="N604" s="84" t="str">
        <f>IF($J604="Item",_xll.NL("first",$J604,"Description","No.","@@"&amp;$K604),"")</f>
        <v/>
      </c>
      <c r="O604" s="83">
        <v>0</v>
      </c>
      <c r="P604" s="83">
        <v>-144</v>
      </c>
      <c r="Q604" s="83">
        <v>0</v>
      </c>
      <c r="R604" s="83">
        <v>0</v>
      </c>
      <c r="S604" s="83">
        <v>0</v>
      </c>
      <c r="T604" s="83">
        <v>0</v>
      </c>
      <c r="U604" s="82"/>
    </row>
    <row r="605" spans="1:21" ht="17.25" customHeight="1" x14ac:dyDescent="0.3">
      <c r="A605" s="66" t="s">
        <v>30</v>
      </c>
      <c r="C605" s="67"/>
      <c r="D605" s="77"/>
      <c r="E605" s="77"/>
      <c r="F605" s="76"/>
      <c r="G605" s="76"/>
      <c r="H605" s="76"/>
      <c r="I605" s="76"/>
      <c r="J605" s="76"/>
      <c r="K605" s="76"/>
      <c r="L605" s="76"/>
      <c r="M605" s="76"/>
      <c r="N605" s="76"/>
      <c r="O605" s="75"/>
      <c r="P605" s="75"/>
      <c r="Q605" s="75"/>
      <c r="R605" s="75"/>
      <c r="S605" s="75"/>
      <c r="T605" s="75"/>
      <c r="U605" s="74"/>
    </row>
    <row r="606" spans="1:21" ht="17.25" customHeight="1" x14ac:dyDescent="0.3">
      <c r="A606" s="66" t="s">
        <v>30</v>
      </c>
      <c r="C606" s="67"/>
      <c r="D606" s="77"/>
      <c r="E606" s="77" t="s">
        <v>31</v>
      </c>
      <c r="F606" s="76" t="s">
        <v>31</v>
      </c>
      <c r="G606" s="76" t="s">
        <v>31</v>
      </c>
      <c r="H606" s="76"/>
      <c r="I606" s="76"/>
      <c r="J606" s="76" t="s">
        <v>31</v>
      </c>
      <c r="K606" s="76" t="s">
        <v>31</v>
      </c>
      <c r="L606" s="76" t="s">
        <v>31</v>
      </c>
      <c r="M606" s="76" t="s">
        <v>31</v>
      </c>
      <c r="N606" s="76"/>
      <c r="U606" s="81"/>
    </row>
    <row r="607" spans="1:21" ht="20.25" customHeight="1" x14ac:dyDescent="0.35">
      <c r="A607" s="66" t="s">
        <v>30</v>
      </c>
      <c r="C607" s="67"/>
      <c r="D607" s="92" t="str">
        <f t="shared" ref="D607" si="365">E607</f>
        <v>S200012</v>
      </c>
      <c r="E607" s="91" t="str">
        <f>"S200012"</f>
        <v>S200012</v>
      </c>
      <c r="F607" s="89" t="str">
        <f>"10.75"" Star Riser Apple Trophy"</f>
        <v>10.75" Star Riser Apple Trophy</v>
      </c>
      <c r="G607" s="89"/>
      <c r="H607" s="90" t="str">
        <f>"EA"</f>
        <v>EA</v>
      </c>
      <c r="I607" s="89"/>
      <c r="J607" s="89"/>
      <c r="K607" s="89"/>
      <c r="L607" s="89"/>
      <c r="M607" s="89"/>
      <c r="N607" s="89"/>
      <c r="O607" s="88">
        <f>(SUBTOTAL(9,O608:O609))</f>
        <v>0</v>
      </c>
      <c r="P607" s="88">
        <f>(SUBTOTAL(9,P608:P609))</f>
        <v>-144</v>
      </c>
      <c r="Q607" s="88">
        <f>(SUBTOTAL(9,Q608:Q609))</f>
        <v>0</v>
      </c>
      <c r="R607" s="88">
        <f>(SUBTOTAL(9,R608:R609))</f>
        <v>0</v>
      </c>
      <c r="S607" s="88">
        <f>(SUBTOTAL(9,S608:S609))</f>
        <v>0</v>
      </c>
      <c r="T607" s="88">
        <f>(SUBTOTAL(9,T608:T609))</f>
        <v>0</v>
      </c>
      <c r="U607" s="87">
        <f t="shared" ref="U607" si="366">SUBTOTAL(9,O608:T609)</f>
        <v>-144</v>
      </c>
    </row>
    <row r="608" spans="1:21" ht="17.25" customHeight="1" x14ac:dyDescent="0.3">
      <c r="A608" s="66" t="s">
        <v>30</v>
      </c>
      <c r="C608" s="67"/>
      <c r="D608" s="77" t="str">
        <f t="shared" ref="D608:D622" si="367">D607</f>
        <v>S200012</v>
      </c>
      <c r="E608" s="77"/>
      <c r="F608" s="76"/>
      <c r="G608" s="76" t="str">
        <f>"""NAV Direct"",""CRONUS JetCorp USA"",""32"",""1"",""142547"""</f>
        <v>"NAV Direct","CRONUS JetCorp USA","32","1","142547"</v>
      </c>
      <c r="H608" s="86">
        <v>43472</v>
      </c>
      <c r="I608" s="85">
        <v>142547</v>
      </c>
      <c r="J608" s="84" t="str">
        <f>"Customer"</f>
        <v>Customer</v>
      </c>
      <c r="K608" s="84" t="str">
        <f>"C100100"</f>
        <v>C100100</v>
      </c>
      <c r="L608" s="84" t="str">
        <f>IF($J608="Customer",_xll.NL("first",$J608,"Name","No.","@@"&amp;$K608),"")</f>
        <v>Keybase, Inc.</v>
      </c>
      <c r="M608" s="84" t="str">
        <f>""</f>
        <v/>
      </c>
      <c r="N608" s="84" t="str">
        <f>IF($J608="Item",_xll.NL("first",$J608,"Description","No.","@@"&amp;$K608),"")</f>
        <v/>
      </c>
      <c r="O608" s="83">
        <v>0</v>
      </c>
      <c r="P608" s="83">
        <v>-144</v>
      </c>
      <c r="Q608" s="83">
        <v>0</v>
      </c>
      <c r="R608" s="83">
        <v>0</v>
      </c>
      <c r="S608" s="83">
        <v>0</v>
      </c>
      <c r="T608" s="83">
        <v>0</v>
      </c>
      <c r="U608" s="82"/>
    </row>
    <row r="609" spans="1:21" ht="17.25" customHeight="1" x14ac:dyDescent="0.3">
      <c r="A609" s="66" t="s">
        <v>30</v>
      </c>
      <c r="C609" s="67"/>
      <c r="D609" s="77"/>
      <c r="E609" s="77"/>
      <c r="F609" s="76"/>
      <c r="G609" s="76"/>
      <c r="H609" s="76"/>
      <c r="I609" s="76"/>
      <c r="J609" s="76"/>
      <c r="K609" s="76"/>
      <c r="L609" s="76"/>
      <c r="M609" s="76"/>
      <c r="N609" s="76"/>
      <c r="O609" s="75"/>
      <c r="P609" s="75"/>
      <c r="Q609" s="75"/>
      <c r="R609" s="75"/>
      <c r="S609" s="75"/>
      <c r="T609" s="75"/>
      <c r="U609" s="74"/>
    </row>
    <row r="610" spans="1:21" ht="17.25" customHeight="1" x14ac:dyDescent="0.3">
      <c r="A610" s="66" t="s">
        <v>30</v>
      </c>
      <c r="C610" s="67"/>
      <c r="D610" s="77"/>
      <c r="E610" s="77" t="s">
        <v>31</v>
      </c>
      <c r="F610" s="76" t="s">
        <v>31</v>
      </c>
      <c r="G610" s="76" t="s">
        <v>31</v>
      </c>
      <c r="H610" s="76"/>
      <c r="I610" s="76"/>
      <c r="J610" s="76" t="s">
        <v>31</v>
      </c>
      <c r="K610" s="76" t="s">
        <v>31</v>
      </c>
      <c r="L610" s="76" t="s">
        <v>31</v>
      </c>
      <c r="M610" s="76" t="s">
        <v>31</v>
      </c>
      <c r="N610" s="76"/>
      <c r="U610" s="81"/>
    </row>
    <row r="611" spans="1:21" ht="20.25" customHeight="1" x14ac:dyDescent="0.35">
      <c r="A611" s="66" t="s">
        <v>30</v>
      </c>
      <c r="C611" s="67"/>
      <c r="D611" s="92" t="str">
        <f t="shared" ref="D611" si="368">E611</f>
        <v>S200015</v>
      </c>
      <c r="E611" s="91" t="str">
        <f>"S200015"</f>
        <v>S200015</v>
      </c>
      <c r="F611" s="89" t="str">
        <f>"10.75"" Star Riser Basketball Trophy"</f>
        <v>10.75" Star Riser Basketball Trophy</v>
      </c>
      <c r="G611" s="89"/>
      <c r="H611" s="90" t="str">
        <f>"EA"</f>
        <v>EA</v>
      </c>
      <c r="I611" s="89"/>
      <c r="J611" s="89"/>
      <c r="K611" s="89"/>
      <c r="L611" s="89"/>
      <c r="M611" s="89"/>
      <c r="N611" s="89"/>
      <c r="O611" s="88">
        <f>(SUBTOTAL(9,O612:O613))</f>
        <v>0</v>
      </c>
      <c r="P611" s="88">
        <f>(SUBTOTAL(9,P612:P613))</f>
        <v>-144</v>
      </c>
      <c r="Q611" s="88">
        <f>(SUBTOTAL(9,Q612:Q613))</f>
        <v>0</v>
      </c>
      <c r="R611" s="88">
        <f>(SUBTOTAL(9,R612:R613))</f>
        <v>0</v>
      </c>
      <c r="S611" s="88">
        <f>(SUBTOTAL(9,S612:S613))</f>
        <v>0</v>
      </c>
      <c r="T611" s="88">
        <f>(SUBTOTAL(9,T612:T613))</f>
        <v>0</v>
      </c>
      <c r="U611" s="87">
        <f t="shared" ref="U611" si="369">SUBTOTAL(9,O612:T613)</f>
        <v>-144</v>
      </c>
    </row>
    <row r="612" spans="1:21" ht="17.25" customHeight="1" x14ac:dyDescent="0.3">
      <c r="A612" s="66" t="s">
        <v>30</v>
      </c>
      <c r="C612" s="67"/>
      <c r="D612" s="77" t="str">
        <f t="shared" ref="D612:D622" si="370">D611</f>
        <v>S200015</v>
      </c>
      <c r="E612" s="77"/>
      <c r="F612" s="76"/>
      <c r="G612" s="76" t="str">
        <f>"""NAV Direct"",""CRONUS JetCorp USA"",""32"",""1"",""142546"""</f>
        <v>"NAV Direct","CRONUS JetCorp USA","32","1","142546"</v>
      </c>
      <c r="H612" s="86">
        <v>43472</v>
      </c>
      <c r="I612" s="85">
        <v>142546</v>
      </c>
      <c r="J612" s="84" t="str">
        <f>"Customer"</f>
        <v>Customer</v>
      </c>
      <c r="K612" s="84" t="str">
        <f>"C100100"</f>
        <v>C100100</v>
      </c>
      <c r="L612" s="84" t="str">
        <f>IF($J612="Customer",_xll.NL("first",$J612,"Name","No.","@@"&amp;$K612),"")</f>
        <v>Keybase, Inc.</v>
      </c>
      <c r="M612" s="84" t="str">
        <f>""</f>
        <v/>
      </c>
      <c r="N612" s="84" t="str">
        <f>IF($J612="Item",_xll.NL("first",$J612,"Description","No.","@@"&amp;$K612),"")</f>
        <v/>
      </c>
      <c r="O612" s="83">
        <v>0</v>
      </c>
      <c r="P612" s="83">
        <v>-144</v>
      </c>
      <c r="Q612" s="83">
        <v>0</v>
      </c>
      <c r="R612" s="83">
        <v>0</v>
      </c>
      <c r="S612" s="83">
        <v>0</v>
      </c>
      <c r="T612" s="83">
        <v>0</v>
      </c>
      <c r="U612" s="82"/>
    </row>
    <row r="613" spans="1:21" ht="17.25" customHeight="1" x14ac:dyDescent="0.3">
      <c r="A613" s="66" t="s">
        <v>30</v>
      </c>
      <c r="C613" s="67"/>
      <c r="D613" s="77"/>
      <c r="E613" s="77"/>
      <c r="F613" s="76"/>
      <c r="G613" s="76"/>
      <c r="H613" s="76"/>
      <c r="I613" s="76"/>
      <c r="J613" s="76"/>
      <c r="K613" s="76"/>
      <c r="L613" s="76"/>
      <c r="M613" s="76"/>
      <c r="N613" s="76"/>
      <c r="O613" s="75"/>
      <c r="P613" s="75"/>
      <c r="Q613" s="75"/>
      <c r="R613" s="75"/>
      <c r="S613" s="75"/>
      <c r="T613" s="75"/>
      <c r="U613" s="74"/>
    </row>
    <row r="614" spans="1:21" ht="17.25" customHeight="1" x14ac:dyDescent="0.3">
      <c r="A614" s="66" t="s">
        <v>30</v>
      </c>
      <c r="C614" s="67"/>
      <c r="D614" s="77"/>
      <c r="E614" s="77" t="s">
        <v>31</v>
      </c>
      <c r="F614" s="76" t="s">
        <v>31</v>
      </c>
      <c r="G614" s="76" t="s">
        <v>31</v>
      </c>
      <c r="H614" s="76"/>
      <c r="I614" s="76"/>
      <c r="J614" s="76" t="s">
        <v>31</v>
      </c>
      <c r="K614" s="76" t="s">
        <v>31</v>
      </c>
      <c r="L614" s="76" t="s">
        <v>31</v>
      </c>
      <c r="M614" s="76" t="s">
        <v>31</v>
      </c>
      <c r="N614" s="76"/>
      <c r="U614" s="81"/>
    </row>
    <row r="615" spans="1:21" ht="20.25" customHeight="1" x14ac:dyDescent="0.35">
      <c r="A615" s="66" t="s">
        <v>30</v>
      </c>
      <c r="C615" s="67"/>
      <c r="D615" s="92" t="str">
        <f t="shared" ref="D615" si="371">E615</f>
        <v>S200017</v>
      </c>
      <c r="E615" s="91" t="str">
        <f>"S200017"</f>
        <v>S200017</v>
      </c>
      <c r="F615" s="89" t="str">
        <f>"10.75"" Tourch Riser WrestlingTrophy"</f>
        <v>10.75" Tourch Riser WrestlingTrophy</v>
      </c>
      <c r="G615" s="89"/>
      <c r="H615" s="90" t="str">
        <f>"EA"</f>
        <v>EA</v>
      </c>
      <c r="I615" s="89"/>
      <c r="J615" s="89"/>
      <c r="K615" s="89"/>
      <c r="L615" s="89"/>
      <c r="M615" s="89"/>
      <c r="N615" s="89"/>
      <c r="O615" s="88">
        <f>(SUBTOTAL(9,O616:O617))</f>
        <v>0</v>
      </c>
      <c r="P615" s="88">
        <f>(SUBTOTAL(9,P616:P617))</f>
        <v>-144</v>
      </c>
      <c r="Q615" s="88">
        <f>(SUBTOTAL(9,Q616:Q617))</f>
        <v>0</v>
      </c>
      <c r="R615" s="88">
        <f>(SUBTOTAL(9,R616:R617))</f>
        <v>0</v>
      </c>
      <c r="S615" s="88">
        <f>(SUBTOTAL(9,S616:S617))</f>
        <v>0</v>
      </c>
      <c r="T615" s="88">
        <f>(SUBTOTAL(9,T616:T617))</f>
        <v>0</v>
      </c>
      <c r="U615" s="87">
        <f t="shared" ref="U615" si="372">SUBTOTAL(9,O616:T617)</f>
        <v>-144</v>
      </c>
    </row>
    <row r="616" spans="1:21" ht="17.25" customHeight="1" x14ac:dyDescent="0.3">
      <c r="A616" s="66" t="s">
        <v>30</v>
      </c>
      <c r="C616" s="67"/>
      <c r="D616" s="77" t="str">
        <f t="shared" ref="D616:D622" si="373">D615</f>
        <v>S200017</v>
      </c>
      <c r="E616" s="77"/>
      <c r="F616" s="76"/>
      <c r="G616" s="76" t="str">
        <f>"""NAV Direct"",""CRONUS JetCorp USA"",""32"",""1"",""142545"""</f>
        <v>"NAV Direct","CRONUS JetCorp USA","32","1","142545"</v>
      </c>
      <c r="H616" s="86">
        <v>43472</v>
      </c>
      <c r="I616" s="85">
        <v>142545</v>
      </c>
      <c r="J616" s="84" t="str">
        <f>"Customer"</f>
        <v>Customer</v>
      </c>
      <c r="K616" s="84" t="str">
        <f>"C100100"</f>
        <v>C100100</v>
      </c>
      <c r="L616" s="84" t="str">
        <f>IF($J616="Customer",_xll.NL("first",$J616,"Name","No.","@@"&amp;$K616),"")</f>
        <v>Keybase, Inc.</v>
      </c>
      <c r="M616" s="84" t="str">
        <f>""</f>
        <v/>
      </c>
      <c r="N616" s="84" t="str">
        <f>IF($J616="Item",_xll.NL("first",$J616,"Description","No.","@@"&amp;$K616),"")</f>
        <v/>
      </c>
      <c r="O616" s="83">
        <v>0</v>
      </c>
      <c r="P616" s="83">
        <v>-144</v>
      </c>
      <c r="Q616" s="83">
        <v>0</v>
      </c>
      <c r="R616" s="83">
        <v>0</v>
      </c>
      <c r="S616" s="83">
        <v>0</v>
      </c>
      <c r="T616" s="83">
        <v>0</v>
      </c>
      <c r="U616" s="82"/>
    </row>
    <row r="617" spans="1:21" ht="17.25" customHeight="1" x14ac:dyDescent="0.3">
      <c r="A617" s="66" t="s">
        <v>30</v>
      </c>
      <c r="C617" s="67"/>
      <c r="D617" s="77"/>
      <c r="E617" s="77"/>
      <c r="F617" s="76"/>
      <c r="G617" s="76"/>
      <c r="H617" s="76"/>
      <c r="I617" s="76"/>
      <c r="J617" s="76"/>
      <c r="K617" s="76"/>
      <c r="L617" s="76"/>
      <c r="M617" s="76"/>
      <c r="N617" s="76"/>
      <c r="O617" s="75"/>
      <c r="P617" s="75"/>
      <c r="Q617" s="75"/>
      <c r="R617" s="75"/>
      <c r="S617" s="75"/>
      <c r="T617" s="75"/>
      <c r="U617" s="74"/>
    </row>
    <row r="618" spans="1:21" ht="17.25" customHeight="1" x14ac:dyDescent="0.3">
      <c r="A618" s="66" t="s">
        <v>30</v>
      </c>
      <c r="C618" s="67"/>
      <c r="D618" s="77"/>
      <c r="E618" s="77" t="s">
        <v>31</v>
      </c>
      <c r="F618" s="76" t="s">
        <v>31</v>
      </c>
      <c r="G618" s="76" t="s">
        <v>31</v>
      </c>
      <c r="H618" s="76"/>
      <c r="I618" s="76"/>
      <c r="J618" s="76" t="s">
        <v>31</v>
      </c>
      <c r="K618" s="76" t="s">
        <v>31</v>
      </c>
      <c r="L618" s="76" t="s">
        <v>31</v>
      </c>
      <c r="M618" s="76" t="s">
        <v>31</v>
      </c>
      <c r="N618" s="76"/>
      <c r="U618" s="81"/>
    </row>
    <row r="619" spans="1:21" ht="20.25" customHeight="1" x14ac:dyDescent="0.35">
      <c r="A619" s="66" t="s">
        <v>30</v>
      </c>
      <c r="C619" s="67"/>
      <c r="D619" s="92" t="str">
        <f t="shared" ref="D619" si="374">E619</f>
        <v>S200019</v>
      </c>
      <c r="E619" s="91" t="str">
        <f>"S200019"</f>
        <v>S200019</v>
      </c>
      <c r="F619" s="89" t="str">
        <f>"10.75"" Tourch Riser Apple Trophy"</f>
        <v>10.75" Tourch Riser Apple Trophy</v>
      </c>
      <c r="G619" s="89"/>
      <c r="H619" s="90" t="str">
        <f>"EA"</f>
        <v>EA</v>
      </c>
      <c r="I619" s="89"/>
      <c r="J619" s="89"/>
      <c r="K619" s="89"/>
      <c r="L619" s="89"/>
      <c r="M619" s="89"/>
      <c r="N619" s="89"/>
      <c r="O619" s="88">
        <f>(SUBTOTAL(9,O620:O621))</f>
        <v>0</v>
      </c>
      <c r="P619" s="88">
        <f>(SUBTOTAL(9,P620:P621))</f>
        <v>-144</v>
      </c>
      <c r="Q619" s="88">
        <f>(SUBTOTAL(9,Q620:Q621))</f>
        <v>0</v>
      </c>
      <c r="R619" s="88">
        <f>(SUBTOTAL(9,R620:R621))</f>
        <v>0</v>
      </c>
      <c r="S619" s="88">
        <f>(SUBTOTAL(9,S620:S621))</f>
        <v>0</v>
      </c>
      <c r="T619" s="88">
        <f>(SUBTOTAL(9,T620:T621))</f>
        <v>0</v>
      </c>
      <c r="U619" s="87">
        <f t="shared" ref="U619" si="375">SUBTOTAL(9,O620:T621)</f>
        <v>-144</v>
      </c>
    </row>
    <row r="620" spans="1:21" ht="17.25" customHeight="1" x14ac:dyDescent="0.3">
      <c r="A620" s="66" t="s">
        <v>30</v>
      </c>
      <c r="C620" s="67"/>
      <c r="D620" s="77" t="str">
        <f t="shared" ref="D620:D622" si="376">D619</f>
        <v>S200019</v>
      </c>
      <c r="E620" s="77"/>
      <c r="F620" s="76"/>
      <c r="G620" s="76" t="str">
        <f>"""NAV Direct"",""CRONUS JetCorp USA"",""32"",""1"",""142544"""</f>
        <v>"NAV Direct","CRONUS JetCorp USA","32","1","142544"</v>
      </c>
      <c r="H620" s="86">
        <v>43472</v>
      </c>
      <c r="I620" s="85">
        <v>142544</v>
      </c>
      <c r="J620" s="84" t="str">
        <f>"Customer"</f>
        <v>Customer</v>
      </c>
      <c r="K620" s="84" t="str">
        <f>"C100100"</f>
        <v>C100100</v>
      </c>
      <c r="L620" s="84" t="str">
        <f>IF($J620="Customer",_xll.NL("first",$J620,"Name","No.","@@"&amp;$K620),"")</f>
        <v>Keybase, Inc.</v>
      </c>
      <c r="M620" s="84" t="str">
        <f>""</f>
        <v/>
      </c>
      <c r="N620" s="84" t="str">
        <f>IF($J620="Item",_xll.NL("first",$J620,"Description","No.","@@"&amp;$K620),"")</f>
        <v/>
      </c>
      <c r="O620" s="83">
        <v>0</v>
      </c>
      <c r="P620" s="83">
        <v>-144</v>
      </c>
      <c r="Q620" s="83">
        <v>0</v>
      </c>
      <c r="R620" s="83">
        <v>0</v>
      </c>
      <c r="S620" s="83">
        <v>0</v>
      </c>
      <c r="T620" s="83">
        <v>0</v>
      </c>
      <c r="U620" s="82"/>
    </row>
    <row r="621" spans="1:21" ht="17.25" customHeight="1" x14ac:dyDescent="0.3">
      <c r="A621" s="66" t="s">
        <v>30</v>
      </c>
      <c r="C621" s="67"/>
      <c r="D621" s="77"/>
      <c r="E621" s="77"/>
      <c r="F621" s="76"/>
      <c r="G621" s="76"/>
      <c r="H621" s="76"/>
      <c r="I621" s="76"/>
      <c r="J621" s="76"/>
      <c r="K621" s="76"/>
      <c r="L621" s="76"/>
      <c r="M621" s="76"/>
      <c r="N621" s="76"/>
      <c r="O621" s="75"/>
      <c r="P621" s="75"/>
      <c r="Q621" s="75"/>
      <c r="R621" s="75"/>
      <c r="S621" s="75"/>
      <c r="T621" s="75"/>
      <c r="U621" s="74"/>
    </row>
    <row r="622" spans="1:21" ht="17.25" customHeight="1" x14ac:dyDescent="0.3">
      <c r="A622" s="66" t="s">
        <v>30</v>
      </c>
      <c r="C622" s="67"/>
      <c r="D622" s="77"/>
      <c r="E622" s="77" t="s">
        <v>31</v>
      </c>
      <c r="F622" s="76" t="s">
        <v>31</v>
      </c>
      <c r="G622" s="76" t="s">
        <v>31</v>
      </c>
      <c r="H622" s="76"/>
      <c r="I622" s="76"/>
      <c r="J622" s="76" t="s">
        <v>31</v>
      </c>
      <c r="K622" s="76" t="s">
        <v>31</v>
      </c>
      <c r="L622" s="76" t="s">
        <v>31</v>
      </c>
      <c r="M622" s="76" t="s">
        <v>31</v>
      </c>
      <c r="N622" s="76"/>
      <c r="U622" s="81"/>
    </row>
    <row r="623" spans="1:21" ht="17.25" customHeight="1" x14ac:dyDescent="0.3">
      <c r="A623" s="66"/>
      <c r="C623" s="67"/>
      <c r="D623" s="77"/>
      <c r="E623" s="77"/>
      <c r="F623" s="76"/>
      <c r="G623" s="76"/>
      <c r="H623" s="76"/>
      <c r="I623" s="76"/>
      <c r="J623" s="76"/>
      <c r="K623" s="76"/>
      <c r="L623" s="76"/>
      <c r="M623" s="76"/>
      <c r="N623" s="76"/>
      <c r="O623" s="75"/>
      <c r="P623" s="75"/>
      <c r="Q623" s="75"/>
      <c r="R623" s="75"/>
      <c r="S623" s="75"/>
      <c r="T623" s="75"/>
      <c r="U623" s="74"/>
    </row>
    <row r="624" spans="1:21" ht="20.25" customHeight="1" thickBot="1" x14ac:dyDescent="0.4">
      <c r="A624" s="66"/>
      <c r="C624" s="67"/>
      <c r="D624" s="77"/>
      <c r="E624" s="77"/>
      <c r="F624" s="76"/>
      <c r="G624" s="76"/>
      <c r="H624" s="76"/>
      <c r="I624" s="76"/>
      <c r="J624" s="76"/>
      <c r="K624" s="76"/>
      <c r="L624" s="76"/>
      <c r="M624" s="76"/>
      <c r="N624" s="80" t="s">
        <v>32</v>
      </c>
      <c r="O624" s="79">
        <f>SUBTOTAL(9,O13:O623)</f>
        <v>48000</v>
      </c>
      <c r="P624" s="79">
        <f>SUBTOTAL(9,P13:P623)</f>
        <v>-23148</v>
      </c>
      <c r="Q624" s="79">
        <f>SUBTOTAL(9,Q13:Q623)</f>
        <v>0</v>
      </c>
      <c r="R624" s="79">
        <f>SUBTOTAL(9,R13:R623)</f>
        <v>0</v>
      </c>
      <c r="S624" s="79">
        <f>SUBTOTAL(9,S13:S623)</f>
        <v>0</v>
      </c>
      <c r="T624" s="79">
        <f>SUBTOTAL(9,T13:T623)</f>
        <v>0</v>
      </c>
      <c r="U624" s="78">
        <f>SUM(U12:U623)</f>
        <v>24852</v>
      </c>
    </row>
    <row r="625" spans="1:21" ht="17.25" customHeight="1" x14ac:dyDescent="0.3">
      <c r="A625" s="66"/>
      <c r="C625" s="67"/>
      <c r="D625" s="77"/>
      <c r="E625" s="77"/>
      <c r="F625" s="76"/>
      <c r="G625" s="76"/>
      <c r="H625" s="76"/>
      <c r="I625" s="76"/>
      <c r="J625" s="76"/>
      <c r="K625" s="76"/>
      <c r="L625" s="76"/>
      <c r="M625" s="76"/>
      <c r="N625" s="76"/>
      <c r="O625" s="75"/>
      <c r="P625" s="75"/>
      <c r="Q625" s="75"/>
      <c r="R625" s="75"/>
      <c r="S625" s="75"/>
      <c r="T625" s="75"/>
      <c r="U625" s="74"/>
    </row>
    <row r="626" spans="1:21" ht="17.25" customHeight="1" x14ac:dyDescent="0.3">
      <c r="A626" s="66"/>
      <c r="C626" s="67"/>
      <c r="D626" s="73"/>
      <c r="E626" s="73"/>
      <c r="F626" s="72"/>
      <c r="G626" s="72"/>
      <c r="H626" s="72"/>
      <c r="I626" s="72"/>
      <c r="J626" s="72"/>
      <c r="K626" s="72"/>
      <c r="L626" s="72"/>
      <c r="M626" s="72"/>
      <c r="N626" s="71"/>
      <c r="O626" s="70"/>
      <c r="P626" s="70"/>
      <c r="Q626" s="70"/>
      <c r="R626" s="70"/>
      <c r="S626" s="70"/>
      <c r="T626" s="70"/>
      <c r="U626" s="69"/>
    </row>
    <row r="627" spans="1:21" ht="17.25" customHeight="1" x14ac:dyDescent="0.3">
      <c r="A627" s="66"/>
      <c r="C627" s="67"/>
      <c r="D627" s="68"/>
      <c r="E627" s="68"/>
      <c r="F627" s="68"/>
      <c r="G627" s="68"/>
      <c r="H627" s="68"/>
      <c r="I627" s="68"/>
      <c r="J627" s="68"/>
      <c r="K627" s="68"/>
      <c r="L627" s="68"/>
      <c r="M627" s="68"/>
      <c r="N627" s="68"/>
      <c r="O627" s="68"/>
      <c r="P627" s="68"/>
      <c r="Q627" s="68"/>
      <c r="R627" s="68"/>
      <c r="S627" s="68"/>
      <c r="T627" s="68"/>
      <c r="U627" s="68"/>
    </row>
    <row r="628" spans="1:21" ht="17.25" customHeight="1" x14ac:dyDescent="0.3">
      <c r="A628" s="66"/>
      <c r="C628" s="67"/>
      <c r="D628" s="68"/>
      <c r="E628" s="68"/>
      <c r="F628" s="68"/>
      <c r="G628" s="68"/>
      <c r="H628" s="68"/>
      <c r="I628" s="68"/>
      <c r="J628" s="68"/>
      <c r="K628" s="68"/>
      <c r="L628" s="68"/>
      <c r="M628" s="68"/>
      <c r="N628" s="68"/>
      <c r="O628" s="68"/>
      <c r="P628" s="68"/>
      <c r="Q628" s="68"/>
      <c r="R628" s="68"/>
      <c r="S628" s="68"/>
      <c r="T628" s="68"/>
      <c r="U628" s="68"/>
    </row>
    <row r="629" spans="1:21" ht="17.25" customHeight="1" x14ac:dyDescent="0.3">
      <c r="A629" s="66"/>
      <c r="C629" s="67"/>
      <c r="D629" s="68"/>
      <c r="E629" s="68"/>
      <c r="F629" s="68"/>
      <c r="G629" s="68"/>
      <c r="H629" s="68"/>
      <c r="I629" s="68"/>
      <c r="J629" s="68"/>
      <c r="K629" s="68"/>
      <c r="L629" s="68"/>
      <c r="M629" s="68"/>
      <c r="N629" s="68"/>
      <c r="O629" s="68"/>
      <c r="P629" s="68"/>
      <c r="Q629" s="68"/>
      <c r="R629" s="68"/>
      <c r="S629" s="68"/>
      <c r="T629" s="68"/>
      <c r="U629" s="68"/>
    </row>
    <row r="630" spans="1:21" ht="17.25" customHeight="1" x14ac:dyDescent="0.3">
      <c r="A630" s="66"/>
      <c r="C630" s="67"/>
      <c r="D630" s="68"/>
      <c r="E630" s="68"/>
      <c r="F630" s="68"/>
      <c r="G630" s="68"/>
      <c r="H630" s="68"/>
      <c r="I630" s="68"/>
      <c r="J630" s="68"/>
      <c r="K630" s="68"/>
      <c r="L630" s="68"/>
      <c r="M630" s="68"/>
      <c r="N630" s="68"/>
      <c r="O630" s="68"/>
      <c r="P630" s="68"/>
      <c r="Q630" s="68"/>
      <c r="R630" s="68"/>
      <c r="S630" s="68"/>
      <c r="T630" s="68"/>
      <c r="U630" s="68"/>
    </row>
    <row r="631" spans="1:21" ht="17.25" customHeight="1" x14ac:dyDescent="0.3">
      <c r="A631" s="66"/>
      <c r="C631" s="67"/>
      <c r="D631" s="68"/>
      <c r="E631" s="68"/>
      <c r="F631" s="68"/>
      <c r="G631" s="68"/>
      <c r="H631" s="68"/>
      <c r="I631" s="68"/>
      <c r="J631" s="68"/>
      <c r="K631" s="68"/>
      <c r="L631" s="68"/>
      <c r="M631" s="68"/>
      <c r="N631" s="68"/>
      <c r="O631" s="68"/>
      <c r="P631" s="68"/>
      <c r="Q631" s="68"/>
      <c r="R631" s="68"/>
      <c r="S631" s="68"/>
      <c r="T631" s="68"/>
      <c r="U631" s="68"/>
    </row>
    <row r="632" spans="1:21" ht="17.25" customHeight="1" x14ac:dyDescent="0.3">
      <c r="A632" s="66"/>
      <c r="C632" s="67"/>
      <c r="D632" s="68"/>
      <c r="E632" s="68"/>
      <c r="F632" s="68"/>
      <c r="G632" s="68"/>
      <c r="H632" s="68"/>
      <c r="I632" s="68"/>
      <c r="J632" s="68"/>
      <c r="K632" s="68"/>
      <c r="L632" s="68"/>
      <c r="M632" s="68"/>
      <c r="N632" s="68"/>
      <c r="O632" s="68"/>
      <c r="P632" s="68"/>
      <c r="Q632" s="68"/>
      <c r="R632" s="68"/>
      <c r="S632" s="68"/>
      <c r="T632" s="68"/>
      <c r="U632" s="68"/>
    </row>
    <row r="633" spans="1:21" ht="17.25" customHeight="1" x14ac:dyDescent="0.3">
      <c r="A633" s="66"/>
      <c r="C633" s="67"/>
      <c r="D633" s="68"/>
      <c r="E633" s="68"/>
      <c r="F633" s="68"/>
      <c r="G633" s="68"/>
      <c r="H633" s="68"/>
      <c r="I633" s="68"/>
      <c r="J633" s="68"/>
      <c r="K633" s="68"/>
      <c r="L633" s="68"/>
      <c r="M633" s="68"/>
      <c r="N633" s="68"/>
      <c r="O633" s="68"/>
      <c r="P633" s="68"/>
      <c r="Q633" s="68"/>
      <c r="R633" s="68"/>
      <c r="S633" s="68"/>
      <c r="T633" s="68"/>
      <c r="U633" s="68"/>
    </row>
    <row r="634" spans="1:21" ht="17.25" customHeight="1" x14ac:dyDescent="0.3">
      <c r="A634" s="66"/>
      <c r="C634" s="67"/>
      <c r="D634" s="68"/>
      <c r="E634" s="68"/>
      <c r="F634" s="68"/>
      <c r="G634" s="68"/>
      <c r="H634" s="68"/>
      <c r="I634" s="68"/>
      <c r="J634" s="68"/>
      <c r="K634" s="68"/>
      <c r="L634" s="68"/>
      <c r="M634" s="68"/>
      <c r="N634" s="68"/>
      <c r="O634" s="68"/>
      <c r="P634" s="68"/>
      <c r="Q634" s="68"/>
      <c r="R634" s="68"/>
      <c r="S634" s="68"/>
      <c r="T634" s="68"/>
      <c r="U634" s="68"/>
    </row>
    <row r="635" spans="1:21" ht="17.25" customHeight="1" x14ac:dyDescent="0.3">
      <c r="A635" s="66"/>
      <c r="C635" s="67"/>
      <c r="D635" s="67"/>
      <c r="E635" s="67"/>
      <c r="F635" s="67"/>
      <c r="G635" s="67"/>
      <c r="H635" s="67"/>
      <c r="I635" s="67"/>
      <c r="J635" s="67"/>
      <c r="K635" s="67"/>
      <c r="L635" s="67"/>
      <c r="M635" s="67"/>
      <c r="N635" s="67"/>
      <c r="O635" s="67"/>
      <c r="P635" s="67"/>
      <c r="Q635" s="67"/>
      <c r="R635" s="67"/>
      <c r="S635" s="67"/>
      <c r="T635" s="67"/>
      <c r="U635" s="67"/>
    </row>
    <row r="636" spans="1:21" ht="17.25" customHeight="1" x14ac:dyDescent="0.3">
      <c r="A636" s="66"/>
      <c r="C636" s="67"/>
      <c r="D636" s="67"/>
      <c r="E636" s="67"/>
      <c r="F636" s="67"/>
      <c r="G636" s="67"/>
      <c r="H636" s="67"/>
      <c r="I636" s="67"/>
      <c r="J636" s="67"/>
      <c r="K636" s="67"/>
      <c r="L636" s="67"/>
      <c r="M636" s="67"/>
      <c r="N636" s="67"/>
      <c r="O636" s="67"/>
      <c r="P636" s="67"/>
      <c r="Q636" s="67"/>
      <c r="R636" s="67"/>
      <c r="S636" s="67"/>
      <c r="T636" s="67"/>
      <c r="U636" s="67"/>
    </row>
    <row r="637" spans="1:21" ht="14.25" customHeight="1" x14ac:dyDescent="0.25">
      <c r="A637" s="66"/>
    </row>
    <row r="638" spans="1:21" ht="14.25" customHeight="1" x14ac:dyDescent="0.25">
      <c r="A638" s="66"/>
    </row>
    <row r="639" spans="1:21" ht="14.25" customHeight="1" x14ac:dyDescent="0.25">
      <c r="A639" s="66"/>
    </row>
    <row r="640" spans="1:21" ht="14.25" customHeight="1" x14ac:dyDescent="0.25">
      <c r="A640" s="66"/>
    </row>
    <row r="641" spans="1:1" ht="14.25" customHeight="1" x14ac:dyDescent="0.25">
      <c r="A641" s="66"/>
    </row>
    <row r="642" spans="1:1" ht="14.25" customHeight="1" x14ac:dyDescent="0.25">
      <c r="A642" s="66"/>
    </row>
    <row r="643" spans="1:1" ht="14.25" customHeight="1" x14ac:dyDescent="0.25">
      <c r="A643" s="66"/>
    </row>
    <row r="644" spans="1:1" ht="14.25" customHeight="1" x14ac:dyDescent="0.25">
      <c r="A644" s="66"/>
    </row>
    <row r="645" spans="1:1" ht="14.25" customHeight="1" x14ac:dyDescent="0.25">
      <c r="A645" s="66"/>
    </row>
  </sheetData>
  <mergeCells count="1">
    <mergeCell ref="E3:F3"/>
  </mergeCells>
  <pageMargins left="0.25" right="0.25" top="0.75" bottom="0.75" header="0.3" footer="0.3"/>
  <pageSetup scale="35"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901"/>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19.5703125" style="65" bestFit="1" customWidth="1"/>
    <col min="6" max="6" width="48.42578125"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28" style="65" bestFit="1" customWidth="1"/>
    <col min="13" max="13" width="14.5703125" style="65" bestFit="1" customWidth="1"/>
    <col min="14" max="14" width="26.7109375" style="65" customWidth="1"/>
    <col min="15" max="15" width="15" style="65" bestFit="1" customWidth="1"/>
    <col min="16" max="16" width="12.4257812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35886</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"LA-WHSE1"</f>
        <v>LA-WHSE1</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C100003</v>
      </c>
      <c r="E12" s="91" t="str">
        <f>"C100003"</f>
        <v>C100003</v>
      </c>
      <c r="F12" s="89" t="str">
        <f>"Cherry Finish Frame"</f>
        <v>Cherry Finish Frame</v>
      </c>
      <c r="G12" s="89"/>
      <c r="H12" s="90" t="str">
        <f>"EA"</f>
        <v>EA</v>
      </c>
      <c r="I12" s="89"/>
      <c r="J12" s="89"/>
      <c r="K12" s="89"/>
      <c r="L12" s="89"/>
      <c r="M12" s="89"/>
      <c r="N12" s="89"/>
      <c r="O12" s="88">
        <f>(SUBTOTAL(9,O13:O15))</f>
        <v>1200</v>
      </c>
      <c r="P12" s="88">
        <f>(SUBTOTAL(9,P13:P15))</f>
        <v>-12</v>
      </c>
      <c r="Q12" s="88">
        <f>(SUBTOTAL(9,Q13:Q15))</f>
        <v>0</v>
      </c>
      <c r="R12" s="88">
        <f>(SUBTOTAL(9,R13:R15))</f>
        <v>0</v>
      </c>
      <c r="S12" s="88">
        <f>(SUBTOTAL(9,S13:S15))</f>
        <v>0</v>
      </c>
      <c r="T12" s="88">
        <f>(SUBTOTAL(9,T13:T15))</f>
        <v>0</v>
      </c>
      <c r="U12" s="87">
        <f>SUBTOTAL(9,O13:T15)</f>
        <v>1188</v>
      </c>
    </row>
    <row r="13" spans="1:21" ht="17.25" customHeight="1" x14ac:dyDescent="0.3">
      <c r="A13" s="66"/>
      <c r="C13" s="67"/>
      <c r="D13" s="77" t="str">
        <f>D12</f>
        <v>C100003</v>
      </c>
      <c r="E13" s="77"/>
      <c r="F13" s="76"/>
      <c r="G13" s="76" t="str">
        <f>"""NAV Direct"",""CRONUS JetCorp USA"",""32"",""1"",""166389"""</f>
        <v>"NAV Direct","CRONUS JetCorp USA","32","1","166389"</v>
      </c>
      <c r="H13" s="86">
        <v>43466</v>
      </c>
      <c r="I13" s="85">
        <v>166389</v>
      </c>
      <c r="J13" s="84" t="str">
        <f>"Vendor"</f>
        <v>Vendor</v>
      </c>
      <c r="K13" s="84" t="str">
        <f>"V100001"</f>
        <v>V100001</v>
      </c>
      <c r="L13" s="84" t="str">
        <f>IF($J13="Customer",_xll.NL("first",$J13,"Name","No.","@@"&amp;$K13),"")</f>
        <v/>
      </c>
      <c r="M13" s="84" t="str">
        <f>"Greigner, Inc."</f>
        <v>Greigner, Inc.</v>
      </c>
      <c r="N13" s="84" t="str">
        <f>IF($J13="Item",_xll.NL("first",$J13,"Description","No.","@@"&amp;$K13),"")</f>
        <v/>
      </c>
      <c r="O13" s="83">
        <v>1200</v>
      </c>
      <c r="P13" s="83">
        <v>0</v>
      </c>
      <c r="Q13" s="83">
        <v>0</v>
      </c>
      <c r="R13" s="83">
        <v>0</v>
      </c>
      <c r="S13" s="83">
        <v>0</v>
      </c>
      <c r="T13" s="83">
        <v>0</v>
      </c>
      <c r="U13" s="82"/>
    </row>
    <row r="14" spans="1:21" ht="17.25" customHeight="1" x14ac:dyDescent="0.3">
      <c r="A14" s="66" t="s">
        <v>30</v>
      </c>
      <c r="C14" s="67"/>
      <c r="D14" s="77" t="str">
        <f>D13</f>
        <v>C100003</v>
      </c>
      <c r="E14" s="77"/>
      <c r="F14" s="76"/>
      <c r="G14" s="76" t="str">
        <f>"""NAV Direct"",""CRONUS JetCorp USA"",""32"",""1"",""10220"""</f>
        <v>"NAV Direct","CRONUS JetCorp USA","32","1","10220"</v>
      </c>
      <c r="H14" s="86">
        <v>43471</v>
      </c>
      <c r="I14" s="85">
        <v>10220</v>
      </c>
      <c r="J14" s="84" t="str">
        <f>"Customer"</f>
        <v>Customer</v>
      </c>
      <c r="K14" s="84" t="str">
        <f>"C100066"</f>
        <v>C100066</v>
      </c>
      <c r="L14" s="84" t="str">
        <f>IF($J14="Customer",_xll.NL("first",$J14,"Name","No.","@@"&amp;$K14),"")</f>
        <v>Office Solutions</v>
      </c>
      <c r="M14" s="84" t="str">
        <f>""</f>
        <v/>
      </c>
      <c r="N14" s="84" t="str">
        <f>IF($J14="Item",_xll.NL("first",$J14,"Description","No.","@@"&amp;$K14),"")</f>
        <v/>
      </c>
      <c r="O14" s="83">
        <v>0</v>
      </c>
      <c r="P14" s="83">
        <v>-12</v>
      </c>
      <c r="Q14" s="83">
        <v>0</v>
      </c>
      <c r="R14" s="83">
        <v>0</v>
      </c>
      <c r="S14" s="83">
        <v>0</v>
      </c>
      <c r="T14" s="83">
        <v>0</v>
      </c>
      <c r="U14" s="82"/>
    </row>
    <row r="15" spans="1:21" ht="17.25" customHeight="1" x14ac:dyDescent="0.3">
      <c r="A15" s="66"/>
      <c r="C15" s="67"/>
      <c r="D15" s="77"/>
      <c r="E15" s="77"/>
      <c r="F15" s="76"/>
      <c r="G15" s="76"/>
      <c r="H15" s="76"/>
      <c r="I15" s="76"/>
      <c r="J15" s="76"/>
      <c r="K15" s="76"/>
      <c r="L15" s="76"/>
      <c r="M15" s="76"/>
      <c r="N15" s="76"/>
      <c r="O15" s="75"/>
      <c r="P15" s="75"/>
      <c r="Q15" s="75"/>
      <c r="R15" s="75"/>
      <c r="S15" s="75"/>
      <c r="T15" s="75"/>
      <c r="U15" s="74"/>
    </row>
    <row r="16" spans="1:21" ht="17.25" customHeight="1" x14ac:dyDescent="0.3">
      <c r="A16" s="66"/>
      <c r="C16" s="67"/>
      <c r="D16" s="77"/>
      <c r="E16" s="77" t="s">
        <v>31</v>
      </c>
      <c r="F16" s="76" t="s">
        <v>31</v>
      </c>
      <c r="G16" s="76" t="s">
        <v>31</v>
      </c>
      <c r="H16" s="76"/>
      <c r="I16" s="76"/>
      <c r="J16" s="76" t="s">
        <v>31</v>
      </c>
      <c r="K16" s="76" t="s">
        <v>31</v>
      </c>
      <c r="L16" s="76" t="s">
        <v>31</v>
      </c>
      <c r="M16" s="76" t="s">
        <v>31</v>
      </c>
      <c r="N16" s="76"/>
      <c r="U16" s="81"/>
    </row>
    <row r="17" spans="1:21" ht="20.25" customHeight="1" x14ac:dyDescent="0.35">
      <c r="A17" s="66" t="s">
        <v>30</v>
      </c>
      <c r="C17" s="67"/>
      <c r="D17" s="92" t="str">
        <f t="shared" ref="D17" si="0">E17</f>
        <v>C100004</v>
      </c>
      <c r="E17" s="91" t="str">
        <f>"C100004"</f>
        <v>C100004</v>
      </c>
      <c r="F17" s="89" t="str">
        <f>"Walnut Medallian Plate"</f>
        <v>Walnut Medallian Plate</v>
      </c>
      <c r="G17" s="89"/>
      <c r="H17" s="90" t="str">
        <f>"EA"</f>
        <v>EA</v>
      </c>
      <c r="I17" s="89"/>
      <c r="J17" s="89"/>
      <c r="K17" s="89"/>
      <c r="L17" s="89"/>
      <c r="M17" s="89"/>
      <c r="N17" s="89"/>
      <c r="O17" s="88">
        <f>(SUBTOTAL(9,O18:O22))</f>
        <v>1300</v>
      </c>
      <c r="P17" s="88">
        <f>(SUBTOTAL(9,P18:P22))</f>
        <v>-157</v>
      </c>
      <c r="Q17" s="88">
        <f>(SUBTOTAL(9,Q18:Q22))</f>
        <v>0</v>
      </c>
      <c r="R17" s="88">
        <f>(SUBTOTAL(9,R18:R22))</f>
        <v>0</v>
      </c>
      <c r="S17" s="88">
        <f>(SUBTOTAL(9,S18:S22))</f>
        <v>0</v>
      </c>
      <c r="T17" s="88">
        <f>(SUBTOTAL(9,T18:T22))</f>
        <v>0</v>
      </c>
      <c r="U17" s="87">
        <f t="shared" ref="U17" si="1">SUBTOTAL(9,O18:T22)</f>
        <v>1143</v>
      </c>
    </row>
    <row r="18" spans="1:21" ht="17.25" customHeight="1" x14ac:dyDescent="0.3">
      <c r="A18" s="66" t="s">
        <v>30</v>
      </c>
      <c r="C18" s="67"/>
      <c r="D18" s="77" t="str">
        <f t="shared" ref="D18" si="2">D17</f>
        <v>C100004</v>
      </c>
      <c r="E18" s="77"/>
      <c r="F18" s="76"/>
      <c r="G18" s="76" t="str">
        <f>"""NAV Direct"",""CRONUS JetCorp USA"",""32"",""1"",""166388"""</f>
        <v>"NAV Direct","CRONUS JetCorp USA","32","1","166388"</v>
      </c>
      <c r="H18" s="86">
        <v>43466</v>
      </c>
      <c r="I18" s="85">
        <v>166388</v>
      </c>
      <c r="J18" s="84" t="str">
        <f>"Vendor"</f>
        <v>Vendor</v>
      </c>
      <c r="K18" s="84" t="str">
        <f>"V100001"</f>
        <v>V100001</v>
      </c>
      <c r="L18" s="84" t="str">
        <f>IF($J18="Customer",_xll.NL("first",$J18,"Name","No.","@@"&amp;$K18),"")</f>
        <v/>
      </c>
      <c r="M18" s="84" t="str">
        <f>"Greigner, Inc."</f>
        <v>Greigner, Inc.</v>
      </c>
      <c r="N18" s="84" t="str">
        <f>IF($J18="Item",_xll.NL("first",$J18,"Description","No.","@@"&amp;$K18),"")</f>
        <v/>
      </c>
      <c r="O18" s="83">
        <v>1300</v>
      </c>
      <c r="P18" s="83">
        <v>0</v>
      </c>
      <c r="Q18" s="83">
        <v>0</v>
      </c>
      <c r="R18" s="83">
        <v>0</v>
      </c>
      <c r="S18" s="83">
        <v>0</v>
      </c>
      <c r="T18" s="83">
        <v>0</v>
      </c>
      <c r="U18" s="82"/>
    </row>
    <row r="19" spans="1:21" ht="17.25" customHeight="1" x14ac:dyDescent="0.3">
      <c r="A19" s="66" t="s">
        <v>30</v>
      </c>
      <c r="C19" s="67"/>
      <c r="D19" s="77" t="str">
        <f t="shared" ref="D19:D21" si="3">D18</f>
        <v>C100004</v>
      </c>
      <c r="E19" s="77"/>
      <c r="F19" s="76"/>
      <c r="G19" s="76" t="str">
        <f>"""NAV Direct"",""CRONUS JetCorp USA"",""32"",""1"",""25233"""</f>
        <v>"NAV Direct","CRONUS JetCorp USA","32","1","25233"</v>
      </c>
      <c r="H19" s="86">
        <v>43471</v>
      </c>
      <c r="I19" s="85">
        <v>25233</v>
      </c>
      <c r="J19" s="84" t="str">
        <f>"Customer"</f>
        <v>Customer</v>
      </c>
      <c r="K19" s="84" t="str">
        <f>"C100102"</f>
        <v>C100102</v>
      </c>
      <c r="L19" s="84" t="str">
        <f>IF($J19="Customer",_xll.NL("first",$J19,"Name","No.","@@"&amp;$K19),"")</f>
        <v xml:space="preserve">BEI Outfitters </v>
      </c>
      <c r="M19" s="84" t="str">
        <f>""</f>
        <v/>
      </c>
      <c r="N19" s="84" t="str">
        <f>IF($J19="Item",_xll.NL("first",$J19,"Description","No.","@@"&amp;$K19),"")</f>
        <v/>
      </c>
      <c r="O19" s="83">
        <v>0</v>
      </c>
      <c r="P19" s="83">
        <v>-144</v>
      </c>
      <c r="Q19" s="83">
        <v>0</v>
      </c>
      <c r="R19" s="83">
        <v>0</v>
      </c>
      <c r="S19" s="83">
        <v>0</v>
      </c>
      <c r="T19" s="83">
        <v>0</v>
      </c>
      <c r="U19" s="82"/>
    </row>
    <row r="20" spans="1:21" ht="17.25" customHeight="1" x14ac:dyDescent="0.3">
      <c r="A20" s="66" t="s">
        <v>30</v>
      </c>
      <c r="C20" s="67"/>
      <c r="D20" s="77" t="str">
        <f t="shared" si="3"/>
        <v>C100004</v>
      </c>
      <c r="E20" s="77"/>
      <c r="F20" s="76"/>
      <c r="G20" s="76" t="str">
        <f>"""NAV Direct"",""CRONUS JetCorp USA"",""32"",""1"",""116381"""</f>
        <v>"NAV Direct","CRONUS JetCorp USA","32","1","116381"</v>
      </c>
      <c r="H20" s="86">
        <v>43473</v>
      </c>
      <c r="I20" s="85">
        <v>116381</v>
      </c>
      <c r="J20" s="84" t="str">
        <f>"Customer"</f>
        <v>Customer</v>
      </c>
      <c r="K20" s="84" t="str">
        <f>"C100066"</f>
        <v>C100066</v>
      </c>
      <c r="L20" s="84" t="str">
        <f>IF($J20="Customer",_xll.NL("first",$J20,"Name","No.","@@"&amp;$K20),"")</f>
        <v>Office Solutions</v>
      </c>
      <c r="M20" s="84" t="str">
        <f>""</f>
        <v/>
      </c>
      <c r="N20" s="84" t="str">
        <f>IF($J20="Item",_xll.NL("first",$J20,"Description","No.","@@"&amp;$K20),"")</f>
        <v/>
      </c>
      <c r="O20" s="83">
        <v>0</v>
      </c>
      <c r="P20" s="83">
        <v>-1</v>
      </c>
      <c r="Q20" s="83">
        <v>0</v>
      </c>
      <c r="R20" s="83">
        <v>0</v>
      </c>
      <c r="S20" s="83">
        <v>0</v>
      </c>
      <c r="T20" s="83">
        <v>0</v>
      </c>
      <c r="U20" s="82"/>
    </row>
    <row r="21" spans="1:21" ht="17.25" customHeight="1" x14ac:dyDescent="0.3">
      <c r="A21" s="66" t="s">
        <v>30</v>
      </c>
      <c r="C21" s="67"/>
      <c r="D21" s="77" t="str">
        <f t="shared" si="3"/>
        <v>C100004</v>
      </c>
      <c r="E21" s="77"/>
      <c r="F21" s="76"/>
      <c r="G21" s="76" t="str">
        <f>"""NAV Direct"",""CRONUS JetCorp USA"",""32"",""1"",""25267"""</f>
        <v>"NAV Direct","CRONUS JetCorp USA","32","1","25267"</v>
      </c>
      <c r="H21" s="86">
        <v>43476</v>
      </c>
      <c r="I21" s="85">
        <v>25267</v>
      </c>
      <c r="J21" s="84" t="str">
        <f>"Customer"</f>
        <v>Customer</v>
      </c>
      <c r="K21" s="84" t="str">
        <f>"C100102"</f>
        <v>C100102</v>
      </c>
      <c r="L21" s="84" t="str">
        <f>IF($J21="Customer",_xll.NL("first",$J21,"Name","No.","@@"&amp;$K21),"")</f>
        <v xml:space="preserve">BEI Outfitters </v>
      </c>
      <c r="M21" s="84" t="str">
        <f>""</f>
        <v/>
      </c>
      <c r="N21" s="84" t="str">
        <f>IF($J21="Item",_xll.NL("first",$J21,"Description","No.","@@"&amp;$K21),"")</f>
        <v/>
      </c>
      <c r="O21" s="83">
        <v>0</v>
      </c>
      <c r="P21" s="83">
        <v>-12</v>
      </c>
      <c r="Q21" s="83">
        <v>0</v>
      </c>
      <c r="R21" s="83">
        <v>0</v>
      </c>
      <c r="S21" s="83">
        <v>0</v>
      </c>
      <c r="T21" s="83">
        <v>0</v>
      </c>
      <c r="U21" s="82"/>
    </row>
    <row r="22" spans="1:21" ht="17.25" customHeight="1" x14ac:dyDescent="0.3">
      <c r="A22" s="66" t="s">
        <v>30</v>
      </c>
      <c r="C22" s="67"/>
      <c r="D22" s="77"/>
      <c r="E22" s="77"/>
      <c r="F22" s="76"/>
      <c r="G22" s="76"/>
      <c r="H22" s="76"/>
      <c r="I22" s="76"/>
      <c r="J22" s="76"/>
      <c r="K22" s="76"/>
      <c r="L22" s="76"/>
      <c r="M22" s="76"/>
      <c r="N22" s="76"/>
      <c r="O22" s="75"/>
      <c r="P22" s="75"/>
      <c r="Q22" s="75"/>
      <c r="R22" s="75"/>
      <c r="S22" s="75"/>
      <c r="T22" s="75"/>
      <c r="U22" s="74"/>
    </row>
    <row r="23" spans="1:21" ht="17.25" customHeight="1" x14ac:dyDescent="0.3">
      <c r="A23" s="66" t="s">
        <v>30</v>
      </c>
      <c r="C23" s="67"/>
      <c r="D23" s="77"/>
      <c r="E23" s="77" t="s">
        <v>31</v>
      </c>
      <c r="F23" s="76" t="s">
        <v>31</v>
      </c>
      <c r="G23" s="76" t="s">
        <v>31</v>
      </c>
      <c r="H23" s="76"/>
      <c r="I23" s="76"/>
      <c r="J23" s="76" t="s">
        <v>31</v>
      </c>
      <c r="K23" s="76" t="s">
        <v>31</v>
      </c>
      <c r="L23" s="76" t="s">
        <v>31</v>
      </c>
      <c r="M23" s="76" t="s">
        <v>31</v>
      </c>
      <c r="N23" s="76"/>
      <c r="U23" s="81"/>
    </row>
    <row r="24" spans="1:21" ht="20.25" customHeight="1" x14ac:dyDescent="0.35">
      <c r="A24" s="66" t="s">
        <v>30</v>
      </c>
      <c r="C24" s="67"/>
      <c r="D24" s="92" t="str">
        <f t="shared" ref="D24" si="4">E24</f>
        <v>C100005</v>
      </c>
      <c r="E24" s="91" t="str">
        <f>"C100005"</f>
        <v>C100005</v>
      </c>
      <c r="F24" s="89" t="str">
        <f>"Cherry Finished Crystal Award"</f>
        <v>Cherry Finished Crystal Award</v>
      </c>
      <c r="G24" s="89"/>
      <c r="H24" s="90" t="str">
        <f>"EA"</f>
        <v>EA</v>
      </c>
      <c r="I24" s="89"/>
      <c r="J24" s="89"/>
      <c r="K24" s="89"/>
      <c r="L24" s="89"/>
      <c r="M24" s="89"/>
      <c r="N24" s="89"/>
      <c r="O24" s="88">
        <f>(SUBTOTAL(9,O25:O30))</f>
        <v>499.99999999999994</v>
      </c>
      <c r="P24" s="88">
        <f>(SUBTOTAL(9,P25:P30))</f>
        <v>-146</v>
      </c>
      <c r="Q24" s="88">
        <f>(SUBTOTAL(9,Q25:Q30))</f>
        <v>0</v>
      </c>
      <c r="R24" s="88">
        <f>(SUBTOTAL(9,R25:R30))</f>
        <v>0</v>
      </c>
      <c r="S24" s="88">
        <f>(SUBTOTAL(9,S25:S30))</f>
        <v>0</v>
      </c>
      <c r="T24" s="88">
        <f>(SUBTOTAL(9,T25:T30))</f>
        <v>0</v>
      </c>
      <c r="U24" s="87">
        <f t="shared" ref="U24" si="5">SUBTOTAL(9,O25:T30)</f>
        <v>353.99999999999994</v>
      </c>
    </row>
    <row r="25" spans="1:21" ht="17.25" customHeight="1" x14ac:dyDescent="0.3">
      <c r="A25" s="66" t="s">
        <v>30</v>
      </c>
      <c r="C25" s="67"/>
      <c r="D25" s="77" t="str">
        <f t="shared" ref="D25" si="6">D24</f>
        <v>C100005</v>
      </c>
      <c r="E25" s="77"/>
      <c r="F25" s="76"/>
      <c r="G25" s="76" t="str">
        <f>"""NAV Direct"",""CRONUS JetCorp USA"",""32"",""1"",""166387"""</f>
        <v>"NAV Direct","CRONUS JetCorp USA","32","1","166387"</v>
      </c>
      <c r="H25" s="86">
        <v>43466</v>
      </c>
      <c r="I25" s="85">
        <v>166387</v>
      </c>
      <c r="J25" s="84" t="str">
        <f>"Vendor"</f>
        <v>Vendor</v>
      </c>
      <c r="K25" s="84" t="str">
        <f>"V100001"</f>
        <v>V100001</v>
      </c>
      <c r="L25" s="84" t="str">
        <f>IF($J25="Customer",_xll.NL("first",$J25,"Name","No.","@@"&amp;$K25),"")</f>
        <v/>
      </c>
      <c r="M25" s="84" t="str">
        <f>"Greigner, Inc."</f>
        <v>Greigner, Inc.</v>
      </c>
      <c r="N25" s="84" t="str">
        <f>IF($J25="Item",_xll.NL("first",$J25,"Description","No.","@@"&amp;$K25),"")</f>
        <v/>
      </c>
      <c r="O25" s="83">
        <v>499.99999999999994</v>
      </c>
      <c r="P25" s="83">
        <v>0</v>
      </c>
      <c r="Q25" s="83">
        <v>0</v>
      </c>
      <c r="R25" s="83">
        <v>0</v>
      </c>
      <c r="S25" s="83">
        <v>0</v>
      </c>
      <c r="T25" s="83">
        <v>0</v>
      </c>
      <c r="U25" s="82"/>
    </row>
    <row r="26" spans="1:21" ht="17.25" customHeight="1" x14ac:dyDescent="0.3">
      <c r="A26" s="66" t="s">
        <v>30</v>
      </c>
      <c r="C26" s="67"/>
      <c r="D26" s="77" t="str">
        <f t="shared" ref="D26:D29" si="7">D25</f>
        <v>C100005</v>
      </c>
      <c r="E26" s="77"/>
      <c r="F26" s="76"/>
      <c r="G26" s="76" t="str">
        <f>"""NAV Direct"",""CRONUS JetCorp USA"",""32"",""1"",""128858"""</f>
        <v>"NAV Direct","CRONUS JetCorp USA","32","1","128858"</v>
      </c>
      <c r="H26" s="86">
        <v>43471</v>
      </c>
      <c r="I26" s="85">
        <v>128858</v>
      </c>
      <c r="J26" s="84" t="str">
        <f>"Customer"</f>
        <v>Customer</v>
      </c>
      <c r="K26" s="84" t="str">
        <f>"C100138"</f>
        <v>C100138</v>
      </c>
      <c r="L26" s="84" t="str">
        <f>IF($J26="Customer",_xll.NL("first",$J26,"Name","No.","@@"&amp;$K26),"")</f>
        <v>Dantons</v>
      </c>
      <c r="M26" s="84" t="str">
        <f>""</f>
        <v/>
      </c>
      <c r="N26" s="84" t="str">
        <f>IF($J26="Item",_xll.NL("first",$J26,"Description","No.","@@"&amp;$K26),"")</f>
        <v/>
      </c>
      <c r="O26" s="83">
        <v>0</v>
      </c>
      <c r="P26" s="83">
        <v>-1</v>
      </c>
      <c r="Q26" s="83">
        <v>0</v>
      </c>
      <c r="R26" s="83">
        <v>0</v>
      </c>
      <c r="S26" s="83">
        <v>0</v>
      </c>
      <c r="T26" s="83">
        <v>0</v>
      </c>
      <c r="U26" s="82"/>
    </row>
    <row r="27" spans="1:21" ht="17.25" customHeight="1" x14ac:dyDescent="0.3">
      <c r="A27" s="66" t="s">
        <v>30</v>
      </c>
      <c r="C27" s="67"/>
      <c r="D27" s="77" t="str">
        <f t="shared" si="7"/>
        <v>C100005</v>
      </c>
      <c r="E27" s="77"/>
      <c r="F27" s="76"/>
      <c r="G27" s="76" t="str">
        <f>"""NAV Direct"",""CRONUS JetCorp USA"",""32"",""1"",""128883"""</f>
        <v>"NAV Direct","CRONUS JetCorp USA","32","1","128883"</v>
      </c>
      <c r="H27" s="86">
        <v>43475</v>
      </c>
      <c r="I27" s="85">
        <v>128883</v>
      </c>
      <c r="J27" s="84" t="str">
        <f>"Customer"</f>
        <v>Customer</v>
      </c>
      <c r="K27" s="84" t="str">
        <f>"C100095"</f>
        <v>C100095</v>
      </c>
      <c r="L27" s="84" t="str">
        <f>IF($J27="Customer",_xll.NL("first",$J27,"Name","No.","@@"&amp;$K27),"")</f>
        <v>Randotax Outfitters</v>
      </c>
      <c r="M27" s="84" t="str">
        <f>""</f>
        <v/>
      </c>
      <c r="N27" s="84" t="str">
        <f>IF($J27="Item",_xll.NL("first",$J27,"Description","No.","@@"&amp;$K27),"")</f>
        <v/>
      </c>
      <c r="O27" s="83">
        <v>0</v>
      </c>
      <c r="P27" s="83">
        <v>-49</v>
      </c>
      <c r="Q27" s="83">
        <v>0</v>
      </c>
      <c r="R27" s="83">
        <v>0</v>
      </c>
      <c r="S27" s="83">
        <v>0</v>
      </c>
      <c r="T27" s="83">
        <v>0</v>
      </c>
      <c r="U27" s="82"/>
    </row>
    <row r="28" spans="1:21" ht="17.25" customHeight="1" x14ac:dyDescent="0.3">
      <c r="A28" s="66" t="s">
        <v>30</v>
      </c>
      <c r="C28" s="67"/>
      <c r="D28" s="77" t="str">
        <f t="shared" si="7"/>
        <v>C100005</v>
      </c>
      <c r="E28" s="77"/>
      <c r="F28" s="76"/>
      <c r="G28" s="76" t="str">
        <f>"""NAV Direct"",""CRONUS JetCorp USA"",""32"",""1"",""25260"""</f>
        <v>"NAV Direct","CRONUS JetCorp USA","32","1","25260"</v>
      </c>
      <c r="H28" s="86">
        <v>43476</v>
      </c>
      <c r="I28" s="85">
        <v>25260</v>
      </c>
      <c r="J28" s="84" t="str">
        <f>"Customer"</f>
        <v>Customer</v>
      </c>
      <c r="K28" s="84" t="str">
        <f>"C100102"</f>
        <v>C100102</v>
      </c>
      <c r="L28" s="84" t="str">
        <f>IF($J28="Customer",_xll.NL("first",$J28,"Name","No.","@@"&amp;$K28),"")</f>
        <v xml:space="preserve">BEI Outfitters </v>
      </c>
      <c r="M28" s="84" t="str">
        <f>""</f>
        <v/>
      </c>
      <c r="N28" s="84" t="str">
        <f>IF($J28="Item",_xll.NL("first",$J28,"Description","No.","@@"&amp;$K28),"")</f>
        <v/>
      </c>
      <c r="O28" s="83">
        <v>0</v>
      </c>
      <c r="P28" s="83">
        <v>-48</v>
      </c>
      <c r="Q28" s="83">
        <v>0</v>
      </c>
      <c r="R28" s="83">
        <v>0</v>
      </c>
      <c r="S28" s="83">
        <v>0</v>
      </c>
      <c r="T28" s="83">
        <v>0</v>
      </c>
      <c r="U28" s="82"/>
    </row>
    <row r="29" spans="1:21" ht="17.25" customHeight="1" x14ac:dyDescent="0.3">
      <c r="A29" s="66" t="s">
        <v>30</v>
      </c>
      <c r="C29" s="67"/>
      <c r="D29" s="77" t="str">
        <f t="shared" si="7"/>
        <v>C100005</v>
      </c>
      <c r="E29" s="77"/>
      <c r="F29" s="76"/>
      <c r="G29" s="76" t="str">
        <f>"""NAV Direct"",""CRONUS JetCorp USA"",""32"",""1"",""20395"""</f>
        <v>"NAV Direct","CRONUS JetCorp USA","32","1","20395"</v>
      </c>
      <c r="H29" s="86">
        <v>43477</v>
      </c>
      <c r="I29" s="85">
        <v>20395</v>
      </c>
      <c r="J29" s="84" t="str">
        <f>"Customer"</f>
        <v>Customer</v>
      </c>
      <c r="K29" s="84" t="str">
        <f>"C100039"</f>
        <v>C100039</v>
      </c>
      <c r="L29" s="84" t="str">
        <f>IF($J29="Customer",_xll.NL("first",$J29,"Name","No.","@@"&amp;$K29),"")</f>
        <v>Gary's Sports</v>
      </c>
      <c r="M29" s="84" t="str">
        <f>""</f>
        <v/>
      </c>
      <c r="N29" s="84" t="str">
        <f>IF($J29="Item",_xll.NL("first",$J29,"Description","No.","@@"&amp;$K29),"")</f>
        <v/>
      </c>
      <c r="O29" s="83">
        <v>0</v>
      </c>
      <c r="P29" s="83">
        <v>-48</v>
      </c>
      <c r="Q29" s="83">
        <v>0</v>
      </c>
      <c r="R29" s="83">
        <v>0</v>
      </c>
      <c r="S29" s="83">
        <v>0</v>
      </c>
      <c r="T29" s="83">
        <v>0</v>
      </c>
      <c r="U29" s="82"/>
    </row>
    <row r="30" spans="1:21" ht="17.25" customHeight="1" x14ac:dyDescent="0.3">
      <c r="A30" s="66" t="s">
        <v>30</v>
      </c>
      <c r="C30" s="67"/>
      <c r="D30" s="77"/>
      <c r="E30" s="77"/>
      <c r="F30" s="76"/>
      <c r="G30" s="76"/>
      <c r="H30" s="76"/>
      <c r="I30" s="76"/>
      <c r="J30" s="76"/>
      <c r="K30" s="76"/>
      <c r="L30" s="76"/>
      <c r="M30" s="76"/>
      <c r="N30" s="76"/>
      <c r="O30" s="75"/>
      <c r="P30" s="75"/>
      <c r="Q30" s="75"/>
      <c r="R30" s="75"/>
      <c r="S30" s="75"/>
      <c r="T30" s="75"/>
      <c r="U30" s="74"/>
    </row>
    <row r="31" spans="1:21" ht="17.25" customHeight="1" x14ac:dyDescent="0.3">
      <c r="A31" s="66" t="s">
        <v>30</v>
      </c>
      <c r="C31" s="67"/>
      <c r="D31" s="77"/>
      <c r="E31" s="77" t="s">
        <v>31</v>
      </c>
      <c r="F31" s="76" t="s">
        <v>31</v>
      </c>
      <c r="G31" s="76" t="s">
        <v>31</v>
      </c>
      <c r="H31" s="76"/>
      <c r="I31" s="76"/>
      <c r="J31" s="76" t="s">
        <v>31</v>
      </c>
      <c r="K31" s="76" t="s">
        <v>31</v>
      </c>
      <c r="L31" s="76" t="s">
        <v>31</v>
      </c>
      <c r="M31" s="76" t="s">
        <v>31</v>
      </c>
      <c r="N31" s="76"/>
      <c r="U31" s="81"/>
    </row>
    <row r="32" spans="1:21" ht="20.25" customHeight="1" x14ac:dyDescent="0.35">
      <c r="A32" s="66" t="s">
        <v>30</v>
      </c>
      <c r="C32" s="67"/>
      <c r="D32" s="92" t="str">
        <f t="shared" ref="D32" si="8">E32</f>
        <v>C100006</v>
      </c>
      <c r="E32" s="91" t="str">
        <f>"C100006"</f>
        <v>C100006</v>
      </c>
      <c r="F32" s="89" t="str">
        <f>"Cherry Finished Crystal Award- Large"</f>
        <v>Cherry Finished Crystal Award- Large</v>
      </c>
      <c r="G32" s="89"/>
      <c r="H32" s="90" t="str">
        <f>"EA"</f>
        <v>EA</v>
      </c>
      <c r="I32" s="89"/>
      <c r="J32" s="89"/>
      <c r="K32" s="89"/>
      <c r="L32" s="89"/>
      <c r="M32" s="89"/>
      <c r="N32" s="89"/>
      <c r="O32" s="88">
        <f>(SUBTOTAL(9,O33:O37))</f>
        <v>400</v>
      </c>
      <c r="P32" s="88">
        <f>(SUBTOTAL(9,P33:P37))</f>
        <v>-144</v>
      </c>
      <c r="Q32" s="88">
        <f>(SUBTOTAL(9,Q33:Q37))</f>
        <v>0</v>
      </c>
      <c r="R32" s="88">
        <f>(SUBTOTAL(9,R33:R37))</f>
        <v>0</v>
      </c>
      <c r="S32" s="88">
        <f>(SUBTOTAL(9,S33:S37))</f>
        <v>0</v>
      </c>
      <c r="T32" s="88">
        <f>(SUBTOTAL(9,T33:T37))</f>
        <v>0</v>
      </c>
      <c r="U32" s="87">
        <f t="shared" ref="U32" si="9">SUBTOTAL(9,O33:T37)</f>
        <v>256</v>
      </c>
    </row>
    <row r="33" spans="1:21" ht="17.25" customHeight="1" x14ac:dyDescent="0.3">
      <c r="A33" s="66" t="s">
        <v>30</v>
      </c>
      <c r="C33" s="67"/>
      <c r="D33" s="77" t="str">
        <f t="shared" ref="D33" si="10">D32</f>
        <v>C100006</v>
      </c>
      <c r="E33" s="77"/>
      <c r="F33" s="76"/>
      <c r="G33" s="76" t="str">
        <f>"""NAV Direct"",""CRONUS JetCorp USA"",""32"",""1"",""166386"""</f>
        <v>"NAV Direct","CRONUS JetCorp USA","32","1","166386"</v>
      </c>
      <c r="H33" s="86">
        <v>43466</v>
      </c>
      <c r="I33" s="85">
        <v>166386</v>
      </c>
      <c r="J33" s="84" t="str">
        <f>"Vendor"</f>
        <v>Vendor</v>
      </c>
      <c r="K33" s="84" t="str">
        <f>"V100001"</f>
        <v>V100001</v>
      </c>
      <c r="L33" s="84" t="str">
        <f>IF($J33="Customer",_xll.NL("first",$J33,"Name","No.","@@"&amp;$K33),"")</f>
        <v/>
      </c>
      <c r="M33" s="84" t="str">
        <f>"Greigner, Inc."</f>
        <v>Greigner, Inc.</v>
      </c>
      <c r="N33" s="84" t="str">
        <f>IF($J33="Item",_xll.NL("first",$J33,"Description","No.","@@"&amp;$K33),"")</f>
        <v/>
      </c>
      <c r="O33" s="83">
        <v>400</v>
      </c>
      <c r="P33" s="83">
        <v>0</v>
      </c>
      <c r="Q33" s="83">
        <v>0</v>
      </c>
      <c r="R33" s="83">
        <v>0</v>
      </c>
      <c r="S33" s="83">
        <v>0</v>
      </c>
      <c r="T33" s="83">
        <v>0</v>
      </c>
      <c r="U33" s="82"/>
    </row>
    <row r="34" spans="1:21" ht="17.25" customHeight="1" x14ac:dyDescent="0.3">
      <c r="A34" s="66" t="s">
        <v>30</v>
      </c>
      <c r="C34" s="67"/>
      <c r="D34" s="77" t="str">
        <f t="shared" ref="D34:D36" si="11">D33</f>
        <v>C100006</v>
      </c>
      <c r="E34" s="77"/>
      <c r="F34" s="76"/>
      <c r="G34" s="76" t="str">
        <f>"""NAV Direct"",""CRONUS JetCorp USA"",""32"",""1"",""20330"""</f>
        <v>"NAV Direct","CRONUS JetCorp USA","32","1","20330"</v>
      </c>
      <c r="H34" s="86">
        <v>43472</v>
      </c>
      <c r="I34" s="85">
        <v>20330</v>
      </c>
      <c r="J34" s="84" t="str">
        <f>"Customer"</f>
        <v>Customer</v>
      </c>
      <c r="K34" s="84" t="str">
        <f>"C100145"</f>
        <v>C100145</v>
      </c>
      <c r="L34" s="84" t="str">
        <f>IF($J34="Customer",_xll.NL("first",$J34,"Name","No.","@@"&amp;$K34),"")</f>
        <v>Dicon Industries</v>
      </c>
      <c r="M34" s="84" t="str">
        <f>""</f>
        <v/>
      </c>
      <c r="N34" s="84" t="str">
        <f>IF($J34="Item",_xll.NL("first",$J34,"Description","No.","@@"&amp;$K34),"")</f>
        <v/>
      </c>
      <c r="O34" s="83">
        <v>0</v>
      </c>
      <c r="P34" s="83">
        <v>-48</v>
      </c>
      <c r="Q34" s="83">
        <v>0</v>
      </c>
      <c r="R34" s="83">
        <v>0</v>
      </c>
      <c r="S34" s="83">
        <v>0</v>
      </c>
      <c r="T34" s="83">
        <v>0</v>
      </c>
      <c r="U34" s="82"/>
    </row>
    <row r="35" spans="1:21" ht="17.25" customHeight="1" x14ac:dyDescent="0.3">
      <c r="A35" s="66" t="s">
        <v>30</v>
      </c>
      <c r="C35" s="67"/>
      <c r="D35" s="77" t="str">
        <f t="shared" si="11"/>
        <v>C100006</v>
      </c>
      <c r="E35" s="77"/>
      <c r="F35" s="76"/>
      <c r="G35" s="76" t="str">
        <f>"""NAV Direct"",""CRONUS JetCorp USA"",""32"",""1"",""128882"""</f>
        <v>"NAV Direct","CRONUS JetCorp USA","32","1","128882"</v>
      </c>
      <c r="H35" s="86">
        <v>43475</v>
      </c>
      <c r="I35" s="85">
        <v>128882</v>
      </c>
      <c r="J35" s="84" t="str">
        <f>"Customer"</f>
        <v>Customer</v>
      </c>
      <c r="K35" s="84" t="str">
        <f>"C100095"</f>
        <v>C100095</v>
      </c>
      <c r="L35" s="84" t="str">
        <f>IF($J35="Customer",_xll.NL("first",$J35,"Name","No.","@@"&amp;$K35),"")</f>
        <v>Randotax Outfitters</v>
      </c>
      <c r="M35" s="84" t="str">
        <f>""</f>
        <v/>
      </c>
      <c r="N35" s="84" t="str">
        <f>IF($J35="Item",_xll.NL("first",$J35,"Description","No.","@@"&amp;$K35),"")</f>
        <v/>
      </c>
      <c r="O35" s="83">
        <v>0</v>
      </c>
      <c r="P35" s="83">
        <v>-48</v>
      </c>
      <c r="Q35" s="83">
        <v>0</v>
      </c>
      <c r="R35" s="83">
        <v>0</v>
      </c>
      <c r="S35" s="83">
        <v>0</v>
      </c>
      <c r="T35" s="83">
        <v>0</v>
      </c>
      <c r="U35" s="82"/>
    </row>
    <row r="36" spans="1:21" ht="17.25" customHeight="1" x14ac:dyDescent="0.3">
      <c r="A36" s="66" t="s">
        <v>30</v>
      </c>
      <c r="C36" s="67"/>
      <c r="D36" s="77" t="str">
        <f t="shared" si="11"/>
        <v>C100006</v>
      </c>
      <c r="E36" s="77"/>
      <c r="F36" s="76"/>
      <c r="G36" s="76" t="str">
        <f>"""NAV Direct"",""CRONUS JetCorp USA"",""32"",""1"",""132518"""</f>
        <v>"NAV Direct","CRONUS JetCorp USA","32","1","132518"</v>
      </c>
      <c r="H36" s="86">
        <v>43477</v>
      </c>
      <c r="I36" s="85">
        <v>132518</v>
      </c>
      <c r="J36" s="84" t="str">
        <f>"Customer"</f>
        <v>Customer</v>
      </c>
      <c r="K36" s="84" t="str">
        <f>"C100082"</f>
        <v>C100082</v>
      </c>
      <c r="L36" s="84" t="str">
        <f>IF($J36="Customer",_xll.NL("first",$J36,"Name","No.","@@"&amp;$K36),"")</f>
        <v>Sporting Goods Emporium</v>
      </c>
      <c r="M36" s="84" t="str">
        <f>""</f>
        <v/>
      </c>
      <c r="N36" s="84" t="str">
        <f>IF($J36="Item",_xll.NL("first",$J36,"Description","No.","@@"&amp;$K36),"")</f>
        <v/>
      </c>
      <c r="O36" s="83">
        <v>0</v>
      </c>
      <c r="P36" s="83">
        <v>-48</v>
      </c>
      <c r="Q36" s="83">
        <v>0</v>
      </c>
      <c r="R36" s="83">
        <v>0</v>
      </c>
      <c r="S36" s="83">
        <v>0</v>
      </c>
      <c r="T36" s="83">
        <v>0</v>
      </c>
      <c r="U36" s="82"/>
    </row>
    <row r="37" spans="1:21" ht="17.25" customHeight="1" x14ac:dyDescent="0.3">
      <c r="A37" s="66" t="s">
        <v>30</v>
      </c>
      <c r="C37" s="67"/>
      <c r="D37" s="77"/>
      <c r="E37" s="77"/>
      <c r="F37" s="76"/>
      <c r="G37" s="76"/>
      <c r="H37" s="76"/>
      <c r="I37" s="76"/>
      <c r="J37" s="76"/>
      <c r="K37" s="76"/>
      <c r="L37" s="76"/>
      <c r="M37" s="76"/>
      <c r="N37" s="76"/>
      <c r="O37" s="75"/>
      <c r="P37" s="75"/>
      <c r="Q37" s="75"/>
      <c r="R37" s="75"/>
      <c r="S37" s="75"/>
      <c r="T37" s="75"/>
      <c r="U37" s="74"/>
    </row>
    <row r="38" spans="1:21" ht="17.25" customHeight="1" x14ac:dyDescent="0.3">
      <c r="A38" s="66" t="s">
        <v>30</v>
      </c>
      <c r="C38" s="67"/>
      <c r="D38" s="77"/>
      <c r="E38" s="77" t="s">
        <v>31</v>
      </c>
      <c r="F38" s="76" t="s">
        <v>31</v>
      </c>
      <c r="G38" s="76" t="s">
        <v>31</v>
      </c>
      <c r="H38" s="76"/>
      <c r="I38" s="76"/>
      <c r="J38" s="76" t="s">
        <v>31</v>
      </c>
      <c r="K38" s="76" t="s">
        <v>31</v>
      </c>
      <c r="L38" s="76" t="s">
        <v>31</v>
      </c>
      <c r="M38" s="76" t="s">
        <v>31</v>
      </c>
      <c r="N38" s="76"/>
      <c r="U38" s="81"/>
    </row>
    <row r="39" spans="1:21" ht="20.25" customHeight="1" x14ac:dyDescent="0.35">
      <c r="A39" s="66" t="s">
        <v>30</v>
      </c>
      <c r="C39" s="67"/>
      <c r="D39" s="92" t="str">
        <f t="shared" ref="D39" si="12">E39</f>
        <v>C100007</v>
      </c>
      <c r="E39" s="91" t="str">
        <f>"C100007"</f>
        <v>C100007</v>
      </c>
      <c r="F39" s="89" t="str">
        <f>"7.5'' Bud Vase"</f>
        <v>7.5'' Bud Vase</v>
      </c>
      <c r="G39" s="89"/>
      <c r="H39" s="90" t="str">
        <f>"EA"</f>
        <v>EA</v>
      </c>
      <c r="I39" s="89"/>
      <c r="J39" s="89"/>
      <c r="K39" s="89"/>
      <c r="L39" s="89"/>
      <c r="M39" s="89"/>
      <c r="N39" s="89"/>
      <c r="O39" s="88">
        <f>(SUBTOTAL(9,O40:O42))</f>
        <v>200</v>
      </c>
      <c r="P39" s="88">
        <f>(SUBTOTAL(9,P40:P42))</f>
        <v>-1</v>
      </c>
      <c r="Q39" s="88">
        <f>(SUBTOTAL(9,Q40:Q42))</f>
        <v>0</v>
      </c>
      <c r="R39" s="88">
        <f>(SUBTOTAL(9,R40:R42))</f>
        <v>0</v>
      </c>
      <c r="S39" s="88">
        <f>(SUBTOTAL(9,S40:S42))</f>
        <v>0</v>
      </c>
      <c r="T39" s="88">
        <f>(SUBTOTAL(9,T40:T42))</f>
        <v>0</v>
      </c>
      <c r="U39" s="87">
        <f t="shared" ref="U39" si="13">SUBTOTAL(9,O40:T42)</f>
        <v>199</v>
      </c>
    </row>
    <row r="40" spans="1:21" ht="17.25" customHeight="1" x14ac:dyDescent="0.3">
      <c r="A40" s="66" t="s">
        <v>30</v>
      </c>
      <c r="C40" s="67"/>
      <c r="D40" s="77" t="str">
        <f t="shared" ref="D40" si="14">D39</f>
        <v>C100007</v>
      </c>
      <c r="E40" s="77"/>
      <c r="F40" s="76"/>
      <c r="G40" s="76" t="str">
        <f>"""NAV Direct"",""CRONUS JetCorp USA"",""32"",""1"",""166385"""</f>
        <v>"NAV Direct","CRONUS JetCorp USA","32","1","166385"</v>
      </c>
      <c r="H40" s="86">
        <v>43466</v>
      </c>
      <c r="I40" s="85">
        <v>166385</v>
      </c>
      <c r="J40" s="84" t="str">
        <f>"Vendor"</f>
        <v>Vendor</v>
      </c>
      <c r="K40" s="84" t="str">
        <f>"V100001"</f>
        <v>V100001</v>
      </c>
      <c r="L40" s="84" t="str">
        <f>IF($J40="Customer",_xll.NL("first",$J40,"Name","No.","@@"&amp;$K40),"")</f>
        <v/>
      </c>
      <c r="M40" s="84" t="str">
        <f>"Greigner, Inc."</f>
        <v>Greigner, Inc.</v>
      </c>
      <c r="N40" s="84" t="str">
        <f>IF($J40="Item",_xll.NL("first",$J40,"Description","No.","@@"&amp;$K40),"")</f>
        <v/>
      </c>
      <c r="O40" s="83">
        <v>200</v>
      </c>
      <c r="P40" s="83">
        <v>0</v>
      </c>
      <c r="Q40" s="83">
        <v>0</v>
      </c>
      <c r="R40" s="83">
        <v>0</v>
      </c>
      <c r="S40" s="83">
        <v>0</v>
      </c>
      <c r="T40" s="83">
        <v>0</v>
      </c>
      <c r="U40" s="82"/>
    </row>
    <row r="41" spans="1:21" ht="17.25" customHeight="1" x14ac:dyDescent="0.3">
      <c r="A41" s="66" t="s">
        <v>30</v>
      </c>
      <c r="C41" s="67"/>
      <c r="D41" s="77" t="str">
        <f t="shared" ref="D41" si="15">D40</f>
        <v>C100007</v>
      </c>
      <c r="E41" s="77"/>
      <c r="F41" s="76"/>
      <c r="G41" s="76" t="str">
        <f>"""NAV Direct"",""CRONUS JetCorp USA"",""32"",""1"",""10227"""</f>
        <v>"NAV Direct","CRONUS JetCorp USA","32","1","10227"</v>
      </c>
      <c r="H41" s="86">
        <v>43471</v>
      </c>
      <c r="I41" s="85">
        <v>10227</v>
      </c>
      <c r="J41" s="84" t="str">
        <f>"Customer"</f>
        <v>Customer</v>
      </c>
      <c r="K41" s="84" t="str">
        <f>"C100066"</f>
        <v>C100066</v>
      </c>
      <c r="L41" s="84" t="str">
        <f>IF($J41="Customer",_xll.NL("first",$J41,"Name","No.","@@"&amp;$K41),"")</f>
        <v>Office Solutions</v>
      </c>
      <c r="M41" s="84" t="str">
        <f>""</f>
        <v/>
      </c>
      <c r="N41" s="84" t="str">
        <f>IF($J41="Item",_xll.NL("first",$J41,"Description","No.","@@"&amp;$K41),"")</f>
        <v/>
      </c>
      <c r="O41" s="83">
        <v>0</v>
      </c>
      <c r="P41" s="83">
        <v>-1</v>
      </c>
      <c r="Q41" s="83">
        <v>0</v>
      </c>
      <c r="R41" s="83">
        <v>0</v>
      </c>
      <c r="S41" s="83">
        <v>0</v>
      </c>
      <c r="T41" s="83">
        <v>0</v>
      </c>
      <c r="U41" s="82"/>
    </row>
    <row r="42" spans="1:21" ht="17.25" customHeight="1" x14ac:dyDescent="0.3">
      <c r="A42" s="66" t="s">
        <v>30</v>
      </c>
      <c r="C42" s="67"/>
      <c r="D42" s="77"/>
      <c r="E42" s="77"/>
      <c r="F42" s="76"/>
      <c r="G42" s="76"/>
      <c r="H42" s="76"/>
      <c r="I42" s="76"/>
      <c r="J42" s="76"/>
      <c r="K42" s="76"/>
      <c r="L42" s="76"/>
      <c r="M42" s="76"/>
      <c r="N42" s="76"/>
      <c r="O42" s="75"/>
      <c r="P42" s="75"/>
      <c r="Q42" s="75"/>
      <c r="R42" s="75"/>
      <c r="S42" s="75"/>
      <c r="T42" s="75"/>
      <c r="U42" s="74"/>
    </row>
    <row r="43" spans="1:21" ht="17.25" customHeight="1" x14ac:dyDescent="0.3">
      <c r="A43" s="66" t="s">
        <v>30</v>
      </c>
      <c r="C43" s="67"/>
      <c r="D43" s="77"/>
      <c r="E43" s="77" t="s">
        <v>31</v>
      </c>
      <c r="F43" s="76" t="s">
        <v>31</v>
      </c>
      <c r="G43" s="76" t="s">
        <v>31</v>
      </c>
      <c r="H43" s="76"/>
      <c r="I43" s="76"/>
      <c r="J43" s="76" t="s">
        <v>31</v>
      </c>
      <c r="K43" s="76" t="s">
        <v>31</v>
      </c>
      <c r="L43" s="76" t="s">
        <v>31</v>
      </c>
      <c r="M43" s="76" t="s">
        <v>31</v>
      </c>
      <c r="N43" s="76"/>
      <c r="U43" s="81"/>
    </row>
    <row r="44" spans="1:21" ht="20.25" customHeight="1" x14ac:dyDescent="0.35">
      <c r="A44" s="66" t="s">
        <v>30</v>
      </c>
      <c r="C44" s="67"/>
      <c r="D44" s="92" t="str">
        <f t="shared" ref="D44" si="16">E44</f>
        <v>C100008</v>
      </c>
      <c r="E44" s="91" t="str">
        <f>"C100008"</f>
        <v>C100008</v>
      </c>
      <c r="F44" s="89" t="str">
        <f>"Glacier Vase"</f>
        <v>Glacier Vase</v>
      </c>
      <c r="G44" s="89"/>
      <c r="H44" s="90" t="str">
        <f>"EA"</f>
        <v>EA</v>
      </c>
      <c r="I44" s="89"/>
      <c r="J44" s="89"/>
      <c r="K44" s="89"/>
      <c r="L44" s="89"/>
      <c r="M44" s="89"/>
      <c r="N44" s="89"/>
      <c r="O44" s="88">
        <f>(SUBTOTAL(9,O45:O46))</f>
        <v>100</v>
      </c>
      <c r="P44" s="88">
        <f>(SUBTOTAL(9,P45:P46))</f>
        <v>0</v>
      </c>
      <c r="Q44" s="88">
        <f>(SUBTOTAL(9,Q45:Q46))</f>
        <v>0</v>
      </c>
      <c r="R44" s="88">
        <f>(SUBTOTAL(9,R45:R46))</f>
        <v>0</v>
      </c>
      <c r="S44" s="88">
        <f>(SUBTOTAL(9,S45:S46))</f>
        <v>0</v>
      </c>
      <c r="T44" s="88">
        <f>(SUBTOTAL(9,T45:T46))</f>
        <v>0</v>
      </c>
      <c r="U44" s="87">
        <f t="shared" ref="U44" si="17">SUBTOTAL(9,O45:T46)</f>
        <v>100</v>
      </c>
    </row>
    <row r="45" spans="1:21" ht="17.25" customHeight="1" x14ac:dyDescent="0.3">
      <c r="A45" s="66" t="s">
        <v>30</v>
      </c>
      <c r="C45" s="67"/>
      <c r="D45" s="77" t="str">
        <f t="shared" ref="D45" si="18">D44</f>
        <v>C100008</v>
      </c>
      <c r="E45" s="77"/>
      <c r="F45" s="76"/>
      <c r="G45" s="76" t="str">
        <f>"""NAV Direct"",""CRONUS JetCorp USA"",""32"",""1"",""166384"""</f>
        <v>"NAV Direct","CRONUS JetCorp USA","32","1","166384"</v>
      </c>
      <c r="H45" s="86">
        <v>43466</v>
      </c>
      <c r="I45" s="85">
        <v>166384</v>
      </c>
      <c r="J45" s="84" t="str">
        <f>"Vendor"</f>
        <v>Vendor</v>
      </c>
      <c r="K45" s="84" t="str">
        <f>"V100001"</f>
        <v>V100001</v>
      </c>
      <c r="L45" s="84" t="str">
        <f>IF($J45="Customer",_xll.NL("first",$J45,"Name","No.","@@"&amp;$K45),"")</f>
        <v/>
      </c>
      <c r="M45" s="84" t="str">
        <f>"Greigner, Inc."</f>
        <v>Greigner, Inc.</v>
      </c>
      <c r="N45" s="84" t="str">
        <f>IF($J45="Item",_xll.NL("first",$J45,"Description","No.","@@"&amp;$K45),"")</f>
        <v/>
      </c>
      <c r="O45" s="83">
        <v>100</v>
      </c>
      <c r="P45" s="83">
        <v>0</v>
      </c>
      <c r="Q45" s="83">
        <v>0</v>
      </c>
      <c r="R45" s="83">
        <v>0</v>
      </c>
      <c r="S45" s="83">
        <v>0</v>
      </c>
      <c r="T45" s="83">
        <v>0</v>
      </c>
      <c r="U45" s="82"/>
    </row>
    <row r="46" spans="1:21" ht="17.25" customHeight="1" x14ac:dyDescent="0.3">
      <c r="A46" s="66" t="s">
        <v>30</v>
      </c>
      <c r="C46" s="67"/>
      <c r="D46" s="77"/>
      <c r="E46" s="77"/>
      <c r="F46" s="76"/>
      <c r="G46" s="76"/>
      <c r="H46" s="76"/>
      <c r="I46" s="76"/>
      <c r="J46" s="76"/>
      <c r="K46" s="76"/>
      <c r="L46" s="76"/>
      <c r="M46" s="76"/>
      <c r="N46" s="76"/>
      <c r="O46" s="75"/>
      <c r="P46" s="75"/>
      <c r="Q46" s="75"/>
      <c r="R46" s="75"/>
      <c r="S46" s="75"/>
      <c r="T46" s="75"/>
      <c r="U46" s="74"/>
    </row>
    <row r="47" spans="1:21" ht="17.25" customHeight="1" x14ac:dyDescent="0.3">
      <c r="A47" s="66" t="s">
        <v>30</v>
      </c>
      <c r="C47" s="67"/>
      <c r="D47" s="77"/>
      <c r="E47" s="77" t="s">
        <v>31</v>
      </c>
      <c r="F47" s="76" t="s">
        <v>31</v>
      </c>
      <c r="G47" s="76" t="s">
        <v>31</v>
      </c>
      <c r="H47" s="76"/>
      <c r="I47" s="76"/>
      <c r="J47" s="76" t="s">
        <v>31</v>
      </c>
      <c r="K47" s="76" t="s">
        <v>31</v>
      </c>
      <c r="L47" s="76" t="s">
        <v>31</v>
      </c>
      <c r="M47" s="76" t="s">
        <v>31</v>
      </c>
      <c r="N47" s="76"/>
      <c r="U47" s="81"/>
    </row>
    <row r="48" spans="1:21" ht="20.25" customHeight="1" x14ac:dyDescent="0.35">
      <c r="A48" s="66" t="s">
        <v>30</v>
      </c>
      <c r="C48" s="67"/>
      <c r="D48" s="92" t="str">
        <f t="shared" ref="D48" si="19">E48</f>
        <v>C100009</v>
      </c>
      <c r="E48" s="91" t="str">
        <f>"C100009"</f>
        <v>C100009</v>
      </c>
      <c r="F48" s="89" t="str">
        <f>"Normandy Vase"</f>
        <v>Normandy Vase</v>
      </c>
      <c r="G48" s="89"/>
      <c r="H48" s="90" t="str">
        <f>"EA"</f>
        <v>EA</v>
      </c>
      <c r="I48" s="89"/>
      <c r="J48" s="89"/>
      <c r="K48" s="89"/>
      <c r="L48" s="89"/>
      <c r="M48" s="89"/>
      <c r="N48" s="89"/>
      <c r="O48" s="88">
        <f>(SUBTOTAL(9,O49:O52))</f>
        <v>200</v>
      </c>
      <c r="P48" s="88">
        <f>(SUBTOTAL(9,P49:P52))</f>
        <v>-60</v>
      </c>
      <c r="Q48" s="88">
        <f>(SUBTOTAL(9,Q49:Q52))</f>
        <v>0</v>
      </c>
      <c r="R48" s="88">
        <f>(SUBTOTAL(9,R49:R52))</f>
        <v>0</v>
      </c>
      <c r="S48" s="88">
        <f>(SUBTOTAL(9,S49:S52))</f>
        <v>0</v>
      </c>
      <c r="T48" s="88">
        <f>(SUBTOTAL(9,T49:T52))</f>
        <v>0</v>
      </c>
      <c r="U48" s="87">
        <f t="shared" ref="U48" si="20">SUBTOTAL(9,O49:T52)</f>
        <v>140</v>
      </c>
    </row>
    <row r="49" spans="1:21" ht="17.25" customHeight="1" x14ac:dyDescent="0.3">
      <c r="A49" s="66" t="s">
        <v>30</v>
      </c>
      <c r="C49" s="67"/>
      <c r="D49" s="77" t="str">
        <f t="shared" ref="D49" si="21">D48</f>
        <v>C100009</v>
      </c>
      <c r="E49" s="77"/>
      <c r="F49" s="76"/>
      <c r="G49" s="76" t="str">
        <f>"""NAV Direct"",""CRONUS JetCorp USA"",""32"",""1"",""166383"""</f>
        <v>"NAV Direct","CRONUS JetCorp USA","32","1","166383"</v>
      </c>
      <c r="H49" s="86">
        <v>43466</v>
      </c>
      <c r="I49" s="85">
        <v>166383</v>
      </c>
      <c r="J49" s="84" t="str">
        <f>"Vendor"</f>
        <v>Vendor</v>
      </c>
      <c r="K49" s="84" t="str">
        <f>"V100001"</f>
        <v>V100001</v>
      </c>
      <c r="L49" s="84" t="str">
        <f>IF($J49="Customer",_xll.NL("first",$J49,"Name","No.","@@"&amp;$K49),"")</f>
        <v/>
      </c>
      <c r="M49" s="84" t="str">
        <f>"Greigner, Inc."</f>
        <v>Greigner, Inc.</v>
      </c>
      <c r="N49" s="84" t="str">
        <f>IF($J49="Item",_xll.NL("first",$J49,"Description","No.","@@"&amp;$K49),"")</f>
        <v/>
      </c>
      <c r="O49" s="83">
        <v>200</v>
      </c>
      <c r="P49" s="83">
        <v>0</v>
      </c>
      <c r="Q49" s="83">
        <v>0</v>
      </c>
      <c r="R49" s="83">
        <v>0</v>
      </c>
      <c r="S49" s="83">
        <v>0</v>
      </c>
      <c r="T49" s="83">
        <v>0</v>
      </c>
      <c r="U49" s="82"/>
    </row>
    <row r="50" spans="1:21" ht="17.25" customHeight="1" x14ac:dyDescent="0.3">
      <c r="A50" s="66" t="s">
        <v>30</v>
      </c>
      <c r="C50" s="67"/>
      <c r="D50" s="77" t="str">
        <f t="shared" ref="D50:D51" si="22">D49</f>
        <v>C100009</v>
      </c>
      <c r="E50" s="77"/>
      <c r="F50" s="76"/>
      <c r="G50" s="76" t="str">
        <f>"""NAV Direct"",""CRONUS JetCorp USA"",""32"",""1"",""10219"""</f>
        <v>"NAV Direct","CRONUS JetCorp USA","32","1","10219"</v>
      </c>
      <c r="H50" s="86">
        <v>43471</v>
      </c>
      <c r="I50" s="85">
        <v>10219</v>
      </c>
      <c r="J50" s="84" t="str">
        <f>"Customer"</f>
        <v>Customer</v>
      </c>
      <c r="K50" s="84" t="str">
        <f>"C100066"</f>
        <v>C100066</v>
      </c>
      <c r="L50" s="84" t="str">
        <f>IF($J50="Customer",_xll.NL("first",$J50,"Name","No.","@@"&amp;$K50),"")</f>
        <v>Office Solutions</v>
      </c>
      <c r="M50" s="84" t="str">
        <f>""</f>
        <v/>
      </c>
      <c r="N50" s="84" t="str">
        <f>IF($J50="Item",_xll.NL("first",$J50,"Description","No.","@@"&amp;$K50),"")</f>
        <v/>
      </c>
      <c r="O50" s="83">
        <v>0</v>
      </c>
      <c r="P50" s="83">
        <v>-48</v>
      </c>
      <c r="Q50" s="83">
        <v>0</v>
      </c>
      <c r="R50" s="83">
        <v>0</v>
      </c>
      <c r="S50" s="83">
        <v>0</v>
      </c>
      <c r="T50" s="83">
        <v>0</v>
      </c>
      <c r="U50" s="82"/>
    </row>
    <row r="51" spans="1:21" ht="17.25" customHeight="1" x14ac:dyDescent="0.3">
      <c r="A51" s="66" t="s">
        <v>30</v>
      </c>
      <c r="C51" s="67"/>
      <c r="D51" s="77" t="str">
        <f t="shared" si="22"/>
        <v>C100009</v>
      </c>
      <c r="E51" s="77"/>
      <c r="F51" s="76"/>
      <c r="G51" s="76" t="str">
        <f>"""NAV Direct"",""CRONUS JetCorp USA"",""32"",""1"",""116378"""</f>
        <v>"NAV Direct","CRONUS JetCorp USA","32","1","116378"</v>
      </c>
      <c r="H51" s="86">
        <v>43473</v>
      </c>
      <c r="I51" s="85">
        <v>116378</v>
      </c>
      <c r="J51" s="84" t="str">
        <f>"Customer"</f>
        <v>Customer</v>
      </c>
      <c r="K51" s="84" t="str">
        <f>"C100066"</f>
        <v>C100066</v>
      </c>
      <c r="L51" s="84" t="str">
        <f>IF($J51="Customer",_xll.NL("first",$J51,"Name","No.","@@"&amp;$K51),"")</f>
        <v>Office Solutions</v>
      </c>
      <c r="M51" s="84" t="str">
        <f>""</f>
        <v/>
      </c>
      <c r="N51" s="84" t="str">
        <f>IF($J51="Item",_xll.NL("first",$J51,"Description","No.","@@"&amp;$K51),"")</f>
        <v/>
      </c>
      <c r="O51" s="83">
        <v>0</v>
      </c>
      <c r="P51" s="83">
        <v>-12</v>
      </c>
      <c r="Q51" s="83">
        <v>0</v>
      </c>
      <c r="R51" s="83">
        <v>0</v>
      </c>
      <c r="S51" s="83">
        <v>0</v>
      </c>
      <c r="T51" s="83">
        <v>0</v>
      </c>
      <c r="U51" s="82"/>
    </row>
    <row r="52" spans="1:21" ht="17.25" customHeight="1" x14ac:dyDescent="0.3">
      <c r="A52" s="66" t="s">
        <v>30</v>
      </c>
      <c r="C52" s="67"/>
      <c r="D52" s="77"/>
      <c r="E52" s="77"/>
      <c r="F52" s="76"/>
      <c r="G52" s="76"/>
      <c r="H52" s="76"/>
      <c r="I52" s="76"/>
      <c r="J52" s="76"/>
      <c r="K52" s="76"/>
      <c r="L52" s="76"/>
      <c r="M52" s="76"/>
      <c r="N52" s="76"/>
      <c r="O52" s="75"/>
      <c r="P52" s="75"/>
      <c r="Q52" s="75"/>
      <c r="R52" s="75"/>
      <c r="S52" s="75"/>
      <c r="T52" s="75"/>
      <c r="U52" s="74"/>
    </row>
    <row r="53" spans="1:21" ht="17.25" customHeight="1" x14ac:dyDescent="0.3">
      <c r="A53" s="66" t="s">
        <v>30</v>
      </c>
      <c r="C53" s="67"/>
      <c r="D53" s="77"/>
      <c r="E53" s="77" t="s">
        <v>31</v>
      </c>
      <c r="F53" s="76" t="s">
        <v>31</v>
      </c>
      <c r="G53" s="76" t="s">
        <v>31</v>
      </c>
      <c r="H53" s="76"/>
      <c r="I53" s="76"/>
      <c r="J53" s="76" t="s">
        <v>31</v>
      </c>
      <c r="K53" s="76" t="s">
        <v>31</v>
      </c>
      <c r="L53" s="76" t="s">
        <v>31</v>
      </c>
      <c r="M53" s="76" t="s">
        <v>31</v>
      </c>
      <c r="N53" s="76"/>
      <c r="U53" s="81"/>
    </row>
    <row r="54" spans="1:21" ht="20.25" customHeight="1" x14ac:dyDescent="0.35">
      <c r="A54" s="66" t="s">
        <v>30</v>
      </c>
      <c r="C54" s="67"/>
      <c r="D54" s="92" t="str">
        <f t="shared" ref="D54" si="23">E54</f>
        <v>C100010</v>
      </c>
      <c r="E54" s="91" t="str">
        <f>"C100010"</f>
        <v>C100010</v>
      </c>
      <c r="F54" s="89" t="str">
        <f>"Wisper-Cut Vase"</f>
        <v>Wisper-Cut Vase</v>
      </c>
      <c r="G54" s="89"/>
      <c r="H54" s="90" t="str">
        <f>"EA"</f>
        <v>EA</v>
      </c>
      <c r="I54" s="89"/>
      <c r="J54" s="89"/>
      <c r="K54" s="89"/>
      <c r="L54" s="89"/>
      <c r="M54" s="89"/>
      <c r="N54" s="89"/>
      <c r="O54" s="88">
        <f>(SUBTOTAL(9,O55:O56))</f>
        <v>200</v>
      </c>
      <c r="P54" s="88">
        <f>(SUBTOTAL(9,P55:P56))</f>
        <v>0</v>
      </c>
      <c r="Q54" s="88">
        <f>(SUBTOTAL(9,Q55:Q56))</f>
        <v>0</v>
      </c>
      <c r="R54" s="88">
        <f>(SUBTOTAL(9,R55:R56))</f>
        <v>0</v>
      </c>
      <c r="S54" s="88">
        <f>(SUBTOTAL(9,S55:S56))</f>
        <v>0</v>
      </c>
      <c r="T54" s="88">
        <f>(SUBTOTAL(9,T55:T56))</f>
        <v>0</v>
      </c>
      <c r="U54" s="87">
        <f t="shared" ref="U54" si="24">SUBTOTAL(9,O55:T56)</f>
        <v>200</v>
      </c>
    </row>
    <row r="55" spans="1:21" ht="17.25" customHeight="1" x14ac:dyDescent="0.3">
      <c r="A55" s="66" t="s">
        <v>30</v>
      </c>
      <c r="C55" s="67"/>
      <c r="D55" s="77" t="str">
        <f t="shared" ref="D55" si="25">D54</f>
        <v>C100010</v>
      </c>
      <c r="E55" s="77"/>
      <c r="F55" s="76"/>
      <c r="G55" s="76" t="str">
        <f>"""NAV Direct"",""CRONUS JetCorp USA"",""32"",""1"",""166382"""</f>
        <v>"NAV Direct","CRONUS JetCorp USA","32","1","166382"</v>
      </c>
      <c r="H55" s="86">
        <v>43466</v>
      </c>
      <c r="I55" s="85">
        <v>166382</v>
      </c>
      <c r="J55" s="84" t="str">
        <f>"Vendor"</f>
        <v>Vendor</v>
      </c>
      <c r="K55" s="84" t="str">
        <f>"V100001"</f>
        <v>V100001</v>
      </c>
      <c r="L55" s="84" t="str">
        <f>IF($J55="Customer",_xll.NL("first",$J55,"Name","No.","@@"&amp;$K55),"")</f>
        <v/>
      </c>
      <c r="M55" s="84" t="str">
        <f>"Greigner, Inc."</f>
        <v>Greigner, Inc.</v>
      </c>
      <c r="N55" s="84" t="str">
        <f>IF($J55="Item",_xll.NL("first",$J55,"Description","No.","@@"&amp;$K55),"")</f>
        <v/>
      </c>
      <c r="O55" s="83">
        <v>200</v>
      </c>
      <c r="P55" s="83">
        <v>0</v>
      </c>
      <c r="Q55" s="83">
        <v>0</v>
      </c>
      <c r="R55" s="83">
        <v>0</v>
      </c>
      <c r="S55" s="83">
        <v>0</v>
      </c>
      <c r="T55" s="83">
        <v>0</v>
      </c>
      <c r="U55" s="82"/>
    </row>
    <row r="56" spans="1:21" ht="17.25" customHeight="1" x14ac:dyDescent="0.3">
      <c r="A56" s="66" t="s">
        <v>30</v>
      </c>
      <c r="C56" s="67"/>
      <c r="D56" s="77"/>
      <c r="E56" s="77"/>
      <c r="F56" s="76"/>
      <c r="G56" s="76"/>
      <c r="H56" s="76"/>
      <c r="I56" s="76"/>
      <c r="J56" s="76"/>
      <c r="K56" s="76"/>
      <c r="L56" s="76"/>
      <c r="M56" s="76"/>
      <c r="N56" s="76"/>
      <c r="O56" s="75"/>
      <c r="P56" s="75"/>
      <c r="Q56" s="75"/>
      <c r="R56" s="75"/>
      <c r="S56" s="75"/>
      <c r="T56" s="75"/>
      <c r="U56" s="74"/>
    </row>
    <row r="57" spans="1:21" ht="17.25" customHeight="1" x14ac:dyDescent="0.3">
      <c r="A57" s="66" t="s">
        <v>30</v>
      </c>
      <c r="C57" s="67"/>
      <c r="D57" s="77"/>
      <c r="E57" s="77" t="s">
        <v>31</v>
      </c>
      <c r="F57" s="76" t="s">
        <v>31</v>
      </c>
      <c r="G57" s="76" t="s">
        <v>31</v>
      </c>
      <c r="H57" s="76"/>
      <c r="I57" s="76"/>
      <c r="J57" s="76" t="s">
        <v>31</v>
      </c>
      <c r="K57" s="76" t="s">
        <v>31</v>
      </c>
      <c r="L57" s="76" t="s">
        <v>31</v>
      </c>
      <c r="M57" s="76" t="s">
        <v>31</v>
      </c>
      <c r="N57" s="76"/>
      <c r="U57" s="81"/>
    </row>
    <row r="58" spans="1:21" ht="20.25" customHeight="1" x14ac:dyDescent="0.35">
      <c r="A58" s="66" t="s">
        <v>30</v>
      </c>
      <c r="C58" s="67"/>
      <c r="D58" s="92" t="str">
        <f t="shared" ref="D58" si="26">E58</f>
        <v>C100014</v>
      </c>
      <c r="E58" s="91" t="str">
        <f>"C100014"</f>
        <v>C100014</v>
      </c>
      <c r="F58" s="89" t="str">
        <f>"Canvas Field Bag"</f>
        <v>Canvas Field Bag</v>
      </c>
      <c r="G58" s="89"/>
      <c r="H58" s="90" t="str">
        <f>"EA"</f>
        <v>EA</v>
      </c>
      <c r="I58" s="89"/>
      <c r="J58" s="89"/>
      <c r="K58" s="89"/>
      <c r="L58" s="89"/>
      <c r="M58" s="89"/>
      <c r="N58" s="89"/>
      <c r="O58" s="88">
        <f>(SUBTOTAL(9,O59:O61))</f>
        <v>1600</v>
      </c>
      <c r="P58" s="88">
        <f>(SUBTOTAL(9,P59:P61))</f>
        <v>-144</v>
      </c>
      <c r="Q58" s="88">
        <f>(SUBTOTAL(9,Q59:Q61))</f>
        <v>0</v>
      </c>
      <c r="R58" s="88">
        <f>(SUBTOTAL(9,R59:R61))</f>
        <v>0</v>
      </c>
      <c r="S58" s="88">
        <f>(SUBTOTAL(9,S59:S61))</f>
        <v>0</v>
      </c>
      <c r="T58" s="88">
        <f>(SUBTOTAL(9,T59:T61))</f>
        <v>0</v>
      </c>
      <c r="U58" s="87">
        <f t="shared" ref="U58" si="27">SUBTOTAL(9,O59:T61)</f>
        <v>1456</v>
      </c>
    </row>
    <row r="59" spans="1:21" ht="17.25" customHeight="1" x14ac:dyDescent="0.3">
      <c r="A59" s="66" t="s">
        <v>30</v>
      </c>
      <c r="C59" s="67"/>
      <c r="D59" s="77" t="str">
        <f t="shared" ref="D59" si="28">D58</f>
        <v>C100014</v>
      </c>
      <c r="E59" s="77"/>
      <c r="F59" s="76"/>
      <c r="G59" s="76" t="str">
        <f>"""NAV Direct"",""CRONUS JetCorp USA"",""32"",""1"",""166778"""</f>
        <v>"NAV Direct","CRONUS JetCorp USA","32","1","166778"</v>
      </c>
      <c r="H59" s="86">
        <v>43466</v>
      </c>
      <c r="I59" s="85">
        <v>166778</v>
      </c>
      <c r="J59" s="84" t="str">
        <f>"Vendor"</f>
        <v>Vendor</v>
      </c>
      <c r="K59" s="84" t="str">
        <f>"V100001"</f>
        <v>V100001</v>
      </c>
      <c r="L59" s="84" t="str">
        <f>IF($J59="Customer",_xll.NL("first",$J59,"Name","No.","@@"&amp;$K59),"")</f>
        <v/>
      </c>
      <c r="M59" s="84" t="str">
        <f>"Greigner, Inc."</f>
        <v>Greigner, Inc.</v>
      </c>
      <c r="N59" s="84" t="str">
        <f>IF($J59="Item",_xll.NL("first",$J59,"Description","No.","@@"&amp;$K59),"")</f>
        <v/>
      </c>
      <c r="O59" s="83">
        <v>1600</v>
      </c>
      <c r="P59" s="83">
        <v>0</v>
      </c>
      <c r="Q59" s="83">
        <v>0</v>
      </c>
      <c r="R59" s="83">
        <v>0</v>
      </c>
      <c r="S59" s="83">
        <v>0</v>
      </c>
      <c r="T59" s="83">
        <v>0</v>
      </c>
      <c r="U59" s="82"/>
    </row>
    <row r="60" spans="1:21" ht="17.25" customHeight="1" x14ac:dyDescent="0.3">
      <c r="A60" s="66" t="s">
        <v>30</v>
      </c>
      <c r="C60" s="67"/>
      <c r="D60" s="77" t="str">
        <f t="shared" ref="D60" si="29">D59</f>
        <v>C100014</v>
      </c>
      <c r="E60" s="77"/>
      <c r="F60" s="76"/>
      <c r="G60" s="76" t="str">
        <f>"""NAV Direct"",""CRONUS JetCorp USA"",""32"",""1"",""128866"""</f>
        <v>"NAV Direct","CRONUS JetCorp USA","32","1","128866"</v>
      </c>
      <c r="H60" s="86">
        <v>43472</v>
      </c>
      <c r="I60" s="85">
        <v>128866</v>
      </c>
      <c r="J60" s="84" t="str">
        <f>"Customer"</f>
        <v>Customer</v>
      </c>
      <c r="K60" s="84" t="str">
        <f>"C100105"</f>
        <v>C100105</v>
      </c>
      <c r="L60" s="84" t="str">
        <f>IF($J60="Customer",_xll.NL("first",$J60,"Name","No.","@@"&amp;$K60),"")</f>
        <v>Esystems</v>
      </c>
      <c r="M60" s="84" t="str">
        <f>""</f>
        <v/>
      </c>
      <c r="N60" s="84" t="str">
        <f>IF($J60="Item",_xll.NL("first",$J60,"Description","No.","@@"&amp;$K60),"")</f>
        <v/>
      </c>
      <c r="O60" s="83">
        <v>0</v>
      </c>
      <c r="P60" s="83">
        <v>-144</v>
      </c>
      <c r="Q60" s="83">
        <v>0</v>
      </c>
      <c r="R60" s="83">
        <v>0</v>
      </c>
      <c r="S60" s="83">
        <v>0</v>
      </c>
      <c r="T60" s="83">
        <v>0</v>
      </c>
      <c r="U60" s="82"/>
    </row>
    <row r="61" spans="1:21" ht="17.25" customHeight="1" x14ac:dyDescent="0.3">
      <c r="A61" s="66" t="s">
        <v>30</v>
      </c>
      <c r="C61" s="67"/>
      <c r="D61" s="77"/>
      <c r="E61" s="77"/>
      <c r="F61" s="76"/>
      <c r="G61" s="76"/>
      <c r="H61" s="76"/>
      <c r="I61" s="76"/>
      <c r="J61" s="76"/>
      <c r="K61" s="76"/>
      <c r="L61" s="76"/>
      <c r="M61" s="76"/>
      <c r="N61" s="76"/>
      <c r="O61" s="75"/>
      <c r="P61" s="75"/>
      <c r="Q61" s="75"/>
      <c r="R61" s="75"/>
      <c r="S61" s="75"/>
      <c r="T61" s="75"/>
      <c r="U61" s="74"/>
    </row>
    <row r="62" spans="1:21" ht="17.25" customHeight="1" x14ac:dyDescent="0.3">
      <c r="A62" s="66" t="s">
        <v>30</v>
      </c>
      <c r="C62" s="67"/>
      <c r="D62" s="77"/>
      <c r="E62" s="77" t="s">
        <v>31</v>
      </c>
      <c r="F62" s="76" t="s">
        <v>31</v>
      </c>
      <c r="G62" s="76" t="s">
        <v>31</v>
      </c>
      <c r="H62" s="76"/>
      <c r="I62" s="76"/>
      <c r="J62" s="76" t="s">
        <v>31</v>
      </c>
      <c r="K62" s="76" t="s">
        <v>31</v>
      </c>
      <c r="L62" s="76" t="s">
        <v>31</v>
      </c>
      <c r="M62" s="76" t="s">
        <v>31</v>
      </c>
      <c r="N62" s="76"/>
      <c r="U62" s="81"/>
    </row>
    <row r="63" spans="1:21" ht="20.25" customHeight="1" x14ac:dyDescent="0.35">
      <c r="A63" s="66" t="s">
        <v>30</v>
      </c>
      <c r="C63" s="67"/>
      <c r="D63" s="92" t="str">
        <f t="shared" ref="D63" si="30">E63</f>
        <v>C100017</v>
      </c>
      <c r="E63" s="91" t="str">
        <f>"C100017"</f>
        <v>C100017</v>
      </c>
      <c r="F63" s="89" t="str">
        <f>"Wheeled Duffel"</f>
        <v>Wheeled Duffel</v>
      </c>
      <c r="G63" s="89"/>
      <c r="H63" s="90" t="str">
        <f>"EA"</f>
        <v>EA</v>
      </c>
      <c r="I63" s="89"/>
      <c r="J63" s="89"/>
      <c r="K63" s="89"/>
      <c r="L63" s="89"/>
      <c r="M63" s="89"/>
      <c r="N63" s="89"/>
      <c r="O63" s="88">
        <f>(SUBTOTAL(9,O64:O68))</f>
        <v>600</v>
      </c>
      <c r="P63" s="88">
        <f>(SUBTOTAL(9,P64:P68))</f>
        <v>-120</v>
      </c>
      <c r="Q63" s="88">
        <f>(SUBTOTAL(9,Q64:Q68))</f>
        <v>0</v>
      </c>
      <c r="R63" s="88">
        <f>(SUBTOTAL(9,R64:R68))</f>
        <v>0</v>
      </c>
      <c r="S63" s="88">
        <f>(SUBTOTAL(9,S64:S68))</f>
        <v>0</v>
      </c>
      <c r="T63" s="88">
        <f>(SUBTOTAL(9,T64:T68))</f>
        <v>0</v>
      </c>
      <c r="U63" s="87">
        <f t="shared" ref="U63" si="31">SUBTOTAL(9,O64:T68)</f>
        <v>480</v>
      </c>
    </row>
    <row r="64" spans="1:21" ht="17.25" customHeight="1" x14ac:dyDescent="0.3">
      <c r="A64" s="66" t="s">
        <v>30</v>
      </c>
      <c r="C64" s="67"/>
      <c r="D64" s="77" t="str">
        <f t="shared" ref="D64" si="32">D63</f>
        <v>C100017</v>
      </c>
      <c r="E64" s="77"/>
      <c r="F64" s="76"/>
      <c r="G64" s="76" t="str">
        <f>"""NAV Direct"",""CRONUS JetCorp USA"",""32"",""1"",""166777"""</f>
        <v>"NAV Direct","CRONUS JetCorp USA","32","1","166777"</v>
      </c>
      <c r="H64" s="86">
        <v>43466</v>
      </c>
      <c r="I64" s="85">
        <v>166777</v>
      </c>
      <c r="J64" s="84" t="str">
        <f>"Vendor"</f>
        <v>Vendor</v>
      </c>
      <c r="K64" s="84" t="str">
        <f>"V100001"</f>
        <v>V100001</v>
      </c>
      <c r="L64" s="84" t="str">
        <f>IF($J64="Customer",_xll.NL("first",$J64,"Name","No.","@@"&amp;$K64),"")</f>
        <v/>
      </c>
      <c r="M64" s="84" t="str">
        <f>"Greigner, Inc."</f>
        <v>Greigner, Inc.</v>
      </c>
      <c r="N64" s="84" t="str">
        <f>IF($J64="Item",_xll.NL("first",$J64,"Description","No.","@@"&amp;$K64),"")</f>
        <v/>
      </c>
      <c r="O64" s="83">
        <v>600</v>
      </c>
      <c r="P64" s="83">
        <v>0</v>
      </c>
      <c r="Q64" s="83">
        <v>0</v>
      </c>
      <c r="R64" s="83">
        <v>0</v>
      </c>
      <c r="S64" s="83">
        <v>0</v>
      </c>
      <c r="T64" s="83">
        <v>0</v>
      </c>
      <c r="U64" s="82"/>
    </row>
    <row r="65" spans="1:21" ht="17.25" customHeight="1" x14ac:dyDescent="0.3">
      <c r="A65" s="66" t="s">
        <v>30</v>
      </c>
      <c r="C65" s="67"/>
      <c r="D65" s="77" t="str">
        <f t="shared" ref="D65:D67" si="33">D64</f>
        <v>C100017</v>
      </c>
      <c r="E65" s="77"/>
      <c r="F65" s="76"/>
      <c r="G65" s="76" t="str">
        <f>"""NAV Direct"",""CRONUS JetCorp USA"",""32"",""1"",""20363"""</f>
        <v>"NAV Direct","CRONUS JetCorp USA","32","1","20363"</v>
      </c>
      <c r="H65" s="86">
        <v>43468</v>
      </c>
      <c r="I65" s="85">
        <v>20363</v>
      </c>
      <c r="J65" s="84" t="str">
        <f>"Customer"</f>
        <v>Customer</v>
      </c>
      <c r="K65" s="84" t="str">
        <f>"C100145"</f>
        <v>C100145</v>
      </c>
      <c r="L65" s="84" t="str">
        <f>IF($J65="Customer",_xll.NL("first",$J65,"Name","No.","@@"&amp;$K65),"")</f>
        <v>Dicon Industries</v>
      </c>
      <c r="M65" s="84" t="str">
        <f>""</f>
        <v/>
      </c>
      <c r="N65" s="84" t="str">
        <f>IF($J65="Item",_xll.NL("first",$J65,"Description","No.","@@"&amp;$K65),"")</f>
        <v/>
      </c>
      <c r="O65" s="83">
        <v>0</v>
      </c>
      <c r="P65" s="83">
        <v>-48</v>
      </c>
      <c r="Q65" s="83">
        <v>0</v>
      </c>
      <c r="R65" s="83">
        <v>0</v>
      </c>
      <c r="S65" s="83">
        <v>0</v>
      </c>
      <c r="T65" s="83">
        <v>0</v>
      </c>
      <c r="U65" s="82"/>
    </row>
    <row r="66" spans="1:21" ht="17.25" customHeight="1" x14ac:dyDescent="0.3">
      <c r="A66" s="66" t="s">
        <v>30</v>
      </c>
      <c r="C66" s="67"/>
      <c r="D66" s="77" t="str">
        <f t="shared" si="33"/>
        <v>C100017</v>
      </c>
      <c r="E66" s="77"/>
      <c r="F66" s="76"/>
      <c r="G66" s="76" t="str">
        <f>"""NAV Direct"",""CRONUS JetCorp USA"",""32"",""1"",""124521"""</f>
        <v>"NAV Direct","CRONUS JetCorp USA","32","1","124521"</v>
      </c>
      <c r="H66" s="86">
        <v>43474</v>
      </c>
      <c r="I66" s="85">
        <v>124521</v>
      </c>
      <c r="J66" s="84" t="str">
        <f>"Customer"</f>
        <v>Customer</v>
      </c>
      <c r="K66" s="84" t="str">
        <f>"C100145"</f>
        <v>C100145</v>
      </c>
      <c r="L66" s="84" t="str">
        <f>IF($J66="Customer",_xll.NL("first",$J66,"Name","No.","@@"&amp;$K66),"")</f>
        <v>Dicon Industries</v>
      </c>
      <c r="M66" s="84" t="str">
        <f>""</f>
        <v/>
      </c>
      <c r="N66" s="84" t="str">
        <f>IF($J66="Item",_xll.NL("first",$J66,"Description","No.","@@"&amp;$K66),"")</f>
        <v/>
      </c>
      <c r="O66" s="83">
        <v>0</v>
      </c>
      <c r="P66" s="83">
        <v>-48</v>
      </c>
      <c r="Q66" s="83">
        <v>0</v>
      </c>
      <c r="R66" s="83">
        <v>0</v>
      </c>
      <c r="S66" s="83">
        <v>0</v>
      </c>
      <c r="T66" s="83">
        <v>0</v>
      </c>
      <c r="U66" s="82"/>
    </row>
    <row r="67" spans="1:21" ht="17.25" customHeight="1" x14ac:dyDescent="0.3">
      <c r="A67" s="66" t="s">
        <v>30</v>
      </c>
      <c r="C67" s="67"/>
      <c r="D67" s="77" t="str">
        <f t="shared" si="33"/>
        <v>C100017</v>
      </c>
      <c r="E67" s="77"/>
      <c r="F67" s="76"/>
      <c r="G67" s="76" t="str">
        <f>"""NAV Direct"",""CRONUS JetCorp USA"",""32"",""1"",""20396"""</f>
        <v>"NAV Direct","CRONUS JetCorp USA","32","1","20396"</v>
      </c>
      <c r="H67" s="86">
        <v>43477</v>
      </c>
      <c r="I67" s="85">
        <v>20396</v>
      </c>
      <c r="J67" s="84" t="str">
        <f>"Customer"</f>
        <v>Customer</v>
      </c>
      <c r="K67" s="84" t="str">
        <f>"C100039"</f>
        <v>C100039</v>
      </c>
      <c r="L67" s="84" t="str">
        <f>IF($J67="Customer",_xll.NL("first",$J67,"Name","No.","@@"&amp;$K67),"")</f>
        <v>Gary's Sports</v>
      </c>
      <c r="M67" s="84" t="str">
        <f>""</f>
        <v/>
      </c>
      <c r="N67" s="84" t="str">
        <f>IF($J67="Item",_xll.NL("first",$J67,"Description","No.","@@"&amp;$K67),"")</f>
        <v/>
      </c>
      <c r="O67" s="83">
        <v>0</v>
      </c>
      <c r="P67" s="83">
        <v>-24</v>
      </c>
      <c r="Q67" s="83">
        <v>0</v>
      </c>
      <c r="R67" s="83">
        <v>0</v>
      </c>
      <c r="S67" s="83">
        <v>0</v>
      </c>
      <c r="T67" s="83">
        <v>0</v>
      </c>
      <c r="U67" s="82"/>
    </row>
    <row r="68" spans="1:21" ht="17.25" customHeight="1" x14ac:dyDescent="0.3">
      <c r="A68" s="66" t="s">
        <v>30</v>
      </c>
      <c r="C68" s="67"/>
      <c r="D68" s="77"/>
      <c r="E68" s="77"/>
      <c r="F68" s="76"/>
      <c r="G68" s="76"/>
      <c r="H68" s="76"/>
      <c r="I68" s="76"/>
      <c r="J68" s="76"/>
      <c r="K68" s="76"/>
      <c r="L68" s="76"/>
      <c r="M68" s="76"/>
      <c r="N68" s="76"/>
      <c r="O68" s="75"/>
      <c r="P68" s="75"/>
      <c r="Q68" s="75"/>
      <c r="R68" s="75"/>
      <c r="S68" s="75"/>
      <c r="T68" s="75"/>
      <c r="U68" s="74"/>
    </row>
    <row r="69" spans="1:21" ht="17.25" customHeight="1" x14ac:dyDescent="0.3">
      <c r="A69" s="66" t="s">
        <v>30</v>
      </c>
      <c r="C69" s="67"/>
      <c r="D69" s="77"/>
      <c r="E69" s="77" t="s">
        <v>31</v>
      </c>
      <c r="F69" s="76" t="s">
        <v>31</v>
      </c>
      <c r="G69" s="76" t="s">
        <v>31</v>
      </c>
      <c r="H69" s="76"/>
      <c r="I69" s="76"/>
      <c r="J69" s="76" t="s">
        <v>31</v>
      </c>
      <c r="K69" s="76" t="s">
        <v>31</v>
      </c>
      <c r="L69" s="76" t="s">
        <v>31</v>
      </c>
      <c r="M69" s="76" t="s">
        <v>31</v>
      </c>
      <c r="N69" s="76"/>
      <c r="U69" s="81"/>
    </row>
    <row r="70" spans="1:21" ht="20.25" customHeight="1" x14ac:dyDescent="0.35">
      <c r="A70" s="66" t="s">
        <v>30</v>
      </c>
      <c r="C70" s="67"/>
      <c r="D70" s="92" t="str">
        <f t="shared" ref="D70" si="34">E70</f>
        <v>C100018</v>
      </c>
      <c r="E70" s="91" t="str">
        <f>"C100018"</f>
        <v>C100018</v>
      </c>
      <c r="F70" s="89" t="str">
        <f>"Action Sport Duffel"</f>
        <v>Action Sport Duffel</v>
      </c>
      <c r="G70" s="89"/>
      <c r="H70" s="90" t="str">
        <f>"EA"</f>
        <v>EA</v>
      </c>
      <c r="I70" s="89"/>
      <c r="J70" s="89"/>
      <c r="K70" s="89"/>
      <c r="L70" s="89"/>
      <c r="M70" s="89"/>
      <c r="N70" s="89"/>
      <c r="O70" s="88">
        <f>(SUBTOTAL(9,O71:O75))</f>
        <v>800</v>
      </c>
      <c r="P70" s="88">
        <f>(SUBTOTAL(9,P71:P75))</f>
        <v>-300</v>
      </c>
      <c r="Q70" s="88">
        <f>(SUBTOTAL(9,Q71:Q75))</f>
        <v>0</v>
      </c>
      <c r="R70" s="88">
        <f>(SUBTOTAL(9,R71:R75))</f>
        <v>0</v>
      </c>
      <c r="S70" s="88">
        <f>(SUBTOTAL(9,S71:S75))</f>
        <v>0</v>
      </c>
      <c r="T70" s="88">
        <f>(SUBTOTAL(9,T71:T75))</f>
        <v>0</v>
      </c>
      <c r="U70" s="87">
        <f t="shared" ref="U70" si="35">SUBTOTAL(9,O71:T75)</f>
        <v>500</v>
      </c>
    </row>
    <row r="71" spans="1:21" ht="17.25" customHeight="1" x14ac:dyDescent="0.3">
      <c r="A71" s="66" t="s">
        <v>30</v>
      </c>
      <c r="C71" s="67"/>
      <c r="D71" s="77" t="str">
        <f t="shared" ref="D71" si="36">D70</f>
        <v>C100018</v>
      </c>
      <c r="E71" s="77"/>
      <c r="F71" s="76"/>
      <c r="G71" s="76" t="str">
        <f>"""NAV Direct"",""CRONUS JetCorp USA"",""32"",""1"",""166776"""</f>
        <v>"NAV Direct","CRONUS JetCorp USA","32","1","166776"</v>
      </c>
      <c r="H71" s="86">
        <v>43466</v>
      </c>
      <c r="I71" s="85">
        <v>166776</v>
      </c>
      <c r="J71" s="84" t="str">
        <f>"Vendor"</f>
        <v>Vendor</v>
      </c>
      <c r="K71" s="84" t="str">
        <f>"V100001"</f>
        <v>V100001</v>
      </c>
      <c r="L71" s="84" t="str">
        <f>IF($J71="Customer",_xll.NL("first",$J71,"Name","No.","@@"&amp;$K71),"")</f>
        <v/>
      </c>
      <c r="M71" s="84" t="str">
        <f>"Greigner, Inc."</f>
        <v>Greigner, Inc.</v>
      </c>
      <c r="N71" s="84" t="str">
        <f>IF($J71="Item",_xll.NL("first",$J71,"Description","No.","@@"&amp;$K71),"")</f>
        <v/>
      </c>
      <c r="O71" s="83">
        <v>800</v>
      </c>
      <c r="P71" s="83">
        <v>0</v>
      </c>
      <c r="Q71" s="83">
        <v>0</v>
      </c>
      <c r="R71" s="83">
        <v>0</v>
      </c>
      <c r="S71" s="83">
        <v>0</v>
      </c>
      <c r="T71" s="83">
        <v>0</v>
      </c>
      <c r="U71" s="82"/>
    </row>
    <row r="72" spans="1:21" ht="17.25" customHeight="1" x14ac:dyDescent="0.3">
      <c r="A72" s="66" t="s">
        <v>30</v>
      </c>
      <c r="C72" s="67"/>
      <c r="D72" s="77" t="str">
        <f t="shared" ref="D72:D74" si="37">D71</f>
        <v>C100018</v>
      </c>
      <c r="E72" s="77"/>
      <c r="F72" s="76"/>
      <c r="G72" s="76" t="str">
        <f>"""NAV Direct"",""CRONUS JetCorp USA"",""32"",""1"",""128862"""</f>
        <v>"NAV Direct","CRONUS JetCorp USA","32","1","128862"</v>
      </c>
      <c r="H72" s="86">
        <v>43472</v>
      </c>
      <c r="I72" s="85">
        <v>128862</v>
      </c>
      <c r="J72" s="84" t="str">
        <f>"Customer"</f>
        <v>Customer</v>
      </c>
      <c r="K72" s="84" t="str">
        <f>"C100105"</f>
        <v>C100105</v>
      </c>
      <c r="L72" s="84" t="str">
        <f>IF($J72="Customer",_xll.NL("first",$J72,"Name","No.","@@"&amp;$K72),"")</f>
        <v>Esystems</v>
      </c>
      <c r="M72" s="84" t="str">
        <f>""</f>
        <v/>
      </c>
      <c r="N72" s="84" t="str">
        <f>IF($J72="Item",_xll.NL("first",$J72,"Description","No.","@@"&amp;$K72),"")</f>
        <v/>
      </c>
      <c r="O72" s="83">
        <v>0</v>
      </c>
      <c r="P72" s="83">
        <v>-144</v>
      </c>
      <c r="Q72" s="83">
        <v>0</v>
      </c>
      <c r="R72" s="83">
        <v>0</v>
      </c>
      <c r="S72" s="83">
        <v>0</v>
      </c>
      <c r="T72" s="83">
        <v>0</v>
      </c>
      <c r="U72" s="82"/>
    </row>
    <row r="73" spans="1:21" ht="17.25" customHeight="1" x14ac:dyDescent="0.3">
      <c r="A73" s="66" t="s">
        <v>30</v>
      </c>
      <c r="C73" s="67"/>
      <c r="D73" s="77" t="str">
        <f t="shared" si="37"/>
        <v>C100018</v>
      </c>
      <c r="E73" s="77"/>
      <c r="F73" s="76"/>
      <c r="G73" s="76" t="str">
        <f>"""NAV Direct"",""CRONUS JetCorp USA"",""32"",""1"",""20347"""</f>
        <v>"NAV Direct","CRONUS JetCorp USA","32","1","20347"</v>
      </c>
      <c r="H73" s="86">
        <v>43475</v>
      </c>
      <c r="I73" s="85">
        <v>20347</v>
      </c>
      <c r="J73" s="84" t="str">
        <f>"Customer"</f>
        <v>Customer</v>
      </c>
      <c r="K73" s="84" t="str">
        <f>"C100097"</f>
        <v>C100097</v>
      </c>
      <c r="L73" s="84" t="str">
        <f>IF($J73="Customer",_xll.NL("first",$J73,"Name","No.","@@"&amp;$K73),"")</f>
        <v>Solotech</v>
      </c>
      <c r="M73" s="84" t="str">
        <f>""</f>
        <v/>
      </c>
      <c r="N73" s="84" t="str">
        <f>IF($J73="Item",_xll.NL("first",$J73,"Description","No.","@@"&amp;$K73),"")</f>
        <v/>
      </c>
      <c r="O73" s="83">
        <v>0</v>
      </c>
      <c r="P73" s="83">
        <v>-144</v>
      </c>
      <c r="Q73" s="83">
        <v>0</v>
      </c>
      <c r="R73" s="83">
        <v>0</v>
      </c>
      <c r="S73" s="83">
        <v>0</v>
      </c>
      <c r="T73" s="83">
        <v>0</v>
      </c>
      <c r="U73" s="82"/>
    </row>
    <row r="74" spans="1:21" ht="17.25" customHeight="1" x14ac:dyDescent="0.3">
      <c r="A74" s="66" t="s">
        <v>30</v>
      </c>
      <c r="C74" s="67"/>
      <c r="D74" s="77" t="str">
        <f t="shared" si="37"/>
        <v>C100018</v>
      </c>
      <c r="E74" s="77"/>
      <c r="F74" s="76"/>
      <c r="G74" s="76" t="str">
        <f>"""NAV Direct"",""CRONUS JetCorp USA"",""32"",""1"",""25273"""</f>
        <v>"NAV Direct","CRONUS JetCorp USA","32","1","25273"</v>
      </c>
      <c r="H74" s="86">
        <v>43476</v>
      </c>
      <c r="I74" s="85">
        <v>25273</v>
      </c>
      <c r="J74" s="84" t="str">
        <f>"Customer"</f>
        <v>Customer</v>
      </c>
      <c r="K74" s="84" t="str">
        <f>"C100102"</f>
        <v>C100102</v>
      </c>
      <c r="L74" s="84" t="str">
        <f>IF($J74="Customer",_xll.NL("first",$J74,"Name","No.","@@"&amp;$K74),"")</f>
        <v xml:space="preserve">BEI Outfitters </v>
      </c>
      <c r="M74" s="84" t="str">
        <f>""</f>
        <v/>
      </c>
      <c r="N74" s="84" t="str">
        <f>IF($J74="Item",_xll.NL("first",$J74,"Description","No.","@@"&amp;$K74),"")</f>
        <v/>
      </c>
      <c r="O74" s="83">
        <v>0</v>
      </c>
      <c r="P74" s="83">
        <v>-12</v>
      </c>
      <c r="Q74" s="83">
        <v>0</v>
      </c>
      <c r="R74" s="83">
        <v>0</v>
      </c>
      <c r="S74" s="83">
        <v>0</v>
      </c>
      <c r="T74" s="83">
        <v>0</v>
      </c>
      <c r="U74" s="82"/>
    </row>
    <row r="75" spans="1:21" ht="17.25" customHeight="1" x14ac:dyDescent="0.3">
      <c r="A75" s="66" t="s">
        <v>30</v>
      </c>
      <c r="C75" s="67"/>
      <c r="D75" s="77"/>
      <c r="E75" s="77"/>
      <c r="F75" s="76"/>
      <c r="G75" s="76"/>
      <c r="H75" s="76"/>
      <c r="I75" s="76"/>
      <c r="J75" s="76"/>
      <c r="K75" s="76"/>
      <c r="L75" s="76"/>
      <c r="M75" s="76"/>
      <c r="N75" s="76"/>
      <c r="O75" s="75"/>
      <c r="P75" s="75"/>
      <c r="Q75" s="75"/>
      <c r="R75" s="75"/>
      <c r="S75" s="75"/>
      <c r="T75" s="75"/>
      <c r="U75" s="74"/>
    </row>
    <row r="76" spans="1:21" ht="17.25" customHeight="1" x14ac:dyDescent="0.3">
      <c r="A76" s="66" t="s">
        <v>30</v>
      </c>
      <c r="C76" s="67"/>
      <c r="D76" s="77"/>
      <c r="E76" s="77" t="s">
        <v>31</v>
      </c>
      <c r="F76" s="76" t="s">
        <v>31</v>
      </c>
      <c r="G76" s="76" t="s">
        <v>31</v>
      </c>
      <c r="H76" s="76"/>
      <c r="I76" s="76"/>
      <c r="J76" s="76" t="s">
        <v>31</v>
      </c>
      <c r="K76" s="76" t="s">
        <v>31</v>
      </c>
      <c r="L76" s="76" t="s">
        <v>31</v>
      </c>
      <c r="M76" s="76" t="s">
        <v>31</v>
      </c>
      <c r="N76" s="76"/>
      <c r="U76" s="81"/>
    </row>
    <row r="77" spans="1:21" ht="20.25" customHeight="1" x14ac:dyDescent="0.35">
      <c r="A77" s="66" t="s">
        <v>30</v>
      </c>
      <c r="C77" s="67"/>
      <c r="D77" s="92" t="str">
        <f t="shared" ref="D77" si="38">E77</f>
        <v>C100019</v>
      </c>
      <c r="E77" s="91" t="str">
        <f>"C100019"</f>
        <v>C100019</v>
      </c>
      <c r="F77" s="89" t="str">
        <f>"Black Duffel Bag"</f>
        <v>Black Duffel Bag</v>
      </c>
      <c r="G77" s="89"/>
      <c r="H77" s="90" t="str">
        <f>"EA"</f>
        <v>EA</v>
      </c>
      <c r="I77" s="89"/>
      <c r="J77" s="89"/>
      <c r="K77" s="89"/>
      <c r="L77" s="89"/>
      <c r="M77" s="89"/>
      <c r="N77" s="89"/>
      <c r="O77" s="88">
        <f>(SUBTOTAL(9,O78:O82))</f>
        <v>600</v>
      </c>
      <c r="P77" s="88">
        <f>(SUBTOTAL(9,P78:P82))</f>
        <v>-216</v>
      </c>
      <c r="Q77" s="88">
        <f>(SUBTOTAL(9,Q78:Q82))</f>
        <v>0</v>
      </c>
      <c r="R77" s="88">
        <f>(SUBTOTAL(9,R78:R82))</f>
        <v>0</v>
      </c>
      <c r="S77" s="88">
        <f>(SUBTOTAL(9,S78:S82))</f>
        <v>0</v>
      </c>
      <c r="T77" s="88">
        <f>(SUBTOTAL(9,T78:T82))</f>
        <v>0</v>
      </c>
      <c r="U77" s="87">
        <f t="shared" ref="U77" si="39">SUBTOTAL(9,O78:T82)</f>
        <v>384</v>
      </c>
    </row>
    <row r="78" spans="1:21" ht="17.25" customHeight="1" x14ac:dyDescent="0.3">
      <c r="A78" s="66" t="s">
        <v>30</v>
      </c>
      <c r="C78" s="67"/>
      <c r="D78" s="77" t="str">
        <f t="shared" ref="D78" si="40">D77</f>
        <v>C100019</v>
      </c>
      <c r="E78" s="77"/>
      <c r="F78" s="76"/>
      <c r="G78" s="76" t="str">
        <f>"""NAV Direct"",""CRONUS JetCorp USA"",""32"",""1"",""166775"""</f>
        <v>"NAV Direct","CRONUS JetCorp USA","32","1","166775"</v>
      </c>
      <c r="H78" s="86">
        <v>43466</v>
      </c>
      <c r="I78" s="85">
        <v>166775</v>
      </c>
      <c r="J78" s="84" t="str">
        <f>"Vendor"</f>
        <v>Vendor</v>
      </c>
      <c r="K78" s="84" t="str">
        <f>"V100001"</f>
        <v>V100001</v>
      </c>
      <c r="L78" s="84" t="str">
        <f>IF($J78="Customer",_xll.NL("first",$J78,"Name","No.","@@"&amp;$K78),"")</f>
        <v/>
      </c>
      <c r="M78" s="84" t="str">
        <f>"Greigner, Inc."</f>
        <v>Greigner, Inc.</v>
      </c>
      <c r="N78" s="84" t="str">
        <f>IF($J78="Item",_xll.NL("first",$J78,"Description","No.","@@"&amp;$K78),"")</f>
        <v/>
      </c>
      <c r="O78" s="83">
        <v>600</v>
      </c>
      <c r="P78" s="83">
        <v>0</v>
      </c>
      <c r="Q78" s="83">
        <v>0</v>
      </c>
      <c r="R78" s="83">
        <v>0</v>
      </c>
      <c r="S78" s="83">
        <v>0</v>
      </c>
      <c r="T78" s="83">
        <v>0</v>
      </c>
      <c r="U78" s="82"/>
    </row>
    <row r="79" spans="1:21" ht="17.25" customHeight="1" x14ac:dyDescent="0.3">
      <c r="A79" s="66" t="s">
        <v>30</v>
      </c>
      <c r="C79" s="67"/>
      <c r="D79" s="77" t="str">
        <f t="shared" ref="D79:D81" si="41">D78</f>
        <v>C100019</v>
      </c>
      <c r="E79" s="77"/>
      <c r="F79" s="76"/>
      <c r="G79" s="76" t="str">
        <f>"""NAV Direct"",""CRONUS JetCorp USA"",""32"",""1"",""128848"""</f>
        <v>"NAV Direct","CRONUS JetCorp USA","32","1","128848"</v>
      </c>
      <c r="H79" s="86">
        <v>43471</v>
      </c>
      <c r="I79" s="85">
        <v>128848</v>
      </c>
      <c r="J79" s="84" t="str">
        <f>"Customer"</f>
        <v>Customer</v>
      </c>
      <c r="K79" s="84" t="str">
        <f>"C100138"</f>
        <v>C100138</v>
      </c>
      <c r="L79" s="84" t="str">
        <f>IF($J79="Customer",_xll.NL("first",$J79,"Name","No.","@@"&amp;$K79),"")</f>
        <v>Dantons</v>
      </c>
      <c r="M79" s="84" t="str">
        <f>""</f>
        <v/>
      </c>
      <c r="N79" s="84" t="str">
        <f>IF($J79="Item",_xll.NL("first",$J79,"Description","No.","@@"&amp;$K79),"")</f>
        <v/>
      </c>
      <c r="O79" s="83">
        <v>0</v>
      </c>
      <c r="P79" s="83">
        <v>-144</v>
      </c>
      <c r="Q79" s="83">
        <v>0</v>
      </c>
      <c r="R79" s="83">
        <v>0</v>
      </c>
      <c r="S79" s="83">
        <v>0</v>
      </c>
      <c r="T79" s="83">
        <v>0</v>
      </c>
      <c r="U79" s="82"/>
    </row>
    <row r="80" spans="1:21" ht="17.25" customHeight="1" x14ac:dyDescent="0.3">
      <c r="A80" s="66" t="s">
        <v>30</v>
      </c>
      <c r="C80" s="67"/>
      <c r="D80" s="77" t="str">
        <f t="shared" si="41"/>
        <v>C100019</v>
      </c>
      <c r="E80" s="77"/>
      <c r="F80" s="76"/>
      <c r="G80" s="76" t="str">
        <f>"""NAV Direct"",""CRONUS JetCorp USA"",""32"",""1"",""128884"""</f>
        <v>"NAV Direct","CRONUS JetCorp USA","32","1","128884"</v>
      </c>
      <c r="H80" s="86">
        <v>43475</v>
      </c>
      <c r="I80" s="85">
        <v>128884</v>
      </c>
      <c r="J80" s="84" t="str">
        <f>"Customer"</f>
        <v>Customer</v>
      </c>
      <c r="K80" s="84" t="str">
        <f>"C100095"</f>
        <v>C100095</v>
      </c>
      <c r="L80" s="84" t="str">
        <f>IF($J80="Customer",_xll.NL("first",$J80,"Name","No.","@@"&amp;$K80),"")</f>
        <v>Randotax Outfitters</v>
      </c>
      <c r="M80" s="84" t="str">
        <f>""</f>
        <v/>
      </c>
      <c r="N80" s="84" t="str">
        <f>IF($J80="Item",_xll.NL("first",$J80,"Description","No.","@@"&amp;$K80),"")</f>
        <v/>
      </c>
      <c r="O80" s="83">
        <v>0</v>
      </c>
      <c r="P80" s="83">
        <v>-24</v>
      </c>
      <c r="Q80" s="83">
        <v>0</v>
      </c>
      <c r="R80" s="83">
        <v>0</v>
      </c>
      <c r="S80" s="83">
        <v>0</v>
      </c>
      <c r="T80" s="83">
        <v>0</v>
      </c>
      <c r="U80" s="82"/>
    </row>
    <row r="81" spans="1:21" ht="17.25" customHeight="1" x14ac:dyDescent="0.3">
      <c r="A81" s="66" t="s">
        <v>30</v>
      </c>
      <c r="C81" s="67"/>
      <c r="D81" s="77" t="str">
        <f t="shared" si="41"/>
        <v>C100019</v>
      </c>
      <c r="E81" s="77"/>
      <c r="F81" s="76"/>
      <c r="G81" s="76" t="str">
        <f>"""NAV Direct"",""CRONUS JetCorp USA"",""32"",""1"",""132519"""</f>
        <v>"NAV Direct","CRONUS JetCorp USA","32","1","132519"</v>
      </c>
      <c r="H81" s="86">
        <v>43477</v>
      </c>
      <c r="I81" s="85">
        <v>132519</v>
      </c>
      <c r="J81" s="84" t="str">
        <f>"Customer"</f>
        <v>Customer</v>
      </c>
      <c r="K81" s="84" t="str">
        <f>"C100082"</f>
        <v>C100082</v>
      </c>
      <c r="L81" s="84" t="str">
        <f>IF($J81="Customer",_xll.NL("first",$J81,"Name","No.","@@"&amp;$K81),"")</f>
        <v>Sporting Goods Emporium</v>
      </c>
      <c r="M81" s="84" t="str">
        <f>""</f>
        <v/>
      </c>
      <c r="N81" s="84" t="str">
        <f>IF($J81="Item",_xll.NL("first",$J81,"Description","No.","@@"&amp;$K81),"")</f>
        <v/>
      </c>
      <c r="O81" s="83">
        <v>0</v>
      </c>
      <c r="P81" s="83">
        <v>-48</v>
      </c>
      <c r="Q81" s="83">
        <v>0</v>
      </c>
      <c r="R81" s="83">
        <v>0</v>
      </c>
      <c r="S81" s="83">
        <v>0</v>
      </c>
      <c r="T81" s="83">
        <v>0</v>
      </c>
      <c r="U81" s="82"/>
    </row>
    <row r="82" spans="1:21" ht="17.25" customHeight="1" x14ac:dyDescent="0.3">
      <c r="A82" s="66" t="s">
        <v>30</v>
      </c>
      <c r="C82" s="67"/>
      <c r="D82" s="77"/>
      <c r="E82" s="77"/>
      <c r="F82" s="76"/>
      <c r="G82" s="76"/>
      <c r="H82" s="76"/>
      <c r="I82" s="76"/>
      <c r="J82" s="76"/>
      <c r="K82" s="76"/>
      <c r="L82" s="76"/>
      <c r="M82" s="76"/>
      <c r="N82" s="76"/>
      <c r="O82" s="75"/>
      <c r="P82" s="75"/>
      <c r="Q82" s="75"/>
      <c r="R82" s="75"/>
      <c r="S82" s="75"/>
      <c r="T82" s="75"/>
      <c r="U82" s="74"/>
    </row>
    <row r="83" spans="1:21" ht="17.25" customHeight="1" x14ac:dyDescent="0.3">
      <c r="A83" s="66" t="s">
        <v>30</v>
      </c>
      <c r="C83" s="67"/>
      <c r="D83" s="77"/>
      <c r="E83" s="77" t="s">
        <v>31</v>
      </c>
      <c r="F83" s="76" t="s">
        <v>31</v>
      </c>
      <c r="G83" s="76" t="s">
        <v>31</v>
      </c>
      <c r="H83" s="76"/>
      <c r="I83" s="76"/>
      <c r="J83" s="76" t="s">
        <v>31</v>
      </c>
      <c r="K83" s="76" t="s">
        <v>31</v>
      </c>
      <c r="L83" s="76" t="s">
        <v>31</v>
      </c>
      <c r="M83" s="76" t="s">
        <v>31</v>
      </c>
      <c r="N83" s="76"/>
      <c r="U83" s="81"/>
    </row>
    <row r="84" spans="1:21" ht="20.25" customHeight="1" x14ac:dyDescent="0.35">
      <c r="A84" s="66" t="s">
        <v>30</v>
      </c>
      <c r="C84" s="67"/>
      <c r="D84" s="92" t="str">
        <f t="shared" ref="D84" si="42">E84</f>
        <v>C100020</v>
      </c>
      <c r="E84" s="91" t="str">
        <f>"C100020"</f>
        <v>C100020</v>
      </c>
      <c r="F84" s="89" t="str">
        <f>"Gym Locker Bag"</f>
        <v>Gym Locker Bag</v>
      </c>
      <c r="G84" s="89"/>
      <c r="H84" s="90" t="str">
        <f>"EA"</f>
        <v>EA</v>
      </c>
      <c r="I84" s="89"/>
      <c r="J84" s="89"/>
      <c r="K84" s="89"/>
      <c r="L84" s="89"/>
      <c r="M84" s="89"/>
      <c r="N84" s="89"/>
      <c r="O84" s="88">
        <f>(SUBTOTAL(9,O85:O88))</f>
        <v>999.99999999999989</v>
      </c>
      <c r="P84" s="88">
        <f>(SUBTOTAL(9,P85:P88))</f>
        <v>-192</v>
      </c>
      <c r="Q84" s="88">
        <f>(SUBTOTAL(9,Q85:Q88))</f>
        <v>0</v>
      </c>
      <c r="R84" s="88">
        <f>(SUBTOTAL(9,R85:R88))</f>
        <v>0</v>
      </c>
      <c r="S84" s="88">
        <f>(SUBTOTAL(9,S85:S88))</f>
        <v>0</v>
      </c>
      <c r="T84" s="88">
        <f>(SUBTOTAL(9,T85:T88))</f>
        <v>0</v>
      </c>
      <c r="U84" s="87">
        <f t="shared" ref="U84" si="43">SUBTOTAL(9,O85:T88)</f>
        <v>807.99999999999989</v>
      </c>
    </row>
    <row r="85" spans="1:21" ht="17.25" customHeight="1" x14ac:dyDescent="0.3">
      <c r="A85" s="66" t="s">
        <v>30</v>
      </c>
      <c r="C85" s="67"/>
      <c r="D85" s="77" t="str">
        <f t="shared" ref="D85" si="44">D84</f>
        <v>C100020</v>
      </c>
      <c r="E85" s="77"/>
      <c r="F85" s="76"/>
      <c r="G85" s="76" t="str">
        <f>"""NAV Direct"",""CRONUS JetCorp USA"",""32"",""1"",""166774"""</f>
        <v>"NAV Direct","CRONUS JetCorp USA","32","1","166774"</v>
      </c>
      <c r="H85" s="86">
        <v>43466</v>
      </c>
      <c r="I85" s="85">
        <v>166774</v>
      </c>
      <c r="J85" s="84" t="str">
        <f>"Vendor"</f>
        <v>Vendor</v>
      </c>
      <c r="K85" s="84" t="str">
        <f>"V100001"</f>
        <v>V100001</v>
      </c>
      <c r="L85" s="84" t="str">
        <f>IF($J85="Customer",_xll.NL("first",$J85,"Name","No.","@@"&amp;$K85),"")</f>
        <v/>
      </c>
      <c r="M85" s="84" t="str">
        <f>"Greigner, Inc."</f>
        <v>Greigner, Inc.</v>
      </c>
      <c r="N85" s="84" t="str">
        <f>IF($J85="Item",_xll.NL("first",$J85,"Description","No.","@@"&amp;$K85),"")</f>
        <v/>
      </c>
      <c r="O85" s="83">
        <v>999.99999999999989</v>
      </c>
      <c r="P85" s="83">
        <v>0</v>
      </c>
      <c r="Q85" s="83">
        <v>0</v>
      </c>
      <c r="R85" s="83">
        <v>0</v>
      </c>
      <c r="S85" s="83">
        <v>0</v>
      </c>
      <c r="T85" s="83">
        <v>0</v>
      </c>
      <c r="U85" s="82"/>
    </row>
    <row r="86" spans="1:21" ht="17.25" customHeight="1" x14ac:dyDescent="0.3">
      <c r="A86" s="66" t="s">
        <v>30</v>
      </c>
      <c r="C86" s="67"/>
      <c r="D86" s="77" t="str">
        <f t="shared" ref="D86:D87" si="45">D85</f>
        <v>C100020</v>
      </c>
      <c r="E86" s="77"/>
      <c r="F86" s="76"/>
      <c r="G86" s="76" t="str">
        <f>"""NAV Direct"",""CRONUS JetCorp USA"",""32"",""1"",""128872"""</f>
        <v>"NAV Direct","CRONUS JetCorp USA","32","1","128872"</v>
      </c>
      <c r="H86" s="86">
        <v>43472</v>
      </c>
      <c r="I86" s="85">
        <v>128872</v>
      </c>
      <c r="J86" s="84" t="str">
        <f>"Customer"</f>
        <v>Customer</v>
      </c>
      <c r="K86" s="84" t="str">
        <f>"C100105"</f>
        <v>C100105</v>
      </c>
      <c r="L86" s="84" t="str">
        <f>IF($J86="Customer",_xll.NL("first",$J86,"Name","No.","@@"&amp;$K86),"")</f>
        <v>Esystems</v>
      </c>
      <c r="M86" s="84" t="str">
        <f>""</f>
        <v/>
      </c>
      <c r="N86" s="84" t="str">
        <f>IF($J86="Item",_xll.NL("first",$J86,"Description","No.","@@"&amp;$K86),"")</f>
        <v/>
      </c>
      <c r="O86" s="83">
        <v>0</v>
      </c>
      <c r="P86" s="83">
        <v>-48</v>
      </c>
      <c r="Q86" s="83">
        <v>0</v>
      </c>
      <c r="R86" s="83">
        <v>0</v>
      </c>
      <c r="S86" s="83">
        <v>0</v>
      </c>
      <c r="T86" s="83">
        <v>0</v>
      </c>
      <c r="U86" s="82"/>
    </row>
    <row r="87" spans="1:21" ht="17.25" customHeight="1" x14ac:dyDescent="0.3">
      <c r="A87" s="66" t="s">
        <v>30</v>
      </c>
      <c r="C87" s="67"/>
      <c r="D87" s="77" t="str">
        <f t="shared" si="45"/>
        <v>C100020</v>
      </c>
      <c r="E87" s="77"/>
      <c r="F87" s="76"/>
      <c r="G87" s="76" t="str">
        <f>"""NAV Direct"",""CRONUS JetCorp USA"",""32"",""1"",""25263"""</f>
        <v>"NAV Direct","CRONUS JetCorp USA","32","1","25263"</v>
      </c>
      <c r="H87" s="86">
        <v>43476</v>
      </c>
      <c r="I87" s="85">
        <v>25263</v>
      </c>
      <c r="J87" s="84" t="str">
        <f>"Customer"</f>
        <v>Customer</v>
      </c>
      <c r="K87" s="84" t="str">
        <f>"C100102"</f>
        <v>C100102</v>
      </c>
      <c r="L87" s="84" t="str">
        <f>IF($J87="Customer",_xll.NL("first",$J87,"Name","No.","@@"&amp;$K87),"")</f>
        <v xml:space="preserve">BEI Outfitters </v>
      </c>
      <c r="M87" s="84" t="str">
        <f>""</f>
        <v/>
      </c>
      <c r="N87" s="84" t="str">
        <f>IF($J87="Item",_xll.NL("first",$J87,"Description","No.","@@"&amp;$K87),"")</f>
        <v/>
      </c>
      <c r="O87" s="83">
        <v>0</v>
      </c>
      <c r="P87" s="83">
        <v>-144</v>
      </c>
      <c r="Q87" s="83">
        <v>0</v>
      </c>
      <c r="R87" s="83">
        <v>0</v>
      </c>
      <c r="S87" s="83">
        <v>0</v>
      </c>
      <c r="T87" s="83">
        <v>0</v>
      </c>
      <c r="U87" s="82"/>
    </row>
    <row r="88" spans="1:21" ht="17.25" customHeight="1" x14ac:dyDescent="0.3">
      <c r="A88" s="66" t="s">
        <v>30</v>
      </c>
      <c r="C88" s="67"/>
      <c r="D88" s="77"/>
      <c r="E88" s="77"/>
      <c r="F88" s="76"/>
      <c r="G88" s="76"/>
      <c r="H88" s="76"/>
      <c r="I88" s="76"/>
      <c r="J88" s="76"/>
      <c r="K88" s="76"/>
      <c r="L88" s="76"/>
      <c r="M88" s="76"/>
      <c r="N88" s="76"/>
      <c r="O88" s="75"/>
      <c r="P88" s="75"/>
      <c r="Q88" s="75"/>
      <c r="R88" s="75"/>
      <c r="S88" s="75"/>
      <c r="T88" s="75"/>
      <c r="U88" s="74"/>
    </row>
    <row r="89" spans="1:21" ht="17.25" customHeight="1" x14ac:dyDescent="0.3">
      <c r="A89" s="66" t="s">
        <v>30</v>
      </c>
      <c r="C89" s="67"/>
      <c r="D89" s="77"/>
      <c r="E89" s="77" t="s">
        <v>31</v>
      </c>
      <c r="F89" s="76" t="s">
        <v>31</v>
      </c>
      <c r="G89" s="76" t="s">
        <v>31</v>
      </c>
      <c r="H89" s="76"/>
      <c r="I89" s="76"/>
      <c r="J89" s="76" t="s">
        <v>31</v>
      </c>
      <c r="K89" s="76" t="s">
        <v>31</v>
      </c>
      <c r="L89" s="76" t="s">
        <v>31</v>
      </c>
      <c r="M89" s="76" t="s">
        <v>31</v>
      </c>
      <c r="N89" s="76"/>
      <c r="U89" s="81"/>
    </row>
    <row r="90" spans="1:21" ht="20.25" customHeight="1" x14ac:dyDescent="0.35">
      <c r="A90" s="66" t="s">
        <v>30</v>
      </c>
      <c r="C90" s="67"/>
      <c r="D90" s="92" t="str">
        <f t="shared" ref="D90" si="46">E90</f>
        <v>C100021</v>
      </c>
      <c r="E90" s="91" t="str">
        <f>"C100021"</f>
        <v>C100021</v>
      </c>
      <c r="F90" s="89" t="str">
        <f>"Canvas Boat Bag"</f>
        <v>Canvas Boat Bag</v>
      </c>
      <c r="G90" s="89"/>
      <c r="H90" s="90" t="str">
        <f>"EA"</f>
        <v>EA</v>
      </c>
      <c r="I90" s="89"/>
      <c r="J90" s="89"/>
      <c r="K90" s="89"/>
      <c r="L90" s="89"/>
      <c r="M90" s="89"/>
      <c r="N90" s="89"/>
      <c r="O90" s="88">
        <f>(SUBTOTAL(9,O91:O94))</f>
        <v>1600</v>
      </c>
      <c r="P90" s="88">
        <f>(SUBTOTAL(9,P91:P94))</f>
        <v>-288</v>
      </c>
      <c r="Q90" s="88">
        <f>(SUBTOTAL(9,Q91:Q94))</f>
        <v>0</v>
      </c>
      <c r="R90" s="88">
        <f>(SUBTOTAL(9,R91:R94))</f>
        <v>0</v>
      </c>
      <c r="S90" s="88">
        <f>(SUBTOTAL(9,S91:S94))</f>
        <v>0</v>
      </c>
      <c r="T90" s="88">
        <f>(SUBTOTAL(9,T91:T94))</f>
        <v>0</v>
      </c>
      <c r="U90" s="87">
        <f t="shared" ref="U90" si="47">SUBTOTAL(9,O91:T94)</f>
        <v>1312</v>
      </c>
    </row>
    <row r="91" spans="1:21" ht="17.25" customHeight="1" x14ac:dyDescent="0.3">
      <c r="A91" s="66" t="s">
        <v>30</v>
      </c>
      <c r="C91" s="67"/>
      <c r="D91" s="77" t="str">
        <f t="shared" ref="D91" si="48">D90</f>
        <v>C100021</v>
      </c>
      <c r="E91" s="77"/>
      <c r="F91" s="76"/>
      <c r="G91" s="76" t="str">
        <f>"""NAV Direct"",""CRONUS JetCorp USA"",""32"",""1"",""166773"""</f>
        <v>"NAV Direct","CRONUS JetCorp USA","32","1","166773"</v>
      </c>
      <c r="H91" s="86">
        <v>43466</v>
      </c>
      <c r="I91" s="85">
        <v>166773</v>
      </c>
      <c r="J91" s="84" t="str">
        <f>"Vendor"</f>
        <v>Vendor</v>
      </c>
      <c r="K91" s="84" t="str">
        <f>"V100001"</f>
        <v>V100001</v>
      </c>
      <c r="L91" s="84" t="str">
        <f>IF($J91="Customer",_xll.NL("first",$J91,"Name","No.","@@"&amp;$K91),"")</f>
        <v/>
      </c>
      <c r="M91" s="84" t="str">
        <f>"Greigner, Inc."</f>
        <v>Greigner, Inc.</v>
      </c>
      <c r="N91" s="84" t="str">
        <f>IF($J91="Item",_xll.NL("first",$J91,"Description","No.","@@"&amp;$K91),"")</f>
        <v/>
      </c>
      <c r="O91" s="83">
        <v>1600</v>
      </c>
      <c r="P91" s="83">
        <v>0</v>
      </c>
      <c r="Q91" s="83">
        <v>0</v>
      </c>
      <c r="R91" s="83">
        <v>0</v>
      </c>
      <c r="S91" s="83">
        <v>0</v>
      </c>
      <c r="T91" s="83">
        <v>0</v>
      </c>
      <c r="U91" s="82"/>
    </row>
    <row r="92" spans="1:21" ht="17.25" customHeight="1" x14ac:dyDescent="0.3">
      <c r="A92" s="66" t="s">
        <v>30</v>
      </c>
      <c r="C92" s="67"/>
      <c r="D92" s="77" t="str">
        <f t="shared" ref="D92:D93" si="49">D91</f>
        <v>C100021</v>
      </c>
      <c r="E92" s="77"/>
      <c r="F92" s="76"/>
      <c r="G92" s="76" t="str">
        <f>"""NAV Direct"",""CRONUS JetCorp USA"",""32"",""1"",""20366"""</f>
        <v>"NAV Direct","CRONUS JetCorp USA","32","1","20366"</v>
      </c>
      <c r="H92" s="86">
        <v>43468</v>
      </c>
      <c r="I92" s="85">
        <v>20366</v>
      </c>
      <c r="J92" s="84" t="str">
        <f>"Customer"</f>
        <v>Customer</v>
      </c>
      <c r="K92" s="84" t="str">
        <f>"C100145"</f>
        <v>C100145</v>
      </c>
      <c r="L92" s="84" t="str">
        <f>IF($J92="Customer",_xll.NL("first",$J92,"Name","No.","@@"&amp;$K92),"")</f>
        <v>Dicon Industries</v>
      </c>
      <c r="M92" s="84" t="str">
        <f>""</f>
        <v/>
      </c>
      <c r="N92" s="84" t="str">
        <f>IF($J92="Item",_xll.NL("first",$J92,"Description","No.","@@"&amp;$K92),"")</f>
        <v/>
      </c>
      <c r="O92" s="83">
        <v>0</v>
      </c>
      <c r="P92" s="83">
        <v>-144</v>
      </c>
      <c r="Q92" s="83">
        <v>0</v>
      </c>
      <c r="R92" s="83">
        <v>0</v>
      </c>
      <c r="S92" s="83">
        <v>0</v>
      </c>
      <c r="T92" s="83">
        <v>0</v>
      </c>
      <c r="U92" s="82"/>
    </row>
    <row r="93" spans="1:21" ht="17.25" customHeight="1" x14ac:dyDescent="0.3">
      <c r="A93" s="66" t="s">
        <v>30</v>
      </c>
      <c r="C93" s="67"/>
      <c r="D93" s="77" t="str">
        <f t="shared" si="49"/>
        <v>C100021</v>
      </c>
      <c r="E93" s="77"/>
      <c r="F93" s="76"/>
      <c r="G93" s="76" t="str">
        <f>"""NAV Direct"",""CRONUS JetCorp USA"",""32"",""1"",""128865"""</f>
        <v>"NAV Direct","CRONUS JetCorp USA","32","1","128865"</v>
      </c>
      <c r="H93" s="86">
        <v>43472</v>
      </c>
      <c r="I93" s="85">
        <v>128865</v>
      </c>
      <c r="J93" s="84" t="str">
        <f>"Customer"</f>
        <v>Customer</v>
      </c>
      <c r="K93" s="84" t="str">
        <f>"C100105"</f>
        <v>C100105</v>
      </c>
      <c r="L93" s="84" t="str">
        <f>IF($J93="Customer",_xll.NL("first",$J93,"Name","No.","@@"&amp;$K93),"")</f>
        <v>Esystems</v>
      </c>
      <c r="M93" s="84" t="str">
        <f>""</f>
        <v/>
      </c>
      <c r="N93" s="84" t="str">
        <f>IF($J93="Item",_xll.NL("first",$J93,"Description","No.","@@"&amp;$K93),"")</f>
        <v/>
      </c>
      <c r="O93" s="83">
        <v>0</v>
      </c>
      <c r="P93" s="83">
        <v>-144</v>
      </c>
      <c r="Q93" s="83">
        <v>0</v>
      </c>
      <c r="R93" s="83">
        <v>0</v>
      </c>
      <c r="S93" s="83">
        <v>0</v>
      </c>
      <c r="T93" s="83">
        <v>0</v>
      </c>
      <c r="U93" s="82"/>
    </row>
    <row r="94" spans="1:21" ht="17.25" customHeight="1" x14ac:dyDescent="0.3">
      <c r="A94" s="66" t="s">
        <v>30</v>
      </c>
      <c r="C94" s="67"/>
      <c r="D94" s="77"/>
      <c r="E94" s="77"/>
      <c r="F94" s="76"/>
      <c r="G94" s="76"/>
      <c r="H94" s="76"/>
      <c r="I94" s="76"/>
      <c r="J94" s="76"/>
      <c r="K94" s="76"/>
      <c r="L94" s="76"/>
      <c r="M94" s="76"/>
      <c r="N94" s="76"/>
      <c r="O94" s="75"/>
      <c r="P94" s="75"/>
      <c r="Q94" s="75"/>
      <c r="R94" s="75"/>
      <c r="S94" s="75"/>
      <c r="T94" s="75"/>
      <c r="U94" s="74"/>
    </row>
    <row r="95" spans="1:21" ht="17.25" customHeight="1" x14ac:dyDescent="0.3">
      <c r="A95" s="66" t="s">
        <v>30</v>
      </c>
      <c r="C95" s="67"/>
      <c r="D95" s="77"/>
      <c r="E95" s="77" t="s">
        <v>31</v>
      </c>
      <c r="F95" s="76" t="s">
        <v>31</v>
      </c>
      <c r="G95" s="76" t="s">
        <v>31</v>
      </c>
      <c r="H95" s="76"/>
      <c r="I95" s="76"/>
      <c r="J95" s="76" t="s">
        <v>31</v>
      </c>
      <c r="K95" s="76" t="s">
        <v>31</v>
      </c>
      <c r="L95" s="76" t="s">
        <v>31</v>
      </c>
      <c r="M95" s="76" t="s">
        <v>31</v>
      </c>
      <c r="N95" s="76"/>
      <c r="U95" s="81"/>
    </row>
    <row r="96" spans="1:21" ht="20.25" customHeight="1" x14ac:dyDescent="0.35">
      <c r="A96" s="66" t="s">
        <v>30</v>
      </c>
      <c r="C96" s="67"/>
      <c r="D96" s="92" t="str">
        <f t="shared" ref="D96" si="50">E96</f>
        <v>C100022</v>
      </c>
      <c r="E96" s="91" t="str">
        <f>"C100022"</f>
        <v>C100022</v>
      </c>
      <c r="F96" s="89" t="str">
        <f>"Two-Toned Cap"</f>
        <v>Two-Toned Cap</v>
      </c>
      <c r="G96" s="89"/>
      <c r="H96" s="90" t="str">
        <f>"EA"</f>
        <v>EA</v>
      </c>
      <c r="I96" s="89"/>
      <c r="J96" s="89"/>
      <c r="K96" s="89"/>
      <c r="L96" s="89"/>
      <c r="M96" s="89"/>
      <c r="N96" s="89"/>
      <c r="O96" s="88">
        <f>(SUBTOTAL(9,O97:O103))</f>
        <v>2800</v>
      </c>
      <c r="P96" s="88">
        <f>(SUBTOTAL(9,P97:P103))</f>
        <v>-1009</v>
      </c>
      <c r="Q96" s="88">
        <f>(SUBTOTAL(9,Q97:Q103))</f>
        <v>0</v>
      </c>
      <c r="R96" s="88">
        <f>(SUBTOTAL(9,R97:R103))</f>
        <v>0</v>
      </c>
      <c r="S96" s="88">
        <f>(SUBTOTAL(9,S97:S103))</f>
        <v>0</v>
      </c>
      <c r="T96" s="88">
        <f>(SUBTOTAL(9,T97:T103))</f>
        <v>0</v>
      </c>
      <c r="U96" s="87">
        <f t="shared" ref="U96" si="51">SUBTOTAL(9,O97:T103)</f>
        <v>1791</v>
      </c>
    </row>
    <row r="97" spans="1:21" ht="17.25" customHeight="1" x14ac:dyDescent="0.3">
      <c r="A97" s="66" t="s">
        <v>30</v>
      </c>
      <c r="C97" s="67"/>
      <c r="D97" s="77" t="str">
        <f t="shared" ref="D97" si="52">D96</f>
        <v>C100022</v>
      </c>
      <c r="E97" s="77"/>
      <c r="F97" s="76"/>
      <c r="G97" s="76" t="str">
        <f>"""NAV Direct"",""CRONUS JetCorp USA"",""32"",""1"",""167145"""</f>
        <v>"NAV Direct","CRONUS JetCorp USA","32","1","167145"</v>
      </c>
      <c r="H97" s="86">
        <v>43466</v>
      </c>
      <c r="I97" s="85">
        <v>167145</v>
      </c>
      <c r="J97" s="84" t="str">
        <f>"Vendor"</f>
        <v>Vendor</v>
      </c>
      <c r="K97" s="84" t="str">
        <f>"V100001"</f>
        <v>V100001</v>
      </c>
      <c r="L97" s="84" t="str">
        <f>IF($J97="Customer",_xll.NL("first",$J97,"Name","No.","@@"&amp;$K97),"")</f>
        <v/>
      </c>
      <c r="M97" s="84" t="str">
        <f>"Greigner, Inc."</f>
        <v>Greigner, Inc.</v>
      </c>
      <c r="N97" s="84" t="str">
        <f>IF($J97="Item",_xll.NL("first",$J97,"Description","No.","@@"&amp;$K97),"")</f>
        <v/>
      </c>
      <c r="O97" s="83">
        <v>2800</v>
      </c>
      <c r="P97" s="83">
        <v>0</v>
      </c>
      <c r="Q97" s="83">
        <v>0</v>
      </c>
      <c r="R97" s="83">
        <v>0</v>
      </c>
      <c r="S97" s="83">
        <v>0</v>
      </c>
      <c r="T97" s="83">
        <v>0</v>
      </c>
      <c r="U97" s="82"/>
    </row>
    <row r="98" spans="1:21" ht="17.25" customHeight="1" x14ac:dyDescent="0.3">
      <c r="A98" s="66" t="s">
        <v>30</v>
      </c>
      <c r="C98" s="67"/>
      <c r="D98" s="77" t="str">
        <f t="shared" ref="D98:D102" si="53">D97</f>
        <v>C100022</v>
      </c>
      <c r="E98" s="77"/>
      <c r="F98" s="76"/>
      <c r="G98" s="76" t="str">
        <f>"""NAV Direct"",""CRONUS JetCorp USA"",""32"",""1"",""25241"""</f>
        <v>"NAV Direct","CRONUS JetCorp USA","32","1","25241"</v>
      </c>
      <c r="H98" s="86">
        <v>43471</v>
      </c>
      <c r="I98" s="85">
        <v>25241</v>
      </c>
      <c r="J98" s="84" t="str">
        <f>"Customer"</f>
        <v>Customer</v>
      </c>
      <c r="K98" s="84" t="str">
        <f>"C100102"</f>
        <v>C100102</v>
      </c>
      <c r="L98" s="84" t="str">
        <f>IF($J98="Customer",_xll.NL("first",$J98,"Name","No.","@@"&amp;$K98),"")</f>
        <v xml:space="preserve">BEI Outfitters </v>
      </c>
      <c r="M98" s="84" t="str">
        <f>""</f>
        <v/>
      </c>
      <c r="N98" s="84" t="str">
        <f>IF($J98="Item",_xll.NL("first",$J98,"Description","No.","@@"&amp;$K98),"")</f>
        <v/>
      </c>
      <c r="O98" s="83">
        <v>0</v>
      </c>
      <c r="P98" s="83">
        <v>-145</v>
      </c>
      <c r="Q98" s="83">
        <v>0</v>
      </c>
      <c r="R98" s="83">
        <v>0</v>
      </c>
      <c r="S98" s="83">
        <v>0</v>
      </c>
      <c r="T98" s="83">
        <v>0</v>
      </c>
      <c r="U98" s="82"/>
    </row>
    <row r="99" spans="1:21" ht="17.25" customHeight="1" x14ac:dyDescent="0.3">
      <c r="A99" s="66" t="s">
        <v>30</v>
      </c>
      <c r="C99" s="67"/>
      <c r="D99" s="77" t="str">
        <f t="shared" si="53"/>
        <v>C100022</v>
      </c>
      <c r="E99" s="77"/>
      <c r="F99" s="76"/>
      <c r="G99" s="76" t="str">
        <f>"""NAV Direct"",""CRONUS JetCorp USA"",""32"",""1"",""20338"""</f>
        <v>"NAV Direct","CRONUS JetCorp USA","32","1","20338"</v>
      </c>
      <c r="H99" s="86">
        <v>43472</v>
      </c>
      <c r="I99" s="85">
        <v>20338</v>
      </c>
      <c r="J99" s="84" t="str">
        <f>"Customer"</f>
        <v>Customer</v>
      </c>
      <c r="K99" s="84" t="str">
        <f>"C100145"</f>
        <v>C100145</v>
      </c>
      <c r="L99" s="84" t="str">
        <f>IF($J99="Customer",_xll.NL("first",$J99,"Name","No.","@@"&amp;$K99),"")</f>
        <v>Dicon Industries</v>
      </c>
      <c r="M99" s="84" t="str">
        <f>""</f>
        <v/>
      </c>
      <c r="N99" s="84" t="str">
        <f>IF($J99="Item",_xll.NL("first",$J99,"Description","No.","@@"&amp;$K99),"")</f>
        <v/>
      </c>
      <c r="O99" s="83">
        <v>0</v>
      </c>
      <c r="P99" s="83">
        <v>-144</v>
      </c>
      <c r="Q99" s="83">
        <v>0</v>
      </c>
      <c r="R99" s="83">
        <v>0</v>
      </c>
      <c r="S99" s="83">
        <v>0</v>
      </c>
      <c r="T99" s="83">
        <v>0</v>
      </c>
      <c r="U99" s="82"/>
    </row>
    <row r="100" spans="1:21" ht="17.25" customHeight="1" x14ac:dyDescent="0.3">
      <c r="A100" s="66" t="s">
        <v>30</v>
      </c>
      <c r="C100" s="67"/>
      <c r="D100" s="77" t="str">
        <f t="shared" si="53"/>
        <v>C100022</v>
      </c>
      <c r="E100" s="77"/>
      <c r="F100" s="76"/>
      <c r="G100" s="76" t="str">
        <f>"""NAV Direct"",""CRONUS JetCorp USA"",""32"",""1"",""25270"""</f>
        <v>"NAV Direct","CRONUS JetCorp USA","32","1","25270"</v>
      </c>
      <c r="H100" s="86">
        <v>43476</v>
      </c>
      <c r="I100" s="85">
        <v>25270</v>
      </c>
      <c r="J100" s="84" t="str">
        <f>"Customer"</f>
        <v>Customer</v>
      </c>
      <c r="K100" s="84" t="str">
        <f>"C100102"</f>
        <v>C100102</v>
      </c>
      <c r="L100" s="84" t="str">
        <f>IF($J100="Customer",_xll.NL("first",$J100,"Name","No.","@@"&amp;$K100),"")</f>
        <v xml:space="preserve">BEI Outfitters </v>
      </c>
      <c r="M100" s="84" t="str">
        <f>""</f>
        <v/>
      </c>
      <c r="N100" s="84" t="str">
        <f>IF($J100="Item",_xll.NL("first",$J100,"Description","No.","@@"&amp;$K100),"")</f>
        <v/>
      </c>
      <c r="O100" s="83">
        <v>0</v>
      </c>
      <c r="P100" s="83">
        <v>-144</v>
      </c>
      <c r="Q100" s="83">
        <v>0</v>
      </c>
      <c r="R100" s="83">
        <v>0</v>
      </c>
      <c r="S100" s="83">
        <v>0</v>
      </c>
      <c r="T100" s="83">
        <v>0</v>
      </c>
      <c r="U100" s="82"/>
    </row>
    <row r="101" spans="1:21" ht="17.25" customHeight="1" x14ac:dyDescent="0.3">
      <c r="A101" s="66" t="s">
        <v>30</v>
      </c>
      <c r="C101" s="67"/>
      <c r="D101" s="77" t="str">
        <f t="shared" si="53"/>
        <v>C100022</v>
      </c>
      <c r="E101" s="77"/>
      <c r="F101" s="76"/>
      <c r="G101" s="76" t="str">
        <f>"""NAV Direct"",""CRONUS JetCorp USA"",""32"",""1"",""25286"""</f>
        <v>"NAV Direct","CRONUS JetCorp USA","32","1","25286"</v>
      </c>
      <c r="H101" s="86">
        <v>43477</v>
      </c>
      <c r="I101" s="85">
        <v>25286</v>
      </c>
      <c r="J101" s="84" t="str">
        <f>"Customer"</f>
        <v>Customer</v>
      </c>
      <c r="K101" s="84" t="str">
        <f>"C100138"</f>
        <v>C100138</v>
      </c>
      <c r="L101" s="84" t="str">
        <f>IF($J101="Customer",_xll.NL("first",$J101,"Name","No.","@@"&amp;$K101),"")</f>
        <v>Dantons</v>
      </c>
      <c r="M101" s="84" t="str">
        <f>""</f>
        <v/>
      </c>
      <c r="N101" s="84" t="str">
        <f>IF($J101="Item",_xll.NL("first",$J101,"Description","No.","@@"&amp;$K101),"")</f>
        <v/>
      </c>
      <c r="O101" s="83">
        <v>0</v>
      </c>
      <c r="P101" s="83">
        <v>-288</v>
      </c>
      <c r="Q101" s="83">
        <v>0</v>
      </c>
      <c r="R101" s="83">
        <v>0</v>
      </c>
      <c r="S101" s="83">
        <v>0</v>
      </c>
      <c r="T101" s="83">
        <v>0</v>
      </c>
      <c r="U101" s="82"/>
    </row>
    <row r="102" spans="1:21" ht="17.25" customHeight="1" x14ac:dyDescent="0.3">
      <c r="A102" s="66" t="s">
        <v>30</v>
      </c>
      <c r="C102" s="67"/>
      <c r="D102" s="77" t="str">
        <f t="shared" si="53"/>
        <v>C100022</v>
      </c>
      <c r="E102" s="77"/>
      <c r="F102" s="76"/>
      <c r="G102" s="76" t="str">
        <f>"""NAV Direct"",""CRONUS JetCorp USA"",""32"",""1"",""132522"""</f>
        <v>"NAV Direct","CRONUS JetCorp USA","32","1","132522"</v>
      </c>
      <c r="H102" s="86">
        <v>43477</v>
      </c>
      <c r="I102" s="85">
        <v>132522</v>
      </c>
      <c r="J102" s="84" t="str">
        <f>"Customer"</f>
        <v>Customer</v>
      </c>
      <c r="K102" s="84" t="str">
        <f>"C100082"</f>
        <v>C100082</v>
      </c>
      <c r="L102" s="84" t="str">
        <f>IF($J102="Customer",_xll.NL("first",$J102,"Name","No.","@@"&amp;$K102),"")</f>
        <v>Sporting Goods Emporium</v>
      </c>
      <c r="M102" s="84" t="str">
        <f>""</f>
        <v/>
      </c>
      <c r="N102" s="84" t="str">
        <f>IF($J102="Item",_xll.NL("first",$J102,"Description","No.","@@"&amp;$K102),"")</f>
        <v/>
      </c>
      <c r="O102" s="83">
        <v>0</v>
      </c>
      <c r="P102" s="83">
        <v>-288</v>
      </c>
      <c r="Q102" s="83">
        <v>0</v>
      </c>
      <c r="R102" s="83">
        <v>0</v>
      </c>
      <c r="S102" s="83">
        <v>0</v>
      </c>
      <c r="T102" s="83">
        <v>0</v>
      </c>
      <c r="U102" s="82"/>
    </row>
    <row r="103" spans="1:21" ht="17.25" customHeight="1" x14ac:dyDescent="0.3">
      <c r="A103" s="66" t="s">
        <v>30</v>
      </c>
      <c r="C103" s="67"/>
      <c r="D103" s="77"/>
      <c r="E103" s="77"/>
      <c r="F103" s="76"/>
      <c r="G103" s="76"/>
      <c r="H103" s="76"/>
      <c r="I103" s="76"/>
      <c r="J103" s="76"/>
      <c r="K103" s="76"/>
      <c r="L103" s="76"/>
      <c r="M103" s="76"/>
      <c r="N103" s="76"/>
      <c r="O103" s="75"/>
      <c r="P103" s="75"/>
      <c r="Q103" s="75"/>
      <c r="R103" s="75"/>
      <c r="S103" s="75"/>
      <c r="T103" s="75"/>
      <c r="U103" s="74"/>
    </row>
    <row r="104" spans="1:21" ht="17.25" customHeight="1" x14ac:dyDescent="0.3">
      <c r="A104" s="66" t="s">
        <v>30</v>
      </c>
      <c r="C104" s="67"/>
      <c r="D104" s="77"/>
      <c r="E104" s="77" t="s">
        <v>31</v>
      </c>
      <c r="F104" s="76" t="s">
        <v>31</v>
      </c>
      <c r="G104" s="76" t="s">
        <v>31</v>
      </c>
      <c r="H104" s="76"/>
      <c r="I104" s="76"/>
      <c r="J104" s="76" t="s">
        <v>31</v>
      </c>
      <c r="K104" s="76" t="s">
        <v>31</v>
      </c>
      <c r="L104" s="76" t="s">
        <v>31</v>
      </c>
      <c r="M104" s="76" t="s">
        <v>31</v>
      </c>
      <c r="N104" s="76"/>
      <c r="U104" s="81"/>
    </row>
    <row r="105" spans="1:21" ht="20.25" customHeight="1" x14ac:dyDescent="0.35">
      <c r="A105" s="66" t="s">
        <v>30</v>
      </c>
      <c r="C105" s="67"/>
      <c r="D105" s="92" t="str">
        <f t="shared" ref="D105" si="54">E105</f>
        <v>C100023</v>
      </c>
      <c r="E105" s="91" t="str">
        <f>"C100023"</f>
        <v>C100023</v>
      </c>
      <c r="F105" s="89" t="str">
        <f>"Two-Toned Knit Hat"</f>
        <v>Two-Toned Knit Hat</v>
      </c>
      <c r="G105" s="89"/>
      <c r="H105" s="90" t="str">
        <f>"EA"</f>
        <v>EA</v>
      </c>
      <c r="I105" s="89"/>
      <c r="J105" s="89"/>
      <c r="K105" s="89"/>
      <c r="L105" s="89"/>
      <c r="M105" s="89"/>
      <c r="N105" s="89"/>
      <c r="O105" s="88">
        <f>(SUBTOTAL(9,O106:O110))</f>
        <v>2800</v>
      </c>
      <c r="P105" s="88">
        <f>(SUBTOTAL(9,P106:P110))</f>
        <v>-434</v>
      </c>
      <c r="Q105" s="88">
        <f>(SUBTOTAL(9,Q106:Q110))</f>
        <v>0</v>
      </c>
      <c r="R105" s="88">
        <f>(SUBTOTAL(9,R106:R110))</f>
        <v>0</v>
      </c>
      <c r="S105" s="88">
        <f>(SUBTOTAL(9,S106:S110))</f>
        <v>0</v>
      </c>
      <c r="T105" s="88">
        <f>(SUBTOTAL(9,T106:T110))</f>
        <v>0</v>
      </c>
      <c r="U105" s="87">
        <f t="shared" ref="U105" si="55">SUBTOTAL(9,O106:T110)</f>
        <v>2366</v>
      </c>
    </row>
    <row r="106" spans="1:21" ht="17.25" customHeight="1" x14ac:dyDescent="0.3">
      <c r="A106" s="66" t="s">
        <v>30</v>
      </c>
      <c r="C106" s="67"/>
      <c r="D106" s="77" t="str">
        <f t="shared" ref="D106" si="56">D105</f>
        <v>C100023</v>
      </c>
      <c r="E106" s="77"/>
      <c r="F106" s="76"/>
      <c r="G106" s="76" t="str">
        <f>"""NAV Direct"",""CRONUS JetCorp USA"",""32"",""1"",""167144"""</f>
        <v>"NAV Direct","CRONUS JetCorp USA","32","1","167144"</v>
      </c>
      <c r="H106" s="86">
        <v>43466</v>
      </c>
      <c r="I106" s="85">
        <v>167144</v>
      </c>
      <c r="J106" s="84" t="str">
        <f>"Vendor"</f>
        <v>Vendor</v>
      </c>
      <c r="K106" s="84" t="str">
        <f>"V100001"</f>
        <v>V100001</v>
      </c>
      <c r="L106" s="84" t="str">
        <f>IF($J106="Customer",_xll.NL("first",$J106,"Name","No.","@@"&amp;$K106),"")</f>
        <v/>
      </c>
      <c r="M106" s="84" t="str">
        <f>"Greigner, Inc."</f>
        <v>Greigner, Inc.</v>
      </c>
      <c r="N106" s="84" t="str">
        <f>IF($J106="Item",_xll.NL("first",$J106,"Description","No.","@@"&amp;$K106),"")</f>
        <v/>
      </c>
      <c r="O106" s="83">
        <v>2800</v>
      </c>
      <c r="P106" s="83">
        <v>0</v>
      </c>
      <c r="Q106" s="83">
        <v>0</v>
      </c>
      <c r="R106" s="83">
        <v>0</v>
      </c>
      <c r="S106" s="83">
        <v>0</v>
      </c>
      <c r="T106" s="83">
        <v>0</v>
      </c>
      <c r="U106" s="82"/>
    </row>
    <row r="107" spans="1:21" ht="17.25" customHeight="1" x14ac:dyDescent="0.3">
      <c r="A107" s="66" t="s">
        <v>30</v>
      </c>
      <c r="C107" s="67"/>
      <c r="D107" s="77" t="str">
        <f t="shared" ref="D107:D109" si="57">D106</f>
        <v>C100023</v>
      </c>
      <c r="E107" s="77"/>
      <c r="F107" s="76"/>
      <c r="G107" s="76" t="str">
        <f>"""NAV Direct"",""CRONUS JetCorp USA"",""32"",""1"",""20375"""</f>
        <v>"NAV Direct","CRONUS JetCorp USA","32","1","20375"</v>
      </c>
      <c r="H107" s="86">
        <v>43468</v>
      </c>
      <c r="I107" s="85">
        <v>20375</v>
      </c>
      <c r="J107" s="84" t="str">
        <f>"Customer"</f>
        <v>Customer</v>
      </c>
      <c r="K107" s="84" t="str">
        <f>"C100145"</f>
        <v>C100145</v>
      </c>
      <c r="L107" s="84" t="str">
        <f>IF($J107="Customer",_xll.NL("first",$J107,"Name","No.","@@"&amp;$K107),"")</f>
        <v>Dicon Industries</v>
      </c>
      <c r="M107" s="84" t="str">
        <f>""</f>
        <v/>
      </c>
      <c r="N107" s="84" t="str">
        <f>IF($J107="Item",_xll.NL("first",$J107,"Description","No.","@@"&amp;$K107),"")</f>
        <v/>
      </c>
      <c r="O107" s="83">
        <v>0</v>
      </c>
      <c r="P107" s="83">
        <v>-2</v>
      </c>
      <c r="Q107" s="83">
        <v>0</v>
      </c>
      <c r="R107" s="83">
        <v>0</v>
      </c>
      <c r="S107" s="83">
        <v>0</v>
      </c>
      <c r="T107" s="83">
        <v>0</v>
      </c>
      <c r="U107" s="82"/>
    </row>
    <row r="108" spans="1:21" ht="17.25" customHeight="1" x14ac:dyDescent="0.3">
      <c r="A108" s="66" t="s">
        <v>30</v>
      </c>
      <c r="C108" s="67"/>
      <c r="D108" s="77" t="str">
        <f t="shared" si="57"/>
        <v>C100023</v>
      </c>
      <c r="E108" s="77"/>
      <c r="F108" s="76"/>
      <c r="G108" s="76" t="str">
        <f>"""NAV Direct"",""CRONUS JetCorp USA"",""32"",""1"",""25243"""</f>
        <v>"NAV Direct","CRONUS JetCorp USA","32","1","25243"</v>
      </c>
      <c r="H108" s="86">
        <v>43471</v>
      </c>
      <c r="I108" s="85">
        <v>25243</v>
      </c>
      <c r="J108" s="84" t="str">
        <f>"Customer"</f>
        <v>Customer</v>
      </c>
      <c r="K108" s="84" t="str">
        <f>"C100102"</f>
        <v>C100102</v>
      </c>
      <c r="L108" s="84" t="str">
        <f>IF($J108="Customer",_xll.NL("first",$J108,"Name","No.","@@"&amp;$K108),"")</f>
        <v xml:space="preserve">BEI Outfitters </v>
      </c>
      <c r="M108" s="84" t="str">
        <f>""</f>
        <v/>
      </c>
      <c r="N108" s="84" t="str">
        <f>IF($J108="Item",_xll.NL("first",$J108,"Description","No.","@@"&amp;$K108),"")</f>
        <v/>
      </c>
      <c r="O108" s="83">
        <v>0</v>
      </c>
      <c r="P108" s="83">
        <v>-144</v>
      </c>
      <c r="Q108" s="83">
        <v>0</v>
      </c>
      <c r="R108" s="83">
        <v>0</v>
      </c>
      <c r="S108" s="83">
        <v>0</v>
      </c>
      <c r="T108" s="83">
        <v>0</v>
      </c>
      <c r="U108" s="82"/>
    </row>
    <row r="109" spans="1:21" ht="17.25" customHeight="1" x14ac:dyDescent="0.3">
      <c r="A109" s="66" t="s">
        <v>30</v>
      </c>
      <c r="C109" s="67"/>
      <c r="D109" s="77" t="str">
        <f t="shared" si="57"/>
        <v>C100023</v>
      </c>
      <c r="E109" s="77"/>
      <c r="F109" s="76"/>
      <c r="G109" s="76" t="str">
        <f>"""NAV Direct"",""CRONUS JetCorp USA"",""32"",""1"",""132523"""</f>
        <v>"NAV Direct","CRONUS JetCorp USA","32","1","132523"</v>
      </c>
      <c r="H109" s="86">
        <v>43477</v>
      </c>
      <c r="I109" s="85">
        <v>132523</v>
      </c>
      <c r="J109" s="84" t="str">
        <f>"Customer"</f>
        <v>Customer</v>
      </c>
      <c r="K109" s="84" t="str">
        <f>"C100082"</f>
        <v>C100082</v>
      </c>
      <c r="L109" s="84" t="str">
        <f>IF($J109="Customer",_xll.NL("first",$J109,"Name","No.","@@"&amp;$K109),"")</f>
        <v>Sporting Goods Emporium</v>
      </c>
      <c r="M109" s="84" t="str">
        <f>""</f>
        <v/>
      </c>
      <c r="N109" s="84" t="str">
        <f>IF($J109="Item",_xll.NL("first",$J109,"Description","No.","@@"&amp;$K109),"")</f>
        <v/>
      </c>
      <c r="O109" s="83">
        <v>0</v>
      </c>
      <c r="P109" s="83">
        <v>-288</v>
      </c>
      <c r="Q109" s="83">
        <v>0</v>
      </c>
      <c r="R109" s="83">
        <v>0</v>
      </c>
      <c r="S109" s="83">
        <v>0</v>
      </c>
      <c r="T109" s="83">
        <v>0</v>
      </c>
      <c r="U109" s="82"/>
    </row>
    <row r="110" spans="1:21" ht="17.25" customHeight="1" x14ac:dyDescent="0.3">
      <c r="A110" s="66" t="s">
        <v>30</v>
      </c>
      <c r="C110" s="67"/>
      <c r="D110" s="77"/>
      <c r="E110" s="77"/>
      <c r="F110" s="76"/>
      <c r="G110" s="76"/>
      <c r="H110" s="76"/>
      <c r="I110" s="76"/>
      <c r="J110" s="76"/>
      <c r="K110" s="76"/>
      <c r="L110" s="76"/>
      <c r="M110" s="76"/>
      <c r="N110" s="76"/>
      <c r="O110" s="75"/>
      <c r="P110" s="75"/>
      <c r="Q110" s="75"/>
      <c r="R110" s="75"/>
      <c r="S110" s="75"/>
      <c r="T110" s="75"/>
      <c r="U110" s="74"/>
    </row>
    <row r="111" spans="1:21" ht="17.25" customHeight="1" x14ac:dyDescent="0.3">
      <c r="A111" s="66" t="s">
        <v>30</v>
      </c>
      <c r="C111" s="67"/>
      <c r="D111" s="77"/>
      <c r="E111" s="77" t="s">
        <v>31</v>
      </c>
      <c r="F111" s="76" t="s">
        <v>31</v>
      </c>
      <c r="G111" s="76" t="s">
        <v>31</v>
      </c>
      <c r="H111" s="76"/>
      <c r="I111" s="76"/>
      <c r="J111" s="76" t="s">
        <v>31</v>
      </c>
      <c r="K111" s="76" t="s">
        <v>31</v>
      </c>
      <c r="L111" s="76" t="s">
        <v>31</v>
      </c>
      <c r="M111" s="76" t="s">
        <v>31</v>
      </c>
      <c r="N111" s="76"/>
      <c r="U111" s="81"/>
    </row>
    <row r="112" spans="1:21" ht="20.25" customHeight="1" x14ac:dyDescent="0.35">
      <c r="A112" s="66" t="s">
        <v>30</v>
      </c>
      <c r="C112" s="67"/>
      <c r="D112" s="92" t="str">
        <f t="shared" ref="D112" si="58">E112</f>
        <v>C100024</v>
      </c>
      <c r="E112" s="91" t="str">
        <f>"C100024"</f>
        <v>C100024</v>
      </c>
      <c r="F112" s="89" t="str">
        <f>"Knit Hat with Bill"</f>
        <v>Knit Hat with Bill</v>
      </c>
      <c r="G112" s="89"/>
      <c r="H112" s="90" t="str">
        <f>"EA"</f>
        <v>EA</v>
      </c>
      <c r="I112" s="89"/>
      <c r="J112" s="89"/>
      <c r="K112" s="89"/>
      <c r="L112" s="89"/>
      <c r="M112" s="89"/>
      <c r="N112" s="89"/>
      <c r="O112" s="88">
        <f>(SUBTOTAL(9,O113:O116))</f>
        <v>1999.9999999999998</v>
      </c>
      <c r="P112" s="88">
        <f>(SUBTOTAL(9,P113:P116))</f>
        <v>-288</v>
      </c>
      <c r="Q112" s="88">
        <f>(SUBTOTAL(9,Q113:Q116))</f>
        <v>0</v>
      </c>
      <c r="R112" s="88">
        <f>(SUBTOTAL(9,R113:R116))</f>
        <v>0</v>
      </c>
      <c r="S112" s="88">
        <f>(SUBTOTAL(9,S113:S116))</f>
        <v>0</v>
      </c>
      <c r="T112" s="88">
        <f>(SUBTOTAL(9,T113:T116))</f>
        <v>0</v>
      </c>
      <c r="U112" s="87">
        <f t="shared" ref="U112" si="59">SUBTOTAL(9,O113:T116)</f>
        <v>1711.9999999999998</v>
      </c>
    </row>
    <row r="113" spans="1:21" ht="17.25" customHeight="1" x14ac:dyDescent="0.3">
      <c r="A113" s="66" t="s">
        <v>30</v>
      </c>
      <c r="C113" s="67"/>
      <c r="D113" s="77" t="str">
        <f t="shared" ref="D113" si="60">D112</f>
        <v>C100024</v>
      </c>
      <c r="E113" s="77"/>
      <c r="F113" s="76"/>
      <c r="G113" s="76" t="str">
        <f>"""NAV Direct"",""CRONUS JetCorp USA"",""32"",""1"",""167143"""</f>
        <v>"NAV Direct","CRONUS JetCorp USA","32","1","167143"</v>
      </c>
      <c r="H113" s="86">
        <v>43466</v>
      </c>
      <c r="I113" s="85">
        <v>167143</v>
      </c>
      <c r="J113" s="84" t="str">
        <f>"Vendor"</f>
        <v>Vendor</v>
      </c>
      <c r="K113" s="84" t="str">
        <f>"V100001"</f>
        <v>V100001</v>
      </c>
      <c r="L113" s="84" t="str">
        <f>IF($J113="Customer",_xll.NL("first",$J113,"Name","No.","@@"&amp;$K113),"")</f>
        <v/>
      </c>
      <c r="M113" s="84" t="str">
        <f>"Greigner, Inc."</f>
        <v>Greigner, Inc.</v>
      </c>
      <c r="N113" s="84" t="str">
        <f>IF($J113="Item",_xll.NL("first",$J113,"Description","No.","@@"&amp;$K113),"")</f>
        <v/>
      </c>
      <c r="O113" s="83">
        <v>1999.9999999999998</v>
      </c>
      <c r="P113" s="83">
        <v>0</v>
      </c>
      <c r="Q113" s="83">
        <v>0</v>
      </c>
      <c r="R113" s="83">
        <v>0</v>
      </c>
      <c r="S113" s="83">
        <v>0</v>
      </c>
      <c r="T113" s="83">
        <v>0</v>
      </c>
      <c r="U113" s="82"/>
    </row>
    <row r="114" spans="1:21" ht="17.25" customHeight="1" x14ac:dyDescent="0.3">
      <c r="A114" s="66" t="s">
        <v>30</v>
      </c>
      <c r="C114" s="67"/>
      <c r="D114" s="77" t="str">
        <f t="shared" ref="D114:D115" si="61">D113</f>
        <v>C100024</v>
      </c>
      <c r="E114" s="77"/>
      <c r="F114" s="76"/>
      <c r="G114" s="76" t="str">
        <f>"""NAV Direct"",""CRONUS JetCorp USA"",""32"",""1"",""20335"""</f>
        <v>"NAV Direct","CRONUS JetCorp USA","32","1","20335"</v>
      </c>
      <c r="H114" s="86">
        <v>43472</v>
      </c>
      <c r="I114" s="85">
        <v>20335</v>
      </c>
      <c r="J114" s="84" t="str">
        <f>"Customer"</f>
        <v>Customer</v>
      </c>
      <c r="K114" s="84" t="str">
        <f>"C100145"</f>
        <v>C100145</v>
      </c>
      <c r="L114" s="84" t="str">
        <f>IF($J114="Customer",_xll.NL("first",$J114,"Name","No.","@@"&amp;$K114),"")</f>
        <v>Dicon Industries</v>
      </c>
      <c r="M114" s="84" t="str">
        <f>""</f>
        <v/>
      </c>
      <c r="N114" s="84" t="str">
        <f>IF($J114="Item",_xll.NL("first",$J114,"Description","No.","@@"&amp;$K114),"")</f>
        <v/>
      </c>
      <c r="O114" s="83">
        <v>0</v>
      </c>
      <c r="P114" s="83">
        <v>-144</v>
      </c>
      <c r="Q114" s="83">
        <v>0</v>
      </c>
      <c r="R114" s="83">
        <v>0</v>
      </c>
      <c r="S114" s="83">
        <v>0</v>
      </c>
      <c r="T114" s="83">
        <v>0</v>
      </c>
      <c r="U114" s="82"/>
    </row>
    <row r="115" spans="1:21" ht="17.25" customHeight="1" x14ac:dyDescent="0.3">
      <c r="A115" s="66" t="s">
        <v>30</v>
      </c>
      <c r="C115" s="67"/>
      <c r="D115" s="77" t="str">
        <f t="shared" si="61"/>
        <v>C100024</v>
      </c>
      <c r="E115" s="77"/>
      <c r="F115" s="76"/>
      <c r="G115" s="76" t="str">
        <f>"""NAV Direct"",""CRONUS JetCorp USA"",""32"",""1"",""124526"""</f>
        <v>"NAV Direct","CRONUS JetCorp USA","32","1","124526"</v>
      </c>
      <c r="H115" s="86">
        <v>43474</v>
      </c>
      <c r="I115" s="85">
        <v>124526</v>
      </c>
      <c r="J115" s="84" t="str">
        <f>"Customer"</f>
        <v>Customer</v>
      </c>
      <c r="K115" s="84" t="str">
        <f>"C100145"</f>
        <v>C100145</v>
      </c>
      <c r="L115" s="84" t="str">
        <f>IF($J115="Customer",_xll.NL("first",$J115,"Name","No.","@@"&amp;$K115),"")</f>
        <v>Dicon Industries</v>
      </c>
      <c r="M115" s="84" t="str">
        <f>""</f>
        <v/>
      </c>
      <c r="N115" s="84" t="str">
        <f>IF($J115="Item",_xll.NL("first",$J115,"Description","No.","@@"&amp;$K115),"")</f>
        <v/>
      </c>
      <c r="O115" s="83">
        <v>0</v>
      </c>
      <c r="P115" s="83">
        <v>-144</v>
      </c>
      <c r="Q115" s="83">
        <v>0</v>
      </c>
      <c r="R115" s="83">
        <v>0</v>
      </c>
      <c r="S115" s="83">
        <v>0</v>
      </c>
      <c r="T115" s="83">
        <v>0</v>
      </c>
      <c r="U115" s="82"/>
    </row>
    <row r="116" spans="1:21" ht="17.25" customHeight="1" x14ac:dyDescent="0.3">
      <c r="A116" s="66" t="s">
        <v>30</v>
      </c>
      <c r="C116" s="67"/>
      <c r="D116" s="77"/>
      <c r="E116" s="77"/>
      <c r="F116" s="76"/>
      <c r="G116" s="76"/>
      <c r="H116" s="76"/>
      <c r="I116" s="76"/>
      <c r="J116" s="76"/>
      <c r="K116" s="76"/>
      <c r="L116" s="76"/>
      <c r="M116" s="76"/>
      <c r="N116" s="76"/>
      <c r="O116" s="75"/>
      <c r="P116" s="75"/>
      <c r="Q116" s="75"/>
      <c r="R116" s="75"/>
      <c r="S116" s="75"/>
      <c r="T116" s="75"/>
      <c r="U116" s="74"/>
    </row>
    <row r="117" spans="1:21" ht="17.25" customHeight="1" x14ac:dyDescent="0.3">
      <c r="A117" s="66" t="s">
        <v>30</v>
      </c>
      <c r="C117" s="67"/>
      <c r="D117" s="77"/>
      <c r="E117" s="77" t="s">
        <v>31</v>
      </c>
      <c r="F117" s="76" t="s">
        <v>31</v>
      </c>
      <c r="G117" s="76" t="s">
        <v>31</v>
      </c>
      <c r="H117" s="76"/>
      <c r="I117" s="76"/>
      <c r="J117" s="76" t="s">
        <v>31</v>
      </c>
      <c r="K117" s="76" t="s">
        <v>31</v>
      </c>
      <c r="L117" s="76" t="s">
        <v>31</v>
      </c>
      <c r="M117" s="76" t="s">
        <v>31</v>
      </c>
      <c r="N117" s="76"/>
      <c r="U117" s="81"/>
    </row>
    <row r="118" spans="1:21" ht="20.25" customHeight="1" x14ac:dyDescent="0.35">
      <c r="A118" s="66" t="s">
        <v>30</v>
      </c>
      <c r="C118" s="67"/>
      <c r="D118" s="92" t="str">
        <f t="shared" ref="D118" si="62">E118</f>
        <v>C100025</v>
      </c>
      <c r="E118" s="91" t="str">
        <f>"C100025"</f>
        <v>C100025</v>
      </c>
      <c r="F118" s="89" t="str">
        <f>"Striped Knit Hat"</f>
        <v>Striped Knit Hat</v>
      </c>
      <c r="G118" s="89"/>
      <c r="H118" s="90" t="str">
        <f>"EA"</f>
        <v>EA</v>
      </c>
      <c r="I118" s="89"/>
      <c r="J118" s="89"/>
      <c r="K118" s="89"/>
      <c r="L118" s="89"/>
      <c r="M118" s="89"/>
      <c r="N118" s="89"/>
      <c r="O118" s="88">
        <f>(SUBTOTAL(9,O119:O125))</f>
        <v>4400</v>
      </c>
      <c r="P118" s="88">
        <f>(SUBTOTAL(9,P119:P125))</f>
        <v>-865</v>
      </c>
      <c r="Q118" s="88">
        <f>(SUBTOTAL(9,Q119:Q125))</f>
        <v>0</v>
      </c>
      <c r="R118" s="88">
        <f>(SUBTOTAL(9,R119:R125))</f>
        <v>0</v>
      </c>
      <c r="S118" s="88">
        <f>(SUBTOTAL(9,S119:S125))</f>
        <v>0</v>
      </c>
      <c r="T118" s="88">
        <f>(SUBTOTAL(9,T119:T125))</f>
        <v>0</v>
      </c>
      <c r="U118" s="87">
        <f t="shared" ref="U118" si="63">SUBTOTAL(9,O119:T125)</f>
        <v>3535</v>
      </c>
    </row>
    <row r="119" spans="1:21" ht="17.25" customHeight="1" x14ac:dyDescent="0.3">
      <c r="A119" s="66" t="s">
        <v>30</v>
      </c>
      <c r="C119" s="67"/>
      <c r="D119" s="77" t="str">
        <f t="shared" ref="D119" si="64">D118</f>
        <v>C100025</v>
      </c>
      <c r="E119" s="77"/>
      <c r="F119" s="76"/>
      <c r="G119" s="76" t="str">
        <f>"""NAV Direct"",""CRONUS JetCorp USA"",""32"",""1"",""167142"""</f>
        <v>"NAV Direct","CRONUS JetCorp USA","32","1","167142"</v>
      </c>
      <c r="H119" s="86">
        <v>43466</v>
      </c>
      <c r="I119" s="85">
        <v>167142</v>
      </c>
      <c r="J119" s="84" t="str">
        <f>"Vendor"</f>
        <v>Vendor</v>
      </c>
      <c r="K119" s="84" t="str">
        <f>"V100001"</f>
        <v>V100001</v>
      </c>
      <c r="L119" s="84" t="str">
        <f>IF($J119="Customer",_xll.NL("first",$J119,"Name","No.","@@"&amp;$K119),"")</f>
        <v/>
      </c>
      <c r="M119" s="84" t="str">
        <f>"Greigner, Inc."</f>
        <v>Greigner, Inc.</v>
      </c>
      <c r="N119" s="84" t="str">
        <f>IF($J119="Item",_xll.NL("first",$J119,"Description","No.","@@"&amp;$K119),"")</f>
        <v/>
      </c>
      <c r="O119" s="83">
        <v>4400</v>
      </c>
      <c r="P119" s="83">
        <v>0</v>
      </c>
      <c r="Q119" s="83">
        <v>0</v>
      </c>
      <c r="R119" s="83">
        <v>0</v>
      </c>
      <c r="S119" s="83">
        <v>0</v>
      </c>
      <c r="T119" s="83">
        <v>0</v>
      </c>
      <c r="U119" s="82"/>
    </row>
    <row r="120" spans="1:21" ht="17.25" customHeight="1" x14ac:dyDescent="0.3">
      <c r="A120" s="66" t="s">
        <v>30</v>
      </c>
      <c r="C120" s="67"/>
      <c r="D120" s="77" t="str">
        <f t="shared" ref="D120:D124" si="65">D119</f>
        <v>C100025</v>
      </c>
      <c r="E120" s="77"/>
      <c r="F120" s="76"/>
      <c r="G120" s="76" t="str">
        <f>"""NAV Direct"",""CRONUS JetCorp USA"",""32"",""1"",""64578"""</f>
        <v>"NAV Direct","CRONUS JetCorp USA","32","1","64578"</v>
      </c>
      <c r="H120" s="86">
        <v>43469</v>
      </c>
      <c r="I120" s="85">
        <v>64578</v>
      </c>
      <c r="J120" s="84" t="str">
        <f>"Customer"</f>
        <v>Customer</v>
      </c>
      <c r="K120" s="84" t="str">
        <f>"C100140"</f>
        <v>C100140</v>
      </c>
      <c r="L120" s="84" t="str">
        <f>IF($J120="Customer",_xll.NL("first",$J120,"Name","No.","@@"&amp;$K120),"")</f>
        <v>Super Daves</v>
      </c>
      <c r="M120" s="84" t="str">
        <f>""</f>
        <v/>
      </c>
      <c r="N120" s="84" t="str">
        <f>IF($J120="Item",_xll.NL("first",$J120,"Description","No.","@@"&amp;$K120),"")</f>
        <v/>
      </c>
      <c r="O120" s="83">
        <v>0</v>
      </c>
      <c r="P120" s="83">
        <v>-145</v>
      </c>
      <c r="Q120" s="83">
        <v>0</v>
      </c>
      <c r="R120" s="83">
        <v>0</v>
      </c>
      <c r="S120" s="83">
        <v>0</v>
      </c>
      <c r="T120" s="83">
        <v>0</v>
      </c>
      <c r="U120" s="82"/>
    </row>
    <row r="121" spans="1:21" ht="17.25" customHeight="1" x14ac:dyDescent="0.3">
      <c r="A121" s="66" t="s">
        <v>30</v>
      </c>
      <c r="C121" s="67"/>
      <c r="D121" s="77" t="str">
        <f t="shared" si="65"/>
        <v>C100025</v>
      </c>
      <c r="E121" s="77"/>
      <c r="F121" s="76"/>
      <c r="G121" s="76" t="str">
        <f>"""NAV Direct"",""CRONUS JetCorp USA"",""32"",""1"",""20340"""</f>
        <v>"NAV Direct","CRONUS JetCorp USA","32","1","20340"</v>
      </c>
      <c r="H121" s="86">
        <v>43472</v>
      </c>
      <c r="I121" s="85">
        <v>20340</v>
      </c>
      <c r="J121" s="84" t="str">
        <f>"Customer"</f>
        <v>Customer</v>
      </c>
      <c r="K121" s="84" t="str">
        <f>"C100145"</f>
        <v>C100145</v>
      </c>
      <c r="L121" s="84" t="str">
        <f>IF($J121="Customer",_xll.NL("first",$J121,"Name","No.","@@"&amp;$K121),"")</f>
        <v>Dicon Industries</v>
      </c>
      <c r="M121" s="84" t="str">
        <f>""</f>
        <v/>
      </c>
      <c r="N121" s="84" t="str">
        <f>IF($J121="Item",_xll.NL("first",$J121,"Description","No.","@@"&amp;$K121),"")</f>
        <v/>
      </c>
      <c r="O121" s="83">
        <v>0</v>
      </c>
      <c r="P121" s="83">
        <v>-144</v>
      </c>
      <c r="Q121" s="83">
        <v>0</v>
      </c>
      <c r="R121" s="83">
        <v>0</v>
      </c>
      <c r="S121" s="83">
        <v>0</v>
      </c>
      <c r="T121" s="83">
        <v>0</v>
      </c>
      <c r="U121" s="82"/>
    </row>
    <row r="122" spans="1:21" ht="17.25" customHeight="1" x14ac:dyDescent="0.3">
      <c r="A122" s="66" t="s">
        <v>30</v>
      </c>
      <c r="C122" s="67"/>
      <c r="D122" s="77" t="str">
        <f t="shared" si="65"/>
        <v>C100025</v>
      </c>
      <c r="E122" s="77"/>
      <c r="F122" s="76"/>
      <c r="G122" s="76" t="str">
        <f>"""NAV Direct"",""CRONUS JetCorp USA"",""32"",""1"",""44519"""</f>
        <v>"NAV Direct","CRONUS JetCorp USA","32","1","44519"</v>
      </c>
      <c r="H122" s="86">
        <v>43473</v>
      </c>
      <c r="I122" s="85">
        <v>44519</v>
      </c>
      <c r="J122" s="84" t="str">
        <f>"Customer"</f>
        <v>Customer</v>
      </c>
      <c r="K122" s="84" t="str">
        <f>"C100139"</f>
        <v>C100139</v>
      </c>
      <c r="L122" s="84" t="str">
        <f>IF($J122="Customer",_xll.NL("first",$J122,"Name","No.","@@"&amp;$K122),"")</f>
        <v>Gamma Ray's</v>
      </c>
      <c r="M122" s="84" t="str">
        <f>""</f>
        <v/>
      </c>
      <c r="N122" s="84" t="str">
        <f>IF($J122="Item",_xll.NL("first",$J122,"Description","No.","@@"&amp;$K122),"")</f>
        <v/>
      </c>
      <c r="O122" s="83">
        <v>0</v>
      </c>
      <c r="P122" s="83">
        <v>-144</v>
      </c>
      <c r="Q122" s="83">
        <v>0</v>
      </c>
      <c r="R122" s="83">
        <v>0</v>
      </c>
      <c r="S122" s="83">
        <v>0</v>
      </c>
      <c r="T122" s="83">
        <v>0</v>
      </c>
      <c r="U122" s="82"/>
    </row>
    <row r="123" spans="1:21" ht="17.25" customHeight="1" x14ac:dyDescent="0.3">
      <c r="A123" s="66" t="s">
        <v>30</v>
      </c>
      <c r="C123" s="67"/>
      <c r="D123" s="77" t="str">
        <f t="shared" si="65"/>
        <v>C100025</v>
      </c>
      <c r="E123" s="77"/>
      <c r="F123" s="76"/>
      <c r="G123" s="76" t="str">
        <f>"""NAV Direct"",""CRONUS JetCorp USA"",""32"",""1"",""54693"""</f>
        <v>"NAV Direct","CRONUS JetCorp USA","32","1","54693"</v>
      </c>
      <c r="H123" s="86">
        <v>43474</v>
      </c>
      <c r="I123" s="85">
        <v>54693</v>
      </c>
      <c r="J123" s="84" t="str">
        <f>"Customer"</f>
        <v>Customer</v>
      </c>
      <c r="K123" s="84" t="str">
        <f>"C100096"</f>
        <v>C100096</v>
      </c>
      <c r="L123" s="84" t="str">
        <f>IF($J123="Customer",_xll.NL("first",$J123,"Name","No.","@@"&amp;$K123),"")</f>
        <v>D-Com Industries</v>
      </c>
      <c r="M123" s="84" t="str">
        <f>""</f>
        <v/>
      </c>
      <c r="N123" s="84" t="str">
        <f>IF($J123="Item",_xll.NL("first",$J123,"Description","No.","@@"&amp;$K123),"")</f>
        <v/>
      </c>
      <c r="O123" s="83">
        <v>0</v>
      </c>
      <c r="P123" s="83">
        <v>-288</v>
      </c>
      <c r="Q123" s="83">
        <v>0</v>
      </c>
      <c r="R123" s="83">
        <v>0</v>
      </c>
      <c r="S123" s="83">
        <v>0</v>
      </c>
      <c r="T123" s="83">
        <v>0</v>
      </c>
      <c r="U123" s="82"/>
    </row>
    <row r="124" spans="1:21" ht="17.25" customHeight="1" x14ac:dyDescent="0.3">
      <c r="A124" s="66" t="s">
        <v>30</v>
      </c>
      <c r="C124" s="67"/>
      <c r="D124" s="77" t="str">
        <f t="shared" si="65"/>
        <v>C100025</v>
      </c>
      <c r="E124" s="77"/>
      <c r="F124" s="76"/>
      <c r="G124" s="76" t="str">
        <f>"""NAV Direct"",""CRONUS JetCorp USA"",""32"",""1"",""132527"""</f>
        <v>"NAV Direct","CRONUS JetCorp USA","32","1","132527"</v>
      </c>
      <c r="H124" s="86">
        <v>43477</v>
      </c>
      <c r="I124" s="85">
        <v>132527</v>
      </c>
      <c r="J124" s="84" t="str">
        <f>"Customer"</f>
        <v>Customer</v>
      </c>
      <c r="K124" s="84" t="str">
        <f>"C100082"</f>
        <v>C100082</v>
      </c>
      <c r="L124" s="84" t="str">
        <f>IF($J124="Customer",_xll.NL("first",$J124,"Name","No.","@@"&amp;$K124),"")</f>
        <v>Sporting Goods Emporium</v>
      </c>
      <c r="M124" s="84" t="str">
        <f>""</f>
        <v/>
      </c>
      <c r="N124" s="84" t="str">
        <f>IF($J124="Item",_xll.NL("first",$J124,"Description","No.","@@"&amp;$K124),"")</f>
        <v/>
      </c>
      <c r="O124" s="83">
        <v>0</v>
      </c>
      <c r="P124" s="83">
        <v>-144</v>
      </c>
      <c r="Q124" s="83">
        <v>0</v>
      </c>
      <c r="R124" s="83">
        <v>0</v>
      </c>
      <c r="S124" s="83">
        <v>0</v>
      </c>
      <c r="T124" s="83">
        <v>0</v>
      </c>
      <c r="U124" s="82"/>
    </row>
    <row r="125" spans="1:21" ht="17.25" customHeight="1" x14ac:dyDescent="0.3">
      <c r="A125" s="66" t="s">
        <v>30</v>
      </c>
      <c r="C125" s="67"/>
      <c r="D125" s="77"/>
      <c r="E125" s="77"/>
      <c r="F125" s="76"/>
      <c r="G125" s="76"/>
      <c r="H125" s="76"/>
      <c r="I125" s="76"/>
      <c r="J125" s="76"/>
      <c r="K125" s="76"/>
      <c r="L125" s="76"/>
      <c r="M125" s="76"/>
      <c r="N125" s="76"/>
      <c r="O125" s="75"/>
      <c r="P125" s="75"/>
      <c r="Q125" s="75"/>
      <c r="R125" s="75"/>
      <c r="S125" s="75"/>
      <c r="T125" s="75"/>
      <c r="U125" s="74"/>
    </row>
    <row r="126" spans="1:21" ht="17.25" customHeight="1" x14ac:dyDescent="0.3">
      <c r="A126" s="66" t="s">
        <v>30</v>
      </c>
      <c r="C126" s="67"/>
      <c r="D126" s="77"/>
      <c r="E126" s="77" t="s">
        <v>31</v>
      </c>
      <c r="F126" s="76" t="s">
        <v>31</v>
      </c>
      <c r="G126" s="76" t="s">
        <v>31</v>
      </c>
      <c r="H126" s="76"/>
      <c r="I126" s="76"/>
      <c r="J126" s="76" t="s">
        <v>31</v>
      </c>
      <c r="K126" s="76" t="s">
        <v>31</v>
      </c>
      <c r="L126" s="76" t="s">
        <v>31</v>
      </c>
      <c r="M126" s="76" t="s">
        <v>31</v>
      </c>
      <c r="N126" s="76"/>
      <c r="U126" s="81"/>
    </row>
    <row r="127" spans="1:21" ht="20.25" customHeight="1" x14ac:dyDescent="0.35">
      <c r="A127" s="66" t="s">
        <v>30</v>
      </c>
      <c r="C127" s="67"/>
      <c r="D127" s="92" t="str">
        <f t="shared" ref="D127" si="66">E127</f>
        <v>C100026</v>
      </c>
      <c r="E127" s="91" t="str">
        <f>"C100026"</f>
        <v>C100026</v>
      </c>
      <c r="F127" s="89" t="str">
        <f>"Fleece Beanie"</f>
        <v>Fleece Beanie</v>
      </c>
      <c r="G127" s="89"/>
      <c r="H127" s="90" t="str">
        <f>"EA"</f>
        <v>EA</v>
      </c>
      <c r="I127" s="89"/>
      <c r="J127" s="89"/>
      <c r="K127" s="89"/>
      <c r="L127" s="89"/>
      <c r="M127" s="89"/>
      <c r="N127" s="89"/>
      <c r="O127" s="88">
        <f>(SUBTOTAL(9,O128:O139))</f>
        <v>4400</v>
      </c>
      <c r="P127" s="88">
        <f>(SUBTOTAL(9,P128:P139))</f>
        <v>-1392</v>
      </c>
      <c r="Q127" s="88">
        <f>(SUBTOTAL(9,Q128:Q139))</f>
        <v>0</v>
      </c>
      <c r="R127" s="88">
        <f>(SUBTOTAL(9,R128:R139))</f>
        <v>0</v>
      </c>
      <c r="S127" s="88">
        <f>(SUBTOTAL(9,S128:S139))</f>
        <v>0</v>
      </c>
      <c r="T127" s="88">
        <f>(SUBTOTAL(9,T128:T139))</f>
        <v>0</v>
      </c>
      <c r="U127" s="87">
        <f t="shared" ref="U127" si="67">SUBTOTAL(9,O128:T139)</f>
        <v>3008</v>
      </c>
    </row>
    <row r="128" spans="1:21" ht="17.25" customHeight="1" x14ac:dyDescent="0.3">
      <c r="A128" s="66" t="s">
        <v>30</v>
      </c>
      <c r="C128" s="67"/>
      <c r="D128" s="77" t="str">
        <f t="shared" ref="D128" si="68">D127</f>
        <v>C100026</v>
      </c>
      <c r="E128" s="77"/>
      <c r="F128" s="76"/>
      <c r="G128" s="76" t="str">
        <f>"""NAV Direct"",""CRONUS JetCorp USA"",""32"",""1"",""167141"""</f>
        <v>"NAV Direct","CRONUS JetCorp USA","32","1","167141"</v>
      </c>
      <c r="H128" s="86">
        <v>43466</v>
      </c>
      <c r="I128" s="85">
        <v>167141</v>
      </c>
      <c r="J128" s="84" t="str">
        <f>"Vendor"</f>
        <v>Vendor</v>
      </c>
      <c r="K128" s="84" t="str">
        <f>"V100001"</f>
        <v>V100001</v>
      </c>
      <c r="L128" s="84" t="str">
        <f>IF($J128="Customer",_xll.NL("first",$J128,"Name","No.","@@"&amp;$K128),"")</f>
        <v/>
      </c>
      <c r="M128" s="84" t="str">
        <f>"Greigner, Inc."</f>
        <v>Greigner, Inc.</v>
      </c>
      <c r="N128" s="84" t="str">
        <f>IF($J128="Item",_xll.NL("first",$J128,"Description","No.","@@"&amp;$K128),"")</f>
        <v/>
      </c>
      <c r="O128" s="83">
        <v>4400</v>
      </c>
      <c r="P128" s="83">
        <v>0</v>
      </c>
      <c r="Q128" s="83">
        <v>0</v>
      </c>
      <c r="R128" s="83">
        <v>0</v>
      </c>
      <c r="S128" s="83">
        <v>0</v>
      </c>
      <c r="T128" s="83">
        <v>0</v>
      </c>
      <c r="U128" s="82"/>
    </row>
    <row r="129" spans="1:21" ht="17.25" customHeight="1" x14ac:dyDescent="0.3">
      <c r="A129" s="66" t="s">
        <v>30</v>
      </c>
      <c r="C129" s="67"/>
      <c r="D129" s="77" t="str">
        <f t="shared" ref="D129:D138" si="69">D128</f>
        <v>C100026</v>
      </c>
      <c r="E129" s="77"/>
      <c r="F129" s="76"/>
      <c r="G129" s="76" t="str">
        <f>"""NAV Direct"",""CRONUS JetCorp USA"",""32"",""1"",""20372"""</f>
        <v>"NAV Direct","CRONUS JetCorp USA","32","1","20372"</v>
      </c>
      <c r="H129" s="86">
        <v>43468</v>
      </c>
      <c r="I129" s="85">
        <v>20372</v>
      </c>
      <c r="J129" s="84" t="str">
        <f>"Customer"</f>
        <v>Customer</v>
      </c>
      <c r="K129" s="84" t="str">
        <f>"C100145"</f>
        <v>C100145</v>
      </c>
      <c r="L129" s="84" t="str">
        <f>IF($J129="Customer",_xll.NL("first",$J129,"Name","No.","@@"&amp;$K129),"")</f>
        <v>Dicon Industries</v>
      </c>
      <c r="M129" s="84" t="str">
        <f>""</f>
        <v/>
      </c>
      <c r="N129" s="84" t="str">
        <f>IF($J129="Item",_xll.NL("first",$J129,"Description","No.","@@"&amp;$K129),"")</f>
        <v/>
      </c>
      <c r="O129" s="83">
        <v>0</v>
      </c>
      <c r="P129" s="83">
        <v>-144</v>
      </c>
      <c r="Q129" s="83">
        <v>0</v>
      </c>
      <c r="R129" s="83">
        <v>0</v>
      </c>
      <c r="S129" s="83">
        <v>0</v>
      </c>
      <c r="T129" s="83">
        <v>0</v>
      </c>
      <c r="U129" s="82"/>
    </row>
    <row r="130" spans="1:21" ht="17.25" customHeight="1" x14ac:dyDescent="0.3">
      <c r="A130" s="66" t="s">
        <v>30</v>
      </c>
      <c r="C130" s="67"/>
      <c r="D130" s="77" t="str">
        <f t="shared" si="69"/>
        <v>C100026</v>
      </c>
      <c r="E130" s="77"/>
      <c r="F130" s="76"/>
      <c r="G130" s="76" t="str">
        <f>"""NAV Direct"",""CRONUS JetCorp USA"",""32"",""1"",""25245"""</f>
        <v>"NAV Direct","CRONUS JetCorp USA","32","1","25245"</v>
      </c>
      <c r="H130" s="86">
        <v>43471</v>
      </c>
      <c r="I130" s="85">
        <v>25245</v>
      </c>
      <c r="J130" s="84" t="str">
        <f>"Customer"</f>
        <v>Customer</v>
      </c>
      <c r="K130" s="84" t="str">
        <f>"C100102"</f>
        <v>C100102</v>
      </c>
      <c r="L130" s="84" t="str">
        <f>IF($J130="Customer",_xll.NL("first",$J130,"Name","No.","@@"&amp;$K130),"")</f>
        <v xml:space="preserve">BEI Outfitters </v>
      </c>
      <c r="M130" s="84" t="str">
        <f>""</f>
        <v/>
      </c>
      <c r="N130" s="84" t="str">
        <f>IF($J130="Item",_xll.NL("first",$J130,"Description","No.","@@"&amp;$K130),"")</f>
        <v/>
      </c>
      <c r="O130" s="83">
        <v>0</v>
      </c>
      <c r="P130" s="83">
        <v>-48</v>
      </c>
      <c r="Q130" s="83">
        <v>0</v>
      </c>
      <c r="R130" s="83">
        <v>0</v>
      </c>
      <c r="S130" s="83">
        <v>0</v>
      </c>
      <c r="T130" s="83">
        <v>0</v>
      </c>
      <c r="U130" s="82"/>
    </row>
    <row r="131" spans="1:21" ht="17.25" customHeight="1" x14ac:dyDescent="0.3">
      <c r="A131" s="66" t="s">
        <v>30</v>
      </c>
      <c r="C131" s="67"/>
      <c r="D131" s="77" t="str">
        <f t="shared" si="69"/>
        <v>C100026</v>
      </c>
      <c r="E131" s="77"/>
      <c r="F131" s="76"/>
      <c r="G131" s="76" t="str">
        <f>"""NAV Direct"",""CRONUS JetCorp USA"",""32"",""1"",""128855"""</f>
        <v>"NAV Direct","CRONUS JetCorp USA","32","1","128855"</v>
      </c>
      <c r="H131" s="86">
        <v>43471</v>
      </c>
      <c r="I131" s="85">
        <v>128855</v>
      </c>
      <c r="J131" s="84" t="str">
        <f>"Customer"</f>
        <v>Customer</v>
      </c>
      <c r="K131" s="84" t="str">
        <f>"C100138"</f>
        <v>C100138</v>
      </c>
      <c r="L131" s="84" t="str">
        <f>IF($J131="Customer",_xll.NL("first",$J131,"Name","No.","@@"&amp;$K131),"")</f>
        <v>Dantons</v>
      </c>
      <c r="M131" s="84" t="str">
        <f>""</f>
        <v/>
      </c>
      <c r="N131" s="84" t="str">
        <f>IF($J131="Item",_xll.NL("first",$J131,"Description","No.","@@"&amp;$K131),"")</f>
        <v/>
      </c>
      <c r="O131" s="83">
        <v>0</v>
      </c>
      <c r="P131" s="83">
        <v>-144</v>
      </c>
      <c r="Q131" s="83">
        <v>0</v>
      </c>
      <c r="R131" s="83">
        <v>0</v>
      </c>
      <c r="S131" s="83">
        <v>0</v>
      </c>
      <c r="T131" s="83">
        <v>0</v>
      </c>
      <c r="U131" s="82"/>
    </row>
    <row r="132" spans="1:21" ht="17.25" customHeight="1" x14ac:dyDescent="0.3">
      <c r="A132" s="66" t="s">
        <v>30</v>
      </c>
      <c r="C132" s="67"/>
      <c r="D132" s="77" t="str">
        <f t="shared" si="69"/>
        <v>C100026</v>
      </c>
      <c r="E132" s="77"/>
      <c r="F132" s="76"/>
      <c r="G132" s="76" t="str">
        <f>"""NAV Direct"",""CRONUS JetCorp USA"",""32"",""1"",""44459"""</f>
        <v>"NAV Direct","CRONUS JetCorp USA","32","1","44459"</v>
      </c>
      <c r="H132" s="86">
        <v>43472</v>
      </c>
      <c r="I132" s="85">
        <v>44459</v>
      </c>
      <c r="J132" s="84" t="str">
        <f>"Customer"</f>
        <v>Customer</v>
      </c>
      <c r="K132" s="84" t="str">
        <f>"C100141"</f>
        <v>C100141</v>
      </c>
      <c r="L132" s="84" t="str">
        <f>IF($J132="Customer",_xll.NL("first",$J132,"Name","No.","@@"&amp;$K132),"")</f>
        <v>Bargottis</v>
      </c>
      <c r="M132" s="84" t="str">
        <f>""</f>
        <v/>
      </c>
      <c r="N132" s="84" t="str">
        <f>IF($J132="Item",_xll.NL("first",$J132,"Description","No.","@@"&amp;$K132),"")</f>
        <v/>
      </c>
      <c r="O132" s="83">
        <v>0</v>
      </c>
      <c r="P132" s="83">
        <v>-288</v>
      </c>
      <c r="Q132" s="83">
        <v>0</v>
      </c>
      <c r="R132" s="83">
        <v>0</v>
      </c>
      <c r="S132" s="83">
        <v>0</v>
      </c>
      <c r="T132" s="83">
        <v>0</v>
      </c>
      <c r="U132" s="82"/>
    </row>
    <row r="133" spans="1:21" ht="17.25" customHeight="1" x14ac:dyDescent="0.3">
      <c r="A133" s="66" t="s">
        <v>30</v>
      </c>
      <c r="C133" s="67"/>
      <c r="D133" s="77" t="str">
        <f t="shared" si="69"/>
        <v>C100026</v>
      </c>
      <c r="E133" s="77"/>
      <c r="F133" s="76"/>
      <c r="G133" s="76" t="str">
        <f>"""NAV Direct"",""CRONUS JetCorp USA"",""32"",""1"",""128876"""</f>
        <v>"NAV Direct","CRONUS JetCorp USA","32","1","128876"</v>
      </c>
      <c r="H133" s="86">
        <v>43472</v>
      </c>
      <c r="I133" s="85">
        <v>128876</v>
      </c>
      <c r="J133" s="84" t="str">
        <f>"Customer"</f>
        <v>Customer</v>
      </c>
      <c r="K133" s="84" t="str">
        <f>"C100105"</f>
        <v>C100105</v>
      </c>
      <c r="L133" s="84" t="str">
        <f>IF($J133="Customer",_xll.NL("first",$J133,"Name","No.","@@"&amp;$K133),"")</f>
        <v>Esystems</v>
      </c>
      <c r="M133" s="84" t="str">
        <f>""</f>
        <v/>
      </c>
      <c r="N133" s="84" t="str">
        <f>IF($J133="Item",_xll.NL("first",$J133,"Description","No.","@@"&amp;$K133),"")</f>
        <v/>
      </c>
      <c r="O133" s="83">
        <v>0</v>
      </c>
      <c r="P133" s="83">
        <v>-48</v>
      </c>
      <c r="Q133" s="83">
        <v>0</v>
      </c>
      <c r="R133" s="83">
        <v>0</v>
      </c>
      <c r="S133" s="83">
        <v>0</v>
      </c>
      <c r="T133" s="83">
        <v>0</v>
      </c>
      <c r="U133" s="82"/>
    </row>
    <row r="134" spans="1:21" ht="17.25" customHeight="1" x14ac:dyDescent="0.3">
      <c r="A134" s="66" t="s">
        <v>30</v>
      </c>
      <c r="C134" s="67"/>
      <c r="D134" s="77" t="str">
        <f t="shared" si="69"/>
        <v>C100026</v>
      </c>
      <c r="E134" s="77"/>
      <c r="F134" s="76"/>
      <c r="G134" s="76" t="str">
        <f>"""NAV Direct"",""CRONUS JetCorp USA"",""32"",""1"",""44518"""</f>
        <v>"NAV Direct","CRONUS JetCorp USA","32","1","44518"</v>
      </c>
      <c r="H134" s="86">
        <v>43473</v>
      </c>
      <c r="I134" s="85">
        <v>44518</v>
      </c>
      <c r="J134" s="84" t="str">
        <f>"Customer"</f>
        <v>Customer</v>
      </c>
      <c r="K134" s="84" t="str">
        <f>"C100139"</f>
        <v>C100139</v>
      </c>
      <c r="L134" s="84" t="str">
        <f>IF($J134="Customer",_xll.NL("first",$J134,"Name","No.","@@"&amp;$K134),"")</f>
        <v>Gamma Ray's</v>
      </c>
      <c r="M134" s="84" t="str">
        <f>""</f>
        <v/>
      </c>
      <c r="N134" s="84" t="str">
        <f>IF($J134="Item",_xll.NL("first",$J134,"Description","No.","@@"&amp;$K134),"")</f>
        <v/>
      </c>
      <c r="O134" s="83">
        <v>0</v>
      </c>
      <c r="P134" s="83">
        <v>-144</v>
      </c>
      <c r="Q134" s="83">
        <v>0</v>
      </c>
      <c r="R134" s="83">
        <v>0</v>
      </c>
      <c r="S134" s="83">
        <v>0</v>
      </c>
      <c r="T134" s="83">
        <v>0</v>
      </c>
      <c r="U134" s="82"/>
    </row>
    <row r="135" spans="1:21" ht="17.25" customHeight="1" x14ac:dyDescent="0.3">
      <c r="A135" s="66" t="s">
        <v>30</v>
      </c>
      <c r="C135" s="67"/>
      <c r="D135" s="77" t="str">
        <f t="shared" si="69"/>
        <v>C100026</v>
      </c>
      <c r="E135" s="77"/>
      <c r="F135" s="76"/>
      <c r="G135" s="76" t="str">
        <f>"""NAV Direct"",""CRONUS JetCorp USA"",""32"",""1"",""124530"""</f>
        <v>"NAV Direct","CRONUS JetCorp USA","32","1","124530"</v>
      </c>
      <c r="H135" s="86">
        <v>43474</v>
      </c>
      <c r="I135" s="85">
        <v>124530</v>
      </c>
      <c r="J135" s="84" t="str">
        <f>"Customer"</f>
        <v>Customer</v>
      </c>
      <c r="K135" s="84" t="str">
        <f>"C100145"</f>
        <v>C100145</v>
      </c>
      <c r="L135" s="84" t="str">
        <f>IF($J135="Customer",_xll.NL("first",$J135,"Name","No.","@@"&amp;$K135),"")</f>
        <v>Dicon Industries</v>
      </c>
      <c r="M135" s="84" t="str">
        <f>""</f>
        <v/>
      </c>
      <c r="N135" s="84" t="str">
        <f>IF($J135="Item",_xll.NL("first",$J135,"Description","No.","@@"&amp;$K135),"")</f>
        <v/>
      </c>
      <c r="O135" s="83">
        <v>0</v>
      </c>
      <c r="P135" s="83">
        <v>-144</v>
      </c>
      <c r="Q135" s="83">
        <v>0</v>
      </c>
      <c r="R135" s="83">
        <v>0</v>
      </c>
      <c r="S135" s="83">
        <v>0</v>
      </c>
      <c r="T135" s="83">
        <v>0</v>
      </c>
      <c r="U135" s="82"/>
    </row>
    <row r="136" spans="1:21" ht="17.25" customHeight="1" x14ac:dyDescent="0.3">
      <c r="A136" s="66" t="s">
        <v>30</v>
      </c>
      <c r="C136" s="67"/>
      <c r="D136" s="77" t="str">
        <f t="shared" si="69"/>
        <v>C100026</v>
      </c>
      <c r="E136" s="77"/>
      <c r="F136" s="76"/>
      <c r="G136" s="76" t="str">
        <f>"""NAV Direct"",""CRONUS JetCorp USA"",""32"",""1"",""153182"""</f>
        <v>"NAV Direct","CRONUS JetCorp USA","32","1","153182"</v>
      </c>
      <c r="H136" s="86">
        <v>43475</v>
      </c>
      <c r="I136" s="85">
        <v>153182</v>
      </c>
      <c r="J136" s="84" t="str">
        <f>"Customer"</f>
        <v>Customer</v>
      </c>
      <c r="K136" s="84" t="str">
        <f>"C100108"</f>
        <v>C100108</v>
      </c>
      <c r="L136" s="84" t="str">
        <f>IF($J136="Customer",_xll.NL("first",$J136,"Name","No.","@@"&amp;$K136),"")</f>
        <v>Kinfix Industries</v>
      </c>
      <c r="M136" s="84" t="str">
        <f>""</f>
        <v/>
      </c>
      <c r="N136" s="84" t="str">
        <f>IF($J136="Item",_xll.NL("first",$J136,"Description","No.","@@"&amp;$K136),"")</f>
        <v/>
      </c>
      <c r="O136" s="83">
        <v>0</v>
      </c>
      <c r="P136" s="83">
        <v>-144</v>
      </c>
      <c r="Q136" s="83">
        <v>0</v>
      </c>
      <c r="R136" s="83">
        <v>0</v>
      </c>
      <c r="S136" s="83">
        <v>0</v>
      </c>
      <c r="T136" s="83">
        <v>0</v>
      </c>
      <c r="U136" s="82"/>
    </row>
    <row r="137" spans="1:21" ht="17.25" customHeight="1" x14ac:dyDescent="0.3">
      <c r="A137" s="66" t="s">
        <v>30</v>
      </c>
      <c r="C137" s="67"/>
      <c r="D137" s="77" t="str">
        <f t="shared" si="69"/>
        <v>C100026</v>
      </c>
      <c r="E137" s="77"/>
      <c r="F137" s="76"/>
      <c r="G137" s="76" t="str">
        <f>"""NAV Direct"",""CRONUS JetCorp USA"",""32"",""1"",""20403"""</f>
        <v>"NAV Direct","CRONUS JetCorp USA","32","1","20403"</v>
      </c>
      <c r="H137" s="86">
        <v>43477</v>
      </c>
      <c r="I137" s="85">
        <v>20403</v>
      </c>
      <c r="J137" s="84" t="str">
        <f>"Customer"</f>
        <v>Customer</v>
      </c>
      <c r="K137" s="84" t="str">
        <f>"C100039"</f>
        <v>C100039</v>
      </c>
      <c r="L137" s="84" t="str">
        <f>IF($J137="Customer",_xll.NL("first",$J137,"Name","No.","@@"&amp;$K137),"")</f>
        <v>Gary's Sports</v>
      </c>
      <c r="M137" s="84" t="str">
        <f>""</f>
        <v/>
      </c>
      <c r="N137" s="84" t="str">
        <f>IF($J137="Item",_xll.NL("first",$J137,"Description","No.","@@"&amp;$K137),"")</f>
        <v/>
      </c>
      <c r="O137" s="83">
        <v>0</v>
      </c>
      <c r="P137" s="83">
        <v>-144</v>
      </c>
      <c r="Q137" s="83">
        <v>0</v>
      </c>
      <c r="R137" s="83">
        <v>0</v>
      </c>
      <c r="S137" s="83">
        <v>0</v>
      </c>
      <c r="T137" s="83">
        <v>0</v>
      </c>
      <c r="U137" s="82"/>
    </row>
    <row r="138" spans="1:21" ht="17.25" customHeight="1" x14ac:dyDescent="0.3">
      <c r="A138" s="66" t="s">
        <v>30</v>
      </c>
      <c r="C138" s="67"/>
      <c r="D138" s="77" t="str">
        <f t="shared" si="69"/>
        <v>C100026</v>
      </c>
      <c r="E138" s="77"/>
      <c r="F138" s="76"/>
      <c r="G138" s="76" t="str">
        <f>"""NAV Direct"",""CRONUS JetCorp USA"",""32"",""1"",""25293"""</f>
        <v>"NAV Direct","CRONUS JetCorp USA","32","1","25293"</v>
      </c>
      <c r="H138" s="86">
        <v>43477</v>
      </c>
      <c r="I138" s="85">
        <v>25293</v>
      </c>
      <c r="J138" s="84" t="str">
        <f>"Customer"</f>
        <v>Customer</v>
      </c>
      <c r="K138" s="84" t="str">
        <f>"C100138"</f>
        <v>C100138</v>
      </c>
      <c r="L138" s="84" t="str">
        <f>IF($J138="Customer",_xll.NL("first",$J138,"Name","No.","@@"&amp;$K138),"")</f>
        <v>Dantons</v>
      </c>
      <c r="M138" s="84" t="str">
        <f>""</f>
        <v/>
      </c>
      <c r="N138" s="84" t="str">
        <f>IF($J138="Item",_xll.NL("first",$J138,"Description","No.","@@"&amp;$K138),"")</f>
        <v/>
      </c>
      <c r="O138" s="83">
        <v>0</v>
      </c>
      <c r="P138" s="83">
        <v>-144</v>
      </c>
      <c r="Q138" s="83">
        <v>0</v>
      </c>
      <c r="R138" s="83">
        <v>0</v>
      </c>
      <c r="S138" s="83">
        <v>0</v>
      </c>
      <c r="T138" s="83">
        <v>0</v>
      </c>
      <c r="U138" s="82"/>
    </row>
    <row r="139" spans="1:21" ht="17.25" customHeight="1" x14ac:dyDescent="0.3">
      <c r="A139" s="66" t="s">
        <v>30</v>
      </c>
      <c r="C139" s="67"/>
      <c r="D139" s="77"/>
      <c r="E139" s="77"/>
      <c r="F139" s="76"/>
      <c r="G139" s="76"/>
      <c r="H139" s="76"/>
      <c r="I139" s="76"/>
      <c r="J139" s="76"/>
      <c r="K139" s="76"/>
      <c r="L139" s="76"/>
      <c r="M139" s="76"/>
      <c r="N139" s="76"/>
      <c r="O139" s="75"/>
      <c r="P139" s="75"/>
      <c r="Q139" s="75"/>
      <c r="R139" s="75"/>
      <c r="S139" s="75"/>
      <c r="T139" s="75"/>
      <c r="U139" s="74"/>
    </row>
    <row r="140" spans="1:21" ht="17.25" customHeight="1" x14ac:dyDescent="0.3">
      <c r="A140" s="66" t="s">
        <v>30</v>
      </c>
      <c r="C140" s="67"/>
      <c r="D140" s="77"/>
      <c r="E140" s="77" t="s">
        <v>31</v>
      </c>
      <c r="F140" s="76" t="s">
        <v>31</v>
      </c>
      <c r="G140" s="76" t="s">
        <v>31</v>
      </c>
      <c r="H140" s="76"/>
      <c r="I140" s="76"/>
      <c r="J140" s="76" t="s">
        <v>31</v>
      </c>
      <c r="K140" s="76" t="s">
        <v>31</v>
      </c>
      <c r="L140" s="76" t="s">
        <v>31</v>
      </c>
      <c r="M140" s="76" t="s">
        <v>31</v>
      </c>
      <c r="N140" s="76"/>
      <c r="U140" s="81"/>
    </row>
    <row r="141" spans="1:21" ht="20.25" customHeight="1" x14ac:dyDescent="0.35">
      <c r="A141" s="66" t="s">
        <v>30</v>
      </c>
      <c r="C141" s="67"/>
      <c r="D141" s="92" t="str">
        <f t="shared" ref="D141" si="70">E141</f>
        <v>C100027</v>
      </c>
      <c r="E141" s="91" t="str">
        <f>"C100027"</f>
        <v>C100027</v>
      </c>
      <c r="F141" s="89" t="str">
        <f>"Pique Visor"</f>
        <v>Pique Visor</v>
      </c>
      <c r="G141" s="89"/>
      <c r="H141" s="90" t="str">
        <f>"EA"</f>
        <v>EA</v>
      </c>
      <c r="I141" s="89"/>
      <c r="J141" s="89"/>
      <c r="K141" s="89"/>
      <c r="L141" s="89"/>
      <c r="M141" s="89"/>
      <c r="N141" s="89"/>
      <c r="O141" s="88">
        <f>(SUBTOTAL(9,O142:O146))</f>
        <v>2400</v>
      </c>
      <c r="P141" s="88">
        <f>(SUBTOTAL(9,P142:P146))</f>
        <v>-720</v>
      </c>
      <c r="Q141" s="88">
        <f>(SUBTOTAL(9,Q142:Q146))</f>
        <v>0</v>
      </c>
      <c r="R141" s="88">
        <f>(SUBTOTAL(9,R142:R146))</f>
        <v>0</v>
      </c>
      <c r="S141" s="88">
        <f>(SUBTOTAL(9,S142:S146))</f>
        <v>0</v>
      </c>
      <c r="T141" s="88">
        <f>(SUBTOTAL(9,T142:T146))</f>
        <v>0</v>
      </c>
      <c r="U141" s="87">
        <f t="shared" ref="U141" si="71">SUBTOTAL(9,O142:T146)</f>
        <v>1680</v>
      </c>
    </row>
    <row r="142" spans="1:21" ht="17.25" customHeight="1" x14ac:dyDescent="0.3">
      <c r="A142" s="66" t="s">
        <v>30</v>
      </c>
      <c r="C142" s="67"/>
      <c r="D142" s="77" t="str">
        <f t="shared" ref="D142" si="72">D141</f>
        <v>C100027</v>
      </c>
      <c r="E142" s="77"/>
      <c r="F142" s="76"/>
      <c r="G142" s="76" t="str">
        <f>"""NAV Direct"",""CRONUS JetCorp USA"",""32"",""1"",""167140"""</f>
        <v>"NAV Direct","CRONUS JetCorp USA","32","1","167140"</v>
      </c>
      <c r="H142" s="86">
        <v>43466</v>
      </c>
      <c r="I142" s="85">
        <v>167140</v>
      </c>
      <c r="J142" s="84" t="str">
        <f>"Vendor"</f>
        <v>Vendor</v>
      </c>
      <c r="K142" s="84" t="str">
        <f>"V100001"</f>
        <v>V100001</v>
      </c>
      <c r="L142" s="84" t="str">
        <f>IF($J142="Customer",_xll.NL("first",$J142,"Name","No.","@@"&amp;$K142),"")</f>
        <v/>
      </c>
      <c r="M142" s="84" t="str">
        <f>"Greigner, Inc."</f>
        <v>Greigner, Inc.</v>
      </c>
      <c r="N142" s="84" t="str">
        <f>IF($J142="Item",_xll.NL("first",$J142,"Description","No.","@@"&amp;$K142),"")</f>
        <v/>
      </c>
      <c r="O142" s="83">
        <v>2400</v>
      </c>
      <c r="P142" s="83">
        <v>0</v>
      </c>
      <c r="Q142" s="83">
        <v>0</v>
      </c>
      <c r="R142" s="83">
        <v>0</v>
      </c>
      <c r="S142" s="83">
        <v>0</v>
      </c>
      <c r="T142" s="83">
        <v>0</v>
      </c>
      <c r="U142" s="82"/>
    </row>
    <row r="143" spans="1:21" ht="17.25" customHeight="1" x14ac:dyDescent="0.3">
      <c r="A143" s="66" t="s">
        <v>30</v>
      </c>
      <c r="C143" s="67"/>
      <c r="D143" s="77" t="str">
        <f t="shared" ref="D143:D145" si="73">D142</f>
        <v>C100027</v>
      </c>
      <c r="E143" s="77"/>
      <c r="F143" s="76"/>
      <c r="G143" s="76" t="str">
        <f>"""NAV Direct"",""CRONUS JetCorp USA"",""32"",""1"",""128849"""</f>
        <v>"NAV Direct","CRONUS JetCorp USA","32","1","128849"</v>
      </c>
      <c r="H143" s="86">
        <v>43471</v>
      </c>
      <c r="I143" s="85">
        <v>128849</v>
      </c>
      <c r="J143" s="84" t="str">
        <f>"Customer"</f>
        <v>Customer</v>
      </c>
      <c r="K143" s="84" t="str">
        <f>"C100138"</f>
        <v>C100138</v>
      </c>
      <c r="L143" s="84" t="str">
        <f>IF($J143="Customer",_xll.NL("first",$J143,"Name","No.","@@"&amp;$K143),"")</f>
        <v>Dantons</v>
      </c>
      <c r="M143" s="84" t="str">
        <f>""</f>
        <v/>
      </c>
      <c r="N143" s="84" t="str">
        <f>IF($J143="Item",_xll.NL("first",$J143,"Description","No.","@@"&amp;$K143),"")</f>
        <v/>
      </c>
      <c r="O143" s="83">
        <v>0</v>
      </c>
      <c r="P143" s="83">
        <v>-432</v>
      </c>
      <c r="Q143" s="83">
        <v>0</v>
      </c>
      <c r="R143" s="83">
        <v>0</v>
      </c>
      <c r="S143" s="83">
        <v>0</v>
      </c>
      <c r="T143" s="83">
        <v>0</v>
      </c>
      <c r="U143" s="82"/>
    </row>
    <row r="144" spans="1:21" ht="17.25" customHeight="1" x14ac:dyDescent="0.3">
      <c r="A144" s="66" t="s">
        <v>30</v>
      </c>
      <c r="C144" s="67"/>
      <c r="D144" s="77" t="str">
        <f t="shared" si="73"/>
        <v>C100027</v>
      </c>
      <c r="E144" s="77"/>
      <c r="F144" s="76"/>
      <c r="G144" s="76" t="str">
        <f>"""NAV Direct"",""CRONUS JetCorp USA"",""32"",""1"",""20354"""</f>
        <v>"NAV Direct","CRONUS JetCorp USA","32","1","20354"</v>
      </c>
      <c r="H144" s="86">
        <v>43475</v>
      </c>
      <c r="I144" s="85">
        <v>20354</v>
      </c>
      <c r="J144" s="84" t="str">
        <f>"Customer"</f>
        <v>Customer</v>
      </c>
      <c r="K144" s="84" t="str">
        <f>"C100097"</f>
        <v>C100097</v>
      </c>
      <c r="L144" s="84" t="str">
        <f>IF($J144="Customer",_xll.NL("first",$J144,"Name","No.","@@"&amp;$K144),"")</f>
        <v>Solotech</v>
      </c>
      <c r="M144" s="84" t="str">
        <f>""</f>
        <v/>
      </c>
      <c r="N144" s="84" t="str">
        <f>IF($J144="Item",_xll.NL("first",$J144,"Description","No.","@@"&amp;$K144),"")</f>
        <v/>
      </c>
      <c r="O144" s="83">
        <v>0</v>
      </c>
      <c r="P144" s="83">
        <v>-144</v>
      </c>
      <c r="Q144" s="83">
        <v>0</v>
      </c>
      <c r="R144" s="83">
        <v>0</v>
      </c>
      <c r="S144" s="83">
        <v>0</v>
      </c>
      <c r="T144" s="83">
        <v>0</v>
      </c>
      <c r="U144" s="82"/>
    </row>
    <row r="145" spans="1:21" ht="17.25" customHeight="1" x14ac:dyDescent="0.3">
      <c r="A145" s="66" t="s">
        <v>30</v>
      </c>
      <c r="C145" s="67"/>
      <c r="D145" s="77" t="str">
        <f t="shared" si="73"/>
        <v>C100027</v>
      </c>
      <c r="E145" s="77"/>
      <c r="F145" s="76"/>
      <c r="G145" s="76" t="str">
        <f>"""NAV Direct"",""CRONUS JetCorp USA"",""32"",""1"",""25287"""</f>
        <v>"NAV Direct","CRONUS JetCorp USA","32","1","25287"</v>
      </c>
      <c r="H145" s="86">
        <v>43477</v>
      </c>
      <c r="I145" s="85">
        <v>25287</v>
      </c>
      <c r="J145" s="84" t="str">
        <f>"Customer"</f>
        <v>Customer</v>
      </c>
      <c r="K145" s="84" t="str">
        <f>"C100138"</f>
        <v>C100138</v>
      </c>
      <c r="L145" s="84" t="str">
        <f>IF($J145="Customer",_xll.NL("first",$J145,"Name","No.","@@"&amp;$K145),"")</f>
        <v>Dantons</v>
      </c>
      <c r="M145" s="84" t="str">
        <f>""</f>
        <v/>
      </c>
      <c r="N145" s="84" t="str">
        <f>IF($J145="Item",_xll.NL("first",$J145,"Description","No.","@@"&amp;$K145),"")</f>
        <v/>
      </c>
      <c r="O145" s="83">
        <v>0</v>
      </c>
      <c r="P145" s="83">
        <v>-144</v>
      </c>
      <c r="Q145" s="83">
        <v>0</v>
      </c>
      <c r="R145" s="83">
        <v>0</v>
      </c>
      <c r="S145" s="83">
        <v>0</v>
      </c>
      <c r="T145" s="83">
        <v>0</v>
      </c>
      <c r="U145" s="82"/>
    </row>
    <row r="146" spans="1:21" ht="17.25" customHeight="1" x14ac:dyDescent="0.3">
      <c r="A146" s="66" t="s">
        <v>30</v>
      </c>
      <c r="C146" s="67"/>
      <c r="D146" s="77"/>
      <c r="E146" s="77"/>
      <c r="F146" s="76"/>
      <c r="G146" s="76"/>
      <c r="H146" s="76"/>
      <c r="I146" s="76"/>
      <c r="J146" s="76"/>
      <c r="K146" s="76"/>
      <c r="L146" s="76"/>
      <c r="M146" s="76"/>
      <c r="N146" s="76"/>
      <c r="O146" s="75"/>
      <c r="P146" s="75"/>
      <c r="Q146" s="75"/>
      <c r="R146" s="75"/>
      <c r="S146" s="75"/>
      <c r="T146" s="75"/>
      <c r="U146" s="74"/>
    </row>
    <row r="147" spans="1:21" ht="17.25" customHeight="1" x14ac:dyDescent="0.3">
      <c r="A147" s="66" t="s">
        <v>30</v>
      </c>
      <c r="C147" s="67"/>
      <c r="D147" s="77"/>
      <c r="E147" s="77" t="s">
        <v>31</v>
      </c>
      <c r="F147" s="76" t="s">
        <v>31</v>
      </c>
      <c r="G147" s="76" t="s">
        <v>31</v>
      </c>
      <c r="H147" s="76"/>
      <c r="I147" s="76"/>
      <c r="J147" s="76" t="s">
        <v>31</v>
      </c>
      <c r="K147" s="76" t="s">
        <v>31</v>
      </c>
      <c r="L147" s="76" t="s">
        <v>31</v>
      </c>
      <c r="M147" s="76" t="s">
        <v>31</v>
      </c>
      <c r="N147" s="76"/>
      <c r="U147" s="81"/>
    </row>
    <row r="148" spans="1:21" ht="20.25" customHeight="1" x14ac:dyDescent="0.35">
      <c r="A148" s="66" t="s">
        <v>30</v>
      </c>
      <c r="C148" s="67"/>
      <c r="D148" s="92" t="str">
        <f t="shared" ref="D148" si="74">E148</f>
        <v>C100028</v>
      </c>
      <c r="E148" s="91" t="str">
        <f>"C100028"</f>
        <v>C100028</v>
      </c>
      <c r="F148" s="89" t="str">
        <f>"Twill Visor"</f>
        <v>Twill Visor</v>
      </c>
      <c r="G148" s="89"/>
      <c r="H148" s="90" t="str">
        <f>"EA"</f>
        <v>EA</v>
      </c>
      <c r="I148" s="89"/>
      <c r="J148" s="89"/>
      <c r="K148" s="89"/>
      <c r="L148" s="89"/>
      <c r="M148" s="89"/>
      <c r="N148" s="89"/>
      <c r="O148" s="88">
        <f>(SUBTOTAL(9,O149:O156))</f>
        <v>1600</v>
      </c>
      <c r="P148" s="88">
        <f>(SUBTOTAL(9,P149:P156))</f>
        <v>-726</v>
      </c>
      <c r="Q148" s="88">
        <f>(SUBTOTAL(9,Q149:Q156))</f>
        <v>0</v>
      </c>
      <c r="R148" s="88">
        <f>(SUBTOTAL(9,R149:R156))</f>
        <v>0</v>
      </c>
      <c r="S148" s="88">
        <f>(SUBTOTAL(9,S149:S156))</f>
        <v>0</v>
      </c>
      <c r="T148" s="88">
        <f>(SUBTOTAL(9,T149:T156))</f>
        <v>0</v>
      </c>
      <c r="U148" s="87">
        <f t="shared" ref="U148" si="75">SUBTOTAL(9,O149:T156)</f>
        <v>874</v>
      </c>
    </row>
    <row r="149" spans="1:21" ht="17.25" customHeight="1" x14ac:dyDescent="0.3">
      <c r="A149" s="66" t="s">
        <v>30</v>
      </c>
      <c r="C149" s="67"/>
      <c r="D149" s="77" t="str">
        <f t="shared" ref="D149" si="76">D148</f>
        <v>C100028</v>
      </c>
      <c r="E149" s="77"/>
      <c r="F149" s="76"/>
      <c r="G149" s="76" t="str">
        <f>"""NAV Direct"",""CRONUS JetCorp USA"",""32"",""1"",""167139"""</f>
        <v>"NAV Direct","CRONUS JetCorp USA","32","1","167139"</v>
      </c>
      <c r="H149" s="86">
        <v>43466</v>
      </c>
      <c r="I149" s="85">
        <v>167139</v>
      </c>
      <c r="J149" s="84" t="str">
        <f>"Vendor"</f>
        <v>Vendor</v>
      </c>
      <c r="K149" s="84" t="str">
        <f>"V100001"</f>
        <v>V100001</v>
      </c>
      <c r="L149" s="84" t="str">
        <f>IF($J149="Customer",_xll.NL("first",$J149,"Name","No.","@@"&amp;$K149),"")</f>
        <v/>
      </c>
      <c r="M149" s="84" t="str">
        <f>"Greigner, Inc."</f>
        <v>Greigner, Inc.</v>
      </c>
      <c r="N149" s="84" t="str">
        <f>IF($J149="Item",_xll.NL("first",$J149,"Description","No.","@@"&amp;$K149),"")</f>
        <v/>
      </c>
      <c r="O149" s="83">
        <v>1600</v>
      </c>
      <c r="P149" s="83">
        <v>0</v>
      </c>
      <c r="Q149" s="83">
        <v>0</v>
      </c>
      <c r="R149" s="83">
        <v>0</v>
      </c>
      <c r="S149" s="83">
        <v>0</v>
      </c>
      <c r="T149" s="83">
        <v>0</v>
      </c>
      <c r="U149" s="82"/>
    </row>
    <row r="150" spans="1:21" ht="17.25" customHeight="1" x14ac:dyDescent="0.3">
      <c r="A150" s="66" t="s">
        <v>30</v>
      </c>
      <c r="C150" s="67"/>
      <c r="D150" s="77" t="str">
        <f t="shared" ref="D150:D155" si="77">D149</f>
        <v>C100028</v>
      </c>
      <c r="E150" s="77"/>
      <c r="F150" s="76"/>
      <c r="G150" s="76" t="str">
        <f>"""NAV Direct"",""CRONUS JetCorp USA"",""32"",""1"",""25239"""</f>
        <v>"NAV Direct","CRONUS JetCorp USA","32","1","25239"</v>
      </c>
      <c r="H150" s="86">
        <v>43471</v>
      </c>
      <c r="I150" s="85">
        <v>25239</v>
      </c>
      <c r="J150" s="84" t="str">
        <f>"Customer"</f>
        <v>Customer</v>
      </c>
      <c r="K150" s="84" t="str">
        <f>"C100102"</f>
        <v>C100102</v>
      </c>
      <c r="L150" s="84" t="str">
        <f>IF($J150="Customer",_xll.NL("first",$J150,"Name","No.","@@"&amp;$K150),"")</f>
        <v xml:space="preserve">BEI Outfitters </v>
      </c>
      <c r="M150" s="84" t="str">
        <f>""</f>
        <v/>
      </c>
      <c r="N150" s="84" t="str">
        <f>IF($J150="Item",_xll.NL("first",$J150,"Description","No.","@@"&amp;$K150),"")</f>
        <v/>
      </c>
      <c r="O150" s="83">
        <v>0</v>
      </c>
      <c r="P150" s="83">
        <v>-144</v>
      </c>
      <c r="Q150" s="83">
        <v>0</v>
      </c>
      <c r="R150" s="83">
        <v>0</v>
      </c>
      <c r="S150" s="83">
        <v>0</v>
      </c>
      <c r="T150" s="83">
        <v>0</v>
      </c>
      <c r="U150" s="82"/>
    </row>
    <row r="151" spans="1:21" ht="17.25" customHeight="1" x14ac:dyDescent="0.3">
      <c r="A151" s="66" t="s">
        <v>30</v>
      </c>
      <c r="C151" s="67"/>
      <c r="D151" s="77" t="str">
        <f t="shared" si="77"/>
        <v>C100028</v>
      </c>
      <c r="E151" s="77"/>
      <c r="F151" s="76"/>
      <c r="G151" s="76" t="str">
        <f>"""NAV Direct"",""CRONUS JetCorp USA"",""32"",""1"",""44462"""</f>
        <v>"NAV Direct","CRONUS JetCorp USA","32","1","44462"</v>
      </c>
      <c r="H151" s="86">
        <v>43472</v>
      </c>
      <c r="I151" s="85">
        <v>44462</v>
      </c>
      <c r="J151" s="84" t="str">
        <f>"Customer"</f>
        <v>Customer</v>
      </c>
      <c r="K151" s="84" t="str">
        <f>"C100141"</f>
        <v>C100141</v>
      </c>
      <c r="L151" s="84" t="str">
        <f>IF($J151="Customer",_xll.NL("first",$J151,"Name","No.","@@"&amp;$K151),"")</f>
        <v>Bargottis</v>
      </c>
      <c r="M151" s="84" t="str">
        <f>""</f>
        <v/>
      </c>
      <c r="N151" s="84" t="str">
        <f>IF($J151="Item",_xll.NL("first",$J151,"Description","No.","@@"&amp;$K151),"")</f>
        <v/>
      </c>
      <c r="O151" s="83">
        <v>0</v>
      </c>
      <c r="P151" s="83">
        <v>-144</v>
      </c>
      <c r="Q151" s="83">
        <v>0</v>
      </c>
      <c r="R151" s="83">
        <v>0</v>
      </c>
      <c r="S151" s="83">
        <v>0</v>
      </c>
      <c r="T151" s="83">
        <v>0</v>
      </c>
      <c r="U151" s="82"/>
    </row>
    <row r="152" spans="1:21" ht="17.25" customHeight="1" x14ac:dyDescent="0.3">
      <c r="A152" s="66" t="s">
        <v>30</v>
      </c>
      <c r="C152" s="67"/>
      <c r="D152" s="77" t="str">
        <f t="shared" si="77"/>
        <v>C100028</v>
      </c>
      <c r="E152" s="77"/>
      <c r="F152" s="76"/>
      <c r="G152" s="76" t="str">
        <f>"""NAV Direct"",""CRONUS JetCorp USA"",""32"",""1"",""54694"""</f>
        <v>"NAV Direct","CRONUS JetCorp USA","32","1","54694"</v>
      </c>
      <c r="H152" s="86">
        <v>43474</v>
      </c>
      <c r="I152" s="85">
        <v>54694</v>
      </c>
      <c r="J152" s="84" t="str">
        <f>"Customer"</f>
        <v>Customer</v>
      </c>
      <c r="K152" s="84" t="str">
        <f>"C100096"</f>
        <v>C100096</v>
      </c>
      <c r="L152" s="84" t="str">
        <f>IF($J152="Customer",_xll.NL("first",$J152,"Name","No.","@@"&amp;$K152),"")</f>
        <v>D-Com Industries</v>
      </c>
      <c r="M152" s="84" t="str">
        <f>""</f>
        <v/>
      </c>
      <c r="N152" s="84" t="str">
        <f>IF($J152="Item",_xll.NL("first",$J152,"Description","No.","@@"&amp;$K152),"")</f>
        <v/>
      </c>
      <c r="O152" s="83">
        <v>0</v>
      </c>
      <c r="P152" s="83">
        <v>-144</v>
      </c>
      <c r="Q152" s="83">
        <v>0</v>
      </c>
      <c r="R152" s="83">
        <v>0</v>
      </c>
      <c r="S152" s="83">
        <v>0</v>
      </c>
      <c r="T152" s="83">
        <v>0</v>
      </c>
      <c r="U152" s="82"/>
    </row>
    <row r="153" spans="1:21" ht="17.25" customHeight="1" x14ac:dyDescent="0.3">
      <c r="A153" s="66" t="s">
        <v>30</v>
      </c>
      <c r="C153" s="67"/>
      <c r="D153" s="77" t="str">
        <f t="shared" si="77"/>
        <v>C100028</v>
      </c>
      <c r="E153" s="77"/>
      <c r="F153" s="76"/>
      <c r="G153" s="76" t="str">
        <f>"""NAV Direct"",""CRONUS JetCorp USA"",""32"",""1"",""124527"""</f>
        <v>"NAV Direct","CRONUS JetCorp USA","32","1","124527"</v>
      </c>
      <c r="H153" s="86">
        <v>43474</v>
      </c>
      <c r="I153" s="85">
        <v>124527</v>
      </c>
      <c r="J153" s="84" t="str">
        <f>"Customer"</f>
        <v>Customer</v>
      </c>
      <c r="K153" s="84" t="str">
        <f>"C100145"</f>
        <v>C100145</v>
      </c>
      <c r="L153" s="84" t="str">
        <f>IF($J153="Customer",_xll.NL("first",$J153,"Name","No.","@@"&amp;$K153),"")</f>
        <v>Dicon Industries</v>
      </c>
      <c r="M153" s="84" t="str">
        <f>""</f>
        <v/>
      </c>
      <c r="N153" s="84" t="str">
        <f>IF($J153="Item",_xll.NL("first",$J153,"Description","No.","@@"&amp;$K153),"")</f>
        <v/>
      </c>
      <c r="O153" s="83">
        <v>0</v>
      </c>
      <c r="P153" s="83">
        <v>-144</v>
      </c>
      <c r="Q153" s="83">
        <v>0</v>
      </c>
      <c r="R153" s="83">
        <v>0</v>
      </c>
      <c r="S153" s="83">
        <v>0</v>
      </c>
      <c r="T153" s="83">
        <v>0</v>
      </c>
      <c r="U153" s="82"/>
    </row>
    <row r="154" spans="1:21" ht="17.25" customHeight="1" x14ac:dyDescent="0.3">
      <c r="A154" s="66" t="s">
        <v>30</v>
      </c>
      <c r="C154" s="67"/>
      <c r="D154" s="77" t="str">
        <f t="shared" si="77"/>
        <v>C100028</v>
      </c>
      <c r="E154" s="77"/>
      <c r="F154" s="76"/>
      <c r="G154" s="76" t="str">
        <f>"""NAV Direct"",""CRONUS JetCorp USA"",""32"",""1"",""128885"""</f>
        <v>"NAV Direct","CRONUS JetCorp USA","32","1","128885"</v>
      </c>
      <c r="H154" s="86">
        <v>43475</v>
      </c>
      <c r="I154" s="85">
        <v>128885</v>
      </c>
      <c r="J154" s="84" t="str">
        <f>"Customer"</f>
        <v>Customer</v>
      </c>
      <c r="K154" s="84" t="str">
        <f>"C100095"</f>
        <v>C100095</v>
      </c>
      <c r="L154" s="84" t="str">
        <f>IF($J154="Customer",_xll.NL("first",$J154,"Name","No.","@@"&amp;$K154),"")</f>
        <v>Randotax Outfitters</v>
      </c>
      <c r="M154" s="84" t="str">
        <f>""</f>
        <v/>
      </c>
      <c r="N154" s="84" t="str">
        <f>IF($J154="Item",_xll.NL("first",$J154,"Description","No.","@@"&amp;$K154),"")</f>
        <v/>
      </c>
      <c r="O154" s="83">
        <v>0</v>
      </c>
      <c r="P154" s="83">
        <v>-144</v>
      </c>
      <c r="Q154" s="83">
        <v>0</v>
      </c>
      <c r="R154" s="83">
        <v>0</v>
      </c>
      <c r="S154" s="83">
        <v>0</v>
      </c>
      <c r="T154" s="83">
        <v>0</v>
      </c>
      <c r="U154" s="82"/>
    </row>
    <row r="155" spans="1:21" ht="17.25" customHeight="1" x14ac:dyDescent="0.3">
      <c r="A155" s="66" t="s">
        <v>30</v>
      </c>
      <c r="C155" s="67"/>
      <c r="D155" s="77" t="str">
        <f t="shared" si="77"/>
        <v>C100028</v>
      </c>
      <c r="E155" s="77"/>
      <c r="F155" s="76"/>
      <c r="G155" s="76" t="str">
        <f>"""NAV Direct"",""CRONUS JetCorp USA"",""32"",""1"",""132529"""</f>
        <v>"NAV Direct","CRONUS JetCorp USA","32","1","132529"</v>
      </c>
      <c r="H155" s="86">
        <v>43477</v>
      </c>
      <c r="I155" s="85">
        <v>132529</v>
      </c>
      <c r="J155" s="84" t="str">
        <f>"Customer"</f>
        <v>Customer</v>
      </c>
      <c r="K155" s="84" t="str">
        <f>"C100082"</f>
        <v>C100082</v>
      </c>
      <c r="L155" s="84" t="str">
        <f>IF($J155="Customer",_xll.NL("first",$J155,"Name","No.","@@"&amp;$K155),"")</f>
        <v>Sporting Goods Emporium</v>
      </c>
      <c r="M155" s="84" t="str">
        <f>""</f>
        <v/>
      </c>
      <c r="N155" s="84" t="str">
        <f>IF($J155="Item",_xll.NL("first",$J155,"Description","No.","@@"&amp;$K155),"")</f>
        <v/>
      </c>
      <c r="O155" s="83">
        <v>0</v>
      </c>
      <c r="P155" s="83">
        <v>-6</v>
      </c>
      <c r="Q155" s="83">
        <v>0</v>
      </c>
      <c r="R155" s="83">
        <v>0</v>
      </c>
      <c r="S155" s="83">
        <v>0</v>
      </c>
      <c r="T155" s="83">
        <v>0</v>
      </c>
      <c r="U155" s="82"/>
    </row>
    <row r="156" spans="1:21" ht="17.25" customHeight="1" x14ac:dyDescent="0.3">
      <c r="A156" s="66" t="s">
        <v>30</v>
      </c>
      <c r="C156" s="67"/>
      <c r="D156" s="77"/>
      <c r="E156" s="77"/>
      <c r="F156" s="76"/>
      <c r="G156" s="76"/>
      <c r="H156" s="76"/>
      <c r="I156" s="76"/>
      <c r="J156" s="76"/>
      <c r="K156" s="76"/>
      <c r="L156" s="76"/>
      <c r="M156" s="76"/>
      <c r="N156" s="76"/>
      <c r="O156" s="75"/>
      <c r="P156" s="75"/>
      <c r="Q156" s="75"/>
      <c r="R156" s="75"/>
      <c r="S156" s="75"/>
      <c r="T156" s="75"/>
      <c r="U156" s="74"/>
    </row>
    <row r="157" spans="1:21" ht="17.25" customHeight="1" x14ac:dyDescent="0.3">
      <c r="A157" s="66" t="s">
        <v>30</v>
      </c>
      <c r="C157" s="67"/>
      <c r="D157" s="77"/>
      <c r="E157" s="77" t="s">
        <v>31</v>
      </c>
      <c r="F157" s="76" t="s">
        <v>31</v>
      </c>
      <c r="G157" s="76" t="s">
        <v>31</v>
      </c>
      <c r="H157" s="76"/>
      <c r="I157" s="76"/>
      <c r="J157" s="76" t="s">
        <v>31</v>
      </c>
      <c r="K157" s="76" t="s">
        <v>31</v>
      </c>
      <c r="L157" s="76" t="s">
        <v>31</v>
      </c>
      <c r="M157" s="76" t="s">
        <v>31</v>
      </c>
      <c r="N157" s="76"/>
      <c r="U157" s="81"/>
    </row>
    <row r="158" spans="1:21" ht="20.25" customHeight="1" x14ac:dyDescent="0.35">
      <c r="A158" s="66" t="s">
        <v>30</v>
      </c>
      <c r="C158" s="67"/>
      <c r="D158" s="92" t="str">
        <f t="shared" ref="D158" si="78">E158</f>
        <v>C100029</v>
      </c>
      <c r="E158" s="91" t="str">
        <f>"C100029"</f>
        <v>C100029</v>
      </c>
      <c r="F158" s="89" t="str">
        <f>"Distressed Twill Visor"</f>
        <v>Distressed Twill Visor</v>
      </c>
      <c r="G158" s="89"/>
      <c r="H158" s="90" t="str">
        <f>"EA"</f>
        <v>EA</v>
      </c>
      <c r="I158" s="89"/>
      <c r="J158" s="89"/>
      <c r="K158" s="89"/>
      <c r="L158" s="89"/>
      <c r="M158" s="89"/>
      <c r="N158" s="89"/>
      <c r="O158" s="88">
        <f>(SUBTOTAL(9,O159:O169))</f>
        <v>3600</v>
      </c>
      <c r="P158" s="88">
        <f>(SUBTOTAL(9,P159:P169))</f>
        <v>-1154</v>
      </c>
      <c r="Q158" s="88">
        <f>(SUBTOTAL(9,Q159:Q169))</f>
        <v>0</v>
      </c>
      <c r="R158" s="88">
        <f>(SUBTOTAL(9,R159:R169))</f>
        <v>0</v>
      </c>
      <c r="S158" s="88">
        <f>(SUBTOTAL(9,S159:S169))</f>
        <v>0</v>
      </c>
      <c r="T158" s="88">
        <f>(SUBTOTAL(9,T159:T169))</f>
        <v>0</v>
      </c>
      <c r="U158" s="87">
        <f t="shared" ref="U158" si="79">SUBTOTAL(9,O159:T169)</f>
        <v>2446</v>
      </c>
    </row>
    <row r="159" spans="1:21" ht="17.25" customHeight="1" x14ac:dyDescent="0.3">
      <c r="A159" s="66" t="s">
        <v>30</v>
      </c>
      <c r="C159" s="67"/>
      <c r="D159" s="77" t="str">
        <f t="shared" ref="D159" si="80">D158</f>
        <v>C100029</v>
      </c>
      <c r="E159" s="77"/>
      <c r="F159" s="76"/>
      <c r="G159" s="76" t="str">
        <f>"""NAV Direct"",""CRONUS JetCorp USA"",""32"",""1"",""167138"""</f>
        <v>"NAV Direct","CRONUS JetCorp USA","32","1","167138"</v>
      </c>
      <c r="H159" s="86">
        <v>43466</v>
      </c>
      <c r="I159" s="85">
        <v>167138</v>
      </c>
      <c r="J159" s="84" t="str">
        <f>"Vendor"</f>
        <v>Vendor</v>
      </c>
      <c r="K159" s="84" t="str">
        <f>"V100001"</f>
        <v>V100001</v>
      </c>
      <c r="L159" s="84" t="str">
        <f>IF($J159="Customer",_xll.NL("first",$J159,"Name","No.","@@"&amp;$K159),"")</f>
        <v/>
      </c>
      <c r="M159" s="84" t="str">
        <f>"Greigner, Inc."</f>
        <v>Greigner, Inc.</v>
      </c>
      <c r="N159" s="84" t="str">
        <f>IF($J159="Item",_xll.NL("first",$J159,"Description","No.","@@"&amp;$K159),"")</f>
        <v/>
      </c>
      <c r="O159" s="83">
        <v>3600</v>
      </c>
      <c r="P159" s="83">
        <v>0</v>
      </c>
      <c r="Q159" s="83">
        <v>0</v>
      </c>
      <c r="R159" s="83">
        <v>0</v>
      </c>
      <c r="S159" s="83">
        <v>0</v>
      </c>
      <c r="T159" s="83">
        <v>0</v>
      </c>
      <c r="U159" s="82"/>
    </row>
    <row r="160" spans="1:21" ht="17.25" customHeight="1" x14ac:dyDescent="0.3">
      <c r="A160" s="66" t="s">
        <v>30</v>
      </c>
      <c r="C160" s="67"/>
      <c r="D160" s="77" t="str">
        <f t="shared" ref="D160:D168" si="81">D159</f>
        <v>C100029</v>
      </c>
      <c r="E160" s="77"/>
      <c r="F160" s="76"/>
      <c r="G160" s="76" t="str">
        <f>"""NAV Direct"",""CRONUS JetCorp USA"",""32"",""1"",""20371"""</f>
        <v>"NAV Direct","CRONUS JetCorp USA","32","1","20371"</v>
      </c>
      <c r="H160" s="86">
        <v>43468</v>
      </c>
      <c r="I160" s="85">
        <v>20371</v>
      </c>
      <c r="J160" s="84" t="str">
        <f>"Customer"</f>
        <v>Customer</v>
      </c>
      <c r="K160" s="84" t="str">
        <f>"C100145"</f>
        <v>C100145</v>
      </c>
      <c r="L160" s="84" t="str">
        <f>IF($J160="Customer",_xll.NL("first",$J160,"Name","No.","@@"&amp;$K160),"")</f>
        <v>Dicon Industries</v>
      </c>
      <c r="M160" s="84" t="str">
        <f>""</f>
        <v/>
      </c>
      <c r="N160" s="84" t="str">
        <f>IF($J160="Item",_xll.NL("first",$J160,"Description","No.","@@"&amp;$K160),"")</f>
        <v/>
      </c>
      <c r="O160" s="83">
        <v>0</v>
      </c>
      <c r="P160" s="83">
        <v>-144</v>
      </c>
      <c r="Q160" s="83">
        <v>0</v>
      </c>
      <c r="R160" s="83">
        <v>0</v>
      </c>
      <c r="S160" s="83">
        <v>0</v>
      </c>
      <c r="T160" s="83">
        <v>0</v>
      </c>
      <c r="U160" s="82"/>
    </row>
    <row r="161" spans="1:21" ht="17.25" customHeight="1" x14ac:dyDescent="0.3">
      <c r="A161" s="66" t="s">
        <v>30</v>
      </c>
      <c r="C161" s="67"/>
      <c r="D161" s="77" t="str">
        <f t="shared" si="81"/>
        <v>C100029</v>
      </c>
      <c r="E161" s="77"/>
      <c r="F161" s="76"/>
      <c r="G161" s="76" t="str">
        <f>"""NAV Direct"",""CRONUS JetCorp USA"",""32"",""1"",""25240"""</f>
        <v>"NAV Direct","CRONUS JetCorp USA","32","1","25240"</v>
      </c>
      <c r="H161" s="86">
        <v>43471</v>
      </c>
      <c r="I161" s="85">
        <v>25240</v>
      </c>
      <c r="J161" s="84" t="str">
        <f>"Customer"</f>
        <v>Customer</v>
      </c>
      <c r="K161" s="84" t="str">
        <f>"C100102"</f>
        <v>C100102</v>
      </c>
      <c r="L161" s="84" t="str">
        <f>IF($J161="Customer",_xll.NL("first",$J161,"Name","No.","@@"&amp;$K161),"")</f>
        <v xml:space="preserve">BEI Outfitters </v>
      </c>
      <c r="M161" s="84" t="str">
        <f>""</f>
        <v/>
      </c>
      <c r="N161" s="84" t="str">
        <f>IF($J161="Item",_xll.NL("first",$J161,"Description","No.","@@"&amp;$K161),"")</f>
        <v/>
      </c>
      <c r="O161" s="83">
        <v>0</v>
      </c>
      <c r="P161" s="83">
        <v>-144</v>
      </c>
      <c r="Q161" s="83">
        <v>0</v>
      </c>
      <c r="R161" s="83">
        <v>0</v>
      </c>
      <c r="S161" s="83">
        <v>0</v>
      </c>
      <c r="T161" s="83">
        <v>0</v>
      </c>
      <c r="U161" s="82"/>
    </row>
    <row r="162" spans="1:21" ht="17.25" customHeight="1" x14ac:dyDescent="0.3">
      <c r="A162" s="66" t="s">
        <v>30</v>
      </c>
      <c r="C162" s="67"/>
      <c r="D162" s="77" t="str">
        <f t="shared" si="81"/>
        <v>C100029</v>
      </c>
      <c r="E162" s="77"/>
      <c r="F162" s="76"/>
      <c r="G162" s="76" t="str">
        <f>"""NAV Direct"",""CRONUS JetCorp USA"",""32"",""1"",""128860"""</f>
        <v>"NAV Direct","CRONUS JetCorp USA","32","1","128860"</v>
      </c>
      <c r="H162" s="86">
        <v>43471</v>
      </c>
      <c r="I162" s="85">
        <v>128860</v>
      </c>
      <c r="J162" s="84" t="str">
        <f>"Customer"</f>
        <v>Customer</v>
      </c>
      <c r="K162" s="84" t="str">
        <f>"C100138"</f>
        <v>C100138</v>
      </c>
      <c r="L162" s="84" t="str">
        <f>IF($J162="Customer",_xll.NL("first",$J162,"Name","No.","@@"&amp;$K162),"")</f>
        <v>Dantons</v>
      </c>
      <c r="M162" s="84" t="str">
        <f>""</f>
        <v/>
      </c>
      <c r="N162" s="84" t="str">
        <f>IF($J162="Item",_xll.NL("first",$J162,"Description","No.","@@"&amp;$K162),"")</f>
        <v/>
      </c>
      <c r="O162" s="83">
        <v>0</v>
      </c>
      <c r="P162" s="83">
        <v>-1</v>
      </c>
      <c r="Q162" s="83">
        <v>0</v>
      </c>
      <c r="R162" s="83">
        <v>0</v>
      </c>
      <c r="S162" s="83">
        <v>0</v>
      </c>
      <c r="T162" s="83">
        <v>0</v>
      </c>
      <c r="U162" s="82"/>
    </row>
    <row r="163" spans="1:21" ht="17.25" customHeight="1" x14ac:dyDescent="0.3">
      <c r="A163" s="66" t="s">
        <v>30</v>
      </c>
      <c r="C163" s="67"/>
      <c r="D163" s="77" t="str">
        <f t="shared" si="81"/>
        <v>C100029</v>
      </c>
      <c r="E163" s="77"/>
      <c r="F163" s="76"/>
      <c r="G163" s="76" t="str">
        <f>"""NAV Direct"",""CRONUS JetCorp USA"",""32"",""1"",""44468"""</f>
        <v>"NAV Direct","CRONUS JetCorp USA","32","1","44468"</v>
      </c>
      <c r="H163" s="86">
        <v>43472</v>
      </c>
      <c r="I163" s="85">
        <v>44468</v>
      </c>
      <c r="J163" s="84" t="str">
        <f>"Customer"</f>
        <v>Customer</v>
      </c>
      <c r="K163" s="84" t="str">
        <f>"C100141"</f>
        <v>C100141</v>
      </c>
      <c r="L163" s="84" t="str">
        <f>IF($J163="Customer",_xll.NL("first",$J163,"Name","No.","@@"&amp;$K163),"")</f>
        <v>Bargottis</v>
      </c>
      <c r="M163" s="84" t="str">
        <f>""</f>
        <v/>
      </c>
      <c r="N163" s="84" t="str">
        <f>IF($J163="Item",_xll.NL("first",$J163,"Description","No.","@@"&amp;$K163),"")</f>
        <v/>
      </c>
      <c r="O163" s="83">
        <v>0</v>
      </c>
      <c r="P163" s="83">
        <v>-144</v>
      </c>
      <c r="Q163" s="83">
        <v>0</v>
      </c>
      <c r="R163" s="83">
        <v>0</v>
      </c>
      <c r="S163" s="83">
        <v>0</v>
      </c>
      <c r="T163" s="83">
        <v>0</v>
      </c>
      <c r="U163" s="82"/>
    </row>
    <row r="164" spans="1:21" ht="17.25" customHeight="1" x14ac:dyDescent="0.3">
      <c r="A164" s="66" t="s">
        <v>30</v>
      </c>
      <c r="C164" s="67"/>
      <c r="D164" s="77" t="str">
        <f t="shared" si="81"/>
        <v>C100029</v>
      </c>
      <c r="E164" s="77"/>
      <c r="F164" s="76"/>
      <c r="G164" s="76" t="str">
        <f>"""NAV Direct"",""CRONUS JetCorp USA"",""32"",""1"",""44517"""</f>
        <v>"NAV Direct","CRONUS JetCorp USA","32","1","44517"</v>
      </c>
      <c r="H164" s="86">
        <v>43473</v>
      </c>
      <c r="I164" s="85">
        <v>44517</v>
      </c>
      <c r="J164" s="84" t="str">
        <f>"Customer"</f>
        <v>Customer</v>
      </c>
      <c r="K164" s="84" t="str">
        <f>"C100139"</f>
        <v>C100139</v>
      </c>
      <c r="L164" s="84" t="str">
        <f>IF($J164="Customer",_xll.NL("first",$J164,"Name","No.","@@"&amp;$K164),"")</f>
        <v>Gamma Ray's</v>
      </c>
      <c r="M164" s="84" t="str">
        <f>""</f>
        <v/>
      </c>
      <c r="N164" s="84" t="str">
        <f>IF($J164="Item",_xll.NL("first",$J164,"Description","No.","@@"&amp;$K164),"")</f>
        <v/>
      </c>
      <c r="O164" s="83">
        <v>0</v>
      </c>
      <c r="P164" s="83">
        <v>-144</v>
      </c>
      <c r="Q164" s="83">
        <v>0</v>
      </c>
      <c r="R164" s="83">
        <v>0</v>
      </c>
      <c r="S164" s="83">
        <v>0</v>
      </c>
      <c r="T164" s="83">
        <v>0</v>
      </c>
      <c r="U164" s="82"/>
    </row>
    <row r="165" spans="1:21" ht="17.25" customHeight="1" x14ac:dyDescent="0.3">
      <c r="A165" s="66" t="s">
        <v>30</v>
      </c>
      <c r="C165" s="67"/>
      <c r="D165" s="77" t="str">
        <f t="shared" si="81"/>
        <v>C100029</v>
      </c>
      <c r="E165" s="77"/>
      <c r="F165" s="76"/>
      <c r="G165" s="76" t="str">
        <f>"""NAV Direct"",""CRONUS JetCorp USA"",""32"",""1"",""54698"""</f>
        <v>"NAV Direct","CRONUS JetCorp USA","32","1","54698"</v>
      </c>
      <c r="H165" s="86">
        <v>43474</v>
      </c>
      <c r="I165" s="85">
        <v>54698</v>
      </c>
      <c r="J165" s="84" t="str">
        <f>"Customer"</f>
        <v>Customer</v>
      </c>
      <c r="K165" s="84" t="str">
        <f>"C100096"</f>
        <v>C100096</v>
      </c>
      <c r="L165" s="84" t="str">
        <f>IF($J165="Customer",_xll.NL("first",$J165,"Name","No.","@@"&amp;$K165),"")</f>
        <v>D-Com Industries</v>
      </c>
      <c r="M165" s="84" t="str">
        <f>""</f>
        <v/>
      </c>
      <c r="N165" s="84" t="str">
        <f>IF($J165="Item",_xll.NL("first",$J165,"Description","No.","@@"&amp;$K165),"")</f>
        <v/>
      </c>
      <c r="O165" s="83">
        <v>0</v>
      </c>
      <c r="P165" s="83">
        <v>-144</v>
      </c>
      <c r="Q165" s="83">
        <v>0</v>
      </c>
      <c r="R165" s="83">
        <v>0</v>
      </c>
      <c r="S165" s="83">
        <v>0</v>
      </c>
      <c r="T165" s="83">
        <v>0</v>
      </c>
      <c r="U165" s="82"/>
    </row>
    <row r="166" spans="1:21" ht="17.25" customHeight="1" x14ac:dyDescent="0.3">
      <c r="A166" s="66" t="s">
        <v>30</v>
      </c>
      <c r="C166" s="67"/>
      <c r="D166" s="77" t="str">
        <f t="shared" si="81"/>
        <v>C100029</v>
      </c>
      <c r="E166" s="77"/>
      <c r="F166" s="76"/>
      <c r="G166" s="76" t="str">
        <f>"""NAV Direct"",""CRONUS JetCorp USA"",""32"",""1"",""20362"""</f>
        <v>"NAV Direct","CRONUS JetCorp USA","32","1","20362"</v>
      </c>
      <c r="H166" s="86">
        <v>43475</v>
      </c>
      <c r="I166" s="85">
        <v>20362</v>
      </c>
      <c r="J166" s="84" t="str">
        <f>"Customer"</f>
        <v>Customer</v>
      </c>
      <c r="K166" s="84" t="str">
        <f>"C100097"</f>
        <v>C100097</v>
      </c>
      <c r="L166" s="84" t="str">
        <f>IF($J166="Customer",_xll.NL("first",$J166,"Name","No.","@@"&amp;$K166),"")</f>
        <v>Solotech</v>
      </c>
      <c r="M166" s="84" t="str">
        <f>""</f>
        <v/>
      </c>
      <c r="N166" s="84" t="str">
        <f>IF($J166="Item",_xll.NL("first",$J166,"Description","No.","@@"&amp;$K166),"")</f>
        <v/>
      </c>
      <c r="O166" s="83">
        <v>0</v>
      </c>
      <c r="P166" s="83">
        <v>-1</v>
      </c>
      <c r="Q166" s="83">
        <v>0</v>
      </c>
      <c r="R166" s="83">
        <v>0</v>
      </c>
      <c r="S166" s="83">
        <v>0</v>
      </c>
      <c r="T166" s="83">
        <v>0</v>
      </c>
      <c r="U166" s="82"/>
    </row>
    <row r="167" spans="1:21" ht="17.25" customHeight="1" x14ac:dyDescent="0.3">
      <c r="A167" s="66" t="s">
        <v>30</v>
      </c>
      <c r="C167" s="67"/>
      <c r="D167" s="77" t="str">
        <f t="shared" si="81"/>
        <v>C100029</v>
      </c>
      <c r="E167" s="77"/>
      <c r="F167" s="76"/>
      <c r="G167" s="76" t="str">
        <f>"""NAV Direct"",""CRONUS JetCorp USA"",""32"",""1"",""25269"""</f>
        <v>"NAV Direct","CRONUS JetCorp USA","32","1","25269"</v>
      </c>
      <c r="H167" s="86">
        <v>43476</v>
      </c>
      <c r="I167" s="85">
        <v>25269</v>
      </c>
      <c r="J167" s="84" t="str">
        <f>"Customer"</f>
        <v>Customer</v>
      </c>
      <c r="K167" s="84" t="str">
        <f>"C100102"</f>
        <v>C100102</v>
      </c>
      <c r="L167" s="84" t="str">
        <f>IF($J167="Customer",_xll.NL("first",$J167,"Name","No.","@@"&amp;$K167),"")</f>
        <v xml:space="preserve">BEI Outfitters </v>
      </c>
      <c r="M167" s="84" t="str">
        <f>""</f>
        <v/>
      </c>
      <c r="N167" s="84" t="str">
        <f>IF($J167="Item",_xll.NL("first",$J167,"Description","No.","@@"&amp;$K167),"")</f>
        <v/>
      </c>
      <c r="O167" s="83">
        <v>0</v>
      </c>
      <c r="P167" s="83">
        <v>-144</v>
      </c>
      <c r="Q167" s="83">
        <v>0</v>
      </c>
      <c r="R167" s="83">
        <v>0</v>
      </c>
      <c r="S167" s="83">
        <v>0</v>
      </c>
      <c r="T167" s="83">
        <v>0</v>
      </c>
      <c r="U167" s="82"/>
    </row>
    <row r="168" spans="1:21" ht="17.25" customHeight="1" x14ac:dyDescent="0.3">
      <c r="A168" s="66" t="s">
        <v>30</v>
      </c>
      <c r="C168" s="67"/>
      <c r="D168" s="77" t="str">
        <f t="shared" si="81"/>
        <v>C100029</v>
      </c>
      <c r="E168" s="77"/>
      <c r="F168" s="76"/>
      <c r="G168" s="76" t="str">
        <f>"""NAV Direct"",""CRONUS JetCorp USA"",""32"",""1"",""20401"""</f>
        <v>"NAV Direct","CRONUS JetCorp USA","32","1","20401"</v>
      </c>
      <c r="H168" s="86">
        <v>43477</v>
      </c>
      <c r="I168" s="85">
        <v>20401</v>
      </c>
      <c r="J168" s="84" t="str">
        <f>"Customer"</f>
        <v>Customer</v>
      </c>
      <c r="K168" s="84" t="str">
        <f>"C100039"</f>
        <v>C100039</v>
      </c>
      <c r="L168" s="84" t="str">
        <f>IF($J168="Customer",_xll.NL("first",$J168,"Name","No.","@@"&amp;$K168),"")</f>
        <v>Gary's Sports</v>
      </c>
      <c r="M168" s="84" t="str">
        <f>""</f>
        <v/>
      </c>
      <c r="N168" s="84" t="str">
        <f>IF($J168="Item",_xll.NL("first",$J168,"Description","No.","@@"&amp;$K168),"")</f>
        <v/>
      </c>
      <c r="O168" s="83">
        <v>0</v>
      </c>
      <c r="P168" s="83">
        <v>-288</v>
      </c>
      <c r="Q168" s="83">
        <v>0</v>
      </c>
      <c r="R168" s="83">
        <v>0</v>
      </c>
      <c r="S168" s="83">
        <v>0</v>
      </c>
      <c r="T168" s="83">
        <v>0</v>
      </c>
      <c r="U168" s="82"/>
    </row>
    <row r="169" spans="1:21" ht="17.25" customHeight="1" x14ac:dyDescent="0.3">
      <c r="A169" s="66" t="s">
        <v>30</v>
      </c>
      <c r="C169" s="67"/>
      <c r="D169" s="77"/>
      <c r="E169" s="77"/>
      <c r="F169" s="76"/>
      <c r="G169" s="76"/>
      <c r="H169" s="76"/>
      <c r="I169" s="76"/>
      <c r="J169" s="76"/>
      <c r="K169" s="76"/>
      <c r="L169" s="76"/>
      <c r="M169" s="76"/>
      <c r="N169" s="76"/>
      <c r="O169" s="75"/>
      <c r="P169" s="75"/>
      <c r="Q169" s="75"/>
      <c r="R169" s="75"/>
      <c r="S169" s="75"/>
      <c r="T169" s="75"/>
      <c r="U169" s="74"/>
    </row>
    <row r="170" spans="1:21" ht="17.25" customHeight="1" x14ac:dyDescent="0.3">
      <c r="A170" s="66" t="s">
        <v>30</v>
      </c>
      <c r="C170" s="67"/>
      <c r="D170" s="77"/>
      <c r="E170" s="77" t="s">
        <v>31</v>
      </c>
      <c r="F170" s="76" t="s">
        <v>31</v>
      </c>
      <c r="G170" s="76" t="s">
        <v>31</v>
      </c>
      <c r="H170" s="76"/>
      <c r="I170" s="76"/>
      <c r="J170" s="76" t="s">
        <v>31</v>
      </c>
      <c r="K170" s="76" t="s">
        <v>31</v>
      </c>
      <c r="L170" s="76" t="s">
        <v>31</v>
      </c>
      <c r="M170" s="76" t="s">
        <v>31</v>
      </c>
      <c r="N170" s="76"/>
      <c r="U170" s="81"/>
    </row>
    <row r="171" spans="1:21" ht="20.25" customHeight="1" x14ac:dyDescent="0.35">
      <c r="A171" s="66" t="s">
        <v>30</v>
      </c>
      <c r="C171" s="67"/>
      <c r="D171" s="92" t="str">
        <f t="shared" ref="D171" si="82">E171</f>
        <v>C100030</v>
      </c>
      <c r="E171" s="91" t="str">
        <f>"C100030"</f>
        <v>C100030</v>
      </c>
      <c r="F171" s="89" t="str">
        <f>"Fashion Visor"</f>
        <v>Fashion Visor</v>
      </c>
      <c r="G171" s="89"/>
      <c r="H171" s="90" t="str">
        <f>"EA"</f>
        <v>EA</v>
      </c>
      <c r="I171" s="89"/>
      <c r="J171" s="89"/>
      <c r="K171" s="89"/>
      <c r="L171" s="89"/>
      <c r="M171" s="89"/>
      <c r="N171" s="89"/>
      <c r="O171" s="88">
        <f>(SUBTOTAL(9,O172:O176))</f>
        <v>1999.9999999999998</v>
      </c>
      <c r="P171" s="88">
        <f>(SUBTOTAL(9,P172:P176))</f>
        <v>-576</v>
      </c>
      <c r="Q171" s="88">
        <f>(SUBTOTAL(9,Q172:Q176))</f>
        <v>0</v>
      </c>
      <c r="R171" s="88">
        <f>(SUBTOTAL(9,R172:R176))</f>
        <v>0</v>
      </c>
      <c r="S171" s="88">
        <f>(SUBTOTAL(9,S172:S176))</f>
        <v>0</v>
      </c>
      <c r="T171" s="88">
        <f>(SUBTOTAL(9,T172:T176))</f>
        <v>0</v>
      </c>
      <c r="U171" s="87">
        <f t="shared" ref="U171" si="83">SUBTOTAL(9,O172:T176)</f>
        <v>1423.9999999999998</v>
      </c>
    </row>
    <row r="172" spans="1:21" ht="17.25" customHeight="1" x14ac:dyDescent="0.3">
      <c r="A172" s="66" t="s">
        <v>30</v>
      </c>
      <c r="C172" s="67"/>
      <c r="D172" s="77" t="str">
        <f t="shared" ref="D172" si="84">D171</f>
        <v>C100030</v>
      </c>
      <c r="E172" s="77"/>
      <c r="F172" s="76"/>
      <c r="G172" s="76" t="str">
        <f>"""NAV Direct"",""CRONUS JetCorp USA"",""32"",""1"",""167137"""</f>
        <v>"NAV Direct","CRONUS JetCorp USA","32","1","167137"</v>
      </c>
      <c r="H172" s="86">
        <v>43466</v>
      </c>
      <c r="I172" s="85">
        <v>167137</v>
      </c>
      <c r="J172" s="84" t="str">
        <f>"Vendor"</f>
        <v>Vendor</v>
      </c>
      <c r="K172" s="84" t="str">
        <f>"V100001"</f>
        <v>V100001</v>
      </c>
      <c r="L172" s="84" t="str">
        <f>IF($J172="Customer",_xll.NL("first",$J172,"Name","No.","@@"&amp;$K172),"")</f>
        <v/>
      </c>
      <c r="M172" s="84" t="str">
        <f>"Greigner, Inc."</f>
        <v>Greigner, Inc.</v>
      </c>
      <c r="N172" s="84" t="str">
        <f>IF($J172="Item",_xll.NL("first",$J172,"Description","No.","@@"&amp;$K172),"")</f>
        <v/>
      </c>
      <c r="O172" s="83">
        <v>1999.9999999999998</v>
      </c>
      <c r="P172" s="83">
        <v>0</v>
      </c>
      <c r="Q172" s="83">
        <v>0</v>
      </c>
      <c r="R172" s="83">
        <v>0</v>
      </c>
      <c r="S172" s="83">
        <v>0</v>
      </c>
      <c r="T172" s="83">
        <v>0</v>
      </c>
      <c r="U172" s="82"/>
    </row>
    <row r="173" spans="1:21" ht="17.25" customHeight="1" x14ac:dyDescent="0.3">
      <c r="A173" s="66" t="s">
        <v>30</v>
      </c>
      <c r="C173" s="67"/>
      <c r="D173" s="77" t="str">
        <f t="shared" ref="D173:D175" si="85">D172</f>
        <v>C100030</v>
      </c>
      <c r="E173" s="77"/>
      <c r="F173" s="76"/>
      <c r="G173" s="76" t="str">
        <f>"""NAV Direct"",""CRONUS JetCorp USA"",""32"",""1"",""128853"""</f>
        <v>"NAV Direct","CRONUS JetCorp USA","32","1","128853"</v>
      </c>
      <c r="H173" s="86">
        <v>43471</v>
      </c>
      <c r="I173" s="85">
        <v>128853</v>
      </c>
      <c r="J173" s="84" t="str">
        <f>"Customer"</f>
        <v>Customer</v>
      </c>
      <c r="K173" s="84" t="str">
        <f>"C100138"</f>
        <v>C100138</v>
      </c>
      <c r="L173" s="84" t="str">
        <f>IF($J173="Customer",_xll.NL("first",$J173,"Name","No.","@@"&amp;$K173),"")</f>
        <v>Dantons</v>
      </c>
      <c r="M173" s="84" t="str">
        <f>""</f>
        <v/>
      </c>
      <c r="N173" s="84" t="str">
        <f>IF($J173="Item",_xll.NL("first",$J173,"Description","No.","@@"&amp;$K173),"")</f>
        <v/>
      </c>
      <c r="O173" s="83">
        <v>0</v>
      </c>
      <c r="P173" s="83">
        <v>-144</v>
      </c>
      <c r="Q173" s="83">
        <v>0</v>
      </c>
      <c r="R173" s="83">
        <v>0</v>
      </c>
      <c r="S173" s="83">
        <v>0</v>
      </c>
      <c r="T173" s="83">
        <v>0</v>
      </c>
      <c r="U173" s="82"/>
    </row>
    <row r="174" spans="1:21" ht="17.25" customHeight="1" x14ac:dyDescent="0.3">
      <c r="A174" s="66" t="s">
        <v>30</v>
      </c>
      <c r="C174" s="67"/>
      <c r="D174" s="77" t="str">
        <f t="shared" si="85"/>
        <v>C100030</v>
      </c>
      <c r="E174" s="77"/>
      <c r="F174" s="76"/>
      <c r="G174" s="76" t="str">
        <f>"""NAV Direct"",""CRONUS JetCorp USA"",""32"",""1"",""54692"""</f>
        <v>"NAV Direct","CRONUS JetCorp USA","32","1","54692"</v>
      </c>
      <c r="H174" s="86">
        <v>43474</v>
      </c>
      <c r="I174" s="85">
        <v>54692</v>
      </c>
      <c r="J174" s="84" t="str">
        <f>"Customer"</f>
        <v>Customer</v>
      </c>
      <c r="K174" s="84" t="str">
        <f>"C100096"</f>
        <v>C100096</v>
      </c>
      <c r="L174" s="84" t="str">
        <f>IF($J174="Customer",_xll.NL("first",$J174,"Name","No.","@@"&amp;$K174),"")</f>
        <v>D-Com Industries</v>
      </c>
      <c r="M174" s="84" t="str">
        <f>""</f>
        <v/>
      </c>
      <c r="N174" s="84" t="str">
        <f>IF($J174="Item",_xll.NL("first",$J174,"Description","No.","@@"&amp;$K174),"")</f>
        <v/>
      </c>
      <c r="O174" s="83">
        <v>0</v>
      </c>
      <c r="P174" s="83">
        <v>-288</v>
      </c>
      <c r="Q174" s="83">
        <v>0</v>
      </c>
      <c r="R174" s="83">
        <v>0</v>
      </c>
      <c r="S174" s="83">
        <v>0</v>
      </c>
      <c r="T174" s="83">
        <v>0</v>
      </c>
      <c r="U174" s="82"/>
    </row>
    <row r="175" spans="1:21" ht="17.25" customHeight="1" x14ac:dyDescent="0.3">
      <c r="A175" s="66" t="s">
        <v>30</v>
      </c>
      <c r="C175" s="67"/>
      <c r="D175" s="77" t="str">
        <f t="shared" si="85"/>
        <v>C100030</v>
      </c>
      <c r="E175" s="77"/>
      <c r="F175" s="76"/>
      <c r="G175" s="76" t="str">
        <f>"""NAV Direct"",""CRONUS JetCorp USA"",""32"",""1"",""25268"""</f>
        <v>"NAV Direct","CRONUS JetCorp USA","32","1","25268"</v>
      </c>
      <c r="H175" s="86">
        <v>43476</v>
      </c>
      <c r="I175" s="85">
        <v>25268</v>
      </c>
      <c r="J175" s="84" t="str">
        <f>"Customer"</f>
        <v>Customer</v>
      </c>
      <c r="K175" s="84" t="str">
        <f>"C100102"</f>
        <v>C100102</v>
      </c>
      <c r="L175" s="84" t="str">
        <f>IF($J175="Customer",_xll.NL("first",$J175,"Name","No.","@@"&amp;$K175),"")</f>
        <v xml:space="preserve">BEI Outfitters </v>
      </c>
      <c r="M175" s="84" t="str">
        <f>""</f>
        <v/>
      </c>
      <c r="N175" s="84" t="str">
        <f>IF($J175="Item",_xll.NL("first",$J175,"Description","No.","@@"&amp;$K175),"")</f>
        <v/>
      </c>
      <c r="O175" s="83">
        <v>0</v>
      </c>
      <c r="P175" s="83">
        <v>-144</v>
      </c>
      <c r="Q175" s="83">
        <v>0</v>
      </c>
      <c r="R175" s="83">
        <v>0</v>
      </c>
      <c r="S175" s="83">
        <v>0</v>
      </c>
      <c r="T175" s="83">
        <v>0</v>
      </c>
      <c r="U175" s="82"/>
    </row>
    <row r="176" spans="1:21" ht="17.25" customHeight="1" x14ac:dyDescent="0.3">
      <c r="A176" s="66" t="s">
        <v>30</v>
      </c>
      <c r="C176" s="67"/>
      <c r="D176" s="77"/>
      <c r="E176" s="77"/>
      <c r="F176" s="76"/>
      <c r="G176" s="76"/>
      <c r="H176" s="76"/>
      <c r="I176" s="76"/>
      <c r="J176" s="76"/>
      <c r="K176" s="76"/>
      <c r="L176" s="76"/>
      <c r="M176" s="76"/>
      <c r="N176" s="76"/>
      <c r="O176" s="75"/>
      <c r="P176" s="75"/>
      <c r="Q176" s="75"/>
      <c r="R176" s="75"/>
      <c r="S176" s="75"/>
      <c r="T176" s="75"/>
      <c r="U176" s="74"/>
    </row>
    <row r="177" spans="1:21" ht="17.25" customHeight="1" x14ac:dyDescent="0.3">
      <c r="A177" s="66" t="s">
        <v>30</v>
      </c>
      <c r="C177" s="67"/>
      <c r="D177" s="77"/>
      <c r="E177" s="77" t="s">
        <v>31</v>
      </c>
      <c r="F177" s="76" t="s">
        <v>31</v>
      </c>
      <c r="G177" s="76" t="s">
        <v>31</v>
      </c>
      <c r="H177" s="76"/>
      <c r="I177" s="76"/>
      <c r="J177" s="76" t="s">
        <v>31</v>
      </c>
      <c r="K177" s="76" t="s">
        <v>31</v>
      </c>
      <c r="L177" s="76" t="s">
        <v>31</v>
      </c>
      <c r="M177" s="76" t="s">
        <v>31</v>
      </c>
      <c r="N177" s="76"/>
      <c r="U177" s="81"/>
    </row>
    <row r="178" spans="1:21" ht="20.25" customHeight="1" x14ac:dyDescent="0.35">
      <c r="A178" s="66" t="s">
        <v>30</v>
      </c>
      <c r="C178" s="67"/>
      <c r="D178" s="92" t="str">
        <f t="shared" ref="D178" si="86">E178</f>
        <v>C100031</v>
      </c>
      <c r="E178" s="91" t="str">
        <f>"C100031"</f>
        <v>C100031</v>
      </c>
      <c r="F178" s="89" t="str">
        <f>"Carabiner Watch"</f>
        <v>Carabiner Watch</v>
      </c>
      <c r="G178" s="89"/>
      <c r="H178" s="90" t="str">
        <f>"EA"</f>
        <v>EA</v>
      </c>
      <c r="I178" s="89"/>
      <c r="J178" s="89"/>
      <c r="K178" s="89"/>
      <c r="L178" s="89"/>
      <c r="M178" s="89"/>
      <c r="N178" s="89"/>
      <c r="O178" s="88">
        <f>(SUBTOTAL(9,O179:O184))</f>
        <v>999.99999999999989</v>
      </c>
      <c r="P178" s="88">
        <f>(SUBTOTAL(9,P179:P184))</f>
        <v>-576</v>
      </c>
      <c r="Q178" s="88">
        <f>(SUBTOTAL(9,Q179:Q184))</f>
        <v>0</v>
      </c>
      <c r="R178" s="88">
        <f>(SUBTOTAL(9,R179:R184))</f>
        <v>0</v>
      </c>
      <c r="S178" s="88">
        <f>(SUBTOTAL(9,S179:S184))</f>
        <v>0</v>
      </c>
      <c r="T178" s="88">
        <f>(SUBTOTAL(9,T179:T184))</f>
        <v>0</v>
      </c>
      <c r="U178" s="87">
        <f t="shared" ref="U178" si="87">SUBTOTAL(9,O179:T184)</f>
        <v>423.99999999999989</v>
      </c>
    </row>
    <row r="179" spans="1:21" ht="17.25" customHeight="1" x14ac:dyDescent="0.3">
      <c r="A179" s="66" t="s">
        <v>30</v>
      </c>
      <c r="C179" s="67"/>
      <c r="D179" s="77" t="str">
        <f t="shared" ref="D179" si="88">D178</f>
        <v>C100031</v>
      </c>
      <c r="E179" s="77"/>
      <c r="F179" s="76"/>
      <c r="G179" s="76" t="str">
        <f>"""NAV Direct"",""CRONUS JetCorp USA"",""32"",""1"",""167586"""</f>
        <v>"NAV Direct","CRONUS JetCorp USA","32","1","167586"</v>
      </c>
      <c r="H179" s="86">
        <v>43466</v>
      </c>
      <c r="I179" s="85">
        <v>167586</v>
      </c>
      <c r="J179" s="84" t="str">
        <f>"Vendor"</f>
        <v>Vendor</v>
      </c>
      <c r="K179" s="84" t="str">
        <f>"V100001"</f>
        <v>V100001</v>
      </c>
      <c r="L179" s="84" t="str">
        <f>IF($J179="Customer",_xll.NL("first",$J179,"Name","No.","@@"&amp;$K179),"")</f>
        <v/>
      </c>
      <c r="M179" s="84" t="str">
        <f>"Greigner, Inc."</f>
        <v>Greigner, Inc.</v>
      </c>
      <c r="N179" s="84" t="str">
        <f>IF($J179="Item",_xll.NL("first",$J179,"Description","No.","@@"&amp;$K179),"")</f>
        <v/>
      </c>
      <c r="O179" s="83">
        <v>999.99999999999989</v>
      </c>
      <c r="P179" s="83">
        <v>0</v>
      </c>
      <c r="Q179" s="83">
        <v>0</v>
      </c>
      <c r="R179" s="83">
        <v>0</v>
      </c>
      <c r="S179" s="83">
        <v>0</v>
      </c>
      <c r="T179" s="83">
        <v>0</v>
      </c>
      <c r="U179" s="82"/>
    </row>
    <row r="180" spans="1:21" ht="17.25" customHeight="1" x14ac:dyDescent="0.3">
      <c r="A180" s="66" t="s">
        <v>30</v>
      </c>
      <c r="C180" s="67"/>
      <c r="D180" s="77" t="str">
        <f t="shared" ref="D180:D183" si="89">D179</f>
        <v>C100031</v>
      </c>
      <c r="E180" s="77"/>
      <c r="F180" s="76"/>
      <c r="G180" s="76" t="str">
        <f>"""NAV Direct"",""CRONUS JetCorp USA"",""32"",""1"",""20364"""</f>
        <v>"NAV Direct","CRONUS JetCorp USA","32","1","20364"</v>
      </c>
      <c r="H180" s="86">
        <v>43468</v>
      </c>
      <c r="I180" s="85">
        <v>20364</v>
      </c>
      <c r="J180" s="84" t="str">
        <f>"Customer"</f>
        <v>Customer</v>
      </c>
      <c r="K180" s="84" t="str">
        <f>"C100145"</f>
        <v>C100145</v>
      </c>
      <c r="L180" s="84" t="str">
        <f>IF($J180="Customer",_xll.NL("first",$J180,"Name","No.","@@"&amp;$K180),"")</f>
        <v>Dicon Industries</v>
      </c>
      <c r="M180" s="84" t="str">
        <f>""</f>
        <v/>
      </c>
      <c r="N180" s="84" t="str">
        <f>IF($J180="Item",_xll.NL("first",$J180,"Description","No.","@@"&amp;$K180),"")</f>
        <v/>
      </c>
      <c r="O180" s="83">
        <v>0</v>
      </c>
      <c r="P180" s="83">
        <v>-144</v>
      </c>
      <c r="Q180" s="83">
        <v>0</v>
      </c>
      <c r="R180" s="83">
        <v>0</v>
      </c>
      <c r="S180" s="83">
        <v>0</v>
      </c>
      <c r="T180" s="83">
        <v>0</v>
      </c>
      <c r="U180" s="82"/>
    </row>
    <row r="181" spans="1:21" ht="17.25" customHeight="1" x14ac:dyDescent="0.3">
      <c r="A181" s="66" t="s">
        <v>30</v>
      </c>
      <c r="C181" s="67"/>
      <c r="D181" s="77" t="str">
        <f t="shared" si="89"/>
        <v>C100031</v>
      </c>
      <c r="E181" s="77"/>
      <c r="F181" s="76"/>
      <c r="G181" s="76" t="str">
        <f>"""NAV Direct"",""CRONUS JetCorp USA"",""32"",""1"",""128850"""</f>
        <v>"NAV Direct","CRONUS JetCorp USA","32","1","128850"</v>
      </c>
      <c r="H181" s="86">
        <v>43471</v>
      </c>
      <c r="I181" s="85">
        <v>128850</v>
      </c>
      <c r="J181" s="84" t="str">
        <f>"Customer"</f>
        <v>Customer</v>
      </c>
      <c r="K181" s="84" t="str">
        <f>"C100138"</f>
        <v>C100138</v>
      </c>
      <c r="L181" s="84" t="str">
        <f>IF($J181="Customer",_xll.NL("first",$J181,"Name","No.","@@"&amp;$K181),"")</f>
        <v>Dantons</v>
      </c>
      <c r="M181" s="84" t="str">
        <f>""</f>
        <v/>
      </c>
      <c r="N181" s="84" t="str">
        <f>IF($J181="Item",_xll.NL("first",$J181,"Description","No.","@@"&amp;$K181),"")</f>
        <v/>
      </c>
      <c r="O181" s="83">
        <v>0</v>
      </c>
      <c r="P181" s="83">
        <v>-144</v>
      </c>
      <c r="Q181" s="83">
        <v>0</v>
      </c>
      <c r="R181" s="83">
        <v>0</v>
      </c>
      <c r="S181" s="83">
        <v>0</v>
      </c>
      <c r="T181" s="83">
        <v>0</v>
      </c>
      <c r="U181" s="82"/>
    </row>
    <row r="182" spans="1:21" ht="17.25" customHeight="1" x14ac:dyDescent="0.3">
      <c r="A182" s="66" t="s">
        <v>30</v>
      </c>
      <c r="C182" s="67"/>
      <c r="D182" s="77" t="str">
        <f t="shared" si="89"/>
        <v>C100031</v>
      </c>
      <c r="E182" s="77"/>
      <c r="F182" s="76"/>
      <c r="G182" s="76" t="str">
        <f>"""NAV Direct"",""CRONUS JetCorp USA"",""32"",""1"",""124523"""</f>
        <v>"NAV Direct","CRONUS JetCorp USA","32","1","124523"</v>
      </c>
      <c r="H182" s="86">
        <v>43474</v>
      </c>
      <c r="I182" s="85">
        <v>124523</v>
      </c>
      <c r="J182" s="84" t="str">
        <f>"Customer"</f>
        <v>Customer</v>
      </c>
      <c r="K182" s="84" t="str">
        <f>"C100145"</f>
        <v>C100145</v>
      </c>
      <c r="L182" s="84" t="str">
        <f>IF($J182="Customer",_xll.NL("first",$J182,"Name","No.","@@"&amp;$K182),"")</f>
        <v>Dicon Industries</v>
      </c>
      <c r="M182" s="84" t="str">
        <f>""</f>
        <v/>
      </c>
      <c r="N182" s="84" t="str">
        <f>IF($J182="Item",_xll.NL("first",$J182,"Description","No.","@@"&amp;$K182),"")</f>
        <v/>
      </c>
      <c r="O182" s="83">
        <v>0</v>
      </c>
      <c r="P182" s="83">
        <v>-144</v>
      </c>
      <c r="Q182" s="83">
        <v>0</v>
      </c>
      <c r="R182" s="83">
        <v>0</v>
      </c>
      <c r="S182" s="83">
        <v>0</v>
      </c>
      <c r="T182" s="83">
        <v>0</v>
      </c>
      <c r="U182" s="82"/>
    </row>
    <row r="183" spans="1:21" ht="17.25" customHeight="1" x14ac:dyDescent="0.3">
      <c r="A183" s="66" t="s">
        <v>30</v>
      </c>
      <c r="C183" s="67"/>
      <c r="D183" s="77" t="str">
        <f t="shared" si="89"/>
        <v>C100031</v>
      </c>
      <c r="E183" s="77"/>
      <c r="F183" s="76"/>
      <c r="G183" s="76" t="str">
        <f>"""NAV Direct"",""CRONUS JetCorp USA"",""32"",""1"",""20346"""</f>
        <v>"NAV Direct","CRONUS JetCorp USA","32","1","20346"</v>
      </c>
      <c r="H183" s="86">
        <v>43475</v>
      </c>
      <c r="I183" s="85">
        <v>20346</v>
      </c>
      <c r="J183" s="84" t="str">
        <f>"Customer"</f>
        <v>Customer</v>
      </c>
      <c r="K183" s="84" t="str">
        <f>"C100097"</f>
        <v>C100097</v>
      </c>
      <c r="L183" s="84" t="str">
        <f>IF($J183="Customer",_xll.NL("first",$J183,"Name","No.","@@"&amp;$K183),"")</f>
        <v>Solotech</v>
      </c>
      <c r="M183" s="84" t="str">
        <f>""</f>
        <v/>
      </c>
      <c r="N183" s="84" t="str">
        <f>IF($J183="Item",_xll.NL("first",$J183,"Description","No.","@@"&amp;$K183),"")</f>
        <v/>
      </c>
      <c r="O183" s="83">
        <v>0</v>
      </c>
      <c r="P183" s="83">
        <v>-144</v>
      </c>
      <c r="Q183" s="83">
        <v>0</v>
      </c>
      <c r="R183" s="83">
        <v>0</v>
      </c>
      <c r="S183" s="83">
        <v>0</v>
      </c>
      <c r="T183" s="83">
        <v>0</v>
      </c>
      <c r="U183" s="82"/>
    </row>
    <row r="184" spans="1:21" ht="17.25" customHeight="1" x14ac:dyDescent="0.3">
      <c r="A184" s="66" t="s">
        <v>30</v>
      </c>
      <c r="C184" s="67"/>
      <c r="D184" s="77"/>
      <c r="E184" s="77"/>
      <c r="F184" s="76"/>
      <c r="G184" s="76"/>
      <c r="H184" s="76"/>
      <c r="I184" s="76"/>
      <c r="J184" s="76"/>
      <c r="K184" s="76"/>
      <c r="L184" s="76"/>
      <c r="M184" s="76"/>
      <c r="N184" s="76"/>
      <c r="O184" s="75"/>
      <c r="P184" s="75"/>
      <c r="Q184" s="75"/>
      <c r="R184" s="75"/>
      <c r="S184" s="75"/>
      <c r="T184" s="75"/>
      <c r="U184" s="74"/>
    </row>
    <row r="185" spans="1:21" ht="17.25" customHeight="1" x14ac:dyDescent="0.3">
      <c r="A185" s="66" t="s">
        <v>30</v>
      </c>
      <c r="C185" s="67"/>
      <c r="D185" s="77"/>
      <c r="E185" s="77" t="s">
        <v>31</v>
      </c>
      <c r="F185" s="76" t="s">
        <v>31</v>
      </c>
      <c r="G185" s="76" t="s">
        <v>31</v>
      </c>
      <c r="H185" s="76"/>
      <c r="I185" s="76"/>
      <c r="J185" s="76" t="s">
        <v>31</v>
      </c>
      <c r="K185" s="76" t="s">
        <v>31</v>
      </c>
      <c r="L185" s="76" t="s">
        <v>31</v>
      </c>
      <c r="M185" s="76" t="s">
        <v>31</v>
      </c>
      <c r="N185" s="76"/>
      <c r="U185" s="81"/>
    </row>
    <row r="186" spans="1:21" ht="20.25" customHeight="1" x14ac:dyDescent="0.35">
      <c r="A186" s="66" t="s">
        <v>30</v>
      </c>
      <c r="C186" s="67"/>
      <c r="D186" s="92" t="str">
        <f t="shared" ref="D186" si="90">E186</f>
        <v>C100032</v>
      </c>
      <c r="E186" s="91" t="str">
        <f>"C100032"</f>
        <v>C100032</v>
      </c>
      <c r="F186" s="89" t="str">
        <f>"Clip-on Clock"</f>
        <v>Clip-on Clock</v>
      </c>
      <c r="G186" s="89"/>
      <c r="H186" s="90" t="str">
        <f>"EA"</f>
        <v>EA</v>
      </c>
      <c r="I186" s="89"/>
      <c r="J186" s="89"/>
      <c r="K186" s="89"/>
      <c r="L186" s="89"/>
      <c r="M186" s="89"/>
      <c r="N186" s="89"/>
      <c r="O186" s="88">
        <f>(SUBTOTAL(9,O187:O193))</f>
        <v>1999.9999999999998</v>
      </c>
      <c r="P186" s="88">
        <f>(SUBTOTAL(9,P187:P193))</f>
        <v>-722</v>
      </c>
      <c r="Q186" s="88">
        <f>(SUBTOTAL(9,Q187:Q193))</f>
        <v>0</v>
      </c>
      <c r="R186" s="88">
        <f>(SUBTOTAL(9,R187:R193))</f>
        <v>0</v>
      </c>
      <c r="S186" s="88">
        <f>(SUBTOTAL(9,S187:S193))</f>
        <v>0</v>
      </c>
      <c r="T186" s="88">
        <f>(SUBTOTAL(9,T187:T193))</f>
        <v>0</v>
      </c>
      <c r="U186" s="87">
        <f t="shared" ref="U186" si="91">SUBTOTAL(9,O187:T193)</f>
        <v>1277.9999999999998</v>
      </c>
    </row>
    <row r="187" spans="1:21" ht="17.25" customHeight="1" x14ac:dyDescent="0.3">
      <c r="A187" s="66" t="s">
        <v>30</v>
      </c>
      <c r="C187" s="67"/>
      <c r="D187" s="77" t="str">
        <f t="shared" ref="D187" si="92">D186</f>
        <v>C100032</v>
      </c>
      <c r="E187" s="77"/>
      <c r="F187" s="76"/>
      <c r="G187" s="76" t="str">
        <f>"""NAV Direct"",""CRONUS JetCorp USA"",""32"",""1"",""167585"""</f>
        <v>"NAV Direct","CRONUS JetCorp USA","32","1","167585"</v>
      </c>
      <c r="H187" s="86">
        <v>43466</v>
      </c>
      <c r="I187" s="85">
        <v>167585</v>
      </c>
      <c r="J187" s="84" t="str">
        <f>"Vendor"</f>
        <v>Vendor</v>
      </c>
      <c r="K187" s="84" t="str">
        <f>"V100001"</f>
        <v>V100001</v>
      </c>
      <c r="L187" s="84" t="str">
        <f>IF($J187="Customer",_xll.NL("first",$J187,"Name","No.","@@"&amp;$K187),"")</f>
        <v/>
      </c>
      <c r="M187" s="84" t="str">
        <f>"Greigner, Inc."</f>
        <v>Greigner, Inc.</v>
      </c>
      <c r="N187" s="84" t="str">
        <f>IF($J187="Item",_xll.NL("first",$J187,"Description","No.","@@"&amp;$K187),"")</f>
        <v/>
      </c>
      <c r="O187" s="83">
        <v>1999.9999999999998</v>
      </c>
      <c r="P187" s="83">
        <v>0</v>
      </c>
      <c r="Q187" s="83">
        <v>0</v>
      </c>
      <c r="R187" s="83">
        <v>0</v>
      </c>
      <c r="S187" s="83">
        <v>0</v>
      </c>
      <c r="T187" s="83">
        <v>0</v>
      </c>
      <c r="U187" s="82"/>
    </row>
    <row r="188" spans="1:21" ht="17.25" customHeight="1" x14ac:dyDescent="0.3">
      <c r="A188" s="66" t="s">
        <v>30</v>
      </c>
      <c r="C188" s="67"/>
      <c r="D188" s="77" t="str">
        <f t="shared" ref="D188:D192" si="93">D187</f>
        <v>C100032</v>
      </c>
      <c r="E188" s="77"/>
      <c r="F188" s="76"/>
      <c r="G188" s="76" t="str">
        <f>"""NAV Direct"",""CRONUS JetCorp USA"",""32"",""1"",""20331"""</f>
        <v>"NAV Direct","CRONUS JetCorp USA","32","1","20331"</v>
      </c>
      <c r="H188" s="86">
        <v>43472</v>
      </c>
      <c r="I188" s="85">
        <v>20331</v>
      </c>
      <c r="J188" s="84" t="str">
        <f>"Customer"</f>
        <v>Customer</v>
      </c>
      <c r="K188" s="84" t="str">
        <f>"C100145"</f>
        <v>C100145</v>
      </c>
      <c r="L188" s="84" t="str">
        <f>IF($J188="Customer",_xll.NL("first",$J188,"Name","No.","@@"&amp;$K188),"")</f>
        <v>Dicon Industries</v>
      </c>
      <c r="M188" s="84" t="str">
        <f>""</f>
        <v/>
      </c>
      <c r="N188" s="84" t="str">
        <f>IF($J188="Item",_xll.NL("first",$J188,"Description","No.","@@"&amp;$K188),"")</f>
        <v/>
      </c>
      <c r="O188" s="83">
        <v>0</v>
      </c>
      <c r="P188" s="83">
        <v>-288</v>
      </c>
      <c r="Q188" s="83">
        <v>0</v>
      </c>
      <c r="R188" s="83">
        <v>0</v>
      </c>
      <c r="S188" s="83">
        <v>0</v>
      </c>
      <c r="T188" s="83">
        <v>0</v>
      </c>
      <c r="U188" s="82"/>
    </row>
    <row r="189" spans="1:21" ht="17.25" customHeight="1" x14ac:dyDescent="0.3">
      <c r="A189" s="66" t="s">
        <v>30</v>
      </c>
      <c r="C189" s="67"/>
      <c r="D189" s="77" t="str">
        <f t="shared" si="93"/>
        <v>C100032</v>
      </c>
      <c r="E189" s="77"/>
      <c r="F189" s="76"/>
      <c r="G189" s="76" t="str">
        <f>"""NAV Direct"",""CRONUS JetCorp USA"",""32"",""1"",""128868"""</f>
        <v>"NAV Direct","CRONUS JetCorp USA","32","1","128868"</v>
      </c>
      <c r="H189" s="86">
        <v>43472</v>
      </c>
      <c r="I189" s="85">
        <v>128868</v>
      </c>
      <c r="J189" s="84" t="str">
        <f>"Customer"</f>
        <v>Customer</v>
      </c>
      <c r="K189" s="84" t="str">
        <f>"C100105"</f>
        <v>C100105</v>
      </c>
      <c r="L189" s="84" t="str">
        <f>IF($J189="Customer",_xll.NL("first",$J189,"Name","No.","@@"&amp;$K189),"")</f>
        <v>Esystems</v>
      </c>
      <c r="M189" s="84" t="str">
        <f>""</f>
        <v/>
      </c>
      <c r="N189" s="84" t="str">
        <f>IF($J189="Item",_xll.NL("first",$J189,"Description","No.","@@"&amp;$K189),"")</f>
        <v/>
      </c>
      <c r="O189" s="83">
        <v>0</v>
      </c>
      <c r="P189" s="83">
        <v>-144</v>
      </c>
      <c r="Q189" s="83">
        <v>0</v>
      </c>
      <c r="R189" s="83">
        <v>0</v>
      </c>
      <c r="S189" s="83">
        <v>0</v>
      </c>
      <c r="T189" s="83">
        <v>0</v>
      </c>
      <c r="U189" s="82"/>
    </row>
    <row r="190" spans="1:21" ht="17.25" customHeight="1" x14ac:dyDescent="0.3">
      <c r="A190" s="66" t="s">
        <v>30</v>
      </c>
      <c r="C190" s="67"/>
      <c r="D190" s="77" t="str">
        <f t="shared" si="93"/>
        <v>C100032</v>
      </c>
      <c r="E190" s="77"/>
      <c r="F190" s="76"/>
      <c r="G190" s="76" t="str">
        <f>"""NAV Direct"",""CRONUS JetCorp USA"",""32"",""1"",""25262"""</f>
        <v>"NAV Direct","CRONUS JetCorp USA","32","1","25262"</v>
      </c>
      <c r="H190" s="86">
        <v>43476</v>
      </c>
      <c r="I190" s="85">
        <v>25262</v>
      </c>
      <c r="J190" s="84" t="str">
        <f>"Customer"</f>
        <v>Customer</v>
      </c>
      <c r="K190" s="84" t="str">
        <f>"C100102"</f>
        <v>C100102</v>
      </c>
      <c r="L190" s="84" t="str">
        <f>IF($J190="Customer",_xll.NL("first",$J190,"Name","No.","@@"&amp;$K190),"")</f>
        <v xml:space="preserve">BEI Outfitters </v>
      </c>
      <c r="M190" s="84" t="str">
        <f>""</f>
        <v/>
      </c>
      <c r="N190" s="84" t="str">
        <f>IF($J190="Item",_xll.NL("first",$J190,"Description","No.","@@"&amp;$K190),"")</f>
        <v/>
      </c>
      <c r="O190" s="83">
        <v>0</v>
      </c>
      <c r="P190" s="83">
        <v>-288</v>
      </c>
      <c r="Q190" s="83">
        <v>0</v>
      </c>
      <c r="R190" s="83">
        <v>0</v>
      </c>
      <c r="S190" s="83">
        <v>0</v>
      </c>
      <c r="T190" s="83">
        <v>0</v>
      </c>
      <c r="U190" s="82"/>
    </row>
    <row r="191" spans="1:21" ht="17.25" customHeight="1" x14ac:dyDescent="0.3">
      <c r="A191" s="66" t="s">
        <v>30</v>
      </c>
      <c r="C191" s="67"/>
      <c r="D191" s="77" t="str">
        <f t="shared" si="93"/>
        <v>C100032</v>
      </c>
      <c r="E191" s="77"/>
      <c r="F191" s="76"/>
      <c r="G191" s="76" t="str">
        <f>"""NAV Direct"",""CRONUS JetCorp USA"",""32"",""1"",""25297"""</f>
        <v>"NAV Direct","CRONUS JetCorp USA","32","1","25297"</v>
      </c>
      <c r="H191" s="86">
        <v>43477</v>
      </c>
      <c r="I191" s="85">
        <v>25297</v>
      </c>
      <c r="J191" s="84" t="str">
        <f>"Customer"</f>
        <v>Customer</v>
      </c>
      <c r="K191" s="84" t="str">
        <f>"C100138"</f>
        <v>C100138</v>
      </c>
      <c r="L191" s="84" t="str">
        <f>IF($J191="Customer",_xll.NL("first",$J191,"Name","No.","@@"&amp;$K191),"")</f>
        <v>Dantons</v>
      </c>
      <c r="M191" s="84" t="str">
        <f>""</f>
        <v/>
      </c>
      <c r="N191" s="84" t="str">
        <f>IF($J191="Item",_xll.NL("first",$J191,"Description","No.","@@"&amp;$K191),"")</f>
        <v/>
      </c>
      <c r="O191" s="83">
        <v>0</v>
      </c>
      <c r="P191" s="83">
        <v>-1</v>
      </c>
      <c r="Q191" s="83">
        <v>0</v>
      </c>
      <c r="R191" s="83">
        <v>0</v>
      </c>
      <c r="S191" s="83">
        <v>0</v>
      </c>
      <c r="T191" s="83">
        <v>0</v>
      </c>
      <c r="U191" s="82"/>
    </row>
    <row r="192" spans="1:21" ht="17.25" customHeight="1" x14ac:dyDescent="0.3">
      <c r="A192" s="66" t="s">
        <v>30</v>
      </c>
      <c r="C192" s="67"/>
      <c r="D192" s="77" t="str">
        <f t="shared" si="93"/>
        <v>C100032</v>
      </c>
      <c r="E192" s="77"/>
      <c r="F192" s="76"/>
      <c r="G192" s="76" t="str">
        <f>"""NAV Direct"",""CRONUS JetCorp USA"",""32"",""1"",""132530"""</f>
        <v>"NAV Direct","CRONUS JetCorp USA","32","1","132530"</v>
      </c>
      <c r="H192" s="86">
        <v>43477</v>
      </c>
      <c r="I192" s="85">
        <v>132530</v>
      </c>
      <c r="J192" s="84" t="str">
        <f>"Customer"</f>
        <v>Customer</v>
      </c>
      <c r="K192" s="84" t="str">
        <f>"C100082"</f>
        <v>C100082</v>
      </c>
      <c r="L192" s="84" t="str">
        <f>IF($J192="Customer",_xll.NL("first",$J192,"Name","No.","@@"&amp;$K192),"")</f>
        <v>Sporting Goods Emporium</v>
      </c>
      <c r="M192" s="84" t="str">
        <f>""</f>
        <v/>
      </c>
      <c r="N192" s="84" t="str">
        <f>IF($J192="Item",_xll.NL("first",$J192,"Description","No.","@@"&amp;$K192),"")</f>
        <v/>
      </c>
      <c r="O192" s="83">
        <v>0</v>
      </c>
      <c r="P192" s="83">
        <v>-1</v>
      </c>
      <c r="Q192" s="83">
        <v>0</v>
      </c>
      <c r="R192" s="83">
        <v>0</v>
      </c>
      <c r="S192" s="83">
        <v>0</v>
      </c>
      <c r="T192" s="83">
        <v>0</v>
      </c>
      <c r="U192" s="82"/>
    </row>
    <row r="193" spans="1:21" ht="17.25" customHeight="1" x14ac:dyDescent="0.3">
      <c r="A193" s="66" t="s">
        <v>30</v>
      </c>
      <c r="C193" s="67"/>
      <c r="D193" s="77"/>
      <c r="E193" s="77"/>
      <c r="F193" s="76"/>
      <c r="G193" s="76"/>
      <c r="H193" s="76"/>
      <c r="I193" s="76"/>
      <c r="J193" s="76"/>
      <c r="K193" s="76"/>
      <c r="L193" s="76"/>
      <c r="M193" s="76"/>
      <c r="N193" s="76"/>
      <c r="O193" s="75"/>
      <c r="P193" s="75"/>
      <c r="Q193" s="75"/>
      <c r="R193" s="75"/>
      <c r="S193" s="75"/>
      <c r="T193" s="75"/>
      <c r="U193" s="74"/>
    </row>
    <row r="194" spans="1:21" ht="17.25" customHeight="1" x14ac:dyDescent="0.3">
      <c r="A194" s="66" t="s">
        <v>30</v>
      </c>
      <c r="C194" s="67"/>
      <c r="D194" s="77"/>
      <c r="E194" s="77" t="s">
        <v>31</v>
      </c>
      <c r="F194" s="76" t="s">
        <v>31</v>
      </c>
      <c r="G194" s="76" t="s">
        <v>31</v>
      </c>
      <c r="H194" s="76"/>
      <c r="I194" s="76"/>
      <c r="J194" s="76" t="s">
        <v>31</v>
      </c>
      <c r="K194" s="76" t="s">
        <v>31</v>
      </c>
      <c r="L194" s="76" t="s">
        <v>31</v>
      </c>
      <c r="M194" s="76" t="s">
        <v>31</v>
      </c>
      <c r="N194" s="76"/>
      <c r="U194" s="81"/>
    </row>
    <row r="195" spans="1:21" ht="20.25" customHeight="1" x14ac:dyDescent="0.35">
      <c r="A195" s="66" t="s">
        <v>30</v>
      </c>
      <c r="C195" s="67"/>
      <c r="D195" s="92" t="str">
        <f t="shared" ref="D195" si="94">E195</f>
        <v>C100033</v>
      </c>
      <c r="E195" s="91" t="str">
        <f>"C100033"</f>
        <v>C100033</v>
      </c>
      <c r="F195" s="89" t="str">
        <f>"Frames &amp; Clock"</f>
        <v>Frames &amp; Clock</v>
      </c>
      <c r="G195" s="89"/>
      <c r="H195" s="90" t="str">
        <f>"EA"</f>
        <v>EA</v>
      </c>
      <c r="I195" s="89"/>
      <c r="J195" s="89"/>
      <c r="K195" s="89"/>
      <c r="L195" s="89"/>
      <c r="M195" s="89"/>
      <c r="N195" s="89"/>
      <c r="O195" s="88">
        <f>(SUBTOTAL(9,O196:O199))</f>
        <v>1999.9999999999998</v>
      </c>
      <c r="P195" s="88">
        <f>(SUBTOTAL(9,P196:P199))</f>
        <v>-288</v>
      </c>
      <c r="Q195" s="88">
        <f>(SUBTOTAL(9,Q196:Q199))</f>
        <v>0</v>
      </c>
      <c r="R195" s="88">
        <f>(SUBTOTAL(9,R196:R199))</f>
        <v>0</v>
      </c>
      <c r="S195" s="88">
        <f>(SUBTOTAL(9,S196:S199))</f>
        <v>0</v>
      </c>
      <c r="T195" s="88">
        <f>(SUBTOTAL(9,T196:T199))</f>
        <v>0</v>
      </c>
      <c r="U195" s="87">
        <f t="shared" ref="U195" si="95">SUBTOTAL(9,O196:T199)</f>
        <v>1711.9999999999998</v>
      </c>
    </row>
    <row r="196" spans="1:21" ht="17.25" customHeight="1" x14ac:dyDescent="0.3">
      <c r="A196" s="66" t="s">
        <v>30</v>
      </c>
      <c r="C196" s="67"/>
      <c r="D196" s="77" t="str">
        <f t="shared" ref="D196" si="96">D195</f>
        <v>C100033</v>
      </c>
      <c r="E196" s="77"/>
      <c r="F196" s="76"/>
      <c r="G196" s="76" t="str">
        <f>"""NAV Direct"",""CRONUS JetCorp USA"",""32"",""1"",""167584"""</f>
        <v>"NAV Direct","CRONUS JetCorp USA","32","1","167584"</v>
      </c>
      <c r="H196" s="86">
        <v>43466</v>
      </c>
      <c r="I196" s="85">
        <v>167584</v>
      </c>
      <c r="J196" s="84" t="str">
        <f>"Vendor"</f>
        <v>Vendor</v>
      </c>
      <c r="K196" s="84" t="str">
        <f>"V100001"</f>
        <v>V100001</v>
      </c>
      <c r="L196" s="84" t="str">
        <f>IF($J196="Customer",_xll.NL("first",$J196,"Name","No.","@@"&amp;$K196),"")</f>
        <v/>
      </c>
      <c r="M196" s="84" t="str">
        <f>"Greigner, Inc."</f>
        <v>Greigner, Inc.</v>
      </c>
      <c r="N196" s="84" t="str">
        <f>IF($J196="Item",_xll.NL("first",$J196,"Description","No.","@@"&amp;$K196),"")</f>
        <v/>
      </c>
      <c r="O196" s="83">
        <v>1999.9999999999998</v>
      </c>
      <c r="P196" s="83">
        <v>0</v>
      </c>
      <c r="Q196" s="83">
        <v>0</v>
      </c>
      <c r="R196" s="83">
        <v>0</v>
      </c>
      <c r="S196" s="83">
        <v>0</v>
      </c>
      <c r="T196" s="83">
        <v>0</v>
      </c>
      <c r="U196" s="82"/>
    </row>
    <row r="197" spans="1:21" ht="17.25" customHeight="1" x14ac:dyDescent="0.3">
      <c r="A197" s="66" t="s">
        <v>30</v>
      </c>
      <c r="C197" s="67"/>
      <c r="D197" s="77" t="str">
        <f t="shared" ref="D197:D198" si="97">D196</f>
        <v>C100033</v>
      </c>
      <c r="E197" s="77"/>
      <c r="F197" s="76"/>
      <c r="G197" s="76" t="str">
        <f>"""NAV Direct"",""CRONUS JetCorp USA"",""32"",""1"",""44511"""</f>
        <v>"NAV Direct","CRONUS JetCorp USA","32","1","44511"</v>
      </c>
      <c r="H197" s="86">
        <v>43473</v>
      </c>
      <c r="I197" s="85">
        <v>44511</v>
      </c>
      <c r="J197" s="84" t="str">
        <f>"Customer"</f>
        <v>Customer</v>
      </c>
      <c r="K197" s="84" t="str">
        <f>"C100139"</f>
        <v>C100139</v>
      </c>
      <c r="L197" s="84" t="str">
        <f>IF($J197="Customer",_xll.NL("first",$J197,"Name","No.","@@"&amp;$K197),"")</f>
        <v>Gamma Ray's</v>
      </c>
      <c r="M197" s="84" t="str">
        <f>""</f>
        <v/>
      </c>
      <c r="N197" s="84" t="str">
        <f>IF($J197="Item",_xll.NL("first",$J197,"Description","No.","@@"&amp;$K197),"")</f>
        <v/>
      </c>
      <c r="O197" s="83">
        <v>0</v>
      </c>
      <c r="P197" s="83">
        <v>-144</v>
      </c>
      <c r="Q197" s="83">
        <v>0</v>
      </c>
      <c r="R197" s="83">
        <v>0</v>
      </c>
      <c r="S197" s="83">
        <v>0</v>
      </c>
      <c r="T197" s="83">
        <v>0</v>
      </c>
      <c r="U197" s="82"/>
    </row>
    <row r="198" spans="1:21" ht="17.25" customHeight="1" x14ac:dyDescent="0.3">
      <c r="A198" s="66" t="s">
        <v>30</v>
      </c>
      <c r="C198" s="67"/>
      <c r="D198" s="77" t="str">
        <f t="shared" si="97"/>
        <v>C100033</v>
      </c>
      <c r="E198" s="77"/>
      <c r="F198" s="76"/>
      <c r="G198" s="76" t="str">
        <f>"""NAV Direct"",""CRONUS JetCorp USA"",""32"",""1"",""153180"""</f>
        <v>"NAV Direct","CRONUS JetCorp USA","32","1","153180"</v>
      </c>
      <c r="H198" s="86">
        <v>43475</v>
      </c>
      <c r="I198" s="85">
        <v>153180</v>
      </c>
      <c r="J198" s="84" t="str">
        <f>"Customer"</f>
        <v>Customer</v>
      </c>
      <c r="K198" s="84" t="str">
        <f>"C100108"</f>
        <v>C100108</v>
      </c>
      <c r="L198" s="84" t="str">
        <f>IF($J198="Customer",_xll.NL("first",$J198,"Name","No.","@@"&amp;$K198),"")</f>
        <v>Kinfix Industries</v>
      </c>
      <c r="M198" s="84" t="str">
        <f>""</f>
        <v/>
      </c>
      <c r="N198" s="84" t="str">
        <f>IF($J198="Item",_xll.NL("first",$J198,"Description","No.","@@"&amp;$K198),"")</f>
        <v/>
      </c>
      <c r="O198" s="83">
        <v>0</v>
      </c>
      <c r="P198" s="83">
        <v>-144</v>
      </c>
      <c r="Q198" s="83">
        <v>0</v>
      </c>
      <c r="R198" s="83">
        <v>0</v>
      </c>
      <c r="S198" s="83">
        <v>0</v>
      </c>
      <c r="T198" s="83">
        <v>0</v>
      </c>
      <c r="U198" s="82"/>
    </row>
    <row r="199" spans="1:21" ht="17.25" customHeight="1" x14ac:dyDescent="0.3">
      <c r="A199" s="66" t="s">
        <v>30</v>
      </c>
      <c r="C199" s="67"/>
      <c r="D199" s="77"/>
      <c r="E199" s="77"/>
      <c r="F199" s="76"/>
      <c r="G199" s="76"/>
      <c r="H199" s="76"/>
      <c r="I199" s="76"/>
      <c r="J199" s="76"/>
      <c r="K199" s="76"/>
      <c r="L199" s="76"/>
      <c r="M199" s="76"/>
      <c r="N199" s="76"/>
      <c r="O199" s="75"/>
      <c r="P199" s="75"/>
      <c r="Q199" s="75"/>
      <c r="R199" s="75"/>
      <c r="S199" s="75"/>
      <c r="T199" s="75"/>
      <c r="U199" s="74"/>
    </row>
    <row r="200" spans="1:21" ht="17.25" customHeight="1" x14ac:dyDescent="0.3">
      <c r="A200" s="66" t="s">
        <v>30</v>
      </c>
      <c r="C200" s="67"/>
      <c r="D200" s="77"/>
      <c r="E200" s="77" t="s">
        <v>31</v>
      </c>
      <c r="F200" s="76" t="s">
        <v>31</v>
      </c>
      <c r="G200" s="76" t="s">
        <v>31</v>
      </c>
      <c r="H200" s="76"/>
      <c r="I200" s="76"/>
      <c r="J200" s="76" t="s">
        <v>31</v>
      </c>
      <c r="K200" s="76" t="s">
        <v>31</v>
      </c>
      <c r="L200" s="76" t="s">
        <v>31</v>
      </c>
      <c r="M200" s="76" t="s">
        <v>31</v>
      </c>
      <c r="N200" s="76"/>
      <c r="U200" s="81"/>
    </row>
    <row r="201" spans="1:21" ht="20.25" customHeight="1" x14ac:dyDescent="0.35">
      <c r="A201" s="66" t="s">
        <v>30</v>
      </c>
      <c r="C201" s="67"/>
      <c r="D201" s="92" t="str">
        <f t="shared" ref="D201" si="98">E201</f>
        <v>C100034</v>
      </c>
      <c r="E201" s="91" t="str">
        <f>"C100034"</f>
        <v>C100034</v>
      </c>
      <c r="F201" s="89" t="str">
        <f>"Clock &amp; Pen Holder"</f>
        <v>Clock &amp; Pen Holder</v>
      </c>
      <c r="G201" s="89"/>
      <c r="H201" s="90" t="str">
        <f>"EA"</f>
        <v>EA</v>
      </c>
      <c r="I201" s="89"/>
      <c r="J201" s="89"/>
      <c r="K201" s="89"/>
      <c r="L201" s="89"/>
      <c r="M201" s="89"/>
      <c r="N201" s="89"/>
      <c r="O201" s="88">
        <f>(SUBTOTAL(9,O202:O203))</f>
        <v>0</v>
      </c>
      <c r="P201" s="88">
        <f>(SUBTOTAL(9,P202:P203))</f>
        <v>-12</v>
      </c>
      <c r="Q201" s="88">
        <f>(SUBTOTAL(9,Q202:Q203))</f>
        <v>0</v>
      </c>
      <c r="R201" s="88">
        <f>(SUBTOTAL(9,R202:R203))</f>
        <v>0</v>
      </c>
      <c r="S201" s="88">
        <f>(SUBTOTAL(9,S202:S203))</f>
        <v>0</v>
      </c>
      <c r="T201" s="88">
        <f>(SUBTOTAL(9,T202:T203))</f>
        <v>0</v>
      </c>
      <c r="U201" s="87">
        <f t="shared" ref="U201" si="99">SUBTOTAL(9,O202:T203)</f>
        <v>-12</v>
      </c>
    </row>
    <row r="202" spans="1:21" ht="17.25" customHeight="1" x14ac:dyDescent="0.3">
      <c r="A202" s="66" t="s">
        <v>30</v>
      </c>
      <c r="C202" s="67"/>
      <c r="D202" s="77" t="str">
        <f t="shared" ref="D202" si="100">D201</f>
        <v>C100034</v>
      </c>
      <c r="E202" s="77"/>
      <c r="F202" s="76"/>
      <c r="G202" s="76" t="str">
        <f>"""NAV Direct"",""CRONUS JetCorp USA"",""32"",""1"",""10222"""</f>
        <v>"NAV Direct","CRONUS JetCorp USA","32","1","10222"</v>
      </c>
      <c r="H202" s="86">
        <v>43471</v>
      </c>
      <c r="I202" s="85">
        <v>10222</v>
      </c>
      <c r="J202" s="84" t="str">
        <f>"Customer"</f>
        <v>Customer</v>
      </c>
      <c r="K202" s="84" t="str">
        <f>"C100066"</f>
        <v>C100066</v>
      </c>
      <c r="L202" s="84" t="str">
        <f>IF($J202="Customer",_xll.NL("first",$J202,"Name","No.","@@"&amp;$K202),"")</f>
        <v>Office Solutions</v>
      </c>
      <c r="M202" s="84" t="str">
        <f>""</f>
        <v/>
      </c>
      <c r="N202" s="84" t="str">
        <f>IF($J202="Item",_xll.NL("first",$J202,"Description","No.","@@"&amp;$K202),"")</f>
        <v/>
      </c>
      <c r="O202" s="83">
        <v>0</v>
      </c>
      <c r="P202" s="83">
        <v>-12</v>
      </c>
      <c r="Q202" s="83">
        <v>0</v>
      </c>
      <c r="R202" s="83">
        <v>0</v>
      </c>
      <c r="S202" s="83">
        <v>0</v>
      </c>
      <c r="T202" s="83">
        <v>0</v>
      </c>
      <c r="U202" s="82"/>
    </row>
    <row r="203" spans="1:21" ht="17.25" customHeight="1" x14ac:dyDescent="0.3">
      <c r="A203" s="66" t="s">
        <v>30</v>
      </c>
      <c r="C203" s="67"/>
      <c r="D203" s="77"/>
      <c r="E203" s="77"/>
      <c r="F203" s="76"/>
      <c r="G203" s="76"/>
      <c r="H203" s="76"/>
      <c r="I203" s="76"/>
      <c r="J203" s="76"/>
      <c r="K203" s="76"/>
      <c r="L203" s="76"/>
      <c r="M203" s="76"/>
      <c r="N203" s="76"/>
      <c r="O203" s="75"/>
      <c r="P203" s="75"/>
      <c r="Q203" s="75"/>
      <c r="R203" s="75"/>
      <c r="S203" s="75"/>
      <c r="T203" s="75"/>
      <c r="U203" s="74"/>
    </row>
    <row r="204" spans="1:21" ht="17.25" customHeight="1" x14ac:dyDescent="0.3">
      <c r="A204" s="66" t="s">
        <v>30</v>
      </c>
      <c r="C204" s="67"/>
      <c r="D204" s="77"/>
      <c r="E204" s="77" t="s">
        <v>31</v>
      </c>
      <c r="F204" s="76" t="s">
        <v>31</v>
      </c>
      <c r="G204" s="76" t="s">
        <v>31</v>
      </c>
      <c r="H204" s="76"/>
      <c r="I204" s="76"/>
      <c r="J204" s="76" t="s">
        <v>31</v>
      </c>
      <c r="K204" s="76" t="s">
        <v>31</v>
      </c>
      <c r="L204" s="76" t="s">
        <v>31</v>
      </c>
      <c r="M204" s="76" t="s">
        <v>31</v>
      </c>
      <c r="N204" s="76"/>
      <c r="U204" s="81"/>
    </row>
    <row r="205" spans="1:21" ht="20.25" customHeight="1" x14ac:dyDescent="0.35">
      <c r="A205" s="66" t="s">
        <v>30</v>
      </c>
      <c r="C205" s="67"/>
      <c r="D205" s="92" t="str">
        <f t="shared" ref="D205" si="101">E205</f>
        <v>C100035</v>
      </c>
      <c r="E205" s="91" t="str">
        <f>"C100035"</f>
        <v>C100035</v>
      </c>
      <c r="F205" s="89" t="str">
        <f>"Calculator &amp; World Time Clock"</f>
        <v>Calculator &amp; World Time Clock</v>
      </c>
      <c r="G205" s="89"/>
      <c r="H205" s="90" t="str">
        <f>"EA"</f>
        <v>EA</v>
      </c>
      <c r="I205" s="89"/>
      <c r="J205" s="89"/>
      <c r="K205" s="89"/>
      <c r="L205" s="89"/>
      <c r="M205" s="89"/>
      <c r="N205" s="89"/>
      <c r="O205" s="88">
        <f>(SUBTOTAL(9,O206:O211))</f>
        <v>999.99999999999989</v>
      </c>
      <c r="P205" s="88">
        <f>(SUBTOTAL(9,P206:P211))</f>
        <v>-290</v>
      </c>
      <c r="Q205" s="88">
        <f>(SUBTOTAL(9,Q206:Q211))</f>
        <v>0</v>
      </c>
      <c r="R205" s="88">
        <f>(SUBTOTAL(9,R206:R211))</f>
        <v>0</v>
      </c>
      <c r="S205" s="88">
        <f>(SUBTOTAL(9,S206:S211))</f>
        <v>0</v>
      </c>
      <c r="T205" s="88">
        <f>(SUBTOTAL(9,T206:T211))</f>
        <v>0</v>
      </c>
      <c r="U205" s="87">
        <f t="shared" ref="U205" si="102">SUBTOTAL(9,O206:T211)</f>
        <v>709.99999999999989</v>
      </c>
    </row>
    <row r="206" spans="1:21" ht="17.25" customHeight="1" x14ac:dyDescent="0.3">
      <c r="A206" s="66" t="s">
        <v>30</v>
      </c>
      <c r="C206" s="67"/>
      <c r="D206" s="77" t="str">
        <f t="shared" ref="D206" si="103">D205</f>
        <v>C100035</v>
      </c>
      <c r="E206" s="77"/>
      <c r="F206" s="76"/>
      <c r="G206" s="76" t="str">
        <f>"""NAV Direct"",""CRONUS JetCorp USA"",""32"",""1"",""167583"""</f>
        <v>"NAV Direct","CRONUS JetCorp USA","32","1","167583"</v>
      </c>
      <c r="H206" s="86">
        <v>43466</v>
      </c>
      <c r="I206" s="85">
        <v>167583</v>
      </c>
      <c r="J206" s="84" t="str">
        <f>"Vendor"</f>
        <v>Vendor</v>
      </c>
      <c r="K206" s="84" t="str">
        <f>"V100001"</f>
        <v>V100001</v>
      </c>
      <c r="L206" s="84" t="str">
        <f>IF($J206="Customer",_xll.NL("first",$J206,"Name","No.","@@"&amp;$K206),"")</f>
        <v/>
      </c>
      <c r="M206" s="84" t="str">
        <f>"Greigner, Inc."</f>
        <v>Greigner, Inc.</v>
      </c>
      <c r="N206" s="84" t="str">
        <f>IF($J206="Item",_xll.NL("first",$J206,"Description","No.","@@"&amp;$K206),"")</f>
        <v/>
      </c>
      <c r="O206" s="83">
        <v>999.99999999999989</v>
      </c>
      <c r="P206" s="83">
        <v>0</v>
      </c>
      <c r="Q206" s="83">
        <v>0</v>
      </c>
      <c r="R206" s="83">
        <v>0</v>
      </c>
      <c r="S206" s="83">
        <v>0</v>
      </c>
      <c r="T206" s="83">
        <v>0</v>
      </c>
      <c r="U206" s="82"/>
    </row>
    <row r="207" spans="1:21" ht="17.25" customHeight="1" x14ac:dyDescent="0.3">
      <c r="A207" s="66" t="s">
        <v>30</v>
      </c>
      <c r="C207" s="67"/>
      <c r="D207" s="77" t="str">
        <f t="shared" ref="D207:D210" si="104">D206</f>
        <v>C100035</v>
      </c>
      <c r="E207" s="77"/>
      <c r="F207" s="76"/>
      <c r="G207" s="76" t="str">
        <f>"""NAV Direct"",""CRONUS JetCorp USA"",""32"",""1"",""147994"""</f>
        <v>"NAV Direct","CRONUS JetCorp USA","32","1","147994"</v>
      </c>
      <c r="H207" s="86">
        <v>43469</v>
      </c>
      <c r="I207" s="85">
        <v>147994</v>
      </c>
      <c r="J207" s="84" t="str">
        <f>"Customer"</f>
        <v>Customer</v>
      </c>
      <c r="K207" s="84" t="str">
        <f>"C100096"</f>
        <v>C100096</v>
      </c>
      <c r="L207" s="84" t="str">
        <f>IF($J207="Customer",_xll.NL("first",$J207,"Name","No.","@@"&amp;$K207),"")</f>
        <v>D-Com Industries</v>
      </c>
      <c r="M207" s="84" t="str">
        <f>""</f>
        <v/>
      </c>
      <c r="N207" s="84" t="str">
        <f>IF($J207="Item",_xll.NL("first",$J207,"Description","No.","@@"&amp;$K207),"")</f>
        <v/>
      </c>
      <c r="O207" s="83">
        <v>0</v>
      </c>
      <c r="P207" s="83">
        <v>-1</v>
      </c>
      <c r="Q207" s="83">
        <v>0</v>
      </c>
      <c r="R207" s="83">
        <v>0</v>
      </c>
      <c r="S207" s="83">
        <v>0</v>
      </c>
      <c r="T207" s="83">
        <v>0</v>
      </c>
      <c r="U207" s="82"/>
    </row>
    <row r="208" spans="1:21" ht="17.25" customHeight="1" x14ac:dyDescent="0.3">
      <c r="A208" s="66" t="s">
        <v>30</v>
      </c>
      <c r="C208" s="67"/>
      <c r="D208" s="77" t="str">
        <f t="shared" si="104"/>
        <v>C100035</v>
      </c>
      <c r="E208" s="77"/>
      <c r="F208" s="76"/>
      <c r="G208" s="76" t="str">
        <f>"""NAV Direct"",""CRONUS JetCorp USA"",""32"",""1"",""10226"""</f>
        <v>"NAV Direct","CRONUS JetCorp USA","32","1","10226"</v>
      </c>
      <c r="H208" s="86">
        <v>43471</v>
      </c>
      <c r="I208" s="85">
        <v>10226</v>
      </c>
      <c r="J208" s="84" t="str">
        <f>"Customer"</f>
        <v>Customer</v>
      </c>
      <c r="K208" s="84" t="str">
        <f>"C100066"</f>
        <v>C100066</v>
      </c>
      <c r="L208" s="84" t="str">
        <f>IF($J208="Customer",_xll.NL("first",$J208,"Name","No.","@@"&amp;$K208),"")</f>
        <v>Office Solutions</v>
      </c>
      <c r="M208" s="84" t="str">
        <f>""</f>
        <v/>
      </c>
      <c r="N208" s="84" t="str">
        <f>IF($J208="Item",_xll.NL("first",$J208,"Description","No.","@@"&amp;$K208),"")</f>
        <v/>
      </c>
      <c r="O208" s="83">
        <v>0</v>
      </c>
      <c r="P208" s="83">
        <v>-1</v>
      </c>
      <c r="Q208" s="83">
        <v>0</v>
      </c>
      <c r="R208" s="83">
        <v>0</v>
      </c>
      <c r="S208" s="83">
        <v>0</v>
      </c>
      <c r="T208" s="83">
        <v>0</v>
      </c>
      <c r="U208" s="82"/>
    </row>
    <row r="209" spans="1:21" ht="17.25" customHeight="1" x14ac:dyDescent="0.3">
      <c r="A209" s="66" t="s">
        <v>30</v>
      </c>
      <c r="C209" s="67"/>
      <c r="D209" s="77" t="str">
        <f t="shared" si="104"/>
        <v>C100035</v>
      </c>
      <c r="E209" s="77"/>
      <c r="F209" s="76"/>
      <c r="G209" s="76" t="str">
        <f>"""NAV Direct"",""CRONUS JetCorp USA"",""32"",""1"",""44520"""</f>
        <v>"NAV Direct","CRONUS JetCorp USA","32","1","44520"</v>
      </c>
      <c r="H209" s="86">
        <v>43473</v>
      </c>
      <c r="I209" s="85">
        <v>44520</v>
      </c>
      <c r="J209" s="84" t="str">
        <f>"Customer"</f>
        <v>Customer</v>
      </c>
      <c r="K209" s="84" t="str">
        <f>"C100139"</f>
        <v>C100139</v>
      </c>
      <c r="L209" s="84" t="str">
        <f>IF($J209="Customer",_xll.NL("first",$J209,"Name","No.","@@"&amp;$K209),"")</f>
        <v>Gamma Ray's</v>
      </c>
      <c r="M209" s="84" t="str">
        <f>""</f>
        <v/>
      </c>
      <c r="N209" s="84" t="str">
        <f>IF($J209="Item",_xll.NL("first",$J209,"Description","No.","@@"&amp;$K209),"")</f>
        <v/>
      </c>
      <c r="O209" s="83">
        <v>0</v>
      </c>
      <c r="P209" s="83">
        <v>-144</v>
      </c>
      <c r="Q209" s="83">
        <v>0</v>
      </c>
      <c r="R209" s="83">
        <v>0</v>
      </c>
      <c r="S209" s="83">
        <v>0</v>
      </c>
      <c r="T209" s="83">
        <v>0</v>
      </c>
      <c r="U209" s="82"/>
    </row>
    <row r="210" spans="1:21" ht="17.25" customHeight="1" x14ac:dyDescent="0.3">
      <c r="A210" s="66" t="s">
        <v>30</v>
      </c>
      <c r="C210" s="67"/>
      <c r="D210" s="77" t="str">
        <f t="shared" si="104"/>
        <v>C100035</v>
      </c>
      <c r="E210" s="77"/>
      <c r="F210" s="76"/>
      <c r="G210" s="76" t="str">
        <f>"""NAV Direct"",""CRONUS JetCorp USA"",""32"",""1"",""54699"""</f>
        <v>"NAV Direct","CRONUS JetCorp USA","32","1","54699"</v>
      </c>
      <c r="H210" s="86">
        <v>43474</v>
      </c>
      <c r="I210" s="85">
        <v>54699</v>
      </c>
      <c r="J210" s="84" t="str">
        <f>"Customer"</f>
        <v>Customer</v>
      </c>
      <c r="K210" s="84" t="str">
        <f>"C100096"</f>
        <v>C100096</v>
      </c>
      <c r="L210" s="84" t="str">
        <f>IF($J210="Customer",_xll.NL("first",$J210,"Name","No.","@@"&amp;$K210),"")</f>
        <v>D-Com Industries</v>
      </c>
      <c r="M210" s="84" t="str">
        <f>""</f>
        <v/>
      </c>
      <c r="N210" s="84" t="str">
        <f>IF($J210="Item",_xll.NL("first",$J210,"Description","No.","@@"&amp;$K210),"")</f>
        <v/>
      </c>
      <c r="O210" s="83">
        <v>0</v>
      </c>
      <c r="P210" s="83">
        <v>-144</v>
      </c>
      <c r="Q210" s="83">
        <v>0</v>
      </c>
      <c r="R210" s="83">
        <v>0</v>
      </c>
      <c r="S210" s="83">
        <v>0</v>
      </c>
      <c r="T210" s="83">
        <v>0</v>
      </c>
      <c r="U210" s="82"/>
    </row>
    <row r="211" spans="1:21" ht="17.25" customHeight="1" x14ac:dyDescent="0.3">
      <c r="A211" s="66" t="s">
        <v>30</v>
      </c>
      <c r="C211" s="67"/>
      <c r="D211" s="77"/>
      <c r="E211" s="77"/>
      <c r="F211" s="76"/>
      <c r="G211" s="76"/>
      <c r="H211" s="76"/>
      <c r="I211" s="76"/>
      <c r="J211" s="76"/>
      <c r="K211" s="76"/>
      <c r="L211" s="76"/>
      <c r="M211" s="76"/>
      <c r="N211" s="76"/>
      <c r="O211" s="75"/>
      <c r="P211" s="75"/>
      <c r="Q211" s="75"/>
      <c r="R211" s="75"/>
      <c r="S211" s="75"/>
      <c r="T211" s="75"/>
      <c r="U211" s="74"/>
    </row>
    <row r="212" spans="1:21" ht="17.25" customHeight="1" x14ac:dyDescent="0.3">
      <c r="A212" s="66" t="s">
        <v>30</v>
      </c>
      <c r="C212" s="67"/>
      <c r="D212" s="77"/>
      <c r="E212" s="77" t="s">
        <v>31</v>
      </c>
      <c r="F212" s="76" t="s">
        <v>31</v>
      </c>
      <c r="G212" s="76" t="s">
        <v>31</v>
      </c>
      <c r="H212" s="76"/>
      <c r="I212" s="76"/>
      <c r="J212" s="76" t="s">
        <v>31</v>
      </c>
      <c r="K212" s="76" t="s">
        <v>31</v>
      </c>
      <c r="L212" s="76" t="s">
        <v>31</v>
      </c>
      <c r="M212" s="76" t="s">
        <v>31</v>
      </c>
      <c r="N212" s="76"/>
      <c r="U212" s="81"/>
    </row>
    <row r="213" spans="1:21" ht="20.25" customHeight="1" x14ac:dyDescent="0.35">
      <c r="A213" s="66" t="s">
        <v>30</v>
      </c>
      <c r="C213" s="67"/>
      <c r="D213" s="92" t="str">
        <f t="shared" ref="D213" si="105">E213</f>
        <v>C100036</v>
      </c>
      <c r="E213" s="91" t="str">
        <f>"C100036"</f>
        <v>C100036</v>
      </c>
      <c r="F213" s="89" t="str">
        <f>"Clock &amp; Business Card Holder"</f>
        <v>Clock &amp; Business Card Holder</v>
      </c>
      <c r="G213" s="89"/>
      <c r="H213" s="90" t="str">
        <f>"EA"</f>
        <v>EA</v>
      </c>
      <c r="I213" s="89"/>
      <c r="J213" s="89"/>
      <c r="K213" s="89"/>
      <c r="L213" s="89"/>
      <c r="M213" s="89"/>
      <c r="N213" s="89"/>
      <c r="O213" s="88">
        <f>(SUBTOTAL(9,O214:O215))</f>
        <v>400</v>
      </c>
      <c r="P213" s="88">
        <f>(SUBTOTAL(9,P214:P215))</f>
        <v>0</v>
      </c>
      <c r="Q213" s="88">
        <f>(SUBTOTAL(9,Q214:Q215))</f>
        <v>0</v>
      </c>
      <c r="R213" s="88">
        <f>(SUBTOTAL(9,R214:R215))</f>
        <v>0</v>
      </c>
      <c r="S213" s="88">
        <f>(SUBTOTAL(9,S214:S215))</f>
        <v>0</v>
      </c>
      <c r="T213" s="88">
        <f>(SUBTOTAL(9,T214:T215))</f>
        <v>0</v>
      </c>
      <c r="U213" s="87">
        <f t="shared" ref="U213" si="106">SUBTOTAL(9,O214:T215)</f>
        <v>400</v>
      </c>
    </row>
    <row r="214" spans="1:21" ht="17.25" customHeight="1" x14ac:dyDescent="0.3">
      <c r="A214" s="66" t="s">
        <v>30</v>
      </c>
      <c r="C214" s="67"/>
      <c r="D214" s="77" t="str">
        <f t="shared" ref="D214" si="107">D213</f>
        <v>C100036</v>
      </c>
      <c r="E214" s="77"/>
      <c r="F214" s="76"/>
      <c r="G214" s="76" t="str">
        <f>"""NAV Direct"",""CRONUS JetCorp USA"",""32"",""1"",""167582"""</f>
        <v>"NAV Direct","CRONUS JetCorp USA","32","1","167582"</v>
      </c>
      <c r="H214" s="86">
        <v>43466</v>
      </c>
      <c r="I214" s="85">
        <v>167582</v>
      </c>
      <c r="J214" s="84" t="str">
        <f>"Vendor"</f>
        <v>Vendor</v>
      </c>
      <c r="K214" s="84" t="str">
        <f>"V100001"</f>
        <v>V100001</v>
      </c>
      <c r="L214" s="84" t="str">
        <f>IF($J214="Customer",_xll.NL("first",$J214,"Name","No.","@@"&amp;$K214),"")</f>
        <v/>
      </c>
      <c r="M214" s="84" t="str">
        <f>"Greigner, Inc."</f>
        <v>Greigner, Inc.</v>
      </c>
      <c r="N214" s="84" t="str">
        <f>IF($J214="Item",_xll.NL("first",$J214,"Description","No.","@@"&amp;$K214),"")</f>
        <v/>
      </c>
      <c r="O214" s="83">
        <v>400</v>
      </c>
      <c r="P214" s="83">
        <v>0</v>
      </c>
      <c r="Q214" s="83">
        <v>0</v>
      </c>
      <c r="R214" s="83">
        <v>0</v>
      </c>
      <c r="S214" s="83">
        <v>0</v>
      </c>
      <c r="T214" s="83">
        <v>0</v>
      </c>
      <c r="U214" s="82"/>
    </row>
    <row r="215" spans="1:21" ht="17.25" customHeight="1" x14ac:dyDescent="0.3">
      <c r="A215" s="66" t="s">
        <v>30</v>
      </c>
      <c r="C215" s="67"/>
      <c r="D215" s="77"/>
      <c r="E215" s="77"/>
      <c r="F215" s="76"/>
      <c r="G215" s="76"/>
      <c r="H215" s="76"/>
      <c r="I215" s="76"/>
      <c r="J215" s="76"/>
      <c r="K215" s="76"/>
      <c r="L215" s="76"/>
      <c r="M215" s="76"/>
      <c r="N215" s="76"/>
      <c r="O215" s="75"/>
      <c r="P215" s="75"/>
      <c r="Q215" s="75"/>
      <c r="R215" s="75"/>
      <c r="S215" s="75"/>
      <c r="T215" s="75"/>
      <c r="U215" s="74"/>
    </row>
    <row r="216" spans="1:21" ht="17.25" customHeight="1" x14ac:dyDescent="0.3">
      <c r="A216" s="66" t="s">
        <v>30</v>
      </c>
      <c r="C216" s="67"/>
      <c r="D216" s="77"/>
      <c r="E216" s="77" t="s">
        <v>31</v>
      </c>
      <c r="F216" s="76" t="s">
        <v>31</v>
      </c>
      <c r="G216" s="76" t="s">
        <v>31</v>
      </c>
      <c r="H216" s="76"/>
      <c r="I216" s="76"/>
      <c r="J216" s="76" t="s">
        <v>31</v>
      </c>
      <c r="K216" s="76" t="s">
        <v>31</v>
      </c>
      <c r="L216" s="76" t="s">
        <v>31</v>
      </c>
      <c r="M216" s="76" t="s">
        <v>31</v>
      </c>
      <c r="N216" s="76"/>
      <c r="U216" s="81"/>
    </row>
    <row r="217" spans="1:21" ht="20.25" customHeight="1" x14ac:dyDescent="0.35">
      <c r="A217" s="66" t="s">
        <v>30</v>
      </c>
      <c r="C217" s="67"/>
      <c r="D217" s="92" t="str">
        <f t="shared" ref="D217" si="108">E217</f>
        <v>C100037</v>
      </c>
      <c r="E217" s="91" t="str">
        <f>"C100037"</f>
        <v>C100037</v>
      </c>
      <c r="F217" s="89" t="str">
        <f>"World Time Travel Alarm"</f>
        <v>World Time Travel Alarm</v>
      </c>
      <c r="G217" s="89"/>
      <c r="H217" s="90" t="str">
        <f>"EA"</f>
        <v>EA</v>
      </c>
      <c r="I217" s="89"/>
      <c r="J217" s="89"/>
      <c r="K217" s="89"/>
      <c r="L217" s="89"/>
      <c r="M217" s="89"/>
      <c r="N217" s="89"/>
      <c r="O217" s="88">
        <f>(SUBTOTAL(9,O218:O219))</f>
        <v>200</v>
      </c>
      <c r="P217" s="88">
        <f>(SUBTOTAL(9,P218:P219))</f>
        <v>0</v>
      </c>
      <c r="Q217" s="88">
        <f>(SUBTOTAL(9,Q218:Q219))</f>
        <v>0</v>
      </c>
      <c r="R217" s="88">
        <f>(SUBTOTAL(9,R218:R219))</f>
        <v>0</v>
      </c>
      <c r="S217" s="88">
        <f>(SUBTOTAL(9,S218:S219))</f>
        <v>0</v>
      </c>
      <c r="T217" s="88">
        <f>(SUBTOTAL(9,T218:T219))</f>
        <v>0</v>
      </c>
      <c r="U217" s="87">
        <f t="shared" ref="U217" si="109">SUBTOTAL(9,O218:T219)</f>
        <v>200</v>
      </c>
    </row>
    <row r="218" spans="1:21" ht="17.25" customHeight="1" x14ac:dyDescent="0.3">
      <c r="A218" s="66" t="s">
        <v>30</v>
      </c>
      <c r="C218" s="67"/>
      <c r="D218" s="77" t="str">
        <f t="shared" ref="D218" si="110">D217</f>
        <v>C100037</v>
      </c>
      <c r="E218" s="77"/>
      <c r="F218" s="76"/>
      <c r="G218" s="76" t="str">
        <f>"""NAV Direct"",""CRONUS JetCorp USA"",""32"",""1"",""167581"""</f>
        <v>"NAV Direct","CRONUS JetCorp USA","32","1","167581"</v>
      </c>
      <c r="H218" s="86">
        <v>43466</v>
      </c>
      <c r="I218" s="85">
        <v>167581</v>
      </c>
      <c r="J218" s="84" t="str">
        <f>"Vendor"</f>
        <v>Vendor</v>
      </c>
      <c r="K218" s="84" t="str">
        <f>"V100001"</f>
        <v>V100001</v>
      </c>
      <c r="L218" s="84" t="str">
        <f>IF($J218="Customer",_xll.NL("first",$J218,"Name","No.","@@"&amp;$K218),"")</f>
        <v/>
      </c>
      <c r="M218" s="84" t="str">
        <f>"Greigner, Inc."</f>
        <v>Greigner, Inc.</v>
      </c>
      <c r="N218" s="84" t="str">
        <f>IF($J218="Item",_xll.NL("first",$J218,"Description","No.","@@"&amp;$K218),"")</f>
        <v/>
      </c>
      <c r="O218" s="83">
        <v>200</v>
      </c>
      <c r="P218" s="83">
        <v>0</v>
      </c>
      <c r="Q218" s="83">
        <v>0</v>
      </c>
      <c r="R218" s="83">
        <v>0</v>
      </c>
      <c r="S218" s="83">
        <v>0</v>
      </c>
      <c r="T218" s="83">
        <v>0</v>
      </c>
      <c r="U218" s="82"/>
    </row>
    <row r="219" spans="1:21" ht="17.25" customHeight="1" x14ac:dyDescent="0.3">
      <c r="A219" s="66" t="s">
        <v>30</v>
      </c>
      <c r="C219" s="67"/>
      <c r="D219" s="77"/>
      <c r="E219" s="77"/>
      <c r="F219" s="76"/>
      <c r="G219" s="76"/>
      <c r="H219" s="76"/>
      <c r="I219" s="76"/>
      <c r="J219" s="76"/>
      <c r="K219" s="76"/>
      <c r="L219" s="76"/>
      <c r="M219" s="76"/>
      <c r="N219" s="76"/>
      <c r="O219" s="75"/>
      <c r="P219" s="75"/>
      <c r="Q219" s="75"/>
      <c r="R219" s="75"/>
      <c r="S219" s="75"/>
      <c r="T219" s="75"/>
      <c r="U219" s="74"/>
    </row>
    <row r="220" spans="1:21" ht="17.25" customHeight="1" x14ac:dyDescent="0.3">
      <c r="A220" s="66" t="s">
        <v>30</v>
      </c>
      <c r="C220" s="67"/>
      <c r="D220" s="77"/>
      <c r="E220" s="77" t="s">
        <v>31</v>
      </c>
      <c r="F220" s="76" t="s">
        <v>31</v>
      </c>
      <c r="G220" s="76" t="s">
        <v>31</v>
      </c>
      <c r="H220" s="76"/>
      <c r="I220" s="76"/>
      <c r="J220" s="76" t="s">
        <v>31</v>
      </c>
      <c r="K220" s="76" t="s">
        <v>31</v>
      </c>
      <c r="L220" s="76" t="s">
        <v>31</v>
      </c>
      <c r="M220" s="76" t="s">
        <v>31</v>
      </c>
      <c r="N220" s="76"/>
      <c r="U220" s="81"/>
    </row>
    <row r="221" spans="1:21" ht="20.25" customHeight="1" x14ac:dyDescent="0.35">
      <c r="A221" s="66" t="s">
        <v>30</v>
      </c>
      <c r="C221" s="67"/>
      <c r="D221" s="92" t="str">
        <f t="shared" ref="D221" si="111">E221</f>
        <v>C100039</v>
      </c>
      <c r="E221" s="91" t="str">
        <f>"C100039"</f>
        <v>C100039</v>
      </c>
      <c r="F221" s="89" t="str">
        <f>"Portable Speaker &amp; MP3 Dock"</f>
        <v>Portable Speaker &amp; MP3 Dock</v>
      </c>
      <c r="G221" s="89"/>
      <c r="H221" s="90" t="str">
        <f>"EA"</f>
        <v>EA</v>
      </c>
      <c r="I221" s="89"/>
      <c r="J221" s="89"/>
      <c r="K221" s="89"/>
      <c r="L221" s="89"/>
      <c r="M221" s="89"/>
      <c r="N221" s="89"/>
      <c r="O221" s="88">
        <f>(SUBTOTAL(9,O222:O223))</f>
        <v>0</v>
      </c>
      <c r="P221" s="88">
        <f>(SUBTOTAL(9,P222:P223))</f>
        <v>-1</v>
      </c>
      <c r="Q221" s="88">
        <f>(SUBTOTAL(9,Q222:Q223))</f>
        <v>0</v>
      </c>
      <c r="R221" s="88">
        <f>(SUBTOTAL(9,R222:R223))</f>
        <v>0</v>
      </c>
      <c r="S221" s="88">
        <f>(SUBTOTAL(9,S222:S223))</f>
        <v>0</v>
      </c>
      <c r="T221" s="88">
        <f>(SUBTOTAL(9,T222:T223))</f>
        <v>0</v>
      </c>
      <c r="U221" s="87">
        <f t="shared" ref="U221" si="112">SUBTOTAL(9,O222:T223)</f>
        <v>-1</v>
      </c>
    </row>
    <row r="222" spans="1:21" ht="17.25" customHeight="1" x14ac:dyDescent="0.3">
      <c r="A222" s="66" t="s">
        <v>30</v>
      </c>
      <c r="C222" s="67"/>
      <c r="D222" s="77" t="str">
        <f t="shared" ref="D222" si="113">D221</f>
        <v>C100039</v>
      </c>
      <c r="E222" s="77"/>
      <c r="F222" s="76"/>
      <c r="G222" s="76" t="str">
        <f>"""NAV Direct"",""CRONUS JetCorp USA"",""32"",""1"",""10225"""</f>
        <v>"NAV Direct","CRONUS JetCorp USA","32","1","10225"</v>
      </c>
      <c r="H222" s="86">
        <v>43471</v>
      </c>
      <c r="I222" s="85">
        <v>10225</v>
      </c>
      <c r="J222" s="84" t="str">
        <f>"Customer"</f>
        <v>Customer</v>
      </c>
      <c r="K222" s="84" t="str">
        <f>"C100066"</f>
        <v>C100066</v>
      </c>
      <c r="L222" s="84" t="str">
        <f>IF($J222="Customer",_xll.NL("first",$J222,"Name","No.","@@"&amp;$K222),"")</f>
        <v>Office Solutions</v>
      </c>
      <c r="M222" s="84" t="str">
        <f>""</f>
        <v/>
      </c>
      <c r="N222" s="84" t="str">
        <f>IF($J222="Item",_xll.NL("first",$J222,"Description","No.","@@"&amp;$K222),"")</f>
        <v/>
      </c>
      <c r="O222" s="83">
        <v>0</v>
      </c>
      <c r="P222" s="83">
        <v>-1</v>
      </c>
      <c r="Q222" s="83">
        <v>0</v>
      </c>
      <c r="R222" s="83">
        <v>0</v>
      </c>
      <c r="S222" s="83">
        <v>0</v>
      </c>
      <c r="T222" s="83">
        <v>0</v>
      </c>
      <c r="U222" s="82"/>
    </row>
    <row r="223" spans="1:21" ht="17.25" customHeight="1" x14ac:dyDescent="0.3">
      <c r="A223" s="66" t="s">
        <v>30</v>
      </c>
      <c r="C223" s="67"/>
      <c r="D223" s="77"/>
      <c r="E223" s="77"/>
      <c r="F223" s="76"/>
      <c r="G223" s="76"/>
      <c r="H223" s="76"/>
      <c r="I223" s="76"/>
      <c r="J223" s="76"/>
      <c r="K223" s="76"/>
      <c r="L223" s="76"/>
      <c r="M223" s="76"/>
      <c r="N223" s="76"/>
      <c r="O223" s="75"/>
      <c r="P223" s="75"/>
      <c r="Q223" s="75"/>
      <c r="R223" s="75"/>
      <c r="S223" s="75"/>
      <c r="T223" s="75"/>
      <c r="U223" s="74"/>
    </row>
    <row r="224" spans="1:21" ht="17.25" customHeight="1" x14ac:dyDescent="0.3">
      <c r="A224" s="66" t="s">
        <v>30</v>
      </c>
      <c r="C224" s="67"/>
      <c r="D224" s="77"/>
      <c r="E224" s="77" t="s">
        <v>31</v>
      </c>
      <c r="F224" s="76" t="s">
        <v>31</v>
      </c>
      <c r="G224" s="76" t="s">
        <v>31</v>
      </c>
      <c r="H224" s="76"/>
      <c r="I224" s="76"/>
      <c r="J224" s="76" t="s">
        <v>31</v>
      </c>
      <c r="K224" s="76" t="s">
        <v>31</v>
      </c>
      <c r="L224" s="76" t="s">
        <v>31</v>
      </c>
      <c r="M224" s="76" t="s">
        <v>31</v>
      </c>
      <c r="N224" s="76"/>
      <c r="U224" s="81"/>
    </row>
    <row r="225" spans="1:21" ht="20.25" customHeight="1" x14ac:dyDescent="0.35">
      <c r="A225" s="66" t="s">
        <v>30</v>
      </c>
      <c r="C225" s="67"/>
      <c r="D225" s="92" t="str">
        <f t="shared" ref="D225" si="114">E225</f>
        <v>C100042</v>
      </c>
      <c r="E225" s="91" t="str">
        <f>"C100042"</f>
        <v>C100042</v>
      </c>
      <c r="F225" s="89" t="str">
        <f>"Retractable Earbuds"</f>
        <v>Retractable Earbuds</v>
      </c>
      <c r="G225" s="89"/>
      <c r="H225" s="90" t="str">
        <f>"EA"</f>
        <v>EA</v>
      </c>
      <c r="I225" s="89"/>
      <c r="J225" s="89"/>
      <c r="K225" s="89"/>
      <c r="L225" s="89"/>
      <c r="M225" s="89"/>
      <c r="N225" s="89"/>
      <c r="O225" s="88">
        <f>(SUBTOTAL(9,O226:O229))</f>
        <v>499.99999999999994</v>
      </c>
      <c r="P225" s="88">
        <f>(SUBTOTAL(9,P226:P229))</f>
        <v>-288</v>
      </c>
      <c r="Q225" s="88">
        <f>(SUBTOTAL(9,Q226:Q229))</f>
        <v>0</v>
      </c>
      <c r="R225" s="88">
        <f>(SUBTOTAL(9,R226:R229))</f>
        <v>0</v>
      </c>
      <c r="S225" s="88">
        <f>(SUBTOTAL(9,S226:S229))</f>
        <v>0</v>
      </c>
      <c r="T225" s="88">
        <f>(SUBTOTAL(9,T226:T229))</f>
        <v>0</v>
      </c>
      <c r="U225" s="87">
        <f t="shared" ref="U225" si="115">SUBTOTAL(9,O226:T229)</f>
        <v>211.99999999999994</v>
      </c>
    </row>
    <row r="226" spans="1:21" ht="17.25" customHeight="1" x14ac:dyDescent="0.3">
      <c r="A226" s="66" t="s">
        <v>30</v>
      </c>
      <c r="C226" s="67"/>
      <c r="D226" s="77" t="str">
        <f t="shared" ref="D226" si="116">D225</f>
        <v>C100042</v>
      </c>
      <c r="E226" s="77"/>
      <c r="F226" s="76"/>
      <c r="G226" s="76" t="str">
        <f>"""NAV Direct"",""CRONUS JetCorp USA"",""32"",""1"",""168041"""</f>
        <v>"NAV Direct","CRONUS JetCorp USA","32","1","168041"</v>
      </c>
      <c r="H226" s="86">
        <v>43466</v>
      </c>
      <c r="I226" s="85">
        <v>168041</v>
      </c>
      <c r="J226" s="84" t="str">
        <f>"Vendor"</f>
        <v>Vendor</v>
      </c>
      <c r="K226" s="84" t="str">
        <f>"V100001"</f>
        <v>V100001</v>
      </c>
      <c r="L226" s="84" t="str">
        <f>IF($J226="Customer",_xll.NL("first",$J226,"Name","No.","@@"&amp;$K226),"")</f>
        <v/>
      </c>
      <c r="M226" s="84" t="str">
        <f>"Greigner, Inc."</f>
        <v>Greigner, Inc.</v>
      </c>
      <c r="N226" s="84" t="str">
        <f>IF($J226="Item",_xll.NL("first",$J226,"Description","No.","@@"&amp;$K226),"")</f>
        <v/>
      </c>
      <c r="O226" s="83">
        <v>499.99999999999994</v>
      </c>
      <c r="P226" s="83">
        <v>0</v>
      </c>
      <c r="Q226" s="83">
        <v>0</v>
      </c>
      <c r="R226" s="83">
        <v>0</v>
      </c>
      <c r="S226" s="83">
        <v>0</v>
      </c>
      <c r="T226" s="83">
        <v>0</v>
      </c>
      <c r="U226" s="82"/>
    </row>
    <row r="227" spans="1:21" ht="17.25" customHeight="1" x14ac:dyDescent="0.3">
      <c r="A227" s="66" t="s">
        <v>30</v>
      </c>
      <c r="C227" s="67"/>
      <c r="D227" s="77" t="str">
        <f t="shared" ref="D227:D228" si="117">D226</f>
        <v>C100042</v>
      </c>
      <c r="E227" s="77"/>
      <c r="F227" s="76"/>
      <c r="G227" s="76" t="str">
        <f>"""NAV Direct"",""CRONUS JetCorp USA"",""32"",""1"",""64581"""</f>
        <v>"NAV Direct","CRONUS JetCorp USA","32","1","64581"</v>
      </c>
      <c r="H227" s="86">
        <v>43469</v>
      </c>
      <c r="I227" s="85">
        <v>64581</v>
      </c>
      <c r="J227" s="84" t="str">
        <f>"Customer"</f>
        <v>Customer</v>
      </c>
      <c r="K227" s="84" t="str">
        <f>"C100140"</f>
        <v>C100140</v>
      </c>
      <c r="L227" s="84" t="str">
        <f>IF($J227="Customer",_xll.NL("first",$J227,"Name","No.","@@"&amp;$K227),"")</f>
        <v>Super Daves</v>
      </c>
      <c r="M227" s="84" t="str">
        <f>""</f>
        <v/>
      </c>
      <c r="N227" s="84" t="str">
        <f>IF($J227="Item",_xll.NL("first",$J227,"Description","No.","@@"&amp;$K227),"")</f>
        <v/>
      </c>
      <c r="O227" s="83">
        <v>0</v>
      </c>
      <c r="P227" s="83">
        <v>-144</v>
      </c>
      <c r="Q227" s="83">
        <v>0</v>
      </c>
      <c r="R227" s="83">
        <v>0</v>
      </c>
      <c r="S227" s="83">
        <v>0</v>
      </c>
      <c r="T227" s="83">
        <v>0</v>
      </c>
      <c r="U227" s="82"/>
    </row>
    <row r="228" spans="1:21" ht="17.25" customHeight="1" x14ac:dyDescent="0.3">
      <c r="A228" s="66" t="s">
        <v>30</v>
      </c>
      <c r="C228" s="67"/>
      <c r="D228" s="77" t="str">
        <f t="shared" si="117"/>
        <v>C100042</v>
      </c>
      <c r="E228" s="77"/>
      <c r="F228" s="76"/>
      <c r="G228" s="76" t="str">
        <f>"""NAV Direct"",""CRONUS JetCorp USA"",""32"",""1"",""44526"""</f>
        <v>"NAV Direct","CRONUS JetCorp USA","32","1","44526"</v>
      </c>
      <c r="H228" s="86">
        <v>43473</v>
      </c>
      <c r="I228" s="85">
        <v>44526</v>
      </c>
      <c r="J228" s="84" t="str">
        <f>"Customer"</f>
        <v>Customer</v>
      </c>
      <c r="K228" s="84" t="str">
        <f>"C100139"</f>
        <v>C100139</v>
      </c>
      <c r="L228" s="84" t="str">
        <f>IF($J228="Customer",_xll.NL("first",$J228,"Name","No.","@@"&amp;$K228),"")</f>
        <v>Gamma Ray's</v>
      </c>
      <c r="M228" s="84" t="str">
        <f>""</f>
        <v/>
      </c>
      <c r="N228" s="84" t="str">
        <f>IF($J228="Item",_xll.NL("first",$J228,"Description","No.","@@"&amp;$K228),"")</f>
        <v/>
      </c>
      <c r="O228" s="83">
        <v>0</v>
      </c>
      <c r="P228" s="83">
        <v>-144</v>
      </c>
      <c r="Q228" s="83">
        <v>0</v>
      </c>
      <c r="R228" s="83">
        <v>0</v>
      </c>
      <c r="S228" s="83">
        <v>0</v>
      </c>
      <c r="T228" s="83">
        <v>0</v>
      </c>
      <c r="U228" s="82"/>
    </row>
    <row r="229" spans="1:21" ht="17.25" customHeight="1" x14ac:dyDescent="0.3">
      <c r="A229" s="66" t="s">
        <v>30</v>
      </c>
      <c r="C229" s="67"/>
      <c r="D229" s="77"/>
      <c r="E229" s="77"/>
      <c r="F229" s="76"/>
      <c r="G229" s="76"/>
      <c r="H229" s="76"/>
      <c r="I229" s="76"/>
      <c r="J229" s="76"/>
      <c r="K229" s="76"/>
      <c r="L229" s="76"/>
      <c r="M229" s="76"/>
      <c r="N229" s="76"/>
      <c r="O229" s="75"/>
      <c r="P229" s="75"/>
      <c r="Q229" s="75"/>
      <c r="R229" s="75"/>
      <c r="S229" s="75"/>
      <c r="T229" s="75"/>
      <c r="U229" s="74"/>
    </row>
    <row r="230" spans="1:21" ht="17.25" customHeight="1" x14ac:dyDescent="0.3">
      <c r="A230" s="66" t="s">
        <v>30</v>
      </c>
      <c r="C230" s="67"/>
      <c r="D230" s="77"/>
      <c r="E230" s="77" t="s">
        <v>31</v>
      </c>
      <c r="F230" s="76" t="s">
        <v>31</v>
      </c>
      <c r="G230" s="76" t="s">
        <v>31</v>
      </c>
      <c r="H230" s="76"/>
      <c r="I230" s="76"/>
      <c r="J230" s="76" t="s">
        <v>31</v>
      </c>
      <c r="K230" s="76" t="s">
        <v>31</v>
      </c>
      <c r="L230" s="76" t="s">
        <v>31</v>
      </c>
      <c r="M230" s="76" t="s">
        <v>31</v>
      </c>
      <c r="N230" s="76"/>
      <c r="U230" s="81"/>
    </row>
    <row r="231" spans="1:21" ht="20.25" customHeight="1" x14ac:dyDescent="0.35">
      <c r="A231" s="66" t="s">
        <v>30</v>
      </c>
      <c r="C231" s="67"/>
      <c r="D231" s="92" t="str">
        <f t="shared" ref="D231" si="118">E231</f>
        <v>C100043</v>
      </c>
      <c r="E231" s="91" t="str">
        <f>"C100043"</f>
        <v>C100043</v>
      </c>
      <c r="F231" s="89" t="str">
        <f>"Pro-Travel Technology Set"</f>
        <v>Pro-Travel Technology Set</v>
      </c>
      <c r="G231" s="89"/>
      <c r="H231" s="90" t="str">
        <f>"EA"</f>
        <v>EA</v>
      </c>
      <c r="I231" s="89"/>
      <c r="J231" s="89"/>
      <c r="K231" s="89"/>
      <c r="L231" s="89"/>
      <c r="M231" s="89"/>
      <c r="N231" s="89"/>
      <c r="O231" s="88">
        <f>(SUBTOTAL(9,O232:O233))</f>
        <v>0</v>
      </c>
      <c r="P231" s="88">
        <f>(SUBTOTAL(9,P232:P233))</f>
        <v>-144</v>
      </c>
      <c r="Q231" s="88">
        <f>(SUBTOTAL(9,Q232:Q233))</f>
        <v>0</v>
      </c>
      <c r="R231" s="88">
        <f>(SUBTOTAL(9,R232:R233))</f>
        <v>0</v>
      </c>
      <c r="S231" s="88">
        <f>(SUBTOTAL(9,S232:S233))</f>
        <v>0</v>
      </c>
      <c r="T231" s="88">
        <f>(SUBTOTAL(9,T232:T233))</f>
        <v>0</v>
      </c>
      <c r="U231" s="87">
        <f t="shared" ref="U231" si="119">SUBTOTAL(9,O232:T233)</f>
        <v>-144</v>
      </c>
    </row>
    <row r="232" spans="1:21" ht="17.25" customHeight="1" x14ac:dyDescent="0.3">
      <c r="A232" s="66" t="s">
        <v>30</v>
      </c>
      <c r="C232" s="67"/>
      <c r="D232" s="77" t="str">
        <f t="shared" ref="D232" si="120">D231</f>
        <v>C100043</v>
      </c>
      <c r="E232" s="77"/>
      <c r="F232" s="76"/>
      <c r="G232" s="76" t="str">
        <f>"""NAV Direct"",""CRONUS JetCorp USA"",""32"",""1"",""116377"""</f>
        <v>"NAV Direct","CRONUS JetCorp USA","32","1","116377"</v>
      </c>
      <c r="H232" s="86">
        <v>43473</v>
      </c>
      <c r="I232" s="85">
        <v>116377</v>
      </c>
      <c r="J232" s="84" t="str">
        <f>"Customer"</f>
        <v>Customer</v>
      </c>
      <c r="K232" s="84" t="str">
        <f>"C100066"</f>
        <v>C100066</v>
      </c>
      <c r="L232" s="84" t="str">
        <f>IF($J232="Customer",_xll.NL("first",$J232,"Name","No.","@@"&amp;$K232),"")</f>
        <v>Office Solutions</v>
      </c>
      <c r="M232" s="84" t="str">
        <f>""</f>
        <v/>
      </c>
      <c r="N232" s="84" t="str">
        <f>IF($J232="Item",_xll.NL("first",$J232,"Description","No.","@@"&amp;$K232),"")</f>
        <v/>
      </c>
      <c r="O232" s="83">
        <v>0</v>
      </c>
      <c r="P232" s="83">
        <v>-144</v>
      </c>
      <c r="Q232" s="83">
        <v>0</v>
      </c>
      <c r="R232" s="83">
        <v>0</v>
      </c>
      <c r="S232" s="83">
        <v>0</v>
      </c>
      <c r="T232" s="83">
        <v>0</v>
      </c>
      <c r="U232" s="82"/>
    </row>
    <row r="233" spans="1:21" ht="17.25" customHeight="1" x14ac:dyDescent="0.3">
      <c r="A233" s="66" t="s">
        <v>30</v>
      </c>
      <c r="C233" s="67"/>
      <c r="D233" s="77"/>
      <c r="E233" s="77"/>
      <c r="F233" s="76"/>
      <c r="G233" s="76"/>
      <c r="H233" s="76"/>
      <c r="I233" s="76"/>
      <c r="J233" s="76"/>
      <c r="K233" s="76"/>
      <c r="L233" s="76"/>
      <c r="M233" s="76"/>
      <c r="N233" s="76"/>
      <c r="O233" s="75"/>
      <c r="P233" s="75"/>
      <c r="Q233" s="75"/>
      <c r="R233" s="75"/>
      <c r="S233" s="75"/>
      <c r="T233" s="75"/>
      <c r="U233" s="74"/>
    </row>
    <row r="234" spans="1:21" ht="17.25" customHeight="1" x14ac:dyDescent="0.3">
      <c r="A234" s="66" t="s">
        <v>30</v>
      </c>
      <c r="C234" s="67"/>
      <c r="D234" s="77"/>
      <c r="E234" s="77" t="s">
        <v>31</v>
      </c>
      <c r="F234" s="76" t="s">
        <v>31</v>
      </c>
      <c r="G234" s="76" t="s">
        <v>31</v>
      </c>
      <c r="H234" s="76"/>
      <c r="I234" s="76"/>
      <c r="J234" s="76" t="s">
        <v>31</v>
      </c>
      <c r="K234" s="76" t="s">
        <v>31</v>
      </c>
      <c r="L234" s="76" t="s">
        <v>31</v>
      </c>
      <c r="M234" s="76" t="s">
        <v>31</v>
      </c>
      <c r="N234" s="76"/>
      <c r="U234" s="81"/>
    </row>
    <row r="235" spans="1:21" ht="20.25" customHeight="1" x14ac:dyDescent="0.35">
      <c r="A235" s="66" t="s">
        <v>30</v>
      </c>
      <c r="C235" s="67"/>
      <c r="D235" s="92" t="str">
        <f t="shared" ref="D235" si="121">E235</f>
        <v>C100044</v>
      </c>
      <c r="E235" s="91" t="str">
        <f>"C100044"</f>
        <v>C100044</v>
      </c>
      <c r="F235" s="89" t="str">
        <f>"VOIP Headset with Mic"</f>
        <v>VOIP Headset with Mic</v>
      </c>
      <c r="G235" s="89"/>
      <c r="H235" s="90" t="str">
        <f>"EA"</f>
        <v>EA</v>
      </c>
      <c r="I235" s="89"/>
      <c r="J235" s="89"/>
      <c r="K235" s="89"/>
      <c r="L235" s="89"/>
      <c r="M235" s="89"/>
      <c r="N235" s="89"/>
      <c r="O235" s="88">
        <f>(SUBTOTAL(9,O236:O238))</f>
        <v>999.99999999999989</v>
      </c>
      <c r="P235" s="88">
        <f>(SUBTOTAL(9,P236:P238))</f>
        <v>-288</v>
      </c>
      <c r="Q235" s="88">
        <f>(SUBTOTAL(9,Q236:Q238))</f>
        <v>0</v>
      </c>
      <c r="R235" s="88">
        <f>(SUBTOTAL(9,R236:R238))</f>
        <v>0</v>
      </c>
      <c r="S235" s="88">
        <f>(SUBTOTAL(9,S236:S238))</f>
        <v>0</v>
      </c>
      <c r="T235" s="88">
        <f>(SUBTOTAL(9,T236:T238))</f>
        <v>0</v>
      </c>
      <c r="U235" s="87">
        <f t="shared" ref="U235" si="122">SUBTOTAL(9,O236:T238)</f>
        <v>711.99999999999989</v>
      </c>
    </row>
    <row r="236" spans="1:21" ht="17.25" customHeight="1" x14ac:dyDescent="0.3">
      <c r="A236" s="66" t="s">
        <v>30</v>
      </c>
      <c r="C236" s="67"/>
      <c r="D236" s="77" t="str">
        <f t="shared" ref="D236" si="123">D235</f>
        <v>C100044</v>
      </c>
      <c r="E236" s="77"/>
      <c r="F236" s="76"/>
      <c r="G236" s="76" t="str">
        <f>"""NAV Direct"",""CRONUS JetCorp USA"",""32"",""1"",""168040"""</f>
        <v>"NAV Direct","CRONUS JetCorp USA","32","1","168040"</v>
      </c>
      <c r="H236" s="86">
        <v>43466</v>
      </c>
      <c r="I236" s="85">
        <v>168040</v>
      </c>
      <c r="J236" s="84" t="str">
        <f>"Vendor"</f>
        <v>Vendor</v>
      </c>
      <c r="K236" s="84" t="str">
        <f>"V100001"</f>
        <v>V100001</v>
      </c>
      <c r="L236" s="84" t="str">
        <f>IF($J236="Customer",_xll.NL("first",$J236,"Name","No.","@@"&amp;$K236),"")</f>
        <v/>
      </c>
      <c r="M236" s="84" t="str">
        <f>"Greigner, Inc."</f>
        <v>Greigner, Inc.</v>
      </c>
      <c r="N236" s="84" t="str">
        <f>IF($J236="Item",_xll.NL("first",$J236,"Description","No.","@@"&amp;$K236),"")</f>
        <v/>
      </c>
      <c r="O236" s="83">
        <v>999.99999999999989</v>
      </c>
      <c r="P236" s="83">
        <v>0</v>
      </c>
      <c r="Q236" s="83">
        <v>0</v>
      </c>
      <c r="R236" s="83">
        <v>0</v>
      </c>
      <c r="S236" s="83">
        <v>0</v>
      </c>
      <c r="T236" s="83">
        <v>0</v>
      </c>
      <c r="U236" s="82"/>
    </row>
    <row r="237" spans="1:21" ht="17.25" customHeight="1" x14ac:dyDescent="0.3">
      <c r="A237" s="66" t="s">
        <v>30</v>
      </c>
      <c r="C237" s="67"/>
      <c r="D237" s="77" t="str">
        <f t="shared" ref="D237" si="124">D236</f>
        <v>C100044</v>
      </c>
      <c r="E237" s="77"/>
      <c r="F237" s="76"/>
      <c r="G237" s="76" t="str">
        <f>"""NAV Direct"",""CRONUS JetCorp USA"",""32"",""1"",""44512"""</f>
        <v>"NAV Direct","CRONUS JetCorp USA","32","1","44512"</v>
      </c>
      <c r="H237" s="86">
        <v>43473</v>
      </c>
      <c r="I237" s="85">
        <v>44512</v>
      </c>
      <c r="J237" s="84" t="str">
        <f>"Customer"</f>
        <v>Customer</v>
      </c>
      <c r="K237" s="84" t="str">
        <f>"C100139"</f>
        <v>C100139</v>
      </c>
      <c r="L237" s="84" t="str">
        <f>IF($J237="Customer",_xll.NL("first",$J237,"Name","No.","@@"&amp;$K237),"")</f>
        <v>Gamma Ray's</v>
      </c>
      <c r="M237" s="84" t="str">
        <f>""</f>
        <v/>
      </c>
      <c r="N237" s="84" t="str">
        <f>IF($J237="Item",_xll.NL("first",$J237,"Description","No.","@@"&amp;$K237),"")</f>
        <v/>
      </c>
      <c r="O237" s="83">
        <v>0</v>
      </c>
      <c r="P237" s="83">
        <v>-288</v>
      </c>
      <c r="Q237" s="83">
        <v>0</v>
      </c>
      <c r="R237" s="83">
        <v>0</v>
      </c>
      <c r="S237" s="83">
        <v>0</v>
      </c>
      <c r="T237" s="83">
        <v>0</v>
      </c>
      <c r="U237" s="82"/>
    </row>
    <row r="238" spans="1:21" ht="17.25" customHeight="1" x14ac:dyDescent="0.3">
      <c r="A238" s="66" t="s">
        <v>30</v>
      </c>
      <c r="C238" s="67"/>
      <c r="D238" s="77"/>
      <c r="E238" s="77"/>
      <c r="F238" s="76"/>
      <c r="G238" s="76"/>
      <c r="H238" s="76"/>
      <c r="I238" s="76"/>
      <c r="J238" s="76"/>
      <c r="K238" s="76"/>
      <c r="L238" s="76"/>
      <c r="M238" s="76"/>
      <c r="N238" s="76"/>
      <c r="O238" s="75"/>
      <c r="P238" s="75"/>
      <c r="Q238" s="75"/>
      <c r="R238" s="75"/>
      <c r="S238" s="75"/>
      <c r="T238" s="75"/>
      <c r="U238" s="74"/>
    </row>
    <row r="239" spans="1:21" ht="17.25" customHeight="1" x14ac:dyDescent="0.3">
      <c r="A239" s="66" t="s">
        <v>30</v>
      </c>
      <c r="C239" s="67"/>
      <c r="D239" s="77"/>
      <c r="E239" s="77" t="s">
        <v>31</v>
      </c>
      <c r="F239" s="76" t="s">
        <v>31</v>
      </c>
      <c r="G239" s="76" t="s">
        <v>31</v>
      </c>
      <c r="H239" s="76"/>
      <c r="I239" s="76"/>
      <c r="J239" s="76" t="s">
        <v>31</v>
      </c>
      <c r="K239" s="76" t="s">
        <v>31</v>
      </c>
      <c r="L239" s="76" t="s">
        <v>31</v>
      </c>
      <c r="M239" s="76" t="s">
        <v>31</v>
      </c>
      <c r="N239" s="76"/>
      <c r="U239" s="81"/>
    </row>
    <row r="240" spans="1:21" ht="20.25" customHeight="1" x14ac:dyDescent="0.35">
      <c r="A240" s="66" t="s">
        <v>30</v>
      </c>
      <c r="C240" s="67"/>
      <c r="D240" s="92" t="str">
        <f t="shared" ref="D240" si="125">E240</f>
        <v>C100046</v>
      </c>
      <c r="E240" s="91" t="str">
        <f>"C100046"</f>
        <v>C100046</v>
      </c>
      <c r="F240" s="89" t="str">
        <f>"1GB MP3 Player"</f>
        <v>1GB MP3 Player</v>
      </c>
      <c r="G240" s="89"/>
      <c r="H240" s="90" t="str">
        <f>"EA"</f>
        <v>EA</v>
      </c>
      <c r="I240" s="89"/>
      <c r="J240" s="89"/>
      <c r="K240" s="89"/>
      <c r="L240" s="89"/>
      <c r="M240" s="89"/>
      <c r="N240" s="89"/>
      <c r="O240" s="88">
        <f>(SUBTOTAL(9,O241:O242))</f>
        <v>100</v>
      </c>
      <c r="P240" s="88">
        <f>(SUBTOTAL(9,P241:P242))</f>
        <v>0</v>
      </c>
      <c r="Q240" s="88">
        <f>(SUBTOTAL(9,Q241:Q242))</f>
        <v>0</v>
      </c>
      <c r="R240" s="88">
        <f>(SUBTOTAL(9,R241:R242))</f>
        <v>0</v>
      </c>
      <c r="S240" s="88">
        <f>(SUBTOTAL(9,S241:S242))</f>
        <v>0</v>
      </c>
      <c r="T240" s="88">
        <f>(SUBTOTAL(9,T241:T242))</f>
        <v>0</v>
      </c>
      <c r="U240" s="87">
        <f t="shared" ref="U240" si="126">SUBTOTAL(9,O241:T242)</f>
        <v>100</v>
      </c>
    </row>
    <row r="241" spans="1:21" ht="17.25" customHeight="1" x14ac:dyDescent="0.3">
      <c r="A241" s="66" t="s">
        <v>30</v>
      </c>
      <c r="C241" s="67"/>
      <c r="D241" s="77" t="str">
        <f t="shared" ref="D241" si="127">D240</f>
        <v>C100046</v>
      </c>
      <c r="E241" s="77"/>
      <c r="F241" s="76"/>
      <c r="G241" s="76" t="str">
        <f>"""NAV Direct"",""CRONUS JetCorp USA"",""32"",""1"",""168039"""</f>
        <v>"NAV Direct","CRONUS JetCorp USA","32","1","168039"</v>
      </c>
      <c r="H241" s="86">
        <v>43466</v>
      </c>
      <c r="I241" s="85">
        <v>168039</v>
      </c>
      <c r="J241" s="84" t="str">
        <f>"Vendor"</f>
        <v>Vendor</v>
      </c>
      <c r="K241" s="84" t="str">
        <f>"V100001"</f>
        <v>V100001</v>
      </c>
      <c r="L241" s="84" t="str">
        <f>IF($J241="Customer",_xll.NL("first",$J241,"Name","No.","@@"&amp;$K241),"")</f>
        <v/>
      </c>
      <c r="M241" s="84" t="str">
        <f>"Greigner, Inc."</f>
        <v>Greigner, Inc.</v>
      </c>
      <c r="N241" s="84" t="str">
        <f>IF($J241="Item",_xll.NL("first",$J241,"Description","No.","@@"&amp;$K241),"")</f>
        <v/>
      </c>
      <c r="O241" s="83">
        <v>100</v>
      </c>
      <c r="P241" s="83">
        <v>0</v>
      </c>
      <c r="Q241" s="83">
        <v>0</v>
      </c>
      <c r="R241" s="83">
        <v>0</v>
      </c>
      <c r="S241" s="83">
        <v>0</v>
      </c>
      <c r="T241" s="83">
        <v>0</v>
      </c>
      <c r="U241" s="82"/>
    </row>
    <row r="242" spans="1:21" ht="17.25" customHeight="1" x14ac:dyDescent="0.3">
      <c r="A242" s="66" t="s">
        <v>30</v>
      </c>
      <c r="C242" s="67"/>
      <c r="D242" s="77"/>
      <c r="E242" s="77"/>
      <c r="F242" s="76"/>
      <c r="G242" s="76"/>
      <c r="H242" s="76"/>
      <c r="I242" s="76"/>
      <c r="J242" s="76"/>
      <c r="K242" s="76"/>
      <c r="L242" s="76"/>
      <c r="M242" s="76"/>
      <c r="N242" s="76"/>
      <c r="O242" s="75"/>
      <c r="P242" s="75"/>
      <c r="Q242" s="75"/>
      <c r="R242" s="75"/>
      <c r="S242" s="75"/>
      <c r="T242" s="75"/>
      <c r="U242" s="74"/>
    </row>
    <row r="243" spans="1:21" ht="17.25" customHeight="1" x14ac:dyDescent="0.3">
      <c r="A243" s="66" t="s">
        <v>30</v>
      </c>
      <c r="C243" s="67"/>
      <c r="D243" s="77"/>
      <c r="E243" s="77" t="s">
        <v>31</v>
      </c>
      <c r="F243" s="76" t="s">
        <v>31</v>
      </c>
      <c r="G243" s="76" t="s">
        <v>31</v>
      </c>
      <c r="H243" s="76"/>
      <c r="I243" s="76"/>
      <c r="J243" s="76" t="s">
        <v>31</v>
      </c>
      <c r="K243" s="76" t="s">
        <v>31</v>
      </c>
      <c r="L243" s="76" t="s">
        <v>31</v>
      </c>
      <c r="M243" s="76" t="s">
        <v>31</v>
      </c>
      <c r="N243" s="76"/>
      <c r="U243" s="81"/>
    </row>
    <row r="244" spans="1:21" ht="20.25" customHeight="1" x14ac:dyDescent="0.35">
      <c r="A244" s="66" t="s">
        <v>30</v>
      </c>
      <c r="C244" s="67"/>
      <c r="D244" s="92" t="str">
        <f t="shared" ref="D244" si="128">E244</f>
        <v>C100048</v>
      </c>
      <c r="E244" s="91" t="str">
        <f>"C100048"</f>
        <v>C100048</v>
      </c>
      <c r="F244" s="89" t="str">
        <f>"USB MP3 Player"</f>
        <v>USB MP3 Player</v>
      </c>
      <c r="G244" s="89"/>
      <c r="H244" s="90" t="str">
        <f>"EA"</f>
        <v>EA</v>
      </c>
      <c r="I244" s="89"/>
      <c r="J244" s="89"/>
      <c r="K244" s="89"/>
      <c r="L244" s="89"/>
      <c r="M244" s="89"/>
      <c r="N244" s="89"/>
      <c r="O244" s="88">
        <f>(SUBTOTAL(9,O245:O246))</f>
        <v>100</v>
      </c>
      <c r="P244" s="88">
        <f>(SUBTOTAL(9,P245:P246))</f>
        <v>0</v>
      </c>
      <c r="Q244" s="88">
        <f>(SUBTOTAL(9,Q245:Q246))</f>
        <v>0</v>
      </c>
      <c r="R244" s="88">
        <f>(SUBTOTAL(9,R245:R246))</f>
        <v>0</v>
      </c>
      <c r="S244" s="88">
        <f>(SUBTOTAL(9,S245:S246))</f>
        <v>0</v>
      </c>
      <c r="T244" s="88">
        <f>(SUBTOTAL(9,T245:T246))</f>
        <v>0</v>
      </c>
      <c r="U244" s="87">
        <f t="shared" ref="U244" si="129">SUBTOTAL(9,O245:T246)</f>
        <v>100</v>
      </c>
    </row>
    <row r="245" spans="1:21" ht="17.25" customHeight="1" x14ac:dyDescent="0.3">
      <c r="A245" s="66" t="s">
        <v>30</v>
      </c>
      <c r="C245" s="67"/>
      <c r="D245" s="77" t="str">
        <f t="shared" ref="D245" si="130">D244</f>
        <v>C100048</v>
      </c>
      <c r="E245" s="77"/>
      <c r="F245" s="76"/>
      <c r="G245" s="76" t="str">
        <f>"""NAV Direct"",""CRONUS JetCorp USA"",""32"",""1"",""168038"""</f>
        <v>"NAV Direct","CRONUS JetCorp USA","32","1","168038"</v>
      </c>
      <c r="H245" s="86">
        <v>43466</v>
      </c>
      <c r="I245" s="85">
        <v>168038</v>
      </c>
      <c r="J245" s="84" t="str">
        <f>"Vendor"</f>
        <v>Vendor</v>
      </c>
      <c r="K245" s="84" t="str">
        <f>"V100001"</f>
        <v>V100001</v>
      </c>
      <c r="L245" s="84" t="str">
        <f>IF($J245="Customer",_xll.NL("first",$J245,"Name","No.","@@"&amp;$K245),"")</f>
        <v/>
      </c>
      <c r="M245" s="84" t="str">
        <f>"Greigner, Inc."</f>
        <v>Greigner, Inc.</v>
      </c>
      <c r="N245" s="84" t="str">
        <f>IF($J245="Item",_xll.NL("first",$J245,"Description","No.","@@"&amp;$K245),"")</f>
        <v/>
      </c>
      <c r="O245" s="83">
        <v>100</v>
      </c>
      <c r="P245" s="83">
        <v>0</v>
      </c>
      <c r="Q245" s="83">
        <v>0</v>
      </c>
      <c r="R245" s="83">
        <v>0</v>
      </c>
      <c r="S245" s="83">
        <v>0</v>
      </c>
      <c r="T245" s="83">
        <v>0</v>
      </c>
      <c r="U245" s="82"/>
    </row>
    <row r="246" spans="1:21" ht="17.25" customHeight="1" x14ac:dyDescent="0.3">
      <c r="A246" s="66" t="s">
        <v>30</v>
      </c>
      <c r="C246" s="67"/>
      <c r="D246" s="77"/>
      <c r="E246" s="77"/>
      <c r="F246" s="76"/>
      <c r="G246" s="76"/>
      <c r="H246" s="76"/>
      <c r="I246" s="76"/>
      <c r="J246" s="76"/>
      <c r="K246" s="76"/>
      <c r="L246" s="76"/>
      <c r="M246" s="76"/>
      <c r="N246" s="76"/>
      <c r="O246" s="75"/>
      <c r="P246" s="75"/>
      <c r="Q246" s="75"/>
      <c r="R246" s="75"/>
      <c r="S246" s="75"/>
      <c r="T246" s="75"/>
      <c r="U246" s="74"/>
    </row>
    <row r="247" spans="1:21" ht="17.25" customHeight="1" x14ac:dyDescent="0.3">
      <c r="A247" s="66" t="s">
        <v>30</v>
      </c>
      <c r="C247" s="67"/>
      <c r="D247" s="77"/>
      <c r="E247" s="77" t="s">
        <v>31</v>
      </c>
      <c r="F247" s="76" t="s">
        <v>31</v>
      </c>
      <c r="G247" s="76" t="s">
        <v>31</v>
      </c>
      <c r="H247" s="76"/>
      <c r="I247" s="76"/>
      <c r="J247" s="76" t="s">
        <v>31</v>
      </c>
      <c r="K247" s="76" t="s">
        <v>31</v>
      </c>
      <c r="L247" s="76" t="s">
        <v>31</v>
      </c>
      <c r="M247" s="76" t="s">
        <v>31</v>
      </c>
      <c r="N247" s="76"/>
      <c r="U247" s="81"/>
    </row>
    <row r="248" spans="1:21" ht="20.25" customHeight="1" x14ac:dyDescent="0.35">
      <c r="A248" s="66" t="s">
        <v>30</v>
      </c>
      <c r="C248" s="67"/>
      <c r="D248" s="92" t="str">
        <f t="shared" ref="D248" si="131">E248</f>
        <v>C100049</v>
      </c>
      <c r="E248" s="91" t="str">
        <f>"C100049"</f>
        <v>C100049</v>
      </c>
      <c r="F248" s="89" t="str">
        <f>"4GB MP3 Player"</f>
        <v>4GB MP3 Player</v>
      </c>
      <c r="G248" s="89"/>
      <c r="H248" s="90" t="str">
        <f>"EA"</f>
        <v>EA</v>
      </c>
      <c r="I248" s="89"/>
      <c r="J248" s="89"/>
      <c r="K248" s="89"/>
      <c r="L248" s="89"/>
      <c r="M248" s="89"/>
      <c r="N248" s="89"/>
      <c r="O248" s="88">
        <f>(SUBTOTAL(9,O249:O250))</f>
        <v>0</v>
      </c>
      <c r="P248" s="88">
        <f>(SUBTOTAL(9,P249:P250))</f>
        <v>-6</v>
      </c>
      <c r="Q248" s="88">
        <f>(SUBTOTAL(9,Q249:Q250))</f>
        <v>0</v>
      </c>
      <c r="R248" s="88">
        <f>(SUBTOTAL(9,R249:R250))</f>
        <v>0</v>
      </c>
      <c r="S248" s="88">
        <f>(SUBTOTAL(9,S249:S250))</f>
        <v>0</v>
      </c>
      <c r="T248" s="88">
        <f>(SUBTOTAL(9,T249:T250))</f>
        <v>0</v>
      </c>
      <c r="U248" s="87">
        <f t="shared" ref="U248" si="132">SUBTOTAL(9,O249:T250)</f>
        <v>-6</v>
      </c>
    </row>
    <row r="249" spans="1:21" ht="17.25" customHeight="1" x14ac:dyDescent="0.3">
      <c r="A249" s="66" t="s">
        <v>30</v>
      </c>
      <c r="C249" s="67"/>
      <c r="D249" s="77" t="str">
        <f t="shared" ref="D249" si="133">D248</f>
        <v>C100049</v>
      </c>
      <c r="E249" s="77"/>
      <c r="F249" s="76"/>
      <c r="G249" s="76" t="str">
        <f>"""NAV Direct"",""CRONUS JetCorp USA"",""32"",""1"",""116380"""</f>
        <v>"NAV Direct","CRONUS JetCorp USA","32","1","116380"</v>
      </c>
      <c r="H249" s="86">
        <v>43473</v>
      </c>
      <c r="I249" s="85">
        <v>116380</v>
      </c>
      <c r="J249" s="84" t="str">
        <f>"Customer"</f>
        <v>Customer</v>
      </c>
      <c r="K249" s="84" t="str">
        <f>"C100066"</f>
        <v>C100066</v>
      </c>
      <c r="L249" s="84" t="str">
        <f>IF($J249="Customer",_xll.NL("first",$J249,"Name","No.","@@"&amp;$K249),"")</f>
        <v>Office Solutions</v>
      </c>
      <c r="M249" s="84" t="str">
        <f>""</f>
        <v/>
      </c>
      <c r="N249" s="84" t="str">
        <f>IF($J249="Item",_xll.NL("first",$J249,"Description","No.","@@"&amp;$K249),"")</f>
        <v/>
      </c>
      <c r="O249" s="83">
        <v>0</v>
      </c>
      <c r="P249" s="83">
        <v>-6</v>
      </c>
      <c r="Q249" s="83">
        <v>0</v>
      </c>
      <c r="R249" s="83">
        <v>0</v>
      </c>
      <c r="S249" s="83">
        <v>0</v>
      </c>
      <c r="T249" s="83">
        <v>0</v>
      </c>
      <c r="U249" s="82"/>
    </row>
    <row r="250" spans="1:21" ht="17.25" customHeight="1" x14ac:dyDescent="0.3">
      <c r="A250" s="66" t="s">
        <v>30</v>
      </c>
      <c r="C250" s="67"/>
      <c r="D250" s="77"/>
      <c r="E250" s="77"/>
      <c r="F250" s="76"/>
      <c r="G250" s="76"/>
      <c r="H250" s="76"/>
      <c r="I250" s="76"/>
      <c r="J250" s="76"/>
      <c r="K250" s="76"/>
      <c r="L250" s="76"/>
      <c r="M250" s="76"/>
      <c r="N250" s="76"/>
      <c r="O250" s="75"/>
      <c r="P250" s="75"/>
      <c r="Q250" s="75"/>
      <c r="R250" s="75"/>
      <c r="S250" s="75"/>
      <c r="T250" s="75"/>
      <c r="U250" s="74"/>
    </row>
    <row r="251" spans="1:21" ht="17.25" customHeight="1" x14ac:dyDescent="0.3">
      <c r="A251" s="66" t="s">
        <v>30</v>
      </c>
      <c r="C251" s="67"/>
      <c r="D251" s="77"/>
      <c r="E251" s="77" t="s">
        <v>31</v>
      </c>
      <c r="F251" s="76" t="s">
        <v>31</v>
      </c>
      <c r="G251" s="76" t="s">
        <v>31</v>
      </c>
      <c r="H251" s="76"/>
      <c r="I251" s="76"/>
      <c r="J251" s="76" t="s">
        <v>31</v>
      </c>
      <c r="K251" s="76" t="s">
        <v>31</v>
      </c>
      <c r="L251" s="76" t="s">
        <v>31</v>
      </c>
      <c r="M251" s="76" t="s">
        <v>31</v>
      </c>
      <c r="N251" s="76"/>
      <c r="U251" s="81"/>
    </row>
    <row r="252" spans="1:21" ht="20.25" customHeight="1" x14ac:dyDescent="0.35">
      <c r="A252" s="66" t="s">
        <v>30</v>
      </c>
      <c r="C252" s="67"/>
      <c r="D252" s="92" t="str">
        <f t="shared" ref="D252" si="134">E252</f>
        <v>C100052</v>
      </c>
      <c r="E252" s="91" t="str">
        <f>"C100052"</f>
        <v>C100052</v>
      </c>
      <c r="F252" s="89" t="str">
        <f>"Black Digital Picture Frame"</f>
        <v>Black Digital Picture Frame</v>
      </c>
      <c r="G252" s="89"/>
      <c r="H252" s="90" t="str">
        <f>"EA"</f>
        <v>EA</v>
      </c>
      <c r="I252" s="89"/>
      <c r="J252" s="89"/>
      <c r="K252" s="89"/>
      <c r="L252" s="89"/>
      <c r="M252" s="89"/>
      <c r="N252" s="89"/>
      <c r="O252" s="88">
        <f>(SUBTOTAL(9,O253:O254))</f>
        <v>0</v>
      </c>
      <c r="P252" s="88">
        <f>(SUBTOTAL(9,P253:P254))</f>
        <v>-48</v>
      </c>
      <c r="Q252" s="88">
        <f>(SUBTOTAL(9,Q253:Q254))</f>
        <v>0</v>
      </c>
      <c r="R252" s="88">
        <f>(SUBTOTAL(9,R253:R254))</f>
        <v>0</v>
      </c>
      <c r="S252" s="88">
        <f>(SUBTOTAL(9,S253:S254))</f>
        <v>0</v>
      </c>
      <c r="T252" s="88">
        <f>(SUBTOTAL(9,T253:T254))</f>
        <v>0</v>
      </c>
      <c r="U252" s="87">
        <f t="shared" ref="U252" si="135">SUBTOTAL(9,O253:T254)</f>
        <v>-48</v>
      </c>
    </row>
    <row r="253" spans="1:21" ht="17.25" customHeight="1" x14ac:dyDescent="0.3">
      <c r="A253" s="66" t="s">
        <v>30</v>
      </c>
      <c r="C253" s="67"/>
      <c r="D253" s="77" t="str">
        <f t="shared" ref="D253" si="136">D252</f>
        <v>C100052</v>
      </c>
      <c r="E253" s="77"/>
      <c r="F253" s="76"/>
      <c r="G253" s="76" t="str">
        <f>"""NAV Direct"",""CRONUS JetCorp USA"",""32"",""1"",""10218"""</f>
        <v>"NAV Direct","CRONUS JetCorp USA","32","1","10218"</v>
      </c>
      <c r="H253" s="86">
        <v>43471</v>
      </c>
      <c r="I253" s="85">
        <v>10218</v>
      </c>
      <c r="J253" s="84" t="str">
        <f>"Customer"</f>
        <v>Customer</v>
      </c>
      <c r="K253" s="84" t="str">
        <f>"C100066"</f>
        <v>C100066</v>
      </c>
      <c r="L253" s="84" t="str">
        <f>IF($J253="Customer",_xll.NL("first",$J253,"Name","No.","@@"&amp;$K253),"")</f>
        <v>Office Solutions</v>
      </c>
      <c r="M253" s="84" t="str">
        <f>""</f>
        <v/>
      </c>
      <c r="N253" s="84" t="str">
        <f>IF($J253="Item",_xll.NL("first",$J253,"Description","No.","@@"&amp;$K253),"")</f>
        <v/>
      </c>
      <c r="O253" s="83">
        <v>0</v>
      </c>
      <c r="P253" s="83">
        <v>-48</v>
      </c>
      <c r="Q253" s="83">
        <v>0</v>
      </c>
      <c r="R253" s="83">
        <v>0</v>
      </c>
      <c r="S253" s="83">
        <v>0</v>
      </c>
      <c r="T253" s="83">
        <v>0</v>
      </c>
      <c r="U253" s="82"/>
    </row>
    <row r="254" spans="1:21" ht="17.25" customHeight="1" x14ac:dyDescent="0.3">
      <c r="A254" s="66" t="s">
        <v>30</v>
      </c>
      <c r="C254" s="67"/>
      <c r="D254" s="77"/>
      <c r="E254" s="77"/>
      <c r="F254" s="76"/>
      <c r="G254" s="76"/>
      <c r="H254" s="76"/>
      <c r="I254" s="76"/>
      <c r="J254" s="76"/>
      <c r="K254" s="76"/>
      <c r="L254" s="76"/>
      <c r="M254" s="76"/>
      <c r="N254" s="76"/>
      <c r="O254" s="75"/>
      <c r="P254" s="75"/>
      <c r="Q254" s="75"/>
      <c r="R254" s="75"/>
      <c r="S254" s="75"/>
      <c r="T254" s="75"/>
      <c r="U254" s="74"/>
    </row>
    <row r="255" spans="1:21" ht="17.25" customHeight="1" x14ac:dyDescent="0.3">
      <c r="A255" s="66" t="s">
        <v>30</v>
      </c>
      <c r="C255" s="67"/>
      <c r="D255" s="77"/>
      <c r="E255" s="77" t="s">
        <v>31</v>
      </c>
      <c r="F255" s="76" t="s">
        <v>31</v>
      </c>
      <c r="G255" s="76" t="s">
        <v>31</v>
      </c>
      <c r="H255" s="76"/>
      <c r="I255" s="76"/>
      <c r="J255" s="76" t="s">
        <v>31</v>
      </c>
      <c r="K255" s="76" t="s">
        <v>31</v>
      </c>
      <c r="L255" s="76" t="s">
        <v>31</v>
      </c>
      <c r="M255" s="76" t="s">
        <v>31</v>
      </c>
      <c r="N255" s="76"/>
      <c r="U255" s="81"/>
    </row>
    <row r="256" spans="1:21" ht="20.25" customHeight="1" x14ac:dyDescent="0.35">
      <c r="A256" s="66" t="s">
        <v>30</v>
      </c>
      <c r="C256" s="67"/>
      <c r="D256" s="92" t="str">
        <f t="shared" ref="D256" si="137">E256</f>
        <v>C100053</v>
      </c>
      <c r="E256" s="91" t="str">
        <f>"C100053"</f>
        <v>C100053</v>
      </c>
      <c r="F256" s="89" t="str">
        <f>"Book Style Photo Frame &amp; Clock"</f>
        <v>Book Style Photo Frame &amp; Clock</v>
      </c>
      <c r="G256" s="89"/>
      <c r="H256" s="90" t="str">
        <f>"EA"</f>
        <v>EA</v>
      </c>
      <c r="I256" s="89"/>
      <c r="J256" s="89"/>
      <c r="K256" s="89"/>
      <c r="L256" s="89"/>
      <c r="M256" s="89"/>
      <c r="N256" s="89"/>
      <c r="O256" s="88">
        <f>(SUBTOTAL(9,O257:O258))</f>
        <v>0</v>
      </c>
      <c r="P256" s="88">
        <f>(SUBTOTAL(9,P257:P258))</f>
        <v>-12</v>
      </c>
      <c r="Q256" s="88">
        <f>(SUBTOTAL(9,Q257:Q258))</f>
        <v>0</v>
      </c>
      <c r="R256" s="88">
        <f>(SUBTOTAL(9,R257:R258))</f>
        <v>0</v>
      </c>
      <c r="S256" s="88">
        <f>(SUBTOTAL(9,S257:S258))</f>
        <v>0</v>
      </c>
      <c r="T256" s="88">
        <f>(SUBTOTAL(9,T257:T258))</f>
        <v>0</v>
      </c>
      <c r="U256" s="87">
        <f t="shared" ref="U256" si="138">SUBTOTAL(9,O257:T258)</f>
        <v>-12</v>
      </c>
    </row>
    <row r="257" spans="1:21" ht="17.25" customHeight="1" x14ac:dyDescent="0.3">
      <c r="A257" s="66" t="s">
        <v>30</v>
      </c>
      <c r="C257" s="67"/>
      <c r="D257" s="77" t="str">
        <f t="shared" ref="D257" si="139">D256</f>
        <v>C100053</v>
      </c>
      <c r="E257" s="77"/>
      <c r="F257" s="76"/>
      <c r="G257" s="76" t="str">
        <f>"""NAV Direct"",""CRONUS JetCorp USA"",""32"",""1"",""116379"""</f>
        <v>"NAV Direct","CRONUS JetCorp USA","32","1","116379"</v>
      </c>
      <c r="H257" s="86">
        <v>43473</v>
      </c>
      <c r="I257" s="85">
        <v>116379</v>
      </c>
      <c r="J257" s="84" t="str">
        <f>"Customer"</f>
        <v>Customer</v>
      </c>
      <c r="K257" s="84" t="str">
        <f>"C100066"</f>
        <v>C100066</v>
      </c>
      <c r="L257" s="84" t="str">
        <f>IF($J257="Customer",_xll.NL("first",$J257,"Name","No.","@@"&amp;$K257),"")</f>
        <v>Office Solutions</v>
      </c>
      <c r="M257" s="84" t="str">
        <f>""</f>
        <v/>
      </c>
      <c r="N257" s="84" t="str">
        <f>IF($J257="Item",_xll.NL("first",$J257,"Description","No.","@@"&amp;$K257),"")</f>
        <v/>
      </c>
      <c r="O257" s="83">
        <v>0</v>
      </c>
      <c r="P257" s="83">
        <v>-12</v>
      </c>
      <c r="Q257" s="83">
        <v>0</v>
      </c>
      <c r="R257" s="83">
        <v>0</v>
      </c>
      <c r="S257" s="83">
        <v>0</v>
      </c>
      <c r="T257" s="83">
        <v>0</v>
      </c>
      <c r="U257" s="82"/>
    </row>
    <row r="258" spans="1:21" ht="17.25" customHeight="1" x14ac:dyDescent="0.3">
      <c r="A258" s="66" t="s">
        <v>30</v>
      </c>
      <c r="C258" s="67"/>
      <c r="D258" s="77"/>
      <c r="E258" s="77"/>
      <c r="F258" s="76"/>
      <c r="G258" s="76"/>
      <c r="H258" s="76"/>
      <c r="I258" s="76"/>
      <c r="J258" s="76"/>
      <c r="K258" s="76"/>
      <c r="L258" s="76"/>
      <c r="M258" s="76"/>
      <c r="N258" s="76"/>
      <c r="O258" s="75"/>
      <c r="P258" s="75"/>
      <c r="Q258" s="75"/>
      <c r="R258" s="75"/>
      <c r="S258" s="75"/>
      <c r="T258" s="75"/>
      <c r="U258" s="74"/>
    </row>
    <row r="259" spans="1:21" ht="17.25" customHeight="1" x14ac:dyDescent="0.3">
      <c r="A259" s="66" t="s">
        <v>30</v>
      </c>
      <c r="C259" s="67"/>
      <c r="D259" s="77"/>
      <c r="E259" s="77" t="s">
        <v>31</v>
      </c>
      <c r="F259" s="76" t="s">
        <v>31</v>
      </c>
      <c r="G259" s="76" t="s">
        <v>31</v>
      </c>
      <c r="H259" s="76"/>
      <c r="I259" s="76"/>
      <c r="J259" s="76" t="s">
        <v>31</v>
      </c>
      <c r="K259" s="76" t="s">
        <v>31</v>
      </c>
      <c r="L259" s="76" t="s">
        <v>31</v>
      </c>
      <c r="M259" s="76" t="s">
        <v>31</v>
      </c>
      <c r="N259" s="76"/>
      <c r="U259" s="81"/>
    </row>
    <row r="260" spans="1:21" ht="20.25" customHeight="1" x14ac:dyDescent="0.35">
      <c r="A260" s="66" t="s">
        <v>30</v>
      </c>
      <c r="C260" s="67"/>
      <c r="D260" s="92" t="str">
        <f t="shared" ref="D260" si="140">E260</f>
        <v>C100054</v>
      </c>
      <c r="E260" s="91" t="str">
        <f>"C100054"</f>
        <v>C100054</v>
      </c>
      <c r="F260" s="89" t="str">
        <f>"Cherry Finish Photo Frame &amp; Clock"</f>
        <v>Cherry Finish Photo Frame &amp; Clock</v>
      </c>
      <c r="G260" s="89"/>
      <c r="H260" s="90" t="str">
        <f>"EA"</f>
        <v>EA</v>
      </c>
      <c r="I260" s="89"/>
      <c r="J260" s="89"/>
      <c r="K260" s="89"/>
      <c r="L260" s="89"/>
      <c r="M260" s="89"/>
      <c r="N260" s="89"/>
      <c r="O260" s="88">
        <f>(SUBTOTAL(9,O261:O262))</f>
        <v>0</v>
      </c>
      <c r="P260" s="88">
        <f>(SUBTOTAL(9,P261:P262))</f>
        <v>-1</v>
      </c>
      <c r="Q260" s="88">
        <f>(SUBTOTAL(9,Q261:Q262))</f>
        <v>0</v>
      </c>
      <c r="R260" s="88">
        <f>(SUBTOTAL(9,R261:R262))</f>
        <v>0</v>
      </c>
      <c r="S260" s="88">
        <f>(SUBTOTAL(9,S261:S262))</f>
        <v>0</v>
      </c>
      <c r="T260" s="88">
        <f>(SUBTOTAL(9,T261:T262))</f>
        <v>0</v>
      </c>
      <c r="U260" s="87">
        <f t="shared" ref="U260" si="141">SUBTOTAL(9,O261:T262)</f>
        <v>-1</v>
      </c>
    </row>
    <row r="261" spans="1:21" ht="17.25" customHeight="1" x14ac:dyDescent="0.3">
      <c r="A261" s="66" t="s">
        <v>30</v>
      </c>
      <c r="C261" s="67"/>
      <c r="D261" s="77" t="str">
        <f t="shared" ref="D261" si="142">D260</f>
        <v>C100054</v>
      </c>
      <c r="E261" s="77"/>
      <c r="F261" s="76"/>
      <c r="G261" s="76" t="str">
        <f>"""NAV Direct"",""CRONUS JetCorp USA"",""32"",""1"",""10224"""</f>
        <v>"NAV Direct","CRONUS JetCorp USA","32","1","10224"</v>
      </c>
      <c r="H261" s="86">
        <v>43471</v>
      </c>
      <c r="I261" s="85">
        <v>10224</v>
      </c>
      <c r="J261" s="84" t="str">
        <f>"Customer"</f>
        <v>Customer</v>
      </c>
      <c r="K261" s="84" t="str">
        <f>"C100066"</f>
        <v>C100066</v>
      </c>
      <c r="L261" s="84" t="str">
        <f>IF($J261="Customer",_xll.NL("first",$J261,"Name","No.","@@"&amp;$K261),"")</f>
        <v>Office Solutions</v>
      </c>
      <c r="M261" s="84" t="str">
        <f>""</f>
        <v/>
      </c>
      <c r="N261" s="84" t="str">
        <f>IF($J261="Item",_xll.NL("first",$J261,"Description","No.","@@"&amp;$K261),"")</f>
        <v/>
      </c>
      <c r="O261" s="83">
        <v>0</v>
      </c>
      <c r="P261" s="83">
        <v>-1</v>
      </c>
      <c r="Q261" s="83">
        <v>0</v>
      </c>
      <c r="R261" s="83">
        <v>0</v>
      </c>
      <c r="S261" s="83">
        <v>0</v>
      </c>
      <c r="T261" s="83">
        <v>0</v>
      </c>
      <c r="U261" s="82"/>
    </row>
    <row r="262" spans="1:21" ht="17.25" customHeight="1" x14ac:dyDescent="0.3">
      <c r="A262" s="66" t="s">
        <v>30</v>
      </c>
      <c r="C262" s="67"/>
      <c r="D262" s="77"/>
      <c r="E262" s="77"/>
      <c r="F262" s="76"/>
      <c r="G262" s="76"/>
      <c r="H262" s="76"/>
      <c r="I262" s="76"/>
      <c r="J262" s="76"/>
      <c r="K262" s="76"/>
      <c r="L262" s="76"/>
      <c r="M262" s="76"/>
      <c r="N262" s="76"/>
      <c r="O262" s="75"/>
      <c r="P262" s="75"/>
      <c r="Q262" s="75"/>
      <c r="R262" s="75"/>
      <c r="S262" s="75"/>
      <c r="T262" s="75"/>
      <c r="U262" s="74"/>
    </row>
    <row r="263" spans="1:21" ht="17.25" customHeight="1" x14ac:dyDescent="0.3">
      <c r="A263" s="66" t="s">
        <v>30</v>
      </c>
      <c r="C263" s="67"/>
      <c r="D263" s="77"/>
      <c r="E263" s="77" t="s">
        <v>31</v>
      </c>
      <c r="F263" s="76" t="s">
        <v>31</v>
      </c>
      <c r="G263" s="76" t="s">
        <v>31</v>
      </c>
      <c r="H263" s="76"/>
      <c r="I263" s="76"/>
      <c r="J263" s="76" t="s">
        <v>31</v>
      </c>
      <c r="K263" s="76" t="s">
        <v>31</v>
      </c>
      <c r="L263" s="76" t="s">
        <v>31</v>
      </c>
      <c r="M263" s="76" t="s">
        <v>31</v>
      </c>
      <c r="N263" s="76"/>
      <c r="U263" s="81"/>
    </row>
    <row r="264" spans="1:21" ht="20.25" customHeight="1" x14ac:dyDescent="0.35">
      <c r="A264" s="66" t="s">
        <v>30</v>
      </c>
      <c r="C264" s="67"/>
      <c r="D264" s="92" t="str">
        <f t="shared" ref="D264" si="143">E264</f>
        <v>C100055</v>
      </c>
      <c r="E264" s="91" t="str">
        <f>"C100055"</f>
        <v>C100055</v>
      </c>
      <c r="F264" s="89" t="str">
        <f>"Silver Plated Photo Frame"</f>
        <v>Silver Plated Photo Frame</v>
      </c>
      <c r="G264" s="89"/>
      <c r="H264" s="90" t="str">
        <f>"EA"</f>
        <v>EA</v>
      </c>
      <c r="I264" s="89"/>
      <c r="J264" s="89"/>
      <c r="K264" s="89"/>
      <c r="L264" s="89"/>
      <c r="M264" s="89"/>
      <c r="N264" s="89"/>
      <c r="O264" s="88">
        <f>(SUBTOTAL(9,O265:O266))</f>
        <v>0</v>
      </c>
      <c r="P264" s="88">
        <f>(SUBTOTAL(9,P265:P266))</f>
        <v>-1</v>
      </c>
      <c r="Q264" s="88">
        <f>(SUBTOTAL(9,Q265:Q266))</f>
        <v>0</v>
      </c>
      <c r="R264" s="88">
        <f>(SUBTOTAL(9,R265:R266))</f>
        <v>0</v>
      </c>
      <c r="S264" s="88">
        <f>(SUBTOTAL(9,S265:S266))</f>
        <v>0</v>
      </c>
      <c r="T264" s="88">
        <f>(SUBTOTAL(9,T265:T266))</f>
        <v>0</v>
      </c>
      <c r="U264" s="87">
        <f t="shared" ref="U264" si="144">SUBTOTAL(9,O265:T266)</f>
        <v>-1</v>
      </c>
    </row>
    <row r="265" spans="1:21" ht="17.25" customHeight="1" x14ac:dyDescent="0.3">
      <c r="A265" s="66" t="s">
        <v>30</v>
      </c>
      <c r="C265" s="67"/>
      <c r="D265" s="77" t="str">
        <f t="shared" ref="D265" si="145">D264</f>
        <v>C100055</v>
      </c>
      <c r="E265" s="77"/>
      <c r="F265" s="76"/>
      <c r="G265" s="76" t="str">
        <f>"""NAV Direct"",""CRONUS JetCorp USA"",""32"",""1"",""10223"""</f>
        <v>"NAV Direct","CRONUS JetCorp USA","32","1","10223"</v>
      </c>
      <c r="H265" s="86">
        <v>43471</v>
      </c>
      <c r="I265" s="85">
        <v>10223</v>
      </c>
      <c r="J265" s="84" t="str">
        <f>"Customer"</f>
        <v>Customer</v>
      </c>
      <c r="K265" s="84" t="str">
        <f>"C100066"</f>
        <v>C100066</v>
      </c>
      <c r="L265" s="84" t="str">
        <f>IF($J265="Customer",_xll.NL("first",$J265,"Name","No.","@@"&amp;$K265),"")</f>
        <v>Office Solutions</v>
      </c>
      <c r="M265" s="84" t="str">
        <f>""</f>
        <v/>
      </c>
      <c r="N265" s="84" t="str">
        <f>IF($J265="Item",_xll.NL("first",$J265,"Description","No.","@@"&amp;$K265),"")</f>
        <v/>
      </c>
      <c r="O265" s="83">
        <v>0</v>
      </c>
      <c r="P265" s="83">
        <v>-1</v>
      </c>
      <c r="Q265" s="83">
        <v>0</v>
      </c>
      <c r="R265" s="83">
        <v>0</v>
      </c>
      <c r="S265" s="83">
        <v>0</v>
      </c>
      <c r="T265" s="83">
        <v>0</v>
      </c>
      <c r="U265" s="82"/>
    </row>
    <row r="266" spans="1:21" ht="17.25" customHeight="1" x14ac:dyDescent="0.3">
      <c r="A266" s="66" t="s">
        <v>30</v>
      </c>
      <c r="C266" s="67"/>
      <c r="D266" s="77"/>
      <c r="E266" s="77"/>
      <c r="F266" s="76"/>
      <c r="G266" s="76"/>
      <c r="H266" s="76"/>
      <c r="I266" s="76"/>
      <c r="J266" s="76"/>
      <c r="K266" s="76"/>
      <c r="L266" s="76"/>
      <c r="M266" s="76"/>
      <c r="N266" s="76"/>
      <c r="O266" s="75"/>
      <c r="P266" s="75"/>
      <c r="Q266" s="75"/>
      <c r="R266" s="75"/>
      <c r="S266" s="75"/>
      <c r="T266" s="75"/>
      <c r="U266" s="74"/>
    </row>
    <row r="267" spans="1:21" ht="17.25" customHeight="1" x14ac:dyDescent="0.3">
      <c r="A267" s="66" t="s">
        <v>30</v>
      </c>
      <c r="C267" s="67"/>
      <c r="D267" s="77"/>
      <c r="E267" s="77" t="s">
        <v>31</v>
      </c>
      <c r="F267" s="76" t="s">
        <v>31</v>
      </c>
      <c r="G267" s="76" t="s">
        <v>31</v>
      </c>
      <c r="H267" s="76"/>
      <c r="I267" s="76"/>
      <c r="J267" s="76" t="s">
        <v>31</v>
      </c>
      <c r="K267" s="76" t="s">
        <v>31</v>
      </c>
      <c r="L267" s="76" t="s">
        <v>31</v>
      </c>
      <c r="M267" s="76" t="s">
        <v>31</v>
      </c>
      <c r="N267" s="76"/>
      <c r="U267" s="81"/>
    </row>
    <row r="268" spans="1:21" ht="20.25" customHeight="1" x14ac:dyDescent="0.35">
      <c r="A268" s="66" t="s">
        <v>30</v>
      </c>
      <c r="C268" s="67"/>
      <c r="D268" s="92" t="str">
        <f t="shared" ref="D268" si="146">E268</f>
        <v>C100056</v>
      </c>
      <c r="E268" s="91" t="str">
        <f>"C100056"</f>
        <v>C100056</v>
      </c>
      <c r="F268" s="89" t="str">
        <f>"Contemporary Desk Calculator"</f>
        <v>Contemporary Desk Calculator</v>
      </c>
      <c r="G268" s="89"/>
      <c r="H268" s="90" t="str">
        <f>"EA"</f>
        <v>EA</v>
      </c>
      <c r="I268" s="89"/>
      <c r="J268" s="89"/>
      <c r="K268" s="89"/>
      <c r="L268" s="89"/>
      <c r="M268" s="89"/>
      <c r="N268" s="89"/>
      <c r="O268" s="88">
        <f>(SUBTOTAL(9,O269:O271))</f>
        <v>999.99999999999989</v>
      </c>
      <c r="P268" s="88">
        <f>(SUBTOTAL(9,P269:P271))</f>
        <v>-288</v>
      </c>
      <c r="Q268" s="88">
        <f>(SUBTOTAL(9,Q269:Q271))</f>
        <v>0</v>
      </c>
      <c r="R268" s="88">
        <f>(SUBTOTAL(9,R269:R271))</f>
        <v>0</v>
      </c>
      <c r="S268" s="88">
        <f>(SUBTOTAL(9,S269:S271))</f>
        <v>0</v>
      </c>
      <c r="T268" s="88">
        <f>(SUBTOTAL(9,T269:T271))</f>
        <v>0</v>
      </c>
      <c r="U268" s="87">
        <f t="shared" ref="U268" si="147">SUBTOTAL(9,O269:T271)</f>
        <v>711.99999999999989</v>
      </c>
    </row>
    <row r="269" spans="1:21" ht="17.25" customHeight="1" x14ac:dyDescent="0.3">
      <c r="A269" s="66" t="s">
        <v>30</v>
      </c>
      <c r="C269" s="67"/>
      <c r="D269" s="77" t="str">
        <f t="shared" ref="D269" si="148">D268</f>
        <v>C100056</v>
      </c>
      <c r="E269" s="77"/>
      <c r="F269" s="76"/>
      <c r="G269" s="76" t="str">
        <f>"""NAV Direct"",""CRONUS JetCorp USA"",""32"",""1"",""168345"""</f>
        <v>"NAV Direct","CRONUS JetCorp USA","32","1","168345"</v>
      </c>
      <c r="H269" s="86">
        <v>43466</v>
      </c>
      <c r="I269" s="85">
        <v>168345</v>
      </c>
      <c r="J269" s="84" t="str">
        <f>"Vendor"</f>
        <v>Vendor</v>
      </c>
      <c r="K269" s="84" t="str">
        <f>"V100001"</f>
        <v>V100001</v>
      </c>
      <c r="L269" s="84" t="str">
        <f>IF($J269="Customer",_xll.NL("first",$J269,"Name","No.","@@"&amp;$K269),"")</f>
        <v/>
      </c>
      <c r="M269" s="84" t="str">
        <f>"Greigner, Inc."</f>
        <v>Greigner, Inc.</v>
      </c>
      <c r="N269" s="84" t="str">
        <f>IF($J269="Item",_xll.NL("first",$J269,"Description","No.","@@"&amp;$K269),"")</f>
        <v/>
      </c>
      <c r="O269" s="83">
        <v>999.99999999999989</v>
      </c>
      <c r="P269" s="83">
        <v>0</v>
      </c>
      <c r="Q269" s="83">
        <v>0</v>
      </c>
      <c r="R269" s="83">
        <v>0</v>
      </c>
      <c r="S269" s="83">
        <v>0</v>
      </c>
      <c r="T269" s="83">
        <v>0</v>
      </c>
      <c r="U269" s="82"/>
    </row>
    <row r="270" spans="1:21" ht="17.25" customHeight="1" x14ac:dyDescent="0.3">
      <c r="A270" s="66" t="s">
        <v>30</v>
      </c>
      <c r="C270" s="67"/>
      <c r="D270" s="77" t="str">
        <f t="shared" ref="D270" si="149">D269</f>
        <v>C100056</v>
      </c>
      <c r="E270" s="77"/>
      <c r="F270" s="76"/>
      <c r="G270" s="76" t="str">
        <f>"""NAV Direct"",""CRONUS JetCorp USA"",""32"",""1"",""64593"""</f>
        <v>"NAV Direct","CRONUS JetCorp USA","32","1","64593"</v>
      </c>
      <c r="H270" s="86">
        <v>43472</v>
      </c>
      <c r="I270" s="85">
        <v>64593</v>
      </c>
      <c r="J270" s="84" t="str">
        <f>"Customer"</f>
        <v>Customer</v>
      </c>
      <c r="K270" s="84" t="str">
        <f>"C100140"</f>
        <v>C100140</v>
      </c>
      <c r="L270" s="84" t="str">
        <f>IF($J270="Customer",_xll.NL("first",$J270,"Name","No.","@@"&amp;$K270),"")</f>
        <v>Super Daves</v>
      </c>
      <c r="M270" s="84" t="str">
        <f>""</f>
        <v/>
      </c>
      <c r="N270" s="84" t="str">
        <f>IF($J270="Item",_xll.NL("first",$J270,"Description","No.","@@"&amp;$K270),"")</f>
        <v/>
      </c>
      <c r="O270" s="83">
        <v>0</v>
      </c>
      <c r="P270" s="83">
        <v>-288</v>
      </c>
      <c r="Q270" s="83">
        <v>0</v>
      </c>
      <c r="R270" s="83">
        <v>0</v>
      </c>
      <c r="S270" s="83">
        <v>0</v>
      </c>
      <c r="T270" s="83">
        <v>0</v>
      </c>
      <c r="U270" s="82"/>
    </row>
    <row r="271" spans="1:21" ht="17.25" customHeight="1" x14ac:dyDescent="0.3">
      <c r="A271" s="66" t="s">
        <v>30</v>
      </c>
      <c r="C271" s="67"/>
      <c r="D271" s="77"/>
      <c r="E271" s="77"/>
      <c r="F271" s="76"/>
      <c r="G271" s="76"/>
      <c r="H271" s="76"/>
      <c r="I271" s="76"/>
      <c r="J271" s="76"/>
      <c r="K271" s="76"/>
      <c r="L271" s="76"/>
      <c r="M271" s="76"/>
      <c r="N271" s="76"/>
      <c r="O271" s="75"/>
      <c r="P271" s="75"/>
      <c r="Q271" s="75"/>
      <c r="R271" s="75"/>
      <c r="S271" s="75"/>
      <c r="T271" s="75"/>
      <c r="U271" s="74"/>
    </row>
    <row r="272" spans="1:21" ht="17.25" customHeight="1" x14ac:dyDescent="0.3">
      <c r="A272" s="66" t="s">
        <v>30</v>
      </c>
      <c r="C272" s="67"/>
      <c r="D272" s="77"/>
      <c r="E272" s="77" t="s">
        <v>31</v>
      </c>
      <c r="F272" s="76" t="s">
        <v>31</v>
      </c>
      <c r="G272" s="76" t="s">
        <v>31</v>
      </c>
      <c r="H272" s="76"/>
      <c r="I272" s="76"/>
      <c r="J272" s="76" t="s">
        <v>31</v>
      </c>
      <c r="K272" s="76" t="s">
        <v>31</v>
      </c>
      <c r="L272" s="76" t="s">
        <v>31</v>
      </c>
      <c r="M272" s="76" t="s">
        <v>31</v>
      </c>
      <c r="N272" s="76"/>
      <c r="U272" s="81"/>
    </row>
    <row r="273" spans="1:21" ht="20.25" customHeight="1" x14ac:dyDescent="0.35">
      <c r="A273" s="66" t="s">
        <v>30</v>
      </c>
      <c r="C273" s="67"/>
      <c r="D273" s="92" t="str">
        <f t="shared" ref="D273" si="150">E273</f>
        <v>C100061</v>
      </c>
      <c r="E273" s="91" t="str">
        <f>"C100061"</f>
        <v>C100061</v>
      </c>
      <c r="F273" s="89" t="str">
        <f>"Bistro Mug"</f>
        <v>Bistro Mug</v>
      </c>
      <c r="G273" s="89"/>
      <c r="H273" s="90" t="str">
        <f>"EA"</f>
        <v>EA</v>
      </c>
      <c r="I273" s="89"/>
      <c r="J273" s="89"/>
      <c r="K273" s="89"/>
      <c r="L273" s="89"/>
      <c r="M273" s="89"/>
      <c r="N273" s="89"/>
      <c r="O273" s="88">
        <f>(SUBTOTAL(9,O274:O278))</f>
        <v>2750</v>
      </c>
      <c r="P273" s="88">
        <f>(SUBTOTAL(9,P274:P278))</f>
        <v>-338</v>
      </c>
      <c r="Q273" s="88">
        <f>(SUBTOTAL(9,Q274:Q278))</f>
        <v>0</v>
      </c>
      <c r="R273" s="88">
        <f>(SUBTOTAL(9,R274:R278))</f>
        <v>0</v>
      </c>
      <c r="S273" s="88">
        <f>(SUBTOTAL(9,S274:S278))</f>
        <v>0</v>
      </c>
      <c r="T273" s="88">
        <f>(SUBTOTAL(9,T274:T278))</f>
        <v>0</v>
      </c>
      <c r="U273" s="87">
        <f t="shared" ref="U273" si="151">SUBTOTAL(9,O274:T278)</f>
        <v>2412</v>
      </c>
    </row>
    <row r="274" spans="1:21" ht="17.25" customHeight="1" x14ac:dyDescent="0.3">
      <c r="A274" s="66" t="s">
        <v>30</v>
      </c>
      <c r="C274" s="67"/>
      <c r="D274" s="77" t="str">
        <f t="shared" ref="D274" si="152">D273</f>
        <v>C100061</v>
      </c>
      <c r="E274" s="77"/>
      <c r="F274" s="76"/>
      <c r="G274" s="76" t="str">
        <f>"""NAV Direct"",""CRONUS JetCorp USA"",""32"",""1"",""168646"""</f>
        <v>"NAV Direct","CRONUS JetCorp USA","32","1","168646"</v>
      </c>
      <c r="H274" s="86">
        <v>43466</v>
      </c>
      <c r="I274" s="85">
        <v>168646</v>
      </c>
      <c r="J274" s="84" t="str">
        <f>"Vendor"</f>
        <v>Vendor</v>
      </c>
      <c r="K274" s="84" t="str">
        <f>"V100001"</f>
        <v>V100001</v>
      </c>
      <c r="L274" s="84" t="str">
        <f>IF($J274="Customer",_xll.NL("first",$J274,"Name","No.","@@"&amp;$K274),"")</f>
        <v/>
      </c>
      <c r="M274" s="84" t="str">
        <f>"Greigner, Inc."</f>
        <v>Greigner, Inc.</v>
      </c>
      <c r="N274" s="84" t="str">
        <f>IF($J274="Item",_xll.NL("first",$J274,"Description","No.","@@"&amp;$K274),"")</f>
        <v/>
      </c>
      <c r="O274" s="83">
        <v>2750</v>
      </c>
      <c r="P274" s="83">
        <v>0</v>
      </c>
      <c r="Q274" s="83">
        <v>0</v>
      </c>
      <c r="R274" s="83">
        <v>0</v>
      </c>
      <c r="S274" s="83">
        <v>0</v>
      </c>
      <c r="T274" s="83">
        <v>0</v>
      </c>
      <c r="U274" s="82"/>
    </row>
    <row r="275" spans="1:21" ht="17.25" customHeight="1" x14ac:dyDescent="0.3">
      <c r="A275" s="66" t="s">
        <v>30</v>
      </c>
      <c r="C275" s="67"/>
      <c r="D275" s="77" t="str">
        <f t="shared" ref="D275:D277" si="153">D274</f>
        <v>C100061</v>
      </c>
      <c r="E275" s="77"/>
      <c r="F275" s="76"/>
      <c r="G275" s="76" t="str">
        <f>"""NAV Direct"",""CRONUS JetCorp USA"",""32"",""1"",""64586"""</f>
        <v>"NAV Direct","CRONUS JetCorp USA","32","1","64586"</v>
      </c>
      <c r="H275" s="86">
        <v>43469</v>
      </c>
      <c r="I275" s="85">
        <v>64586</v>
      </c>
      <c r="J275" s="84" t="str">
        <f>"Customer"</f>
        <v>Customer</v>
      </c>
      <c r="K275" s="84" t="str">
        <f>"C100140"</f>
        <v>C100140</v>
      </c>
      <c r="L275" s="84" t="str">
        <f>IF($J275="Customer",_xll.NL("first",$J275,"Name","No.","@@"&amp;$K275),"")</f>
        <v>Super Daves</v>
      </c>
      <c r="M275" s="84" t="str">
        <f>""</f>
        <v/>
      </c>
      <c r="N275" s="84" t="str">
        <f>IF($J275="Item",_xll.NL("first",$J275,"Description","No.","@@"&amp;$K275),"")</f>
        <v/>
      </c>
      <c r="O275" s="83">
        <v>0</v>
      </c>
      <c r="P275" s="83">
        <v>-145</v>
      </c>
      <c r="Q275" s="83">
        <v>0</v>
      </c>
      <c r="R275" s="83">
        <v>0</v>
      </c>
      <c r="S275" s="83">
        <v>0</v>
      </c>
      <c r="T275" s="83">
        <v>0</v>
      </c>
      <c r="U275" s="82"/>
    </row>
    <row r="276" spans="1:21" ht="17.25" customHeight="1" x14ac:dyDescent="0.3">
      <c r="A276" s="66" t="s">
        <v>30</v>
      </c>
      <c r="C276" s="67"/>
      <c r="D276" s="77" t="str">
        <f t="shared" si="153"/>
        <v>C100061</v>
      </c>
      <c r="E276" s="77"/>
      <c r="F276" s="76"/>
      <c r="G276" s="76" t="str">
        <f>"""NAV Direct"",""CRONUS JetCorp USA"",""32"",""1"",""44482"""</f>
        <v>"NAV Direct","CRONUS JetCorp USA","32","1","44482"</v>
      </c>
      <c r="H276" s="86">
        <v>43472</v>
      </c>
      <c r="I276" s="85">
        <v>44482</v>
      </c>
      <c r="J276" s="84" t="str">
        <f>"Customer"</f>
        <v>Customer</v>
      </c>
      <c r="K276" s="84" t="str">
        <f>"C100141"</f>
        <v>C100141</v>
      </c>
      <c r="L276" s="84" t="str">
        <f>IF($J276="Customer",_xll.NL("first",$J276,"Name","No.","@@"&amp;$K276),"")</f>
        <v>Bargottis</v>
      </c>
      <c r="M276" s="84" t="str">
        <f>""</f>
        <v/>
      </c>
      <c r="N276" s="84" t="str">
        <f>IF($J276="Item",_xll.NL("first",$J276,"Description","No.","@@"&amp;$K276),"")</f>
        <v/>
      </c>
      <c r="O276" s="83">
        <v>0</v>
      </c>
      <c r="P276" s="83">
        <v>-48</v>
      </c>
      <c r="Q276" s="83">
        <v>0</v>
      </c>
      <c r="R276" s="83">
        <v>0</v>
      </c>
      <c r="S276" s="83">
        <v>0</v>
      </c>
      <c r="T276" s="83">
        <v>0</v>
      </c>
      <c r="U276" s="82"/>
    </row>
    <row r="277" spans="1:21" ht="17.25" customHeight="1" x14ac:dyDescent="0.3">
      <c r="A277" s="66" t="s">
        <v>30</v>
      </c>
      <c r="C277" s="67"/>
      <c r="D277" s="77" t="str">
        <f t="shared" si="153"/>
        <v>C100061</v>
      </c>
      <c r="E277" s="77"/>
      <c r="F277" s="76"/>
      <c r="G277" s="76" t="str">
        <f>"""NAV Direct"",""CRONUS JetCorp USA"",""32"",""1"",""64602"""</f>
        <v>"NAV Direct","CRONUS JetCorp USA","32","1","64602"</v>
      </c>
      <c r="H277" s="86">
        <v>43472</v>
      </c>
      <c r="I277" s="85">
        <v>64602</v>
      </c>
      <c r="J277" s="84" t="str">
        <f>"Customer"</f>
        <v>Customer</v>
      </c>
      <c r="K277" s="84" t="str">
        <f>"C100140"</f>
        <v>C100140</v>
      </c>
      <c r="L277" s="84" t="str">
        <f>IF($J277="Customer",_xll.NL("first",$J277,"Name","No.","@@"&amp;$K277),"")</f>
        <v>Super Daves</v>
      </c>
      <c r="M277" s="84" t="str">
        <f>""</f>
        <v/>
      </c>
      <c r="N277" s="84" t="str">
        <f>IF($J277="Item",_xll.NL("first",$J277,"Description","No.","@@"&amp;$K277),"")</f>
        <v/>
      </c>
      <c r="O277" s="83">
        <v>0</v>
      </c>
      <c r="P277" s="83">
        <v>-145</v>
      </c>
      <c r="Q277" s="83">
        <v>0</v>
      </c>
      <c r="R277" s="83">
        <v>0</v>
      </c>
      <c r="S277" s="83">
        <v>0</v>
      </c>
      <c r="T277" s="83">
        <v>0</v>
      </c>
      <c r="U277" s="82"/>
    </row>
    <row r="278" spans="1:21" ht="17.25" customHeight="1" x14ac:dyDescent="0.3">
      <c r="A278" s="66" t="s">
        <v>30</v>
      </c>
      <c r="C278" s="67"/>
      <c r="D278" s="77"/>
      <c r="E278" s="77"/>
      <c r="F278" s="76"/>
      <c r="G278" s="76"/>
      <c r="H278" s="76"/>
      <c r="I278" s="76"/>
      <c r="J278" s="76"/>
      <c r="K278" s="76"/>
      <c r="L278" s="76"/>
      <c r="M278" s="76"/>
      <c r="N278" s="76"/>
      <c r="O278" s="75"/>
      <c r="P278" s="75"/>
      <c r="Q278" s="75"/>
      <c r="R278" s="75"/>
      <c r="S278" s="75"/>
      <c r="T278" s="75"/>
      <c r="U278" s="74"/>
    </row>
    <row r="279" spans="1:21" ht="17.25" customHeight="1" x14ac:dyDescent="0.3">
      <c r="A279" s="66" t="s">
        <v>30</v>
      </c>
      <c r="C279" s="67"/>
      <c r="D279" s="77"/>
      <c r="E279" s="77" t="s">
        <v>31</v>
      </c>
      <c r="F279" s="76" t="s">
        <v>31</v>
      </c>
      <c r="G279" s="76" t="s">
        <v>31</v>
      </c>
      <c r="H279" s="76"/>
      <c r="I279" s="76"/>
      <c r="J279" s="76" t="s">
        <v>31</v>
      </c>
      <c r="K279" s="76" t="s">
        <v>31</v>
      </c>
      <c r="L279" s="76" t="s">
        <v>31</v>
      </c>
      <c r="M279" s="76" t="s">
        <v>31</v>
      </c>
      <c r="N279" s="76"/>
      <c r="U279" s="81"/>
    </row>
    <row r="280" spans="1:21" ht="20.25" customHeight="1" x14ac:dyDescent="0.35">
      <c r="A280" s="66" t="s">
        <v>30</v>
      </c>
      <c r="C280" s="67"/>
      <c r="D280" s="92" t="str">
        <f t="shared" ref="D280" si="154">E280</f>
        <v>C100062</v>
      </c>
      <c r="E280" s="91" t="str">
        <f>"C100062"</f>
        <v>C100062</v>
      </c>
      <c r="F280" s="89" t="str">
        <f>"Tall Matte Finish Mug"</f>
        <v>Tall Matte Finish Mug</v>
      </c>
      <c r="G280" s="89"/>
      <c r="H280" s="90" t="str">
        <f>"EA"</f>
        <v>EA</v>
      </c>
      <c r="I280" s="89"/>
      <c r="J280" s="89"/>
      <c r="K280" s="89"/>
      <c r="L280" s="89"/>
      <c r="M280" s="89"/>
      <c r="N280" s="89"/>
      <c r="O280" s="88">
        <f>(SUBTOTAL(9,O281:O282))</f>
        <v>1500</v>
      </c>
      <c r="P280" s="88">
        <f>(SUBTOTAL(9,P281:P282))</f>
        <v>0</v>
      </c>
      <c r="Q280" s="88">
        <f>(SUBTOTAL(9,Q281:Q282))</f>
        <v>0</v>
      </c>
      <c r="R280" s="88">
        <f>(SUBTOTAL(9,R281:R282))</f>
        <v>0</v>
      </c>
      <c r="S280" s="88">
        <f>(SUBTOTAL(9,S281:S282))</f>
        <v>0</v>
      </c>
      <c r="T280" s="88">
        <f>(SUBTOTAL(9,T281:T282))</f>
        <v>0</v>
      </c>
      <c r="U280" s="87">
        <f t="shared" ref="U280" si="155">SUBTOTAL(9,O281:T282)</f>
        <v>1500</v>
      </c>
    </row>
    <row r="281" spans="1:21" ht="17.25" customHeight="1" x14ac:dyDescent="0.3">
      <c r="A281" s="66" t="s">
        <v>30</v>
      </c>
      <c r="C281" s="67"/>
      <c r="D281" s="77" t="str">
        <f t="shared" ref="D281" si="156">D280</f>
        <v>C100062</v>
      </c>
      <c r="E281" s="77"/>
      <c r="F281" s="76"/>
      <c r="G281" s="76" t="str">
        <f>"""NAV Direct"",""CRONUS JetCorp USA"",""32"",""1"",""168645"""</f>
        <v>"NAV Direct","CRONUS JetCorp USA","32","1","168645"</v>
      </c>
      <c r="H281" s="86">
        <v>43466</v>
      </c>
      <c r="I281" s="85">
        <v>168645</v>
      </c>
      <c r="J281" s="84" t="str">
        <f>"Vendor"</f>
        <v>Vendor</v>
      </c>
      <c r="K281" s="84" t="str">
        <f>"V100001"</f>
        <v>V100001</v>
      </c>
      <c r="L281" s="84" t="str">
        <f>IF($J281="Customer",_xll.NL("first",$J281,"Name","No.","@@"&amp;$K281),"")</f>
        <v/>
      </c>
      <c r="M281" s="84" t="str">
        <f>"Greigner, Inc."</f>
        <v>Greigner, Inc.</v>
      </c>
      <c r="N281" s="84" t="str">
        <f>IF($J281="Item",_xll.NL("first",$J281,"Description","No.","@@"&amp;$K281),"")</f>
        <v/>
      </c>
      <c r="O281" s="83">
        <v>1500</v>
      </c>
      <c r="P281" s="83">
        <v>0</v>
      </c>
      <c r="Q281" s="83">
        <v>0</v>
      </c>
      <c r="R281" s="83">
        <v>0</v>
      </c>
      <c r="S281" s="83">
        <v>0</v>
      </c>
      <c r="T281" s="83">
        <v>0</v>
      </c>
      <c r="U281" s="82"/>
    </row>
    <row r="282" spans="1:21" ht="17.25" customHeight="1" x14ac:dyDescent="0.3">
      <c r="A282" s="66" t="s">
        <v>30</v>
      </c>
      <c r="C282" s="67"/>
      <c r="D282" s="77"/>
      <c r="E282" s="77"/>
      <c r="F282" s="76"/>
      <c r="G282" s="76"/>
      <c r="H282" s="76"/>
      <c r="I282" s="76"/>
      <c r="J282" s="76"/>
      <c r="K282" s="76"/>
      <c r="L282" s="76"/>
      <c r="M282" s="76"/>
      <c r="N282" s="76"/>
      <c r="O282" s="75"/>
      <c r="P282" s="75"/>
      <c r="Q282" s="75"/>
      <c r="R282" s="75"/>
      <c r="S282" s="75"/>
      <c r="T282" s="75"/>
      <c r="U282" s="74"/>
    </row>
    <row r="283" spans="1:21" ht="17.25" customHeight="1" x14ac:dyDescent="0.3">
      <c r="A283" s="66" t="s">
        <v>30</v>
      </c>
      <c r="C283" s="67"/>
      <c r="D283" s="77"/>
      <c r="E283" s="77" t="s">
        <v>31</v>
      </c>
      <c r="F283" s="76" t="s">
        <v>31</v>
      </c>
      <c r="G283" s="76" t="s">
        <v>31</v>
      </c>
      <c r="H283" s="76"/>
      <c r="I283" s="76"/>
      <c r="J283" s="76" t="s">
        <v>31</v>
      </c>
      <c r="K283" s="76" t="s">
        <v>31</v>
      </c>
      <c r="L283" s="76" t="s">
        <v>31</v>
      </c>
      <c r="M283" s="76" t="s">
        <v>31</v>
      </c>
      <c r="N283" s="76"/>
      <c r="U283" s="81"/>
    </row>
    <row r="284" spans="1:21" ht="20.25" customHeight="1" x14ac:dyDescent="0.35">
      <c r="A284" s="66" t="s">
        <v>30</v>
      </c>
      <c r="C284" s="67"/>
      <c r="D284" s="92" t="str">
        <f t="shared" ref="D284" si="157">E284</f>
        <v>C100063</v>
      </c>
      <c r="E284" s="91" t="str">
        <f>"C100063"</f>
        <v>C100063</v>
      </c>
      <c r="F284" s="89" t="str">
        <f>"Soup Mug"</f>
        <v>Soup Mug</v>
      </c>
      <c r="G284" s="89"/>
      <c r="H284" s="90" t="str">
        <f>"EA"</f>
        <v>EA</v>
      </c>
      <c r="I284" s="89"/>
      <c r="J284" s="89"/>
      <c r="K284" s="89"/>
      <c r="L284" s="89"/>
      <c r="M284" s="89"/>
      <c r="N284" s="89"/>
      <c r="O284" s="88">
        <f>(SUBTOTAL(9,O285:O287))</f>
        <v>1999.9999999999998</v>
      </c>
      <c r="P284" s="88">
        <f>(SUBTOTAL(9,P285:P287))</f>
        <v>-144</v>
      </c>
      <c r="Q284" s="88">
        <f>(SUBTOTAL(9,Q285:Q287))</f>
        <v>0</v>
      </c>
      <c r="R284" s="88">
        <f>(SUBTOTAL(9,R285:R287))</f>
        <v>0</v>
      </c>
      <c r="S284" s="88">
        <f>(SUBTOTAL(9,S285:S287))</f>
        <v>0</v>
      </c>
      <c r="T284" s="88">
        <f>(SUBTOTAL(9,T285:T287))</f>
        <v>0</v>
      </c>
      <c r="U284" s="87">
        <f t="shared" ref="U284" si="158">SUBTOTAL(9,O285:T287)</f>
        <v>1855.9999999999998</v>
      </c>
    </row>
    <row r="285" spans="1:21" ht="17.25" customHeight="1" x14ac:dyDescent="0.3">
      <c r="A285" s="66" t="s">
        <v>30</v>
      </c>
      <c r="C285" s="67"/>
      <c r="D285" s="77" t="str">
        <f t="shared" ref="D285" si="159">D284</f>
        <v>C100063</v>
      </c>
      <c r="E285" s="77"/>
      <c r="F285" s="76"/>
      <c r="G285" s="76" t="str">
        <f>"""NAV Direct"",""CRONUS JetCorp USA"",""32"",""1"",""168644"""</f>
        <v>"NAV Direct","CRONUS JetCorp USA","32","1","168644"</v>
      </c>
      <c r="H285" s="86">
        <v>43466</v>
      </c>
      <c r="I285" s="85">
        <v>168644</v>
      </c>
      <c r="J285" s="84" t="str">
        <f>"Vendor"</f>
        <v>Vendor</v>
      </c>
      <c r="K285" s="84" t="str">
        <f>"V100001"</f>
        <v>V100001</v>
      </c>
      <c r="L285" s="84" t="str">
        <f>IF($J285="Customer",_xll.NL("first",$J285,"Name","No.","@@"&amp;$K285),"")</f>
        <v/>
      </c>
      <c r="M285" s="84" t="str">
        <f>"Greigner, Inc."</f>
        <v>Greigner, Inc.</v>
      </c>
      <c r="N285" s="84" t="str">
        <f>IF($J285="Item",_xll.NL("first",$J285,"Description","No.","@@"&amp;$K285),"")</f>
        <v/>
      </c>
      <c r="O285" s="83">
        <v>1999.9999999999998</v>
      </c>
      <c r="P285" s="83">
        <v>0</v>
      </c>
      <c r="Q285" s="83">
        <v>0</v>
      </c>
      <c r="R285" s="83">
        <v>0</v>
      </c>
      <c r="S285" s="83">
        <v>0</v>
      </c>
      <c r="T285" s="83">
        <v>0</v>
      </c>
      <c r="U285" s="82"/>
    </row>
    <row r="286" spans="1:21" ht="17.25" customHeight="1" x14ac:dyDescent="0.3">
      <c r="A286" s="66" t="s">
        <v>30</v>
      </c>
      <c r="C286" s="67"/>
      <c r="D286" s="77" t="str">
        <f t="shared" ref="D286" si="160">D285</f>
        <v>C100063</v>
      </c>
      <c r="E286" s="77"/>
      <c r="F286" s="76"/>
      <c r="G286" s="76" t="str">
        <f>"""NAV Direct"",""CRONUS JetCorp USA"",""32"",""1"",""64584"""</f>
        <v>"NAV Direct","CRONUS JetCorp USA","32","1","64584"</v>
      </c>
      <c r="H286" s="86">
        <v>43469</v>
      </c>
      <c r="I286" s="85">
        <v>64584</v>
      </c>
      <c r="J286" s="84" t="str">
        <f>"Customer"</f>
        <v>Customer</v>
      </c>
      <c r="K286" s="84" t="str">
        <f>"C100140"</f>
        <v>C100140</v>
      </c>
      <c r="L286" s="84" t="str">
        <f>IF($J286="Customer",_xll.NL("first",$J286,"Name","No.","@@"&amp;$K286),"")</f>
        <v>Super Daves</v>
      </c>
      <c r="M286" s="84" t="str">
        <f>""</f>
        <v/>
      </c>
      <c r="N286" s="84" t="str">
        <f>IF($J286="Item",_xll.NL("first",$J286,"Description","No.","@@"&amp;$K286),"")</f>
        <v/>
      </c>
      <c r="O286" s="83">
        <v>0</v>
      </c>
      <c r="P286" s="83">
        <v>-144</v>
      </c>
      <c r="Q286" s="83">
        <v>0</v>
      </c>
      <c r="R286" s="83">
        <v>0</v>
      </c>
      <c r="S286" s="83">
        <v>0</v>
      </c>
      <c r="T286" s="83">
        <v>0</v>
      </c>
      <c r="U286" s="82"/>
    </row>
    <row r="287" spans="1:21" ht="17.25" customHeight="1" x14ac:dyDescent="0.3">
      <c r="A287" s="66" t="s">
        <v>30</v>
      </c>
      <c r="C287" s="67"/>
      <c r="D287" s="77"/>
      <c r="E287" s="77"/>
      <c r="F287" s="76"/>
      <c r="G287" s="76"/>
      <c r="H287" s="76"/>
      <c r="I287" s="76"/>
      <c r="J287" s="76"/>
      <c r="K287" s="76"/>
      <c r="L287" s="76"/>
      <c r="M287" s="76"/>
      <c r="N287" s="76"/>
      <c r="O287" s="75"/>
      <c r="P287" s="75"/>
      <c r="Q287" s="75"/>
      <c r="R287" s="75"/>
      <c r="S287" s="75"/>
      <c r="T287" s="75"/>
      <c r="U287" s="74"/>
    </row>
    <row r="288" spans="1:21" ht="17.25" customHeight="1" x14ac:dyDescent="0.3">
      <c r="A288" s="66" t="s">
        <v>30</v>
      </c>
      <c r="C288" s="67"/>
      <c r="D288" s="77"/>
      <c r="E288" s="77" t="s">
        <v>31</v>
      </c>
      <c r="F288" s="76" t="s">
        <v>31</v>
      </c>
      <c r="G288" s="76" t="s">
        <v>31</v>
      </c>
      <c r="H288" s="76"/>
      <c r="I288" s="76"/>
      <c r="J288" s="76" t="s">
        <v>31</v>
      </c>
      <c r="K288" s="76" t="s">
        <v>31</v>
      </c>
      <c r="L288" s="76" t="s">
        <v>31</v>
      </c>
      <c r="M288" s="76" t="s">
        <v>31</v>
      </c>
      <c r="N288" s="76"/>
      <c r="U288" s="81"/>
    </row>
    <row r="289" spans="1:21" ht="20.25" customHeight="1" x14ac:dyDescent="0.35">
      <c r="A289" s="66" t="s">
        <v>30</v>
      </c>
      <c r="C289" s="67"/>
      <c r="D289" s="92" t="str">
        <f t="shared" ref="D289" si="161">E289</f>
        <v>C100066</v>
      </c>
      <c r="E289" s="91" t="str">
        <f>"C100066"</f>
        <v>C100066</v>
      </c>
      <c r="F289" s="89" t="str">
        <f>"Fashion Travel Mug"</f>
        <v>Fashion Travel Mug</v>
      </c>
      <c r="G289" s="89"/>
      <c r="H289" s="90" t="str">
        <f>"EA"</f>
        <v>EA</v>
      </c>
      <c r="I289" s="89"/>
      <c r="J289" s="89"/>
      <c r="K289" s="89"/>
      <c r="L289" s="89"/>
      <c r="M289" s="89"/>
      <c r="N289" s="89"/>
      <c r="O289" s="88">
        <f>(SUBTOTAL(9,O290:O294))</f>
        <v>1999.9999999999998</v>
      </c>
      <c r="P289" s="88">
        <f>(SUBTOTAL(9,P290:P294))</f>
        <v>-289</v>
      </c>
      <c r="Q289" s="88">
        <f>(SUBTOTAL(9,Q290:Q294))</f>
        <v>0</v>
      </c>
      <c r="R289" s="88">
        <f>(SUBTOTAL(9,R290:R294))</f>
        <v>0</v>
      </c>
      <c r="S289" s="88">
        <f>(SUBTOTAL(9,S290:S294))</f>
        <v>0</v>
      </c>
      <c r="T289" s="88">
        <f>(SUBTOTAL(9,T290:T294))</f>
        <v>0</v>
      </c>
      <c r="U289" s="87">
        <f t="shared" ref="U289" si="162">SUBTOTAL(9,O290:T294)</f>
        <v>1710.9999999999998</v>
      </c>
    </row>
    <row r="290" spans="1:21" ht="17.25" customHeight="1" x14ac:dyDescent="0.3">
      <c r="A290" s="66" t="s">
        <v>30</v>
      </c>
      <c r="C290" s="67"/>
      <c r="D290" s="77" t="str">
        <f t="shared" ref="D290" si="163">D289</f>
        <v>C100066</v>
      </c>
      <c r="E290" s="77"/>
      <c r="F290" s="76"/>
      <c r="G290" s="76" t="str">
        <f>"""NAV Direct"",""CRONUS JetCorp USA"",""32"",""1"",""168643"""</f>
        <v>"NAV Direct","CRONUS JetCorp USA","32","1","168643"</v>
      </c>
      <c r="H290" s="86">
        <v>43466</v>
      </c>
      <c r="I290" s="85">
        <v>168643</v>
      </c>
      <c r="J290" s="84" t="str">
        <f>"Vendor"</f>
        <v>Vendor</v>
      </c>
      <c r="K290" s="84" t="str">
        <f>"V100001"</f>
        <v>V100001</v>
      </c>
      <c r="L290" s="84" t="str">
        <f>IF($J290="Customer",_xll.NL("first",$J290,"Name","No.","@@"&amp;$K290),"")</f>
        <v/>
      </c>
      <c r="M290" s="84" t="str">
        <f>"Greigner, Inc."</f>
        <v>Greigner, Inc.</v>
      </c>
      <c r="N290" s="84" t="str">
        <f>IF($J290="Item",_xll.NL("first",$J290,"Description","No.","@@"&amp;$K290),"")</f>
        <v/>
      </c>
      <c r="O290" s="83">
        <v>1999.9999999999998</v>
      </c>
      <c r="P290" s="83">
        <v>0</v>
      </c>
      <c r="Q290" s="83">
        <v>0</v>
      </c>
      <c r="R290" s="83">
        <v>0</v>
      </c>
      <c r="S290" s="83">
        <v>0</v>
      </c>
      <c r="T290" s="83">
        <v>0</v>
      </c>
      <c r="U290" s="82"/>
    </row>
    <row r="291" spans="1:21" ht="17.25" customHeight="1" x14ac:dyDescent="0.3">
      <c r="A291" s="66" t="s">
        <v>30</v>
      </c>
      <c r="C291" s="67"/>
      <c r="D291" s="77" t="str">
        <f t="shared" ref="D291:D293" si="164">D290</f>
        <v>C100066</v>
      </c>
      <c r="E291" s="77"/>
      <c r="F291" s="76"/>
      <c r="G291" s="76" t="str">
        <f>"""NAV Direct"",""CRONUS JetCorp USA"",""32"",""1"",""147993"""</f>
        <v>"NAV Direct","CRONUS JetCorp USA","32","1","147993"</v>
      </c>
      <c r="H291" s="86">
        <v>43469</v>
      </c>
      <c r="I291" s="85">
        <v>147993</v>
      </c>
      <c r="J291" s="84" t="str">
        <f>"Customer"</f>
        <v>Customer</v>
      </c>
      <c r="K291" s="84" t="str">
        <f>"C100096"</f>
        <v>C100096</v>
      </c>
      <c r="L291" s="84" t="str">
        <f>IF($J291="Customer",_xll.NL("first",$J291,"Name","No.","@@"&amp;$K291),"")</f>
        <v>D-Com Industries</v>
      </c>
      <c r="M291" s="84" t="str">
        <f>""</f>
        <v/>
      </c>
      <c r="N291" s="84" t="str">
        <f>IF($J291="Item",_xll.NL("first",$J291,"Description","No.","@@"&amp;$K291),"")</f>
        <v/>
      </c>
      <c r="O291" s="83">
        <v>0</v>
      </c>
      <c r="P291" s="83">
        <v>-1</v>
      </c>
      <c r="Q291" s="83">
        <v>0</v>
      </c>
      <c r="R291" s="83">
        <v>0</v>
      </c>
      <c r="S291" s="83">
        <v>0</v>
      </c>
      <c r="T291" s="83">
        <v>0</v>
      </c>
      <c r="U291" s="82"/>
    </row>
    <row r="292" spans="1:21" ht="17.25" customHeight="1" x14ac:dyDescent="0.3">
      <c r="A292" s="66" t="s">
        <v>30</v>
      </c>
      <c r="C292" s="67"/>
      <c r="D292" s="77" t="str">
        <f t="shared" si="164"/>
        <v>C100066</v>
      </c>
      <c r="E292" s="77"/>
      <c r="F292" s="76"/>
      <c r="G292" s="76" t="str">
        <f>"""NAV Direct"",""CRONUS JetCorp USA"",""32"",""1"",""44466"""</f>
        <v>"NAV Direct","CRONUS JetCorp USA","32","1","44466"</v>
      </c>
      <c r="H292" s="86">
        <v>43472</v>
      </c>
      <c r="I292" s="85">
        <v>44466</v>
      </c>
      <c r="J292" s="84" t="str">
        <f>"Customer"</f>
        <v>Customer</v>
      </c>
      <c r="K292" s="84" t="str">
        <f>"C100141"</f>
        <v>C100141</v>
      </c>
      <c r="L292" s="84" t="str">
        <f>IF($J292="Customer",_xll.NL("first",$J292,"Name","No.","@@"&amp;$K292),"")</f>
        <v>Bargottis</v>
      </c>
      <c r="M292" s="84" t="str">
        <f>""</f>
        <v/>
      </c>
      <c r="N292" s="84" t="str">
        <f>IF($J292="Item",_xll.NL("first",$J292,"Description","No.","@@"&amp;$K292),"")</f>
        <v/>
      </c>
      <c r="O292" s="83">
        <v>0</v>
      </c>
      <c r="P292" s="83">
        <v>-144</v>
      </c>
      <c r="Q292" s="83">
        <v>0</v>
      </c>
      <c r="R292" s="83">
        <v>0</v>
      </c>
      <c r="S292" s="83">
        <v>0</v>
      </c>
      <c r="T292" s="83">
        <v>0</v>
      </c>
      <c r="U292" s="82"/>
    </row>
    <row r="293" spans="1:21" ht="17.25" customHeight="1" x14ac:dyDescent="0.3">
      <c r="A293" s="66" t="s">
        <v>30</v>
      </c>
      <c r="C293" s="67"/>
      <c r="D293" s="77" t="str">
        <f t="shared" si="164"/>
        <v>C100066</v>
      </c>
      <c r="E293" s="77"/>
      <c r="F293" s="76"/>
      <c r="G293" s="76" t="str">
        <f>"""NAV Direct"",""CRONUS JetCorp USA"",""32"",""1"",""54697"""</f>
        <v>"NAV Direct","CRONUS JetCorp USA","32","1","54697"</v>
      </c>
      <c r="H293" s="86">
        <v>43474</v>
      </c>
      <c r="I293" s="85">
        <v>54697</v>
      </c>
      <c r="J293" s="84" t="str">
        <f>"Customer"</f>
        <v>Customer</v>
      </c>
      <c r="K293" s="84" t="str">
        <f>"C100096"</f>
        <v>C100096</v>
      </c>
      <c r="L293" s="84" t="str">
        <f>IF($J293="Customer",_xll.NL("first",$J293,"Name","No.","@@"&amp;$K293),"")</f>
        <v>D-Com Industries</v>
      </c>
      <c r="M293" s="84" t="str">
        <f>""</f>
        <v/>
      </c>
      <c r="N293" s="84" t="str">
        <f>IF($J293="Item",_xll.NL("first",$J293,"Description","No.","@@"&amp;$K293),"")</f>
        <v/>
      </c>
      <c r="O293" s="83">
        <v>0</v>
      </c>
      <c r="P293" s="83">
        <v>-144</v>
      </c>
      <c r="Q293" s="83">
        <v>0</v>
      </c>
      <c r="R293" s="83">
        <v>0</v>
      </c>
      <c r="S293" s="83">
        <v>0</v>
      </c>
      <c r="T293" s="83">
        <v>0</v>
      </c>
      <c r="U293" s="82"/>
    </row>
    <row r="294" spans="1:21" ht="17.25" customHeight="1" x14ac:dyDescent="0.3">
      <c r="A294" s="66" t="s">
        <v>30</v>
      </c>
      <c r="C294" s="67"/>
      <c r="D294" s="77"/>
      <c r="E294" s="77"/>
      <c r="F294" s="76"/>
      <c r="G294" s="76"/>
      <c r="H294" s="76"/>
      <c r="I294" s="76"/>
      <c r="J294" s="76"/>
      <c r="K294" s="76"/>
      <c r="L294" s="76"/>
      <c r="M294" s="76"/>
      <c r="N294" s="76"/>
      <c r="O294" s="75"/>
      <c r="P294" s="75"/>
      <c r="Q294" s="75"/>
      <c r="R294" s="75"/>
      <c r="S294" s="75"/>
      <c r="T294" s="75"/>
      <c r="U294" s="74"/>
    </row>
    <row r="295" spans="1:21" ht="17.25" customHeight="1" x14ac:dyDescent="0.3">
      <c r="A295" s="66" t="s">
        <v>30</v>
      </c>
      <c r="C295" s="67"/>
      <c r="D295" s="77"/>
      <c r="E295" s="77" t="s">
        <v>31</v>
      </c>
      <c r="F295" s="76" t="s">
        <v>31</v>
      </c>
      <c r="G295" s="76" t="s">
        <v>31</v>
      </c>
      <c r="H295" s="76"/>
      <c r="I295" s="76"/>
      <c r="J295" s="76" t="s">
        <v>31</v>
      </c>
      <c r="K295" s="76" t="s">
        <v>31</v>
      </c>
      <c r="L295" s="76" t="s">
        <v>31</v>
      </c>
      <c r="M295" s="76" t="s">
        <v>31</v>
      </c>
      <c r="N295" s="76"/>
      <c r="U295" s="81"/>
    </row>
    <row r="296" spans="1:21" ht="20.25" customHeight="1" x14ac:dyDescent="0.35">
      <c r="A296" s="66" t="s">
        <v>30</v>
      </c>
      <c r="C296" s="67"/>
      <c r="D296" s="92" t="str">
        <f t="shared" ref="D296" si="165">E296</f>
        <v>C100067</v>
      </c>
      <c r="E296" s="91" t="str">
        <f>"C100067"</f>
        <v>C100067</v>
      </c>
      <c r="F296" s="89" t="str">
        <f>"Stainless Thermos"</f>
        <v>Stainless Thermos</v>
      </c>
      <c r="G296" s="89"/>
      <c r="H296" s="90" t="str">
        <f>"EA"</f>
        <v>EA</v>
      </c>
      <c r="I296" s="89"/>
      <c r="J296" s="89"/>
      <c r="K296" s="89"/>
      <c r="L296" s="89"/>
      <c r="M296" s="89"/>
      <c r="N296" s="89"/>
      <c r="O296" s="88">
        <f>(SUBTOTAL(9,O297:O298))</f>
        <v>1750</v>
      </c>
      <c r="P296" s="88">
        <f>(SUBTOTAL(9,P297:P298))</f>
        <v>0</v>
      </c>
      <c r="Q296" s="88">
        <f>(SUBTOTAL(9,Q297:Q298))</f>
        <v>0</v>
      </c>
      <c r="R296" s="88">
        <f>(SUBTOTAL(9,R297:R298))</f>
        <v>0</v>
      </c>
      <c r="S296" s="88">
        <f>(SUBTOTAL(9,S297:S298))</f>
        <v>0</v>
      </c>
      <c r="T296" s="88">
        <f>(SUBTOTAL(9,T297:T298))</f>
        <v>0</v>
      </c>
      <c r="U296" s="87">
        <f t="shared" ref="U296" si="166">SUBTOTAL(9,O297:T298)</f>
        <v>1750</v>
      </c>
    </row>
    <row r="297" spans="1:21" ht="17.25" customHeight="1" x14ac:dyDescent="0.3">
      <c r="A297" s="66" t="s">
        <v>30</v>
      </c>
      <c r="C297" s="67"/>
      <c r="D297" s="77" t="str">
        <f t="shared" ref="D297" si="167">D296</f>
        <v>C100067</v>
      </c>
      <c r="E297" s="77"/>
      <c r="F297" s="76"/>
      <c r="G297" s="76" t="str">
        <f>"""NAV Direct"",""CRONUS JetCorp USA"",""32"",""1"",""168642"""</f>
        <v>"NAV Direct","CRONUS JetCorp USA","32","1","168642"</v>
      </c>
      <c r="H297" s="86">
        <v>43466</v>
      </c>
      <c r="I297" s="85">
        <v>168642</v>
      </c>
      <c r="J297" s="84" t="str">
        <f>"Vendor"</f>
        <v>Vendor</v>
      </c>
      <c r="K297" s="84" t="str">
        <f>"V100001"</f>
        <v>V100001</v>
      </c>
      <c r="L297" s="84" t="str">
        <f>IF($J297="Customer",_xll.NL("first",$J297,"Name","No.","@@"&amp;$K297),"")</f>
        <v/>
      </c>
      <c r="M297" s="84" t="str">
        <f>"Greigner, Inc."</f>
        <v>Greigner, Inc.</v>
      </c>
      <c r="N297" s="84" t="str">
        <f>IF($J297="Item",_xll.NL("first",$J297,"Description","No.","@@"&amp;$K297),"")</f>
        <v/>
      </c>
      <c r="O297" s="83">
        <v>1750</v>
      </c>
      <c r="P297" s="83">
        <v>0</v>
      </c>
      <c r="Q297" s="83">
        <v>0</v>
      </c>
      <c r="R297" s="83">
        <v>0</v>
      </c>
      <c r="S297" s="83">
        <v>0</v>
      </c>
      <c r="T297" s="83">
        <v>0</v>
      </c>
      <c r="U297" s="82"/>
    </row>
    <row r="298" spans="1:21" ht="17.25" customHeight="1" x14ac:dyDescent="0.3">
      <c r="A298" s="66" t="s">
        <v>30</v>
      </c>
      <c r="C298" s="67"/>
      <c r="D298" s="77"/>
      <c r="E298" s="77"/>
      <c r="F298" s="76"/>
      <c r="G298" s="76"/>
      <c r="H298" s="76"/>
      <c r="I298" s="76"/>
      <c r="J298" s="76"/>
      <c r="K298" s="76"/>
      <c r="L298" s="76"/>
      <c r="M298" s="76"/>
      <c r="N298" s="76"/>
      <c r="O298" s="75"/>
      <c r="P298" s="75"/>
      <c r="Q298" s="75"/>
      <c r="R298" s="75"/>
      <c r="S298" s="75"/>
      <c r="T298" s="75"/>
      <c r="U298" s="74"/>
    </row>
    <row r="299" spans="1:21" ht="17.25" customHeight="1" x14ac:dyDescent="0.3">
      <c r="A299" s="66" t="s">
        <v>30</v>
      </c>
      <c r="C299" s="67"/>
      <c r="D299" s="77"/>
      <c r="E299" s="77" t="s">
        <v>31</v>
      </c>
      <c r="F299" s="76" t="s">
        <v>31</v>
      </c>
      <c r="G299" s="76" t="s">
        <v>31</v>
      </c>
      <c r="H299" s="76"/>
      <c r="I299" s="76"/>
      <c r="J299" s="76" t="s">
        <v>31</v>
      </c>
      <c r="K299" s="76" t="s">
        <v>31</v>
      </c>
      <c r="L299" s="76" t="s">
        <v>31</v>
      </c>
      <c r="M299" s="76" t="s">
        <v>31</v>
      </c>
      <c r="N299" s="76"/>
      <c r="U299" s="81"/>
    </row>
    <row r="300" spans="1:21" ht="20.25" customHeight="1" x14ac:dyDescent="0.35">
      <c r="A300" s="66" t="s">
        <v>30</v>
      </c>
      <c r="C300" s="67"/>
      <c r="D300" s="92" t="str">
        <f t="shared" ref="D300" si="168">E300</f>
        <v>E100001</v>
      </c>
      <c r="E300" s="91" t="str">
        <f>"E100001"</f>
        <v>E100001</v>
      </c>
      <c r="F300" s="89" t="str">
        <f>"Sport Bag"</f>
        <v>Sport Bag</v>
      </c>
      <c r="G300" s="89"/>
      <c r="H300" s="90" t="str">
        <f>"EA"</f>
        <v>EA</v>
      </c>
      <c r="I300" s="89"/>
      <c r="J300" s="89"/>
      <c r="K300" s="89"/>
      <c r="L300" s="89"/>
      <c r="M300" s="89"/>
      <c r="N300" s="89"/>
      <c r="O300" s="88">
        <f>(SUBTOTAL(9,O301:O309))</f>
        <v>2600</v>
      </c>
      <c r="P300" s="88">
        <f>(SUBTOTAL(9,P301:P309))</f>
        <v>-782</v>
      </c>
      <c r="Q300" s="88">
        <f>(SUBTOTAL(9,Q301:Q309))</f>
        <v>0</v>
      </c>
      <c r="R300" s="88">
        <f>(SUBTOTAL(9,R301:R309))</f>
        <v>0</v>
      </c>
      <c r="S300" s="88">
        <f>(SUBTOTAL(9,S301:S309))</f>
        <v>0</v>
      </c>
      <c r="T300" s="88">
        <f>(SUBTOTAL(9,T301:T309))</f>
        <v>0</v>
      </c>
      <c r="U300" s="87">
        <f t="shared" ref="U300" si="169">SUBTOTAL(9,O301:T309)</f>
        <v>1818</v>
      </c>
    </row>
    <row r="301" spans="1:21" ht="17.25" customHeight="1" x14ac:dyDescent="0.3">
      <c r="A301" s="66" t="s">
        <v>30</v>
      </c>
      <c r="C301" s="67"/>
      <c r="D301" s="77" t="str">
        <f t="shared" ref="D301" si="170">D300</f>
        <v>E100001</v>
      </c>
      <c r="E301" s="77"/>
      <c r="F301" s="76"/>
      <c r="G301" s="76" t="str">
        <f>"""NAV Direct"",""CRONUS JetCorp USA"",""32"",""1"",""166772"""</f>
        <v>"NAV Direct","CRONUS JetCorp USA","32","1","166772"</v>
      </c>
      <c r="H301" s="86">
        <v>43466</v>
      </c>
      <c r="I301" s="85">
        <v>166772</v>
      </c>
      <c r="J301" s="84" t="str">
        <f>"Vendor"</f>
        <v>Vendor</v>
      </c>
      <c r="K301" s="84" t="str">
        <f>"V100001"</f>
        <v>V100001</v>
      </c>
      <c r="L301" s="84" t="str">
        <f>IF($J301="Customer",_xll.NL("first",$J301,"Name","No.","@@"&amp;$K301),"")</f>
        <v/>
      </c>
      <c r="M301" s="84" t="str">
        <f>"Greigner, Inc."</f>
        <v>Greigner, Inc.</v>
      </c>
      <c r="N301" s="84" t="str">
        <f>IF($J301="Item",_xll.NL("first",$J301,"Description","No.","@@"&amp;$K301),"")</f>
        <v/>
      </c>
      <c r="O301" s="83">
        <v>2600</v>
      </c>
      <c r="P301" s="83">
        <v>0</v>
      </c>
      <c r="Q301" s="83">
        <v>0</v>
      </c>
      <c r="R301" s="83">
        <v>0</v>
      </c>
      <c r="S301" s="83">
        <v>0</v>
      </c>
      <c r="T301" s="83">
        <v>0</v>
      </c>
      <c r="U301" s="82"/>
    </row>
    <row r="302" spans="1:21" ht="17.25" customHeight="1" x14ac:dyDescent="0.3">
      <c r="A302" s="66" t="s">
        <v>30</v>
      </c>
      <c r="C302" s="67"/>
      <c r="D302" s="77" t="str">
        <f t="shared" ref="D302:D308" si="171">D301</f>
        <v>E100001</v>
      </c>
      <c r="E302" s="77"/>
      <c r="F302" s="76"/>
      <c r="G302" s="76" t="str">
        <f>"""NAV Direct"",""CRONUS JetCorp USA"",""32"",""1"",""64580"""</f>
        <v>"NAV Direct","CRONUS JetCorp USA","32","1","64580"</v>
      </c>
      <c r="H302" s="86">
        <v>43469</v>
      </c>
      <c r="I302" s="85">
        <v>64580</v>
      </c>
      <c r="J302" s="84" t="str">
        <f>"Customer"</f>
        <v>Customer</v>
      </c>
      <c r="K302" s="84" t="str">
        <f>"C100140"</f>
        <v>C100140</v>
      </c>
      <c r="L302" s="84" t="str">
        <f>IF($J302="Customer",_xll.NL("first",$J302,"Name","No.","@@"&amp;$K302),"")</f>
        <v>Super Daves</v>
      </c>
      <c r="M302" s="84" t="str">
        <f>""</f>
        <v/>
      </c>
      <c r="N302" s="84" t="str">
        <f>IF($J302="Item",_xll.NL("first",$J302,"Description","No.","@@"&amp;$K302),"")</f>
        <v/>
      </c>
      <c r="O302" s="83">
        <v>0</v>
      </c>
      <c r="P302" s="83">
        <v>-192</v>
      </c>
      <c r="Q302" s="83">
        <v>0</v>
      </c>
      <c r="R302" s="83">
        <v>0</v>
      </c>
      <c r="S302" s="83">
        <v>0</v>
      </c>
      <c r="T302" s="83">
        <v>0</v>
      </c>
      <c r="U302" s="82"/>
    </row>
    <row r="303" spans="1:21" ht="17.25" customHeight="1" x14ac:dyDescent="0.3">
      <c r="A303" s="66" t="s">
        <v>30</v>
      </c>
      <c r="C303" s="67"/>
      <c r="D303" s="77" t="str">
        <f t="shared" si="171"/>
        <v>E100001</v>
      </c>
      <c r="E303" s="77"/>
      <c r="F303" s="76"/>
      <c r="G303" s="76" t="str">
        <f>"""NAV Direct"",""CRONUS JetCorp USA"",""32"",""1"",""25248"""</f>
        <v>"NAV Direct","CRONUS JetCorp USA","32","1","25248"</v>
      </c>
      <c r="H303" s="86">
        <v>43471</v>
      </c>
      <c r="I303" s="85">
        <v>25248</v>
      </c>
      <c r="J303" s="84" t="str">
        <f>"Customer"</f>
        <v>Customer</v>
      </c>
      <c r="K303" s="84" t="str">
        <f>"C100102"</f>
        <v>C100102</v>
      </c>
      <c r="L303" s="84" t="str">
        <f>IF($J303="Customer",_xll.NL("first",$J303,"Name","No.","@@"&amp;$K303),"")</f>
        <v xml:space="preserve">BEI Outfitters </v>
      </c>
      <c r="M303" s="84" t="str">
        <f>""</f>
        <v/>
      </c>
      <c r="N303" s="84" t="str">
        <f>IF($J303="Item",_xll.NL("first",$J303,"Description","No.","@@"&amp;$K303),"")</f>
        <v/>
      </c>
      <c r="O303" s="83">
        <v>0</v>
      </c>
      <c r="P303" s="83">
        <v>-2</v>
      </c>
      <c r="Q303" s="83">
        <v>0</v>
      </c>
      <c r="R303" s="83">
        <v>0</v>
      </c>
      <c r="S303" s="83">
        <v>0</v>
      </c>
      <c r="T303" s="83">
        <v>0</v>
      </c>
      <c r="U303" s="82"/>
    </row>
    <row r="304" spans="1:21" ht="17.25" customHeight="1" x14ac:dyDescent="0.3">
      <c r="A304" s="66" t="s">
        <v>30</v>
      </c>
      <c r="C304" s="67"/>
      <c r="D304" s="77" t="str">
        <f t="shared" si="171"/>
        <v>E100001</v>
      </c>
      <c r="E304" s="77"/>
      <c r="F304" s="76"/>
      <c r="G304" s="76" t="str">
        <f>"""NAV Direct"",""CRONUS JetCorp USA"",""32"",""1"",""44472"""</f>
        <v>"NAV Direct","CRONUS JetCorp USA","32","1","44472"</v>
      </c>
      <c r="H304" s="86">
        <v>43472</v>
      </c>
      <c r="I304" s="85">
        <v>44472</v>
      </c>
      <c r="J304" s="84" t="str">
        <f>"Customer"</f>
        <v>Customer</v>
      </c>
      <c r="K304" s="84" t="str">
        <f>"C100141"</f>
        <v>C100141</v>
      </c>
      <c r="L304" s="84" t="str">
        <f>IF($J304="Customer",_xll.NL("first",$J304,"Name","No.","@@"&amp;$K304),"")</f>
        <v>Bargottis</v>
      </c>
      <c r="M304" s="84" t="str">
        <f>""</f>
        <v/>
      </c>
      <c r="N304" s="84" t="str">
        <f>IF($J304="Item",_xll.NL("first",$J304,"Description","No.","@@"&amp;$K304),"")</f>
        <v/>
      </c>
      <c r="O304" s="83">
        <v>0</v>
      </c>
      <c r="P304" s="83">
        <v>-144</v>
      </c>
      <c r="Q304" s="83">
        <v>0</v>
      </c>
      <c r="R304" s="83">
        <v>0</v>
      </c>
      <c r="S304" s="83">
        <v>0</v>
      </c>
      <c r="T304" s="83">
        <v>0</v>
      </c>
      <c r="U304" s="82"/>
    </row>
    <row r="305" spans="1:21" ht="17.25" customHeight="1" x14ac:dyDescent="0.3">
      <c r="A305" s="66" t="s">
        <v>30</v>
      </c>
      <c r="C305" s="67"/>
      <c r="D305" s="77" t="str">
        <f t="shared" si="171"/>
        <v>E100001</v>
      </c>
      <c r="E305" s="77"/>
      <c r="F305" s="76"/>
      <c r="G305" s="76" t="str">
        <f>"""NAV Direct"",""CRONUS JetCorp USA"",""32"",""1"",""124533"""</f>
        <v>"NAV Direct","CRONUS JetCorp USA","32","1","124533"</v>
      </c>
      <c r="H305" s="86">
        <v>43474</v>
      </c>
      <c r="I305" s="85">
        <v>124533</v>
      </c>
      <c r="J305" s="84" t="str">
        <f>"Customer"</f>
        <v>Customer</v>
      </c>
      <c r="K305" s="84" t="str">
        <f>"C100145"</f>
        <v>C100145</v>
      </c>
      <c r="L305" s="84" t="str">
        <f>IF($J305="Customer",_xll.NL("first",$J305,"Name","No.","@@"&amp;$K305),"")</f>
        <v>Dicon Industries</v>
      </c>
      <c r="M305" s="84" t="str">
        <f>""</f>
        <v/>
      </c>
      <c r="N305" s="84" t="str">
        <f>IF($J305="Item",_xll.NL("first",$J305,"Description","No.","@@"&amp;$K305),"")</f>
        <v/>
      </c>
      <c r="O305" s="83">
        <v>0</v>
      </c>
      <c r="P305" s="83">
        <v>-144</v>
      </c>
      <c r="Q305" s="83">
        <v>0</v>
      </c>
      <c r="R305" s="83">
        <v>0</v>
      </c>
      <c r="S305" s="83">
        <v>0</v>
      </c>
      <c r="T305" s="83">
        <v>0</v>
      </c>
      <c r="U305" s="82"/>
    </row>
    <row r="306" spans="1:21" ht="17.25" customHeight="1" x14ac:dyDescent="0.3">
      <c r="A306" s="66" t="s">
        <v>30</v>
      </c>
      <c r="C306" s="67"/>
      <c r="D306" s="77" t="str">
        <f t="shared" si="171"/>
        <v>E100001</v>
      </c>
      <c r="E306" s="77"/>
      <c r="F306" s="76"/>
      <c r="G306" s="76" t="str">
        <f>"""NAV Direct"",""CRONUS JetCorp USA"",""32"",""1"",""25272"""</f>
        <v>"NAV Direct","CRONUS JetCorp USA","32","1","25272"</v>
      </c>
      <c r="H306" s="86">
        <v>43476</v>
      </c>
      <c r="I306" s="85">
        <v>25272</v>
      </c>
      <c r="J306" s="84" t="str">
        <f>"Customer"</f>
        <v>Customer</v>
      </c>
      <c r="K306" s="84" t="str">
        <f>"C100102"</f>
        <v>C100102</v>
      </c>
      <c r="L306" s="84" t="str">
        <f>IF($J306="Customer",_xll.NL("first",$J306,"Name","No.","@@"&amp;$K306),"")</f>
        <v xml:space="preserve">BEI Outfitters </v>
      </c>
      <c r="M306" s="84" t="str">
        <f>""</f>
        <v/>
      </c>
      <c r="N306" s="84" t="str">
        <f>IF($J306="Item",_xll.NL("first",$J306,"Description","No.","@@"&amp;$K306),"")</f>
        <v/>
      </c>
      <c r="O306" s="83">
        <v>0</v>
      </c>
      <c r="P306" s="83">
        <v>-144</v>
      </c>
      <c r="Q306" s="83">
        <v>0</v>
      </c>
      <c r="R306" s="83">
        <v>0</v>
      </c>
      <c r="S306" s="83">
        <v>0</v>
      </c>
      <c r="T306" s="83">
        <v>0</v>
      </c>
      <c r="U306" s="82"/>
    </row>
    <row r="307" spans="1:21" ht="17.25" customHeight="1" x14ac:dyDescent="0.3">
      <c r="A307" s="66" t="s">
        <v>30</v>
      </c>
      <c r="C307" s="67"/>
      <c r="D307" s="77" t="str">
        <f t="shared" si="171"/>
        <v>E100001</v>
      </c>
      <c r="E307" s="77"/>
      <c r="F307" s="76"/>
      <c r="G307" s="76" t="str">
        <f>"""NAV Direct"",""CRONUS JetCorp USA"",""32"",""1"",""20407"""</f>
        <v>"NAV Direct","CRONUS JetCorp USA","32","1","20407"</v>
      </c>
      <c r="H307" s="86">
        <v>43477</v>
      </c>
      <c r="I307" s="85">
        <v>20407</v>
      </c>
      <c r="J307" s="84" t="str">
        <f>"Customer"</f>
        <v>Customer</v>
      </c>
      <c r="K307" s="84" t="str">
        <f>"C100039"</f>
        <v>C100039</v>
      </c>
      <c r="L307" s="84" t="str">
        <f>IF($J307="Customer",_xll.NL("first",$J307,"Name","No.","@@"&amp;$K307),"")</f>
        <v>Gary's Sports</v>
      </c>
      <c r="M307" s="84" t="str">
        <f>""</f>
        <v/>
      </c>
      <c r="N307" s="84" t="str">
        <f>IF($J307="Item",_xll.NL("first",$J307,"Description","No.","@@"&amp;$K307),"")</f>
        <v/>
      </c>
      <c r="O307" s="83">
        <v>0</v>
      </c>
      <c r="P307" s="83">
        <v>-12</v>
      </c>
      <c r="Q307" s="83">
        <v>0</v>
      </c>
      <c r="R307" s="83">
        <v>0</v>
      </c>
      <c r="S307" s="83">
        <v>0</v>
      </c>
      <c r="T307" s="83">
        <v>0</v>
      </c>
      <c r="U307" s="82"/>
    </row>
    <row r="308" spans="1:21" ht="17.25" customHeight="1" x14ac:dyDescent="0.3">
      <c r="A308" s="66" t="s">
        <v>30</v>
      </c>
      <c r="C308" s="67"/>
      <c r="D308" s="77" t="str">
        <f t="shared" si="171"/>
        <v>E100001</v>
      </c>
      <c r="E308" s="77"/>
      <c r="F308" s="76"/>
      <c r="G308" s="76" t="str">
        <f>"""NAV Direct"",""CRONUS JetCorp USA"",""32"",""1"",""25296"""</f>
        <v>"NAV Direct","CRONUS JetCorp USA","32","1","25296"</v>
      </c>
      <c r="H308" s="86">
        <v>43477</v>
      </c>
      <c r="I308" s="85">
        <v>25296</v>
      </c>
      <c r="J308" s="84" t="str">
        <f>"Customer"</f>
        <v>Customer</v>
      </c>
      <c r="K308" s="84" t="str">
        <f>"C100138"</f>
        <v>C100138</v>
      </c>
      <c r="L308" s="84" t="str">
        <f>IF($J308="Customer",_xll.NL("first",$J308,"Name","No.","@@"&amp;$K308),"")</f>
        <v>Dantons</v>
      </c>
      <c r="M308" s="84" t="str">
        <f>""</f>
        <v/>
      </c>
      <c r="N308" s="84" t="str">
        <f>IF($J308="Item",_xll.NL("first",$J308,"Description","No.","@@"&amp;$K308),"")</f>
        <v/>
      </c>
      <c r="O308" s="83">
        <v>0</v>
      </c>
      <c r="P308" s="83">
        <v>-144</v>
      </c>
      <c r="Q308" s="83">
        <v>0</v>
      </c>
      <c r="R308" s="83">
        <v>0</v>
      </c>
      <c r="S308" s="83">
        <v>0</v>
      </c>
      <c r="T308" s="83">
        <v>0</v>
      </c>
      <c r="U308" s="82"/>
    </row>
    <row r="309" spans="1:21" ht="17.25" customHeight="1" x14ac:dyDescent="0.3">
      <c r="A309" s="66" t="s">
        <v>30</v>
      </c>
      <c r="C309" s="67"/>
      <c r="D309" s="77"/>
      <c r="E309" s="77"/>
      <c r="F309" s="76"/>
      <c r="G309" s="76"/>
      <c r="H309" s="76"/>
      <c r="I309" s="76"/>
      <c r="J309" s="76"/>
      <c r="K309" s="76"/>
      <c r="L309" s="76"/>
      <c r="M309" s="76"/>
      <c r="N309" s="76"/>
      <c r="O309" s="75"/>
      <c r="P309" s="75"/>
      <c r="Q309" s="75"/>
      <c r="R309" s="75"/>
      <c r="S309" s="75"/>
      <c r="T309" s="75"/>
      <c r="U309" s="74"/>
    </row>
    <row r="310" spans="1:21" ht="17.25" customHeight="1" x14ac:dyDescent="0.3">
      <c r="A310" s="66" t="s">
        <v>30</v>
      </c>
      <c r="C310" s="67"/>
      <c r="D310" s="77"/>
      <c r="E310" s="77" t="s">
        <v>31</v>
      </c>
      <c r="F310" s="76" t="s">
        <v>31</v>
      </c>
      <c r="G310" s="76" t="s">
        <v>31</v>
      </c>
      <c r="H310" s="76"/>
      <c r="I310" s="76"/>
      <c r="J310" s="76" t="s">
        <v>31</v>
      </c>
      <c r="K310" s="76" t="s">
        <v>31</v>
      </c>
      <c r="L310" s="76" t="s">
        <v>31</v>
      </c>
      <c r="M310" s="76" t="s">
        <v>31</v>
      </c>
      <c r="N310" s="76"/>
      <c r="U310" s="81"/>
    </row>
    <row r="311" spans="1:21" ht="20.25" customHeight="1" x14ac:dyDescent="0.35">
      <c r="A311" s="66" t="s">
        <v>30</v>
      </c>
      <c r="C311" s="67"/>
      <c r="D311" s="92" t="str">
        <f t="shared" ref="D311" si="172">E311</f>
        <v>E100002</v>
      </c>
      <c r="E311" s="91" t="str">
        <f>"E100002"</f>
        <v>E100002</v>
      </c>
      <c r="F311" s="89" t="str">
        <f>"Cotton Classic Tote"</f>
        <v>Cotton Classic Tote</v>
      </c>
      <c r="G311" s="89"/>
      <c r="H311" s="90" t="str">
        <f>"EA"</f>
        <v>EA</v>
      </c>
      <c r="I311" s="89"/>
      <c r="J311" s="89"/>
      <c r="K311" s="89"/>
      <c r="L311" s="89"/>
      <c r="M311" s="89"/>
      <c r="N311" s="89"/>
      <c r="O311" s="88">
        <f>(SUBTOTAL(9,O312:O315))</f>
        <v>1200</v>
      </c>
      <c r="P311" s="88">
        <f>(SUBTOTAL(9,P312:P315))</f>
        <v>-432</v>
      </c>
      <c r="Q311" s="88">
        <f>(SUBTOTAL(9,Q312:Q315))</f>
        <v>0</v>
      </c>
      <c r="R311" s="88">
        <f>(SUBTOTAL(9,R312:R315))</f>
        <v>0</v>
      </c>
      <c r="S311" s="88">
        <f>(SUBTOTAL(9,S312:S315))</f>
        <v>0</v>
      </c>
      <c r="T311" s="88">
        <f>(SUBTOTAL(9,T312:T315))</f>
        <v>0</v>
      </c>
      <c r="U311" s="87">
        <f t="shared" ref="U311" si="173">SUBTOTAL(9,O312:T315)</f>
        <v>768</v>
      </c>
    </row>
    <row r="312" spans="1:21" ht="17.25" customHeight="1" x14ac:dyDescent="0.3">
      <c r="A312" s="66" t="s">
        <v>30</v>
      </c>
      <c r="C312" s="67"/>
      <c r="D312" s="77" t="str">
        <f t="shared" ref="D312" si="174">D311</f>
        <v>E100002</v>
      </c>
      <c r="E312" s="77"/>
      <c r="F312" s="76"/>
      <c r="G312" s="76" t="str">
        <f>"""NAV Direct"",""CRONUS JetCorp USA"",""32"",""1"",""166771"""</f>
        <v>"NAV Direct","CRONUS JetCorp USA","32","1","166771"</v>
      </c>
      <c r="H312" s="86">
        <v>43466</v>
      </c>
      <c r="I312" s="85">
        <v>166771</v>
      </c>
      <c r="J312" s="84" t="str">
        <f>"Vendor"</f>
        <v>Vendor</v>
      </c>
      <c r="K312" s="84" t="str">
        <f>"V100001"</f>
        <v>V100001</v>
      </c>
      <c r="L312" s="84" t="str">
        <f>IF($J312="Customer",_xll.NL("first",$J312,"Name","No.","@@"&amp;$K312),"")</f>
        <v/>
      </c>
      <c r="M312" s="84" t="str">
        <f>"Greigner, Inc."</f>
        <v>Greigner, Inc.</v>
      </c>
      <c r="N312" s="84" t="str">
        <f>IF($J312="Item",_xll.NL("first",$J312,"Description","No.","@@"&amp;$K312),"")</f>
        <v/>
      </c>
      <c r="O312" s="83">
        <v>1200</v>
      </c>
      <c r="P312" s="83">
        <v>0</v>
      </c>
      <c r="Q312" s="83">
        <v>0</v>
      </c>
      <c r="R312" s="83">
        <v>0</v>
      </c>
      <c r="S312" s="83">
        <v>0</v>
      </c>
      <c r="T312" s="83">
        <v>0</v>
      </c>
      <c r="U312" s="82"/>
    </row>
    <row r="313" spans="1:21" ht="17.25" customHeight="1" x14ac:dyDescent="0.3">
      <c r="A313" s="66" t="s">
        <v>30</v>
      </c>
      <c r="C313" s="67"/>
      <c r="D313" s="77" t="str">
        <f t="shared" ref="D313:D314" si="175">D312</f>
        <v>E100002</v>
      </c>
      <c r="E313" s="77"/>
      <c r="F313" s="76"/>
      <c r="G313" s="76" t="str">
        <f>"""NAV Direct"",""CRONUS JetCorp USA"",""32"",""1"",""64599"""</f>
        <v>"NAV Direct","CRONUS JetCorp USA","32","1","64599"</v>
      </c>
      <c r="H313" s="86">
        <v>43472</v>
      </c>
      <c r="I313" s="85">
        <v>64599</v>
      </c>
      <c r="J313" s="84" t="str">
        <f>"Customer"</f>
        <v>Customer</v>
      </c>
      <c r="K313" s="84" t="str">
        <f>"C100140"</f>
        <v>C100140</v>
      </c>
      <c r="L313" s="84" t="str">
        <f>IF($J313="Customer",_xll.NL("first",$J313,"Name","No.","@@"&amp;$K313),"")</f>
        <v>Super Daves</v>
      </c>
      <c r="M313" s="84" t="str">
        <f>""</f>
        <v/>
      </c>
      <c r="N313" s="84" t="str">
        <f>IF($J313="Item",_xll.NL("first",$J313,"Description","No.","@@"&amp;$K313),"")</f>
        <v/>
      </c>
      <c r="O313" s="83">
        <v>0</v>
      </c>
      <c r="P313" s="83">
        <v>-288</v>
      </c>
      <c r="Q313" s="83">
        <v>0</v>
      </c>
      <c r="R313" s="83">
        <v>0</v>
      </c>
      <c r="S313" s="83">
        <v>0</v>
      </c>
      <c r="T313" s="83">
        <v>0</v>
      </c>
      <c r="U313" s="82"/>
    </row>
    <row r="314" spans="1:21" ht="17.25" customHeight="1" x14ac:dyDescent="0.3">
      <c r="A314" s="66" t="s">
        <v>30</v>
      </c>
      <c r="C314" s="67"/>
      <c r="D314" s="77" t="str">
        <f t="shared" si="175"/>
        <v>E100002</v>
      </c>
      <c r="E314" s="77"/>
      <c r="F314" s="76"/>
      <c r="G314" s="76" t="str">
        <f>"""NAV Direct"",""CRONUS JetCorp USA"",""32"",""1"",""54709"""</f>
        <v>"NAV Direct","CRONUS JetCorp USA","32","1","54709"</v>
      </c>
      <c r="H314" s="86">
        <v>43474</v>
      </c>
      <c r="I314" s="85">
        <v>54709</v>
      </c>
      <c r="J314" s="84" t="str">
        <f>"Customer"</f>
        <v>Customer</v>
      </c>
      <c r="K314" s="84" t="str">
        <f>"C100096"</f>
        <v>C100096</v>
      </c>
      <c r="L314" s="84" t="str">
        <f>IF($J314="Customer",_xll.NL("first",$J314,"Name","No.","@@"&amp;$K314),"")</f>
        <v>D-Com Industries</v>
      </c>
      <c r="M314" s="84" t="str">
        <f>""</f>
        <v/>
      </c>
      <c r="N314" s="84" t="str">
        <f>IF($J314="Item",_xll.NL("first",$J314,"Description","No.","@@"&amp;$K314),"")</f>
        <v/>
      </c>
      <c r="O314" s="83">
        <v>0</v>
      </c>
      <c r="P314" s="83">
        <v>-144</v>
      </c>
      <c r="Q314" s="83">
        <v>0</v>
      </c>
      <c r="R314" s="83">
        <v>0</v>
      </c>
      <c r="S314" s="83">
        <v>0</v>
      </c>
      <c r="T314" s="83">
        <v>0</v>
      </c>
      <c r="U314" s="82"/>
    </row>
    <row r="315" spans="1:21" ht="17.25" customHeight="1" x14ac:dyDescent="0.3">
      <c r="A315" s="66" t="s">
        <v>30</v>
      </c>
      <c r="C315" s="67"/>
      <c r="D315" s="77"/>
      <c r="E315" s="77"/>
      <c r="F315" s="76"/>
      <c r="G315" s="76"/>
      <c r="H315" s="76"/>
      <c r="I315" s="76"/>
      <c r="J315" s="76"/>
      <c r="K315" s="76"/>
      <c r="L315" s="76"/>
      <c r="M315" s="76"/>
      <c r="N315" s="76"/>
      <c r="O315" s="75"/>
      <c r="P315" s="75"/>
      <c r="Q315" s="75"/>
      <c r="R315" s="75"/>
      <c r="S315" s="75"/>
      <c r="T315" s="75"/>
      <c r="U315" s="74"/>
    </row>
    <row r="316" spans="1:21" ht="17.25" customHeight="1" x14ac:dyDescent="0.3">
      <c r="A316" s="66" t="s">
        <v>30</v>
      </c>
      <c r="C316" s="67"/>
      <c r="D316" s="77"/>
      <c r="E316" s="77" t="s">
        <v>31</v>
      </c>
      <c r="F316" s="76" t="s">
        <v>31</v>
      </c>
      <c r="G316" s="76" t="s">
        <v>31</v>
      </c>
      <c r="H316" s="76"/>
      <c r="I316" s="76"/>
      <c r="J316" s="76" t="s">
        <v>31</v>
      </c>
      <c r="K316" s="76" t="s">
        <v>31</v>
      </c>
      <c r="L316" s="76" t="s">
        <v>31</v>
      </c>
      <c r="M316" s="76" t="s">
        <v>31</v>
      </c>
      <c r="N316" s="76"/>
      <c r="U316" s="81"/>
    </row>
    <row r="317" spans="1:21" ht="20.25" customHeight="1" x14ac:dyDescent="0.35">
      <c r="A317" s="66" t="s">
        <v>30</v>
      </c>
      <c r="C317" s="67"/>
      <c r="D317" s="92" t="str">
        <f t="shared" ref="D317" si="176">E317</f>
        <v>E100003</v>
      </c>
      <c r="E317" s="91" t="str">
        <f>"E100003"</f>
        <v>E100003</v>
      </c>
      <c r="F317" s="89" t="str">
        <f>"Recycled Tote"</f>
        <v>Recycled Tote</v>
      </c>
      <c r="G317" s="89"/>
      <c r="H317" s="90" t="str">
        <f>"EA"</f>
        <v>EA</v>
      </c>
      <c r="I317" s="89"/>
      <c r="J317" s="89"/>
      <c r="K317" s="89"/>
      <c r="L317" s="89"/>
      <c r="M317" s="89"/>
      <c r="N317" s="89"/>
      <c r="O317" s="88">
        <f>(SUBTOTAL(9,O318:O321))</f>
        <v>999.99999999999989</v>
      </c>
      <c r="P317" s="88">
        <f>(SUBTOTAL(9,P318:P321))</f>
        <v>-336</v>
      </c>
      <c r="Q317" s="88">
        <f>(SUBTOTAL(9,Q318:Q321))</f>
        <v>0</v>
      </c>
      <c r="R317" s="88">
        <f>(SUBTOTAL(9,R318:R321))</f>
        <v>0</v>
      </c>
      <c r="S317" s="88">
        <f>(SUBTOTAL(9,S318:S321))</f>
        <v>0</v>
      </c>
      <c r="T317" s="88">
        <f>(SUBTOTAL(9,T318:T321))</f>
        <v>0</v>
      </c>
      <c r="U317" s="87">
        <f t="shared" ref="U317" si="177">SUBTOTAL(9,O318:T321)</f>
        <v>663.99999999999989</v>
      </c>
    </row>
    <row r="318" spans="1:21" ht="17.25" customHeight="1" x14ac:dyDescent="0.3">
      <c r="A318" s="66" t="s">
        <v>30</v>
      </c>
      <c r="C318" s="67"/>
      <c r="D318" s="77" t="str">
        <f t="shared" ref="D318" si="178">D317</f>
        <v>E100003</v>
      </c>
      <c r="E318" s="77"/>
      <c r="F318" s="76"/>
      <c r="G318" s="76" t="str">
        <f>"""NAV Direct"",""CRONUS JetCorp USA"",""32"",""1"",""166770"""</f>
        <v>"NAV Direct","CRONUS JetCorp USA","32","1","166770"</v>
      </c>
      <c r="H318" s="86">
        <v>43466</v>
      </c>
      <c r="I318" s="85">
        <v>166770</v>
      </c>
      <c r="J318" s="84" t="str">
        <f>"Vendor"</f>
        <v>Vendor</v>
      </c>
      <c r="K318" s="84" t="str">
        <f>"V100001"</f>
        <v>V100001</v>
      </c>
      <c r="L318" s="84" t="str">
        <f>IF($J318="Customer",_xll.NL("first",$J318,"Name","No.","@@"&amp;$K318),"")</f>
        <v/>
      </c>
      <c r="M318" s="84" t="str">
        <f>"Greigner, Inc."</f>
        <v>Greigner, Inc.</v>
      </c>
      <c r="N318" s="84" t="str">
        <f>IF($J318="Item",_xll.NL("first",$J318,"Description","No.","@@"&amp;$K318),"")</f>
        <v/>
      </c>
      <c r="O318" s="83">
        <v>999.99999999999989</v>
      </c>
      <c r="P318" s="83">
        <v>0</v>
      </c>
      <c r="Q318" s="83">
        <v>0</v>
      </c>
      <c r="R318" s="83">
        <v>0</v>
      </c>
      <c r="S318" s="83">
        <v>0</v>
      </c>
      <c r="T318" s="83">
        <v>0</v>
      </c>
      <c r="U318" s="82"/>
    </row>
    <row r="319" spans="1:21" ht="17.25" customHeight="1" x14ac:dyDescent="0.3">
      <c r="A319" s="66" t="s">
        <v>30</v>
      </c>
      <c r="C319" s="67"/>
      <c r="D319" s="77" t="str">
        <f t="shared" ref="D319:D320" si="179">D318</f>
        <v>E100003</v>
      </c>
      <c r="E319" s="77"/>
      <c r="F319" s="76"/>
      <c r="G319" s="76" t="str">
        <f>"""NAV Direct"",""CRONUS JetCorp USA"",""32"",""1"",""44460"""</f>
        <v>"NAV Direct","CRONUS JetCorp USA","32","1","44460"</v>
      </c>
      <c r="H319" s="86">
        <v>43472</v>
      </c>
      <c r="I319" s="85">
        <v>44460</v>
      </c>
      <c r="J319" s="84" t="str">
        <f>"Customer"</f>
        <v>Customer</v>
      </c>
      <c r="K319" s="84" t="str">
        <f>"C100141"</f>
        <v>C100141</v>
      </c>
      <c r="L319" s="84" t="str">
        <f>IF($J319="Customer",_xll.NL("first",$J319,"Name","No.","@@"&amp;$K319),"")</f>
        <v>Bargottis</v>
      </c>
      <c r="M319" s="84" t="str">
        <f>""</f>
        <v/>
      </c>
      <c r="N319" s="84" t="str">
        <f>IF($J319="Item",_xll.NL("first",$J319,"Description","No.","@@"&amp;$K319),"")</f>
        <v/>
      </c>
      <c r="O319" s="83">
        <v>0</v>
      </c>
      <c r="P319" s="83">
        <v>-288</v>
      </c>
      <c r="Q319" s="83">
        <v>0</v>
      </c>
      <c r="R319" s="83">
        <v>0</v>
      </c>
      <c r="S319" s="83">
        <v>0</v>
      </c>
      <c r="T319" s="83">
        <v>0</v>
      </c>
      <c r="U319" s="82"/>
    </row>
    <row r="320" spans="1:21" ht="17.25" customHeight="1" x14ac:dyDescent="0.3">
      <c r="A320" s="66" t="s">
        <v>30</v>
      </c>
      <c r="C320" s="67"/>
      <c r="D320" s="77" t="str">
        <f t="shared" si="179"/>
        <v>E100003</v>
      </c>
      <c r="E320" s="77"/>
      <c r="F320" s="76"/>
      <c r="G320" s="76" t="str">
        <f>"""NAV Direct"",""CRONUS JetCorp USA"",""32"",""1"",""44533"""</f>
        <v>"NAV Direct","CRONUS JetCorp USA","32","1","44533"</v>
      </c>
      <c r="H320" s="86">
        <v>43473</v>
      </c>
      <c r="I320" s="85">
        <v>44533</v>
      </c>
      <c r="J320" s="84" t="str">
        <f>"Customer"</f>
        <v>Customer</v>
      </c>
      <c r="K320" s="84" t="str">
        <f>"C100139"</f>
        <v>C100139</v>
      </c>
      <c r="L320" s="84" t="str">
        <f>IF($J320="Customer",_xll.NL("first",$J320,"Name","No.","@@"&amp;$K320),"")</f>
        <v>Gamma Ray's</v>
      </c>
      <c r="M320" s="84" t="str">
        <f>""</f>
        <v/>
      </c>
      <c r="N320" s="84" t="str">
        <f>IF($J320="Item",_xll.NL("first",$J320,"Description","No.","@@"&amp;$K320),"")</f>
        <v/>
      </c>
      <c r="O320" s="83">
        <v>0</v>
      </c>
      <c r="P320" s="83">
        <v>-48</v>
      </c>
      <c r="Q320" s="83">
        <v>0</v>
      </c>
      <c r="R320" s="83">
        <v>0</v>
      </c>
      <c r="S320" s="83">
        <v>0</v>
      </c>
      <c r="T320" s="83">
        <v>0</v>
      </c>
      <c r="U320" s="82"/>
    </row>
    <row r="321" spans="1:21" ht="17.25" customHeight="1" x14ac:dyDescent="0.3">
      <c r="A321" s="66" t="s">
        <v>30</v>
      </c>
      <c r="C321" s="67"/>
      <c r="D321" s="77"/>
      <c r="E321" s="77"/>
      <c r="F321" s="76"/>
      <c r="G321" s="76"/>
      <c r="H321" s="76"/>
      <c r="I321" s="76"/>
      <c r="J321" s="76"/>
      <c r="K321" s="76"/>
      <c r="L321" s="76"/>
      <c r="M321" s="76"/>
      <c r="N321" s="76"/>
      <c r="O321" s="75"/>
      <c r="P321" s="75"/>
      <c r="Q321" s="75"/>
      <c r="R321" s="75"/>
      <c r="S321" s="75"/>
      <c r="T321" s="75"/>
      <c r="U321" s="74"/>
    </row>
    <row r="322" spans="1:21" ht="17.25" customHeight="1" x14ac:dyDescent="0.3">
      <c r="A322" s="66" t="s">
        <v>30</v>
      </c>
      <c r="C322" s="67"/>
      <c r="D322" s="77"/>
      <c r="E322" s="77" t="s">
        <v>31</v>
      </c>
      <c r="F322" s="76" t="s">
        <v>31</v>
      </c>
      <c r="G322" s="76" t="s">
        <v>31</v>
      </c>
      <c r="H322" s="76"/>
      <c r="I322" s="76"/>
      <c r="J322" s="76" t="s">
        <v>31</v>
      </c>
      <c r="K322" s="76" t="s">
        <v>31</v>
      </c>
      <c r="L322" s="76" t="s">
        <v>31</v>
      </c>
      <c r="M322" s="76" t="s">
        <v>31</v>
      </c>
      <c r="N322" s="76"/>
      <c r="U322" s="81"/>
    </row>
    <row r="323" spans="1:21" ht="20.25" customHeight="1" x14ac:dyDescent="0.35">
      <c r="A323" s="66" t="s">
        <v>30</v>
      </c>
      <c r="C323" s="67"/>
      <c r="D323" s="92" t="str">
        <f t="shared" ref="D323" si="180">E323</f>
        <v>E100004</v>
      </c>
      <c r="E323" s="91" t="str">
        <f>"E100004"</f>
        <v>E100004</v>
      </c>
      <c r="F323" s="89" t="str">
        <f>"Laminated Tote"</f>
        <v>Laminated Tote</v>
      </c>
      <c r="G323" s="89"/>
      <c r="H323" s="90" t="str">
        <f>"EA"</f>
        <v>EA</v>
      </c>
      <c r="I323" s="89"/>
      <c r="J323" s="89"/>
      <c r="K323" s="89"/>
      <c r="L323" s="89"/>
      <c r="M323" s="89"/>
      <c r="N323" s="89"/>
      <c r="O323" s="88">
        <f>(SUBTOTAL(9,O324:O329))</f>
        <v>1400</v>
      </c>
      <c r="P323" s="88">
        <f>(SUBTOTAL(9,P324:P329))</f>
        <v>-600</v>
      </c>
      <c r="Q323" s="88">
        <f>(SUBTOTAL(9,Q324:Q329))</f>
        <v>0</v>
      </c>
      <c r="R323" s="88">
        <f>(SUBTOTAL(9,R324:R329))</f>
        <v>0</v>
      </c>
      <c r="S323" s="88">
        <f>(SUBTOTAL(9,S324:S329))</f>
        <v>0</v>
      </c>
      <c r="T323" s="88">
        <f>(SUBTOTAL(9,T324:T329))</f>
        <v>0</v>
      </c>
      <c r="U323" s="87">
        <f t="shared" ref="U323" si="181">SUBTOTAL(9,O324:T329)</f>
        <v>800</v>
      </c>
    </row>
    <row r="324" spans="1:21" ht="17.25" customHeight="1" x14ac:dyDescent="0.3">
      <c r="A324" s="66" t="s">
        <v>30</v>
      </c>
      <c r="C324" s="67"/>
      <c r="D324" s="77" t="str">
        <f t="shared" ref="D324" si="182">D323</f>
        <v>E100004</v>
      </c>
      <c r="E324" s="77"/>
      <c r="F324" s="76"/>
      <c r="G324" s="76" t="str">
        <f>"""NAV Direct"",""CRONUS JetCorp USA"",""32"",""1"",""166769"""</f>
        <v>"NAV Direct","CRONUS JetCorp USA","32","1","166769"</v>
      </c>
      <c r="H324" s="86">
        <v>43466</v>
      </c>
      <c r="I324" s="85">
        <v>166769</v>
      </c>
      <c r="J324" s="84" t="str">
        <f>"Vendor"</f>
        <v>Vendor</v>
      </c>
      <c r="K324" s="84" t="str">
        <f>"V100001"</f>
        <v>V100001</v>
      </c>
      <c r="L324" s="84" t="str">
        <f>IF($J324="Customer",_xll.NL("first",$J324,"Name","No.","@@"&amp;$K324),"")</f>
        <v/>
      </c>
      <c r="M324" s="84" t="str">
        <f>"Greigner, Inc."</f>
        <v>Greigner, Inc.</v>
      </c>
      <c r="N324" s="84" t="str">
        <f>IF($J324="Item",_xll.NL("first",$J324,"Description","No.","@@"&amp;$K324),"")</f>
        <v/>
      </c>
      <c r="O324" s="83">
        <v>1400</v>
      </c>
      <c r="P324" s="83">
        <v>0</v>
      </c>
      <c r="Q324" s="83">
        <v>0</v>
      </c>
      <c r="R324" s="83">
        <v>0</v>
      </c>
      <c r="S324" s="83">
        <v>0</v>
      </c>
      <c r="T324" s="83">
        <v>0</v>
      </c>
      <c r="U324" s="82"/>
    </row>
    <row r="325" spans="1:21" ht="17.25" customHeight="1" x14ac:dyDescent="0.3">
      <c r="A325" s="66" t="s">
        <v>30</v>
      </c>
      <c r="C325" s="67"/>
      <c r="D325" s="77" t="str">
        <f t="shared" ref="D325:D328" si="183">D324</f>
        <v>E100004</v>
      </c>
      <c r="E325" s="77"/>
      <c r="F325" s="76"/>
      <c r="G325" s="76" t="str">
        <f>"""NAV Direct"",""CRONUS JetCorp USA"",""32"",""1"",""64582"""</f>
        <v>"NAV Direct","CRONUS JetCorp USA","32","1","64582"</v>
      </c>
      <c r="H325" s="86">
        <v>43469</v>
      </c>
      <c r="I325" s="85">
        <v>64582</v>
      </c>
      <c r="J325" s="84" t="str">
        <f>"Customer"</f>
        <v>Customer</v>
      </c>
      <c r="K325" s="84" t="str">
        <f>"C100140"</f>
        <v>C100140</v>
      </c>
      <c r="L325" s="84" t="str">
        <f>IF($J325="Customer",_xll.NL("first",$J325,"Name","No.","@@"&amp;$K325),"")</f>
        <v>Super Daves</v>
      </c>
      <c r="M325" s="84" t="str">
        <f>""</f>
        <v/>
      </c>
      <c r="N325" s="84" t="str">
        <f>IF($J325="Item",_xll.NL("first",$J325,"Description","No.","@@"&amp;$K325),"")</f>
        <v/>
      </c>
      <c r="O325" s="83">
        <v>0</v>
      </c>
      <c r="P325" s="83">
        <v>-144</v>
      </c>
      <c r="Q325" s="83">
        <v>0</v>
      </c>
      <c r="R325" s="83">
        <v>0</v>
      </c>
      <c r="S325" s="83">
        <v>0</v>
      </c>
      <c r="T325" s="83">
        <v>0</v>
      </c>
      <c r="U325" s="82"/>
    </row>
    <row r="326" spans="1:21" ht="17.25" customHeight="1" x14ac:dyDescent="0.3">
      <c r="A326" s="66" t="s">
        <v>30</v>
      </c>
      <c r="C326" s="67"/>
      <c r="D326" s="77" t="str">
        <f t="shared" si="183"/>
        <v>E100004</v>
      </c>
      <c r="E326" s="77"/>
      <c r="F326" s="76"/>
      <c r="G326" s="76" t="str">
        <f>"""NAV Direct"",""CRONUS JetCorp USA"",""32"",""1"",""44471"""</f>
        <v>"NAV Direct","CRONUS JetCorp USA","32","1","44471"</v>
      </c>
      <c r="H326" s="86">
        <v>43472</v>
      </c>
      <c r="I326" s="85">
        <v>44471</v>
      </c>
      <c r="J326" s="84" t="str">
        <f>"Customer"</f>
        <v>Customer</v>
      </c>
      <c r="K326" s="84" t="str">
        <f>"C100141"</f>
        <v>C100141</v>
      </c>
      <c r="L326" s="84" t="str">
        <f>IF($J326="Customer",_xll.NL("first",$J326,"Name","No.","@@"&amp;$K326),"")</f>
        <v>Bargottis</v>
      </c>
      <c r="M326" s="84" t="str">
        <f>""</f>
        <v/>
      </c>
      <c r="N326" s="84" t="str">
        <f>IF($J326="Item",_xll.NL("first",$J326,"Description","No.","@@"&amp;$K326),"")</f>
        <v/>
      </c>
      <c r="O326" s="83">
        <v>0</v>
      </c>
      <c r="P326" s="83">
        <v>-144</v>
      </c>
      <c r="Q326" s="83">
        <v>0</v>
      </c>
      <c r="R326" s="83">
        <v>0</v>
      </c>
      <c r="S326" s="83">
        <v>0</v>
      </c>
      <c r="T326" s="83">
        <v>0</v>
      </c>
      <c r="U326" s="82"/>
    </row>
    <row r="327" spans="1:21" ht="17.25" customHeight="1" x14ac:dyDescent="0.3">
      <c r="A327" s="66" t="s">
        <v>30</v>
      </c>
      <c r="C327" s="67"/>
      <c r="D327" s="77" t="str">
        <f t="shared" si="183"/>
        <v>E100004</v>
      </c>
      <c r="E327" s="77"/>
      <c r="F327" s="76"/>
      <c r="G327" s="76" t="str">
        <f>"""NAV Direct"",""CRONUS JetCorp USA"",""32"",""1"",""44514"""</f>
        <v>"NAV Direct","CRONUS JetCorp USA","32","1","44514"</v>
      </c>
      <c r="H327" s="86">
        <v>43473</v>
      </c>
      <c r="I327" s="85">
        <v>44514</v>
      </c>
      <c r="J327" s="84" t="str">
        <f>"Customer"</f>
        <v>Customer</v>
      </c>
      <c r="K327" s="84" t="str">
        <f>"C100139"</f>
        <v>C100139</v>
      </c>
      <c r="L327" s="84" t="str">
        <f>IF($J327="Customer",_xll.NL("first",$J327,"Name","No.","@@"&amp;$K327),"")</f>
        <v>Gamma Ray's</v>
      </c>
      <c r="M327" s="84" t="str">
        <f>""</f>
        <v/>
      </c>
      <c r="N327" s="84" t="str">
        <f>IF($J327="Item",_xll.NL("first",$J327,"Description","No.","@@"&amp;$K327),"")</f>
        <v/>
      </c>
      <c r="O327" s="83">
        <v>0</v>
      </c>
      <c r="P327" s="83">
        <v>-288</v>
      </c>
      <c r="Q327" s="83">
        <v>0</v>
      </c>
      <c r="R327" s="83">
        <v>0</v>
      </c>
      <c r="S327" s="83">
        <v>0</v>
      </c>
      <c r="T327" s="83">
        <v>0</v>
      </c>
      <c r="U327" s="82"/>
    </row>
    <row r="328" spans="1:21" ht="17.25" customHeight="1" x14ac:dyDescent="0.3">
      <c r="A328" s="66" t="s">
        <v>30</v>
      </c>
      <c r="C328" s="67"/>
      <c r="D328" s="77" t="str">
        <f t="shared" si="183"/>
        <v>E100004</v>
      </c>
      <c r="E328" s="77"/>
      <c r="F328" s="76"/>
      <c r="G328" s="76" t="str">
        <f>"""NAV Direct"",""CRONUS JetCorp USA"",""32"",""1"",""153183"""</f>
        <v>"NAV Direct","CRONUS JetCorp USA","32","1","153183"</v>
      </c>
      <c r="H328" s="86">
        <v>43475</v>
      </c>
      <c r="I328" s="85">
        <v>153183</v>
      </c>
      <c r="J328" s="84" t="str">
        <f>"Customer"</f>
        <v>Customer</v>
      </c>
      <c r="K328" s="84" t="str">
        <f>"C100108"</f>
        <v>C100108</v>
      </c>
      <c r="L328" s="84" t="str">
        <f>IF($J328="Customer",_xll.NL("first",$J328,"Name","No.","@@"&amp;$K328),"")</f>
        <v>Kinfix Industries</v>
      </c>
      <c r="M328" s="84" t="str">
        <f>""</f>
        <v/>
      </c>
      <c r="N328" s="84" t="str">
        <f>IF($J328="Item",_xll.NL("first",$J328,"Description","No.","@@"&amp;$K328),"")</f>
        <v/>
      </c>
      <c r="O328" s="83">
        <v>0</v>
      </c>
      <c r="P328" s="83">
        <v>-24</v>
      </c>
      <c r="Q328" s="83">
        <v>0</v>
      </c>
      <c r="R328" s="83">
        <v>0</v>
      </c>
      <c r="S328" s="83">
        <v>0</v>
      </c>
      <c r="T328" s="83">
        <v>0</v>
      </c>
      <c r="U328" s="82"/>
    </row>
    <row r="329" spans="1:21" ht="17.25" customHeight="1" x14ac:dyDescent="0.3">
      <c r="A329" s="66" t="s">
        <v>30</v>
      </c>
      <c r="C329" s="67"/>
      <c r="D329" s="77"/>
      <c r="E329" s="77"/>
      <c r="F329" s="76"/>
      <c r="G329" s="76"/>
      <c r="H329" s="76"/>
      <c r="I329" s="76"/>
      <c r="J329" s="76"/>
      <c r="K329" s="76"/>
      <c r="L329" s="76"/>
      <c r="M329" s="76"/>
      <c r="N329" s="76"/>
      <c r="O329" s="75"/>
      <c r="P329" s="75"/>
      <c r="Q329" s="75"/>
      <c r="R329" s="75"/>
      <c r="S329" s="75"/>
      <c r="T329" s="75"/>
      <c r="U329" s="74"/>
    </row>
    <row r="330" spans="1:21" ht="17.25" customHeight="1" x14ac:dyDescent="0.3">
      <c r="A330" s="66" t="s">
        <v>30</v>
      </c>
      <c r="C330" s="67"/>
      <c r="D330" s="77"/>
      <c r="E330" s="77" t="s">
        <v>31</v>
      </c>
      <c r="F330" s="76" t="s">
        <v>31</v>
      </c>
      <c r="G330" s="76" t="s">
        <v>31</v>
      </c>
      <c r="H330" s="76"/>
      <c r="I330" s="76"/>
      <c r="J330" s="76" t="s">
        <v>31</v>
      </c>
      <c r="K330" s="76" t="s">
        <v>31</v>
      </c>
      <c r="L330" s="76" t="s">
        <v>31</v>
      </c>
      <c r="M330" s="76" t="s">
        <v>31</v>
      </c>
      <c r="N330" s="76"/>
      <c r="U330" s="81"/>
    </row>
    <row r="331" spans="1:21" ht="20.25" customHeight="1" x14ac:dyDescent="0.35">
      <c r="A331" s="66" t="s">
        <v>30</v>
      </c>
      <c r="C331" s="67"/>
      <c r="D331" s="92" t="str">
        <f t="shared" ref="D331" si="184">E331</f>
        <v>E100005</v>
      </c>
      <c r="E331" s="91" t="str">
        <f>"E100005"</f>
        <v>E100005</v>
      </c>
      <c r="F331" s="89" t="str">
        <f>"All Purpose Tote"</f>
        <v>All Purpose Tote</v>
      </c>
      <c r="G331" s="89"/>
      <c r="H331" s="90" t="str">
        <f>"EA"</f>
        <v>EA</v>
      </c>
      <c r="I331" s="89"/>
      <c r="J331" s="89"/>
      <c r="K331" s="89"/>
      <c r="L331" s="89"/>
      <c r="M331" s="89"/>
      <c r="N331" s="89"/>
      <c r="O331" s="88">
        <f>(SUBTOTAL(9,O332:O335))</f>
        <v>800</v>
      </c>
      <c r="P331" s="88">
        <f>(SUBTOTAL(9,P332:P335))</f>
        <v>-288</v>
      </c>
      <c r="Q331" s="88">
        <f>(SUBTOTAL(9,Q332:Q335))</f>
        <v>0</v>
      </c>
      <c r="R331" s="88">
        <f>(SUBTOTAL(9,R332:R335))</f>
        <v>0</v>
      </c>
      <c r="S331" s="88">
        <f>(SUBTOTAL(9,S332:S335))</f>
        <v>0</v>
      </c>
      <c r="T331" s="88">
        <f>(SUBTOTAL(9,T332:T335))</f>
        <v>0</v>
      </c>
      <c r="U331" s="87">
        <f t="shared" ref="U331" si="185">SUBTOTAL(9,O332:T335)</f>
        <v>512</v>
      </c>
    </row>
    <row r="332" spans="1:21" ht="17.25" customHeight="1" x14ac:dyDescent="0.3">
      <c r="A332" s="66" t="s">
        <v>30</v>
      </c>
      <c r="C332" s="67"/>
      <c r="D332" s="77" t="str">
        <f t="shared" ref="D332" si="186">D331</f>
        <v>E100005</v>
      </c>
      <c r="E332" s="77"/>
      <c r="F332" s="76"/>
      <c r="G332" s="76" t="str">
        <f>"""NAV Direct"",""CRONUS JetCorp USA"",""32"",""1"",""166768"""</f>
        <v>"NAV Direct","CRONUS JetCorp USA","32","1","166768"</v>
      </c>
      <c r="H332" s="86">
        <v>43466</v>
      </c>
      <c r="I332" s="85">
        <v>166768</v>
      </c>
      <c r="J332" s="84" t="str">
        <f>"Vendor"</f>
        <v>Vendor</v>
      </c>
      <c r="K332" s="84" t="str">
        <f>"V100001"</f>
        <v>V100001</v>
      </c>
      <c r="L332" s="84" t="str">
        <f>IF($J332="Customer",_xll.NL("first",$J332,"Name","No.","@@"&amp;$K332),"")</f>
        <v/>
      </c>
      <c r="M332" s="84" t="str">
        <f>"Greigner, Inc."</f>
        <v>Greigner, Inc.</v>
      </c>
      <c r="N332" s="84" t="str">
        <f>IF($J332="Item",_xll.NL("first",$J332,"Description","No.","@@"&amp;$K332),"")</f>
        <v/>
      </c>
      <c r="O332" s="83">
        <v>800</v>
      </c>
      <c r="P332" s="83">
        <v>0</v>
      </c>
      <c r="Q332" s="83">
        <v>0</v>
      </c>
      <c r="R332" s="83">
        <v>0</v>
      </c>
      <c r="S332" s="83">
        <v>0</v>
      </c>
      <c r="T332" s="83">
        <v>0</v>
      </c>
      <c r="U332" s="82"/>
    </row>
    <row r="333" spans="1:21" ht="17.25" customHeight="1" x14ac:dyDescent="0.3">
      <c r="A333" s="66" t="s">
        <v>30</v>
      </c>
      <c r="C333" s="67"/>
      <c r="D333" s="77" t="str">
        <f t="shared" ref="D333:D334" si="187">D332</f>
        <v>E100005</v>
      </c>
      <c r="E333" s="77"/>
      <c r="F333" s="76"/>
      <c r="G333" s="76" t="str">
        <f>"""NAV Direct"",""CRONUS JetCorp USA"",""32"",""1"",""44525"""</f>
        <v>"NAV Direct","CRONUS JetCorp USA","32","1","44525"</v>
      </c>
      <c r="H333" s="86">
        <v>43473</v>
      </c>
      <c r="I333" s="85">
        <v>44525</v>
      </c>
      <c r="J333" s="84" t="str">
        <f>"Customer"</f>
        <v>Customer</v>
      </c>
      <c r="K333" s="84" t="str">
        <f>"C100139"</f>
        <v>C100139</v>
      </c>
      <c r="L333" s="84" t="str">
        <f>IF($J333="Customer",_xll.NL("first",$J333,"Name","No.","@@"&amp;$K333),"")</f>
        <v>Gamma Ray's</v>
      </c>
      <c r="M333" s="84" t="str">
        <f>""</f>
        <v/>
      </c>
      <c r="N333" s="84" t="str">
        <f>IF($J333="Item",_xll.NL("first",$J333,"Description","No.","@@"&amp;$K333),"")</f>
        <v/>
      </c>
      <c r="O333" s="83">
        <v>0</v>
      </c>
      <c r="P333" s="83">
        <v>-144</v>
      </c>
      <c r="Q333" s="83">
        <v>0</v>
      </c>
      <c r="R333" s="83">
        <v>0</v>
      </c>
      <c r="S333" s="83">
        <v>0</v>
      </c>
      <c r="T333" s="83">
        <v>0</v>
      </c>
      <c r="U333" s="82"/>
    </row>
    <row r="334" spans="1:21" ht="17.25" customHeight="1" x14ac:dyDescent="0.3">
      <c r="A334" s="66" t="s">
        <v>30</v>
      </c>
      <c r="C334" s="67"/>
      <c r="D334" s="77" t="str">
        <f t="shared" si="187"/>
        <v>E100005</v>
      </c>
      <c r="E334" s="77"/>
      <c r="F334" s="76"/>
      <c r="G334" s="76" t="str">
        <f>"""NAV Direct"",""CRONUS JetCorp USA"",""32"",""1"",""54701"""</f>
        <v>"NAV Direct","CRONUS JetCorp USA","32","1","54701"</v>
      </c>
      <c r="H334" s="86">
        <v>43474</v>
      </c>
      <c r="I334" s="85">
        <v>54701</v>
      </c>
      <c r="J334" s="84" t="str">
        <f>"Customer"</f>
        <v>Customer</v>
      </c>
      <c r="K334" s="84" t="str">
        <f>"C100096"</f>
        <v>C100096</v>
      </c>
      <c r="L334" s="84" t="str">
        <f>IF($J334="Customer",_xll.NL("first",$J334,"Name","No.","@@"&amp;$K334),"")</f>
        <v>D-Com Industries</v>
      </c>
      <c r="M334" s="84" t="str">
        <f>""</f>
        <v/>
      </c>
      <c r="N334" s="84" t="str">
        <f>IF($J334="Item",_xll.NL("first",$J334,"Description","No.","@@"&amp;$K334),"")</f>
        <v/>
      </c>
      <c r="O334" s="83">
        <v>0</v>
      </c>
      <c r="P334" s="83">
        <v>-144</v>
      </c>
      <c r="Q334" s="83">
        <v>0</v>
      </c>
      <c r="R334" s="83">
        <v>0</v>
      </c>
      <c r="S334" s="83">
        <v>0</v>
      </c>
      <c r="T334" s="83">
        <v>0</v>
      </c>
      <c r="U334" s="82"/>
    </row>
    <row r="335" spans="1:21" ht="17.25" customHeight="1" x14ac:dyDescent="0.3">
      <c r="A335" s="66" t="s">
        <v>30</v>
      </c>
      <c r="C335" s="67"/>
      <c r="D335" s="77"/>
      <c r="E335" s="77"/>
      <c r="F335" s="76"/>
      <c r="G335" s="76"/>
      <c r="H335" s="76"/>
      <c r="I335" s="76"/>
      <c r="J335" s="76"/>
      <c r="K335" s="76"/>
      <c r="L335" s="76"/>
      <c r="M335" s="76"/>
      <c r="N335" s="76"/>
      <c r="O335" s="75"/>
      <c r="P335" s="75"/>
      <c r="Q335" s="75"/>
      <c r="R335" s="75"/>
      <c r="S335" s="75"/>
      <c r="T335" s="75"/>
      <c r="U335" s="74"/>
    </row>
    <row r="336" spans="1:21" ht="17.25" customHeight="1" x14ac:dyDescent="0.3">
      <c r="A336" s="66" t="s">
        <v>30</v>
      </c>
      <c r="C336" s="67"/>
      <c r="D336" s="77"/>
      <c r="E336" s="77" t="s">
        <v>31</v>
      </c>
      <c r="F336" s="76" t="s">
        <v>31</v>
      </c>
      <c r="G336" s="76" t="s">
        <v>31</v>
      </c>
      <c r="H336" s="76"/>
      <c r="I336" s="76"/>
      <c r="J336" s="76" t="s">
        <v>31</v>
      </c>
      <c r="K336" s="76" t="s">
        <v>31</v>
      </c>
      <c r="L336" s="76" t="s">
        <v>31</v>
      </c>
      <c r="M336" s="76" t="s">
        <v>31</v>
      </c>
      <c r="N336" s="76"/>
      <c r="U336" s="81"/>
    </row>
    <row r="337" spans="1:21" ht="20.25" customHeight="1" x14ac:dyDescent="0.35">
      <c r="A337" s="66" t="s">
        <v>30</v>
      </c>
      <c r="C337" s="67"/>
      <c r="D337" s="92" t="str">
        <f t="shared" ref="D337" si="188">E337</f>
        <v>E100006</v>
      </c>
      <c r="E337" s="91" t="str">
        <f>"E100006"</f>
        <v>E100006</v>
      </c>
      <c r="F337" s="89" t="str">
        <f>"Budget Tote Bag"</f>
        <v>Budget Tote Bag</v>
      </c>
      <c r="G337" s="89"/>
      <c r="H337" s="90" t="str">
        <f>"EA"</f>
        <v>EA</v>
      </c>
      <c r="I337" s="89"/>
      <c r="J337" s="89"/>
      <c r="K337" s="89"/>
      <c r="L337" s="89"/>
      <c r="M337" s="89"/>
      <c r="N337" s="89"/>
      <c r="O337" s="88">
        <f>(SUBTOTAL(9,O338:O343))</f>
        <v>999.99999999999989</v>
      </c>
      <c r="P337" s="88">
        <f>(SUBTOTAL(9,P338:P343))</f>
        <v>-442</v>
      </c>
      <c r="Q337" s="88">
        <f>(SUBTOTAL(9,Q338:Q343))</f>
        <v>0</v>
      </c>
      <c r="R337" s="88">
        <f>(SUBTOTAL(9,R338:R343))</f>
        <v>0</v>
      </c>
      <c r="S337" s="88">
        <f>(SUBTOTAL(9,S338:S343))</f>
        <v>0</v>
      </c>
      <c r="T337" s="88">
        <f>(SUBTOTAL(9,T338:T343))</f>
        <v>0</v>
      </c>
      <c r="U337" s="87">
        <f t="shared" ref="U337" si="189">SUBTOTAL(9,O338:T343)</f>
        <v>557.99999999999989</v>
      </c>
    </row>
    <row r="338" spans="1:21" ht="17.25" customHeight="1" x14ac:dyDescent="0.3">
      <c r="A338" s="66" t="s">
        <v>30</v>
      </c>
      <c r="C338" s="67"/>
      <c r="D338" s="77" t="str">
        <f t="shared" ref="D338" si="190">D337</f>
        <v>E100006</v>
      </c>
      <c r="E338" s="77"/>
      <c r="F338" s="76"/>
      <c r="G338" s="76" t="str">
        <f>"""NAV Direct"",""CRONUS JetCorp USA"",""32"",""1"",""166767"""</f>
        <v>"NAV Direct","CRONUS JetCorp USA","32","1","166767"</v>
      </c>
      <c r="H338" s="86">
        <v>43466</v>
      </c>
      <c r="I338" s="85">
        <v>166767</v>
      </c>
      <c r="J338" s="84" t="str">
        <f>"Vendor"</f>
        <v>Vendor</v>
      </c>
      <c r="K338" s="84" t="str">
        <f>"V100001"</f>
        <v>V100001</v>
      </c>
      <c r="L338" s="84" t="str">
        <f>IF($J338="Customer",_xll.NL("first",$J338,"Name","No.","@@"&amp;$K338),"")</f>
        <v/>
      </c>
      <c r="M338" s="84" t="str">
        <f>"Greigner, Inc."</f>
        <v>Greigner, Inc.</v>
      </c>
      <c r="N338" s="84" t="str">
        <f>IF($J338="Item",_xll.NL("first",$J338,"Description","No.","@@"&amp;$K338),"")</f>
        <v/>
      </c>
      <c r="O338" s="83">
        <v>999.99999999999989</v>
      </c>
      <c r="P338" s="83">
        <v>0</v>
      </c>
      <c r="Q338" s="83">
        <v>0</v>
      </c>
      <c r="R338" s="83">
        <v>0</v>
      </c>
      <c r="S338" s="83">
        <v>0</v>
      </c>
      <c r="T338" s="83">
        <v>0</v>
      </c>
      <c r="U338" s="82"/>
    </row>
    <row r="339" spans="1:21" ht="17.25" customHeight="1" x14ac:dyDescent="0.3">
      <c r="A339" s="66" t="s">
        <v>30</v>
      </c>
      <c r="C339" s="67"/>
      <c r="D339" s="77" t="str">
        <f t="shared" ref="D339:D342" si="191">D338</f>
        <v>E100006</v>
      </c>
      <c r="E339" s="77"/>
      <c r="F339" s="76"/>
      <c r="G339" s="76" t="str">
        <f>"""NAV Direct"",""CRONUS JetCorp USA"",""32"",""1"",""147996"""</f>
        <v>"NAV Direct","CRONUS JetCorp USA","32","1","147996"</v>
      </c>
      <c r="H339" s="86">
        <v>43469</v>
      </c>
      <c r="I339" s="85">
        <v>147996</v>
      </c>
      <c r="J339" s="84" t="str">
        <f>"Customer"</f>
        <v>Customer</v>
      </c>
      <c r="K339" s="84" t="str">
        <f>"C100096"</f>
        <v>C100096</v>
      </c>
      <c r="L339" s="84" t="str">
        <f>IF($J339="Customer",_xll.NL("first",$J339,"Name","No.","@@"&amp;$K339),"")</f>
        <v>D-Com Industries</v>
      </c>
      <c r="M339" s="84" t="str">
        <f>""</f>
        <v/>
      </c>
      <c r="N339" s="84" t="str">
        <f>IF($J339="Item",_xll.NL("first",$J339,"Description","No.","@@"&amp;$K339),"")</f>
        <v/>
      </c>
      <c r="O339" s="83">
        <v>0</v>
      </c>
      <c r="P339" s="83">
        <v>-2</v>
      </c>
      <c r="Q339" s="83">
        <v>0</v>
      </c>
      <c r="R339" s="83">
        <v>0</v>
      </c>
      <c r="S339" s="83">
        <v>0</v>
      </c>
      <c r="T339" s="83">
        <v>0</v>
      </c>
      <c r="U339" s="82"/>
    </row>
    <row r="340" spans="1:21" ht="17.25" customHeight="1" x14ac:dyDescent="0.3">
      <c r="A340" s="66" t="s">
        <v>30</v>
      </c>
      <c r="C340" s="67"/>
      <c r="D340" s="77" t="str">
        <f t="shared" si="191"/>
        <v>E100006</v>
      </c>
      <c r="E340" s="77"/>
      <c r="F340" s="76"/>
      <c r="G340" s="76" t="str">
        <f>"""NAV Direct"",""CRONUS JetCorp USA"",""32"",""1"",""44484"""</f>
        <v>"NAV Direct","CRONUS JetCorp USA","32","1","44484"</v>
      </c>
      <c r="H340" s="86">
        <v>43472</v>
      </c>
      <c r="I340" s="85">
        <v>44484</v>
      </c>
      <c r="J340" s="84" t="str">
        <f>"Customer"</f>
        <v>Customer</v>
      </c>
      <c r="K340" s="84" t="str">
        <f>"C100141"</f>
        <v>C100141</v>
      </c>
      <c r="L340" s="84" t="str">
        <f>IF($J340="Customer",_xll.NL("first",$J340,"Name","No.","@@"&amp;$K340),"")</f>
        <v>Bargottis</v>
      </c>
      <c r="M340" s="84" t="str">
        <f>""</f>
        <v/>
      </c>
      <c r="N340" s="84" t="str">
        <f>IF($J340="Item",_xll.NL("first",$J340,"Description","No.","@@"&amp;$K340),"")</f>
        <v/>
      </c>
      <c r="O340" s="83">
        <v>0</v>
      </c>
      <c r="P340" s="83">
        <v>-294</v>
      </c>
      <c r="Q340" s="83">
        <v>0</v>
      </c>
      <c r="R340" s="83">
        <v>0</v>
      </c>
      <c r="S340" s="83">
        <v>0</v>
      </c>
      <c r="T340" s="83">
        <v>0</v>
      </c>
      <c r="U340" s="82"/>
    </row>
    <row r="341" spans="1:21" ht="17.25" customHeight="1" x14ac:dyDescent="0.3">
      <c r="A341" s="66" t="s">
        <v>30</v>
      </c>
      <c r="C341" s="67"/>
      <c r="D341" s="77" t="str">
        <f t="shared" si="191"/>
        <v>E100006</v>
      </c>
      <c r="E341" s="77"/>
      <c r="F341" s="76"/>
      <c r="G341" s="76" t="str">
        <f>"""NAV Direct"",""CRONUS JetCorp USA"",""32"",""1"",""64611"""</f>
        <v>"NAV Direct","CRONUS JetCorp USA","32","1","64611"</v>
      </c>
      <c r="H341" s="86">
        <v>43472</v>
      </c>
      <c r="I341" s="85">
        <v>64611</v>
      </c>
      <c r="J341" s="84" t="str">
        <f>"Customer"</f>
        <v>Customer</v>
      </c>
      <c r="K341" s="84" t="str">
        <f>"C100140"</f>
        <v>C100140</v>
      </c>
      <c r="L341" s="84" t="str">
        <f>IF($J341="Customer",_xll.NL("first",$J341,"Name","No.","@@"&amp;$K341),"")</f>
        <v>Super Daves</v>
      </c>
      <c r="M341" s="84" t="str">
        <f>""</f>
        <v/>
      </c>
      <c r="N341" s="84" t="str">
        <f>IF($J341="Item",_xll.NL("first",$J341,"Description","No.","@@"&amp;$K341),"")</f>
        <v/>
      </c>
      <c r="O341" s="83">
        <v>0</v>
      </c>
      <c r="P341" s="83">
        <v>-1</v>
      </c>
      <c r="Q341" s="83">
        <v>0</v>
      </c>
      <c r="R341" s="83">
        <v>0</v>
      </c>
      <c r="S341" s="83">
        <v>0</v>
      </c>
      <c r="T341" s="83">
        <v>0</v>
      </c>
      <c r="U341" s="82"/>
    </row>
    <row r="342" spans="1:21" ht="17.25" customHeight="1" x14ac:dyDescent="0.3">
      <c r="A342" s="66" t="s">
        <v>30</v>
      </c>
      <c r="C342" s="67"/>
      <c r="D342" s="77" t="str">
        <f t="shared" si="191"/>
        <v>E100006</v>
      </c>
      <c r="E342" s="77"/>
      <c r="F342" s="76"/>
      <c r="G342" s="76" t="str">
        <f>"""NAV Direct"",""CRONUS JetCorp USA"",""32"",""1"",""44538"""</f>
        <v>"NAV Direct","CRONUS JetCorp USA","32","1","44538"</v>
      </c>
      <c r="H342" s="86">
        <v>43473</v>
      </c>
      <c r="I342" s="85">
        <v>44538</v>
      </c>
      <c r="J342" s="84" t="str">
        <f>"Customer"</f>
        <v>Customer</v>
      </c>
      <c r="K342" s="84" t="str">
        <f>"C100139"</f>
        <v>C100139</v>
      </c>
      <c r="L342" s="84" t="str">
        <f>IF($J342="Customer",_xll.NL("first",$J342,"Name","No.","@@"&amp;$K342),"")</f>
        <v>Gamma Ray's</v>
      </c>
      <c r="M342" s="84" t="str">
        <f>""</f>
        <v/>
      </c>
      <c r="N342" s="84" t="str">
        <f>IF($J342="Item",_xll.NL("first",$J342,"Description","No.","@@"&amp;$K342),"")</f>
        <v/>
      </c>
      <c r="O342" s="83">
        <v>0</v>
      </c>
      <c r="P342" s="83">
        <v>-145</v>
      </c>
      <c r="Q342" s="83">
        <v>0</v>
      </c>
      <c r="R342" s="83">
        <v>0</v>
      </c>
      <c r="S342" s="83">
        <v>0</v>
      </c>
      <c r="T342" s="83">
        <v>0</v>
      </c>
      <c r="U342" s="82"/>
    </row>
    <row r="343" spans="1:21" ht="17.25" customHeight="1" x14ac:dyDescent="0.3">
      <c r="A343" s="66" t="s">
        <v>30</v>
      </c>
      <c r="C343" s="67"/>
      <c r="D343" s="77"/>
      <c r="E343" s="77"/>
      <c r="F343" s="76"/>
      <c r="G343" s="76"/>
      <c r="H343" s="76"/>
      <c r="I343" s="76"/>
      <c r="J343" s="76"/>
      <c r="K343" s="76"/>
      <c r="L343" s="76"/>
      <c r="M343" s="76"/>
      <c r="N343" s="76"/>
      <c r="O343" s="75"/>
      <c r="P343" s="75"/>
      <c r="Q343" s="75"/>
      <c r="R343" s="75"/>
      <c r="S343" s="75"/>
      <c r="T343" s="75"/>
      <c r="U343" s="74"/>
    </row>
    <row r="344" spans="1:21" ht="17.25" customHeight="1" x14ac:dyDescent="0.3">
      <c r="A344" s="66" t="s">
        <v>30</v>
      </c>
      <c r="C344" s="67"/>
      <c r="D344" s="77"/>
      <c r="E344" s="77" t="s">
        <v>31</v>
      </c>
      <c r="F344" s="76" t="s">
        <v>31</v>
      </c>
      <c r="G344" s="76" t="s">
        <v>31</v>
      </c>
      <c r="H344" s="76"/>
      <c r="I344" s="76"/>
      <c r="J344" s="76" t="s">
        <v>31</v>
      </c>
      <c r="K344" s="76" t="s">
        <v>31</v>
      </c>
      <c r="L344" s="76" t="s">
        <v>31</v>
      </c>
      <c r="M344" s="76" t="s">
        <v>31</v>
      </c>
      <c r="N344" s="76"/>
      <c r="U344" s="81"/>
    </row>
    <row r="345" spans="1:21" ht="20.25" customHeight="1" x14ac:dyDescent="0.35">
      <c r="A345" s="66" t="s">
        <v>30</v>
      </c>
      <c r="C345" s="67"/>
      <c r="D345" s="92" t="str">
        <f t="shared" ref="D345" si="192">E345</f>
        <v>E100007</v>
      </c>
      <c r="E345" s="91" t="str">
        <f>"E100007"</f>
        <v>E100007</v>
      </c>
      <c r="F345" s="89" t="str">
        <f>"Plastic Handle Bag"</f>
        <v>Plastic Handle Bag</v>
      </c>
      <c r="G345" s="89"/>
      <c r="H345" s="90" t="str">
        <f>"EA"</f>
        <v>EA</v>
      </c>
      <c r="I345" s="89"/>
      <c r="J345" s="89"/>
      <c r="K345" s="89"/>
      <c r="L345" s="89"/>
      <c r="M345" s="89"/>
      <c r="N345" s="89"/>
      <c r="O345" s="88">
        <f>(SUBTOTAL(9,O346:O351))</f>
        <v>999.99999999999989</v>
      </c>
      <c r="P345" s="88">
        <f>(SUBTOTAL(9,P346:P351))</f>
        <v>-444</v>
      </c>
      <c r="Q345" s="88">
        <f>(SUBTOTAL(9,Q346:Q351))</f>
        <v>0</v>
      </c>
      <c r="R345" s="88">
        <f>(SUBTOTAL(9,R346:R351))</f>
        <v>0</v>
      </c>
      <c r="S345" s="88">
        <f>(SUBTOTAL(9,S346:S351))</f>
        <v>0</v>
      </c>
      <c r="T345" s="88">
        <f>(SUBTOTAL(9,T346:T351))</f>
        <v>0</v>
      </c>
      <c r="U345" s="87">
        <f t="shared" ref="U345" si="193">SUBTOTAL(9,O346:T351)</f>
        <v>555.99999999999989</v>
      </c>
    </row>
    <row r="346" spans="1:21" ht="17.25" customHeight="1" x14ac:dyDescent="0.3">
      <c r="A346" s="66" t="s">
        <v>30</v>
      </c>
      <c r="C346" s="67"/>
      <c r="D346" s="77" t="str">
        <f t="shared" ref="D346" si="194">D345</f>
        <v>E100007</v>
      </c>
      <c r="E346" s="77"/>
      <c r="F346" s="76"/>
      <c r="G346" s="76" t="str">
        <f>"""NAV Direct"",""CRONUS JetCorp USA"",""32"",""1"",""166766"""</f>
        <v>"NAV Direct","CRONUS JetCorp USA","32","1","166766"</v>
      </c>
      <c r="H346" s="86">
        <v>43466</v>
      </c>
      <c r="I346" s="85">
        <v>166766</v>
      </c>
      <c r="J346" s="84" t="str">
        <f>"Vendor"</f>
        <v>Vendor</v>
      </c>
      <c r="K346" s="84" t="str">
        <f>"V100001"</f>
        <v>V100001</v>
      </c>
      <c r="L346" s="84" t="str">
        <f>IF($J346="Customer",_xll.NL("first",$J346,"Name","No.","@@"&amp;$K346),"")</f>
        <v/>
      </c>
      <c r="M346" s="84" t="str">
        <f>"Greigner, Inc."</f>
        <v>Greigner, Inc.</v>
      </c>
      <c r="N346" s="84" t="str">
        <f>IF($J346="Item",_xll.NL("first",$J346,"Description","No.","@@"&amp;$K346),"")</f>
        <v/>
      </c>
      <c r="O346" s="83">
        <v>999.99999999999989</v>
      </c>
      <c r="P346" s="83">
        <v>0</v>
      </c>
      <c r="Q346" s="83">
        <v>0</v>
      </c>
      <c r="R346" s="83">
        <v>0</v>
      </c>
      <c r="S346" s="83">
        <v>0</v>
      </c>
      <c r="T346" s="83">
        <v>0</v>
      </c>
      <c r="U346" s="82"/>
    </row>
    <row r="347" spans="1:21" ht="17.25" customHeight="1" x14ac:dyDescent="0.3">
      <c r="A347" s="66" t="s">
        <v>30</v>
      </c>
      <c r="C347" s="67"/>
      <c r="D347" s="77" t="str">
        <f t="shared" ref="D347:D350" si="195">D346</f>
        <v>E100007</v>
      </c>
      <c r="E347" s="77"/>
      <c r="F347" s="76"/>
      <c r="G347" s="76" t="str">
        <f>"""NAV Direct"",""CRONUS JetCorp USA"",""32"",""1"",""64589"""</f>
        <v>"NAV Direct","CRONUS JetCorp USA","32","1","64589"</v>
      </c>
      <c r="H347" s="86">
        <v>43469</v>
      </c>
      <c r="I347" s="85">
        <v>64589</v>
      </c>
      <c r="J347" s="84" t="str">
        <f>"Customer"</f>
        <v>Customer</v>
      </c>
      <c r="K347" s="84" t="str">
        <f>"C100140"</f>
        <v>C100140</v>
      </c>
      <c r="L347" s="84" t="str">
        <f>IF($J347="Customer",_xll.NL("first",$J347,"Name","No.","@@"&amp;$K347),"")</f>
        <v>Super Daves</v>
      </c>
      <c r="M347" s="84" t="str">
        <f>""</f>
        <v/>
      </c>
      <c r="N347" s="84" t="str">
        <f>IF($J347="Item",_xll.NL("first",$J347,"Description","No.","@@"&amp;$K347),"")</f>
        <v/>
      </c>
      <c r="O347" s="83">
        <v>0</v>
      </c>
      <c r="P347" s="83">
        <v>-145</v>
      </c>
      <c r="Q347" s="83">
        <v>0</v>
      </c>
      <c r="R347" s="83">
        <v>0</v>
      </c>
      <c r="S347" s="83">
        <v>0</v>
      </c>
      <c r="T347" s="83">
        <v>0</v>
      </c>
      <c r="U347" s="82"/>
    </row>
    <row r="348" spans="1:21" ht="17.25" customHeight="1" x14ac:dyDescent="0.3">
      <c r="A348" s="66" t="s">
        <v>30</v>
      </c>
      <c r="C348" s="67"/>
      <c r="D348" s="77" t="str">
        <f t="shared" si="195"/>
        <v>E100007</v>
      </c>
      <c r="E348" s="77"/>
      <c r="F348" s="76"/>
      <c r="G348" s="76" t="str">
        <f>"""NAV Direct"",""CRONUS JetCorp USA"",""32"",""1"",""44542"""</f>
        <v>"NAV Direct","CRONUS JetCorp USA","32","1","44542"</v>
      </c>
      <c r="H348" s="86">
        <v>43473</v>
      </c>
      <c r="I348" s="85">
        <v>44542</v>
      </c>
      <c r="J348" s="84" t="str">
        <f>"Customer"</f>
        <v>Customer</v>
      </c>
      <c r="K348" s="84" t="str">
        <f>"C100139"</f>
        <v>C100139</v>
      </c>
      <c r="L348" s="84" t="str">
        <f>IF($J348="Customer",_xll.NL("first",$J348,"Name","No.","@@"&amp;$K348),"")</f>
        <v>Gamma Ray's</v>
      </c>
      <c r="M348" s="84" t="str">
        <f>""</f>
        <v/>
      </c>
      <c r="N348" s="84" t="str">
        <f>IF($J348="Item",_xll.NL("first",$J348,"Description","No.","@@"&amp;$K348),"")</f>
        <v/>
      </c>
      <c r="O348" s="83">
        <v>0</v>
      </c>
      <c r="P348" s="83">
        <v>-12</v>
      </c>
      <c r="Q348" s="83">
        <v>0</v>
      </c>
      <c r="R348" s="83">
        <v>0</v>
      </c>
      <c r="S348" s="83">
        <v>0</v>
      </c>
      <c r="T348" s="83">
        <v>0</v>
      </c>
      <c r="U348" s="82"/>
    </row>
    <row r="349" spans="1:21" ht="17.25" customHeight="1" x14ac:dyDescent="0.3">
      <c r="A349" s="66" t="s">
        <v>30</v>
      </c>
      <c r="C349" s="67"/>
      <c r="D349" s="77" t="str">
        <f t="shared" si="195"/>
        <v>E100007</v>
      </c>
      <c r="E349" s="77"/>
      <c r="F349" s="76"/>
      <c r="G349" s="76" t="str">
        <f>"""NAV Direct"",""CRONUS JetCorp USA"",""32"",""1"",""54711"""</f>
        <v>"NAV Direct","CRONUS JetCorp USA","32","1","54711"</v>
      </c>
      <c r="H349" s="86">
        <v>43474</v>
      </c>
      <c r="I349" s="85">
        <v>54711</v>
      </c>
      <c r="J349" s="84" t="str">
        <f>"Customer"</f>
        <v>Customer</v>
      </c>
      <c r="K349" s="84" t="str">
        <f>"C100096"</f>
        <v>C100096</v>
      </c>
      <c r="L349" s="84" t="str">
        <f>IF($J349="Customer",_xll.NL("first",$J349,"Name","No.","@@"&amp;$K349),"")</f>
        <v>D-Com Industries</v>
      </c>
      <c r="M349" s="84" t="str">
        <f>""</f>
        <v/>
      </c>
      <c r="N349" s="84" t="str">
        <f>IF($J349="Item",_xll.NL("first",$J349,"Description","No.","@@"&amp;$K349),"")</f>
        <v/>
      </c>
      <c r="O349" s="83">
        <v>0</v>
      </c>
      <c r="P349" s="83">
        <v>-288</v>
      </c>
      <c r="Q349" s="83">
        <v>0</v>
      </c>
      <c r="R349" s="83">
        <v>0</v>
      </c>
      <c r="S349" s="83">
        <v>0</v>
      </c>
      <c r="T349" s="83">
        <v>0</v>
      </c>
      <c r="U349" s="82"/>
    </row>
    <row r="350" spans="1:21" ht="17.25" customHeight="1" x14ac:dyDescent="0.3">
      <c r="A350" s="66" t="s">
        <v>30</v>
      </c>
      <c r="C350" s="67"/>
      <c r="D350" s="77" t="str">
        <f t="shared" si="195"/>
        <v>E100007</v>
      </c>
      <c r="E350" s="77"/>
      <c r="F350" s="76"/>
      <c r="G350" s="76" t="str">
        <f>"""NAV Direct"",""CRONUS JetCorp USA"",""32"",""1"",""159120"""</f>
        <v>"NAV Direct","CRONUS JetCorp USA","32","1","159120"</v>
      </c>
      <c r="H350" s="86">
        <v>43474</v>
      </c>
      <c r="I350" s="85">
        <v>159120</v>
      </c>
      <c r="J350" s="84" t="str">
        <f>"Customer"</f>
        <v>Customer</v>
      </c>
      <c r="K350" s="84" t="str">
        <f>"C100143"</f>
        <v>C100143</v>
      </c>
      <c r="L350" s="84" t="str">
        <f>IF($J350="Customer",_xll.NL("first",$J350,"Name","No.","@@"&amp;$K350),"")</f>
        <v>Parvotis</v>
      </c>
      <c r="M350" s="84" t="str">
        <f>""</f>
        <v/>
      </c>
      <c r="N350" s="84" t="str">
        <f>IF($J350="Item",_xll.NL("first",$J350,"Description","No.","@@"&amp;$K350),"")</f>
        <v/>
      </c>
      <c r="O350" s="83">
        <v>0</v>
      </c>
      <c r="P350" s="83">
        <v>1</v>
      </c>
      <c r="Q350" s="83">
        <v>0</v>
      </c>
      <c r="R350" s="83">
        <v>0</v>
      </c>
      <c r="S350" s="83">
        <v>0</v>
      </c>
      <c r="T350" s="83">
        <v>0</v>
      </c>
      <c r="U350" s="82"/>
    </row>
    <row r="351" spans="1:21" ht="17.25" customHeight="1" x14ac:dyDescent="0.3">
      <c r="A351" s="66" t="s">
        <v>30</v>
      </c>
      <c r="C351" s="67"/>
      <c r="D351" s="77"/>
      <c r="E351" s="77"/>
      <c r="F351" s="76"/>
      <c r="G351" s="76"/>
      <c r="H351" s="76"/>
      <c r="I351" s="76"/>
      <c r="J351" s="76"/>
      <c r="K351" s="76"/>
      <c r="L351" s="76"/>
      <c r="M351" s="76"/>
      <c r="N351" s="76"/>
      <c r="O351" s="75"/>
      <c r="P351" s="75"/>
      <c r="Q351" s="75"/>
      <c r="R351" s="75"/>
      <c r="S351" s="75"/>
      <c r="T351" s="75"/>
      <c r="U351" s="74"/>
    </row>
    <row r="352" spans="1:21" ht="17.25" customHeight="1" x14ac:dyDescent="0.3">
      <c r="A352" s="66" t="s">
        <v>30</v>
      </c>
      <c r="C352" s="67"/>
      <c r="D352" s="77"/>
      <c r="E352" s="77" t="s">
        <v>31</v>
      </c>
      <c r="F352" s="76" t="s">
        <v>31</v>
      </c>
      <c r="G352" s="76" t="s">
        <v>31</v>
      </c>
      <c r="H352" s="76"/>
      <c r="I352" s="76"/>
      <c r="J352" s="76" t="s">
        <v>31</v>
      </c>
      <c r="K352" s="76" t="s">
        <v>31</v>
      </c>
      <c r="L352" s="76" t="s">
        <v>31</v>
      </c>
      <c r="M352" s="76" t="s">
        <v>31</v>
      </c>
      <c r="N352" s="76"/>
      <c r="U352" s="81"/>
    </row>
    <row r="353" spans="1:21" ht="20.25" customHeight="1" x14ac:dyDescent="0.35">
      <c r="A353" s="66" t="s">
        <v>30</v>
      </c>
      <c r="C353" s="67"/>
      <c r="D353" s="92" t="str">
        <f t="shared" ref="D353" si="196">E353</f>
        <v>E100008</v>
      </c>
      <c r="E353" s="91" t="str">
        <f>"E100008"</f>
        <v>E100008</v>
      </c>
      <c r="F353" s="89" t="str">
        <f>"Super Shopper"</f>
        <v>Super Shopper</v>
      </c>
      <c r="G353" s="89"/>
      <c r="H353" s="90" t="str">
        <f>"EA"</f>
        <v>EA</v>
      </c>
      <c r="I353" s="89"/>
      <c r="J353" s="89"/>
      <c r="K353" s="89"/>
      <c r="L353" s="89"/>
      <c r="M353" s="89"/>
      <c r="N353" s="89"/>
      <c r="O353" s="88">
        <f>(SUBTOTAL(9,O354:O358))</f>
        <v>800</v>
      </c>
      <c r="P353" s="88">
        <f>(SUBTOTAL(9,P354:P358))</f>
        <v>-193</v>
      </c>
      <c r="Q353" s="88">
        <f>(SUBTOTAL(9,Q354:Q358))</f>
        <v>0</v>
      </c>
      <c r="R353" s="88">
        <f>(SUBTOTAL(9,R354:R358))</f>
        <v>0</v>
      </c>
      <c r="S353" s="88">
        <f>(SUBTOTAL(9,S354:S358))</f>
        <v>0</v>
      </c>
      <c r="T353" s="88">
        <f>(SUBTOTAL(9,T354:T358))</f>
        <v>0</v>
      </c>
      <c r="U353" s="87">
        <f t="shared" ref="U353" si="197">SUBTOTAL(9,O354:T358)</f>
        <v>607</v>
      </c>
    </row>
    <row r="354" spans="1:21" ht="17.25" customHeight="1" x14ac:dyDescent="0.3">
      <c r="A354" s="66" t="s">
        <v>30</v>
      </c>
      <c r="C354" s="67"/>
      <c r="D354" s="77" t="str">
        <f t="shared" ref="D354" si="198">D353</f>
        <v>E100008</v>
      </c>
      <c r="E354" s="77"/>
      <c r="F354" s="76"/>
      <c r="G354" s="76" t="str">
        <f>"""NAV Direct"",""CRONUS JetCorp USA"",""32"",""1"",""166765"""</f>
        <v>"NAV Direct","CRONUS JetCorp USA","32","1","166765"</v>
      </c>
      <c r="H354" s="86">
        <v>43466</v>
      </c>
      <c r="I354" s="85">
        <v>166765</v>
      </c>
      <c r="J354" s="84" t="str">
        <f>"Vendor"</f>
        <v>Vendor</v>
      </c>
      <c r="K354" s="84" t="str">
        <f>"V100001"</f>
        <v>V100001</v>
      </c>
      <c r="L354" s="84" t="str">
        <f>IF($J354="Customer",_xll.NL("first",$J354,"Name","No.","@@"&amp;$K354),"")</f>
        <v/>
      </c>
      <c r="M354" s="84" t="str">
        <f>"Greigner, Inc."</f>
        <v>Greigner, Inc.</v>
      </c>
      <c r="N354" s="84" t="str">
        <f>IF($J354="Item",_xll.NL("first",$J354,"Description","No.","@@"&amp;$K354),"")</f>
        <v/>
      </c>
      <c r="O354" s="83">
        <v>800</v>
      </c>
      <c r="P354" s="83">
        <v>0</v>
      </c>
      <c r="Q354" s="83">
        <v>0</v>
      </c>
      <c r="R354" s="83">
        <v>0</v>
      </c>
      <c r="S354" s="83">
        <v>0</v>
      </c>
      <c r="T354" s="83">
        <v>0</v>
      </c>
      <c r="U354" s="82"/>
    </row>
    <row r="355" spans="1:21" ht="17.25" customHeight="1" x14ac:dyDescent="0.3">
      <c r="A355" s="66" t="s">
        <v>30</v>
      </c>
      <c r="C355" s="67"/>
      <c r="D355" s="77" t="str">
        <f t="shared" ref="D355:D357" si="199">D354</f>
        <v>E100008</v>
      </c>
      <c r="E355" s="77"/>
      <c r="F355" s="76"/>
      <c r="G355" s="76" t="str">
        <f>"""NAV Direct"",""CRONUS JetCorp USA"",""32"",""1"",""147995"""</f>
        <v>"NAV Direct","CRONUS JetCorp USA","32","1","147995"</v>
      </c>
      <c r="H355" s="86">
        <v>43469</v>
      </c>
      <c r="I355" s="85">
        <v>147995</v>
      </c>
      <c r="J355" s="84" t="str">
        <f>"Customer"</f>
        <v>Customer</v>
      </c>
      <c r="K355" s="84" t="str">
        <f>"C100096"</f>
        <v>C100096</v>
      </c>
      <c r="L355" s="84" t="str">
        <f>IF($J355="Customer",_xll.NL("first",$J355,"Name","No.","@@"&amp;$K355),"")</f>
        <v>D-Com Industries</v>
      </c>
      <c r="M355" s="84" t="str">
        <f>""</f>
        <v/>
      </c>
      <c r="N355" s="84" t="str">
        <f>IF($J355="Item",_xll.NL("first",$J355,"Description","No.","@@"&amp;$K355),"")</f>
        <v/>
      </c>
      <c r="O355" s="83">
        <v>0</v>
      </c>
      <c r="P355" s="83">
        <v>-1</v>
      </c>
      <c r="Q355" s="83">
        <v>0</v>
      </c>
      <c r="R355" s="83">
        <v>0</v>
      </c>
      <c r="S355" s="83">
        <v>0</v>
      </c>
      <c r="T355" s="83">
        <v>0</v>
      </c>
      <c r="U355" s="82"/>
    </row>
    <row r="356" spans="1:21" ht="17.25" customHeight="1" x14ac:dyDescent="0.3">
      <c r="A356" s="66" t="s">
        <v>30</v>
      </c>
      <c r="C356" s="67"/>
      <c r="D356" s="77" t="str">
        <f t="shared" si="199"/>
        <v>E100008</v>
      </c>
      <c r="E356" s="77"/>
      <c r="F356" s="76"/>
      <c r="G356" s="76" t="str">
        <f>"""NAV Direct"",""CRONUS JetCorp USA"",""32"",""1"",""44539"""</f>
        <v>"NAV Direct","CRONUS JetCorp USA","32","1","44539"</v>
      </c>
      <c r="H356" s="86">
        <v>43473</v>
      </c>
      <c r="I356" s="85">
        <v>44539</v>
      </c>
      <c r="J356" s="84" t="str">
        <f>"Customer"</f>
        <v>Customer</v>
      </c>
      <c r="K356" s="84" t="str">
        <f>"C100139"</f>
        <v>C100139</v>
      </c>
      <c r="L356" s="84" t="str">
        <f>IF($J356="Customer",_xll.NL("first",$J356,"Name","No.","@@"&amp;$K356),"")</f>
        <v>Gamma Ray's</v>
      </c>
      <c r="M356" s="84" t="str">
        <f>""</f>
        <v/>
      </c>
      <c r="N356" s="84" t="str">
        <f>IF($J356="Item",_xll.NL("first",$J356,"Description","No.","@@"&amp;$K356),"")</f>
        <v/>
      </c>
      <c r="O356" s="83">
        <v>0</v>
      </c>
      <c r="P356" s="83">
        <v>-48</v>
      </c>
      <c r="Q356" s="83">
        <v>0</v>
      </c>
      <c r="R356" s="83">
        <v>0</v>
      </c>
      <c r="S356" s="83">
        <v>0</v>
      </c>
      <c r="T356" s="83">
        <v>0</v>
      </c>
      <c r="U356" s="82"/>
    </row>
    <row r="357" spans="1:21" ht="17.25" customHeight="1" x14ac:dyDescent="0.3">
      <c r="A357" s="66" t="s">
        <v>30</v>
      </c>
      <c r="C357" s="67"/>
      <c r="D357" s="77" t="str">
        <f t="shared" si="199"/>
        <v>E100008</v>
      </c>
      <c r="E357" s="77"/>
      <c r="F357" s="76"/>
      <c r="G357" s="76" t="str">
        <f>"""NAV Direct"",""CRONUS JetCorp USA"",""32"",""1"",""54714"""</f>
        <v>"NAV Direct","CRONUS JetCorp USA","32","1","54714"</v>
      </c>
      <c r="H357" s="86">
        <v>43474</v>
      </c>
      <c r="I357" s="85">
        <v>54714</v>
      </c>
      <c r="J357" s="84" t="str">
        <f>"Customer"</f>
        <v>Customer</v>
      </c>
      <c r="K357" s="84" t="str">
        <f>"C100096"</f>
        <v>C100096</v>
      </c>
      <c r="L357" s="84" t="str">
        <f>IF($J357="Customer",_xll.NL("first",$J357,"Name","No.","@@"&amp;$K357),"")</f>
        <v>D-Com Industries</v>
      </c>
      <c r="M357" s="84" t="str">
        <f>""</f>
        <v/>
      </c>
      <c r="N357" s="84" t="str">
        <f>IF($J357="Item",_xll.NL("first",$J357,"Description","No.","@@"&amp;$K357),"")</f>
        <v/>
      </c>
      <c r="O357" s="83">
        <v>0</v>
      </c>
      <c r="P357" s="83">
        <v>-144</v>
      </c>
      <c r="Q357" s="83">
        <v>0</v>
      </c>
      <c r="R357" s="83">
        <v>0</v>
      </c>
      <c r="S357" s="83">
        <v>0</v>
      </c>
      <c r="T357" s="83">
        <v>0</v>
      </c>
      <c r="U357" s="82"/>
    </row>
    <row r="358" spans="1:21" ht="17.25" customHeight="1" x14ac:dyDescent="0.3">
      <c r="A358" s="66" t="s">
        <v>30</v>
      </c>
      <c r="C358" s="67"/>
      <c r="D358" s="77"/>
      <c r="E358" s="77"/>
      <c r="F358" s="76"/>
      <c r="G358" s="76"/>
      <c r="H358" s="76"/>
      <c r="I358" s="76"/>
      <c r="J358" s="76"/>
      <c r="K358" s="76"/>
      <c r="L358" s="76"/>
      <c r="M358" s="76"/>
      <c r="N358" s="76"/>
      <c r="O358" s="75"/>
      <c r="P358" s="75"/>
      <c r="Q358" s="75"/>
      <c r="R358" s="75"/>
      <c r="S358" s="75"/>
      <c r="T358" s="75"/>
      <c r="U358" s="74"/>
    </row>
    <row r="359" spans="1:21" ht="17.25" customHeight="1" x14ac:dyDescent="0.3">
      <c r="A359" s="66" t="s">
        <v>30</v>
      </c>
      <c r="C359" s="67"/>
      <c r="D359" s="77"/>
      <c r="E359" s="77" t="s">
        <v>31</v>
      </c>
      <c r="F359" s="76" t="s">
        <v>31</v>
      </c>
      <c r="G359" s="76" t="s">
        <v>31</v>
      </c>
      <c r="H359" s="76"/>
      <c r="I359" s="76"/>
      <c r="J359" s="76" t="s">
        <v>31</v>
      </c>
      <c r="K359" s="76" t="s">
        <v>31</v>
      </c>
      <c r="L359" s="76" t="s">
        <v>31</v>
      </c>
      <c r="M359" s="76" t="s">
        <v>31</v>
      </c>
      <c r="N359" s="76"/>
      <c r="U359" s="81"/>
    </row>
    <row r="360" spans="1:21" ht="20.25" customHeight="1" x14ac:dyDescent="0.35">
      <c r="A360" s="66" t="s">
        <v>30</v>
      </c>
      <c r="C360" s="67"/>
      <c r="D360" s="92" t="str">
        <f t="shared" ref="D360" si="200">E360</f>
        <v>E100009</v>
      </c>
      <c r="E360" s="91" t="str">
        <f>"E100009"</f>
        <v>E100009</v>
      </c>
      <c r="F360" s="89" t="str">
        <f>"Die-Cut Tote"</f>
        <v>Die-Cut Tote</v>
      </c>
      <c r="G360" s="89"/>
      <c r="H360" s="90" t="str">
        <f>"EA"</f>
        <v>EA</v>
      </c>
      <c r="I360" s="89"/>
      <c r="J360" s="89"/>
      <c r="K360" s="89"/>
      <c r="L360" s="89"/>
      <c r="M360" s="89"/>
      <c r="N360" s="89"/>
      <c r="O360" s="88">
        <f>(SUBTOTAL(9,O361:O365))</f>
        <v>1600</v>
      </c>
      <c r="P360" s="88">
        <f>(SUBTOTAL(9,P361:P365))</f>
        <v>-193</v>
      </c>
      <c r="Q360" s="88">
        <f>(SUBTOTAL(9,Q361:Q365))</f>
        <v>0</v>
      </c>
      <c r="R360" s="88">
        <f>(SUBTOTAL(9,R361:R365))</f>
        <v>0</v>
      </c>
      <c r="S360" s="88">
        <f>(SUBTOTAL(9,S361:S365))</f>
        <v>0</v>
      </c>
      <c r="T360" s="88">
        <f>(SUBTOTAL(9,T361:T365))</f>
        <v>0</v>
      </c>
      <c r="U360" s="87">
        <f t="shared" ref="U360" si="201">SUBTOTAL(9,O361:T365)</f>
        <v>1407</v>
      </c>
    </row>
    <row r="361" spans="1:21" ht="17.25" customHeight="1" x14ac:dyDescent="0.3">
      <c r="A361" s="66" t="s">
        <v>30</v>
      </c>
      <c r="C361" s="67"/>
      <c r="D361" s="77" t="str">
        <f t="shared" ref="D361" si="202">D360</f>
        <v>E100009</v>
      </c>
      <c r="E361" s="77"/>
      <c r="F361" s="76"/>
      <c r="G361" s="76" t="str">
        <f>"""NAV Direct"",""CRONUS JetCorp USA"",""32"",""1"",""166764"""</f>
        <v>"NAV Direct","CRONUS JetCorp USA","32","1","166764"</v>
      </c>
      <c r="H361" s="86">
        <v>43466</v>
      </c>
      <c r="I361" s="85">
        <v>166764</v>
      </c>
      <c r="J361" s="84" t="str">
        <f>"Vendor"</f>
        <v>Vendor</v>
      </c>
      <c r="K361" s="84" t="str">
        <f>"V100001"</f>
        <v>V100001</v>
      </c>
      <c r="L361" s="84" t="str">
        <f>IF($J361="Customer",_xll.NL("first",$J361,"Name","No.","@@"&amp;$K361),"")</f>
        <v/>
      </c>
      <c r="M361" s="84" t="str">
        <f>"Greigner, Inc."</f>
        <v>Greigner, Inc.</v>
      </c>
      <c r="N361" s="84" t="str">
        <f>IF($J361="Item",_xll.NL("first",$J361,"Description","No.","@@"&amp;$K361),"")</f>
        <v/>
      </c>
      <c r="O361" s="83">
        <v>1600</v>
      </c>
      <c r="P361" s="83">
        <v>0</v>
      </c>
      <c r="Q361" s="83">
        <v>0</v>
      </c>
      <c r="R361" s="83">
        <v>0</v>
      </c>
      <c r="S361" s="83">
        <v>0</v>
      </c>
      <c r="T361" s="83">
        <v>0</v>
      </c>
      <c r="U361" s="82"/>
    </row>
    <row r="362" spans="1:21" ht="17.25" customHeight="1" x14ac:dyDescent="0.3">
      <c r="A362" s="66" t="s">
        <v>30</v>
      </c>
      <c r="C362" s="67"/>
      <c r="D362" s="77" t="str">
        <f t="shared" ref="D362:D364" si="203">D361</f>
        <v>E100009</v>
      </c>
      <c r="E362" s="77"/>
      <c r="F362" s="76"/>
      <c r="G362" s="76" t="str">
        <f>"""NAV Direct"",""CRONUS JetCorp USA"",""32"",""1"",""64608"""</f>
        <v>"NAV Direct","CRONUS JetCorp USA","32","1","64608"</v>
      </c>
      <c r="H362" s="86">
        <v>43472</v>
      </c>
      <c r="I362" s="85">
        <v>64608</v>
      </c>
      <c r="J362" s="84" t="str">
        <f>"Customer"</f>
        <v>Customer</v>
      </c>
      <c r="K362" s="84" t="str">
        <f>"C100140"</f>
        <v>C100140</v>
      </c>
      <c r="L362" s="84" t="str">
        <f>IF($J362="Customer",_xll.NL("first",$J362,"Name","No.","@@"&amp;$K362),"")</f>
        <v>Super Daves</v>
      </c>
      <c r="M362" s="84" t="str">
        <f>""</f>
        <v/>
      </c>
      <c r="N362" s="84" t="str">
        <f>IF($J362="Item",_xll.NL("first",$J362,"Description","No.","@@"&amp;$K362),"")</f>
        <v/>
      </c>
      <c r="O362" s="83">
        <v>0</v>
      </c>
      <c r="P362" s="83">
        <v>-48</v>
      </c>
      <c r="Q362" s="83">
        <v>0</v>
      </c>
      <c r="R362" s="83">
        <v>0</v>
      </c>
      <c r="S362" s="83">
        <v>0</v>
      </c>
      <c r="T362" s="83">
        <v>0</v>
      </c>
      <c r="U362" s="82"/>
    </row>
    <row r="363" spans="1:21" ht="17.25" customHeight="1" x14ac:dyDescent="0.3">
      <c r="A363" s="66" t="s">
        <v>30</v>
      </c>
      <c r="C363" s="67"/>
      <c r="D363" s="77" t="str">
        <f t="shared" si="203"/>
        <v>E100009</v>
      </c>
      <c r="E363" s="77"/>
      <c r="F363" s="76"/>
      <c r="G363" s="76" t="str">
        <f>"""NAV Direct"",""CRONUS JetCorp USA"",""32"",""1"",""54713"""</f>
        <v>"NAV Direct","CRONUS JetCorp USA","32","1","54713"</v>
      </c>
      <c r="H363" s="86">
        <v>43474</v>
      </c>
      <c r="I363" s="85">
        <v>54713</v>
      </c>
      <c r="J363" s="84" t="str">
        <f>"Customer"</f>
        <v>Customer</v>
      </c>
      <c r="K363" s="84" t="str">
        <f>"C100096"</f>
        <v>C100096</v>
      </c>
      <c r="L363" s="84" t="str">
        <f>IF($J363="Customer",_xll.NL("first",$J363,"Name","No.","@@"&amp;$K363),"")</f>
        <v>D-Com Industries</v>
      </c>
      <c r="M363" s="84" t="str">
        <f>""</f>
        <v/>
      </c>
      <c r="N363" s="84" t="str">
        <f>IF($J363="Item",_xll.NL("first",$J363,"Description","No.","@@"&amp;$K363),"")</f>
        <v/>
      </c>
      <c r="O363" s="83">
        <v>0</v>
      </c>
      <c r="P363" s="83">
        <v>-144</v>
      </c>
      <c r="Q363" s="83">
        <v>0</v>
      </c>
      <c r="R363" s="83">
        <v>0</v>
      </c>
      <c r="S363" s="83">
        <v>0</v>
      </c>
      <c r="T363" s="83">
        <v>0</v>
      </c>
      <c r="U363" s="82"/>
    </row>
    <row r="364" spans="1:21" ht="17.25" customHeight="1" x14ac:dyDescent="0.3">
      <c r="A364" s="66" t="s">
        <v>30</v>
      </c>
      <c r="C364" s="67"/>
      <c r="D364" s="77" t="str">
        <f t="shared" si="203"/>
        <v>E100009</v>
      </c>
      <c r="E364" s="77"/>
      <c r="F364" s="76"/>
      <c r="G364" s="76" t="str">
        <f>"""NAV Direct"",""CRONUS JetCorp USA"",""32"",""1"",""153187"""</f>
        <v>"NAV Direct","CRONUS JetCorp USA","32","1","153187"</v>
      </c>
      <c r="H364" s="86">
        <v>43475</v>
      </c>
      <c r="I364" s="85">
        <v>153187</v>
      </c>
      <c r="J364" s="84" t="str">
        <f>"Customer"</f>
        <v>Customer</v>
      </c>
      <c r="K364" s="84" t="str">
        <f>"C100108"</f>
        <v>C100108</v>
      </c>
      <c r="L364" s="84" t="str">
        <f>IF($J364="Customer",_xll.NL("first",$J364,"Name","No.","@@"&amp;$K364),"")</f>
        <v>Kinfix Industries</v>
      </c>
      <c r="M364" s="84" t="str">
        <f>""</f>
        <v/>
      </c>
      <c r="N364" s="84" t="str">
        <f>IF($J364="Item",_xll.NL("first",$J364,"Description","No.","@@"&amp;$K364),"")</f>
        <v/>
      </c>
      <c r="O364" s="83">
        <v>0</v>
      </c>
      <c r="P364" s="83">
        <v>-1</v>
      </c>
      <c r="Q364" s="83">
        <v>0</v>
      </c>
      <c r="R364" s="83">
        <v>0</v>
      </c>
      <c r="S364" s="83">
        <v>0</v>
      </c>
      <c r="T364" s="83">
        <v>0</v>
      </c>
      <c r="U364" s="82"/>
    </row>
    <row r="365" spans="1:21" ht="17.25" customHeight="1" x14ac:dyDescent="0.3">
      <c r="A365" s="66" t="s">
        <v>30</v>
      </c>
      <c r="C365" s="67"/>
      <c r="D365" s="77"/>
      <c r="E365" s="77"/>
      <c r="F365" s="76"/>
      <c r="G365" s="76"/>
      <c r="H365" s="76"/>
      <c r="I365" s="76"/>
      <c r="J365" s="76"/>
      <c r="K365" s="76"/>
      <c r="L365" s="76"/>
      <c r="M365" s="76"/>
      <c r="N365" s="76"/>
      <c r="O365" s="75"/>
      <c r="P365" s="75"/>
      <c r="Q365" s="75"/>
      <c r="R365" s="75"/>
      <c r="S365" s="75"/>
      <c r="T365" s="75"/>
      <c r="U365" s="74"/>
    </row>
    <row r="366" spans="1:21" ht="17.25" customHeight="1" x14ac:dyDescent="0.3">
      <c r="A366" s="66" t="s">
        <v>30</v>
      </c>
      <c r="C366" s="67"/>
      <c r="D366" s="77"/>
      <c r="E366" s="77" t="s">
        <v>31</v>
      </c>
      <c r="F366" s="76" t="s">
        <v>31</v>
      </c>
      <c r="G366" s="76" t="s">
        <v>31</v>
      </c>
      <c r="H366" s="76"/>
      <c r="I366" s="76"/>
      <c r="J366" s="76" t="s">
        <v>31</v>
      </c>
      <c r="K366" s="76" t="s">
        <v>31</v>
      </c>
      <c r="L366" s="76" t="s">
        <v>31</v>
      </c>
      <c r="M366" s="76" t="s">
        <v>31</v>
      </c>
      <c r="N366" s="76"/>
      <c r="U366" s="81"/>
    </row>
    <row r="367" spans="1:21" ht="20.25" customHeight="1" x14ac:dyDescent="0.35">
      <c r="A367" s="66" t="s">
        <v>30</v>
      </c>
      <c r="C367" s="67"/>
      <c r="D367" s="92" t="str">
        <f t="shared" ref="D367" si="204">E367</f>
        <v>E100010</v>
      </c>
      <c r="E367" s="91" t="str">
        <f>"E100010"</f>
        <v>E100010</v>
      </c>
      <c r="F367" s="89" t="str">
        <f>"Vinyl Tote"</f>
        <v>Vinyl Tote</v>
      </c>
      <c r="G367" s="89"/>
      <c r="H367" s="90" t="str">
        <f>"EA"</f>
        <v>EA</v>
      </c>
      <c r="I367" s="89"/>
      <c r="J367" s="89"/>
      <c r="K367" s="89"/>
      <c r="L367" s="89"/>
      <c r="M367" s="89"/>
      <c r="N367" s="89"/>
      <c r="O367" s="88">
        <f>(SUBTOTAL(9,O368:O373))</f>
        <v>1400</v>
      </c>
      <c r="P367" s="88">
        <f>(SUBTOTAL(9,P368:P373))</f>
        <v>-576</v>
      </c>
      <c r="Q367" s="88">
        <f>(SUBTOTAL(9,Q368:Q373))</f>
        <v>0</v>
      </c>
      <c r="R367" s="88">
        <f>(SUBTOTAL(9,R368:R373))</f>
        <v>0</v>
      </c>
      <c r="S367" s="88">
        <f>(SUBTOTAL(9,S368:S373))</f>
        <v>0</v>
      </c>
      <c r="T367" s="88">
        <f>(SUBTOTAL(9,T368:T373))</f>
        <v>0</v>
      </c>
      <c r="U367" s="87">
        <f t="shared" ref="U367" si="205">SUBTOTAL(9,O368:T373)</f>
        <v>824</v>
      </c>
    </row>
    <row r="368" spans="1:21" ht="17.25" customHeight="1" x14ac:dyDescent="0.3">
      <c r="A368" s="66" t="s">
        <v>30</v>
      </c>
      <c r="C368" s="67"/>
      <c r="D368" s="77" t="str">
        <f t="shared" ref="D368" si="206">D367</f>
        <v>E100010</v>
      </c>
      <c r="E368" s="77"/>
      <c r="F368" s="76"/>
      <c r="G368" s="76" t="str">
        <f>"""NAV Direct"",""CRONUS JetCorp USA"",""32"",""1"",""166763"""</f>
        <v>"NAV Direct","CRONUS JetCorp USA","32","1","166763"</v>
      </c>
      <c r="H368" s="86">
        <v>43466</v>
      </c>
      <c r="I368" s="85">
        <v>166763</v>
      </c>
      <c r="J368" s="84" t="str">
        <f>"Vendor"</f>
        <v>Vendor</v>
      </c>
      <c r="K368" s="84" t="str">
        <f>"V100001"</f>
        <v>V100001</v>
      </c>
      <c r="L368" s="84" t="str">
        <f>IF($J368="Customer",_xll.NL("first",$J368,"Name","No.","@@"&amp;$K368),"")</f>
        <v/>
      </c>
      <c r="M368" s="84" t="str">
        <f>"Greigner, Inc."</f>
        <v>Greigner, Inc.</v>
      </c>
      <c r="N368" s="84" t="str">
        <f>IF($J368="Item",_xll.NL("first",$J368,"Description","No.","@@"&amp;$K368),"")</f>
        <v/>
      </c>
      <c r="O368" s="83">
        <v>1400</v>
      </c>
      <c r="P368" s="83">
        <v>0</v>
      </c>
      <c r="Q368" s="83">
        <v>0</v>
      </c>
      <c r="R368" s="83">
        <v>0</v>
      </c>
      <c r="S368" s="83">
        <v>0</v>
      </c>
      <c r="T368" s="83">
        <v>0</v>
      </c>
      <c r="U368" s="82"/>
    </row>
    <row r="369" spans="1:21" ht="17.25" customHeight="1" x14ac:dyDescent="0.3">
      <c r="A369" s="66" t="s">
        <v>30</v>
      </c>
      <c r="C369" s="67"/>
      <c r="D369" s="77" t="str">
        <f t="shared" ref="D369:D372" si="207">D368</f>
        <v>E100010</v>
      </c>
      <c r="E369" s="77"/>
      <c r="F369" s="76"/>
      <c r="G369" s="76" t="str">
        <f>"""NAV Direct"",""CRONUS JetCorp USA"",""32"",""1"",""64590"""</f>
        <v>"NAV Direct","CRONUS JetCorp USA","32","1","64590"</v>
      </c>
      <c r="H369" s="86">
        <v>43469</v>
      </c>
      <c r="I369" s="85">
        <v>64590</v>
      </c>
      <c r="J369" s="84" t="str">
        <f>"Customer"</f>
        <v>Customer</v>
      </c>
      <c r="K369" s="84" t="str">
        <f>"C100140"</f>
        <v>C100140</v>
      </c>
      <c r="L369" s="84" t="str">
        <f>IF($J369="Customer",_xll.NL("first",$J369,"Name","No.","@@"&amp;$K369),"")</f>
        <v>Super Daves</v>
      </c>
      <c r="M369" s="84" t="str">
        <f>""</f>
        <v/>
      </c>
      <c r="N369" s="84" t="str">
        <f>IF($J369="Item",_xll.NL("first",$J369,"Description","No.","@@"&amp;$K369),"")</f>
        <v/>
      </c>
      <c r="O369" s="83">
        <v>0</v>
      </c>
      <c r="P369" s="83">
        <v>-144</v>
      </c>
      <c r="Q369" s="83">
        <v>0</v>
      </c>
      <c r="R369" s="83">
        <v>0</v>
      </c>
      <c r="S369" s="83">
        <v>0</v>
      </c>
      <c r="T369" s="83">
        <v>0</v>
      </c>
      <c r="U369" s="82"/>
    </row>
    <row r="370" spans="1:21" ht="17.25" customHeight="1" x14ac:dyDescent="0.3">
      <c r="A370" s="66" t="s">
        <v>30</v>
      </c>
      <c r="C370" s="67"/>
      <c r="D370" s="77" t="str">
        <f t="shared" si="207"/>
        <v>E100010</v>
      </c>
      <c r="E370" s="77"/>
      <c r="F370" s="76"/>
      <c r="G370" s="76" t="str">
        <f>"""NAV Direct"",""CRONUS JetCorp USA"",""32"",""1"",""64606"""</f>
        <v>"NAV Direct","CRONUS JetCorp USA","32","1","64606"</v>
      </c>
      <c r="H370" s="86">
        <v>43472</v>
      </c>
      <c r="I370" s="85">
        <v>64606</v>
      </c>
      <c r="J370" s="84" t="str">
        <f>"Customer"</f>
        <v>Customer</v>
      </c>
      <c r="K370" s="84" t="str">
        <f>"C100140"</f>
        <v>C100140</v>
      </c>
      <c r="L370" s="84" t="str">
        <f>IF($J370="Customer",_xll.NL("first",$J370,"Name","No.","@@"&amp;$K370),"")</f>
        <v>Super Daves</v>
      </c>
      <c r="M370" s="84" t="str">
        <f>""</f>
        <v/>
      </c>
      <c r="N370" s="84" t="str">
        <f>IF($J370="Item",_xll.NL("first",$J370,"Description","No.","@@"&amp;$K370),"")</f>
        <v/>
      </c>
      <c r="O370" s="83">
        <v>0</v>
      </c>
      <c r="P370" s="83">
        <v>-144</v>
      </c>
      <c r="Q370" s="83">
        <v>0</v>
      </c>
      <c r="R370" s="83">
        <v>0</v>
      </c>
      <c r="S370" s="83">
        <v>0</v>
      </c>
      <c r="T370" s="83">
        <v>0</v>
      </c>
      <c r="U370" s="82"/>
    </row>
    <row r="371" spans="1:21" ht="17.25" customHeight="1" x14ac:dyDescent="0.3">
      <c r="A371" s="66" t="s">
        <v>30</v>
      </c>
      <c r="C371" s="67"/>
      <c r="D371" s="77" t="str">
        <f t="shared" si="207"/>
        <v>E100010</v>
      </c>
      <c r="E371" s="77"/>
      <c r="F371" s="76"/>
      <c r="G371" s="76" t="str">
        <f>"""NAV Direct"",""CRONUS JetCorp USA"",""32"",""1"",""44537"""</f>
        <v>"NAV Direct","CRONUS JetCorp USA","32","1","44537"</v>
      </c>
      <c r="H371" s="86">
        <v>43473</v>
      </c>
      <c r="I371" s="85">
        <v>44537</v>
      </c>
      <c r="J371" s="84" t="str">
        <f>"Customer"</f>
        <v>Customer</v>
      </c>
      <c r="K371" s="84" t="str">
        <f>"C100139"</f>
        <v>C100139</v>
      </c>
      <c r="L371" s="84" t="str">
        <f>IF($J371="Customer",_xll.NL("first",$J371,"Name","No.","@@"&amp;$K371),"")</f>
        <v>Gamma Ray's</v>
      </c>
      <c r="M371" s="84" t="str">
        <f>""</f>
        <v/>
      </c>
      <c r="N371" s="84" t="str">
        <f>IF($J371="Item",_xll.NL("first",$J371,"Description","No.","@@"&amp;$K371),"")</f>
        <v/>
      </c>
      <c r="O371" s="83">
        <v>0</v>
      </c>
      <c r="P371" s="83">
        <v>-144</v>
      </c>
      <c r="Q371" s="83">
        <v>0</v>
      </c>
      <c r="R371" s="83">
        <v>0</v>
      </c>
      <c r="S371" s="83">
        <v>0</v>
      </c>
      <c r="T371" s="83">
        <v>0</v>
      </c>
      <c r="U371" s="82"/>
    </row>
    <row r="372" spans="1:21" ht="17.25" customHeight="1" x14ac:dyDescent="0.3">
      <c r="A372" s="66" t="s">
        <v>30</v>
      </c>
      <c r="C372" s="67"/>
      <c r="D372" s="77" t="str">
        <f t="shared" si="207"/>
        <v>E100010</v>
      </c>
      <c r="E372" s="77"/>
      <c r="F372" s="76"/>
      <c r="G372" s="76" t="str">
        <f>"""NAV Direct"",""CRONUS JetCorp USA"",""32"",""1"",""54712"""</f>
        <v>"NAV Direct","CRONUS JetCorp USA","32","1","54712"</v>
      </c>
      <c r="H372" s="86">
        <v>43474</v>
      </c>
      <c r="I372" s="85">
        <v>54712</v>
      </c>
      <c r="J372" s="84" t="str">
        <f>"Customer"</f>
        <v>Customer</v>
      </c>
      <c r="K372" s="84" t="str">
        <f>"C100096"</f>
        <v>C100096</v>
      </c>
      <c r="L372" s="84" t="str">
        <f>IF($J372="Customer",_xll.NL("first",$J372,"Name","No.","@@"&amp;$K372),"")</f>
        <v>D-Com Industries</v>
      </c>
      <c r="M372" s="84" t="str">
        <f>""</f>
        <v/>
      </c>
      <c r="N372" s="84" t="str">
        <f>IF($J372="Item",_xll.NL("first",$J372,"Description","No.","@@"&amp;$K372),"")</f>
        <v/>
      </c>
      <c r="O372" s="83">
        <v>0</v>
      </c>
      <c r="P372" s="83">
        <v>-144</v>
      </c>
      <c r="Q372" s="83">
        <v>0</v>
      </c>
      <c r="R372" s="83">
        <v>0</v>
      </c>
      <c r="S372" s="83">
        <v>0</v>
      </c>
      <c r="T372" s="83">
        <v>0</v>
      </c>
      <c r="U372" s="82"/>
    </row>
    <row r="373" spans="1:21" ht="17.25" customHeight="1" x14ac:dyDescent="0.3">
      <c r="A373" s="66" t="s">
        <v>30</v>
      </c>
      <c r="C373" s="67"/>
      <c r="D373" s="77"/>
      <c r="E373" s="77"/>
      <c r="F373" s="76"/>
      <c r="G373" s="76"/>
      <c r="H373" s="76"/>
      <c r="I373" s="76"/>
      <c r="J373" s="76"/>
      <c r="K373" s="76"/>
      <c r="L373" s="76"/>
      <c r="M373" s="76"/>
      <c r="N373" s="76"/>
      <c r="O373" s="75"/>
      <c r="P373" s="75"/>
      <c r="Q373" s="75"/>
      <c r="R373" s="75"/>
      <c r="S373" s="75"/>
      <c r="T373" s="75"/>
      <c r="U373" s="74"/>
    </row>
    <row r="374" spans="1:21" ht="17.25" customHeight="1" x14ac:dyDescent="0.3">
      <c r="A374" s="66" t="s">
        <v>30</v>
      </c>
      <c r="C374" s="67"/>
      <c r="D374" s="77"/>
      <c r="E374" s="77" t="s">
        <v>31</v>
      </c>
      <c r="F374" s="76" t="s">
        <v>31</v>
      </c>
      <c r="G374" s="76" t="s">
        <v>31</v>
      </c>
      <c r="H374" s="76"/>
      <c r="I374" s="76"/>
      <c r="J374" s="76" t="s">
        <v>31</v>
      </c>
      <c r="K374" s="76" t="s">
        <v>31</v>
      </c>
      <c r="L374" s="76" t="s">
        <v>31</v>
      </c>
      <c r="M374" s="76" t="s">
        <v>31</v>
      </c>
      <c r="N374" s="76"/>
      <c r="U374" s="81"/>
    </row>
    <row r="375" spans="1:21" ht="20.25" customHeight="1" x14ac:dyDescent="0.35">
      <c r="A375" s="66" t="s">
        <v>30</v>
      </c>
      <c r="C375" s="67"/>
      <c r="D375" s="92" t="str">
        <f t="shared" ref="D375" si="208">E375</f>
        <v>E100011</v>
      </c>
      <c r="E375" s="91" t="str">
        <f>"E100011"</f>
        <v>E100011</v>
      </c>
      <c r="F375" s="89" t="str">
        <f>"Plastic Sun Visor"</f>
        <v>Plastic Sun Visor</v>
      </c>
      <c r="G375" s="89"/>
      <c r="H375" s="90" t="str">
        <f>"EA"</f>
        <v>EA</v>
      </c>
      <c r="I375" s="89"/>
      <c r="J375" s="89"/>
      <c r="K375" s="89"/>
      <c r="L375" s="89"/>
      <c r="M375" s="89"/>
      <c r="N375" s="89"/>
      <c r="O375" s="88">
        <f>(SUBTOTAL(9,O376:O385))</f>
        <v>3999.9999999999995</v>
      </c>
      <c r="P375" s="88">
        <f>(SUBTOTAL(9,P376:P385))</f>
        <v>-1063</v>
      </c>
      <c r="Q375" s="88">
        <f>(SUBTOTAL(9,Q376:Q385))</f>
        <v>0</v>
      </c>
      <c r="R375" s="88">
        <f>(SUBTOTAL(9,R376:R385))</f>
        <v>0</v>
      </c>
      <c r="S375" s="88">
        <f>(SUBTOTAL(9,S376:S385))</f>
        <v>0</v>
      </c>
      <c r="T375" s="88">
        <f>(SUBTOTAL(9,T376:T385))</f>
        <v>0</v>
      </c>
      <c r="U375" s="87">
        <f t="shared" ref="U375" si="209">SUBTOTAL(9,O376:T385)</f>
        <v>2936.9999999999995</v>
      </c>
    </row>
    <row r="376" spans="1:21" ht="17.25" customHeight="1" x14ac:dyDescent="0.3">
      <c r="A376" s="66" t="s">
        <v>30</v>
      </c>
      <c r="C376" s="67"/>
      <c r="D376" s="77" t="str">
        <f t="shared" ref="D376" si="210">D375</f>
        <v>E100011</v>
      </c>
      <c r="E376" s="77"/>
      <c r="F376" s="76"/>
      <c r="G376" s="76" t="str">
        <f>"""NAV Direct"",""CRONUS JetCorp USA"",""32"",""1"",""167136"""</f>
        <v>"NAV Direct","CRONUS JetCorp USA","32","1","167136"</v>
      </c>
      <c r="H376" s="86">
        <v>43466</v>
      </c>
      <c r="I376" s="85">
        <v>167136</v>
      </c>
      <c r="J376" s="84" t="str">
        <f>"Vendor"</f>
        <v>Vendor</v>
      </c>
      <c r="K376" s="84" t="str">
        <f>"V100001"</f>
        <v>V100001</v>
      </c>
      <c r="L376" s="84" t="str">
        <f>IF($J376="Customer",_xll.NL("first",$J376,"Name","No.","@@"&amp;$K376),"")</f>
        <v/>
      </c>
      <c r="M376" s="84" t="str">
        <f>"Greigner, Inc."</f>
        <v>Greigner, Inc.</v>
      </c>
      <c r="N376" s="84" t="str">
        <f>IF($J376="Item",_xll.NL("first",$J376,"Description","No.","@@"&amp;$K376),"")</f>
        <v/>
      </c>
      <c r="O376" s="83">
        <v>3999.9999999999995</v>
      </c>
      <c r="P376" s="83">
        <v>0</v>
      </c>
      <c r="Q376" s="83">
        <v>0</v>
      </c>
      <c r="R376" s="83">
        <v>0</v>
      </c>
      <c r="S376" s="83">
        <v>0</v>
      </c>
      <c r="T376" s="83">
        <v>0</v>
      </c>
      <c r="U376" s="82"/>
    </row>
    <row r="377" spans="1:21" ht="17.25" customHeight="1" x14ac:dyDescent="0.3">
      <c r="A377" s="66" t="s">
        <v>30</v>
      </c>
      <c r="C377" s="67"/>
      <c r="D377" s="77" t="str">
        <f t="shared" ref="D377:D384" si="211">D376</f>
        <v>E100011</v>
      </c>
      <c r="E377" s="77"/>
      <c r="F377" s="76"/>
      <c r="G377" s="76" t="str">
        <f>"""NAV Direct"",""CRONUS JetCorp USA"",""32"",""1"",""64588"""</f>
        <v>"NAV Direct","CRONUS JetCorp USA","32","1","64588"</v>
      </c>
      <c r="H377" s="86">
        <v>43469</v>
      </c>
      <c r="I377" s="85">
        <v>64588</v>
      </c>
      <c r="J377" s="84" t="str">
        <f>"Customer"</f>
        <v>Customer</v>
      </c>
      <c r="K377" s="84" t="str">
        <f>"C100140"</f>
        <v>C100140</v>
      </c>
      <c r="L377" s="84" t="str">
        <f>IF($J377="Customer",_xll.NL("first",$J377,"Name","No.","@@"&amp;$K377),"")</f>
        <v>Super Daves</v>
      </c>
      <c r="M377" s="84" t="str">
        <f>""</f>
        <v/>
      </c>
      <c r="N377" s="84" t="str">
        <f>IF($J377="Item",_xll.NL("first",$J377,"Description","No.","@@"&amp;$K377),"")</f>
        <v/>
      </c>
      <c r="O377" s="83">
        <v>0</v>
      </c>
      <c r="P377" s="83">
        <v>-144</v>
      </c>
      <c r="Q377" s="83">
        <v>0</v>
      </c>
      <c r="R377" s="83">
        <v>0</v>
      </c>
      <c r="S377" s="83">
        <v>0</v>
      </c>
      <c r="T377" s="83">
        <v>0</v>
      </c>
      <c r="U377" s="82"/>
    </row>
    <row r="378" spans="1:21" ht="17.25" customHeight="1" x14ac:dyDescent="0.3">
      <c r="A378" s="66" t="s">
        <v>30</v>
      </c>
      <c r="C378" s="67"/>
      <c r="D378" s="77" t="str">
        <f t="shared" si="211"/>
        <v>E100011</v>
      </c>
      <c r="E378" s="77"/>
      <c r="F378" s="76"/>
      <c r="G378" s="76" t="str">
        <f>"""NAV Direct"",""CRONUS JetCorp USA"",""32"",""1"",""20344"""</f>
        <v>"NAV Direct","CRONUS JetCorp USA","32","1","20344"</v>
      </c>
      <c r="H378" s="86">
        <v>43472</v>
      </c>
      <c r="I378" s="85">
        <v>20344</v>
      </c>
      <c r="J378" s="84" t="str">
        <f>"Customer"</f>
        <v>Customer</v>
      </c>
      <c r="K378" s="84" t="str">
        <f>"C100145"</f>
        <v>C100145</v>
      </c>
      <c r="L378" s="84" t="str">
        <f>IF($J378="Customer",_xll.NL("first",$J378,"Name","No.","@@"&amp;$K378),"")</f>
        <v>Dicon Industries</v>
      </c>
      <c r="M378" s="84" t="str">
        <f>""</f>
        <v/>
      </c>
      <c r="N378" s="84" t="str">
        <f>IF($J378="Item",_xll.NL("first",$J378,"Description","No.","@@"&amp;$K378),"")</f>
        <v/>
      </c>
      <c r="O378" s="83">
        <v>0</v>
      </c>
      <c r="P378" s="83">
        <v>-12</v>
      </c>
      <c r="Q378" s="83">
        <v>0</v>
      </c>
      <c r="R378" s="83">
        <v>0</v>
      </c>
      <c r="S378" s="83">
        <v>0</v>
      </c>
      <c r="T378" s="83">
        <v>0</v>
      </c>
      <c r="U378" s="82"/>
    </row>
    <row r="379" spans="1:21" ht="17.25" customHeight="1" x14ac:dyDescent="0.3">
      <c r="A379" s="66" t="s">
        <v>30</v>
      </c>
      <c r="C379" s="67"/>
      <c r="D379" s="77" t="str">
        <f t="shared" si="211"/>
        <v>E100011</v>
      </c>
      <c r="E379" s="77"/>
      <c r="F379" s="76"/>
      <c r="G379" s="76" t="str">
        <f>"""NAV Direct"",""CRONUS JetCorp USA"",""32"",""1"",""44475"""</f>
        <v>"NAV Direct","CRONUS JetCorp USA","32","1","44475"</v>
      </c>
      <c r="H379" s="86">
        <v>43472</v>
      </c>
      <c r="I379" s="85">
        <v>44475</v>
      </c>
      <c r="J379" s="84" t="str">
        <f>"Customer"</f>
        <v>Customer</v>
      </c>
      <c r="K379" s="84" t="str">
        <f>"C100141"</f>
        <v>C100141</v>
      </c>
      <c r="L379" s="84" t="str">
        <f>IF($J379="Customer",_xll.NL("first",$J379,"Name","No.","@@"&amp;$K379),"")</f>
        <v>Bargottis</v>
      </c>
      <c r="M379" s="84" t="str">
        <f>""</f>
        <v/>
      </c>
      <c r="N379" s="84" t="str">
        <f>IF($J379="Item",_xll.NL("first",$J379,"Description","No.","@@"&amp;$K379),"")</f>
        <v/>
      </c>
      <c r="O379" s="83">
        <v>0</v>
      </c>
      <c r="P379" s="83">
        <v>-288</v>
      </c>
      <c r="Q379" s="83">
        <v>0</v>
      </c>
      <c r="R379" s="83">
        <v>0</v>
      </c>
      <c r="S379" s="83">
        <v>0</v>
      </c>
      <c r="T379" s="83">
        <v>0</v>
      </c>
      <c r="U379" s="82"/>
    </row>
    <row r="380" spans="1:21" ht="17.25" customHeight="1" x14ac:dyDescent="0.3">
      <c r="A380" s="66" t="s">
        <v>30</v>
      </c>
      <c r="C380" s="67"/>
      <c r="D380" s="77" t="str">
        <f t="shared" si="211"/>
        <v>E100011</v>
      </c>
      <c r="E380" s="77"/>
      <c r="F380" s="76"/>
      <c r="G380" s="76" t="str">
        <f>"""NAV Direct"",""CRONUS JetCorp USA"",""32"",""1"",""64603"""</f>
        <v>"NAV Direct","CRONUS JetCorp USA","32","1","64603"</v>
      </c>
      <c r="H380" s="86">
        <v>43472</v>
      </c>
      <c r="I380" s="85">
        <v>64603</v>
      </c>
      <c r="J380" s="84" t="str">
        <f>"Customer"</f>
        <v>Customer</v>
      </c>
      <c r="K380" s="84" t="str">
        <f>"C100140"</f>
        <v>C100140</v>
      </c>
      <c r="L380" s="84" t="str">
        <f>IF($J380="Customer",_xll.NL("first",$J380,"Name","No.","@@"&amp;$K380),"")</f>
        <v>Super Daves</v>
      </c>
      <c r="M380" s="84" t="str">
        <f>""</f>
        <v/>
      </c>
      <c r="N380" s="84" t="str">
        <f>IF($J380="Item",_xll.NL("first",$J380,"Description","No.","@@"&amp;$K380),"")</f>
        <v/>
      </c>
      <c r="O380" s="83">
        <v>0</v>
      </c>
      <c r="P380" s="83">
        <v>-144</v>
      </c>
      <c r="Q380" s="83">
        <v>0</v>
      </c>
      <c r="R380" s="83">
        <v>0</v>
      </c>
      <c r="S380" s="83">
        <v>0</v>
      </c>
      <c r="T380" s="83">
        <v>0</v>
      </c>
      <c r="U380" s="82"/>
    </row>
    <row r="381" spans="1:21" ht="17.25" customHeight="1" x14ac:dyDescent="0.3">
      <c r="A381" s="66" t="s">
        <v>30</v>
      </c>
      <c r="C381" s="67"/>
      <c r="D381" s="77" t="str">
        <f t="shared" si="211"/>
        <v>E100011</v>
      </c>
      <c r="E381" s="77"/>
      <c r="F381" s="76"/>
      <c r="G381" s="76" t="str">
        <f>"""NAV Direct"",""CRONUS JetCorp USA"",""32"",""1"",""128877"""</f>
        <v>"NAV Direct","CRONUS JetCorp USA","32","1","128877"</v>
      </c>
      <c r="H381" s="86">
        <v>43472</v>
      </c>
      <c r="I381" s="85">
        <v>128877</v>
      </c>
      <c r="J381" s="84" t="str">
        <f>"Customer"</f>
        <v>Customer</v>
      </c>
      <c r="K381" s="84" t="str">
        <f>"C100105"</f>
        <v>C100105</v>
      </c>
      <c r="L381" s="84" t="str">
        <f>IF($J381="Customer",_xll.NL("first",$J381,"Name","No.","@@"&amp;$K381),"")</f>
        <v>Esystems</v>
      </c>
      <c r="M381" s="84" t="str">
        <f>""</f>
        <v/>
      </c>
      <c r="N381" s="84" t="str">
        <f>IF($J381="Item",_xll.NL("first",$J381,"Description","No.","@@"&amp;$K381),"")</f>
        <v/>
      </c>
      <c r="O381" s="83">
        <v>0</v>
      </c>
      <c r="P381" s="83">
        <v>-169</v>
      </c>
      <c r="Q381" s="83">
        <v>0</v>
      </c>
      <c r="R381" s="83">
        <v>0</v>
      </c>
      <c r="S381" s="83">
        <v>0</v>
      </c>
      <c r="T381" s="83">
        <v>0</v>
      </c>
      <c r="U381" s="82"/>
    </row>
    <row r="382" spans="1:21" ht="17.25" customHeight="1" x14ac:dyDescent="0.3">
      <c r="A382" s="66" t="s">
        <v>30</v>
      </c>
      <c r="C382" s="67"/>
      <c r="D382" s="77" t="str">
        <f t="shared" si="211"/>
        <v>E100011</v>
      </c>
      <c r="E382" s="77"/>
      <c r="F382" s="76"/>
      <c r="G382" s="76" t="str">
        <f>"""NAV Direct"",""CRONUS JetCorp USA"",""32"",""1"",""54707"""</f>
        <v>"NAV Direct","CRONUS JetCorp USA","32","1","54707"</v>
      </c>
      <c r="H382" s="86">
        <v>43474</v>
      </c>
      <c r="I382" s="85">
        <v>54707</v>
      </c>
      <c r="J382" s="84" t="str">
        <f>"Customer"</f>
        <v>Customer</v>
      </c>
      <c r="K382" s="84" t="str">
        <f>"C100096"</f>
        <v>C100096</v>
      </c>
      <c r="L382" s="84" t="str">
        <f>IF($J382="Customer",_xll.NL("first",$J382,"Name","No.","@@"&amp;$K382),"")</f>
        <v>D-Com Industries</v>
      </c>
      <c r="M382" s="84" t="str">
        <f>""</f>
        <v/>
      </c>
      <c r="N382" s="84" t="str">
        <f>IF($J382="Item",_xll.NL("first",$J382,"Description","No.","@@"&amp;$K382),"")</f>
        <v/>
      </c>
      <c r="O382" s="83">
        <v>0</v>
      </c>
      <c r="P382" s="83">
        <v>-288</v>
      </c>
      <c r="Q382" s="83">
        <v>0</v>
      </c>
      <c r="R382" s="83">
        <v>0</v>
      </c>
      <c r="S382" s="83">
        <v>0</v>
      </c>
      <c r="T382" s="83">
        <v>0</v>
      </c>
      <c r="U382" s="82"/>
    </row>
    <row r="383" spans="1:21" ht="17.25" customHeight="1" x14ac:dyDescent="0.3">
      <c r="A383" s="66" t="s">
        <v>30</v>
      </c>
      <c r="C383" s="67"/>
      <c r="D383" s="77" t="str">
        <f t="shared" si="211"/>
        <v>E100011</v>
      </c>
      <c r="E383" s="77"/>
      <c r="F383" s="76"/>
      <c r="G383" s="76" t="str">
        <f>"""NAV Direct"",""CRONUS JetCorp USA"",""32"",""1"",""20360"""</f>
        <v>"NAV Direct","CRONUS JetCorp USA","32","1","20360"</v>
      </c>
      <c r="H383" s="86">
        <v>43475</v>
      </c>
      <c r="I383" s="85">
        <v>20360</v>
      </c>
      <c r="J383" s="84" t="str">
        <f>"Customer"</f>
        <v>Customer</v>
      </c>
      <c r="K383" s="84" t="str">
        <f>"C100097"</f>
        <v>C100097</v>
      </c>
      <c r="L383" s="84" t="str">
        <f>IF($J383="Customer",_xll.NL("first",$J383,"Name","No.","@@"&amp;$K383),"")</f>
        <v>Solotech</v>
      </c>
      <c r="M383" s="84" t="str">
        <f>""</f>
        <v/>
      </c>
      <c r="N383" s="84" t="str">
        <f>IF($J383="Item",_xll.NL("first",$J383,"Description","No.","@@"&amp;$K383),"")</f>
        <v/>
      </c>
      <c r="O383" s="83">
        <v>0</v>
      </c>
      <c r="P383" s="83">
        <v>-12</v>
      </c>
      <c r="Q383" s="83">
        <v>0</v>
      </c>
      <c r="R383" s="83">
        <v>0</v>
      </c>
      <c r="S383" s="83">
        <v>0</v>
      </c>
      <c r="T383" s="83">
        <v>0</v>
      </c>
      <c r="U383" s="82"/>
    </row>
    <row r="384" spans="1:21" ht="17.25" customHeight="1" x14ac:dyDescent="0.3">
      <c r="A384" s="66" t="s">
        <v>30</v>
      </c>
      <c r="C384" s="67"/>
      <c r="D384" s="77" t="str">
        <f t="shared" si="211"/>
        <v>E100011</v>
      </c>
      <c r="E384" s="77"/>
      <c r="F384" s="76"/>
      <c r="G384" s="76" t="str">
        <f>"""NAV Direct"",""CRONUS JetCorp USA"",""32"",""1"",""25278"""</f>
        <v>"NAV Direct","CRONUS JetCorp USA","32","1","25278"</v>
      </c>
      <c r="H384" s="86">
        <v>43476</v>
      </c>
      <c r="I384" s="85">
        <v>25278</v>
      </c>
      <c r="J384" s="84" t="str">
        <f>"Customer"</f>
        <v>Customer</v>
      </c>
      <c r="K384" s="84" t="str">
        <f>"C100102"</f>
        <v>C100102</v>
      </c>
      <c r="L384" s="84" t="str">
        <f>IF($J384="Customer",_xll.NL("first",$J384,"Name","No.","@@"&amp;$K384),"")</f>
        <v xml:space="preserve">BEI Outfitters </v>
      </c>
      <c r="M384" s="84" t="str">
        <f>""</f>
        <v/>
      </c>
      <c r="N384" s="84" t="str">
        <f>IF($J384="Item",_xll.NL("first",$J384,"Description","No.","@@"&amp;$K384),"")</f>
        <v/>
      </c>
      <c r="O384" s="83">
        <v>0</v>
      </c>
      <c r="P384" s="83">
        <v>-6</v>
      </c>
      <c r="Q384" s="83">
        <v>0</v>
      </c>
      <c r="R384" s="83">
        <v>0</v>
      </c>
      <c r="S384" s="83">
        <v>0</v>
      </c>
      <c r="T384" s="83">
        <v>0</v>
      </c>
      <c r="U384" s="82"/>
    </row>
    <row r="385" spans="1:21" ht="17.25" customHeight="1" x14ac:dyDescent="0.3">
      <c r="A385" s="66" t="s">
        <v>30</v>
      </c>
      <c r="C385" s="67"/>
      <c r="D385" s="77"/>
      <c r="E385" s="77"/>
      <c r="F385" s="76"/>
      <c r="G385" s="76"/>
      <c r="H385" s="76"/>
      <c r="I385" s="76"/>
      <c r="J385" s="76"/>
      <c r="K385" s="76"/>
      <c r="L385" s="76"/>
      <c r="M385" s="76"/>
      <c r="N385" s="76"/>
      <c r="O385" s="75"/>
      <c r="P385" s="75"/>
      <c r="Q385" s="75"/>
      <c r="R385" s="75"/>
      <c r="S385" s="75"/>
      <c r="T385" s="75"/>
      <c r="U385" s="74"/>
    </row>
    <row r="386" spans="1:21" ht="17.25" customHeight="1" x14ac:dyDescent="0.3">
      <c r="A386" s="66" t="s">
        <v>30</v>
      </c>
      <c r="C386" s="67"/>
      <c r="D386" s="77"/>
      <c r="E386" s="77" t="s">
        <v>31</v>
      </c>
      <c r="F386" s="76" t="s">
        <v>31</v>
      </c>
      <c r="G386" s="76" t="s">
        <v>31</v>
      </c>
      <c r="H386" s="76"/>
      <c r="I386" s="76"/>
      <c r="J386" s="76" t="s">
        <v>31</v>
      </c>
      <c r="K386" s="76" t="s">
        <v>31</v>
      </c>
      <c r="L386" s="76" t="s">
        <v>31</v>
      </c>
      <c r="M386" s="76" t="s">
        <v>31</v>
      </c>
      <c r="N386" s="76"/>
      <c r="U386" s="81"/>
    </row>
    <row r="387" spans="1:21" ht="20.25" customHeight="1" x14ac:dyDescent="0.35">
      <c r="A387" s="66" t="s">
        <v>30</v>
      </c>
      <c r="C387" s="67"/>
      <c r="D387" s="92" t="str">
        <f t="shared" ref="D387" si="212">E387</f>
        <v>E100012</v>
      </c>
      <c r="E387" s="91" t="str">
        <f>"E100012"</f>
        <v>E100012</v>
      </c>
      <c r="F387" s="89" t="str">
        <f>"Canvas Stopwatch"</f>
        <v>Canvas Stopwatch</v>
      </c>
      <c r="G387" s="89"/>
      <c r="H387" s="90" t="str">
        <f>"EA"</f>
        <v>EA</v>
      </c>
      <c r="I387" s="89"/>
      <c r="J387" s="89"/>
      <c r="K387" s="89"/>
      <c r="L387" s="89"/>
      <c r="M387" s="89"/>
      <c r="N387" s="89"/>
      <c r="O387" s="88">
        <f>(SUBTOTAL(9,O388:O396))</f>
        <v>4200</v>
      </c>
      <c r="P387" s="88">
        <f>(SUBTOTAL(9,P388:P396))</f>
        <v>-723</v>
      </c>
      <c r="Q387" s="88">
        <f>(SUBTOTAL(9,Q388:Q396))</f>
        <v>0</v>
      </c>
      <c r="R387" s="88">
        <f>(SUBTOTAL(9,R388:R396))</f>
        <v>0</v>
      </c>
      <c r="S387" s="88">
        <f>(SUBTOTAL(9,S388:S396))</f>
        <v>0</v>
      </c>
      <c r="T387" s="88">
        <f>(SUBTOTAL(9,T388:T396))</f>
        <v>0</v>
      </c>
      <c r="U387" s="87">
        <f t="shared" ref="U387" si="213">SUBTOTAL(9,O388:T396)</f>
        <v>3477</v>
      </c>
    </row>
    <row r="388" spans="1:21" ht="17.25" customHeight="1" x14ac:dyDescent="0.3">
      <c r="A388" s="66" t="s">
        <v>30</v>
      </c>
      <c r="C388" s="67"/>
      <c r="D388" s="77" t="str">
        <f t="shared" ref="D388" si="214">D387</f>
        <v>E100012</v>
      </c>
      <c r="E388" s="77"/>
      <c r="F388" s="76"/>
      <c r="G388" s="76" t="str">
        <f>"""NAV Direct"",""CRONUS JetCorp USA"",""32"",""1"",""167580"""</f>
        <v>"NAV Direct","CRONUS JetCorp USA","32","1","167580"</v>
      </c>
      <c r="H388" s="86">
        <v>43466</v>
      </c>
      <c r="I388" s="85">
        <v>167580</v>
      </c>
      <c r="J388" s="84" t="str">
        <f>"Vendor"</f>
        <v>Vendor</v>
      </c>
      <c r="K388" s="84" t="str">
        <f>"V100001"</f>
        <v>V100001</v>
      </c>
      <c r="L388" s="84" t="str">
        <f>IF($J388="Customer",_xll.NL("first",$J388,"Name","No.","@@"&amp;$K388),"")</f>
        <v/>
      </c>
      <c r="M388" s="84" t="str">
        <f>"Greigner, Inc."</f>
        <v>Greigner, Inc.</v>
      </c>
      <c r="N388" s="84" t="str">
        <f>IF($J388="Item",_xll.NL("first",$J388,"Description","No.","@@"&amp;$K388),"")</f>
        <v/>
      </c>
      <c r="O388" s="83">
        <v>4200</v>
      </c>
      <c r="P388" s="83">
        <v>0</v>
      </c>
      <c r="Q388" s="83">
        <v>0</v>
      </c>
      <c r="R388" s="83">
        <v>0</v>
      </c>
      <c r="S388" s="83">
        <v>0</v>
      </c>
      <c r="T388" s="83">
        <v>0</v>
      </c>
      <c r="U388" s="82"/>
    </row>
    <row r="389" spans="1:21" ht="17.25" customHeight="1" x14ac:dyDescent="0.3">
      <c r="A389" s="66" t="s">
        <v>30</v>
      </c>
      <c r="C389" s="67"/>
      <c r="D389" s="77" t="str">
        <f t="shared" ref="D389:D395" si="215">D388</f>
        <v>E100012</v>
      </c>
      <c r="E389" s="77"/>
      <c r="F389" s="76"/>
      <c r="G389" s="76" t="str">
        <f>"""NAV Direct"",""CRONUS JetCorp USA"",""32"",""1"",""64577"""</f>
        <v>"NAV Direct","CRONUS JetCorp USA","32","1","64577"</v>
      </c>
      <c r="H389" s="86">
        <v>43469</v>
      </c>
      <c r="I389" s="85">
        <v>64577</v>
      </c>
      <c r="J389" s="84" t="str">
        <f>"Customer"</f>
        <v>Customer</v>
      </c>
      <c r="K389" s="84" t="str">
        <f>"C100140"</f>
        <v>C100140</v>
      </c>
      <c r="L389" s="84" t="str">
        <f>IF($J389="Customer",_xll.NL("first",$J389,"Name","No.","@@"&amp;$K389),"")</f>
        <v>Super Daves</v>
      </c>
      <c r="M389" s="84" t="str">
        <f>""</f>
        <v/>
      </c>
      <c r="N389" s="84" t="str">
        <f>IF($J389="Item",_xll.NL("first",$J389,"Description","No.","@@"&amp;$K389),"")</f>
        <v/>
      </c>
      <c r="O389" s="83">
        <v>0</v>
      </c>
      <c r="P389" s="83">
        <v>-144</v>
      </c>
      <c r="Q389" s="83">
        <v>0</v>
      </c>
      <c r="R389" s="83">
        <v>0</v>
      </c>
      <c r="S389" s="83">
        <v>0</v>
      </c>
      <c r="T389" s="83">
        <v>0</v>
      </c>
      <c r="U389" s="82"/>
    </row>
    <row r="390" spans="1:21" ht="17.25" customHeight="1" x14ac:dyDescent="0.3">
      <c r="A390" s="66" t="s">
        <v>30</v>
      </c>
      <c r="C390" s="67"/>
      <c r="D390" s="77" t="str">
        <f t="shared" si="215"/>
        <v>E100012</v>
      </c>
      <c r="E390" s="77"/>
      <c r="F390" s="76"/>
      <c r="G390" s="76" t="str">
        <f>"""NAV Direct"",""CRONUS JetCorp USA"",""32"",""1"",""128879"""</f>
        <v>"NAV Direct","CRONUS JetCorp USA","32","1","128879"</v>
      </c>
      <c r="H390" s="86">
        <v>43472</v>
      </c>
      <c r="I390" s="85">
        <v>128879</v>
      </c>
      <c r="J390" s="84" t="str">
        <f>"Customer"</f>
        <v>Customer</v>
      </c>
      <c r="K390" s="84" t="str">
        <f>"C100105"</f>
        <v>C100105</v>
      </c>
      <c r="L390" s="84" t="str">
        <f>IF($J390="Customer",_xll.NL("first",$J390,"Name","No.","@@"&amp;$K390),"")</f>
        <v>Esystems</v>
      </c>
      <c r="M390" s="84" t="str">
        <f>""</f>
        <v/>
      </c>
      <c r="N390" s="84" t="str">
        <f>IF($J390="Item",_xll.NL("first",$J390,"Description","No.","@@"&amp;$K390),"")</f>
        <v/>
      </c>
      <c r="O390" s="83">
        <v>0</v>
      </c>
      <c r="P390" s="83">
        <v>-1</v>
      </c>
      <c r="Q390" s="83">
        <v>0</v>
      </c>
      <c r="R390" s="83">
        <v>0</v>
      </c>
      <c r="S390" s="83">
        <v>0</v>
      </c>
      <c r="T390" s="83">
        <v>0</v>
      </c>
      <c r="U390" s="82"/>
    </row>
    <row r="391" spans="1:21" ht="17.25" customHeight="1" x14ac:dyDescent="0.3">
      <c r="A391" s="66" t="s">
        <v>30</v>
      </c>
      <c r="C391" s="67"/>
      <c r="D391" s="77" t="str">
        <f t="shared" si="215"/>
        <v>E100012</v>
      </c>
      <c r="E391" s="77"/>
      <c r="F391" s="76"/>
      <c r="G391" s="76" t="str">
        <f>"""NAV Direct"",""CRONUS JetCorp USA"",""32"",""1"",""44515"""</f>
        <v>"NAV Direct","CRONUS JetCorp USA","32","1","44515"</v>
      </c>
      <c r="H391" s="86">
        <v>43473</v>
      </c>
      <c r="I391" s="85">
        <v>44515</v>
      </c>
      <c r="J391" s="84" t="str">
        <f>"Customer"</f>
        <v>Customer</v>
      </c>
      <c r="K391" s="84" t="str">
        <f>"C100139"</f>
        <v>C100139</v>
      </c>
      <c r="L391" s="84" t="str">
        <f>IF($J391="Customer",_xll.NL("first",$J391,"Name","No.","@@"&amp;$K391),"")</f>
        <v>Gamma Ray's</v>
      </c>
      <c r="M391" s="84" t="str">
        <f>""</f>
        <v/>
      </c>
      <c r="N391" s="84" t="str">
        <f>IF($J391="Item",_xll.NL("first",$J391,"Description","No.","@@"&amp;$K391),"")</f>
        <v/>
      </c>
      <c r="O391" s="83">
        <v>0</v>
      </c>
      <c r="P391" s="83">
        <v>-144</v>
      </c>
      <c r="Q391" s="83">
        <v>0</v>
      </c>
      <c r="R391" s="83">
        <v>0</v>
      </c>
      <c r="S391" s="83">
        <v>0</v>
      </c>
      <c r="T391" s="83">
        <v>0</v>
      </c>
      <c r="U391" s="82"/>
    </row>
    <row r="392" spans="1:21" ht="17.25" customHeight="1" x14ac:dyDescent="0.3">
      <c r="A392" s="66" t="s">
        <v>30</v>
      </c>
      <c r="C392" s="67"/>
      <c r="D392" s="77" t="str">
        <f t="shared" si="215"/>
        <v>E100012</v>
      </c>
      <c r="E392" s="77"/>
      <c r="F392" s="76"/>
      <c r="G392" s="76" t="str">
        <f>"""NAV Direct"",""CRONUS JetCorp USA"",""32"",""1"",""20361"""</f>
        <v>"NAV Direct","CRONUS JetCorp USA","32","1","20361"</v>
      </c>
      <c r="H392" s="86">
        <v>43475</v>
      </c>
      <c r="I392" s="85">
        <v>20361</v>
      </c>
      <c r="J392" s="84" t="str">
        <f>"Customer"</f>
        <v>Customer</v>
      </c>
      <c r="K392" s="84" t="str">
        <f>"C100097"</f>
        <v>C100097</v>
      </c>
      <c r="L392" s="84" t="str">
        <f>IF($J392="Customer",_xll.NL("first",$J392,"Name","No.","@@"&amp;$K392),"")</f>
        <v>Solotech</v>
      </c>
      <c r="M392" s="84" t="str">
        <f>""</f>
        <v/>
      </c>
      <c r="N392" s="84" t="str">
        <f>IF($J392="Item",_xll.NL("first",$J392,"Description","No.","@@"&amp;$K392),"")</f>
        <v/>
      </c>
      <c r="O392" s="83">
        <v>0</v>
      </c>
      <c r="P392" s="83">
        <v>-1</v>
      </c>
      <c r="Q392" s="83">
        <v>0</v>
      </c>
      <c r="R392" s="83">
        <v>0</v>
      </c>
      <c r="S392" s="83">
        <v>0</v>
      </c>
      <c r="T392" s="83">
        <v>0</v>
      </c>
      <c r="U392" s="82"/>
    </row>
    <row r="393" spans="1:21" ht="17.25" customHeight="1" x14ac:dyDescent="0.3">
      <c r="A393" s="66" t="s">
        <v>30</v>
      </c>
      <c r="C393" s="67"/>
      <c r="D393" s="77" t="str">
        <f t="shared" si="215"/>
        <v>E100012</v>
      </c>
      <c r="E393" s="77"/>
      <c r="F393" s="76"/>
      <c r="G393" s="76" t="str">
        <f>"""NAV Direct"",""CRONUS JetCorp USA"",""32"",""1"",""153181"""</f>
        <v>"NAV Direct","CRONUS JetCorp USA","32","1","153181"</v>
      </c>
      <c r="H393" s="86">
        <v>43475</v>
      </c>
      <c r="I393" s="85">
        <v>153181</v>
      </c>
      <c r="J393" s="84" t="str">
        <f>"Customer"</f>
        <v>Customer</v>
      </c>
      <c r="K393" s="84" t="str">
        <f>"C100108"</f>
        <v>C100108</v>
      </c>
      <c r="L393" s="84" t="str">
        <f>IF($J393="Customer",_xll.NL("first",$J393,"Name","No.","@@"&amp;$K393),"")</f>
        <v>Kinfix Industries</v>
      </c>
      <c r="M393" s="84" t="str">
        <f>""</f>
        <v/>
      </c>
      <c r="N393" s="84" t="str">
        <f>IF($J393="Item",_xll.NL("first",$J393,"Description","No.","@@"&amp;$K393),"")</f>
        <v/>
      </c>
      <c r="O393" s="83">
        <v>0</v>
      </c>
      <c r="P393" s="83">
        <v>-144</v>
      </c>
      <c r="Q393" s="83">
        <v>0</v>
      </c>
      <c r="R393" s="83">
        <v>0</v>
      </c>
      <c r="S393" s="83">
        <v>0</v>
      </c>
      <c r="T393" s="83">
        <v>0</v>
      </c>
      <c r="U393" s="82"/>
    </row>
    <row r="394" spans="1:21" ht="17.25" customHeight="1" x14ac:dyDescent="0.3">
      <c r="A394" s="66" t="s">
        <v>30</v>
      </c>
      <c r="C394" s="67"/>
      <c r="D394" s="77" t="str">
        <f t="shared" si="215"/>
        <v>E100012</v>
      </c>
      <c r="E394" s="77"/>
      <c r="F394" s="76"/>
      <c r="G394" s="76" t="str">
        <f>"""NAV Direct"",""CRONUS JetCorp USA"",""32"",""1"",""25292"""</f>
        <v>"NAV Direct","CRONUS JetCorp USA","32","1","25292"</v>
      </c>
      <c r="H394" s="86">
        <v>43477</v>
      </c>
      <c r="I394" s="85">
        <v>25292</v>
      </c>
      <c r="J394" s="84" t="str">
        <f>"Customer"</f>
        <v>Customer</v>
      </c>
      <c r="K394" s="84" t="str">
        <f>"C100138"</f>
        <v>C100138</v>
      </c>
      <c r="L394" s="84" t="str">
        <f>IF($J394="Customer",_xll.NL("first",$J394,"Name","No.","@@"&amp;$K394),"")</f>
        <v>Dantons</v>
      </c>
      <c r="M394" s="84" t="str">
        <f>""</f>
        <v/>
      </c>
      <c r="N394" s="84" t="str">
        <f>IF($J394="Item",_xll.NL("first",$J394,"Description","No.","@@"&amp;$K394),"")</f>
        <v/>
      </c>
      <c r="O394" s="83">
        <v>0</v>
      </c>
      <c r="P394" s="83">
        <v>-144</v>
      </c>
      <c r="Q394" s="83">
        <v>0</v>
      </c>
      <c r="R394" s="83">
        <v>0</v>
      </c>
      <c r="S394" s="83">
        <v>0</v>
      </c>
      <c r="T394" s="83">
        <v>0</v>
      </c>
      <c r="U394" s="82"/>
    </row>
    <row r="395" spans="1:21" ht="17.25" customHeight="1" x14ac:dyDescent="0.3">
      <c r="A395" s="66" t="s">
        <v>30</v>
      </c>
      <c r="C395" s="67"/>
      <c r="D395" s="77" t="str">
        <f t="shared" si="215"/>
        <v>E100012</v>
      </c>
      <c r="E395" s="77"/>
      <c r="F395" s="76"/>
      <c r="G395" s="76" t="str">
        <f>"""NAV Direct"",""CRONUS JetCorp USA"",""32"",""1"",""132525"""</f>
        <v>"NAV Direct","CRONUS JetCorp USA","32","1","132525"</v>
      </c>
      <c r="H395" s="86">
        <v>43477</v>
      </c>
      <c r="I395" s="85">
        <v>132525</v>
      </c>
      <c r="J395" s="84" t="str">
        <f>"Customer"</f>
        <v>Customer</v>
      </c>
      <c r="K395" s="84" t="str">
        <f>"C100082"</f>
        <v>C100082</v>
      </c>
      <c r="L395" s="84" t="str">
        <f>IF($J395="Customer",_xll.NL("first",$J395,"Name","No.","@@"&amp;$K395),"")</f>
        <v>Sporting Goods Emporium</v>
      </c>
      <c r="M395" s="84" t="str">
        <f>""</f>
        <v/>
      </c>
      <c r="N395" s="84" t="str">
        <f>IF($J395="Item",_xll.NL("first",$J395,"Description","No.","@@"&amp;$K395),"")</f>
        <v/>
      </c>
      <c r="O395" s="83">
        <v>0</v>
      </c>
      <c r="P395" s="83">
        <v>-145</v>
      </c>
      <c r="Q395" s="83">
        <v>0</v>
      </c>
      <c r="R395" s="83">
        <v>0</v>
      </c>
      <c r="S395" s="83">
        <v>0</v>
      </c>
      <c r="T395" s="83">
        <v>0</v>
      </c>
      <c r="U395" s="82"/>
    </row>
    <row r="396" spans="1:21" ht="17.25" customHeight="1" x14ac:dyDescent="0.3">
      <c r="A396" s="66" t="s">
        <v>30</v>
      </c>
      <c r="C396" s="67"/>
      <c r="D396" s="77"/>
      <c r="E396" s="77"/>
      <c r="F396" s="76"/>
      <c r="G396" s="76"/>
      <c r="H396" s="76"/>
      <c r="I396" s="76"/>
      <c r="J396" s="76"/>
      <c r="K396" s="76"/>
      <c r="L396" s="76"/>
      <c r="M396" s="76"/>
      <c r="N396" s="76"/>
      <c r="O396" s="75"/>
      <c r="P396" s="75"/>
      <c r="Q396" s="75"/>
      <c r="R396" s="75"/>
      <c r="S396" s="75"/>
      <c r="T396" s="75"/>
      <c r="U396" s="74"/>
    </row>
    <row r="397" spans="1:21" ht="17.25" customHeight="1" x14ac:dyDescent="0.3">
      <c r="A397" s="66" t="s">
        <v>30</v>
      </c>
      <c r="C397" s="67"/>
      <c r="D397" s="77"/>
      <c r="E397" s="77" t="s">
        <v>31</v>
      </c>
      <c r="F397" s="76" t="s">
        <v>31</v>
      </c>
      <c r="G397" s="76" t="s">
        <v>31</v>
      </c>
      <c r="H397" s="76"/>
      <c r="I397" s="76"/>
      <c r="J397" s="76" t="s">
        <v>31</v>
      </c>
      <c r="K397" s="76" t="s">
        <v>31</v>
      </c>
      <c r="L397" s="76" t="s">
        <v>31</v>
      </c>
      <c r="M397" s="76" t="s">
        <v>31</v>
      </c>
      <c r="N397" s="76"/>
      <c r="U397" s="81"/>
    </row>
    <row r="398" spans="1:21" ht="20.25" customHeight="1" x14ac:dyDescent="0.35">
      <c r="A398" s="66" t="s">
        <v>30</v>
      </c>
      <c r="C398" s="67"/>
      <c r="D398" s="92" t="str">
        <f t="shared" ref="D398" si="216">E398</f>
        <v>E100013</v>
      </c>
      <c r="E398" s="91" t="str">
        <f>"E100013"</f>
        <v>E100013</v>
      </c>
      <c r="F398" s="89" t="str">
        <f>"Clip-on Stopwatch"</f>
        <v>Clip-on Stopwatch</v>
      </c>
      <c r="G398" s="89"/>
      <c r="H398" s="90" t="str">
        <f>"EA"</f>
        <v>EA</v>
      </c>
      <c r="I398" s="89"/>
      <c r="J398" s="89"/>
      <c r="K398" s="89"/>
      <c r="L398" s="89"/>
      <c r="M398" s="89"/>
      <c r="N398" s="89"/>
      <c r="O398" s="88">
        <f>(SUBTOTAL(9,O399:O402))</f>
        <v>2800</v>
      </c>
      <c r="P398" s="88">
        <f>(SUBTOTAL(9,P399:P402))</f>
        <v>-288</v>
      </c>
      <c r="Q398" s="88">
        <f>(SUBTOTAL(9,Q399:Q402))</f>
        <v>0</v>
      </c>
      <c r="R398" s="88">
        <f>(SUBTOTAL(9,R399:R402))</f>
        <v>0</v>
      </c>
      <c r="S398" s="88">
        <f>(SUBTOTAL(9,S399:S402))</f>
        <v>0</v>
      </c>
      <c r="T398" s="88">
        <f>(SUBTOTAL(9,T399:T402))</f>
        <v>0</v>
      </c>
      <c r="U398" s="87">
        <f t="shared" ref="U398" si="217">SUBTOTAL(9,O399:T402)</f>
        <v>2512</v>
      </c>
    </row>
    <row r="399" spans="1:21" ht="17.25" customHeight="1" x14ac:dyDescent="0.3">
      <c r="A399" s="66" t="s">
        <v>30</v>
      </c>
      <c r="C399" s="67"/>
      <c r="D399" s="77" t="str">
        <f t="shared" ref="D399" si="218">D398</f>
        <v>E100013</v>
      </c>
      <c r="E399" s="77"/>
      <c r="F399" s="76"/>
      <c r="G399" s="76" t="str">
        <f>"""NAV Direct"",""CRONUS JetCorp USA"",""32"",""1"",""167579"""</f>
        <v>"NAV Direct","CRONUS JetCorp USA","32","1","167579"</v>
      </c>
      <c r="H399" s="86">
        <v>43466</v>
      </c>
      <c r="I399" s="85">
        <v>167579</v>
      </c>
      <c r="J399" s="84" t="str">
        <f>"Vendor"</f>
        <v>Vendor</v>
      </c>
      <c r="K399" s="84" t="str">
        <f>"V100001"</f>
        <v>V100001</v>
      </c>
      <c r="L399" s="84" t="str">
        <f>IF($J399="Customer",_xll.NL("first",$J399,"Name","No.","@@"&amp;$K399),"")</f>
        <v/>
      </c>
      <c r="M399" s="84" t="str">
        <f>"Greigner, Inc."</f>
        <v>Greigner, Inc.</v>
      </c>
      <c r="N399" s="84" t="str">
        <f>IF($J399="Item",_xll.NL("first",$J399,"Description","No.","@@"&amp;$K399),"")</f>
        <v/>
      </c>
      <c r="O399" s="83">
        <v>2800</v>
      </c>
      <c r="P399" s="83">
        <v>0</v>
      </c>
      <c r="Q399" s="83">
        <v>0</v>
      </c>
      <c r="R399" s="83">
        <v>0</v>
      </c>
      <c r="S399" s="83">
        <v>0</v>
      </c>
      <c r="T399" s="83">
        <v>0</v>
      </c>
      <c r="U399" s="82"/>
    </row>
    <row r="400" spans="1:21" ht="17.25" customHeight="1" x14ac:dyDescent="0.3">
      <c r="A400" s="66" t="s">
        <v>30</v>
      </c>
      <c r="C400" s="67"/>
      <c r="D400" s="77" t="str">
        <f t="shared" ref="D400:D401" si="219">D399</f>
        <v>E100013</v>
      </c>
      <c r="E400" s="77"/>
      <c r="F400" s="76"/>
      <c r="G400" s="76" t="str">
        <f>"""NAV Direct"",""CRONUS JetCorp USA"",""32"",""1"",""124531"""</f>
        <v>"NAV Direct","CRONUS JetCorp USA","32","1","124531"</v>
      </c>
      <c r="H400" s="86">
        <v>43474</v>
      </c>
      <c r="I400" s="85">
        <v>124531</v>
      </c>
      <c r="J400" s="84" t="str">
        <f>"Customer"</f>
        <v>Customer</v>
      </c>
      <c r="K400" s="84" t="str">
        <f>"C100145"</f>
        <v>C100145</v>
      </c>
      <c r="L400" s="84" t="str">
        <f>IF($J400="Customer",_xll.NL("first",$J400,"Name","No.","@@"&amp;$K400),"")</f>
        <v>Dicon Industries</v>
      </c>
      <c r="M400" s="84" t="str">
        <f>""</f>
        <v/>
      </c>
      <c r="N400" s="84" t="str">
        <f>IF($J400="Item",_xll.NL("first",$J400,"Description","No.","@@"&amp;$K400),"")</f>
        <v/>
      </c>
      <c r="O400" s="83">
        <v>0</v>
      </c>
      <c r="P400" s="83">
        <v>-144</v>
      </c>
      <c r="Q400" s="83">
        <v>0</v>
      </c>
      <c r="R400" s="83">
        <v>0</v>
      </c>
      <c r="S400" s="83">
        <v>0</v>
      </c>
      <c r="T400" s="83">
        <v>0</v>
      </c>
      <c r="U400" s="82"/>
    </row>
    <row r="401" spans="1:21" ht="17.25" customHeight="1" x14ac:dyDescent="0.3">
      <c r="A401" s="66" t="s">
        <v>30</v>
      </c>
      <c r="C401" s="67"/>
      <c r="D401" s="77" t="str">
        <f t="shared" si="219"/>
        <v>E100013</v>
      </c>
      <c r="E401" s="77"/>
      <c r="F401" s="76"/>
      <c r="G401" s="76" t="str">
        <f>"""NAV Direct"",""CRONUS JetCorp USA"",""32"",""1"",""132528"""</f>
        <v>"NAV Direct","CRONUS JetCorp USA","32","1","132528"</v>
      </c>
      <c r="H401" s="86">
        <v>43477</v>
      </c>
      <c r="I401" s="85">
        <v>132528</v>
      </c>
      <c r="J401" s="84" t="str">
        <f>"Customer"</f>
        <v>Customer</v>
      </c>
      <c r="K401" s="84" t="str">
        <f>"C100082"</f>
        <v>C100082</v>
      </c>
      <c r="L401" s="84" t="str">
        <f>IF($J401="Customer",_xll.NL("first",$J401,"Name","No.","@@"&amp;$K401),"")</f>
        <v>Sporting Goods Emporium</v>
      </c>
      <c r="M401" s="84" t="str">
        <f>""</f>
        <v/>
      </c>
      <c r="N401" s="84" t="str">
        <f>IF($J401="Item",_xll.NL("first",$J401,"Description","No.","@@"&amp;$K401),"")</f>
        <v/>
      </c>
      <c r="O401" s="83">
        <v>0</v>
      </c>
      <c r="P401" s="83">
        <v>-144</v>
      </c>
      <c r="Q401" s="83">
        <v>0</v>
      </c>
      <c r="R401" s="83">
        <v>0</v>
      </c>
      <c r="S401" s="83">
        <v>0</v>
      </c>
      <c r="T401" s="83">
        <v>0</v>
      </c>
      <c r="U401" s="82"/>
    </row>
    <row r="402" spans="1:21" ht="17.25" customHeight="1" x14ac:dyDescent="0.3">
      <c r="A402" s="66" t="s">
        <v>30</v>
      </c>
      <c r="C402" s="67"/>
      <c r="D402" s="77"/>
      <c r="E402" s="77"/>
      <c r="F402" s="76"/>
      <c r="G402" s="76"/>
      <c r="H402" s="76"/>
      <c r="I402" s="76"/>
      <c r="J402" s="76"/>
      <c r="K402" s="76"/>
      <c r="L402" s="76"/>
      <c r="M402" s="76"/>
      <c r="N402" s="76"/>
      <c r="O402" s="75"/>
      <c r="P402" s="75"/>
      <c r="Q402" s="75"/>
      <c r="R402" s="75"/>
      <c r="S402" s="75"/>
      <c r="T402" s="75"/>
      <c r="U402" s="74"/>
    </row>
    <row r="403" spans="1:21" ht="17.25" customHeight="1" x14ac:dyDescent="0.3">
      <c r="A403" s="66" t="s">
        <v>30</v>
      </c>
      <c r="C403" s="67"/>
      <c r="D403" s="77"/>
      <c r="E403" s="77" t="s">
        <v>31</v>
      </c>
      <c r="F403" s="76" t="s">
        <v>31</v>
      </c>
      <c r="G403" s="76" t="s">
        <v>31</v>
      </c>
      <c r="H403" s="76"/>
      <c r="I403" s="76"/>
      <c r="J403" s="76" t="s">
        <v>31</v>
      </c>
      <c r="K403" s="76" t="s">
        <v>31</v>
      </c>
      <c r="L403" s="76" t="s">
        <v>31</v>
      </c>
      <c r="M403" s="76" t="s">
        <v>31</v>
      </c>
      <c r="N403" s="76"/>
      <c r="U403" s="81"/>
    </row>
    <row r="404" spans="1:21" ht="20.25" customHeight="1" x14ac:dyDescent="0.35">
      <c r="A404" s="66" t="s">
        <v>30</v>
      </c>
      <c r="C404" s="67"/>
      <c r="D404" s="92" t="str">
        <f t="shared" ref="D404" si="220">E404</f>
        <v>E100014</v>
      </c>
      <c r="E404" s="91" t="str">
        <f>"E100014"</f>
        <v>E100014</v>
      </c>
      <c r="F404" s="89" t="str">
        <f>"Stopwatch with Neck Rope"</f>
        <v>Stopwatch with Neck Rope</v>
      </c>
      <c r="G404" s="89"/>
      <c r="H404" s="90" t="str">
        <f>"EA"</f>
        <v>EA</v>
      </c>
      <c r="I404" s="89"/>
      <c r="J404" s="89"/>
      <c r="K404" s="89"/>
      <c r="L404" s="89"/>
      <c r="M404" s="89"/>
      <c r="N404" s="89"/>
      <c r="O404" s="88">
        <f>(SUBTOTAL(9,O405:O411))</f>
        <v>3000</v>
      </c>
      <c r="P404" s="88">
        <f>(SUBTOTAL(9,P405:P411))</f>
        <v>-864</v>
      </c>
      <c r="Q404" s="88">
        <f>(SUBTOTAL(9,Q405:Q411))</f>
        <v>0</v>
      </c>
      <c r="R404" s="88">
        <f>(SUBTOTAL(9,R405:R411))</f>
        <v>0</v>
      </c>
      <c r="S404" s="88">
        <f>(SUBTOTAL(9,S405:S411))</f>
        <v>0</v>
      </c>
      <c r="T404" s="88">
        <f>(SUBTOTAL(9,T405:T411))</f>
        <v>0</v>
      </c>
      <c r="U404" s="87">
        <f t="shared" ref="U404" si="221">SUBTOTAL(9,O405:T411)</f>
        <v>2136</v>
      </c>
    </row>
    <row r="405" spans="1:21" ht="17.25" customHeight="1" x14ac:dyDescent="0.3">
      <c r="A405" s="66" t="s">
        <v>30</v>
      </c>
      <c r="C405" s="67"/>
      <c r="D405" s="77" t="str">
        <f t="shared" ref="D405" si="222">D404</f>
        <v>E100014</v>
      </c>
      <c r="E405" s="77"/>
      <c r="F405" s="76"/>
      <c r="G405" s="76" t="str">
        <f>"""NAV Direct"",""CRONUS JetCorp USA"",""32"",""1"",""167578"""</f>
        <v>"NAV Direct","CRONUS JetCorp USA","32","1","167578"</v>
      </c>
      <c r="H405" s="86">
        <v>43466</v>
      </c>
      <c r="I405" s="85">
        <v>167578</v>
      </c>
      <c r="J405" s="84" t="str">
        <f>"Vendor"</f>
        <v>Vendor</v>
      </c>
      <c r="K405" s="84" t="str">
        <f>"V100001"</f>
        <v>V100001</v>
      </c>
      <c r="L405" s="84" t="str">
        <f>IF($J405="Customer",_xll.NL("first",$J405,"Name","No.","@@"&amp;$K405),"")</f>
        <v/>
      </c>
      <c r="M405" s="84" t="str">
        <f>"Greigner, Inc."</f>
        <v>Greigner, Inc.</v>
      </c>
      <c r="N405" s="84" t="str">
        <f>IF($J405="Item",_xll.NL("first",$J405,"Description","No.","@@"&amp;$K405),"")</f>
        <v/>
      </c>
      <c r="O405" s="83">
        <v>3000</v>
      </c>
      <c r="P405" s="83">
        <v>0</v>
      </c>
      <c r="Q405" s="83">
        <v>0</v>
      </c>
      <c r="R405" s="83">
        <v>0</v>
      </c>
      <c r="S405" s="83">
        <v>0</v>
      </c>
      <c r="T405" s="83">
        <v>0</v>
      </c>
      <c r="U405" s="82"/>
    </row>
    <row r="406" spans="1:21" ht="17.25" customHeight="1" x14ac:dyDescent="0.3">
      <c r="A406" s="66" t="s">
        <v>30</v>
      </c>
      <c r="C406" s="67"/>
      <c r="D406" s="77" t="str">
        <f t="shared" ref="D406:D410" si="223">D405</f>
        <v>E100014</v>
      </c>
      <c r="E406" s="77"/>
      <c r="F406" s="76"/>
      <c r="G406" s="76" t="str">
        <f>"""NAV Direct"",""CRONUS JetCorp USA"",""32"",""1"",""147990"""</f>
        <v>"NAV Direct","CRONUS JetCorp USA","32","1","147990"</v>
      </c>
      <c r="H406" s="86">
        <v>43469</v>
      </c>
      <c r="I406" s="85">
        <v>147990</v>
      </c>
      <c r="J406" s="84" t="str">
        <f>"Customer"</f>
        <v>Customer</v>
      </c>
      <c r="K406" s="84" t="str">
        <f>"C100096"</f>
        <v>C100096</v>
      </c>
      <c r="L406" s="84" t="str">
        <f>IF($J406="Customer",_xll.NL("first",$J406,"Name","No.","@@"&amp;$K406),"")</f>
        <v>D-Com Industries</v>
      </c>
      <c r="M406" s="84" t="str">
        <f>""</f>
        <v/>
      </c>
      <c r="N406" s="84" t="str">
        <f>IF($J406="Item",_xll.NL("first",$J406,"Description","No.","@@"&amp;$K406),"")</f>
        <v/>
      </c>
      <c r="O406" s="83">
        <v>0</v>
      </c>
      <c r="P406" s="83">
        <v>-144</v>
      </c>
      <c r="Q406" s="83">
        <v>0</v>
      </c>
      <c r="R406" s="83">
        <v>0</v>
      </c>
      <c r="S406" s="83">
        <v>0</v>
      </c>
      <c r="T406" s="83">
        <v>0</v>
      </c>
      <c r="U406" s="82"/>
    </row>
    <row r="407" spans="1:21" ht="17.25" customHeight="1" x14ac:dyDescent="0.3">
      <c r="A407" s="66" t="s">
        <v>30</v>
      </c>
      <c r="C407" s="67"/>
      <c r="D407" s="77" t="str">
        <f t="shared" si="223"/>
        <v>E100014</v>
      </c>
      <c r="E407" s="77"/>
      <c r="F407" s="76"/>
      <c r="G407" s="76" t="str">
        <f>"""NAV Direct"",""CRONUS JetCorp USA"",""32"",""1"",""64595"""</f>
        <v>"NAV Direct","CRONUS JetCorp USA","32","1","64595"</v>
      </c>
      <c r="H407" s="86">
        <v>43472</v>
      </c>
      <c r="I407" s="85">
        <v>64595</v>
      </c>
      <c r="J407" s="84" t="str">
        <f>"Customer"</f>
        <v>Customer</v>
      </c>
      <c r="K407" s="84" t="str">
        <f>"C100140"</f>
        <v>C100140</v>
      </c>
      <c r="L407" s="84" t="str">
        <f>IF($J407="Customer",_xll.NL("first",$J407,"Name","No.","@@"&amp;$K407),"")</f>
        <v>Super Daves</v>
      </c>
      <c r="M407" s="84" t="str">
        <f>""</f>
        <v/>
      </c>
      <c r="N407" s="84" t="str">
        <f>IF($J407="Item",_xll.NL("first",$J407,"Description","No.","@@"&amp;$K407),"")</f>
        <v/>
      </c>
      <c r="O407" s="83">
        <v>0</v>
      </c>
      <c r="P407" s="83">
        <v>-288</v>
      </c>
      <c r="Q407" s="83">
        <v>0</v>
      </c>
      <c r="R407" s="83">
        <v>0</v>
      </c>
      <c r="S407" s="83">
        <v>0</v>
      </c>
      <c r="T407" s="83">
        <v>0</v>
      </c>
      <c r="U407" s="82"/>
    </row>
    <row r="408" spans="1:21" ht="17.25" customHeight="1" x14ac:dyDescent="0.3">
      <c r="A408" s="66" t="s">
        <v>30</v>
      </c>
      <c r="C408" s="67"/>
      <c r="D408" s="77" t="str">
        <f t="shared" si="223"/>
        <v>E100014</v>
      </c>
      <c r="E408" s="77"/>
      <c r="F408" s="76"/>
      <c r="G408" s="76" t="str">
        <f>"""NAV Direct"",""CRONUS JetCorp USA"",""32"",""1"",""44524"""</f>
        <v>"NAV Direct","CRONUS JetCorp USA","32","1","44524"</v>
      </c>
      <c r="H408" s="86">
        <v>43473</v>
      </c>
      <c r="I408" s="85">
        <v>44524</v>
      </c>
      <c r="J408" s="84" t="str">
        <f>"Customer"</f>
        <v>Customer</v>
      </c>
      <c r="K408" s="84" t="str">
        <f>"C100139"</f>
        <v>C100139</v>
      </c>
      <c r="L408" s="84" t="str">
        <f>IF($J408="Customer",_xll.NL("first",$J408,"Name","No.","@@"&amp;$K408),"")</f>
        <v>Gamma Ray's</v>
      </c>
      <c r="M408" s="84" t="str">
        <f>""</f>
        <v/>
      </c>
      <c r="N408" s="84" t="str">
        <f>IF($J408="Item",_xll.NL("first",$J408,"Description","No.","@@"&amp;$K408),"")</f>
        <v/>
      </c>
      <c r="O408" s="83">
        <v>0</v>
      </c>
      <c r="P408" s="83">
        <v>-144</v>
      </c>
      <c r="Q408" s="83">
        <v>0</v>
      </c>
      <c r="R408" s="83">
        <v>0</v>
      </c>
      <c r="S408" s="83">
        <v>0</v>
      </c>
      <c r="T408" s="83">
        <v>0</v>
      </c>
      <c r="U408" s="82"/>
    </row>
    <row r="409" spans="1:21" ht="17.25" customHeight="1" x14ac:dyDescent="0.3">
      <c r="A409" s="66" t="s">
        <v>30</v>
      </c>
      <c r="C409" s="67"/>
      <c r="D409" s="77" t="str">
        <f t="shared" si="223"/>
        <v>E100014</v>
      </c>
      <c r="E409" s="77"/>
      <c r="F409" s="76"/>
      <c r="G409" s="76" t="str">
        <f>"""NAV Direct"",""CRONUS JetCorp USA"",""32"",""1"",""124532"""</f>
        <v>"NAV Direct","CRONUS JetCorp USA","32","1","124532"</v>
      </c>
      <c r="H409" s="86">
        <v>43474</v>
      </c>
      <c r="I409" s="85">
        <v>124532</v>
      </c>
      <c r="J409" s="84" t="str">
        <f>"Customer"</f>
        <v>Customer</v>
      </c>
      <c r="K409" s="84" t="str">
        <f>"C100145"</f>
        <v>C100145</v>
      </c>
      <c r="L409" s="84" t="str">
        <f>IF($J409="Customer",_xll.NL("first",$J409,"Name","No.","@@"&amp;$K409),"")</f>
        <v>Dicon Industries</v>
      </c>
      <c r="M409" s="84" t="str">
        <f>""</f>
        <v/>
      </c>
      <c r="N409" s="84" t="str">
        <f>IF($J409="Item",_xll.NL("first",$J409,"Description","No.","@@"&amp;$K409),"")</f>
        <v/>
      </c>
      <c r="O409" s="83">
        <v>0</v>
      </c>
      <c r="P409" s="83">
        <v>-144</v>
      </c>
      <c r="Q409" s="83">
        <v>0</v>
      </c>
      <c r="R409" s="83">
        <v>0</v>
      </c>
      <c r="S409" s="83">
        <v>0</v>
      </c>
      <c r="T409" s="83">
        <v>0</v>
      </c>
      <c r="U409" s="82"/>
    </row>
    <row r="410" spans="1:21" ht="17.25" customHeight="1" x14ac:dyDescent="0.3">
      <c r="A410" s="66" t="s">
        <v>30</v>
      </c>
      <c r="C410" s="67"/>
      <c r="D410" s="77" t="str">
        <f t="shared" si="223"/>
        <v>E100014</v>
      </c>
      <c r="E410" s="77"/>
      <c r="F410" s="76"/>
      <c r="G410" s="76" t="str">
        <f>"""NAV Direct"",""CRONUS JetCorp USA"",""32"",""1"",""25294"""</f>
        <v>"NAV Direct","CRONUS JetCorp USA","32","1","25294"</v>
      </c>
      <c r="H410" s="86">
        <v>43477</v>
      </c>
      <c r="I410" s="85">
        <v>25294</v>
      </c>
      <c r="J410" s="84" t="str">
        <f>"Customer"</f>
        <v>Customer</v>
      </c>
      <c r="K410" s="84" t="str">
        <f>"C100138"</f>
        <v>C100138</v>
      </c>
      <c r="L410" s="84" t="str">
        <f>IF($J410="Customer",_xll.NL("first",$J410,"Name","No.","@@"&amp;$K410),"")</f>
        <v>Dantons</v>
      </c>
      <c r="M410" s="84" t="str">
        <f>""</f>
        <v/>
      </c>
      <c r="N410" s="84" t="str">
        <f>IF($J410="Item",_xll.NL("first",$J410,"Description","No.","@@"&amp;$K410),"")</f>
        <v/>
      </c>
      <c r="O410" s="83">
        <v>0</v>
      </c>
      <c r="P410" s="83">
        <v>-144</v>
      </c>
      <c r="Q410" s="83">
        <v>0</v>
      </c>
      <c r="R410" s="83">
        <v>0</v>
      </c>
      <c r="S410" s="83">
        <v>0</v>
      </c>
      <c r="T410" s="83">
        <v>0</v>
      </c>
      <c r="U410" s="82"/>
    </row>
    <row r="411" spans="1:21" ht="17.25" customHeight="1" x14ac:dyDescent="0.3">
      <c r="A411" s="66" t="s">
        <v>30</v>
      </c>
      <c r="C411" s="67"/>
      <c r="D411" s="77"/>
      <c r="E411" s="77"/>
      <c r="F411" s="76"/>
      <c r="G411" s="76"/>
      <c r="H411" s="76"/>
      <c r="I411" s="76"/>
      <c r="J411" s="76"/>
      <c r="K411" s="76"/>
      <c r="L411" s="76"/>
      <c r="M411" s="76"/>
      <c r="N411" s="76"/>
      <c r="O411" s="75"/>
      <c r="P411" s="75"/>
      <c r="Q411" s="75"/>
      <c r="R411" s="75"/>
      <c r="S411" s="75"/>
      <c r="T411" s="75"/>
      <c r="U411" s="74"/>
    </row>
    <row r="412" spans="1:21" ht="17.25" customHeight="1" x14ac:dyDescent="0.3">
      <c r="A412" s="66" t="s">
        <v>30</v>
      </c>
      <c r="C412" s="67"/>
      <c r="D412" s="77"/>
      <c r="E412" s="77" t="s">
        <v>31</v>
      </c>
      <c r="F412" s="76" t="s">
        <v>31</v>
      </c>
      <c r="G412" s="76" t="s">
        <v>31</v>
      </c>
      <c r="H412" s="76"/>
      <c r="I412" s="76"/>
      <c r="J412" s="76" t="s">
        <v>31</v>
      </c>
      <c r="K412" s="76" t="s">
        <v>31</v>
      </c>
      <c r="L412" s="76" t="s">
        <v>31</v>
      </c>
      <c r="M412" s="76" t="s">
        <v>31</v>
      </c>
      <c r="N412" s="76"/>
      <c r="U412" s="81"/>
    </row>
    <row r="413" spans="1:21" ht="20.25" customHeight="1" x14ac:dyDescent="0.35">
      <c r="A413" s="66" t="s">
        <v>30</v>
      </c>
      <c r="C413" s="67"/>
      <c r="D413" s="92" t="str">
        <f t="shared" ref="D413" si="224">E413</f>
        <v>E100015</v>
      </c>
      <c r="E413" s="91" t="str">
        <f>"E100015"</f>
        <v>E100015</v>
      </c>
      <c r="F413" s="89" t="str">
        <f>"360 Clip Watch"</f>
        <v>360 Clip Watch</v>
      </c>
      <c r="G413" s="89"/>
      <c r="H413" s="90" t="str">
        <f>"EA"</f>
        <v>EA</v>
      </c>
      <c r="I413" s="89"/>
      <c r="J413" s="89"/>
      <c r="K413" s="89"/>
      <c r="L413" s="89"/>
      <c r="M413" s="89"/>
      <c r="N413" s="89"/>
      <c r="O413" s="88">
        <f>(SUBTOTAL(9,O414:O419))</f>
        <v>3200</v>
      </c>
      <c r="P413" s="88">
        <f>(SUBTOTAL(9,P414:P419))</f>
        <v>-769</v>
      </c>
      <c r="Q413" s="88">
        <f>(SUBTOTAL(9,Q414:Q419))</f>
        <v>0</v>
      </c>
      <c r="R413" s="88">
        <f>(SUBTOTAL(9,R414:R419))</f>
        <v>0</v>
      </c>
      <c r="S413" s="88">
        <f>(SUBTOTAL(9,S414:S419))</f>
        <v>0</v>
      </c>
      <c r="T413" s="88">
        <f>(SUBTOTAL(9,T414:T419))</f>
        <v>0</v>
      </c>
      <c r="U413" s="87">
        <f t="shared" ref="U413" si="225">SUBTOTAL(9,O414:T419)</f>
        <v>2431</v>
      </c>
    </row>
    <row r="414" spans="1:21" ht="17.25" customHeight="1" x14ac:dyDescent="0.3">
      <c r="A414" s="66" t="s">
        <v>30</v>
      </c>
      <c r="C414" s="67"/>
      <c r="D414" s="77" t="str">
        <f t="shared" ref="D414" si="226">D413</f>
        <v>E100015</v>
      </c>
      <c r="E414" s="77"/>
      <c r="F414" s="76"/>
      <c r="G414" s="76" t="str">
        <f>"""NAV Direct"",""CRONUS JetCorp USA"",""32"",""1"",""167577"""</f>
        <v>"NAV Direct","CRONUS JetCorp USA","32","1","167577"</v>
      </c>
      <c r="H414" s="86">
        <v>43466</v>
      </c>
      <c r="I414" s="85">
        <v>167577</v>
      </c>
      <c r="J414" s="84" t="str">
        <f>"Vendor"</f>
        <v>Vendor</v>
      </c>
      <c r="K414" s="84" t="str">
        <f>"V100001"</f>
        <v>V100001</v>
      </c>
      <c r="L414" s="84" t="str">
        <f>IF($J414="Customer",_xll.NL("first",$J414,"Name","No.","@@"&amp;$K414),"")</f>
        <v/>
      </c>
      <c r="M414" s="84" t="str">
        <f>"Greigner, Inc."</f>
        <v>Greigner, Inc.</v>
      </c>
      <c r="N414" s="84" t="str">
        <f>IF($J414="Item",_xll.NL("first",$J414,"Description","No.","@@"&amp;$K414),"")</f>
        <v/>
      </c>
      <c r="O414" s="83">
        <v>3200</v>
      </c>
      <c r="P414" s="83">
        <v>0</v>
      </c>
      <c r="Q414" s="83">
        <v>0</v>
      </c>
      <c r="R414" s="83">
        <v>0</v>
      </c>
      <c r="S414" s="83">
        <v>0</v>
      </c>
      <c r="T414" s="83">
        <v>0</v>
      </c>
      <c r="U414" s="82"/>
    </row>
    <row r="415" spans="1:21" ht="17.25" customHeight="1" x14ac:dyDescent="0.3">
      <c r="A415" s="66" t="s">
        <v>30</v>
      </c>
      <c r="C415" s="67"/>
      <c r="D415" s="77" t="str">
        <f t="shared" ref="D415:D418" si="227">D414</f>
        <v>E100015</v>
      </c>
      <c r="E415" s="77"/>
      <c r="F415" s="76"/>
      <c r="G415" s="76" t="str">
        <f>"""NAV Direct"",""CRONUS JetCorp USA"",""32"",""1"",""20374"""</f>
        <v>"NAV Direct","CRONUS JetCorp USA","32","1","20374"</v>
      </c>
      <c r="H415" s="86">
        <v>43468</v>
      </c>
      <c r="I415" s="85">
        <v>20374</v>
      </c>
      <c r="J415" s="84" t="str">
        <f>"Customer"</f>
        <v>Customer</v>
      </c>
      <c r="K415" s="84" t="str">
        <f>"C100145"</f>
        <v>C100145</v>
      </c>
      <c r="L415" s="84" t="str">
        <f>IF($J415="Customer",_xll.NL("first",$J415,"Name","No.","@@"&amp;$K415),"")</f>
        <v>Dicon Industries</v>
      </c>
      <c r="M415" s="84" t="str">
        <f>""</f>
        <v/>
      </c>
      <c r="N415" s="84" t="str">
        <f>IF($J415="Item",_xll.NL("first",$J415,"Description","No.","@@"&amp;$K415),"")</f>
        <v/>
      </c>
      <c r="O415" s="83">
        <v>0</v>
      </c>
      <c r="P415" s="83">
        <v>-144</v>
      </c>
      <c r="Q415" s="83">
        <v>0</v>
      </c>
      <c r="R415" s="83">
        <v>0</v>
      </c>
      <c r="S415" s="83">
        <v>0</v>
      </c>
      <c r="T415" s="83">
        <v>0</v>
      </c>
      <c r="U415" s="82"/>
    </row>
    <row r="416" spans="1:21" ht="17.25" customHeight="1" x14ac:dyDescent="0.3">
      <c r="A416" s="66" t="s">
        <v>30</v>
      </c>
      <c r="C416" s="67"/>
      <c r="D416" s="77" t="str">
        <f t="shared" si="227"/>
        <v>E100015</v>
      </c>
      <c r="E416" s="77"/>
      <c r="F416" s="76"/>
      <c r="G416" s="76" t="str">
        <f>"""NAV Direct"",""CRONUS JetCorp USA"",""32"",""1"",""64579"""</f>
        <v>"NAV Direct","CRONUS JetCorp USA","32","1","64579"</v>
      </c>
      <c r="H416" s="86">
        <v>43469</v>
      </c>
      <c r="I416" s="85">
        <v>64579</v>
      </c>
      <c r="J416" s="84" t="str">
        <f>"Customer"</f>
        <v>Customer</v>
      </c>
      <c r="K416" s="84" t="str">
        <f>"C100140"</f>
        <v>C100140</v>
      </c>
      <c r="L416" s="84" t="str">
        <f>IF($J416="Customer",_xll.NL("first",$J416,"Name","No.","@@"&amp;$K416),"")</f>
        <v>Super Daves</v>
      </c>
      <c r="M416" s="84" t="str">
        <f>""</f>
        <v/>
      </c>
      <c r="N416" s="84" t="str">
        <f>IF($J416="Item",_xll.NL("first",$J416,"Description","No.","@@"&amp;$K416),"")</f>
        <v/>
      </c>
      <c r="O416" s="83">
        <v>0</v>
      </c>
      <c r="P416" s="83">
        <v>-192</v>
      </c>
      <c r="Q416" s="83">
        <v>0</v>
      </c>
      <c r="R416" s="83">
        <v>0</v>
      </c>
      <c r="S416" s="83">
        <v>0</v>
      </c>
      <c r="T416" s="83">
        <v>0</v>
      </c>
      <c r="U416" s="82"/>
    </row>
    <row r="417" spans="1:21" ht="17.25" customHeight="1" x14ac:dyDescent="0.3">
      <c r="A417" s="66" t="s">
        <v>30</v>
      </c>
      <c r="C417" s="67"/>
      <c r="D417" s="77" t="str">
        <f t="shared" si="227"/>
        <v>E100015</v>
      </c>
      <c r="E417" s="77"/>
      <c r="F417" s="76"/>
      <c r="G417" s="76" t="str">
        <f>"""NAV Direct"",""CRONUS JetCorp USA"",""32"",""1"",""54703"""</f>
        <v>"NAV Direct","CRONUS JetCorp USA","32","1","54703"</v>
      </c>
      <c r="H417" s="86">
        <v>43474</v>
      </c>
      <c r="I417" s="85">
        <v>54703</v>
      </c>
      <c r="J417" s="84" t="str">
        <f>"Customer"</f>
        <v>Customer</v>
      </c>
      <c r="K417" s="84" t="str">
        <f>"C100096"</f>
        <v>C100096</v>
      </c>
      <c r="L417" s="84" t="str">
        <f>IF($J417="Customer",_xll.NL("first",$J417,"Name","No.","@@"&amp;$K417),"")</f>
        <v>D-Com Industries</v>
      </c>
      <c r="M417" s="84" t="str">
        <f>""</f>
        <v/>
      </c>
      <c r="N417" s="84" t="str">
        <f>IF($J417="Item",_xll.NL("first",$J417,"Description","No.","@@"&amp;$K417),"")</f>
        <v/>
      </c>
      <c r="O417" s="83">
        <v>0</v>
      </c>
      <c r="P417" s="83">
        <v>-144</v>
      </c>
      <c r="Q417" s="83">
        <v>0</v>
      </c>
      <c r="R417" s="83">
        <v>0</v>
      </c>
      <c r="S417" s="83">
        <v>0</v>
      </c>
      <c r="T417" s="83">
        <v>0</v>
      </c>
      <c r="U417" s="82"/>
    </row>
    <row r="418" spans="1:21" ht="17.25" customHeight="1" x14ac:dyDescent="0.3">
      <c r="A418" s="66" t="s">
        <v>30</v>
      </c>
      <c r="C418" s="67"/>
      <c r="D418" s="77" t="str">
        <f t="shared" si="227"/>
        <v>E100015</v>
      </c>
      <c r="E418" s="77"/>
      <c r="F418" s="76"/>
      <c r="G418" s="76" t="str">
        <f>"""NAV Direct"",""CRONUS JetCorp USA"",""32"",""1"",""25290"""</f>
        <v>"NAV Direct","CRONUS JetCorp USA","32","1","25290"</v>
      </c>
      <c r="H418" s="86">
        <v>43477</v>
      </c>
      <c r="I418" s="85">
        <v>25290</v>
      </c>
      <c r="J418" s="84" t="str">
        <f>"Customer"</f>
        <v>Customer</v>
      </c>
      <c r="K418" s="84" t="str">
        <f>"C100138"</f>
        <v>C100138</v>
      </c>
      <c r="L418" s="84" t="str">
        <f>IF($J418="Customer",_xll.NL("first",$J418,"Name","No.","@@"&amp;$K418),"")</f>
        <v>Dantons</v>
      </c>
      <c r="M418" s="84" t="str">
        <f>""</f>
        <v/>
      </c>
      <c r="N418" s="84" t="str">
        <f>IF($J418="Item",_xll.NL("first",$J418,"Description","No.","@@"&amp;$K418),"")</f>
        <v/>
      </c>
      <c r="O418" s="83">
        <v>0</v>
      </c>
      <c r="P418" s="83">
        <v>-289</v>
      </c>
      <c r="Q418" s="83">
        <v>0</v>
      </c>
      <c r="R418" s="83">
        <v>0</v>
      </c>
      <c r="S418" s="83">
        <v>0</v>
      </c>
      <c r="T418" s="83">
        <v>0</v>
      </c>
      <c r="U418" s="82"/>
    </row>
    <row r="419" spans="1:21" ht="17.25" customHeight="1" x14ac:dyDescent="0.3">
      <c r="A419" s="66" t="s">
        <v>30</v>
      </c>
      <c r="C419" s="67"/>
      <c r="D419" s="77"/>
      <c r="E419" s="77"/>
      <c r="F419" s="76"/>
      <c r="G419" s="76"/>
      <c r="H419" s="76"/>
      <c r="I419" s="76"/>
      <c r="J419" s="76"/>
      <c r="K419" s="76"/>
      <c r="L419" s="76"/>
      <c r="M419" s="76"/>
      <c r="N419" s="76"/>
      <c r="O419" s="75"/>
      <c r="P419" s="75"/>
      <c r="Q419" s="75"/>
      <c r="R419" s="75"/>
      <c r="S419" s="75"/>
      <c r="T419" s="75"/>
      <c r="U419" s="74"/>
    </row>
    <row r="420" spans="1:21" ht="17.25" customHeight="1" x14ac:dyDescent="0.3">
      <c r="A420" s="66" t="s">
        <v>30</v>
      </c>
      <c r="C420" s="67"/>
      <c r="D420" s="77"/>
      <c r="E420" s="77" t="s">
        <v>31</v>
      </c>
      <c r="F420" s="76" t="s">
        <v>31</v>
      </c>
      <c r="G420" s="76" t="s">
        <v>31</v>
      </c>
      <c r="H420" s="76"/>
      <c r="I420" s="76"/>
      <c r="J420" s="76" t="s">
        <v>31</v>
      </c>
      <c r="K420" s="76" t="s">
        <v>31</v>
      </c>
      <c r="L420" s="76" t="s">
        <v>31</v>
      </c>
      <c r="M420" s="76" t="s">
        <v>31</v>
      </c>
      <c r="N420" s="76"/>
      <c r="U420" s="81"/>
    </row>
    <row r="421" spans="1:21" ht="20.25" customHeight="1" x14ac:dyDescent="0.35">
      <c r="A421" s="66" t="s">
        <v>30</v>
      </c>
      <c r="C421" s="67"/>
      <c r="D421" s="92" t="str">
        <f t="shared" ref="D421" si="228">E421</f>
        <v>E100016</v>
      </c>
      <c r="E421" s="91" t="str">
        <f>"E100016"</f>
        <v>E100016</v>
      </c>
      <c r="F421" s="89" t="str">
        <f>"4 Function Rotating Carabiner Watch"</f>
        <v>4 Function Rotating Carabiner Watch</v>
      </c>
      <c r="G421" s="89"/>
      <c r="H421" s="90" t="str">
        <f>"EA"</f>
        <v>EA</v>
      </c>
      <c r="I421" s="89"/>
      <c r="J421" s="89"/>
      <c r="K421" s="89"/>
      <c r="L421" s="89"/>
      <c r="M421" s="89"/>
      <c r="N421" s="89"/>
      <c r="O421" s="88">
        <f>(SUBTOTAL(9,O422:O429))</f>
        <v>2800</v>
      </c>
      <c r="P421" s="88">
        <f>(SUBTOTAL(9,P422:P429))</f>
        <v>-757</v>
      </c>
      <c r="Q421" s="88">
        <f>(SUBTOTAL(9,Q422:Q429))</f>
        <v>0</v>
      </c>
      <c r="R421" s="88">
        <f>(SUBTOTAL(9,R422:R429))</f>
        <v>0</v>
      </c>
      <c r="S421" s="88">
        <f>(SUBTOTAL(9,S422:S429))</f>
        <v>0</v>
      </c>
      <c r="T421" s="88">
        <f>(SUBTOTAL(9,T422:T429))</f>
        <v>0</v>
      </c>
      <c r="U421" s="87">
        <f t="shared" ref="U421" si="229">SUBTOTAL(9,O422:T429)</f>
        <v>2043</v>
      </c>
    </row>
    <row r="422" spans="1:21" ht="17.25" customHeight="1" x14ac:dyDescent="0.3">
      <c r="A422" s="66" t="s">
        <v>30</v>
      </c>
      <c r="C422" s="67"/>
      <c r="D422" s="77" t="str">
        <f t="shared" ref="D422" si="230">D421</f>
        <v>E100016</v>
      </c>
      <c r="E422" s="77"/>
      <c r="F422" s="76"/>
      <c r="G422" s="76" t="str">
        <f>"""NAV Direct"",""CRONUS JetCorp USA"",""32"",""1"",""167576"""</f>
        <v>"NAV Direct","CRONUS JetCorp USA","32","1","167576"</v>
      </c>
      <c r="H422" s="86">
        <v>43466</v>
      </c>
      <c r="I422" s="85">
        <v>167576</v>
      </c>
      <c r="J422" s="84" t="str">
        <f>"Vendor"</f>
        <v>Vendor</v>
      </c>
      <c r="K422" s="84" t="str">
        <f>"V100001"</f>
        <v>V100001</v>
      </c>
      <c r="L422" s="84" t="str">
        <f>IF($J422="Customer",_xll.NL("first",$J422,"Name","No.","@@"&amp;$K422),"")</f>
        <v/>
      </c>
      <c r="M422" s="84" t="str">
        <f>"Greigner, Inc."</f>
        <v>Greigner, Inc.</v>
      </c>
      <c r="N422" s="84" t="str">
        <f>IF($J422="Item",_xll.NL("first",$J422,"Description","No.","@@"&amp;$K422),"")</f>
        <v/>
      </c>
      <c r="O422" s="83">
        <v>2800</v>
      </c>
      <c r="P422" s="83">
        <v>0</v>
      </c>
      <c r="Q422" s="83">
        <v>0</v>
      </c>
      <c r="R422" s="83">
        <v>0</v>
      </c>
      <c r="S422" s="83">
        <v>0</v>
      </c>
      <c r="T422" s="83">
        <v>0</v>
      </c>
      <c r="U422" s="82"/>
    </row>
    <row r="423" spans="1:21" ht="17.25" customHeight="1" x14ac:dyDescent="0.3">
      <c r="A423" s="66" t="s">
        <v>30</v>
      </c>
      <c r="C423" s="67"/>
      <c r="D423" s="77" t="str">
        <f t="shared" ref="D423:D428" si="231">D422</f>
        <v>E100016</v>
      </c>
      <c r="E423" s="77"/>
      <c r="F423" s="76"/>
      <c r="G423" s="76" t="str">
        <f>"""NAV Direct"",""CRONUS JetCorp USA"",""32"",""1"",""25242"""</f>
        <v>"NAV Direct","CRONUS JetCorp USA","32","1","25242"</v>
      </c>
      <c r="H423" s="86">
        <v>43471</v>
      </c>
      <c r="I423" s="85">
        <v>25242</v>
      </c>
      <c r="J423" s="84" t="str">
        <f>"Customer"</f>
        <v>Customer</v>
      </c>
      <c r="K423" s="84" t="str">
        <f>"C100102"</f>
        <v>C100102</v>
      </c>
      <c r="L423" s="84" t="str">
        <f>IF($J423="Customer",_xll.NL("first",$J423,"Name","No.","@@"&amp;$K423),"")</f>
        <v xml:space="preserve">BEI Outfitters </v>
      </c>
      <c r="M423" s="84" t="str">
        <f>""</f>
        <v/>
      </c>
      <c r="N423" s="84" t="str">
        <f>IF($J423="Item",_xll.NL("first",$J423,"Description","No.","@@"&amp;$K423),"")</f>
        <v/>
      </c>
      <c r="O423" s="83">
        <v>0</v>
      </c>
      <c r="P423" s="83">
        <v>-144</v>
      </c>
      <c r="Q423" s="83">
        <v>0</v>
      </c>
      <c r="R423" s="83">
        <v>0</v>
      </c>
      <c r="S423" s="83">
        <v>0</v>
      </c>
      <c r="T423" s="83">
        <v>0</v>
      </c>
      <c r="U423" s="82"/>
    </row>
    <row r="424" spans="1:21" ht="17.25" customHeight="1" x14ac:dyDescent="0.3">
      <c r="A424" s="66" t="s">
        <v>30</v>
      </c>
      <c r="C424" s="67"/>
      <c r="D424" s="77" t="str">
        <f t="shared" si="231"/>
        <v>E100016</v>
      </c>
      <c r="E424" s="77"/>
      <c r="F424" s="76"/>
      <c r="G424" s="76" t="str">
        <f>"""NAV Direct"",""CRONUS JetCorp USA"",""32"",""1"",""20339"""</f>
        <v>"NAV Direct","CRONUS JetCorp USA","32","1","20339"</v>
      </c>
      <c r="H424" s="86">
        <v>43472</v>
      </c>
      <c r="I424" s="85">
        <v>20339</v>
      </c>
      <c r="J424" s="84" t="str">
        <f>"Customer"</f>
        <v>Customer</v>
      </c>
      <c r="K424" s="84" t="str">
        <f>"C100145"</f>
        <v>C100145</v>
      </c>
      <c r="L424" s="84" t="str">
        <f>IF($J424="Customer",_xll.NL("first",$J424,"Name","No.","@@"&amp;$K424),"")</f>
        <v>Dicon Industries</v>
      </c>
      <c r="M424" s="84" t="str">
        <f>""</f>
        <v/>
      </c>
      <c r="N424" s="84" t="str">
        <f>IF($J424="Item",_xll.NL("first",$J424,"Description","No.","@@"&amp;$K424),"")</f>
        <v/>
      </c>
      <c r="O424" s="83">
        <v>0</v>
      </c>
      <c r="P424" s="83">
        <v>-144</v>
      </c>
      <c r="Q424" s="83">
        <v>0</v>
      </c>
      <c r="R424" s="83">
        <v>0</v>
      </c>
      <c r="S424" s="83">
        <v>0</v>
      </c>
      <c r="T424" s="83">
        <v>0</v>
      </c>
      <c r="U424" s="82"/>
    </row>
    <row r="425" spans="1:21" ht="17.25" customHeight="1" x14ac:dyDescent="0.3">
      <c r="A425" s="66" t="s">
        <v>30</v>
      </c>
      <c r="C425" s="67"/>
      <c r="D425" s="77" t="str">
        <f t="shared" si="231"/>
        <v>E100016</v>
      </c>
      <c r="E425" s="77"/>
      <c r="F425" s="76"/>
      <c r="G425" s="76" t="str">
        <f>"""NAV Direct"",""CRONUS JetCorp USA"",""32"",""1"",""44483"""</f>
        <v>"NAV Direct","CRONUS JetCorp USA","32","1","44483"</v>
      </c>
      <c r="H425" s="86">
        <v>43472</v>
      </c>
      <c r="I425" s="85">
        <v>44483</v>
      </c>
      <c r="J425" s="84" t="str">
        <f>"Customer"</f>
        <v>Customer</v>
      </c>
      <c r="K425" s="84" t="str">
        <f>"C100141"</f>
        <v>C100141</v>
      </c>
      <c r="L425" s="84" t="str">
        <f>IF($J425="Customer",_xll.NL("first",$J425,"Name","No.","@@"&amp;$K425),"")</f>
        <v>Bargottis</v>
      </c>
      <c r="M425" s="84" t="str">
        <f>""</f>
        <v/>
      </c>
      <c r="N425" s="84" t="str">
        <f>IF($J425="Item",_xll.NL("first",$J425,"Description","No.","@@"&amp;$K425),"")</f>
        <v/>
      </c>
      <c r="O425" s="83">
        <v>0</v>
      </c>
      <c r="P425" s="83">
        <v>-12</v>
      </c>
      <c r="Q425" s="83">
        <v>0</v>
      </c>
      <c r="R425" s="83">
        <v>0</v>
      </c>
      <c r="S425" s="83">
        <v>0</v>
      </c>
      <c r="T425" s="83">
        <v>0</v>
      </c>
      <c r="U425" s="82"/>
    </row>
    <row r="426" spans="1:21" ht="17.25" customHeight="1" x14ac:dyDescent="0.3">
      <c r="A426" s="66" t="s">
        <v>30</v>
      </c>
      <c r="C426" s="67"/>
      <c r="D426" s="77" t="str">
        <f t="shared" si="231"/>
        <v>E100016</v>
      </c>
      <c r="E426" s="77"/>
      <c r="F426" s="76"/>
      <c r="G426" s="76" t="str">
        <f>"""NAV Direct"",""CRONUS JetCorp USA"",""32"",""1"",""128875"""</f>
        <v>"NAV Direct","CRONUS JetCorp USA","32","1","128875"</v>
      </c>
      <c r="H426" s="86">
        <v>43472</v>
      </c>
      <c r="I426" s="85">
        <v>128875</v>
      </c>
      <c r="J426" s="84" t="str">
        <f>"Customer"</f>
        <v>Customer</v>
      </c>
      <c r="K426" s="84" t="str">
        <f>"C100105"</f>
        <v>C100105</v>
      </c>
      <c r="L426" s="84" t="str">
        <f>IF($J426="Customer",_xll.NL("first",$J426,"Name","No.","@@"&amp;$K426),"")</f>
        <v>Esystems</v>
      </c>
      <c r="M426" s="84" t="str">
        <f>""</f>
        <v/>
      </c>
      <c r="N426" s="84" t="str">
        <f>IF($J426="Item",_xll.NL("first",$J426,"Description","No.","@@"&amp;$K426),"")</f>
        <v/>
      </c>
      <c r="O426" s="83">
        <v>0</v>
      </c>
      <c r="P426" s="83">
        <v>-144</v>
      </c>
      <c r="Q426" s="83">
        <v>0</v>
      </c>
      <c r="R426" s="83">
        <v>0</v>
      </c>
      <c r="S426" s="83">
        <v>0</v>
      </c>
      <c r="T426" s="83">
        <v>0</v>
      </c>
      <c r="U426" s="82"/>
    </row>
    <row r="427" spans="1:21" ht="17.25" customHeight="1" x14ac:dyDescent="0.3">
      <c r="A427" s="66" t="s">
        <v>30</v>
      </c>
      <c r="C427" s="67"/>
      <c r="D427" s="77" t="str">
        <f t="shared" si="231"/>
        <v>E100016</v>
      </c>
      <c r="E427" s="77"/>
      <c r="F427" s="76"/>
      <c r="G427" s="76" t="str">
        <f>"""NAV Direct"",""CRONUS JetCorp USA"",""32"",""1"",""124529"""</f>
        <v>"NAV Direct","CRONUS JetCorp USA","32","1","124529"</v>
      </c>
      <c r="H427" s="86">
        <v>43474</v>
      </c>
      <c r="I427" s="85">
        <v>124529</v>
      </c>
      <c r="J427" s="84" t="str">
        <f>"Customer"</f>
        <v>Customer</v>
      </c>
      <c r="K427" s="84" t="str">
        <f>"C100145"</f>
        <v>C100145</v>
      </c>
      <c r="L427" s="84" t="str">
        <f>IF($J427="Customer",_xll.NL("first",$J427,"Name","No.","@@"&amp;$K427),"")</f>
        <v>Dicon Industries</v>
      </c>
      <c r="M427" s="84" t="str">
        <f>""</f>
        <v/>
      </c>
      <c r="N427" s="84" t="str">
        <f>IF($J427="Item",_xll.NL("first",$J427,"Description","No.","@@"&amp;$K427),"")</f>
        <v/>
      </c>
      <c r="O427" s="83">
        <v>0</v>
      </c>
      <c r="P427" s="83">
        <v>-169</v>
      </c>
      <c r="Q427" s="83">
        <v>0</v>
      </c>
      <c r="R427" s="83">
        <v>0</v>
      </c>
      <c r="S427" s="83">
        <v>0</v>
      </c>
      <c r="T427" s="83">
        <v>0</v>
      </c>
      <c r="U427" s="82"/>
    </row>
    <row r="428" spans="1:21" ht="17.25" customHeight="1" x14ac:dyDescent="0.3">
      <c r="A428" s="66" t="s">
        <v>30</v>
      </c>
      <c r="C428" s="67"/>
      <c r="D428" s="77" t="str">
        <f t="shared" si="231"/>
        <v>E100016</v>
      </c>
      <c r="E428" s="77"/>
      <c r="F428" s="76"/>
      <c r="G428" s="76" t="str">
        <f>"""NAV Direct"",""CRONUS JetCorp USA"",""32"",""1"",""20357"""</f>
        <v>"NAV Direct","CRONUS JetCorp USA","32","1","20357"</v>
      </c>
      <c r="H428" s="86">
        <v>43475</v>
      </c>
      <c r="I428" s="85">
        <v>20357</v>
      </c>
      <c r="J428" s="84" t="str">
        <f>"Customer"</f>
        <v>Customer</v>
      </c>
      <c r="K428" s="84" t="str">
        <f>"C100097"</f>
        <v>C100097</v>
      </c>
      <c r="L428" s="84" t="str">
        <f>IF($J428="Customer",_xll.NL("first",$J428,"Name","No.","@@"&amp;$K428),"")</f>
        <v>Solotech</v>
      </c>
      <c r="M428" s="84" t="str">
        <f>""</f>
        <v/>
      </c>
      <c r="N428" s="84" t="str">
        <f>IF($J428="Item",_xll.NL("first",$J428,"Description","No.","@@"&amp;$K428),"")</f>
        <v/>
      </c>
      <c r="O428" s="83">
        <v>0</v>
      </c>
      <c r="P428" s="83">
        <v>-144</v>
      </c>
      <c r="Q428" s="83">
        <v>0</v>
      </c>
      <c r="R428" s="83">
        <v>0</v>
      </c>
      <c r="S428" s="83">
        <v>0</v>
      </c>
      <c r="T428" s="83">
        <v>0</v>
      </c>
      <c r="U428" s="82"/>
    </row>
    <row r="429" spans="1:21" ht="17.25" customHeight="1" x14ac:dyDescent="0.3">
      <c r="A429" s="66" t="s">
        <v>30</v>
      </c>
      <c r="C429" s="67"/>
      <c r="D429" s="77"/>
      <c r="E429" s="77"/>
      <c r="F429" s="76"/>
      <c r="G429" s="76"/>
      <c r="H429" s="76"/>
      <c r="I429" s="76"/>
      <c r="J429" s="76"/>
      <c r="K429" s="76"/>
      <c r="L429" s="76"/>
      <c r="M429" s="76"/>
      <c r="N429" s="76"/>
      <c r="O429" s="75"/>
      <c r="P429" s="75"/>
      <c r="Q429" s="75"/>
      <c r="R429" s="75"/>
      <c r="S429" s="75"/>
      <c r="T429" s="75"/>
      <c r="U429" s="74"/>
    </row>
    <row r="430" spans="1:21" ht="17.25" customHeight="1" x14ac:dyDescent="0.3">
      <c r="A430" s="66" t="s">
        <v>30</v>
      </c>
      <c r="C430" s="67"/>
      <c r="D430" s="77"/>
      <c r="E430" s="77" t="s">
        <v>31</v>
      </c>
      <c r="F430" s="76" t="s">
        <v>31</v>
      </c>
      <c r="G430" s="76" t="s">
        <v>31</v>
      </c>
      <c r="H430" s="76"/>
      <c r="I430" s="76"/>
      <c r="J430" s="76" t="s">
        <v>31</v>
      </c>
      <c r="K430" s="76" t="s">
        <v>31</v>
      </c>
      <c r="L430" s="76" t="s">
        <v>31</v>
      </c>
      <c r="M430" s="76" t="s">
        <v>31</v>
      </c>
      <c r="N430" s="76"/>
      <c r="U430" s="81"/>
    </row>
    <row r="431" spans="1:21" ht="20.25" customHeight="1" x14ac:dyDescent="0.35">
      <c r="A431" s="66" t="s">
        <v>30</v>
      </c>
      <c r="C431" s="67"/>
      <c r="D431" s="92" t="str">
        <f t="shared" ref="D431" si="232">E431</f>
        <v>E100017</v>
      </c>
      <c r="E431" s="91" t="str">
        <f>"E100017"</f>
        <v>E100017</v>
      </c>
      <c r="F431" s="89" t="str">
        <f>"Clip-on Clock with Compass"</f>
        <v>Clip-on Clock with Compass</v>
      </c>
      <c r="G431" s="89"/>
      <c r="H431" s="90" t="str">
        <f>"EA"</f>
        <v>EA</v>
      </c>
      <c r="I431" s="89"/>
      <c r="J431" s="89"/>
      <c r="K431" s="89"/>
      <c r="L431" s="89"/>
      <c r="M431" s="89"/>
      <c r="N431" s="89"/>
      <c r="O431" s="88">
        <f>(SUBTOTAL(9,O432:O436))</f>
        <v>2400</v>
      </c>
      <c r="P431" s="88">
        <f>(SUBTOTAL(9,P432:P436))</f>
        <v>-434</v>
      </c>
      <c r="Q431" s="88">
        <f>(SUBTOTAL(9,Q432:Q436))</f>
        <v>0</v>
      </c>
      <c r="R431" s="88">
        <f>(SUBTOTAL(9,R432:R436))</f>
        <v>0</v>
      </c>
      <c r="S431" s="88">
        <f>(SUBTOTAL(9,S432:S436))</f>
        <v>0</v>
      </c>
      <c r="T431" s="88">
        <f>(SUBTOTAL(9,T432:T436))</f>
        <v>0</v>
      </c>
      <c r="U431" s="87">
        <f t="shared" ref="U431" si="233">SUBTOTAL(9,O432:T436)</f>
        <v>1966</v>
      </c>
    </row>
    <row r="432" spans="1:21" ht="17.25" customHeight="1" x14ac:dyDescent="0.3">
      <c r="A432" s="66" t="s">
        <v>30</v>
      </c>
      <c r="C432" s="67"/>
      <c r="D432" s="77" t="str">
        <f t="shared" ref="D432" si="234">D431</f>
        <v>E100017</v>
      </c>
      <c r="E432" s="77"/>
      <c r="F432" s="76"/>
      <c r="G432" s="76" t="str">
        <f>"""NAV Direct"",""CRONUS JetCorp USA"",""32"",""1"",""167575"""</f>
        <v>"NAV Direct","CRONUS JetCorp USA","32","1","167575"</v>
      </c>
      <c r="H432" s="86">
        <v>43466</v>
      </c>
      <c r="I432" s="85">
        <v>167575</v>
      </c>
      <c r="J432" s="84" t="str">
        <f>"Vendor"</f>
        <v>Vendor</v>
      </c>
      <c r="K432" s="84" t="str">
        <f>"V100001"</f>
        <v>V100001</v>
      </c>
      <c r="L432" s="84" t="str">
        <f>IF($J432="Customer",_xll.NL("first",$J432,"Name","No.","@@"&amp;$K432),"")</f>
        <v/>
      </c>
      <c r="M432" s="84" t="str">
        <f>"Greigner, Inc."</f>
        <v>Greigner, Inc.</v>
      </c>
      <c r="N432" s="84" t="str">
        <f>IF($J432="Item",_xll.NL("first",$J432,"Description","No.","@@"&amp;$K432),"")</f>
        <v/>
      </c>
      <c r="O432" s="83">
        <v>2400</v>
      </c>
      <c r="P432" s="83">
        <v>0</v>
      </c>
      <c r="Q432" s="83">
        <v>0</v>
      </c>
      <c r="R432" s="83">
        <v>0</v>
      </c>
      <c r="S432" s="83">
        <v>0</v>
      </c>
      <c r="T432" s="83">
        <v>0</v>
      </c>
      <c r="U432" s="82"/>
    </row>
    <row r="433" spans="1:21" ht="17.25" customHeight="1" x14ac:dyDescent="0.3">
      <c r="A433" s="66" t="s">
        <v>30</v>
      </c>
      <c r="C433" s="67"/>
      <c r="D433" s="77" t="str">
        <f t="shared" ref="D433:D435" si="235">D432</f>
        <v>E100017</v>
      </c>
      <c r="E433" s="77"/>
      <c r="F433" s="76"/>
      <c r="G433" s="76" t="str">
        <f>"""NAV Direct"",""CRONUS JetCorp USA"",""32"",""1"",""44530"""</f>
        <v>"NAV Direct","CRONUS JetCorp USA","32","1","44530"</v>
      </c>
      <c r="H433" s="86">
        <v>43473</v>
      </c>
      <c r="I433" s="85">
        <v>44530</v>
      </c>
      <c r="J433" s="84" t="str">
        <f>"Customer"</f>
        <v>Customer</v>
      </c>
      <c r="K433" s="84" t="str">
        <f>"C100139"</f>
        <v>C100139</v>
      </c>
      <c r="L433" s="84" t="str">
        <f>IF($J433="Customer",_xll.NL("first",$J433,"Name","No.","@@"&amp;$K433),"")</f>
        <v>Gamma Ray's</v>
      </c>
      <c r="M433" s="84" t="str">
        <f>""</f>
        <v/>
      </c>
      <c r="N433" s="84" t="str">
        <f>IF($J433="Item",_xll.NL("first",$J433,"Description","No.","@@"&amp;$K433),"")</f>
        <v/>
      </c>
      <c r="O433" s="83">
        <v>0</v>
      </c>
      <c r="P433" s="83">
        <v>-144</v>
      </c>
      <c r="Q433" s="83">
        <v>0</v>
      </c>
      <c r="R433" s="83">
        <v>0</v>
      </c>
      <c r="S433" s="83">
        <v>0</v>
      </c>
      <c r="T433" s="83">
        <v>0</v>
      </c>
      <c r="U433" s="82"/>
    </row>
    <row r="434" spans="1:21" ht="17.25" customHeight="1" x14ac:dyDescent="0.3">
      <c r="A434" s="66" t="s">
        <v>30</v>
      </c>
      <c r="C434" s="67"/>
      <c r="D434" s="77" t="str">
        <f t="shared" si="235"/>
        <v>E100017</v>
      </c>
      <c r="E434" s="77"/>
      <c r="F434" s="76"/>
      <c r="G434" s="76" t="str">
        <f>"""NAV Direct"",""CRONUS JetCorp USA"",""32"",""1"",""124535"""</f>
        <v>"NAV Direct","CRONUS JetCorp USA","32","1","124535"</v>
      </c>
      <c r="H434" s="86">
        <v>43474</v>
      </c>
      <c r="I434" s="85">
        <v>124535</v>
      </c>
      <c r="J434" s="84" t="str">
        <f>"Customer"</f>
        <v>Customer</v>
      </c>
      <c r="K434" s="84" t="str">
        <f>"C100145"</f>
        <v>C100145</v>
      </c>
      <c r="L434" s="84" t="str">
        <f>IF($J434="Customer",_xll.NL("first",$J434,"Name","No.","@@"&amp;$K434),"")</f>
        <v>Dicon Industries</v>
      </c>
      <c r="M434" s="84" t="str">
        <f>""</f>
        <v/>
      </c>
      <c r="N434" s="84" t="str">
        <f>IF($J434="Item",_xll.NL("first",$J434,"Description","No.","@@"&amp;$K434),"")</f>
        <v/>
      </c>
      <c r="O434" s="83">
        <v>0</v>
      </c>
      <c r="P434" s="83">
        <v>-2</v>
      </c>
      <c r="Q434" s="83">
        <v>0</v>
      </c>
      <c r="R434" s="83">
        <v>0</v>
      </c>
      <c r="S434" s="83">
        <v>0</v>
      </c>
      <c r="T434" s="83">
        <v>0</v>
      </c>
      <c r="U434" s="82"/>
    </row>
    <row r="435" spans="1:21" ht="17.25" customHeight="1" x14ac:dyDescent="0.3">
      <c r="A435" s="66" t="s">
        <v>30</v>
      </c>
      <c r="C435" s="67"/>
      <c r="D435" s="77" t="str">
        <f t="shared" si="235"/>
        <v>E100017</v>
      </c>
      <c r="E435" s="77"/>
      <c r="F435" s="76"/>
      <c r="G435" s="76" t="str">
        <f>"""NAV Direct"",""CRONUS JetCorp USA"",""32"",""1"",""132526"""</f>
        <v>"NAV Direct","CRONUS JetCorp USA","32","1","132526"</v>
      </c>
      <c r="H435" s="86">
        <v>43477</v>
      </c>
      <c r="I435" s="85">
        <v>132526</v>
      </c>
      <c r="J435" s="84" t="str">
        <f>"Customer"</f>
        <v>Customer</v>
      </c>
      <c r="K435" s="84" t="str">
        <f>"C100082"</f>
        <v>C100082</v>
      </c>
      <c r="L435" s="84" t="str">
        <f>IF($J435="Customer",_xll.NL("first",$J435,"Name","No.","@@"&amp;$K435),"")</f>
        <v>Sporting Goods Emporium</v>
      </c>
      <c r="M435" s="84" t="str">
        <f>""</f>
        <v/>
      </c>
      <c r="N435" s="84" t="str">
        <f>IF($J435="Item",_xll.NL("first",$J435,"Description","No.","@@"&amp;$K435),"")</f>
        <v/>
      </c>
      <c r="O435" s="83">
        <v>0</v>
      </c>
      <c r="P435" s="83">
        <v>-288</v>
      </c>
      <c r="Q435" s="83">
        <v>0</v>
      </c>
      <c r="R435" s="83">
        <v>0</v>
      </c>
      <c r="S435" s="83">
        <v>0</v>
      </c>
      <c r="T435" s="83">
        <v>0</v>
      </c>
      <c r="U435" s="82"/>
    </row>
    <row r="436" spans="1:21" ht="17.25" customHeight="1" x14ac:dyDescent="0.3">
      <c r="A436" s="66" t="s">
        <v>30</v>
      </c>
      <c r="C436" s="67"/>
      <c r="D436" s="77"/>
      <c r="E436" s="77"/>
      <c r="F436" s="76"/>
      <c r="G436" s="76"/>
      <c r="H436" s="76"/>
      <c r="I436" s="76"/>
      <c r="J436" s="76"/>
      <c r="K436" s="76"/>
      <c r="L436" s="76"/>
      <c r="M436" s="76"/>
      <c r="N436" s="76"/>
      <c r="O436" s="75"/>
      <c r="P436" s="75"/>
      <c r="Q436" s="75"/>
      <c r="R436" s="75"/>
      <c r="S436" s="75"/>
      <c r="T436" s="75"/>
      <c r="U436" s="74"/>
    </row>
    <row r="437" spans="1:21" ht="17.25" customHeight="1" x14ac:dyDescent="0.3">
      <c r="A437" s="66" t="s">
        <v>30</v>
      </c>
      <c r="C437" s="67"/>
      <c r="D437" s="77"/>
      <c r="E437" s="77" t="s">
        <v>31</v>
      </c>
      <c r="F437" s="76" t="s">
        <v>31</v>
      </c>
      <c r="G437" s="76" t="s">
        <v>31</v>
      </c>
      <c r="H437" s="76"/>
      <c r="I437" s="76"/>
      <c r="J437" s="76" t="s">
        <v>31</v>
      </c>
      <c r="K437" s="76" t="s">
        <v>31</v>
      </c>
      <c r="L437" s="76" t="s">
        <v>31</v>
      </c>
      <c r="M437" s="76" t="s">
        <v>31</v>
      </c>
      <c r="N437" s="76"/>
      <c r="U437" s="81"/>
    </row>
    <row r="438" spans="1:21" ht="20.25" customHeight="1" x14ac:dyDescent="0.35">
      <c r="A438" s="66" t="s">
        <v>30</v>
      </c>
      <c r="C438" s="67"/>
      <c r="D438" s="92" t="str">
        <f t="shared" ref="D438" si="236">E438</f>
        <v>E100018</v>
      </c>
      <c r="E438" s="91" t="str">
        <f>"E100018"</f>
        <v>E100018</v>
      </c>
      <c r="F438" s="89" t="str">
        <f>"Flexi-Clock &amp; Clip"</f>
        <v>Flexi-Clock &amp; Clip</v>
      </c>
      <c r="G438" s="89"/>
      <c r="H438" s="90" t="str">
        <f>"EA"</f>
        <v>EA</v>
      </c>
      <c r="I438" s="89"/>
      <c r="J438" s="89"/>
      <c r="K438" s="89"/>
      <c r="L438" s="89"/>
      <c r="M438" s="89"/>
      <c r="N438" s="89"/>
      <c r="O438" s="88">
        <f>(SUBTOTAL(9,O439:O449))</f>
        <v>5200</v>
      </c>
      <c r="P438" s="88">
        <f>(SUBTOTAL(9,P439:P449))</f>
        <v>-731</v>
      </c>
      <c r="Q438" s="88">
        <f>(SUBTOTAL(9,Q439:Q449))</f>
        <v>0</v>
      </c>
      <c r="R438" s="88">
        <f>(SUBTOTAL(9,R439:R449))</f>
        <v>0</v>
      </c>
      <c r="S438" s="88">
        <f>(SUBTOTAL(9,S439:S449))</f>
        <v>0</v>
      </c>
      <c r="T438" s="88">
        <f>(SUBTOTAL(9,T439:T449))</f>
        <v>0</v>
      </c>
      <c r="U438" s="87">
        <f t="shared" ref="U438" si="237">SUBTOTAL(9,O439:T449)</f>
        <v>4469</v>
      </c>
    </row>
    <row r="439" spans="1:21" ht="17.25" customHeight="1" x14ac:dyDescent="0.3">
      <c r="A439" s="66" t="s">
        <v>30</v>
      </c>
      <c r="C439" s="67"/>
      <c r="D439" s="77" t="str">
        <f t="shared" ref="D439" si="238">D438</f>
        <v>E100018</v>
      </c>
      <c r="E439" s="77"/>
      <c r="F439" s="76"/>
      <c r="G439" s="76" t="str">
        <f>"""NAV Direct"",""CRONUS JetCorp USA"",""32"",""1"",""167574"""</f>
        <v>"NAV Direct","CRONUS JetCorp USA","32","1","167574"</v>
      </c>
      <c r="H439" s="86">
        <v>43466</v>
      </c>
      <c r="I439" s="85">
        <v>167574</v>
      </c>
      <c r="J439" s="84" t="str">
        <f>"Vendor"</f>
        <v>Vendor</v>
      </c>
      <c r="K439" s="84" t="str">
        <f>"V100001"</f>
        <v>V100001</v>
      </c>
      <c r="L439" s="84" t="str">
        <f>IF($J439="Customer",_xll.NL("first",$J439,"Name","No.","@@"&amp;$K439),"")</f>
        <v/>
      </c>
      <c r="M439" s="84" t="str">
        <f>"Greigner, Inc."</f>
        <v>Greigner, Inc.</v>
      </c>
      <c r="N439" s="84" t="str">
        <f>IF($J439="Item",_xll.NL("first",$J439,"Description","No.","@@"&amp;$K439),"")</f>
        <v/>
      </c>
      <c r="O439" s="83">
        <v>5200</v>
      </c>
      <c r="P439" s="83">
        <v>0</v>
      </c>
      <c r="Q439" s="83">
        <v>0</v>
      </c>
      <c r="R439" s="83">
        <v>0</v>
      </c>
      <c r="S439" s="83">
        <v>0</v>
      </c>
      <c r="T439" s="83">
        <v>0</v>
      </c>
      <c r="U439" s="82"/>
    </row>
    <row r="440" spans="1:21" ht="17.25" customHeight="1" x14ac:dyDescent="0.3">
      <c r="A440" s="66" t="s">
        <v>30</v>
      </c>
      <c r="C440" s="67"/>
      <c r="D440" s="77" t="str">
        <f t="shared" ref="D440:D448" si="239">D439</f>
        <v>E100018</v>
      </c>
      <c r="E440" s="77"/>
      <c r="F440" s="76"/>
      <c r="G440" s="76" t="str">
        <f>"""NAV Direct"",""CRONUS JetCorp USA"",""32"",""1"",""10228"""</f>
        <v>"NAV Direct","CRONUS JetCorp USA","32","1","10228"</v>
      </c>
      <c r="H440" s="86">
        <v>43471</v>
      </c>
      <c r="I440" s="85">
        <v>10228</v>
      </c>
      <c r="J440" s="84" t="str">
        <f>"Customer"</f>
        <v>Customer</v>
      </c>
      <c r="K440" s="84" t="str">
        <f>"C100066"</f>
        <v>C100066</v>
      </c>
      <c r="L440" s="84" t="str">
        <f>IF($J440="Customer",_xll.NL("first",$J440,"Name","No.","@@"&amp;$K440),"")</f>
        <v>Office Solutions</v>
      </c>
      <c r="M440" s="84" t="str">
        <f>""</f>
        <v/>
      </c>
      <c r="N440" s="84" t="str">
        <f>IF($J440="Item",_xll.NL("first",$J440,"Description","No.","@@"&amp;$K440),"")</f>
        <v/>
      </c>
      <c r="O440" s="83">
        <v>0</v>
      </c>
      <c r="P440" s="83">
        <v>-1</v>
      </c>
      <c r="Q440" s="83">
        <v>0</v>
      </c>
      <c r="R440" s="83">
        <v>0</v>
      </c>
      <c r="S440" s="83">
        <v>0</v>
      </c>
      <c r="T440" s="83">
        <v>0</v>
      </c>
      <c r="U440" s="82"/>
    </row>
    <row r="441" spans="1:21" ht="17.25" customHeight="1" x14ac:dyDescent="0.3">
      <c r="A441" s="66" t="s">
        <v>30</v>
      </c>
      <c r="C441" s="67"/>
      <c r="D441" s="77" t="str">
        <f t="shared" si="239"/>
        <v>E100018</v>
      </c>
      <c r="E441" s="77"/>
      <c r="F441" s="76"/>
      <c r="G441" s="76" t="str">
        <f>"""NAV Direct"",""CRONUS JetCorp USA"",""32"",""1"",""25249"""</f>
        <v>"NAV Direct","CRONUS JetCorp USA","32","1","25249"</v>
      </c>
      <c r="H441" s="86">
        <v>43471</v>
      </c>
      <c r="I441" s="85">
        <v>25249</v>
      </c>
      <c r="J441" s="84" t="str">
        <f>"Customer"</f>
        <v>Customer</v>
      </c>
      <c r="K441" s="84" t="str">
        <f>"C100102"</f>
        <v>C100102</v>
      </c>
      <c r="L441" s="84" t="str">
        <f>IF($J441="Customer",_xll.NL("first",$J441,"Name","No.","@@"&amp;$K441),"")</f>
        <v xml:space="preserve">BEI Outfitters </v>
      </c>
      <c r="M441" s="84" t="str">
        <f>""</f>
        <v/>
      </c>
      <c r="N441" s="84" t="str">
        <f>IF($J441="Item",_xll.NL("first",$J441,"Description","No.","@@"&amp;$K441),"")</f>
        <v/>
      </c>
      <c r="O441" s="83">
        <v>0</v>
      </c>
      <c r="P441" s="83">
        <v>-2</v>
      </c>
      <c r="Q441" s="83">
        <v>0</v>
      </c>
      <c r="R441" s="83">
        <v>0</v>
      </c>
      <c r="S441" s="83">
        <v>0</v>
      </c>
      <c r="T441" s="83">
        <v>0</v>
      </c>
      <c r="U441" s="82"/>
    </row>
    <row r="442" spans="1:21" ht="17.25" customHeight="1" x14ac:dyDescent="0.3">
      <c r="A442" s="66" t="s">
        <v>30</v>
      </c>
      <c r="C442" s="67"/>
      <c r="D442" s="77" t="str">
        <f t="shared" si="239"/>
        <v>E100018</v>
      </c>
      <c r="E442" s="77"/>
      <c r="F442" s="76"/>
      <c r="G442" s="76" t="str">
        <f>"""NAV Direct"",""CRONUS JetCorp USA"",""32"",""1"",""20342"""</f>
        <v>"NAV Direct","CRONUS JetCorp USA","32","1","20342"</v>
      </c>
      <c r="H442" s="86">
        <v>43472</v>
      </c>
      <c r="I442" s="85">
        <v>20342</v>
      </c>
      <c r="J442" s="84" t="str">
        <f>"Customer"</f>
        <v>Customer</v>
      </c>
      <c r="K442" s="84" t="str">
        <f>"C100145"</f>
        <v>C100145</v>
      </c>
      <c r="L442" s="84" t="str">
        <f>IF($J442="Customer",_xll.NL("first",$J442,"Name","No.","@@"&amp;$K442),"")</f>
        <v>Dicon Industries</v>
      </c>
      <c r="M442" s="84" t="str">
        <f>""</f>
        <v/>
      </c>
      <c r="N442" s="84" t="str">
        <f>IF($J442="Item",_xll.NL("first",$J442,"Description","No.","@@"&amp;$K442),"")</f>
        <v/>
      </c>
      <c r="O442" s="83">
        <v>0</v>
      </c>
      <c r="P442" s="83">
        <v>-144</v>
      </c>
      <c r="Q442" s="83">
        <v>0</v>
      </c>
      <c r="R442" s="83">
        <v>0</v>
      </c>
      <c r="S442" s="83">
        <v>0</v>
      </c>
      <c r="T442" s="83">
        <v>0</v>
      </c>
      <c r="U442" s="82"/>
    </row>
    <row r="443" spans="1:21" ht="17.25" customHeight="1" x14ac:dyDescent="0.3">
      <c r="A443" s="66" t="s">
        <v>30</v>
      </c>
      <c r="C443" s="67"/>
      <c r="D443" s="77" t="str">
        <f t="shared" si="239"/>
        <v>E100018</v>
      </c>
      <c r="E443" s="77"/>
      <c r="F443" s="76"/>
      <c r="G443" s="76" t="str">
        <f>"""NAV Direct"",""CRONUS JetCorp USA"",""32"",""1"",""64610"""</f>
        <v>"NAV Direct","CRONUS JetCorp USA","32","1","64610"</v>
      </c>
      <c r="H443" s="86">
        <v>43472</v>
      </c>
      <c r="I443" s="85">
        <v>64610</v>
      </c>
      <c r="J443" s="84" t="str">
        <f>"Customer"</f>
        <v>Customer</v>
      </c>
      <c r="K443" s="84" t="str">
        <f>"C100140"</f>
        <v>C100140</v>
      </c>
      <c r="L443" s="84" t="str">
        <f>IF($J443="Customer",_xll.NL("first",$J443,"Name","No.","@@"&amp;$K443),"")</f>
        <v>Super Daves</v>
      </c>
      <c r="M443" s="84" t="str">
        <f>""</f>
        <v/>
      </c>
      <c r="N443" s="84" t="str">
        <f>IF($J443="Item",_xll.NL("first",$J443,"Description","No.","@@"&amp;$K443),"")</f>
        <v/>
      </c>
      <c r="O443" s="83">
        <v>0</v>
      </c>
      <c r="P443" s="83">
        <v>-1</v>
      </c>
      <c r="Q443" s="83">
        <v>0</v>
      </c>
      <c r="R443" s="83">
        <v>0</v>
      </c>
      <c r="S443" s="83">
        <v>0</v>
      </c>
      <c r="T443" s="83">
        <v>0</v>
      </c>
      <c r="U443" s="82"/>
    </row>
    <row r="444" spans="1:21" ht="17.25" customHeight="1" x14ac:dyDescent="0.3">
      <c r="A444" s="66" t="s">
        <v>30</v>
      </c>
      <c r="C444" s="67"/>
      <c r="D444" s="77" t="str">
        <f t="shared" si="239"/>
        <v>E100018</v>
      </c>
      <c r="E444" s="77"/>
      <c r="F444" s="76"/>
      <c r="G444" s="76" t="str">
        <f>"""NAV Direct"",""CRONUS JetCorp USA"",""32"",""1"",""128881"""</f>
        <v>"NAV Direct","CRONUS JetCorp USA","32","1","128881"</v>
      </c>
      <c r="H444" s="86">
        <v>43472</v>
      </c>
      <c r="I444" s="85">
        <v>128881</v>
      </c>
      <c r="J444" s="84" t="str">
        <f>"Customer"</f>
        <v>Customer</v>
      </c>
      <c r="K444" s="84" t="str">
        <f>"C100105"</f>
        <v>C100105</v>
      </c>
      <c r="L444" s="84" t="str">
        <f>IF($J444="Customer",_xll.NL("first",$J444,"Name","No.","@@"&amp;$K444),"")</f>
        <v>Esystems</v>
      </c>
      <c r="M444" s="84" t="str">
        <f>""</f>
        <v/>
      </c>
      <c r="N444" s="84" t="str">
        <f>IF($J444="Item",_xll.NL("first",$J444,"Description","No.","@@"&amp;$K444),"")</f>
        <v/>
      </c>
      <c r="O444" s="83">
        <v>0</v>
      </c>
      <c r="P444" s="83">
        <v>-1</v>
      </c>
      <c r="Q444" s="83">
        <v>0</v>
      </c>
      <c r="R444" s="83">
        <v>0</v>
      </c>
      <c r="S444" s="83">
        <v>0</v>
      </c>
      <c r="T444" s="83">
        <v>0</v>
      </c>
      <c r="U444" s="82"/>
    </row>
    <row r="445" spans="1:21" ht="17.25" customHeight="1" x14ac:dyDescent="0.3">
      <c r="A445" s="66" t="s">
        <v>30</v>
      </c>
      <c r="C445" s="67"/>
      <c r="D445" s="77" t="str">
        <f t="shared" si="239"/>
        <v>E100018</v>
      </c>
      <c r="E445" s="77"/>
      <c r="F445" s="76"/>
      <c r="G445" s="76" t="str">
        <f>"""NAV Direct"",""CRONUS JetCorp USA"",""32"",""1"",""44531"""</f>
        <v>"NAV Direct","CRONUS JetCorp USA","32","1","44531"</v>
      </c>
      <c r="H445" s="86">
        <v>43473</v>
      </c>
      <c r="I445" s="85">
        <v>44531</v>
      </c>
      <c r="J445" s="84" t="str">
        <f>"Customer"</f>
        <v>Customer</v>
      </c>
      <c r="K445" s="84" t="str">
        <f>"C100139"</f>
        <v>C100139</v>
      </c>
      <c r="L445" s="84" t="str">
        <f>IF($J445="Customer",_xll.NL("first",$J445,"Name","No.","@@"&amp;$K445),"")</f>
        <v>Gamma Ray's</v>
      </c>
      <c r="M445" s="84" t="str">
        <f>""</f>
        <v/>
      </c>
      <c r="N445" s="84" t="str">
        <f>IF($J445="Item",_xll.NL("first",$J445,"Description","No.","@@"&amp;$K445),"")</f>
        <v/>
      </c>
      <c r="O445" s="83">
        <v>0</v>
      </c>
      <c r="P445" s="83">
        <v>-144</v>
      </c>
      <c r="Q445" s="83">
        <v>0</v>
      </c>
      <c r="R445" s="83">
        <v>0</v>
      </c>
      <c r="S445" s="83">
        <v>0</v>
      </c>
      <c r="T445" s="83">
        <v>0</v>
      </c>
      <c r="U445" s="82"/>
    </row>
    <row r="446" spans="1:21" ht="17.25" customHeight="1" x14ac:dyDescent="0.3">
      <c r="A446" s="66" t="s">
        <v>30</v>
      </c>
      <c r="C446" s="67"/>
      <c r="D446" s="77" t="str">
        <f t="shared" si="239"/>
        <v>E100018</v>
      </c>
      <c r="E446" s="77"/>
      <c r="F446" s="76"/>
      <c r="G446" s="76" t="str">
        <f>"""NAV Direct"",""CRONUS JetCorp USA"",""32"",""1"",""124534"""</f>
        <v>"NAV Direct","CRONUS JetCorp USA","32","1","124534"</v>
      </c>
      <c r="H446" s="86">
        <v>43474</v>
      </c>
      <c r="I446" s="85">
        <v>124534</v>
      </c>
      <c r="J446" s="84" t="str">
        <f>"Customer"</f>
        <v>Customer</v>
      </c>
      <c r="K446" s="84" t="str">
        <f>"C100145"</f>
        <v>C100145</v>
      </c>
      <c r="L446" s="84" t="str">
        <f>IF($J446="Customer",_xll.NL("first",$J446,"Name","No.","@@"&amp;$K446),"")</f>
        <v>Dicon Industries</v>
      </c>
      <c r="M446" s="84" t="str">
        <f>""</f>
        <v/>
      </c>
      <c r="N446" s="84" t="str">
        <f>IF($J446="Item",_xll.NL("first",$J446,"Description","No.","@@"&amp;$K446),"")</f>
        <v/>
      </c>
      <c r="O446" s="83">
        <v>0</v>
      </c>
      <c r="P446" s="83">
        <v>-144</v>
      </c>
      <c r="Q446" s="83">
        <v>0</v>
      </c>
      <c r="R446" s="83">
        <v>0</v>
      </c>
      <c r="S446" s="83">
        <v>0</v>
      </c>
      <c r="T446" s="83">
        <v>0</v>
      </c>
      <c r="U446" s="82"/>
    </row>
    <row r="447" spans="1:21" ht="17.25" customHeight="1" x14ac:dyDescent="0.3">
      <c r="A447" s="66" t="s">
        <v>30</v>
      </c>
      <c r="C447" s="67"/>
      <c r="D447" s="77" t="str">
        <f t="shared" si="239"/>
        <v>E100018</v>
      </c>
      <c r="E447" s="77"/>
      <c r="F447" s="76"/>
      <c r="G447" s="76" t="str">
        <f>"""NAV Direct"",""CRONUS JetCorp USA"",""32"",""1"",""128887"""</f>
        <v>"NAV Direct","CRONUS JetCorp USA","32","1","128887"</v>
      </c>
      <c r="H447" s="86">
        <v>43475</v>
      </c>
      <c r="I447" s="85">
        <v>128887</v>
      </c>
      <c r="J447" s="84" t="str">
        <f>"Customer"</f>
        <v>Customer</v>
      </c>
      <c r="K447" s="84" t="str">
        <f>"C100095"</f>
        <v>C100095</v>
      </c>
      <c r="L447" s="84" t="str">
        <f>IF($J447="Customer",_xll.NL("first",$J447,"Name","No.","@@"&amp;$K447),"")</f>
        <v>Randotax Outfitters</v>
      </c>
      <c r="M447" s="84" t="str">
        <f>""</f>
        <v/>
      </c>
      <c r="N447" s="84" t="str">
        <f>IF($J447="Item",_xll.NL("first",$J447,"Description","No.","@@"&amp;$K447),"")</f>
        <v/>
      </c>
      <c r="O447" s="83">
        <v>0</v>
      </c>
      <c r="P447" s="83">
        <v>-150</v>
      </c>
      <c r="Q447" s="83">
        <v>0</v>
      </c>
      <c r="R447" s="83">
        <v>0</v>
      </c>
      <c r="S447" s="83">
        <v>0</v>
      </c>
      <c r="T447" s="83">
        <v>0</v>
      </c>
      <c r="U447" s="82"/>
    </row>
    <row r="448" spans="1:21" ht="17.25" customHeight="1" x14ac:dyDescent="0.3">
      <c r="A448" s="66" t="s">
        <v>30</v>
      </c>
      <c r="C448" s="67"/>
      <c r="D448" s="77" t="str">
        <f t="shared" si="239"/>
        <v>E100018</v>
      </c>
      <c r="E448" s="77"/>
      <c r="F448" s="76"/>
      <c r="G448" s="76" t="str">
        <f>"""NAV Direct"",""CRONUS JetCorp USA"",""32"",""1"",""20405"""</f>
        <v>"NAV Direct","CRONUS JetCorp USA","32","1","20405"</v>
      </c>
      <c r="H448" s="86">
        <v>43477</v>
      </c>
      <c r="I448" s="85">
        <v>20405</v>
      </c>
      <c r="J448" s="84" t="str">
        <f>"Customer"</f>
        <v>Customer</v>
      </c>
      <c r="K448" s="84" t="str">
        <f>"C100039"</f>
        <v>C100039</v>
      </c>
      <c r="L448" s="84" t="str">
        <f>IF($J448="Customer",_xll.NL("first",$J448,"Name","No.","@@"&amp;$K448),"")</f>
        <v>Gary's Sports</v>
      </c>
      <c r="M448" s="84" t="str">
        <f>""</f>
        <v/>
      </c>
      <c r="N448" s="84" t="str">
        <f>IF($J448="Item",_xll.NL("first",$J448,"Description","No.","@@"&amp;$K448),"")</f>
        <v/>
      </c>
      <c r="O448" s="83">
        <v>0</v>
      </c>
      <c r="P448" s="83">
        <v>-144</v>
      </c>
      <c r="Q448" s="83">
        <v>0</v>
      </c>
      <c r="R448" s="83">
        <v>0</v>
      </c>
      <c r="S448" s="83">
        <v>0</v>
      </c>
      <c r="T448" s="83">
        <v>0</v>
      </c>
      <c r="U448" s="82"/>
    </row>
    <row r="449" spans="1:21" ht="17.25" customHeight="1" x14ac:dyDescent="0.3">
      <c r="A449" s="66" t="s">
        <v>30</v>
      </c>
      <c r="C449" s="67"/>
      <c r="D449" s="77"/>
      <c r="E449" s="77"/>
      <c r="F449" s="76"/>
      <c r="G449" s="76"/>
      <c r="H449" s="76"/>
      <c r="I449" s="76"/>
      <c r="J449" s="76"/>
      <c r="K449" s="76"/>
      <c r="L449" s="76"/>
      <c r="M449" s="76"/>
      <c r="N449" s="76"/>
      <c r="O449" s="75"/>
      <c r="P449" s="75"/>
      <c r="Q449" s="75"/>
      <c r="R449" s="75"/>
      <c r="S449" s="75"/>
      <c r="T449" s="75"/>
      <c r="U449" s="74"/>
    </row>
    <row r="450" spans="1:21" ht="17.25" customHeight="1" x14ac:dyDescent="0.3">
      <c r="A450" s="66" t="s">
        <v>30</v>
      </c>
      <c r="C450" s="67"/>
      <c r="D450" s="77"/>
      <c r="E450" s="77" t="s">
        <v>31</v>
      </c>
      <c r="F450" s="76" t="s">
        <v>31</v>
      </c>
      <c r="G450" s="76" t="s">
        <v>31</v>
      </c>
      <c r="H450" s="76"/>
      <c r="I450" s="76"/>
      <c r="J450" s="76" t="s">
        <v>31</v>
      </c>
      <c r="K450" s="76" t="s">
        <v>31</v>
      </c>
      <c r="L450" s="76" t="s">
        <v>31</v>
      </c>
      <c r="M450" s="76" t="s">
        <v>31</v>
      </c>
      <c r="N450" s="76"/>
      <c r="U450" s="81"/>
    </row>
    <row r="451" spans="1:21" ht="20.25" customHeight="1" x14ac:dyDescent="0.35">
      <c r="A451" s="66" t="s">
        <v>30</v>
      </c>
      <c r="C451" s="67"/>
      <c r="D451" s="92" t="str">
        <f t="shared" ref="D451" si="240">E451</f>
        <v>E100019</v>
      </c>
      <c r="E451" s="91" t="str">
        <f>"E100019"</f>
        <v>E100019</v>
      </c>
      <c r="F451" s="89" t="str">
        <f>"Mini Travel Alarm"</f>
        <v>Mini Travel Alarm</v>
      </c>
      <c r="G451" s="89"/>
      <c r="H451" s="90" t="str">
        <f>"EA"</f>
        <v>EA</v>
      </c>
      <c r="I451" s="89"/>
      <c r="J451" s="89"/>
      <c r="K451" s="89"/>
      <c r="L451" s="89"/>
      <c r="M451" s="89"/>
      <c r="N451" s="89"/>
      <c r="O451" s="88">
        <f>(SUBTOTAL(9,O452:O457))</f>
        <v>600</v>
      </c>
      <c r="P451" s="88">
        <f>(SUBTOTAL(9,P452:P457))</f>
        <v>-195</v>
      </c>
      <c r="Q451" s="88">
        <f>(SUBTOTAL(9,Q452:Q457))</f>
        <v>0</v>
      </c>
      <c r="R451" s="88">
        <f>(SUBTOTAL(9,R452:R457))</f>
        <v>0</v>
      </c>
      <c r="S451" s="88">
        <f>(SUBTOTAL(9,S452:S457))</f>
        <v>0</v>
      </c>
      <c r="T451" s="88">
        <f>(SUBTOTAL(9,T452:T457))</f>
        <v>0</v>
      </c>
      <c r="U451" s="87">
        <f t="shared" ref="U451" si="241">SUBTOTAL(9,O452:T457)</f>
        <v>405</v>
      </c>
    </row>
    <row r="452" spans="1:21" ht="17.25" customHeight="1" x14ac:dyDescent="0.3">
      <c r="A452" s="66" t="s">
        <v>30</v>
      </c>
      <c r="C452" s="67"/>
      <c r="D452" s="77" t="str">
        <f t="shared" ref="D452" si="242">D451</f>
        <v>E100019</v>
      </c>
      <c r="E452" s="77"/>
      <c r="F452" s="76"/>
      <c r="G452" s="76" t="str">
        <f>"""NAV Direct"",""CRONUS JetCorp USA"",""32"",""1"",""167573"""</f>
        <v>"NAV Direct","CRONUS JetCorp USA","32","1","167573"</v>
      </c>
      <c r="H452" s="86">
        <v>43466</v>
      </c>
      <c r="I452" s="85">
        <v>167573</v>
      </c>
      <c r="J452" s="84" t="str">
        <f>"Vendor"</f>
        <v>Vendor</v>
      </c>
      <c r="K452" s="84" t="str">
        <f>"V100001"</f>
        <v>V100001</v>
      </c>
      <c r="L452" s="84" t="str">
        <f>IF($J452="Customer",_xll.NL("first",$J452,"Name","No.","@@"&amp;$K452),"")</f>
        <v/>
      </c>
      <c r="M452" s="84" t="str">
        <f>"Greigner, Inc."</f>
        <v>Greigner, Inc.</v>
      </c>
      <c r="N452" s="84" t="str">
        <f>IF($J452="Item",_xll.NL("first",$J452,"Description","No.","@@"&amp;$K452),"")</f>
        <v/>
      </c>
      <c r="O452" s="83">
        <v>600</v>
      </c>
      <c r="P452" s="83">
        <v>0</v>
      </c>
      <c r="Q452" s="83">
        <v>0</v>
      </c>
      <c r="R452" s="83">
        <v>0</v>
      </c>
      <c r="S452" s="83">
        <v>0</v>
      </c>
      <c r="T452" s="83">
        <v>0</v>
      </c>
      <c r="U452" s="82"/>
    </row>
    <row r="453" spans="1:21" ht="17.25" customHeight="1" x14ac:dyDescent="0.3">
      <c r="A453" s="66" t="s">
        <v>30</v>
      </c>
      <c r="C453" s="67"/>
      <c r="D453" s="77" t="str">
        <f t="shared" ref="D453:D456" si="243">D452</f>
        <v>E100019</v>
      </c>
      <c r="E453" s="77"/>
      <c r="F453" s="76"/>
      <c r="G453" s="76" t="str">
        <f>"""NAV Direct"",""CRONUS JetCorp USA"",""32"",""1"",""44485"""</f>
        <v>"NAV Direct","CRONUS JetCorp USA","32","1","44485"</v>
      </c>
      <c r="H453" s="86">
        <v>43472</v>
      </c>
      <c r="I453" s="85">
        <v>44485</v>
      </c>
      <c r="J453" s="84" t="str">
        <f>"Customer"</f>
        <v>Customer</v>
      </c>
      <c r="K453" s="84" t="str">
        <f>"C100141"</f>
        <v>C100141</v>
      </c>
      <c r="L453" s="84" t="str">
        <f>IF($J453="Customer",_xll.NL("first",$J453,"Name","No.","@@"&amp;$K453),"")</f>
        <v>Bargottis</v>
      </c>
      <c r="M453" s="84" t="str">
        <f>""</f>
        <v/>
      </c>
      <c r="N453" s="84" t="str">
        <f>IF($J453="Item",_xll.NL("first",$J453,"Description","No.","@@"&amp;$K453),"")</f>
        <v/>
      </c>
      <c r="O453" s="83">
        <v>0</v>
      </c>
      <c r="P453" s="83">
        <v>-1</v>
      </c>
      <c r="Q453" s="83">
        <v>0</v>
      </c>
      <c r="R453" s="83">
        <v>0</v>
      </c>
      <c r="S453" s="83">
        <v>0</v>
      </c>
      <c r="T453" s="83">
        <v>0</v>
      </c>
      <c r="U453" s="82"/>
    </row>
    <row r="454" spans="1:21" ht="17.25" customHeight="1" x14ac:dyDescent="0.3">
      <c r="A454" s="66" t="s">
        <v>30</v>
      </c>
      <c r="C454" s="67"/>
      <c r="D454" s="77" t="str">
        <f t="shared" si="243"/>
        <v>E100019</v>
      </c>
      <c r="E454" s="77"/>
      <c r="F454" s="76"/>
      <c r="G454" s="76" t="str">
        <f>"""NAV Direct"",""CRONUS JetCorp USA"",""32"",""1"",""64598"""</f>
        <v>"NAV Direct","CRONUS JetCorp USA","32","1","64598"</v>
      </c>
      <c r="H454" s="86">
        <v>43472</v>
      </c>
      <c r="I454" s="85">
        <v>64598</v>
      </c>
      <c r="J454" s="84" t="str">
        <f>"Customer"</f>
        <v>Customer</v>
      </c>
      <c r="K454" s="84" t="str">
        <f>"C100140"</f>
        <v>C100140</v>
      </c>
      <c r="L454" s="84" t="str">
        <f>IF($J454="Customer",_xll.NL("first",$J454,"Name","No.","@@"&amp;$K454),"")</f>
        <v>Super Daves</v>
      </c>
      <c r="M454" s="84" t="str">
        <f>""</f>
        <v/>
      </c>
      <c r="N454" s="84" t="str">
        <f>IF($J454="Item",_xll.NL("first",$J454,"Description","No.","@@"&amp;$K454),"")</f>
        <v/>
      </c>
      <c r="O454" s="83">
        <v>0</v>
      </c>
      <c r="P454" s="83">
        <v>-144</v>
      </c>
      <c r="Q454" s="83">
        <v>0</v>
      </c>
      <c r="R454" s="83">
        <v>0</v>
      </c>
      <c r="S454" s="83">
        <v>0</v>
      </c>
      <c r="T454" s="83">
        <v>0</v>
      </c>
      <c r="U454" s="82"/>
    </row>
    <row r="455" spans="1:21" ht="17.25" customHeight="1" x14ac:dyDescent="0.3">
      <c r="A455" s="66" t="s">
        <v>30</v>
      </c>
      <c r="C455" s="67"/>
      <c r="D455" s="77" t="str">
        <f t="shared" si="243"/>
        <v>E100019</v>
      </c>
      <c r="E455" s="77"/>
      <c r="F455" s="76"/>
      <c r="G455" s="76" t="str">
        <f>"""NAV Direct"",""CRONUS JetCorp USA"",""32"",""1"",""116382"""</f>
        <v>"NAV Direct","CRONUS JetCorp USA","32","1","116382"</v>
      </c>
      <c r="H455" s="86">
        <v>43473</v>
      </c>
      <c r="I455" s="85">
        <v>116382</v>
      </c>
      <c r="J455" s="84" t="str">
        <f>"Customer"</f>
        <v>Customer</v>
      </c>
      <c r="K455" s="84" t="str">
        <f>"C100066"</f>
        <v>C100066</v>
      </c>
      <c r="L455" s="84" t="str">
        <f>IF($J455="Customer",_xll.NL("first",$J455,"Name","No.","@@"&amp;$K455),"")</f>
        <v>Office Solutions</v>
      </c>
      <c r="M455" s="84" t="str">
        <f>""</f>
        <v/>
      </c>
      <c r="N455" s="84" t="str">
        <f>IF($J455="Item",_xll.NL("first",$J455,"Description","No.","@@"&amp;$K455),"")</f>
        <v/>
      </c>
      <c r="O455" s="83">
        <v>0</v>
      </c>
      <c r="P455" s="83">
        <v>-2</v>
      </c>
      <c r="Q455" s="83">
        <v>0</v>
      </c>
      <c r="R455" s="83">
        <v>0</v>
      </c>
      <c r="S455" s="83">
        <v>0</v>
      </c>
      <c r="T455" s="83">
        <v>0</v>
      </c>
      <c r="U455" s="82"/>
    </row>
    <row r="456" spans="1:21" ht="17.25" customHeight="1" x14ac:dyDescent="0.3">
      <c r="A456" s="66" t="s">
        <v>30</v>
      </c>
      <c r="C456" s="67"/>
      <c r="D456" s="77" t="str">
        <f t="shared" si="243"/>
        <v>E100019</v>
      </c>
      <c r="E456" s="77"/>
      <c r="F456" s="76"/>
      <c r="G456" s="76" t="str">
        <f>"""NAV Direct"",""CRONUS JetCorp USA"",""32"",""1"",""54710"""</f>
        <v>"NAV Direct","CRONUS JetCorp USA","32","1","54710"</v>
      </c>
      <c r="H456" s="86">
        <v>43474</v>
      </c>
      <c r="I456" s="85">
        <v>54710</v>
      </c>
      <c r="J456" s="84" t="str">
        <f>"Customer"</f>
        <v>Customer</v>
      </c>
      <c r="K456" s="84" t="str">
        <f>"C100096"</f>
        <v>C100096</v>
      </c>
      <c r="L456" s="84" t="str">
        <f>IF($J456="Customer",_xll.NL("first",$J456,"Name","No.","@@"&amp;$K456),"")</f>
        <v>D-Com Industries</v>
      </c>
      <c r="M456" s="84" t="str">
        <f>""</f>
        <v/>
      </c>
      <c r="N456" s="84" t="str">
        <f>IF($J456="Item",_xll.NL("first",$J456,"Description","No.","@@"&amp;$K456),"")</f>
        <v/>
      </c>
      <c r="O456" s="83">
        <v>0</v>
      </c>
      <c r="P456" s="83">
        <v>-48</v>
      </c>
      <c r="Q456" s="83">
        <v>0</v>
      </c>
      <c r="R456" s="83">
        <v>0</v>
      </c>
      <c r="S456" s="83">
        <v>0</v>
      </c>
      <c r="T456" s="83">
        <v>0</v>
      </c>
      <c r="U456" s="82"/>
    </row>
    <row r="457" spans="1:21" ht="17.25" customHeight="1" x14ac:dyDescent="0.3">
      <c r="A457" s="66" t="s">
        <v>30</v>
      </c>
      <c r="C457" s="67"/>
      <c r="D457" s="77"/>
      <c r="E457" s="77"/>
      <c r="F457" s="76"/>
      <c r="G457" s="76"/>
      <c r="H457" s="76"/>
      <c r="I457" s="76"/>
      <c r="J457" s="76"/>
      <c r="K457" s="76"/>
      <c r="L457" s="76"/>
      <c r="M457" s="76"/>
      <c r="N457" s="76"/>
      <c r="O457" s="75"/>
      <c r="P457" s="75"/>
      <c r="Q457" s="75"/>
      <c r="R457" s="75"/>
      <c r="S457" s="75"/>
      <c r="T457" s="75"/>
      <c r="U457" s="74"/>
    </row>
    <row r="458" spans="1:21" ht="17.25" customHeight="1" x14ac:dyDescent="0.3">
      <c r="A458" s="66" t="s">
        <v>30</v>
      </c>
      <c r="C458" s="67"/>
      <c r="D458" s="77"/>
      <c r="E458" s="77" t="s">
        <v>31</v>
      </c>
      <c r="F458" s="76" t="s">
        <v>31</v>
      </c>
      <c r="G458" s="76" t="s">
        <v>31</v>
      </c>
      <c r="H458" s="76"/>
      <c r="I458" s="76"/>
      <c r="J458" s="76" t="s">
        <v>31</v>
      </c>
      <c r="K458" s="76" t="s">
        <v>31</v>
      </c>
      <c r="L458" s="76" t="s">
        <v>31</v>
      </c>
      <c r="M458" s="76" t="s">
        <v>31</v>
      </c>
      <c r="N458" s="76"/>
      <c r="U458" s="81"/>
    </row>
    <row r="459" spans="1:21" ht="20.25" customHeight="1" x14ac:dyDescent="0.35">
      <c r="A459" s="66" t="s">
        <v>30</v>
      </c>
      <c r="C459" s="67"/>
      <c r="D459" s="92" t="str">
        <f t="shared" ref="D459" si="244">E459</f>
        <v>E100021</v>
      </c>
      <c r="E459" s="91" t="str">
        <f>"E100021"</f>
        <v>E100021</v>
      </c>
      <c r="F459" s="89" t="str">
        <f>"Slim Travel Alarm"</f>
        <v>Slim Travel Alarm</v>
      </c>
      <c r="G459" s="89"/>
      <c r="H459" s="90" t="str">
        <f>"EA"</f>
        <v>EA</v>
      </c>
      <c r="I459" s="89"/>
      <c r="J459" s="89"/>
      <c r="K459" s="89"/>
      <c r="L459" s="89"/>
      <c r="M459" s="89"/>
      <c r="N459" s="89"/>
      <c r="O459" s="88">
        <f>(SUBTOTAL(9,O460:O466))</f>
        <v>1200</v>
      </c>
      <c r="P459" s="88">
        <f>(SUBTOTAL(9,P460:P466))</f>
        <v>-481</v>
      </c>
      <c r="Q459" s="88">
        <f>(SUBTOTAL(9,Q460:Q466))</f>
        <v>0</v>
      </c>
      <c r="R459" s="88">
        <f>(SUBTOTAL(9,R460:R466))</f>
        <v>0</v>
      </c>
      <c r="S459" s="88">
        <f>(SUBTOTAL(9,S460:S466))</f>
        <v>0</v>
      </c>
      <c r="T459" s="88">
        <f>(SUBTOTAL(9,T460:T466))</f>
        <v>0</v>
      </c>
      <c r="U459" s="87">
        <f t="shared" ref="U459" si="245">SUBTOTAL(9,O460:T466)</f>
        <v>719</v>
      </c>
    </row>
    <row r="460" spans="1:21" ht="17.25" customHeight="1" x14ac:dyDescent="0.3">
      <c r="A460" s="66" t="s">
        <v>30</v>
      </c>
      <c r="C460" s="67"/>
      <c r="D460" s="77" t="str">
        <f t="shared" ref="D460" si="246">D459</f>
        <v>E100021</v>
      </c>
      <c r="E460" s="77"/>
      <c r="F460" s="76"/>
      <c r="G460" s="76" t="str">
        <f>"""NAV Direct"",""CRONUS JetCorp USA"",""32"",""1"",""167572"""</f>
        <v>"NAV Direct","CRONUS JetCorp USA","32","1","167572"</v>
      </c>
      <c r="H460" s="86">
        <v>43466</v>
      </c>
      <c r="I460" s="85">
        <v>167572</v>
      </c>
      <c r="J460" s="84" t="str">
        <f>"Vendor"</f>
        <v>Vendor</v>
      </c>
      <c r="K460" s="84" t="str">
        <f>"V100001"</f>
        <v>V100001</v>
      </c>
      <c r="L460" s="84" t="str">
        <f>IF($J460="Customer",_xll.NL("first",$J460,"Name","No.","@@"&amp;$K460),"")</f>
        <v/>
      </c>
      <c r="M460" s="84" t="str">
        <f>"Greigner, Inc."</f>
        <v>Greigner, Inc.</v>
      </c>
      <c r="N460" s="84" t="str">
        <f>IF($J460="Item",_xll.NL("first",$J460,"Description","No.","@@"&amp;$K460),"")</f>
        <v/>
      </c>
      <c r="O460" s="83">
        <v>1200</v>
      </c>
      <c r="P460" s="83">
        <v>0</v>
      </c>
      <c r="Q460" s="83">
        <v>0</v>
      </c>
      <c r="R460" s="83">
        <v>0</v>
      </c>
      <c r="S460" s="83">
        <v>0</v>
      </c>
      <c r="T460" s="83">
        <v>0</v>
      </c>
      <c r="U460" s="82"/>
    </row>
    <row r="461" spans="1:21" ht="17.25" customHeight="1" x14ac:dyDescent="0.3">
      <c r="A461" s="66" t="s">
        <v>30</v>
      </c>
      <c r="C461" s="67"/>
      <c r="D461" s="77" t="str">
        <f t="shared" ref="D461:D465" si="247">D460</f>
        <v>E100021</v>
      </c>
      <c r="E461" s="77"/>
      <c r="F461" s="76"/>
      <c r="G461" s="76" t="str">
        <f>"""NAV Direct"",""CRONUS JetCorp USA"",""32"",""1"",""64587"""</f>
        <v>"NAV Direct","CRONUS JetCorp USA","32","1","64587"</v>
      </c>
      <c r="H461" s="86">
        <v>43469</v>
      </c>
      <c r="I461" s="85">
        <v>64587</v>
      </c>
      <c r="J461" s="84" t="str">
        <f>"Customer"</f>
        <v>Customer</v>
      </c>
      <c r="K461" s="84" t="str">
        <f>"C100140"</f>
        <v>C100140</v>
      </c>
      <c r="L461" s="84" t="str">
        <f>IF($J461="Customer",_xll.NL("first",$J461,"Name","No.","@@"&amp;$K461),"")</f>
        <v>Super Daves</v>
      </c>
      <c r="M461" s="84" t="str">
        <f>""</f>
        <v/>
      </c>
      <c r="N461" s="84" t="str">
        <f>IF($J461="Item",_xll.NL("first",$J461,"Description","No.","@@"&amp;$K461),"")</f>
        <v/>
      </c>
      <c r="O461" s="83">
        <v>0</v>
      </c>
      <c r="P461" s="83">
        <v>-48</v>
      </c>
      <c r="Q461" s="83">
        <v>0</v>
      </c>
      <c r="R461" s="83">
        <v>0</v>
      </c>
      <c r="S461" s="83">
        <v>0</v>
      </c>
      <c r="T461" s="83">
        <v>0</v>
      </c>
      <c r="U461" s="82"/>
    </row>
    <row r="462" spans="1:21" ht="17.25" customHeight="1" x14ac:dyDescent="0.3">
      <c r="A462" s="66" t="s">
        <v>30</v>
      </c>
      <c r="C462" s="67"/>
      <c r="D462" s="77" t="str">
        <f t="shared" si="247"/>
        <v>E100021</v>
      </c>
      <c r="E462" s="77"/>
      <c r="F462" s="76"/>
      <c r="G462" s="76" t="str">
        <f>"""NAV Direct"",""CRONUS JetCorp USA"",""32"",""1"",""147989"""</f>
        <v>"NAV Direct","CRONUS JetCorp USA","32","1","147989"</v>
      </c>
      <c r="H462" s="86">
        <v>43469</v>
      </c>
      <c r="I462" s="85">
        <v>147989</v>
      </c>
      <c r="J462" s="84" t="str">
        <f>"Customer"</f>
        <v>Customer</v>
      </c>
      <c r="K462" s="84" t="str">
        <f>"C100096"</f>
        <v>C100096</v>
      </c>
      <c r="L462" s="84" t="str">
        <f>IF($J462="Customer",_xll.NL("first",$J462,"Name","No.","@@"&amp;$K462),"")</f>
        <v>D-Com Industries</v>
      </c>
      <c r="M462" s="84" t="str">
        <f>""</f>
        <v/>
      </c>
      <c r="N462" s="84" t="str">
        <f>IF($J462="Item",_xll.NL("first",$J462,"Description","No.","@@"&amp;$K462),"")</f>
        <v/>
      </c>
      <c r="O462" s="83">
        <v>0</v>
      </c>
      <c r="P462" s="83">
        <v>-144</v>
      </c>
      <c r="Q462" s="83">
        <v>0</v>
      </c>
      <c r="R462" s="83">
        <v>0</v>
      </c>
      <c r="S462" s="83">
        <v>0</v>
      </c>
      <c r="T462" s="83">
        <v>0</v>
      </c>
      <c r="U462" s="82"/>
    </row>
    <row r="463" spans="1:21" ht="17.25" customHeight="1" x14ac:dyDescent="0.3">
      <c r="A463" s="66" t="s">
        <v>30</v>
      </c>
      <c r="C463" s="67"/>
      <c r="D463" s="77" t="str">
        <f t="shared" si="247"/>
        <v>E100021</v>
      </c>
      <c r="E463" s="77"/>
      <c r="F463" s="76"/>
      <c r="G463" s="76" t="str">
        <f>"""NAV Direct"",""CRONUS JetCorp USA"",""32"",""1"",""64609"""</f>
        <v>"NAV Direct","CRONUS JetCorp USA","32","1","64609"</v>
      </c>
      <c r="H463" s="86">
        <v>43472</v>
      </c>
      <c r="I463" s="85">
        <v>64609</v>
      </c>
      <c r="J463" s="84" t="str">
        <f>"Customer"</f>
        <v>Customer</v>
      </c>
      <c r="K463" s="84" t="str">
        <f>"C100140"</f>
        <v>C100140</v>
      </c>
      <c r="L463" s="84" t="str">
        <f>IF($J463="Customer",_xll.NL("first",$J463,"Name","No.","@@"&amp;$K463),"")</f>
        <v>Super Daves</v>
      </c>
      <c r="M463" s="84" t="str">
        <f>""</f>
        <v/>
      </c>
      <c r="N463" s="84" t="str">
        <f>IF($J463="Item",_xll.NL("first",$J463,"Description","No.","@@"&amp;$K463),"")</f>
        <v/>
      </c>
      <c r="O463" s="83">
        <v>0</v>
      </c>
      <c r="P463" s="83">
        <v>-1</v>
      </c>
      <c r="Q463" s="83">
        <v>0</v>
      </c>
      <c r="R463" s="83">
        <v>0</v>
      </c>
      <c r="S463" s="83">
        <v>0</v>
      </c>
      <c r="T463" s="83">
        <v>0</v>
      </c>
      <c r="U463" s="82"/>
    </row>
    <row r="464" spans="1:21" ht="17.25" customHeight="1" x14ac:dyDescent="0.3">
      <c r="A464" s="66" t="s">
        <v>30</v>
      </c>
      <c r="C464" s="67"/>
      <c r="D464" s="77" t="str">
        <f t="shared" si="247"/>
        <v>E100021</v>
      </c>
      <c r="E464" s="77"/>
      <c r="F464" s="76"/>
      <c r="G464" s="76" t="str">
        <f>"""NAV Direct"",""CRONUS JetCorp USA"",""32"",""1"",""44522"""</f>
        <v>"NAV Direct","CRONUS JetCorp USA","32","1","44522"</v>
      </c>
      <c r="H464" s="86">
        <v>43473</v>
      </c>
      <c r="I464" s="85">
        <v>44522</v>
      </c>
      <c r="J464" s="84" t="str">
        <f>"Customer"</f>
        <v>Customer</v>
      </c>
      <c r="K464" s="84" t="str">
        <f>"C100139"</f>
        <v>C100139</v>
      </c>
      <c r="L464" s="84" t="str">
        <f>IF($J464="Customer",_xll.NL("first",$J464,"Name","No.","@@"&amp;$K464),"")</f>
        <v>Gamma Ray's</v>
      </c>
      <c r="M464" s="84" t="str">
        <f>""</f>
        <v/>
      </c>
      <c r="N464" s="84" t="str">
        <f>IF($J464="Item",_xll.NL("first",$J464,"Description","No.","@@"&amp;$K464),"")</f>
        <v/>
      </c>
      <c r="O464" s="83">
        <v>0</v>
      </c>
      <c r="P464" s="83">
        <v>-144</v>
      </c>
      <c r="Q464" s="83">
        <v>0</v>
      </c>
      <c r="R464" s="83">
        <v>0</v>
      </c>
      <c r="S464" s="83">
        <v>0</v>
      </c>
      <c r="T464" s="83">
        <v>0</v>
      </c>
      <c r="U464" s="82"/>
    </row>
    <row r="465" spans="1:21" ht="17.25" customHeight="1" x14ac:dyDescent="0.3">
      <c r="A465" s="66" t="s">
        <v>30</v>
      </c>
      <c r="C465" s="67"/>
      <c r="D465" s="77" t="str">
        <f t="shared" si="247"/>
        <v>E100021</v>
      </c>
      <c r="E465" s="77"/>
      <c r="F465" s="76"/>
      <c r="G465" s="76" t="str">
        <f>"""NAV Direct"",""CRONUS JetCorp USA"",""32"",""1"",""54700"""</f>
        <v>"NAV Direct","CRONUS JetCorp USA","32","1","54700"</v>
      </c>
      <c r="H465" s="86">
        <v>43474</v>
      </c>
      <c r="I465" s="85">
        <v>54700</v>
      </c>
      <c r="J465" s="84" t="str">
        <f>"Customer"</f>
        <v>Customer</v>
      </c>
      <c r="K465" s="84" t="str">
        <f>"C100096"</f>
        <v>C100096</v>
      </c>
      <c r="L465" s="84" t="str">
        <f>IF($J465="Customer",_xll.NL("first",$J465,"Name","No.","@@"&amp;$K465),"")</f>
        <v>D-Com Industries</v>
      </c>
      <c r="M465" s="84" t="str">
        <f>""</f>
        <v/>
      </c>
      <c r="N465" s="84" t="str">
        <f>IF($J465="Item",_xll.NL("first",$J465,"Description","No.","@@"&amp;$K465),"")</f>
        <v/>
      </c>
      <c r="O465" s="83">
        <v>0</v>
      </c>
      <c r="P465" s="83">
        <v>-144</v>
      </c>
      <c r="Q465" s="83">
        <v>0</v>
      </c>
      <c r="R465" s="83">
        <v>0</v>
      </c>
      <c r="S465" s="83">
        <v>0</v>
      </c>
      <c r="T465" s="83">
        <v>0</v>
      </c>
      <c r="U465" s="82"/>
    </row>
    <row r="466" spans="1:21" ht="17.25" customHeight="1" x14ac:dyDescent="0.3">
      <c r="A466" s="66" t="s">
        <v>30</v>
      </c>
      <c r="C466" s="67"/>
      <c r="D466" s="77"/>
      <c r="E466" s="77"/>
      <c r="F466" s="76"/>
      <c r="G466" s="76"/>
      <c r="H466" s="76"/>
      <c r="I466" s="76"/>
      <c r="J466" s="76"/>
      <c r="K466" s="76"/>
      <c r="L466" s="76"/>
      <c r="M466" s="76"/>
      <c r="N466" s="76"/>
      <c r="O466" s="75"/>
      <c r="P466" s="75"/>
      <c r="Q466" s="75"/>
      <c r="R466" s="75"/>
      <c r="S466" s="75"/>
      <c r="T466" s="75"/>
      <c r="U466" s="74"/>
    </row>
    <row r="467" spans="1:21" ht="17.25" customHeight="1" x14ac:dyDescent="0.3">
      <c r="A467" s="66" t="s">
        <v>30</v>
      </c>
      <c r="C467" s="67"/>
      <c r="D467" s="77"/>
      <c r="E467" s="77" t="s">
        <v>31</v>
      </c>
      <c r="F467" s="76" t="s">
        <v>31</v>
      </c>
      <c r="G467" s="76" t="s">
        <v>31</v>
      </c>
      <c r="H467" s="76"/>
      <c r="I467" s="76"/>
      <c r="J467" s="76" t="s">
        <v>31</v>
      </c>
      <c r="K467" s="76" t="s">
        <v>31</v>
      </c>
      <c r="L467" s="76" t="s">
        <v>31</v>
      </c>
      <c r="M467" s="76" t="s">
        <v>31</v>
      </c>
      <c r="N467" s="76"/>
      <c r="U467" s="81"/>
    </row>
    <row r="468" spans="1:21" ht="20.25" customHeight="1" x14ac:dyDescent="0.35">
      <c r="A468" s="66" t="s">
        <v>30</v>
      </c>
      <c r="C468" s="67"/>
      <c r="D468" s="92" t="str">
        <f t="shared" ref="D468" si="248">E468</f>
        <v>E100022</v>
      </c>
      <c r="E468" s="91" t="str">
        <f>"E100022"</f>
        <v>E100022</v>
      </c>
      <c r="F468" s="89" t="str">
        <f>"Wide Screen Alarm Clock"</f>
        <v>Wide Screen Alarm Clock</v>
      </c>
      <c r="G468" s="89"/>
      <c r="H468" s="90" t="str">
        <f>"EA"</f>
        <v>EA</v>
      </c>
      <c r="I468" s="89"/>
      <c r="J468" s="89"/>
      <c r="K468" s="89"/>
      <c r="L468" s="89"/>
      <c r="M468" s="89"/>
      <c r="N468" s="89"/>
      <c r="O468" s="88">
        <f>(SUBTOTAL(9,O469:O475))</f>
        <v>400</v>
      </c>
      <c r="P468" s="88">
        <f>(SUBTOTAL(9,P469:P475))</f>
        <v>-722</v>
      </c>
      <c r="Q468" s="88">
        <f>(SUBTOTAL(9,Q469:Q475))</f>
        <v>0</v>
      </c>
      <c r="R468" s="88">
        <f>(SUBTOTAL(9,R469:R475))</f>
        <v>0</v>
      </c>
      <c r="S468" s="88">
        <f>(SUBTOTAL(9,S469:S475))</f>
        <v>0</v>
      </c>
      <c r="T468" s="88">
        <f>(SUBTOTAL(9,T469:T475))</f>
        <v>0</v>
      </c>
      <c r="U468" s="87">
        <f t="shared" ref="U468" si="249">SUBTOTAL(9,O469:T475)</f>
        <v>-322</v>
      </c>
    </row>
    <row r="469" spans="1:21" ht="17.25" customHeight="1" x14ac:dyDescent="0.3">
      <c r="A469" s="66" t="s">
        <v>30</v>
      </c>
      <c r="C469" s="67"/>
      <c r="D469" s="77" t="str">
        <f t="shared" ref="D469" si="250">D468</f>
        <v>E100022</v>
      </c>
      <c r="E469" s="77"/>
      <c r="F469" s="76"/>
      <c r="G469" s="76" t="str">
        <f>"""NAV Direct"",""CRONUS JetCorp USA"",""32"",""1"",""167571"""</f>
        <v>"NAV Direct","CRONUS JetCorp USA","32","1","167571"</v>
      </c>
      <c r="H469" s="86">
        <v>43466</v>
      </c>
      <c r="I469" s="85">
        <v>167571</v>
      </c>
      <c r="J469" s="84" t="str">
        <f>"Vendor"</f>
        <v>Vendor</v>
      </c>
      <c r="K469" s="84" t="str">
        <f>"V100001"</f>
        <v>V100001</v>
      </c>
      <c r="L469" s="84" t="str">
        <f>IF($J469="Customer",_xll.NL("first",$J469,"Name","No.","@@"&amp;$K469),"")</f>
        <v/>
      </c>
      <c r="M469" s="84" t="str">
        <f>"Greigner, Inc."</f>
        <v>Greigner, Inc.</v>
      </c>
      <c r="N469" s="84" t="str">
        <f>IF($J469="Item",_xll.NL("first",$J469,"Description","No.","@@"&amp;$K469),"")</f>
        <v/>
      </c>
      <c r="O469" s="83">
        <v>400</v>
      </c>
      <c r="P469" s="83">
        <v>0</v>
      </c>
      <c r="Q469" s="83">
        <v>0</v>
      </c>
      <c r="R469" s="83">
        <v>0</v>
      </c>
      <c r="S469" s="83">
        <v>0</v>
      </c>
      <c r="T469" s="83">
        <v>0</v>
      </c>
      <c r="U469" s="82"/>
    </row>
    <row r="470" spans="1:21" ht="17.25" customHeight="1" x14ac:dyDescent="0.3">
      <c r="A470" s="66" t="s">
        <v>30</v>
      </c>
      <c r="C470" s="67"/>
      <c r="D470" s="77" t="str">
        <f t="shared" ref="D470:D474" si="251">D469</f>
        <v>E100022</v>
      </c>
      <c r="E470" s="77"/>
      <c r="F470" s="76"/>
      <c r="G470" s="76" t="str">
        <f>"""NAV Direct"",""CRONUS JetCorp USA"",""32"",""1"",""64575"""</f>
        <v>"NAV Direct","CRONUS JetCorp USA","32","1","64575"</v>
      </c>
      <c r="H470" s="86">
        <v>43469</v>
      </c>
      <c r="I470" s="85">
        <v>64575</v>
      </c>
      <c r="J470" s="84" t="str">
        <f>"Customer"</f>
        <v>Customer</v>
      </c>
      <c r="K470" s="84" t="str">
        <f>"C100140"</f>
        <v>C100140</v>
      </c>
      <c r="L470" s="84" t="str">
        <f>IF($J470="Customer",_xll.NL("first",$J470,"Name","No.","@@"&amp;$K470),"")</f>
        <v>Super Daves</v>
      </c>
      <c r="M470" s="84" t="str">
        <f>""</f>
        <v/>
      </c>
      <c r="N470" s="84" t="str">
        <f>IF($J470="Item",_xll.NL("first",$J470,"Description","No.","@@"&amp;$K470),"")</f>
        <v/>
      </c>
      <c r="O470" s="83">
        <v>0</v>
      </c>
      <c r="P470" s="83">
        <v>-288</v>
      </c>
      <c r="Q470" s="83">
        <v>0</v>
      </c>
      <c r="R470" s="83">
        <v>0</v>
      </c>
      <c r="S470" s="83">
        <v>0</v>
      </c>
      <c r="T470" s="83">
        <v>0</v>
      </c>
      <c r="U470" s="82"/>
    </row>
    <row r="471" spans="1:21" ht="17.25" customHeight="1" x14ac:dyDescent="0.3">
      <c r="A471" s="66" t="s">
        <v>30</v>
      </c>
      <c r="C471" s="67"/>
      <c r="D471" s="77" t="str">
        <f t="shared" si="251"/>
        <v>E100022</v>
      </c>
      <c r="E471" s="77"/>
      <c r="F471" s="76"/>
      <c r="G471" s="76" t="str">
        <f>"""NAV Direct"",""CRONUS JetCorp USA"",""32"",""1"",""10221"""</f>
        <v>"NAV Direct","CRONUS JetCorp USA","32","1","10221"</v>
      </c>
      <c r="H471" s="86">
        <v>43471</v>
      </c>
      <c r="I471" s="85">
        <v>10221</v>
      </c>
      <c r="J471" s="84" t="str">
        <f>"Customer"</f>
        <v>Customer</v>
      </c>
      <c r="K471" s="84" t="str">
        <f>"C100066"</f>
        <v>C100066</v>
      </c>
      <c r="L471" s="84" t="str">
        <f>IF($J471="Customer",_xll.NL("first",$J471,"Name","No.","@@"&amp;$K471),"")</f>
        <v>Office Solutions</v>
      </c>
      <c r="M471" s="84" t="str">
        <f>""</f>
        <v/>
      </c>
      <c r="N471" s="84" t="str">
        <f>IF($J471="Item",_xll.NL("first",$J471,"Description","No.","@@"&amp;$K471),"")</f>
        <v/>
      </c>
      <c r="O471" s="83">
        <v>0</v>
      </c>
      <c r="P471" s="83">
        <v>-144</v>
      </c>
      <c r="Q471" s="83">
        <v>0</v>
      </c>
      <c r="R471" s="83">
        <v>0</v>
      </c>
      <c r="S471" s="83">
        <v>0</v>
      </c>
      <c r="T471" s="83">
        <v>0</v>
      </c>
      <c r="U471" s="82"/>
    </row>
    <row r="472" spans="1:21" ht="17.25" customHeight="1" x14ac:dyDescent="0.3">
      <c r="A472" s="66" t="s">
        <v>30</v>
      </c>
      <c r="C472" s="67"/>
      <c r="D472" s="77" t="str">
        <f t="shared" si="251"/>
        <v>E100022</v>
      </c>
      <c r="E472" s="77"/>
      <c r="F472" s="76"/>
      <c r="G472" s="76" t="str">
        <f>"""NAV Direct"",""CRONUS JetCorp USA"",""32"",""1"",""44470"""</f>
        <v>"NAV Direct","CRONUS JetCorp USA","32","1","44470"</v>
      </c>
      <c r="H472" s="86">
        <v>43472</v>
      </c>
      <c r="I472" s="85">
        <v>44470</v>
      </c>
      <c r="J472" s="84" t="str">
        <f>"Customer"</f>
        <v>Customer</v>
      </c>
      <c r="K472" s="84" t="str">
        <f>"C100141"</f>
        <v>C100141</v>
      </c>
      <c r="L472" s="84" t="str">
        <f>IF($J472="Customer",_xll.NL("first",$J472,"Name","No.","@@"&amp;$K472),"")</f>
        <v>Bargottis</v>
      </c>
      <c r="M472" s="84" t="str">
        <f>""</f>
        <v/>
      </c>
      <c r="N472" s="84" t="str">
        <f>IF($J472="Item",_xll.NL("first",$J472,"Description","No.","@@"&amp;$K472),"")</f>
        <v/>
      </c>
      <c r="O472" s="83">
        <v>0</v>
      </c>
      <c r="P472" s="83">
        <v>-144</v>
      </c>
      <c r="Q472" s="83">
        <v>0</v>
      </c>
      <c r="R472" s="83">
        <v>0</v>
      </c>
      <c r="S472" s="83">
        <v>0</v>
      </c>
      <c r="T472" s="83">
        <v>0</v>
      </c>
      <c r="U472" s="82"/>
    </row>
    <row r="473" spans="1:21" ht="17.25" customHeight="1" x14ac:dyDescent="0.3">
      <c r="A473" s="66" t="s">
        <v>30</v>
      </c>
      <c r="C473" s="67"/>
      <c r="D473" s="77" t="str">
        <f t="shared" si="251"/>
        <v>E100022</v>
      </c>
      <c r="E473" s="77"/>
      <c r="F473" s="76"/>
      <c r="G473" s="76" t="str">
        <f>"""NAV Direct"",""CRONUS JetCorp USA"",""32"",""1"",""116383"""</f>
        <v>"NAV Direct","CRONUS JetCorp USA","32","1","116383"</v>
      </c>
      <c r="H473" s="86">
        <v>43473</v>
      </c>
      <c r="I473" s="85">
        <v>116383</v>
      </c>
      <c r="J473" s="84" t="str">
        <f>"Customer"</f>
        <v>Customer</v>
      </c>
      <c r="K473" s="84" t="str">
        <f>"C100066"</f>
        <v>C100066</v>
      </c>
      <c r="L473" s="84" t="str">
        <f>IF($J473="Customer",_xll.NL("first",$J473,"Name","No.","@@"&amp;$K473),"")</f>
        <v>Office Solutions</v>
      </c>
      <c r="M473" s="84" t="str">
        <f>""</f>
        <v/>
      </c>
      <c r="N473" s="84" t="str">
        <f>IF($J473="Item",_xll.NL("first",$J473,"Description","No.","@@"&amp;$K473),"")</f>
        <v/>
      </c>
      <c r="O473" s="83">
        <v>0</v>
      </c>
      <c r="P473" s="83">
        <v>-2</v>
      </c>
      <c r="Q473" s="83">
        <v>0</v>
      </c>
      <c r="R473" s="83">
        <v>0</v>
      </c>
      <c r="S473" s="83">
        <v>0</v>
      </c>
      <c r="T473" s="83">
        <v>0</v>
      </c>
      <c r="U473" s="82"/>
    </row>
    <row r="474" spans="1:21" ht="17.25" customHeight="1" x14ac:dyDescent="0.3">
      <c r="A474" s="66" t="s">
        <v>30</v>
      </c>
      <c r="C474" s="67"/>
      <c r="D474" s="77" t="str">
        <f t="shared" si="251"/>
        <v>E100022</v>
      </c>
      <c r="E474" s="77"/>
      <c r="F474" s="76"/>
      <c r="G474" s="76" t="str">
        <f>"""NAV Direct"",""CRONUS JetCorp USA"",""32"",""1"",""54704"""</f>
        <v>"NAV Direct","CRONUS JetCorp USA","32","1","54704"</v>
      </c>
      <c r="H474" s="86">
        <v>43474</v>
      </c>
      <c r="I474" s="85">
        <v>54704</v>
      </c>
      <c r="J474" s="84" t="str">
        <f>"Customer"</f>
        <v>Customer</v>
      </c>
      <c r="K474" s="84" t="str">
        <f>"C100096"</f>
        <v>C100096</v>
      </c>
      <c r="L474" s="84" t="str">
        <f>IF($J474="Customer",_xll.NL("first",$J474,"Name","No.","@@"&amp;$K474),"")</f>
        <v>D-Com Industries</v>
      </c>
      <c r="M474" s="84" t="str">
        <f>""</f>
        <v/>
      </c>
      <c r="N474" s="84" t="str">
        <f>IF($J474="Item",_xll.NL("first",$J474,"Description","No.","@@"&amp;$K474),"")</f>
        <v/>
      </c>
      <c r="O474" s="83">
        <v>0</v>
      </c>
      <c r="P474" s="83">
        <v>-144</v>
      </c>
      <c r="Q474" s="83">
        <v>0</v>
      </c>
      <c r="R474" s="83">
        <v>0</v>
      </c>
      <c r="S474" s="83">
        <v>0</v>
      </c>
      <c r="T474" s="83">
        <v>0</v>
      </c>
      <c r="U474" s="82"/>
    </row>
    <row r="475" spans="1:21" ht="17.25" customHeight="1" x14ac:dyDescent="0.3">
      <c r="A475" s="66" t="s">
        <v>30</v>
      </c>
      <c r="C475" s="67"/>
      <c r="D475" s="77"/>
      <c r="E475" s="77"/>
      <c r="F475" s="76"/>
      <c r="G475" s="76"/>
      <c r="H475" s="76"/>
      <c r="I475" s="76"/>
      <c r="J475" s="76"/>
      <c r="K475" s="76"/>
      <c r="L475" s="76"/>
      <c r="M475" s="76"/>
      <c r="N475" s="76"/>
      <c r="O475" s="75"/>
      <c r="P475" s="75"/>
      <c r="Q475" s="75"/>
      <c r="R475" s="75"/>
      <c r="S475" s="75"/>
      <c r="T475" s="75"/>
      <c r="U475" s="74"/>
    </row>
    <row r="476" spans="1:21" ht="17.25" customHeight="1" x14ac:dyDescent="0.3">
      <c r="A476" s="66" t="s">
        <v>30</v>
      </c>
      <c r="C476" s="67"/>
      <c r="D476" s="77"/>
      <c r="E476" s="77" t="s">
        <v>31</v>
      </c>
      <c r="F476" s="76" t="s">
        <v>31</v>
      </c>
      <c r="G476" s="76" t="s">
        <v>31</v>
      </c>
      <c r="H476" s="76"/>
      <c r="I476" s="76"/>
      <c r="J476" s="76" t="s">
        <v>31</v>
      </c>
      <c r="K476" s="76" t="s">
        <v>31</v>
      </c>
      <c r="L476" s="76" t="s">
        <v>31</v>
      </c>
      <c r="M476" s="76" t="s">
        <v>31</v>
      </c>
      <c r="N476" s="76"/>
      <c r="U476" s="81"/>
    </row>
    <row r="477" spans="1:21" ht="20.25" customHeight="1" x14ac:dyDescent="0.35">
      <c r="A477" s="66" t="s">
        <v>30</v>
      </c>
      <c r="C477" s="67"/>
      <c r="D477" s="92" t="str">
        <f t="shared" ref="D477" si="252">E477</f>
        <v>E100023</v>
      </c>
      <c r="E477" s="91" t="str">
        <f>"E100023"</f>
        <v>E100023</v>
      </c>
      <c r="F477" s="89" t="str">
        <f>"Sport Earbuds"</f>
        <v>Sport Earbuds</v>
      </c>
      <c r="G477" s="89"/>
      <c r="H477" s="90" t="str">
        <f>"EA"</f>
        <v>EA</v>
      </c>
      <c r="I477" s="89"/>
      <c r="J477" s="89"/>
      <c r="K477" s="89"/>
      <c r="L477" s="89"/>
      <c r="M477" s="89"/>
      <c r="N477" s="89"/>
      <c r="O477" s="88">
        <f>(SUBTOTAL(9,O478:O482))</f>
        <v>900</v>
      </c>
      <c r="P477" s="88">
        <f>(SUBTOTAL(9,P478:P482))</f>
        <v>-289</v>
      </c>
      <c r="Q477" s="88">
        <f>(SUBTOTAL(9,Q478:Q482))</f>
        <v>0</v>
      </c>
      <c r="R477" s="88">
        <f>(SUBTOTAL(9,R478:R482))</f>
        <v>0</v>
      </c>
      <c r="S477" s="88">
        <f>(SUBTOTAL(9,S478:S482))</f>
        <v>0</v>
      </c>
      <c r="T477" s="88">
        <f>(SUBTOTAL(9,T478:T482))</f>
        <v>0</v>
      </c>
      <c r="U477" s="87">
        <f t="shared" ref="U477" si="253">SUBTOTAL(9,O478:T482)</f>
        <v>611</v>
      </c>
    </row>
    <row r="478" spans="1:21" ht="17.25" customHeight="1" x14ac:dyDescent="0.3">
      <c r="A478" s="66" t="s">
        <v>30</v>
      </c>
      <c r="C478" s="67"/>
      <c r="D478" s="77" t="str">
        <f t="shared" ref="D478" si="254">D477</f>
        <v>E100023</v>
      </c>
      <c r="E478" s="77"/>
      <c r="F478" s="76"/>
      <c r="G478" s="76" t="str">
        <f>"""NAV Direct"",""CRONUS JetCorp USA"",""32"",""1"",""168037"""</f>
        <v>"NAV Direct","CRONUS JetCorp USA","32","1","168037"</v>
      </c>
      <c r="H478" s="86">
        <v>43466</v>
      </c>
      <c r="I478" s="85">
        <v>168037</v>
      </c>
      <c r="J478" s="84" t="str">
        <f>"Vendor"</f>
        <v>Vendor</v>
      </c>
      <c r="K478" s="84" t="str">
        <f>"V100001"</f>
        <v>V100001</v>
      </c>
      <c r="L478" s="84" t="str">
        <f>IF($J478="Customer",_xll.NL("first",$J478,"Name","No.","@@"&amp;$K478),"")</f>
        <v/>
      </c>
      <c r="M478" s="84" t="str">
        <f>"Greigner, Inc."</f>
        <v>Greigner, Inc.</v>
      </c>
      <c r="N478" s="84" t="str">
        <f>IF($J478="Item",_xll.NL("first",$J478,"Description","No.","@@"&amp;$K478),"")</f>
        <v/>
      </c>
      <c r="O478" s="83">
        <v>900</v>
      </c>
      <c r="P478" s="83">
        <v>0</v>
      </c>
      <c r="Q478" s="83">
        <v>0</v>
      </c>
      <c r="R478" s="83">
        <v>0</v>
      </c>
      <c r="S478" s="83">
        <v>0</v>
      </c>
      <c r="T478" s="83">
        <v>0</v>
      </c>
      <c r="U478" s="82"/>
    </row>
    <row r="479" spans="1:21" ht="17.25" customHeight="1" x14ac:dyDescent="0.3">
      <c r="A479" s="66" t="s">
        <v>30</v>
      </c>
      <c r="C479" s="67"/>
      <c r="D479" s="77" t="str">
        <f t="shared" ref="D479:D481" si="255">D478</f>
        <v>E100023</v>
      </c>
      <c r="E479" s="77"/>
      <c r="F479" s="76"/>
      <c r="G479" s="76" t="str">
        <f>"""NAV Direct"",""CRONUS JetCorp USA"",""32"",""1"",""64572"""</f>
        <v>"NAV Direct","CRONUS JetCorp USA","32","1","64572"</v>
      </c>
      <c r="H479" s="86">
        <v>43469</v>
      </c>
      <c r="I479" s="85">
        <v>64572</v>
      </c>
      <c r="J479" s="84" t="str">
        <f>"Customer"</f>
        <v>Customer</v>
      </c>
      <c r="K479" s="84" t="str">
        <f>"C100140"</f>
        <v>C100140</v>
      </c>
      <c r="L479" s="84" t="str">
        <f>IF($J479="Customer",_xll.NL("first",$J479,"Name","No.","@@"&amp;$K479),"")</f>
        <v>Super Daves</v>
      </c>
      <c r="M479" s="84" t="str">
        <f>""</f>
        <v/>
      </c>
      <c r="N479" s="84" t="str">
        <f>IF($J479="Item",_xll.NL("first",$J479,"Description","No.","@@"&amp;$K479),"")</f>
        <v/>
      </c>
      <c r="O479" s="83">
        <v>0</v>
      </c>
      <c r="P479" s="83">
        <v>-144</v>
      </c>
      <c r="Q479" s="83">
        <v>0</v>
      </c>
      <c r="R479" s="83">
        <v>0</v>
      </c>
      <c r="S479" s="83">
        <v>0</v>
      </c>
      <c r="T479" s="83">
        <v>0</v>
      </c>
      <c r="U479" s="82"/>
    </row>
    <row r="480" spans="1:21" ht="17.25" customHeight="1" x14ac:dyDescent="0.3">
      <c r="A480" s="66" t="s">
        <v>30</v>
      </c>
      <c r="C480" s="67"/>
      <c r="D480" s="77" t="str">
        <f t="shared" si="255"/>
        <v>E100023</v>
      </c>
      <c r="E480" s="77"/>
      <c r="F480" s="76"/>
      <c r="G480" s="76" t="str">
        <f>"""NAV Direct"",""CRONUS JetCorp USA"",""32"",""1"",""44540"""</f>
        <v>"NAV Direct","CRONUS JetCorp USA","32","1","44540"</v>
      </c>
      <c r="H480" s="86">
        <v>43473</v>
      </c>
      <c r="I480" s="85">
        <v>44540</v>
      </c>
      <c r="J480" s="84" t="str">
        <f>"Customer"</f>
        <v>Customer</v>
      </c>
      <c r="K480" s="84" t="str">
        <f>"C100139"</f>
        <v>C100139</v>
      </c>
      <c r="L480" s="84" t="str">
        <f>IF($J480="Customer",_xll.NL("first",$J480,"Name","No.","@@"&amp;$K480),"")</f>
        <v>Gamma Ray's</v>
      </c>
      <c r="M480" s="84" t="str">
        <f>""</f>
        <v/>
      </c>
      <c r="N480" s="84" t="str">
        <f>IF($J480="Item",_xll.NL("first",$J480,"Description","No.","@@"&amp;$K480),"")</f>
        <v/>
      </c>
      <c r="O480" s="83">
        <v>0</v>
      </c>
      <c r="P480" s="83">
        <v>-1</v>
      </c>
      <c r="Q480" s="83">
        <v>0</v>
      </c>
      <c r="R480" s="83">
        <v>0</v>
      </c>
      <c r="S480" s="83">
        <v>0</v>
      </c>
      <c r="T480" s="83">
        <v>0</v>
      </c>
      <c r="U480" s="82"/>
    </row>
    <row r="481" spans="1:21" ht="17.25" customHeight="1" x14ac:dyDescent="0.3">
      <c r="A481" s="66" t="s">
        <v>30</v>
      </c>
      <c r="C481" s="67"/>
      <c r="D481" s="77" t="str">
        <f t="shared" si="255"/>
        <v>E100023</v>
      </c>
      <c r="E481" s="77"/>
      <c r="F481" s="76"/>
      <c r="G481" s="76" t="str">
        <f>"""NAV Direct"",""CRONUS JetCorp USA"",""32"",""1"",""54695"""</f>
        <v>"NAV Direct","CRONUS JetCorp USA","32","1","54695"</v>
      </c>
      <c r="H481" s="86">
        <v>43474</v>
      </c>
      <c r="I481" s="85">
        <v>54695</v>
      </c>
      <c r="J481" s="84" t="str">
        <f>"Customer"</f>
        <v>Customer</v>
      </c>
      <c r="K481" s="84" t="str">
        <f>"C100096"</f>
        <v>C100096</v>
      </c>
      <c r="L481" s="84" t="str">
        <f>IF($J481="Customer",_xll.NL("first",$J481,"Name","No.","@@"&amp;$K481),"")</f>
        <v>D-Com Industries</v>
      </c>
      <c r="M481" s="84" t="str">
        <f>""</f>
        <v/>
      </c>
      <c r="N481" s="84" t="str">
        <f>IF($J481="Item",_xll.NL("first",$J481,"Description","No.","@@"&amp;$K481),"")</f>
        <v/>
      </c>
      <c r="O481" s="83">
        <v>0</v>
      </c>
      <c r="P481" s="83">
        <v>-144</v>
      </c>
      <c r="Q481" s="83">
        <v>0</v>
      </c>
      <c r="R481" s="83">
        <v>0</v>
      </c>
      <c r="S481" s="83">
        <v>0</v>
      </c>
      <c r="T481" s="83">
        <v>0</v>
      </c>
      <c r="U481" s="82"/>
    </row>
    <row r="482" spans="1:21" ht="17.25" customHeight="1" x14ac:dyDescent="0.3">
      <c r="A482" s="66" t="s">
        <v>30</v>
      </c>
      <c r="C482" s="67"/>
      <c r="D482" s="77"/>
      <c r="E482" s="77"/>
      <c r="F482" s="76"/>
      <c r="G482" s="76"/>
      <c r="H482" s="76"/>
      <c r="I482" s="76"/>
      <c r="J482" s="76"/>
      <c r="K482" s="76"/>
      <c r="L482" s="76"/>
      <c r="M482" s="76"/>
      <c r="N482" s="76"/>
      <c r="O482" s="75"/>
      <c r="P482" s="75"/>
      <c r="Q482" s="75"/>
      <c r="R482" s="75"/>
      <c r="S482" s="75"/>
      <c r="T482" s="75"/>
      <c r="U482" s="74"/>
    </row>
    <row r="483" spans="1:21" ht="17.25" customHeight="1" x14ac:dyDescent="0.3">
      <c r="A483" s="66" t="s">
        <v>30</v>
      </c>
      <c r="C483" s="67"/>
      <c r="D483" s="77"/>
      <c r="E483" s="77" t="s">
        <v>31</v>
      </c>
      <c r="F483" s="76" t="s">
        <v>31</v>
      </c>
      <c r="G483" s="76" t="s">
        <v>31</v>
      </c>
      <c r="H483" s="76"/>
      <c r="I483" s="76"/>
      <c r="J483" s="76" t="s">
        <v>31</v>
      </c>
      <c r="K483" s="76" t="s">
        <v>31</v>
      </c>
      <c r="L483" s="76" t="s">
        <v>31</v>
      </c>
      <c r="M483" s="76" t="s">
        <v>31</v>
      </c>
      <c r="N483" s="76"/>
      <c r="U483" s="81"/>
    </row>
    <row r="484" spans="1:21" ht="20.25" customHeight="1" x14ac:dyDescent="0.35">
      <c r="A484" s="66" t="s">
        <v>30</v>
      </c>
      <c r="C484" s="67"/>
      <c r="D484" s="92" t="str">
        <f t="shared" ref="D484" si="256">E484</f>
        <v>E100024</v>
      </c>
      <c r="E484" s="91" t="str">
        <f>"E100024"</f>
        <v>E100024</v>
      </c>
      <c r="F484" s="89" t="str">
        <f>"Arch Calculator"</f>
        <v>Arch Calculator</v>
      </c>
      <c r="G484" s="89"/>
      <c r="H484" s="90" t="str">
        <f>"EA"</f>
        <v>EA</v>
      </c>
      <c r="I484" s="89"/>
      <c r="J484" s="89"/>
      <c r="K484" s="89"/>
      <c r="L484" s="89"/>
      <c r="M484" s="89"/>
      <c r="N484" s="89"/>
      <c r="O484" s="88">
        <f>(SUBTOTAL(9,O485:O488))</f>
        <v>1250</v>
      </c>
      <c r="P484" s="88">
        <f>(SUBTOTAL(9,P485:P488))</f>
        <v>-54</v>
      </c>
      <c r="Q484" s="88">
        <f>(SUBTOTAL(9,Q485:Q488))</f>
        <v>0</v>
      </c>
      <c r="R484" s="88">
        <f>(SUBTOTAL(9,R485:R488))</f>
        <v>0</v>
      </c>
      <c r="S484" s="88">
        <f>(SUBTOTAL(9,S485:S488))</f>
        <v>0</v>
      </c>
      <c r="T484" s="88">
        <f>(SUBTOTAL(9,T485:T488))</f>
        <v>0</v>
      </c>
      <c r="U484" s="87">
        <f t="shared" ref="U484" si="257">SUBTOTAL(9,O485:T488)</f>
        <v>1196</v>
      </c>
    </row>
    <row r="485" spans="1:21" ht="17.25" customHeight="1" x14ac:dyDescent="0.3">
      <c r="A485" s="66" t="s">
        <v>30</v>
      </c>
      <c r="C485" s="67"/>
      <c r="D485" s="77" t="str">
        <f t="shared" ref="D485" si="258">D484</f>
        <v>E100024</v>
      </c>
      <c r="E485" s="77"/>
      <c r="F485" s="76"/>
      <c r="G485" s="76" t="str">
        <f>"""NAV Direct"",""CRONUS JetCorp USA"",""32"",""1"",""168344"""</f>
        <v>"NAV Direct","CRONUS JetCorp USA","32","1","168344"</v>
      </c>
      <c r="H485" s="86">
        <v>43466</v>
      </c>
      <c r="I485" s="85">
        <v>168344</v>
      </c>
      <c r="J485" s="84" t="str">
        <f>"Vendor"</f>
        <v>Vendor</v>
      </c>
      <c r="K485" s="84" t="str">
        <f>"V100001"</f>
        <v>V100001</v>
      </c>
      <c r="L485" s="84" t="str">
        <f>IF($J485="Customer",_xll.NL("first",$J485,"Name","No.","@@"&amp;$K485),"")</f>
        <v/>
      </c>
      <c r="M485" s="84" t="str">
        <f>"Greigner, Inc."</f>
        <v>Greigner, Inc.</v>
      </c>
      <c r="N485" s="84" t="str">
        <f>IF($J485="Item",_xll.NL("first",$J485,"Description","No.","@@"&amp;$K485),"")</f>
        <v/>
      </c>
      <c r="O485" s="83">
        <v>1250</v>
      </c>
      <c r="P485" s="83">
        <v>0</v>
      </c>
      <c r="Q485" s="83">
        <v>0</v>
      </c>
      <c r="R485" s="83">
        <v>0</v>
      </c>
      <c r="S485" s="83">
        <v>0</v>
      </c>
      <c r="T485" s="83">
        <v>0</v>
      </c>
      <c r="U485" s="82"/>
    </row>
    <row r="486" spans="1:21" ht="17.25" customHeight="1" x14ac:dyDescent="0.3">
      <c r="A486" s="66" t="s">
        <v>30</v>
      </c>
      <c r="C486" s="67"/>
      <c r="D486" s="77" t="str">
        <f t="shared" ref="D486:D487" si="259">D485</f>
        <v>E100024</v>
      </c>
      <c r="E486" s="77"/>
      <c r="F486" s="76"/>
      <c r="G486" s="76" t="str">
        <f>"""NAV Direct"",""CRONUS JetCorp USA"",""32"",""1"",""44532"""</f>
        <v>"NAV Direct","CRONUS JetCorp USA","32","1","44532"</v>
      </c>
      <c r="H486" s="86">
        <v>43473</v>
      </c>
      <c r="I486" s="85">
        <v>44532</v>
      </c>
      <c r="J486" s="84" t="str">
        <f>"Customer"</f>
        <v>Customer</v>
      </c>
      <c r="K486" s="84" t="str">
        <f>"C100139"</f>
        <v>C100139</v>
      </c>
      <c r="L486" s="84" t="str">
        <f>IF($J486="Customer",_xll.NL("first",$J486,"Name","No.","@@"&amp;$K486),"")</f>
        <v>Gamma Ray's</v>
      </c>
      <c r="M486" s="84" t="str">
        <f>""</f>
        <v/>
      </c>
      <c r="N486" s="84" t="str">
        <f>IF($J486="Item",_xll.NL("first",$J486,"Description","No.","@@"&amp;$K486),"")</f>
        <v/>
      </c>
      <c r="O486" s="83">
        <v>0</v>
      </c>
      <c r="P486" s="83">
        <v>-48</v>
      </c>
      <c r="Q486" s="83">
        <v>0</v>
      </c>
      <c r="R486" s="83">
        <v>0</v>
      </c>
      <c r="S486" s="83">
        <v>0</v>
      </c>
      <c r="T486" s="83">
        <v>0</v>
      </c>
      <c r="U486" s="82"/>
    </row>
    <row r="487" spans="1:21" ht="17.25" customHeight="1" x14ac:dyDescent="0.3">
      <c r="A487" s="66" t="s">
        <v>30</v>
      </c>
      <c r="C487" s="67"/>
      <c r="D487" s="77" t="str">
        <f t="shared" si="259"/>
        <v>E100024</v>
      </c>
      <c r="E487" s="77"/>
      <c r="F487" s="76"/>
      <c r="G487" s="76" t="str">
        <f>"""NAV Direct"",""CRONUS JetCorp USA"",""32"",""1"",""153184"""</f>
        <v>"NAV Direct","CRONUS JetCorp USA","32","1","153184"</v>
      </c>
      <c r="H487" s="86">
        <v>43475</v>
      </c>
      <c r="I487" s="85">
        <v>153184</v>
      </c>
      <c r="J487" s="84" t="str">
        <f>"Customer"</f>
        <v>Customer</v>
      </c>
      <c r="K487" s="84" t="str">
        <f>"C100108"</f>
        <v>C100108</v>
      </c>
      <c r="L487" s="84" t="str">
        <f>IF($J487="Customer",_xll.NL("first",$J487,"Name","No.","@@"&amp;$K487),"")</f>
        <v>Kinfix Industries</v>
      </c>
      <c r="M487" s="84" t="str">
        <f>""</f>
        <v/>
      </c>
      <c r="N487" s="84" t="str">
        <f>IF($J487="Item",_xll.NL("first",$J487,"Description","No.","@@"&amp;$K487),"")</f>
        <v/>
      </c>
      <c r="O487" s="83">
        <v>0</v>
      </c>
      <c r="P487" s="83">
        <v>-6</v>
      </c>
      <c r="Q487" s="83">
        <v>0</v>
      </c>
      <c r="R487" s="83">
        <v>0</v>
      </c>
      <c r="S487" s="83">
        <v>0</v>
      </c>
      <c r="T487" s="83">
        <v>0</v>
      </c>
      <c r="U487" s="82"/>
    </row>
    <row r="488" spans="1:21" ht="17.25" customHeight="1" x14ac:dyDescent="0.3">
      <c r="A488" s="66" t="s">
        <v>30</v>
      </c>
      <c r="C488" s="67"/>
      <c r="D488" s="77"/>
      <c r="E488" s="77"/>
      <c r="F488" s="76"/>
      <c r="G488" s="76"/>
      <c r="H488" s="76"/>
      <c r="I488" s="76"/>
      <c r="J488" s="76"/>
      <c r="K488" s="76"/>
      <c r="L488" s="76"/>
      <c r="M488" s="76"/>
      <c r="N488" s="76"/>
      <c r="O488" s="75"/>
      <c r="P488" s="75"/>
      <c r="Q488" s="75"/>
      <c r="R488" s="75"/>
      <c r="S488" s="75"/>
      <c r="T488" s="75"/>
      <c r="U488" s="74"/>
    </row>
    <row r="489" spans="1:21" ht="17.25" customHeight="1" x14ac:dyDescent="0.3">
      <c r="A489" s="66" t="s">
        <v>30</v>
      </c>
      <c r="C489" s="67"/>
      <c r="D489" s="77"/>
      <c r="E489" s="77" t="s">
        <v>31</v>
      </c>
      <c r="F489" s="76" t="s">
        <v>31</v>
      </c>
      <c r="G489" s="76" t="s">
        <v>31</v>
      </c>
      <c r="H489" s="76"/>
      <c r="I489" s="76"/>
      <c r="J489" s="76" t="s">
        <v>31</v>
      </c>
      <c r="K489" s="76" t="s">
        <v>31</v>
      </c>
      <c r="L489" s="76" t="s">
        <v>31</v>
      </c>
      <c r="M489" s="76" t="s">
        <v>31</v>
      </c>
      <c r="N489" s="76"/>
      <c r="U489" s="81"/>
    </row>
    <row r="490" spans="1:21" ht="20.25" customHeight="1" x14ac:dyDescent="0.35">
      <c r="A490" s="66" t="s">
        <v>30</v>
      </c>
      <c r="C490" s="67"/>
      <c r="D490" s="92" t="str">
        <f t="shared" ref="D490" si="260">E490</f>
        <v>E100025</v>
      </c>
      <c r="E490" s="91" t="str">
        <f>"E100025"</f>
        <v>E100025</v>
      </c>
      <c r="F490" s="89" t="str">
        <f>"Calc-U-Note"</f>
        <v>Calc-U-Note</v>
      </c>
      <c r="G490" s="89"/>
      <c r="H490" s="90" t="str">
        <f>"EA"</f>
        <v>EA</v>
      </c>
      <c r="I490" s="89"/>
      <c r="J490" s="89"/>
      <c r="K490" s="89"/>
      <c r="L490" s="89"/>
      <c r="M490" s="89"/>
      <c r="N490" s="89"/>
      <c r="O490" s="88">
        <f>(SUBTOTAL(9,O491:O493))</f>
        <v>999.99999999999989</v>
      </c>
      <c r="P490" s="88">
        <f>(SUBTOTAL(9,P491:P493))</f>
        <v>-1</v>
      </c>
      <c r="Q490" s="88">
        <f>(SUBTOTAL(9,Q491:Q493))</f>
        <v>0</v>
      </c>
      <c r="R490" s="88">
        <f>(SUBTOTAL(9,R491:R493))</f>
        <v>0</v>
      </c>
      <c r="S490" s="88">
        <f>(SUBTOTAL(9,S491:S493))</f>
        <v>0</v>
      </c>
      <c r="T490" s="88">
        <f>(SUBTOTAL(9,T491:T493))</f>
        <v>0</v>
      </c>
      <c r="U490" s="87">
        <f t="shared" ref="U490" si="261">SUBTOTAL(9,O491:T493)</f>
        <v>998.99999999999989</v>
      </c>
    </row>
    <row r="491" spans="1:21" ht="17.25" customHeight="1" x14ac:dyDescent="0.3">
      <c r="A491" s="66" t="s">
        <v>30</v>
      </c>
      <c r="C491" s="67"/>
      <c r="D491" s="77" t="str">
        <f t="shared" ref="D491" si="262">D490</f>
        <v>E100025</v>
      </c>
      <c r="E491" s="77"/>
      <c r="F491" s="76"/>
      <c r="G491" s="76" t="str">
        <f>"""NAV Direct"",""CRONUS JetCorp USA"",""32"",""1"",""168343"""</f>
        <v>"NAV Direct","CRONUS JetCorp USA","32","1","168343"</v>
      </c>
      <c r="H491" s="86">
        <v>43466</v>
      </c>
      <c r="I491" s="85">
        <v>168343</v>
      </c>
      <c r="J491" s="84" t="str">
        <f>"Vendor"</f>
        <v>Vendor</v>
      </c>
      <c r="K491" s="84" t="str">
        <f>"V100001"</f>
        <v>V100001</v>
      </c>
      <c r="L491" s="84" t="str">
        <f>IF($J491="Customer",_xll.NL("first",$J491,"Name","No.","@@"&amp;$K491),"")</f>
        <v/>
      </c>
      <c r="M491" s="84" t="str">
        <f>"Greigner, Inc."</f>
        <v>Greigner, Inc.</v>
      </c>
      <c r="N491" s="84" t="str">
        <f>IF($J491="Item",_xll.NL("first",$J491,"Description","No.","@@"&amp;$K491),"")</f>
        <v/>
      </c>
      <c r="O491" s="83">
        <v>999.99999999999989</v>
      </c>
      <c r="P491" s="83">
        <v>0</v>
      </c>
      <c r="Q491" s="83">
        <v>0</v>
      </c>
      <c r="R491" s="83">
        <v>0</v>
      </c>
      <c r="S491" s="83">
        <v>0</v>
      </c>
      <c r="T491" s="83">
        <v>0</v>
      </c>
      <c r="U491" s="82"/>
    </row>
    <row r="492" spans="1:21" ht="17.25" customHeight="1" x14ac:dyDescent="0.3">
      <c r="A492" s="66" t="s">
        <v>30</v>
      </c>
      <c r="C492" s="67"/>
      <c r="D492" s="77" t="str">
        <f t="shared" ref="D492" si="263">D491</f>
        <v>E100025</v>
      </c>
      <c r="E492" s="77"/>
      <c r="F492" s="76"/>
      <c r="G492" s="76" t="str">
        <f>"""NAV Direct"",""CRONUS JetCorp USA"",""32"",""1"",""54715"""</f>
        <v>"NAV Direct","CRONUS JetCorp USA","32","1","54715"</v>
      </c>
      <c r="H492" s="86">
        <v>43474</v>
      </c>
      <c r="I492" s="85">
        <v>54715</v>
      </c>
      <c r="J492" s="84" t="str">
        <f>"Customer"</f>
        <v>Customer</v>
      </c>
      <c r="K492" s="84" t="str">
        <f>"C100096"</f>
        <v>C100096</v>
      </c>
      <c r="L492" s="84" t="str">
        <f>IF($J492="Customer",_xll.NL("first",$J492,"Name","No.","@@"&amp;$K492),"")</f>
        <v>D-Com Industries</v>
      </c>
      <c r="M492" s="84" t="str">
        <f>""</f>
        <v/>
      </c>
      <c r="N492" s="84" t="str">
        <f>IF($J492="Item",_xll.NL("first",$J492,"Description","No.","@@"&amp;$K492),"")</f>
        <v/>
      </c>
      <c r="O492" s="83">
        <v>0</v>
      </c>
      <c r="P492" s="83">
        <v>-1</v>
      </c>
      <c r="Q492" s="83">
        <v>0</v>
      </c>
      <c r="R492" s="83">
        <v>0</v>
      </c>
      <c r="S492" s="83">
        <v>0</v>
      </c>
      <c r="T492" s="83">
        <v>0</v>
      </c>
      <c r="U492" s="82"/>
    </row>
    <row r="493" spans="1:21" ht="17.25" customHeight="1" x14ac:dyDescent="0.3">
      <c r="A493" s="66" t="s">
        <v>30</v>
      </c>
      <c r="C493" s="67"/>
      <c r="D493" s="77"/>
      <c r="E493" s="77"/>
      <c r="F493" s="76"/>
      <c r="G493" s="76"/>
      <c r="H493" s="76"/>
      <c r="I493" s="76"/>
      <c r="J493" s="76"/>
      <c r="K493" s="76"/>
      <c r="L493" s="76"/>
      <c r="M493" s="76"/>
      <c r="N493" s="76"/>
      <c r="O493" s="75"/>
      <c r="P493" s="75"/>
      <c r="Q493" s="75"/>
      <c r="R493" s="75"/>
      <c r="S493" s="75"/>
      <c r="T493" s="75"/>
      <c r="U493" s="74"/>
    </row>
    <row r="494" spans="1:21" ht="17.25" customHeight="1" x14ac:dyDescent="0.3">
      <c r="A494" s="66" t="s">
        <v>30</v>
      </c>
      <c r="C494" s="67"/>
      <c r="D494" s="77"/>
      <c r="E494" s="77" t="s">
        <v>31</v>
      </c>
      <c r="F494" s="76" t="s">
        <v>31</v>
      </c>
      <c r="G494" s="76" t="s">
        <v>31</v>
      </c>
      <c r="H494" s="76"/>
      <c r="I494" s="76"/>
      <c r="J494" s="76" t="s">
        <v>31</v>
      </c>
      <c r="K494" s="76" t="s">
        <v>31</v>
      </c>
      <c r="L494" s="76" t="s">
        <v>31</v>
      </c>
      <c r="M494" s="76" t="s">
        <v>31</v>
      </c>
      <c r="N494" s="76"/>
      <c r="U494" s="81"/>
    </row>
    <row r="495" spans="1:21" ht="20.25" customHeight="1" x14ac:dyDescent="0.35">
      <c r="A495" s="66" t="s">
        <v>30</v>
      </c>
      <c r="C495" s="67"/>
      <c r="D495" s="92" t="str">
        <f t="shared" ref="D495" si="264">E495</f>
        <v>E100026</v>
      </c>
      <c r="E495" s="91" t="str">
        <f>"E100026"</f>
        <v>E100026</v>
      </c>
      <c r="F495" s="89" t="str">
        <f>"Desk Calculator"</f>
        <v>Desk Calculator</v>
      </c>
      <c r="G495" s="89"/>
      <c r="H495" s="90" t="str">
        <f>"EA"</f>
        <v>EA</v>
      </c>
      <c r="I495" s="89"/>
      <c r="J495" s="89"/>
      <c r="K495" s="89"/>
      <c r="L495" s="89"/>
      <c r="M495" s="89"/>
      <c r="N495" s="89"/>
      <c r="O495" s="88">
        <f>(SUBTOTAL(9,O496:O498))</f>
        <v>499.99999999999994</v>
      </c>
      <c r="P495" s="88">
        <f>(SUBTOTAL(9,P496:P498))</f>
        <v>-48</v>
      </c>
      <c r="Q495" s="88">
        <f>(SUBTOTAL(9,Q496:Q498))</f>
        <v>0</v>
      </c>
      <c r="R495" s="88">
        <f>(SUBTOTAL(9,R496:R498))</f>
        <v>0</v>
      </c>
      <c r="S495" s="88">
        <f>(SUBTOTAL(9,S496:S498))</f>
        <v>0</v>
      </c>
      <c r="T495" s="88">
        <f>(SUBTOTAL(9,T496:T498))</f>
        <v>0</v>
      </c>
      <c r="U495" s="87">
        <f t="shared" ref="U495" si="265">SUBTOTAL(9,O496:T498)</f>
        <v>451.99999999999994</v>
      </c>
    </row>
    <row r="496" spans="1:21" ht="17.25" customHeight="1" x14ac:dyDescent="0.3">
      <c r="A496" s="66" t="s">
        <v>30</v>
      </c>
      <c r="C496" s="67"/>
      <c r="D496" s="77" t="str">
        <f t="shared" ref="D496" si="266">D495</f>
        <v>E100026</v>
      </c>
      <c r="E496" s="77"/>
      <c r="F496" s="76"/>
      <c r="G496" s="76" t="str">
        <f>"""NAV Direct"",""CRONUS JetCorp USA"",""32"",""1"",""168342"""</f>
        <v>"NAV Direct","CRONUS JetCorp USA","32","1","168342"</v>
      </c>
      <c r="H496" s="86">
        <v>43466</v>
      </c>
      <c r="I496" s="85">
        <v>168342</v>
      </c>
      <c r="J496" s="84" t="str">
        <f>"Vendor"</f>
        <v>Vendor</v>
      </c>
      <c r="K496" s="84" t="str">
        <f>"V100001"</f>
        <v>V100001</v>
      </c>
      <c r="L496" s="84" t="str">
        <f>IF($J496="Customer",_xll.NL("first",$J496,"Name","No.","@@"&amp;$K496),"")</f>
        <v/>
      </c>
      <c r="M496" s="84" t="str">
        <f>"Greigner, Inc."</f>
        <v>Greigner, Inc.</v>
      </c>
      <c r="N496" s="84" t="str">
        <f>IF($J496="Item",_xll.NL("first",$J496,"Description","No.","@@"&amp;$K496),"")</f>
        <v/>
      </c>
      <c r="O496" s="83">
        <v>499.99999999999994</v>
      </c>
      <c r="P496" s="83">
        <v>0</v>
      </c>
      <c r="Q496" s="83">
        <v>0</v>
      </c>
      <c r="R496" s="83">
        <v>0</v>
      </c>
      <c r="S496" s="83">
        <v>0</v>
      </c>
      <c r="T496" s="83">
        <v>0</v>
      </c>
      <c r="U496" s="82"/>
    </row>
    <row r="497" spans="1:21" ht="17.25" customHeight="1" x14ac:dyDescent="0.3">
      <c r="A497" s="66" t="s">
        <v>30</v>
      </c>
      <c r="C497" s="67"/>
      <c r="D497" s="77" t="str">
        <f t="shared" ref="D497" si="267">D496</f>
        <v>E100026</v>
      </c>
      <c r="E497" s="77"/>
      <c r="F497" s="76"/>
      <c r="G497" s="76" t="str">
        <f>"""NAV Direct"",""CRONUS JetCorp USA"",""32"",""1"",""64607"""</f>
        <v>"NAV Direct","CRONUS JetCorp USA","32","1","64607"</v>
      </c>
      <c r="H497" s="86">
        <v>43472</v>
      </c>
      <c r="I497" s="85">
        <v>64607</v>
      </c>
      <c r="J497" s="84" t="str">
        <f>"Customer"</f>
        <v>Customer</v>
      </c>
      <c r="K497" s="84" t="str">
        <f>"C100140"</f>
        <v>C100140</v>
      </c>
      <c r="L497" s="84" t="str">
        <f>IF($J497="Customer",_xll.NL("first",$J497,"Name","No.","@@"&amp;$K497),"")</f>
        <v>Super Daves</v>
      </c>
      <c r="M497" s="84" t="str">
        <f>""</f>
        <v/>
      </c>
      <c r="N497" s="84" t="str">
        <f>IF($J497="Item",_xll.NL("first",$J497,"Description","No.","@@"&amp;$K497),"")</f>
        <v/>
      </c>
      <c r="O497" s="83">
        <v>0</v>
      </c>
      <c r="P497" s="83">
        <v>-48</v>
      </c>
      <c r="Q497" s="83">
        <v>0</v>
      </c>
      <c r="R497" s="83">
        <v>0</v>
      </c>
      <c r="S497" s="83">
        <v>0</v>
      </c>
      <c r="T497" s="83">
        <v>0</v>
      </c>
      <c r="U497" s="82"/>
    </row>
    <row r="498" spans="1:21" ht="17.25" customHeight="1" x14ac:dyDescent="0.3">
      <c r="A498" s="66" t="s">
        <v>30</v>
      </c>
      <c r="C498" s="67"/>
      <c r="D498" s="77"/>
      <c r="E498" s="77"/>
      <c r="F498" s="76"/>
      <c r="G498" s="76"/>
      <c r="H498" s="76"/>
      <c r="I498" s="76"/>
      <c r="J498" s="76"/>
      <c r="K498" s="76"/>
      <c r="L498" s="76"/>
      <c r="M498" s="76"/>
      <c r="N498" s="76"/>
      <c r="O498" s="75"/>
      <c r="P498" s="75"/>
      <c r="Q498" s="75"/>
      <c r="R498" s="75"/>
      <c r="S498" s="75"/>
      <c r="T498" s="75"/>
      <c r="U498" s="74"/>
    </row>
    <row r="499" spans="1:21" ht="17.25" customHeight="1" x14ac:dyDescent="0.3">
      <c r="A499" s="66" t="s">
        <v>30</v>
      </c>
      <c r="C499" s="67"/>
      <c r="D499" s="77"/>
      <c r="E499" s="77" t="s">
        <v>31</v>
      </c>
      <c r="F499" s="76" t="s">
        <v>31</v>
      </c>
      <c r="G499" s="76" t="s">
        <v>31</v>
      </c>
      <c r="H499" s="76"/>
      <c r="I499" s="76"/>
      <c r="J499" s="76" t="s">
        <v>31</v>
      </c>
      <c r="K499" s="76" t="s">
        <v>31</v>
      </c>
      <c r="L499" s="76" t="s">
        <v>31</v>
      </c>
      <c r="M499" s="76" t="s">
        <v>31</v>
      </c>
      <c r="N499" s="76"/>
      <c r="U499" s="81"/>
    </row>
    <row r="500" spans="1:21" ht="20.25" customHeight="1" x14ac:dyDescent="0.35">
      <c r="A500" s="66" t="s">
        <v>30</v>
      </c>
      <c r="C500" s="67"/>
      <c r="D500" s="92" t="str">
        <f t="shared" ref="D500" si="268">E500</f>
        <v>E100027</v>
      </c>
      <c r="E500" s="91" t="str">
        <f>"E100027"</f>
        <v>E100027</v>
      </c>
      <c r="F500" s="89" t="str">
        <f>"Ergo-Calculator"</f>
        <v>Ergo-Calculator</v>
      </c>
      <c r="G500" s="89"/>
      <c r="H500" s="90" t="str">
        <f>"EA"</f>
        <v>EA</v>
      </c>
      <c r="I500" s="89"/>
      <c r="J500" s="89"/>
      <c r="K500" s="89"/>
      <c r="L500" s="89"/>
      <c r="M500" s="89"/>
      <c r="N500" s="89"/>
      <c r="O500" s="88">
        <f>(SUBTOTAL(9,O501:O502))</f>
        <v>499.99999999999994</v>
      </c>
      <c r="P500" s="88">
        <f>(SUBTOTAL(9,P501:P502))</f>
        <v>0</v>
      </c>
      <c r="Q500" s="88">
        <f>(SUBTOTAL(9,Q501:Q502))</f>
        <v>0</v>
      </c>
      <c r="R500" s="88">
        <f>(SUBTOTAL(9,R501:R502))</f>
        <v>0</v>
      </c>
      <c r="S500" s="88">
        <f>(SUBTOTAL(9,S501:S502))</f>
        <v>0</v>
      </c>
      <c r="T500" s="88">
        <f>(SUBTOTAL(9,T501:T502))</f>
        <v>0</v>
      </c>
      <c r="U500" s="87">
        <f t="shared" ref="U500" si="269">SUBTOTAL(9,O501:T502)</f>
        <v>499.99999999999994</v>
      </c>
    </row>
    <row r="501" spans="1:21" ht="17.25" customHeight="1" x14ac:dyDescent="0.3">
      <c r="A501" s="66" t="s">
        <v>30</v>
      </c>
      <c r="C501" s="67"/>
      <c r="D501" s="77" t="str">
        <f t="shared" ref="D501" si="270">D500</f>
        <v>E100027</v>
      </c>
      <c r="E501" s="77"/>
      <c r="F501" s="76"/>
      <c r="G501" s="76" t="str">
        <f>"""NAV Direct"",""CRONUS JetCorp USA"",""32"",""1"",""168341"""</f>
        <v>"NAV Direct","CRONUS JetCorp USA","32","1","168341"</v>
      </c>
      <c r="H501" s="86">
        <v>43466</v>
      </c>
      <c r="I501" s="85">
        <v>168341</v>
      </c>
      <c r="J501" s="84" t="str">
        <f>"Vendor"</f>
        <v>Vendor</v>
      </c>
      <c r="K501" s="84" t="str">
        <f>"V100001"</f>
        <v>V100001</v>
      </c>
      <c r="L501" s="84" t="str">
        <f>IF($J501="Customer",_xll.NL("first",$J501,"Name","No.","@@"&amp;$K501),"")</f>
        <v/>
      </c>
      <c r="M501" s="84" t="str">
        <f>"Greigner, Inc."</f>
        <v>Greigner, Inc.</v>
      </c>
      <c r="N501" s="84" t="str">
        <f>IF($J501="Item",_xll.NL("first",$J501,"Description","No.","@@"&amp;$K501),"")</f>
        <v/>
      </c>
      <c r="O501" s="83">
        <v>499.99999999999994</v>
      </c>
      <c r="P501" s="83">
        <v>0</v>
      </c>
      <c r="Q501" s="83">
        <v>0</v>
      </c>
      <c r="R501" s="83">
        <v>0</v>
      </c>
      <c r="S501" s="83">
        <v>0</v>
      </c>
      <c r="T501" s="83">
        <v>0</v>
      </c>
      <c r="U501" s="82"/>
    </row>
    <row r="502" spans="1:21" ht="17.25" customHeight="1" x14ac:dyDescent="0.3">
      <c r="A502" s="66" t="s">
        <v>30</v>
      </c>
      <c r="C502" s="67"/>
      <c r="D502" s="77"/>
      <c r="E502" s="77"/>
      <c r="F502" s="76"/>
      <c r="G502" s="76"/>
      <c r="H502" s="76"/>
      <c r="I502" s="76"/>
      <c r="J502" s="76"/>
      <c r="K502" s="76"/>
      <c r="L502" s="76"/>
      <c r="M502" s="76"/>
      <c r="N502" s="76"/>
      <c r="O502" s="75"/>
      <c r="P502" s="75"/>
      <c r="Q502" s="75"/>
      <c r="R502" s="75"/>
      <c r="S502" s="75"/>
      <c r="T502" s="75"/>
      <c r="U502" s="74"/>
    </row>
    <row r="503" spans="1:21" ht="17.25" customHeight="1" x14ac:dyDescent="0.3">
      <c r="A503" s="66" t="s">
        <v>30</v>
      </c>
      <c r="C503" s="67"/>
      <c r="D503" s="77"/>
      <c r="E503" s="77" t="s">
        <v>31</v>
      </c>
      <c r="F503" s="76" t="s">
        <v>31</v>
      </c>
      <c r="G503" s="76" t="s">
        <v>31</v>
      </c>
      <c r="H503" s="76"/>
      <c r="I503" s="76"/>
      <c r="J503" s="76" t="s">
        <v>31</v>
      </c>
      <c r="K503" s="76" t="s">
        <v>31</v>
      </c>
      <c r="L503" s="76" t="s">
        <v>31</v>
      </c>
      <c r="M503" s="76" t="s">
        <v>31</v>
      </c>
      <c r="N503" s="76"/>
      <c r="U503" s="81"/>
    </row>
    <row r="504" spans="1:21" ht="20.25" customHeight="1" x14ac:dyDescent="0.35">
      <c r="A504" s="66" t="s">
        <v>30</v>
      </c>
      <c r="C504" s="67"/>
      <c r="D504" s="92" t="str">
        <f t="shared" ref="D504" si="271">E504</f>
        <v>E100028</v>
      </c>
      <c r="E504" s="91" t="str">
        <f>"E100028"</f>
        <v>E100028</v>
      </c>
      <c r="F504" s="89" t="str">
        <f>"USB 4-Port Hub"</f>
        <v>USB 4-Port Hub</v>
      </c>
      <c r="G504" s="89"/>
      <c r="H504" s="90" t="str">
        <f>"EA"</f>
        <v>EA</v>
      </c>
      <c r="I504" s="89"/>
      <c r="J504" s="89"/>
      <c r="K504" s="89"/>
      <c r="L504" s="89"/>
      <c r="M504" s="89"/>
      <c r="N504" s="89"/>
      <c r="O504" s="88">
        <f>(SUBTOTAL(9,O505:O507))</f>
        <v>499.99999999999994</v>
      </c>
      <c r="P504" s="88">
        <f>(SUBTOTAL(9,P505:P507))</f>
        <v>-144</v>
      </c>
      <c r="Q504" s="88">
        <f>(SUBTOTAL(9,Q505:Q507))</f>
        <v>0</v>
      </c>
      <c r="R504" s="88">
        <f>(SUBTOTAL(9,R505:R507))</f>
        <v>0</v>
      </c>
      <c r="S504" s="88">
        <f>(SUBTOTAL(9,S505:S507))</f>
        <v>0</v>
      </c>
      <c r="T504" s="88">
        <f>(SUBTOTAL(9,T505:T507))</f>
        <v>0</v>
      </c>
      <c r="U504" s="87">
        <f t="shared" ref="U504" si="272">SUBTOTAL(9,O505:T507)</f>
        <v>355.99999999999994</v>
      </c>
    </row>
    <row r="505" spans="1:21" ht="17.25" customHeight="1" x14ac:dyDescent="0.3">
      <c r="A505" s="66" t="s">
        <v>30</v>
      </c>
      <c r="C505" s="67"/>
      <c r="D505" s="77" t="str">
        <f t="shared" ref="D505" si="273">D504</f>
        <v>E100028</v>
      </c>
      <c r="E505" s="77"/>
      <c r="F505" s="76"/>
      <c r="G505" s="76" t="str">
        <f>"""NAV Direct"",""CRONUS JetCorp USA"",""32"",""1"",""168340"""</f>
        <v>"NAV Direct","CRONUS JetCorp USA","32","1","168340"</v>
      </c>
      <c r="H505" s="86">
        <v>43466</v>
      </c>
      <c r="I505" s="85">
        <v>168340</v>
      </c>
      <c r="J505" s="84" t="str">
        <f>"Vendor"</f>
        <v>Vendor</v>
      </c>
      <c r="K505" s="84" t="str">
        <f>"V100001"</f>
        <v>V100001</v>
      </c>
      <c r="L505" s="84" t="str">
        <f>IF($J505="Customer",_xll.NL("first",$J505,"Name","No.","@@"&amp;$K505),"")</f>
        <v/>
      </c>
      <c r="M505" s="84" t="str">
        <f>"Greigner, Inc."</f>
        <v>Greigner, Inc.</v>
      </c>
      <c r="N505" s="84" t="str">
        <f>IF($J505="Item",_xll.NL("first",$J505,"Description","No.","@@"&amp;$K505),"")</f>
        <v/>
      </c>
      <c r="O505" s="83">
        <v>499.99999999999994</v>
      </c>
      <c r="P505" s="83">
        <v>0</v>
      </c>
      <c r="Q505" s="83">
        <v>0</v>
      </c>
      <c r="R505" s="83">
        <v>0</v>
      </c>
      <c r="S505" s="83">
        <v>0</v>
      </c>
      <c r="T505" s="83">
        <v>0</v>
      </c>
      <c r="U505" s="82"/>
    </row>
    <row r="506" spans="1:21" ht="17.25" customHeight="1" x14ac:dyDescent="0.3">
      <c r="A506" s="66" t="s">
        <v>30</v>
      </c>
      <c r="C506" s="67"/>
      <c r="D506" s="77" t="str">
        <f t="shared" ref="D506" si="274">D505</f>
        <v>E100028</v>
      </c>
      <c r="E506" s="77"/>
      <c r="F506" s="76"/>
      <c r="G506" s="76" t="str">
        <f>"""NAV Direct"",""CRONUS JetCorp USA"",""32"",""1"",""44521"""</f>
        <v>"NAV Direct","CRONUS JetCorp USA","32","1","44521"</v>
      </c>
      <c r="H506" s="86">
        <v>43473</v>
      </c>
      <c r="I506" s="85">
        <v>44521</v>
      </c>
      <c r="J506" s="84" t="str">
        <f>"Customer"</f>
        <v>Customer</v>
      </c>
      <c r="K506" s="84" t="str">
        <f>"C100139"</f>
        <v>C100139</v>
      </c>
      <c r="L506" s="84" t="str">
        <f>IF($J506="Customer",_xll.NL("first",$J506,"Name","No.","@@"&amp;$K506),"")</f>
        <v>Gamma Ray's</v>
      </c>
      <c r="M506" s="84" t="str">
        <f>""</f>
        <v/>
      </c>
      <c r="N506" s="84" t="str">
        <f>IF($J506="Item",_xll.NL("first",$J506,"Description","No.","@@"&amp;$K506),"")</f>
        <v/>
      </c>
      <c r="O506" s="83">
        <v>0</v>
      </c>
      <c r="P506" s="83">
        <v>-144</v>
      </c>
      <c r="Q506" s="83">
        <v>0</v>
      </c>
      <c r="R506" s="83">
        <v>0</v>
      </c>
      <c r="S506" s="83">
        <v>0</v>
      </c>
      <c r="T506" s="83">
        <v>0</v>
      </c>
      <c r="U506" s="82"/>
    </row>
    <row r="507" spans="1:21" ht="17.25" customHeight="1" x14ac:dyDescent="0.3">
      <c r="A507" s="66" t="s">
        <v>30</v>
      </c>
      <c r="C507" s="67"/>
      <c r="D507" s="77"/>
      <c r="E507" s="77"/>
      <c r="F507" s="76"/>
      <c r="G507" s="76"/>
      <c r="H507" s="76"/>
      <c r="I507" s="76"/>
      <c r="J507" s="76"/>
      <c r="K507" s="76"/>
      <c r="L507" s="76"/>
      <c r="M507" s="76"/>
      <c r="N507" s="76"/>
      <c r="O507" s="75"/>
      <c r="P507" s="75"/>
      <c r="Q507" s="75"/>
      <c r="R507" s="75"/>
      <c r="S507" s="75"/>
      <c r="T507" s="75"/>
      <c r="U507" s="74"/>
    </row>
    <row r="508" spans="1:21" ht="17.25" customHeight="1" x14ac:dyDescent="0.3">
      <c r="A508" s="66" t="s">
        <v>30</v>
      </c>
      <c r="C508" s="67"/>
      <c r="D508" s="77"/>
      <c r="E508" s="77" t="s">
        <v>31</v>
      </c>
      <c r="F508" s="76" t="s">
        <v>31</v>
      </c>
      <c r="G508" s="76" t="s">
        <v>31</v>
      </c>
      <c r="H508" s="76"/>
      <c r="I508" s="76"/>
      <c r="J508" s="76" t="s">
        <v>31</v>
      </c>
      <c r="K508" s="76" t="s">
        <v>31</v>
      </c>
      <c r="L508" s="76" t="s">
        <v>31</v>
      </c>
      <c r="M508" s="76" t="s">
        <v>31</v>
      </c>
      <c r="N508" s="76"/>
      <c r="U508" s="81"/>
    </row>
    <row r="509" spans="1:21" ht="20.25" customHeight="1" x14ac:dyDescent="0.35">
      <c r="A509" s="66" t="s">
        <v>30</v>
      </c>
      <c r="C509" s="67"/>
      <c r="D509" s="92" t="str">
        <f t="shared" ref="D509" si="275">E509</f>
        <v>E100029</v>
      </c>
      <c r="E509" s="91" t="str">
        <f>"E100029"</f>
        <v>E100029</v>
      </c>
      <c r="F509" s="89" t="str">
        <f>"LED Flex Light"</f>
        <v>LED Flex Light</v>
      </c>
      <c r="G509" s="89"/>
      <c r="H509" s="90" t="str">
        <f>"EA"</f>
        <v>EA</v>
      </c>
      <c r="I509" s="89"/>
      <c r="J509" s="89"/>
      <c r="K509" s="89"/>
      <c r="L509" s="89"/>
      <c r="M509" s="89"/>
      <c r="N509" s="89"/>
      <c r="O509" s="88">
        <f>(SUBTOTAL(9,O510:O511))</f>
        <v>750</v>
      </c>
      <c r="P509" s="88">
        <f>(SUBTOTAL(9,P510:P511))</f>
        <v>0</v>
      </c>
      <c r="Q509" s="88">
        <f>(SUBTOTAL(9,Q510:Q511))</f>
        <v>0</v>
      </c>
      <c r="R509" s="88">
        <f>(SUBTOTAL(9,R510:R511))</f>
        <v>0</v>
      </c>
      <c r="S509" s="88">
        <f>(SUBTOTAL(9,S510:S511))</f>
        <v>0</v>
      </c>
      <c r="T509" s="88">
        <f>(SUBTOTAL(9,T510:T511))</f>
        <v>0</v>
      </c>
      <c r="U509" s="87">
        <f t="shared" ref="U509" si="276">SUBTOTAL(9,O510:T511)</f>
        <v>750</v>
      </c>
    </row>
    <row r="510" spans="1:21" ht="17.25" customHeight="1" x14ac:dyDescent="0.3">
      <c r="A510" s="66" t="s">
        <v>30</v>
      </c>
      <c r="C510" s="67"/>
      <c r="D510" s="77" t="str">
        <f t="shared" ref="D510" si="277">D509</f>
        <v>E100029</v>
      </c>
      <c r="E510" s="77"/>
      <c r="F510" s="76"/>
      <c r="G510" s="76" t="str">
        <f>"""NAV Direct"",""CRONUS JetCorp USA"",""32"",""1"",""168339"""</f>
        <v>"NAV Direct","CRONUS JetCorp USA","32","1","168339"</v>
      </c>
      <c r="H510" s="86">
        <v>43466</v>
      </c>
      <c r="I510" s="85">
        <v>168339</v>
      </c>
      <c r="J510" s="84" t="str">
        <f>"Vendor"</f>
        <v>Vendor</v>
      </c>
      <c r="K510" s="84" t="str">
        <f>"V100001"</f>
        <v>V100001</v>
      </c>
      <c r="L510" s="84" t="str">
        <f>IF($J510="Customer",_xll.NL("first",$J510,"Name","No.","@@"&amp;$K510),"")</f>
        <v/>
      </c>
      <c r="M510" s="84" t="str">
        <f>"Greigner, Inc."</f>
        <v>Greigner, Inc.</v>
      </c>
      <c r="N510" s="84" t="str">
        <f>IF($J510="Item",_xll.NL("first",$J510,"Description","No.","@@"&amp;$K510),"")</f>
        <v/>
      </c>
      <c r="O510" s="83">
        <v>750</v>
      </c>
      <c r="P510" s="83">
        <v>0</v>
      </c>
      <c r="Q510" s="83">
        <v>0</v>
      </c>
      <c r="R510" s="83">
        <v>0</v>
      </c>
      <c r="S510" s="83">
        <v>0</v>
      </c>
      <c r="T510" s="83">
        <v>0</v>
      </c>
      <c r="U510" s="82"/>
    </row>
    <row r="511" spans="1:21" ht="17.25" customHeight="1" x14ac:dyDescent="0.3">
      <c r="A511" s="66" t="s">
        <v>30</v>
      </c>
      <c r="C511" s="67"/>
      <c r="D511" s="77"/>
      <c r="E511" s="77"/>
      <c r="F511" s="76"/>
      <c r="G511" s="76"/>
      <c r="H511" s="76"/>
      <c r="I511" s="76"/>
      <c r="J511" s="76"/>
      <c r="K511" s="76"/>
      <c r="L511" s="76"/>
      <c r="M511" s="76"/>
      <c r="N511" s="76"/>
      <c r="O511" s="75"/>
      <c r="P511" s="75"/>
      <c r="Q511" s="75"/>
      <c r="R511" s="75"/>
      <c r="S511" s="75"/>
      <c r="T511" s="75"/>
      <c r="U511" s="74"/>
    </row>
    <row r="512" spans="1:21" ht="17.25" customHeight="1" x14ac:dyDescent="0.3">
      <c r="A512" s="66" t="s">
        <v>30</v>
      </c>
      <c r="C512" s="67"/>
      <c r="D512" s="77"/>
      <c r="E512" s="77" t="s">
        <v>31</v>
      </c>
      <c r="F512" s="76" t="s">
        <v>31</v>
      </c>
      <c r="G512" s="76" t="s">
        <v>31</v>
      </c>
      <c r="H512" s="76"/>
      <c r="I512" s="76"/>
      <c r="J512" s="76" t="s">
        <v>31</v>
      </c>
      <c r="K512" s="76" t="s">
        <v>31</v>
      </c>
      <c r="L512" s="76" t="s">
        <v>31</v>
      </c>
      <c r="M512" s="76" t="s">
        <v>31</v>
      </c>
      <c r="N512" s="76"/>
      <c r="U512" s="81"/>
    </row>
    <row r="513" spans="1:21" ht="20.25" customHeight="1" x14ac:dyDescent="0.35">
      <c r="A513" s="66" t="s">
        <v>30</v>
      </c>
      <c r="C513" s="67"/>
      <c r="D513" s="92" t="str">
        <f t="shared" ref="D513" si="278">E513</f>
        <v>E100030</v>
      </c>
      <c r="E513" s="91" t="str">
        <f>"E100030"</f>
        <v>E100030</v>
      </c>
      <c r="F513" s="89" t="str">
        <f>"LED Keychain"</f>
        <v>LED Keychain</v>
      </c>
      <c r="G513" s="89"/>
      <c r="H513" s="90" t="str">
        <f>"EA"</f>
        <v>EA</v>
      </c>
      <c r="I513" s="89"/>
      <c r="J513" s="89"/>
      <c r="K513" s="89"/>
      <c r="L513" s="89"/>
      <c r="M513" s="89"/>
      <c r="N513" s="89"/>
      <c r="O513" s="88">
        <f>(SUBTOTAL(9,O514:O517))</f>
        <v>999.99999999999989</v>
      </c>
      <c r="P513" s="88">
        <f>(SUBTOTAL(9,P514:P517))</f>
        <v>-2</v>
      </c>
      <c r="Q513" s="88">
        <f>(SUBTOTAL(9,Q514:Q517))</f>
        <v>0</v>
      </c>
      <c r="R513" s="88">
        <f>(SUBTOTAL(9,R514:R517))</f>
        <v>0</v>
      </c>
      <c r="S513" s="88">
        <f>(SUBTOTAL(9,S514:S517))</f>
        <v>0</v>
      </c>
      <c r="T513" s="88">
        <f>(SUBTOTAL(9,T514:T517))</f>
        <v>0</v>
      </c>
      <c r="U513" s="87">
        <f t="shared" ref="U513" si="279">SUBTOTAL(9,O514:T517)</f>
        <v>997.99999999999989</v>
      </c>
    </row>
    <row r="514" spans="1:21" ht="17.25" customHeight="1" x14ac:dyDescent="0.3">
      <c r="A514" s="66" t="s">
        <v>30</v>
      </c>
      <c r="C514" s="67"/>
      <c r="D514" s="77" t="str">
        <f t="shared" ref="D514" si="280">D513</f>
        <v>E100030</v>
      </c>
      <c r="E514" s="77"/>
      <c r="F514" s="76"/>
      <c r="G514" s="76" t="str">
        <f>"""NAV Direct"",""CRONUS JetCorp USA"",""32"",""1"",""168338"""</f>
        <v>"NAV Direct","CRONUS JetCorp USA","32","1","168338"</v>
      </c>
      <c r="H514" s="86">
        <v>43466</v>
      </c>
      <c r="I514" s="85">
        <v>168338</v>
      </c>
      <c r="J514" s="84" t="str">
        <f>"Vendor"</f>
        <v>Vendor</v>
      </c>
      <c r="K514" s="84" t="str">
        <f>"V100001"</f>
        <v>V100001</v>
      </c>
      <c r="L514" s="84" t="str">
        <f>IF($J514="Customer",_xll.NL("first",$J514,"Name","No.","@@"&amp;$K514),"")</f>
        <v/>
      </c>
      <c r="M514" s="84" t="str">
        <f>"Greigner, Inc."</f>
        <v>Greigner, Inc.</v>
      </c>
      <c r="N514" s="84" t="str">
        <f>IF($J514="Item",_xll.NL("first",$J514,"Description","No.","@@"&amp;$K514),"")</f>
        <v/>
      </c>
      <c r="O514" s="83">
        <v>999.99999999999989</v>
      </c>
      <c r="P514" s="83">
        <v>0</v>
      </c>
      <c r="Q514" s="83">
        <v>0</v>
      </c>
      <c r="R514" s="83">
        <v>0</v>
      </c>
      <c r="S514" s="83">
        <v>0</v>
      </c>
      <c r="T514" s="83">
        <v>0</v>
      </c>
      <c r="U514" s="82"/>
    </row>
    <row r="515" spans="1:21" ht="17.25" customHeight="1" x14ac:dyDescent="0.3">
      <c r="A515" s="66" t="s">
        <v>30</v>
      </c>
      <c r="C515" s="67"/>
      <c r="D515" s="77" t="str">
        <f t="shared" ref="D515:D516" si="281">D514</f>
        <v>E100030</v>
      </c>
      <c r="E515" s="77"/>
      <c r="F515" s="76"/>
      <c r="G515" s="76" t="str">
        <f>"""NAV Direct"",""CRONUS JetCorp USA"",""32"",""1"",""64592"""</f>
        <v>"NAV Direct","CRONUS JetCorp USA","32","1","64592"</v>
      </c>
      <c r="H515" s="86">
        <v>43469</v>
      </c>
      <c r="I515" s="85">
        <v>64592</v>
      </c>
      <c r="J515" s="84" t="str">
        <f>"Customer"</f>
        <v>Customer</v>
      </c>
      <c r="K515" s="84" t="str">
        <f>"C100140"</f>
        <v>C100140</v>
      </c>
      <c r="L515" s="84" t="str">
        <f>IF($J515="Customer",_xll.NL("first",$J515,"Name","No.","@@"&amp;$K515),"")</f>
        <v>Super Daves</v>
      </c>
      <c r="M515" s="84" t="str">
        <f>""</f>
        <v/>
      </c>
      <c r="N515" s="84" t="str">
        <f>IF($J515="Item",_xll.NL("first",$J515,"Description","No.","@@"&amp;$K515),"")</f>
        <v/>
      </c>
      <c r="O515" s="83">
        <v>0</v>
      </c>
      <c r="P515" s="83">
        <v>-1</v>
      </c>
      <c r="Q515" s="83">
        <v>0</v>
      </c>
      <c r="R515" s="83">
        <v>0</v>
      </c>
      <c r="S515" s="83">
        <v>0</v>
      </c>
      <c r="T515" s="83">
        <v>0</v>
      </c>
      <c r="U515" s="82"/>
    </row>
    <row r="516" spans="1:21" ht="17.25" customHeight="1" x14ac:dyDescent="0.3">
      <c r="A516" s="66" t="s">
        <v>30</v>
      </c>
      <c r="C516" s="67"/>
      <c r="D516" s="77" t="str">
        <f t="shared" si="281"/>
        <v>E100030</v>
      </c>
      <c r="E516" s="77"/>
      <c r="F516" s="76"/>
      <c r="G516" s="76" t="str">
        <f>"""NAV Direct"",""CRONUS JetCorp USA"",""32"",""1"",""54716"""</f>
        <v>"NAV Direct","CRONUS JetCorp USA","32","1","54716"</v>
      </c>
      <c r="H516" s="86">
        <v>43474</v>
      </c>
      <c r="I516" s="85">
        <v>54716</v>
      </c>
      <c r="J516" s="84" t="str">
        <f>"Customer"</f>
        <v>Customer</v>
      </c>
      <c r="K516" s="84" t="str">
        <f>"C100096"</f>
        <v>C100096</v>
      </c>
      <c r="L516" s="84" t="str">
        <f>IF($J516="Customer",_xll.NL("first",$J516,"Name","No.","@@"&amp;$K516),"")</f>
        <v>D-Com Industries</v>
      </c>
      <c r="M516" s="84" t="str">
        <f>""</f>
        <v/>
      </c>
      <c r="N516" s="84" t="str">
        <f>IF($J516="Item",_xll.NL("first",$J516,"Description","No.","@@"&amp;$K516),"")</f>
        <v/>
      </c>
      <c r="O516" s="83">
        <v>0</v>
      </c>
      <c r="P516" s="83">
        <v>-1</v>
      </c>
      <c r="Q516" s="83">
        <v>0</v>
      </c>
      <c r="R516" s="83">
        <v>0</v>
      </c>
      <c r="S516" s="83">
        <v>0</v>
      </c>
      <c r="T516" s="83">
        <v>0</v>
      </c>
      <c r="U516" s="82"/>
    </row>
    <row r="517" spans="1:21" ht="17.25" customHeight="1" x14ac:dyDescent="0.3">
      <c r="A517" s="66" t="s">
        <v>30</v>
      </c>
      <c r="C517" s="67"/>
      <c r="D517" s="77"/>
      <c r="E517" s="77"/>
      <c r="F517" s="76"/>
      <c r="G517" s="76"/>
      <c r="H517" s="76"/>
      <c r="I517" s="76"/>
      <c r="J517" s="76"/>
      <c r="K517" s="76"/>
      <c r="L517" s="76"/>
      <c r="M517" s="76"/>
      <c r="N517" s="76"/>
      <c r="O517" s="75"/>
      <c r="P517" s="75"/>
      <c r="Q517" s="75"/>
      <c r="R517" s="75"/>
      <c r="S517" s="75"/>
      <c r="T517" s="75"/>
      <c r="U517" s="74"/>
    </row>
    <row r="518" spans="1:21" ht="17.25" customHeight="1" x14ac:dyDescent="0.3">
      <c r="A518" s="66" t="s">
        <v>30</v>
      </c>
      <c r="C518" s="67"/>
      <c r="D518" s="77"/>
      <c r="E518" s="77" t="s">
        <v>31</v>
      </c>
      <c r="F518" s="76" t="s">
        <v>31</v>
      </c>
      <c r="G518" s="76" t="s">
        <v>31</v>
      </c>
      <c r="H518" s="76"/>
      <c r="I518" s="76"/>
      <c r="J518" s="76" t="s">
        <v>31</v>
      </c>
      <c r="K518" s="76" t="s">
        <v>31</v>
      </c>
      <c r="L518" s="76" t="s">
        <v>31</v>
      </c>
      <c r="M518" s="76" t="s">
        <v>31</v>
      </c>
      <c r="N518" s="76"/>
      <c r="U518" s="81"/>
    </row>
    <row r="519" spans="1:21" ht="20.25" customHeight="1" x14ac:dyDescent="0.35">
      <c r="A519" s="66" t="s">
        <v>30</v>
      </c>
      <c r="C519" s="67"/>
      <c r="D519" s="92" t="str">
        <f t="shared" ref="D519" si="282">E519</f>
        <v>E100031</v>
      </c>
      <c r="E519" s="91" t="str">
        <f>"E100031"</f>
        <v>E100031</v>
      </c>
      <c r="F519" s="89" t="str">
        <f>"Ad Torch"</f>
        <v>Ad Torch</v>
      </c>
      <c r="G519" s="89"/>
      <c r="H519" s="90" t="str">
        <f>"EA"</f>
        <v>EA</v>
      </c>
      <c r="I519" s="89"/>
      <c r="J519" s="89"/>
      <c r="K519" s="89"/>
      <c r="L519" s="89"/>
      <c r="M519" s="89"/>
      <c r="N519" s="89"/>
      <c r="O519" s="88">
        <f>(SUBTOTAL(9,O520:O522))</f>
        <v>499.99999999999994</v>
      </c>
      <c r="P519" s="88">
        <f>(SUBTOTAL(9,P520:P522))</f>
        <v>-192</v>
      </c>
      <c r="Q519" s="88">
        <f>(SUBTOTAL(9,Q520:Q522))</f>
        <v>0</v>
      </c>
      <c r="R519" s="88">
        <f>(SUBTOTAL(9,R520:R522))</f>
        <v>0</v>
      </c>
      <c r="S519" s="88">
        <f>(SUBTOTAL(9,S520:S522))</f>
        <v>0</v>
      </c>
      <c r="T519" s="88">
        <f>(SUBTOTAL(9,T520:T522))</f>
        <v>0</v>
      </c>
      <c r="U519" s="87">
        <f t="shared" ref="U519" si="283">SUBTOTAL(9,O520:T522)</f>
        <v>307.99999999999994</v>
      </c>
    </row>
    <row r="520" spans="1:21" ht="17.25" customHeight="1" x14ac:dyDescent="0.3">
      <c r="A520" s="66" t="s">
        <v>30</v>
      </c>
      <c r="C520" s="67"/>
      <c r="D520" s="77" t="str">
        <f t="shared" ref="D520" si="284">D519</f>
        <v>E100031</v>
      </c>
      <c r="E520" s="77"/>
      <c r="F520" s="76"/>
      <c r="G520" s="76" t="str">
        <f>"""NAV Direct"",""CRONUS JetCorp USA"",""32"",""1"",""168337"""</f>
        <v>"NAV Direct","CRONUS JetCorp USA","32","1","168337"</v>
      </c>
      <c r="H520" s="86">
        <v>43466</v>
      </c>
      <c r="I520" s="85">
        <v>168337</v>
      </c>
      <c r="J520" s="84" t="str">
        <f>"Vendor"</f>
        <v>Vendor</v>
      </c>
      <c r="K520" s="84" t="str">
        <f>"V100001"</f>
        <v>V100001</v>
      </c>
      <c r="L520" s="84" t="str">
        <f>IF($J520="Customer",_xll.NL("first",$J520,"Name","No.","@@"&amp;$K520),"")</f>
        <v/>
      </c>
      <c r="M520" s="84" t="str">
        <f>"Greigner, Inc."</f>
        <v>Greigner, Inc.</v>
      </c>
      <c r="N520" s="84" t="str">
        <f>IF($J520="Item",_xll.NL("first",$J520,"Description","No.","@@"&amp;$K520),"")</f>
        <v/>
      </c>
      <c r="O520" s="83">
        <v>499.99999999999994</v>
      </c>
      <c r="P520" s="83">
        <v>0</v>
      </c>
      <c r="Q520" s="83">
        <v>0</v>
      </c>
      <c r="R520" s="83">
        <v>0</v>
      </c>
      <c r="S520" s="83">
        <v>0</v>
      </c>
      <c r="T520" s="83">
        <v>0</v>
      </c>
      <c r="U520" s="82"/>
    </row>
    <row r="521" spans="1:21" ht="17.25" customHeight="1" x14ac:dyDescent="0.3">
      <c r="A521" s="66" t="s">
        <v>30</v>
      </c>
      <c r="C521" s="67"/>
      <c r="D521" s="77" t="str">
        <f t="shared" ref="D521" si="285">D520</f>
        <v>E100031</v>
      </c>
      <c r="E521" s="77"/>
      <c r="F521" s="76"/>
      <c r="G521" s="76" t="str">
        <f>"""NAV Direct"",""CRONUS JetCorp USA"",""32"",""1"",""54696"""</f>
        <v>"NAV Direct","CRONUS JetCorp USA","32","1","54696"</v>
      </c>
      <c r="H521" s="86">
        <v>43474</v>
      </c>
      <c r="I521" s="85">
        <v>54696</v>
      </c>
      <c r="J521" s="84" t="str">
        <f>"Customer"</f>
        <v>Customer</v>
      </c>
      <c r="K521" s="84" t="str">
        <f>"C100096"</f>
        <v>C100096</v>
      </c>
      <c r="L521" s="84" t="str">
        <f>IF($J521="Customer",_xll.NL("first",$J521,"Name","No.","@@"&amp;$K521),"")</f>
        <v>D-Com Industries</v>
      </c>
      <c r="M521" s="84" t="str">
        <f>""</f>
        <v/>
      </c>
      <c r="N521" s="84" t="str">
        <f>IF($J521="Item",_xll.NL("first",$J521,"Description","No.","@@"&amp;$K521),"")</f>
        <v/>
      </c>
      <c r="O521" s="83">
        <v>0</v>
      </c>
      <c r="P521" s="83">
        <v>-192</v>
      </c>
      <c r="Q521" s="83">
        <v>0</v>
      </c>
      <c r="R521" s="83">
        <v>0</v>
      </c>
      <c r="S521" s="83">
        <v>0</v>
      </c>
      <c r="T521" s="83">
        <v>0</v>
      </c>
      <c r="U521" s="82"/>
    </row>
    <row r="522" spans="1:21" ht="17.25" customHeight="1" x14ac:dyDescent="0.3">
      <c r="A522" s="66" t="s">
        <v>30</v>
      </c>
      <c r="C522" s="67"/>
      <c r="D522" s="77"/>
      <c r="E522" s="77"/>
      <c r="F522" s="76"/>
      <c r="G522" s="76"/>
      <c r="H522" s="76"/>
      <c r="I522" s="76"/>
      <c r="J522" s="76"/>
      <c r="K522" s="76"/>
      <c r="L522" s="76"/>
      <c r="M522" s="76"/>
      <c r="N522" s="76"/>
      <c r="O522" s="75"/>
      <c r="P522" s="75"/>
      <c r="Q522" s="75"/>
      <c r="R522" s="75"/>
      <c r="S522" s="75"/>
      <c r="T522" s="75"/>
      <c r="U522" s="74"/>
    </row>
    <row r="523" spans="1:21" ht="17.25" customHeight="1" x14ac:dyDescent="0.3">
      <c r="A523" s="66" t="s">
        <v>30</v>
      </c>
      <c r="C523" s="67"/>
      <c r="D523" s="77"/>
      <c r="E523" s="77" t="s">
        <v>31</v>
      </c>
      <c r="F523" s="76" t="s">
        <v>31</v>
      </c>
      <c r="G523" s="76" t="s">
        <v>31</v>
      </c>
      <c r="H523" s="76"/>
      <c r="I523" s="76"/>
      <c r="J523" s="76" t="s">
        <v>31</v>
      </c>
      <c r="K523" s="76" t="s">
        <v>31</v>
      </c>
      <c r="L523" s="76" t="s">
        <v>31</v>
      </c>
      <c r="M523" s="76" t="s">
        <v>31</v>
      </c>
      <c r="N523" s="76"/>
      <c r="U523" s="81"/>
    </row>
    <row r="524" spans="1:21" ht="20.25" customHeight="1" x14ac:dyDescent="0.35">
      <c r="A524" s="66" t="s">
        <v>30</v>
      </c>
      <c r="C524" s="67"/>
      <c r="D524" s="92" t="str">
        <f t="shared" ref="D524" si="286">E524</f>
        <v>E100032</v>
      </c>
      <c r="E524" s="91" t="str">
        <f>"E100032"</f>
        <v>E100032</v>
      </c>
      <c r="F524" s="89" t="str">
        <f>"Button Key-Light"</f>
        <v>Button Key-Light</v>
      </c>
      <c r="G524" s="89"/>
      <c r="H524" s="90" t="str">
        <f>"EA"</f>
        <v>EA</v>
      </c>
      <c r="I524" s="89"/>
      <c r="J524" s="89"/>
      <c r="K524" s="89"/>
      <c r="L524" s="89"/>
      <c r="M524" s="89"/>
      <c r="N524" s="89"/>
      <c r="O524" s="88">
        <f>(SUBTOTAL(9,O525:O530))</f>
        <v>750</v>
      </c>
      <c r="P524" s="88">
        <f>(SUBTOTAL(9,P525:P530))</f>
        <v>-335</v>
      </c>
      <c r="Q524" s="88">
        <f>(SUBTOTAL(9,Q525:Q530))</f>
        <v>0</v>
      </c>
      <c r="R524" s="88">
        <f>(SUBTOTAL(9,R525:R530))</f>
        <v>0</v>
      </c>
      <c r="S524" s="88">
        <f>(SUBTOTAL(9,S525:S530))</f>
        <v>0</v>
      </c>
      <c r="T524" s="88">
        <f>(SUBTOTAL(9,T525:T530))</f>
        <v>0</v>
      </c>
      <c r="U524" s="87">
        <f t="shared" ref="U524" si="287">SUBTOTAL(9,O525:T530)</f>
        <v>415</v>
      </c>
    </row>
    <row r="525" spans="1:21" ht="17.25" customHeight="1" x14ac:dyDescent="0.3">
      <c r="A525" s="66" t="s">
        <v>30</v>
      </c>
      <c r="C525" s="67"/>
      <c r="D525" s="77" t="str">
        <f t="shared" ref="D525" si="288">D524</f>
        <v>E100032</v>
      </c>
      <c r="E525" s="77"/>
      <c r="F525" s="76"/>
      <c r="G525" s="76" t="str">
        <f>"""NAV Direct"",""CRONUS JetCorp USA"",""32"",""1"",""168336"""</f>
        <v>"NAV Direct","CRONUS JetCorp USA","32","1","168336"</v>
      </c>
      <c r="H525" s="86">
        <v>43466</v>
      </c>
      <c r="I525" s="85">
        <v>168336</v>
      </c>
      <c r="J525" s="84" t="str">
        <f>"Vendor"</f>
        <v>Vendor</v>
      </c>
      <c r="K525" s="84" t="str">
        <f>"V100001"</f>
        <v>V100001</v>
      </c>
      <c r="L525" s="84" t="str">
        <f>IF($J525="Customer",_xll.NL("first",$J525,"Name","No.","@@"&amp;$K525),"")</f>
        <v/>
      </c>
      <c r="M525" s="84" t="str">
        <f>"Greigner, Inc."</f>
        <v>Greigner, Inc.</v>
      </c>
      <c r="N525" s="84" t="str">
        <f>IF($J525="Item",_xll.NL("first",$J525,"Description","No.","@@"&amp;$K525),"")</f>
        <v/>
      </c>
      <c r="O525" s="83">
        <v>750</v>
      </c>
      <c r="P525" s="83">
        <v>0</v>
      </c>
      <c r="Q525" s="83">
        <v>0</v>
      </c>
      <c r="R525" s="83">
        <v>0</v>
      </c>
      <c r="S525" s="83">
        <v>0</v>
      </c>
      <c r="T525" s="83">
        <v>0</v>
      </c>
      <c r="U525" s="82"/>
    </row>
    <row r="526" spans="1:21" ht="17.25" customHeight="1" x14ac:dyDescent="0.3">
      <c r="A526" s="66" t="s">
        <v>30</v>
      </c>
      <c r="C526" s="67"/>
      <c r="D526" s="77" t="str">
        <f t="shared" ref="D526:D529" si="289">D525</f>
        <v>E100032</v>
      </c>
      <c r="E526" s="77"/>
      <c r="F526" s="76"/>
      <c r="G526" s="76" t="str">
        <f>"""NAV Direct"",""CRONUS JetCorp USA"",""32"",""1"",""64591"""</f>
        <v>"NAV Direct","CRONUS JetCorp USA","32","1","64591"</v>
      </c>
      <c r="H526" s="86">
        <v>43469</v>
      </c>
      <c r="I526" s="85">
        <v>64591</v>
      </c>
      <c r="J526" s="84" t="str">
        <f>"Customer"</f>
        <v>Customer</v>
      </c>
      <c r="K526" s="84" t="str">
        <f>"C100140"</f>
        <v>C100140</v>
      </c>
      <c r="L526" s="84" t="str">
        <f>IF($J526="Customer",_xll.NL("first",$J526,"Name","No.","@@"&amp;$K526),"")</f>
        <v>Super Daves</v>
      </c>
      <c r="M526" s="84" t="str">
        <f>""</f>
        <v/>
      </c>
      <c r="N526" s="84" t="str">
        <f>IF($J526="Item",_xll.NL("first",$J526,"Description","No.","@@"&amp;$K526),"")</f>
        <v/>
      </c>
      <c r="O526" s="83">
        <v>0</v>
      </c>
      <c r="P526" s="83">
        <v>-48</v>
      </c>
      <c r="Q526" s="83">
        <v>0</v>
      </c>
      <c r="R526" s="83">
        <v>0</v>
      </c>
      <c r="S526" s="83">
        <v>0</v>
      </c>
      <c r="T526" s="83">
        <v>0</v>
      </c>
      <c r="U526" s="82"/>
    </row>
    <row r="527" spans="1:21" ht="17.25" customHeight="1" x14ac:dyDescent="0.3">
      <c r="A527" s="66" t="s">
        <v>30</v>
      </c>
      <c r="C527" s="67"/>
      <c r="D527" s="77" t="str">
        <f t="shared" si="289"/>
        <v>E100032</v>
      </c>
      <c r="E527" s="77"/>
      <c r="F527" s="76"/>
      <c r="G527" s="76" t="str">
        <f>"""NAV Direct"",""CRONUS JetCorp USA"",""32"",""1"",""44481"""</f>
        <v>"NAV Direct","CRONUS JetCorp USA","32","1","44481"</v>
      </c>
      <c r="H527" s="86">
        <v>43472</v>
      </c>
      <c r="I527" s="85">
        <v>44481</v>
      </c>
      <c r="J527" s="84" t="str">
        <f>"Customer"</f>
        <v>Customer</v>
      </c>
      <c r="K527" s="84" t="str">
        <f>"C100141"</f>
        <v>C100141</v>
      </c>
      <c r="L527" s="84" t="str">
        <f>IF($J527="Customer",_xll.NL("first",$J527,"Name","No.","@@"&amp;$K527),"")</f>
        <v>Bargottis</v>
      </c>
      <c r="M527" s="84" t="str">
        <f>""</f>
        <v/>
      </c>
      <c r="N527" s="84" t="str">
        <f>IF($J527="Item",_xll.NL("first",$J527,"Description","No.","@@"&amp;$K527),"")</f>
        <v/>
      </c>
      <c r="O527" s="83">
        <v>0</v>
      </c>
      <c r="P527" s="83">
        <v>-144</v>
      </c>
      <c r="Q527" s="83">
        <v>0</v>
      </c>
      <c r="R527" s="83">
        <v>0</v>
      </c>
      <c r="S527" s="83">
        <v>0</v>
      </c>
      <c r="T527" s="83">
        <v>0</v>
      </c>
      <c r="U527" s="82"/>
    </row>
    <row r="528" spans="1:21" ht="17.25" customHeight="1" x14ac:dyDescent="0.3">
      <c r="A528" s="66" t="s">
        <v>30</v>
      </c>
      <c r="C528" s="67"/>
      <c r="D528" s="77" t="str">
        <f t="shared" si="289"/>
        <v>E100032</v>
      </c>
      <c r="E528" s="77"/>
      <c r="F528" s="76"/>
      <c r="G528" s="76" t="str">
        <f>"""NAV Direct"",""CRONUS JetCorp USA"",""32"",""1"",""44536"""</f>
        <v>"NAV Direct","CRONUS JetCorp USA","32","1","44536"</v>
      </c>
      <c r="H528" s="86">
        <v>43473</v>
      </c>
      <c r="I528" s="85">
        <v>44536</v>
      </c>
      <c r="J528" s="84" t="str">
        <f>"Customer"</f>
        <v>Customer</v>
      </c>
      <c r="K528" s="84" t="str">
        <f>"C100139"</f>
        <v>C100139</v>
      </c>
      <c r="L528" s="84" t="str">
        <f>IF($J528="Customer",_xll.NL("first",$J528,"Name","No.","@@"&amp;$K528),"")</f>
        <v>Gamma Ray's</v>
      </c>
      <c r="M528" s="84" t="str">
        <f>""</f>
        <v/>
      </c>
      <c r="N528" s="84" t="str">
        <f>IF($J528="Item",_xll.NL("first",$J528,"Description","No.","@@"&amp;$K528),"")</f>
        <v/>
      </c>
      <c r="O528" s="83">
        <v>0</v>
      </c>
      <c r="P528" s="83">
        <v>-144</v>
      </c>
      <c r="Q528" s="83">
        <v>0</v>
      </c>
      <c r="R528" s="83">
        <v>0</v>
      </c>
      <c r="S528" s="83">
        <v>0</v>
      </c>
      <c r="T528" s="83">
        <v>0</v>
      </c>
      <c r="U528" s="82"/>
    </row>
    <row r="529" spans="1:21" ht="17.25" customHeight="1" x14ac:dyDescent="0.3">
      <c r="A529" s="66" t="s">
        <v>30</v>
      </c>
      <c r="C529" s="67"/>
      <c r="D529" s="77" t="str">
        <f t="shared" si="289"/>
        <v>E100032</v>
      </c>
      <c r="E529" s="77"/>
      <c r="F529" s="76"/>
      <c r="G529" s="76" t="str">
        <f>"""NAV Direct"",""CRONUS JetCorp USA"",""32"",""1"",""159119"""</f>
        <v>"NAV Direct","CRONUS JetCorp USA","32","1","159119"</v>
      </c>
      <c r="H529" s="86">
        <v>43474</v>
      </c>
      <c r="I529" s="85">
        <v>159119</v>
      </c>
      <c r="J529" s="84" t="str">
        <f>"Customer"</f>
        <v>Customer</v>
      </c>
      <c r="K529" s="84" t="str">
        <f>"C100143"</f>
        <v>C100143</v>
      </c>
      <c r="L529" s="84" t="str">
        <f>IF($J529="Customer",_xll.NL("first",$J529,"Name","No.","@@"&amp;$K529),"")</f>
        <v>Parvotis</v>
      </c>
      <c r="M529" s="84" t="str">
        <f>""</f>
        <v/>
      </c>
      <c r="N529" s="84" t="str">
        <f>IF($J529="Item",_xll.NL("first",$J529,"Description","No.","@@"&amp;$K529),"")</f>
        <v/>
      </c>
      <c r="O529" s="83">
        <v>0</v>
      </c>
      <c r="P529" s="83">
        <v>1</v>
      </c>
      <c r="Q529" s="83">
        <v>0</v>
      </c>
      <c r="R529" s="83">
        <v>0</v>
      </c>
      <c r="S529" s="83">
        <v>0</v>
      </c>
      <c r="T529" s="83">
        <v>0</v>
      </c>
      <c r="U529" s="82"/>
    </row>
    <row r="530" spans="1:21" ht="17.25" customHeight="1" x14ac:dyDescent="0.3">
      <c r="A530" s="66" t="s">
        <v>30</v>
      </c>
      <c r="C530" s="67"/>
      <c r="D530" s="77"/>
      <c r="E530" s="77"/>
      <c r="F530" s="76"/>
      <c r="G530" s="76"/>
      <c r="H530" s="76"/>
      <c r="I530" s="76"/>
      <c r="J530" s="76"/>
      <c r="K530" s="76"/>
      <c r="L530" s="76"/>
      <c r="M530" s="76"/>
      <c r="N530" s="76"/>
      <c r="O530" s="75"/>
      <c r="P530" s="75"/>
      <c r="Q530" s="75"/>
      <c r="R530" s="75"/>
      <c r="S530" s="75"/>
      <c r="T530" s="75"/>
      <c r="U530" s="74"/>
    </row>
    <row r="531" spans="1:21" ht="17.25" customHeight="1" x14ac:dyDescent="0.3">
      <c r="A531" s="66" t="s">
        <v>30</v>
      </c>
      <c r="C531" s="67"/>
      <c r="D531" s="77"/>
      <c r="E531" s="77" t="s">
        <v>31</v>
      </c>
      <c r="F531" s="76" t="s">
        <v>31</v>
      </c>
      <c r="G531" s="76" t="s">
        <v>31</v>
      </c>
      <c r="H531" s="76"/>
      <c r="I531" s="76"/>
      <c r="J531" s="76" t="s">
        <v>31</v>
      </c>
      <c r="K531" s="76" t="s">
        <v>31</v>
      </c>
      <c r="L531" s="76" t="s">
        <v>31</v>
      </c>
      <c r="M531" s="76" t="s">
        <v>31</v>
      </c>
      <c r="N531" s="76"/>
      <c r="U531" s="81"/>
    </row>
    <row r="532" spans="1:21" ht="20.25" customHeight="1" x14ac:dyDescent="0.35">
      <c r="A532" s="66" t="s">
        <v>30</v>
      </c>
      <c r="C532" s="67"/>
      <c r="D532" s="92" t="str">
        <f t="shared" ref="D532" si="290">E532</f>
        <v>E100033</v>
      </c>
      <c r="E532" s="91" t="str">
        <f>"E100033"</f>
        <v>E100033</v>
      </c>
      <c r="F532" s="89" t="str">
        <f>"Dual Source Flashlight"</f>
        <v>Dual Source Flashlight</v>
      </c>
      <c r="G532" s="89"/>
      <c r="H532" s="90" t="str">
        <f>"EA"</f>
        <v>EA</v>
      </c>
      <c r="I532" s="89"/>
      <c r="J532" s="89"/>
      <c r="K532" s="89"/>
      <c r="L532" s="89"/>
      <c r="M532" s="89"/>
      <c r="N532" s="89"/>
      <c r="O532" s="88">
        <f>(SUBTOTAL(9,O533:O535))</f>
        <v>499.99999999999994</v>
      </c>
      <c r="P532" s="88">
        <f>(SUBTOTAL(9,P533:P535))</f>
        <v>-144</v>
      </c>
      <c r="Q532" s="88">
        <f>(SUBTOTAL(9,Q533:Q535))</f>
        <v>0</v>
      </c>
      <c r="R532" s="88">
        <f>(SUBTOTAL(9,R533:R535))</f>
        <v>0</v>
      </c>
      <c r="S532" s="88">
        <f>(SUBTOTAL(9,S533:S535))</f>
        <v>0</v>
      </c>
      <c r="T532" s="88">
        <f>(SUBTOTAL(9,T533:T535))</f>
        <v>0</v>
      </c>
      <c r="U532" s="87">
        <f t="shared" ref="U532" si="291">SUBTOTAL(9,O533:T535)</f>
        <v>355.99999999999994</v>
      </c>
    </row>
    <row r="533" spans="1:21" ht="17.25" customHeight="1" x14ac:dyDescent="0.3">
      <c r="A533" s="66" t="s">
        <v>30</v>
      </c>
      <c r="C533" s="67"/>
      <c r="D533" s="77" t="str">
        <f t="shared" ref="D533" si="292">D532</f>
        <v>E100033</v>
      </c>
      <c r="E533" s="77"/>
      <c r="F533" s="76"/>
      <c r="G533" s="76" t="str">
        <f>"""NAV Direct"",""CRONUS JetCorp USA"",""32"",""1"",""168335"""</f>
        <v>"NAV Direct","CRONUS JetCorp USA","32","1","168335"</v>
      </c>
      <c r="H533" s="86">
        <v>43466</v>
      </c>
      <c r="I533" s="85">
        <v>168335</v>
      </c>
      <c r="J533" s="84" t="str">
        <f>"Vendor"</f>
        <v>Vendor</v>
      </c>
      <c r="K533" s="84" t="str">
        <f>"V100001"</f>
        <v>V100001</v>
      </c>
      <c r="L533" s="84" t="str">
        <f>IF($J533="Customer",_xll.NL("first",$J533,"Name","No.","@@"&amp;$K533),"")</f>
        <v/>
      </c>
      <c r="M533" s="84" t="str">
        <f>"Greigner, Inc."</f>
        <v>Greigner, Inc.</v>
      </c>
      <c r="N533" s="84" t="str">
        <f>IF($J533="Item",_xll.NL("first",$J533,"Description","No.","@@"&amp;$K533),"")</f>
        <v/>
      </c>
      <c r="O533" s="83">
        <v>499.99999999999994</v>
      </c>
      <c r="P533" s="83">
        <v>0</v>
      </c>
      <c r="Q533" s="83">
        <v>0</v>
      </c>
      <c r="R533" s="83">
        <v>0</v>
      </c>
      <c r="S533" s="83">
        <v>0</v>
      </c>
      <c r="T533" s="83">
        <v>0</v>
      </c>
      <c r="U533" s="82"/>
    </row>
    <row r="534" spans="1:21" ht="17.25" customHeight="1" x14ac:dyDescent="0.3">
      <c r="A534" s="66" t="s">
        <v>30</v>
      </c>
      <c r="C534" s="67"/>
      <c r="D534" s="77" t="str">
        <f t="shared" ref="D534" si="293">D533</f>
        <v>E100033</v>
      </c>
      <c r="E534" s="77"/>
      <c r="F534" s="76"/>
      <c r="G534" s="76" t="str">
        <f>"""NAV Direct"",""CRONUS JetCorp USA"",""32"",""1"",""44469"""</f>
        <v>"NAV Direct","CRONUS JetCorp USA","32","1","44469"</v>
      </c>
      <c r="H534" s="86">
        <v>43472</v>
      </c>
      <c r="I534" s="85">
        <v>44469</v>
      </c>
      <c r="J534" s="84" t="str">
        <f>"Customer"</f>
        <v>Customer</v>
      </c>
      <c r="K534" s="84" t="str">
        <f>"C100141"</f>
        <v>C100141</v>
      </c>
      <c r="L534" s="84" t="str">
        <f>IF($J534="Customer",_xll.NL("first",$J534,"Name","No.","@@"&amp;$K534),"")</f>
        <v>Bargottis</v>
      </c>
      <c r="M534" s="84" t="str">
        <f>""</f>
        <v/>
      </c>
      <c r="N534" s="84" t="str">
        <f>IF($J534="Item",_xll.NL("first",$J534,"Description","No.","@@"&amp;$K534),"")</f>
        <v/>
      </c>
      <c r="O534" s="83">
        <v>0</v>
      </c>
      <c r="P534" s="83">
        <v>-144</v>
      </c>
      <c r="Q534" s="83">
        <v>0</v>
      </c>
      <c r="R534" s="83">
        <v>0</v>
      </c>
      <c r="S534" s="83">
        <v>0</v>
      </c>
      <c r="T534" s="83">
        <v>0</v>
      </c>
      <c r="U534" s="82"/>
    </row>
    <row r="535" spans="1:21" ht="17.25" customHeight="1" x14ac:dyDescent="0.3">
      <c r="A535" s="66" t="s">
        <v>30</v>
      </c>
      <c r="C535" s="67"/>
      <c r="D535" s="77"/>
      <c r="E535" s="77"/>
      <c r="F535" s="76"/>
      <c r="G535" s="76"/>
      <c r="H535" s="76"/>
      <c r="I535" s="76"/>
      <c r="J535" s="76"/>
      <c r="K535" s="76"/>
      <c r="L535" s="76"/>
      <c r="M535" s="76"/>
      <c r="N535" s="76"/>
      <c r="O535" s="75"/>
      <c r="P535" s="75"/>
      <c r="Q535" s="75"/>
      <c r="R535" s="75"/>
      <c r="S535" s="75"/>
      <c r="T535" s="75"/>
      <c r="U535" s="74"/>
    </row>
    <row r="536" spans="1:21" ht="17.25" customHeight="1" x14ac:dyDescent="0.3">
      <c r="A536" s="66" t="s">
        <v>30</v>
      </c>
      <c r="C536" s="67"/>
      <c r="D536" s="77"/>
      <c r="E536" s="77" t="s">
        <v>31</v>
      </c>
      <c r="F536" s="76" t="s">
        <v>31</v>
      </c>
      <c r="G536" s="76" t="s">
        <v>31</v>
      </c>
      <c r="H536" s="76"/>
      <c r="I536" s="76"/>
      <c r="J536" s="76" t="s">
        <v>31</v>
      </c>
      <c r="K536" s="76" t="s">
        <v>31</v>
      </c>
      <c r="L536" s="76" t="s">
        <v>31</v>
      </c>
      <c r="M536" s="76" t="s">
        <v>31</v>
      </c>
      <c r="N536" s="76"/>
      <c r="U536" s="81"/>
    </row>
    <row r="537" spans="1:21" ht="20.25" customHeight="1" x14ac:dyDescent="0.35">
      <c r="A537" s="66" t="s">
        <v>30</v>
      </c>
      <c r="C537" s="67"/>
      <c r="D537" s="92" t="str">
        <f t="shared" ref="D537" si="294">E537</f>
        <v>E100034</v>
      </c>
      <c r="E537" s="91" t="str">
        <f>"E100034"</f>
        <v>E100034</v>
      </c>
      <c r="F537" s="89" t="str">
        <f>"Bamboo 1GB USB Flash Drive"</f>
        <v>Bamboo 1GB USB Flash Drive</v>
      </c>
      <c r="G537" s="89"/>
      <c r="H537" s="90" t="str">
        <f>"EA"</f>
        <v>EA</v>
      </c>
      <c r="I537" s="89"/>
      <c r="J537" s="89"/>
      <c r="K537" s="89"/>
      <c r="L537" s="89"/>
      <c r="M537" s="89"/>
      <c r="N537" s="89"/>
      <c r="O537" s="88">
        <f>(SUBTOTAL(9,O538:O540))</f>
        <v>750</v>
      </c>
      <c r="P537" s="88">
        <f>(SUBTOTAL(9,P538:P540))</f>
        <v>-144</v>
      </c>
      <c r="Q537" s="88">
        <f>(SUBTOTAL(9,Q538:Q540))</f>
        <v>0</v>
      </c>
      <c r="R537" s="88">
        <f>(SUBTOTAL(9,R538:R540))</f>
        <v>0</v>
      </c>
      <c r="S537" s="88">
        <f>(SUBTOTAL(9,S538:S540))</f>
        <v>0</v>
      </c>
      <c r="T537" s="88">
        <f>(SUBTOTAL(9,T538:T540))</f>
        <v>0</v>
      </c>
      <c r="U537" s="87">
        <f t="shared" ref="U537" si="295">SUBTOTAL(9,O538:T540)</f>
        <v>606</v>
      </c>
    </row>
    <row r="538" spans="1:21" ht="17.25" customHeight="1" x14ac:dyDescent="0.3">
      <c r="A538" s="66" t="s">
        <v>30</v>
      </c>
      <c r="C538" s="67"/>
      <c r="D538" s="77" t="str">
        <f t="shared" ref="D538" si="296">D537</f>
        <v>E100034</v>
      </c>
      <c r="E538" s="77"/>
      <c r="F538" s="76"/>
      <c r="G538" s="76" t="str">
        <f>"""NAV Direct"",""CRONUS JetCorp USA"",""32"",""1"",""168334"""</f>
        <v>"NAV Direct","CRONUS JetCorp USA","32","1","168334"</v>
      </c>
      <c r="H538" s="86">
        <v>43466</v>
      </c>
      <c r="I538" s="85">
        <v>168334</v>
      </c>
      <c r="J538" s="84" t="str">
        <f>"Vendor"</f>
        <v>Vendor</v>
      </c>
      <c r="K538" s="84" t="str">
        <f>"V100001"</f>
        <v>V100001</v>
      </c>
      <c r="L538" s="84" t="str">
        <f>IF($J538="Customer",_xll.NL("first",$J538,"Name","No.","@@"&amp;$K538),"")</f>
        <v/>
      </c>
      <c r="M538" s="84" t="str">
        <f>"Greigner, Inc."</f>
        <v>Greigner, Inc.</v>
      </c>
      <c r="N538" s="84" t="str">
        <f>IF($J538="Item",_xll.NL("first",$J538,"Description","No.","@@"&amp;$K538),"")</f>
        <v/>
      </c>
      <c r="O538" s="83">
        <v>750</v>
      </c>
      <c r="P538" s="83">
        <v>0</v>
      </c>
      <c r="Q538" s="83">
        <v>0</v>
      </c>
      <c r="R538" s="83">
        <v>0</v>
      </c>
      <c r="S538" s="83">
        <v>0</v>
      </c>
      <c r="T538" s="83">
        <v>0</v>
      </c>
      <c r="U538" s="82"/>
    </row>
    <row r="539" spans="1:21" ht="17.25" customHeight="1" x14ac:dyDescent="0.3">
      <c r="A539" s="66" t="s">
        <v>30</v>
      </c>
      <c r="C539" s="67"/>
      <c r="D539" s="77" t="str">
        <f t="shared" ref="D539" si="297">D538</f>
        <v>E100034</v>
      </c>
      <c r="E539" s="77"/>
      <c r="F539" s="76"/>
      <c r="G539" s="76" t="str">
        <f>"""NAV Direct"",""CRONUS JetCorp USA"",""32"",""1"",""44509"""</f>
        <v>"NAV Direct","CRONUS JetCorp USA","32","1","44509"</v>
      </c>
      <c r="H539" s="86">
        <v>43473</v>
      </c>
      <c r="I539" s="85">
        <v>44509</v>
      </c>
      <c r="J539" s="84" t="str">
        <f>"Customer"</f>
        <v>Customer</v>
      </c>
      <c r="K539" s="84" t="str">
        <f>"C100139"</f>
        <v>C100139</v>
      </c>
      <c r="L539" s="84" t="str">
        <f>IF($J539="Customer",_xll.NL("first",$J539,"Name","No.","@@"&amp;$K539),"")</f>
        <v>Gamma Ray's</v>
      </c>
      <c r="M539" s="84" t="str">
        <f>""</f>
        <v/>
      </c>
      <c r="N539" s="84" t="str">
        <f>IF($J539="Item",_xll.NL("first",$J539,"Description","No.","@@"&amp;$K539),"")</f>
        <v/>
      </c>
      <c r="O539" s="83">
        <v>0</v>
      </c>
      <c r="P539" s="83">
        <v>-144</v>
      </c>
      <c r="Q539" s="83">
        <v>0</v>
      </c>
      <c r="R539" s="83">
        <v>0</v>
      </c>
      <c r="S539" s="83">
        <v>0</v>
      </c>
      <c r="T539" s="83">
        <v>0</v>
      </c>
      <c r="U539" s="82"/>
    </row>
    <row r="540" spans="1:21" ht="17.25" customHeight="1" x14ac:dyDescent="0.3">
      <c r="A540" s="66" t="s">
        <v>30</v>
      </c>
      <c r="C540" s="67"/>
      <c r="D540" s="77"/>
      <c r="E540" s="77"/>
      <c r="F540" s="76"/>
      <c r="G540" s="76"/>
      <c r="H540" s="76"/>
      <c r="I540" s="76"/>
      <c r="J540" s="76"/>
      <c r="K540" s="76"/>
      <c r="L540" s="76"/>
      <c r="M540" s="76"/>
      <c r="N540" s="76"/>
      <c r="O540" s="75"/>
      <c r="P540" s="75"/>
      <c r="Q540" s="75"/>
      <c r="R540" s="75"/>
      <c r="S540" s="75"/>
      <c r="T540" s="75"/>
      <c r="U540" s="74"/>
    </row>
    <row r="541" spans="1:21" ht="17.25" customHeight="1" x14ac:dyDescent="0.3">
      <c r="A541" s="66" t="s">
        <v>30</v>
      </c>
      <c r="C541" s="67"/>
      <c r="D541" s="77"/>
      <c r="E541" s="77" t="s">
        <v>31</v>
      </c>
      <c r="F541" s="76" t="s">
        <v>31</v>
      </c>
      <c r="G541" s="76" t="s">
        <v>31</v>
      </c>
      <c r="H541" s="76"/>
      <c r="I541" s="76"/>
      <c r="J541" s="76" t="s">
        <v>31</v>
      </c>
      <c r="K541" s="76" t="s">
        <v>31</v>
      </c>
      <c r="L541" s="76" t="s">
        <v>31</v>
      </c>
      <c r="M541" s="76" t="s">
        <v>31</v>
      </c>
      <c r="N541" s="76"/>
      <c r="U541" s="81"/>
    </row>
    <row r="542" spans="1:21" ht="20.25" customHeight="1" x14ac:dyDescent="0.35">
      <c r="A542" s="66" t="s">
        <v>30</v>
      </c>
      <c r="C542" s="67"/>
      <c r="D542" s="92" t="str">
        <f t="shared" ref="D542" si="298">E542</f>
        <v>E100035</v>
      </c>
      <c r="E542" s="91" t="str">
        <f>"E100035"</f>
        <v>E100035</v>
      </c>
      <c r="F542" s="89" t="str">
        <f>"2GB Foldout USB Flash Drive"</f>
        <v>2GB Foldout USB Flash Drive</v>
      </c>
      <c r="G542" s="89"/>
      <c r="H542" s="90" t="str">
        <f>"EA"</f>
        <v>EA</v>
      </c>
      <c r="I542" s="89"/>
      <c r="J542" s="89"/>
      <c r="K542" s="89"/>
      <c r="L542" s="89"/>
      <c r="M542" s="89"/>
      <c r="N542" s="89"/>
      <c r="O542" s="88">
        <f>(SUBTOTAL(9,O543:O546))</f>
        <v>750</v>
      </c>
      <c r="P542" s="88">
        <f>(SUBTOTAL(9,P543:P546))</f>
        <v>-193</v>
      </c>
      <c r="Q542" s="88">
        <f>(SUBTOTAL(9,Q543:Q546))</f>
        <v>0</v>
      </c>
      <c r="R542" s="88">
        <f>(SUBTOTAL(9,R543:R546))</f>
        <v>0</v>
      </c>
      <c r="S542" s="88">
        <f>(SUBTOTAL(9,S543:S546))</f>
        <v>0</v>
      </c>
      <c r="T542" s="88">
        <f>(SUBTOTAL(9,T543:T546))</f>
        <v>0</v>
      </c>
      <c r="U542" s="87">
        <f t="shared" ref="U542" si="299">SUBTOTAL(9,O543:T546)</f>
        <v>557</v>
      </c>
    </row>
    <row r="543" spans="1:21" ht="17.25" customHeight="1" x14ac:dyDescent="0.3">
      <c r="A543" s="66" t="s">
        <v>30</v>
      </c>
      <c r="C543" s="67"/>
      <c r="D543" s="77" t="str">
        <f t="shared" ref="D543" si="300">D542</f>
        <v>E100035</v>
      </c>
      <c r="E543" s="77"/>
      <c r="F543" s="76"/>
      <c r="G543" s="76" t="str">
        <f>"""NAV Direct"",""CRONUS JetCorp USA"",""32"",""1"",""168333"""</f>
        <v>"NAV Direct","CRONUS JetCorp USA","32","1","168333"</v>
      </c>
      <c r="H543" s="86">
        <v>43466</v>
      </c>
      <c r="I543" s="85">
        <v>168333</v>
      </c>
      <c r="J543" s="84" t="str">
        <f>"Vendor"</f>
        <v>Vendor</v>
      </c>
      <c r="K543" s="84" t="str">
        <f>"V100001"</f>
        <v>V100001</v>
      </c>
      <c r="L543" s="84" t="str">
        <f>IF($J543="Customer",_xll.NL("first",$J543,"Name","No.","@@"&amp;$K543),"")</f>
        <v/>
      </c>
      <c r="M543" s="84" t="str">
        <f>"Greigner, Inc."</f>
        <v>Greigner, Inc.</v>
      </c>
      <c r="N543" s="84" t="str">
        <f>IF($J543="Item",_xll.NL("first",$J543,"Description","No.","@@"&amp;$K543),"")</f>
        <v/>
      </c>
      <c r="O543" s="83">
        <v>750</v>
      </c>
      <c r="P543" s="83">
        <v>0</v>
      </c>
      <c r="Q543" s="83">
        <v>0</v>
      </c>
      <c r="R543" s="83">
        <v>0</v>
      </c>
      <c r="S543" s="83">
        <v>0</v>
      </c>
      <c r="T543" s="83">
        <v>0</v>
      </c>
      <c r="U543" s="82"/>
    </row>
    <row r="544" spans="1:21" ht="17.25" customHeight="1" x14ac:dyDescent="0.3">
      <c r="A544" s="66" t="s">
        <v>30</v>
      </c>
      <c r="C544" s="67"/>
      <c r="D544" s="77" t="str">
        <f t="shared" ref="D544:D545" si="301">D543</f>
        <v>E100035</v>
      </c>
      <c r="E544" s="77"/>
      <c r="F544" s="76"/>
      <c r="G544" s="76" t="str">
        <f>"""NAV Direct"",""CRONUS JetCorp USA"",""32"",""1"",""44478"""</f>
        <v>"NAV Direct","CRONUS JetCorp USA","32","1","44478"</v>
      </c>
      <c r="H544" s="86">
        <v>43472</v>
      </c>
      <c r="I544" s="85">
        <v>44478</v>
      </c>
      <c r="J544" s="84" t="str">
        <f>"Customer"</f>
        <v>Customer</v>
      </c>
      <c r="K544" s="84" t="str">
        <f>"C100141"</f>
        <v>C100141</v>
      </c>
      <c r="L544" s="84" t="str">
        <f>IF($J544="Customer",_xll.NL("first",$J544,"Name","No.","@@"&amp;$K544),"")</f>
        <v>Bargottis</v>
      </c>
      <c r="M544" s="84" t="str">
        <f>""</f>
        <v/>
      </c>
      <c r="N544" s="84" t="str">
        <f>IF($J544="Item",_xll.NL("first",$J544,"Description","No.","@@"&amp;$K544),"")</f>
        <v/>
      </c>
      <c r="O544" s="83">
        <v>0</v>
      </c>
      <c r="P544" s="83">
        <v>-49</v>
      </c>
      <c r="Q544" s="83">
        <v>0</v>
      </c>
      <c r="R544" s="83">
        <v>0</v>
      </c>
      <c r="S544" s="83">
        <v>0</v>
      </c>
      <c r="T544" s="83">
        <v>0</v>
      </c>
      <c r="U544" s="82"/>
    </row>
    <row r="545" spans="1:21" ht="17.25" customHeight="1" x14ac:dyDescent="0.3">
      <c r="A545" s="66" t="s">
        <v>30</v>
      </c>
      <c r="C545" s="67"/>
      <c r="D545" s="77" t="str">
        <f t="shared" si="301"/>
        <v>E100035</v>
      </c>
      <c r="E545" s="77"/>
      <c r="F545" s="76"/>
      <c r="G545" s="76" t="str">
        <f>"""NAV Direct"",""CRONUS JetCorp USA"",""32"",""1"",""44513"""</f>
        <v>"NAV Direct","CRONUS JetCorp USA","32","1","44513"</v>
      </c>
      <c r="H545" s="86">
        <v>43473</v>
      </c>
      <c r="I545" s="85">
        <v>44513</v>
      </c>
      <c r="J545" s="84" t="str">
        <f>"Customer"</f>
        <v>Customer</v>
      </c>
      <c r="K545" s="84" t="str">
        <f>"C100139"</f>
        <v>C100139</v>
      </c>
      <c r="L545" s="84" t="str">
        <f>IF($J545="Customer",_xll.NL("first",$J545,"Name","No.","@@"&amp;$K545),"")</f>
        <v>Gamma Ray's</v>
      </c>
      <c r="M545" s="84" t="str">
        <f>""</f>
        <v/>
      </c>
      <c r="N545" s="84" t="str">
        <f>IF($J545="Item",_xll.NL("first",$J545,"Description","No.","@@"&amp;$K545),"")</f>
        <v/>
      </c>
      <c r="O545" s="83">
        <v>0</v>
      </c>
      <c r="P545" s="83">
        <v>-144</v>
      </c>
      <c r="Q545" s="83">
        <v>0</v>
      </c>
      <c r="R545" s="83">
        <v>0</v>
      </c>
      <c r="S545" s="83">
        <v>0</v>
      </c>
      <c r="T545" s="83">
        <v>0</v>
      </c>
      <c r="U545" s="82"/>
    </row>
    <row r="546" spans="1:21" ht="17.25" customHeight="1" x14ac:dyDescent="0.3">
      <c r="A546" s="66" t="s">
        <v>30</v>
      </c>
      <c r="C546" s="67"/>
      <c r="D546" s="77"/>
      <c r="E546" s="77"/>
      <c r="F546" s="76"/>
      <c r="G546" s="76"/>
      <c r="H546" s="76"/>
      <c r="I546" s="76"/>
      <c r="J546" s="76"/>
      <c r="K546" s="76"/>
      <c r="L546" s="76"/>
      <c r="M546" s="76"/>
      <c r="N546" s="76"/>
      <c r="O546" s="75"/>
      <c r="P546" s="75"/>
      <c r="Q546" s="75"/>
      <c r="R546" s="75"/>
      <c r="S546" s="75"/>
      <c r="T546" s="75"/>
      <c r="U546" s="74"/>
    </row>
    <row r="547" spans="1:21" ht="17.25" customHeight="1" x14ac:dyDescent="0.3">
      <c r="A547" s="66" t="s">
        <v>30</v>
      </c>
      <c r="C547" s="67"/>
      <c r="D547" s="77"/>
      <c r="E547" s="77" t="s">
        <v>31</v>
      </c>
      <c r="F547" s="76" t="s">
        <v>31</v>
      </c>
      <c r="G547" s="76" t="s">
        <v>31</v>
      </c>
      <c r="H547" s="76"/>
      <c r="I547" s="76"/>
      <c r="J547" s="76" t="s">
        <v>31</v>
      </c>
      <c r="K547" s="76" t="s">
        <v>31</v>
      </c>
      <c r="L547" s="76" t="s">
        <v>31</v>
      </c>
      <c r="M547" s="76" t="s">
        <v>31</v>
      </c>
      <c r="N547" s="76"/>
      <c r="U547" s="81"/>
    </row>
    <row r="548" spans="1:21" ht="20.25" customHeight="1" x14ac:dyDescent="0.35">
      <c r="A548" s="66" t="s">
        <v>30</v>
      </c>
      <c r="C548" s="67"/>
      <c r="D548" s="92" t="str">
        <f t="shared" ref="D548" si="302">E548</f>
        <v>E100038</v>
      </c>
      <c r="E548" s="91" t="str">
        <f>"E100038"</f>
        <v>E100038</v>
      </c>
      <c r="F548" s="89" t="str">
        <f>"1GB USB Flash Drive Pen"</f>
        <v>1GB USB Flash Drive Pen</v>
      </c>
      <c r="G548" s="89"/>
      <c r="H548" s="90" t="str">
        <f>"EA"</f>
        <v>EA</v>
      </c>
      <c r="I548" s="89"/>
      <c r="J548" s="89"/>
      <c r="K548" s="89"/>
      <c r="L548" s="89"/>
      <c r="M548" s="89"/>
      <c r="N548" s="89"/>
      <c r="O548" s="88">
        <f>(SUBTOTAL(9,O549:O552))</f>
        <v>1250</v>
      </c>
      <c r="P548" s="88">
        <f>(SUBTOTAL(9,P549:P552))</f>
        <v>-289</v>
      </c>
      <c r="Q548" s="88">
        <f>(SUBTOTAL(9,Q549:Q552))</f>
        <v>0</v>
      </c>
      <c r="R548" s="88">
        <f>(SUBTOTAL(9,R549:R552))</f>
        <v>0</v>
      </c>
      <c r="S548" s="88">
        <f>(SUBTOTAL(9,S549:S552))</f>
        <v>0</v>
      </c>
      <c r="T548" s="88">
        <f>(SUBTOTAL(9,T549:T552))</f>
        <v>0</v>
      </c>
      <c r="U548" s="87">
        <f t="shared" ref="U548" si="303">SUBTOTAL(9,O549:T552)</f>
        <v>961</v>
      </c>
    </row>
    <row r="549" spans="1:21" ht="17.25" customHeight="1" x14ac:dyDescent="0.3">
      <c r="A549" s="66" t="s">
        <v>30</v>
      </c>
      <c r="C549" s="67"/>
      <c r="D549" s="77" t="str">
        <f t="shared" ref="D549" si="304">D548</f>
        <v>E100038</v>
      </c>
      <c r="E549" s="77"/>
      <c r="F549" s="76"/>
      <c r="G549" s="76" t="str">
        <f>"""NAV Direct"",""CRONUS JetCorp USA"",""32"",""1"",""168332"""</f>
        <v>"NAV Direct","CRONUS JetCorp USA","32","1","168332"</v>
      </c>
      <c r="H549" s="86">
        <v>43466</v>
      </c>
      <c r="I549" s="85">
        <v>168332</v>
      </c>
      <c r="J549" s="84" t="str">
        <f>"Vendor"</f>
        <v>Vendor</v>
      </c>
      <c r="K549" s="84" t="str">
        <f>"V100001"</f>
        <v>V100001</v>
      </c>
      <c r="L549" s="84" t="str">
        <f>IF($J549="Customer",_xll.NL("first",$J549,"Name","No.","@@"&amp;$K549),"")</f>
        <v/>
      </c>
      <c r="M549" s="84" t="str">
        <f>"Greigner, Inc."</f>
        <v>Greigner, Inc.</v>
      </c>
      <c r="N549" s="84" t="str">
        <f>IF($J549="Item",_xll.NL("first",$J549,"Description","No.","@@"&amp;$K549),"")</f>
        <v/>
      </c>
      <c r="O549" s="83">
        <v>1250</v>
      </c>
      <c r="P549" s="83">
        <v>0</v>
      </c>
      <c r="Q549" s="83">
        <v>0</v>
      </c>
      <c r="R549" s="83">
        <v>0</v>
      </c>
      <c r="S549" s="83">
        <v>0</v>
      </c>
      <c r="T549" s="83">
        <v>0</v>
      </c>
      <c r="U549" s="82"/>
    </row>
    <row r="550" spans="1:21" ht="17.25" customHeight="1" x14ac:dyDescent="0.3">
      <c r="A550" s="66" t="s">
        <v>30</v>
      </c>
      <c r="C550" s="67"/>
      <c r="D550" s="77" t="str">
        <f t="shared" ref="D550:D551" si="305">D549</f>
        <v>E100038</v>
      </c>
      <c r="E550" s="77"/>
      <c r="F550" s="76"/>
      <c r="G550" s="76" t="str">
        <f>"""NAV Direct"",""CRONUS JetCorp USA"",""32"",""1"",""44461"""</f>
        <v>"NAV Direct","CRONUS JetCorp USA","32","1","44461"</v>
      </c>
      <c r="H550" s="86">
        <v>43472</v>
      </c>
      <c r="I550" s="85">
        <v>44461</v>
      </c>
      <c r="J550" s="84" t="str">
        <f>"Customer"</f>
        <v>Customer</v>
      </c>
      <c r="K550" s="84" t="str">
        <f>"C100141"</f>
        <v>C100141</v>
      </c>
      <c r="L550" s="84" t="str">
        <f>IF($J550="Customer",_xll.NL("first",$J550,"Name","No.","@@"&amp;$K550),"")</f>
        <v>Bargottis</v>
      </c>
      <c r="M550" s="84" t="str">
        <f>""</f>
        <v/>
      </c>
      <c r="N550" s="84" t="str">
        <f>IF($J550="Item",_xll.NL("first",$J550,"Description","No.","@@"&amp;$K550),"")</f>
        <v/>
      </c>
      <c r="O550" s="83">
        <v>0</v>
      </c>
      <c r="P550" s="83">
        <v>-145</v>
      </c>
      <c r="Q550" s="83">
        <v>0</v>
      </c>
      <c r="R550" s="83">
        <v>0</v>
      </c>
      <c r="S550" s="83">
        <v>0</v>
      </c>
      <c r="T550" s="83">
        <v>0</v>
      </c>
      <c r="U550" s="82"/>
    </row>
    <row r="551" spans="1:21" ht="17.25" customHeight="1" x14ac:dyDescent="0.3">
      <c r="A551" s="66" t="s">
        <v>30</v>
      </c>
      <c r="C551" s="67"/>
      <c r="D551" s="77" t="str">
        <f t="shared" si="305"/>
        <v>E100038</v>
      </c>
      <c r="E551" s="77"/>
      <c r="F551" s="76"/>
      <c r="G551" s="76" t="str">
        <f>"""NAV Direct"",""CRONUS JetCorp USA"",""32"",""1"",""44510"""</f>
        <v>"NAV Direct","CRONUS JetCorp USA","32","1","44510"</v>
      </c>
      <c r="H551" s="86">
        <v>43473</v>
      </c>
      <c r="I551" s="85">
        <v>44510</v>
      </c>
      <c r="J551" s="84" t="str">
        <f>"Customer"</f>
        <v>Customer</v>
      </c>
      <c r="K551" s="84" t="str">
        <f>"C100139"</f>
        <v>C100139</v>
      </c>
      <c r="L551" s="84" t="str">
        <f>IF($J551="Customer",_xll.NL("first",$J551,"Name","No.","@@"&amp;$K551),"")</f>
        <v>Gamma Ray's</v>
      </c>
      <c r="M551" s="84" t="str">
        <f>""</f>
        <v/>
      </c>
      <c r="N551" s="84" t="str">
        <f>IF($J551="Item",_xll.NL("first",$J551,"Description","No.","@@"&amp;$K551),"")</f>
        <v/>
      </c>
      <c r="O551" s="83">
        <v>0</v>
      </c>
      <c r="P551" s="83">
        <v>-144</v>
      </c>
      <c r="Q551" s="83">
        <v>0</v>
      </c>
      <c r="R551" s="83">
        <v>0</v>
      </c>
      <c r="S551" s="83">
        <v>0</v>
      </c>
      <c r="T551" s="83">
        <v>0</v>
      </c>
      <c r="U551" s="82"/>
    </row>
    <row r="552" spans="1:21" ht="17.25" customHeight="1" x14ac:dyDescent="0.3">
      <c r="A552" s="66" t="s">
        <v>30</v>
      </c>
      <c r="C552" s="67"/>
      <c r="D552" s="77"/>
      <c r="E552" s="77"/>
      <c r="F552" s="76"/>
      <c r="G552" s="76"/>
      <c r="H552" s="76"/>
      <c r="I552" s="76"/>
      <c r="J552" s="76"/>
      <c r="K552" s="76"/>
      <c r="L552" s="76"/>
      <c r="M552" s="76"/>
      <c r="N552" s="76"/>
      <c r="O552" s="75"/>
      <c r="P552" s="75"/>
      <c r="Q552" s="75"/>
      <c r="R552" s="75"/>
      <c r="S552" s="75"/>
      <c r="T552" s="75"/>
      <c r="U552" s="74"/>
    </row>
    <row r="553" spans="1:21" ht="17.25" customHeight="1" x14ac:dyDescent="0.3">
      <c r="A553" s="66" t="s">
        <v>30</v>
      </c>
      <c r="C553" s="67"/>
      <c r="D553" s="77"/>
      <c r="E553" s="77" t="s">
        <v>31</v>
      </c>
      <c r="F553" s="76" t="s">
        <v>31</v>
      </c>
      <c r="G553" s="76" t="s">
        <v>31</v>
      </c>
      <c r="H553" s="76"/>
      <c r="I553" s="76"/>
      <c r="J553" s="76" t="s">
        <v>31</v>
      </c>
      <c r="K553" s="76" t="s">
        <v>31</v>
      </c>
      <c r="L553" s="76" t="s">
        <v>31</v>
      </c>
      <c r="M553" s="76" t="s">
        <v>31</v>
      </c>
      <c r="N553" s="76"/>
      <c r="U553" s="81"/>
    </row>
    <row r="554" spans="1:21" ht="20.25" customHeight="1" x14ac:dyDescent="0.35">
      <c r="A554" s="66" t="s">
        <v>30</v>
      </c>
      <c r="C554" s="67"/>
      <c r="D554" s="92" t="str">
        <f t="shared" ref="D554" si="306">E554</f>
        <v>E100039</v>
      </c>
      <c r="E554" s="91" t="str">
        <f>"E100039"</f>
        <v>E100039</v>
      </c>
      <c r="F554" s="89" t="str">
        <f>"Campfire Mug"</f>
        <v>Campfire Mug</v>
      </c>
      <c r="G554" s="89"/>
      <c r="H554" s="90" t="str">
        <f>"EA"</f>
        <v>EA</v>
      </c>
      <c r="I554" s="89"/>
      <c r="J554" s="89"/>
      <c r="K554" s="89"/>
      <c r="L554" s="89"/>
      <c r="M554" s="89"/>
      <c r="N554" s="89"/>
      <c r="O554" s="88">
        <f>(SUBTOTAL(9,O555:O561))</f>
        <v>1999.9999999999998</v>
      </c>
      <c r="P554" s="88">
        <f>(SUBTOTAL(9,P555:P561))</f>
        <v>-577</v>
      </c>
      <c r="Q554" s="88">
        <f>(SUBTOTAL(9,Q555:Q561))</f>
        <v>0</v>
      </c>
      <c r="R554" s="88">
        <f>(SUBTOTAL(9,R555:R561))</f>
        <v>0</v>
      </c>
      <c r="S554" s="88">
        <f>(SUBTOTAL(9,S555:S561))</f>
        <v>0</v>
      </c>
      <c r="T554" s="88">
        <f>(SUBTOTAL(9,T555:T561))</f>
        <v>0</v>
      </c>
      <c r="U554" s="87">
        <f t="shared" ref="U554" si="307">SUBTOTAL(9,O555:T561)</f>
        <v>1422.9999999999998</v>
      </c>
    </row>
    <row r="555" spans="1:21" ht="17.25" customHeight="1" x14ac:dyDescent="0.3">
      <c r="A555" s="66" t="s">
        <v>30</v>
      </c>
      <c r="C555" s="67"/>
      <c r="D555" s="77" t="str">
        <f t="shared" ref="D555" si="308">D554</f>
        <v>E100039</v>
      </c>
      <c r="E555" s="77"/>
      <c r="F555" s="76"/>
      <c r="G555" s="76" t="str">
        <f>"""NAV Direct"",""CRONUS JetCorp USA"",""32"",""1"",""168641"""</f>
        <v>"NAV Direct","CRONUS JetCorp USA","32","1","168641"</v>
      </c>
      <c r="H555" s="86">
        <v>43466</v>
      </c>
      <c r="I555" s="85">
        <v>168641</v>
      </c>
      <c r="J555" s="84" t="str">
        <f>"Vendor"</f>
        <v>Vendor</v>
      </c>
      <c r="K555" s="84" t="str">
        <f>"V100001"</f>
        <v>V100001</v>
      </c>
      <c r="L555" s="84" t="str">
        <f>IF($J555="Customer",_xll.NL("first",$J555,"Name","No.","@@"&amp;$K555),"")</f>
        <v/>
      </c>
      <c r="M555" s="84" t="str">
        <f>"Greigner, Inc."</f>
        <v>Greigner, Inc.</v>
      </c>
      <c r="N555" s="84" t="str">
        <f>IF($J555="Item",_xll.NL("first",$J555,"Description","No.","@@"&amp;$K555),"")</f>
        <v/>
      </c>
      <c r="O555" s="83">
        <v>1999.9999999999998</v>
      </c>
      <c r="P555" s="83">
        <v>0</v>
      </c>
      <c r="Q555" s="83">
        <v>0</v>
      </c>
      <c r="R555" s="83">
        <v>0</v>
      </c>
      <c r="S555" s="83">
        <v>0</v>
      </c>
      <c r="T555" s="83">
        <v>0</v>
      </c>
      <c r="U555" s="82"/>
    </row>
    <row r="556" spans="1:21" ht="17.25" customHeight="1" x14ac:dyDescent="0.3">
      <c r="A556" s="66" t="s">
        <v>30</v>
      </c>
      <c r="C556" s="67"/>
      <c r="D556" s="77" t="str">
        <f t="shared" ref="D556:D560" si="309">D555</f>
        <v>E100039</v>
      </c>
      <c r="E556" s="77"/>
      <c r="F556" s="76"/>
      <c r="G556" s="76" t="str">
        <f>"""NAV Direct"",""CRONUS JetCorp USA"",""32"",""1"",""64583"""</f>
        <v>"NAV Direct","CRONUS JetCorp USA","32","1","64583"</v>
      </c>
      <c r="H556" s="86">
        <v>43469</v>
      </c>
      <c r="I556" s="85">
        <v>64583</v>
      </c>
      <c r="J556" s="84" t="str">
        <f>"Customer"</f>
        <v>Customer</v>
      </c>
      <c r="K556" s="84" t="str">
        <f>"C100140"</f>
        <v>C100140</v>
      </c>
      <c r="L556" s="84" t="str">
        <f>IF($J556="Customer",_xll.NL("first",$J556,"Name","No.","@@"&amp;$K556),"")</f>
        <v>Super Daves</v>
      </c>
      <c r="M556" s="84" t="str">
        <f>""</f>
        <v/>
      </c>
      <c r="N556" s="84" t="str">
        <f>IF($J556="Item",_xll.NL("first",$J556,"Description","No.","@@"&amp;$K556),"")</f>
        <v/>
      </c>
      <c r="O556" s="83">
        <v>0</v>
      </c>
      <c r="P556" s="83">
        <v>-144</v>
      </c>
      <c r="Q556" s="83">
        <v>0</v>
      </c>
      <c r="R556" s="83">
        <v>0</v>
      </c>
      <c r="S556" s="83">
        <v>0</v>
      </c>
      <c r="T556" s="83">
        <v>0</v>
      </c>
      <c r="U556" s="82"/>
    </row>
    <row r="557" spans="1:21" ht="17.25" customHeight="1" x14ac:dyDescent="0.3">
      <c r="A557" s="66" t="s">
        <v>30</v>
      </c>
      <c r="C557" s="67"/>
      <c r="D557" s="77" t="str">
        <f t="shared" si="309"/>
        <v>E100039</v>
      </c>
      <c r="E557" s="77"/>
      <c r="F557" s="76"/>
      <c r="G557" s="76" t="str">
        <f>"""NAV Direct"",""CRONUS JetCorp USA"",""32"",""1"",""44474"""</f>
        <v>"NAV Direct","CRONUS JetCorp USA","32","1","44474"</v>
      </c>
      <c r="H557" s="86">
        <v>43472</v>
      </c>
      <c r="I557" s="85">
        <v>44474</v>
      </c>
      <c r="J557" s="84" t="str">
        <f>"Customer"</f>
        <v>Customer</v>
      </c>
      <c r="K557" s="84" t="str">
        <f>"C100141"</f>
        <v>C100141</v>
      </c>
      <c r="L557" s="84" t="str">
        <f>IF($J557="Customer",_xll.NL("first",$J557,"Name","No.","@@"&amp;$K557),"")</f>
        <v>Bargottis</v>
      </c>
      <c r="M557" s="84" t="str">
        <f>""</f>
        <v/>
      </c>
      <c r="N557" s="84" t="str">
        <f>IF($J557="Item",_xll.NL("first",$J557,"Description","No.","@@"&amp;$K557),"")</f>
        <v/>
      </c>
      <c r="O557" s="83">
        <v>0</v>
      </c>
      <c r="P557" s="83">
        <v>-144</v>
      </c>
      <c r="Q557" s="83">
        <v>0</v>
      </c>
      <c r="R557" s="83">
        <v>0</v>
      </c>
      <c r="S557" s="83">
        <v>0</v>
      </c>
      <c r="T557" s="83">
        <v>0</v>
      </c>
      <c r="U557" s="82"/>
    </row>
    <row r="558" spans="1:21" ht="17.25" customHeight="1" x14ac:dyDescent="0.3">
      <c r="A558" s="66" t="s">
        <v>30</v>
      </c>
      <c r="C558" s="67"/>
      <c r="D558" s="77" t="str">
        <f t="shared" si="309"/>
        <v>E100039</v>
      </c>
      <c r="E558" s="77"/>
      <c r="F558" s="76"/>
      <c r="G558" s="76" t="str">
        <f>"""NAV Direct"",""CRONUS JetCorp USA"",""32"",""1"",""64600"""</f>
        <v>"NAV Direct","CRONUS JetCorp USA","32","1","64600"</v>
      </c>
      <c r="H558" s="86">
        <v>43472</v>
      </c>
      <c r="I558" s="85">
        <v>64600</v>
      </c>
      <c r="J558" s="84" t="str">
        <f>"Customer"</f>
        <v>Customer</v>
      </c>
      <c r="K558" s="84" t="str">
        <f>"C100140"</f>
        <v>C100140</v>
      </c>
      <c r="L558" s="84" t="str">
        <f>IF($J558="Customer",_xll.NL("first",$J558,"Name","No.","@@"&amp;$K558),"")</f>
        <v>Super Daves</v>
      </c>
      <c r="M558" s="84" t="str">
        <f>""</f>
        <v/>
      </c>
      <c r="N558" s="84" t="str">
        <f>IF($J558="Item",_xll.NL("first",$J558,"Description","No.","@@"&amp;$K558),"")</f>
        <v/>
      </c>
      <c r="O558" s="83">
        <v>0</v>
      </c>
      <c r="P558" s="83">
        <v>-144</v>
      </c>
      <c r="Q558" s="83">
        <v>0</v>
      </c>
      <c r="R558" s="83">
        <v>0</v>
      </c>
      <c r="S558" s="83">
        <v>0</v>
      </c>
      <c r="T558" s="83">
        <v>0</v>
      </c>
      <c r="U558" s="82"/>
    </row>
    <row r="559" spans="1:21" ht="17.25" customHeight="1" x14ac:dyDescent="0.3">
      <c r="A559" s="66" t="s">
        <v>30</v>
      </c>
      <c r="C559" s="67"/>
      <c r="D559" s="77" t="str">
        <f t="shared" si="309"/>
        <v>E100039</v>
      </c>
      <c r="E559" s="77"/>
      <c r="F559" s="76"/>
      <c r="G559" s="76" t="str">
        <f>"""NAV Direct"",""CRONUS JetCorp USA"",""32"",""1"",""44543"""</f>
        <v>"NAV Direct","CRONUS JetCorp USA","32","1","44543"</v>
      </c>
      <c r="H559" s="86">
        <v>43473</v>
      </c>
      <c r="I559" s="85">
        <v>44543</v>
      </c>
      <c r="J559" s="84" t="str">
        <f>"Customer"</f>
        <v>Customer</v>
      </c>
      <c r="K559" s="84" t="str">
        <f>"C100139"</f>
        <v>C100139</v>
      </c>
      <c r="L559" s="84" t="str">
        <f>IF($J559="Customer",_xll.NL("first",$J559,"Name","No.","@@"&amp;$K559),"")</f>
        <v>Gamma Ray's</v>
      </c>
      <c r="M559" s="84" t="str">
        <f>""</f>
        <v/>
      </c>
      <c r="N559" s="84" t="str">
        <f>IF($J559="Item",_xll.NL("first",$J559,"Description","No.","@@"&amp;$K559),"")</f>
        <v/>
      </c>
      <c r="O559" s="83">
        <v>0</v>
      </c>
      <c r="P559" s="83">
        <v>-1</v>
      </c>
      <c r="Q559" s="83">
        <v>0</v>
      </c>
      <c r="R559" s="83">
        <v>0</v>
      </c>
      <c r="S559" s="83">
        <v>0</v>
      </c>
      <c r="T559" s="83">
        <v>0</v>
      </c>
      <c r="U559" s="82"/>
    </row>
    <row r="560" spans="1:21" ht="17.25" customHeight="1" x14ac:dyDescent="0.3">
      <c r="A560" s="66" t="s">
        <v>30</v>
      </c>
      <c r="C560" s="67"/>
      <c r="D560" s="77" t="str">
        <f t="shared" si="309"/>
        <v>E100039</v>
      </c>
      <c r="E560" s="77"/>
      <c r="F560" s="76"/>
      <c r="G560" s="76" t="str">
        <f>"""NAV Direct"",""CRONUS JetCorp USA"",""32"",""1"",""54705"""</f>
        <v>"NAV Direct","CRONUS JetCorp USA","32","1","54705"</v>
      </c>
      <c r="H560" s="86">
        <v>43474</v>
      </c>
      <c r="I560" s="85">
        <v>54705</v>
      </c>
      <c r="J560" s="84" t="str">
        <f>"Customer"</f>
        <v>Customer</v>
      </c>
      <c r="K560" s="84" t="str">
        <f>"C100096"</f>
        <v>C100096</v>
      </c>
      <c r="L560" s="84" t="str">
        <f>IF($J560="Customer",_xll.NL("first",$J560,"Name","No.","@@"&amp;$K560),"")</f>
        <v>D-Com Industries</v>
      </c>
      <c r="M560" s="84" t="str">
        <f>""</f>
        <v/>
      </c>
      <c r="N560" s="84" t="str">
        <f>IF($J560="Item",_xll.NL("first",$J560,"Description","No.","@@"&amp;$K560),"")</f>
        <v/>
      </c>
      <c r="O560" s="83">
        <v>0</v>
      </c>
      <c r="P560" s="83">
        <v>-144</v>
      </c>
      <c r="Q560" s="83">
        <v>0</v>
      </c>
      <c r="R560" s="83">
        <v>0</v>
      </c>
      <c r="S560" s="83">
        <v>0</v>
      </c>
      <c r="T560" s="83">
        <v>0</v>
      </c>
      <c r="U560" s="82"/>
    </row>
    <row r="561" spans="1:21" ht="17.25" customHeight="1" x14ac:dyDescent="0.3">
      <c r="A561" s="66" t="s">
        <v>30</v>
      </c>
      <c r="C561" s="67"/>
      <c r="D561" s="77"/>
      <c r="E561" s="77"/>
      <c r="F561" s="76"/>
      <c r="G561" s="76"/>
      <c r="H561" s="76"/>
      <c r="I561" s="76"/>
      <c r="J561" s="76"/>
      <c r="K561" s="76"/>
      <c r="L561" s="76"/>
      <c r="M561" s="76"/>
      <c r="N561" s="76"/>
      <c r="O561" s="75"/>
      <c r="P561" s="75"/>
      <c r="Q561" s="75"/>
      <c r="R561" s="75"/>
      <c r="S561" s="75"/>
      <c r="T561" s="75"/>
      <c r="U561" s="74"/>
    </row>
    <row r="562" spans="1:21" ht="17.25" customHeight="1" x14ac:dyDescent="0.3">
      <c r="A562" s="66" t="s">
        <v>30</v>
      </c>
      <c r="C562" s="67"/>
      <c r="D562" s="77"/>
      <c r="E562" s="77" t="s">
        <v>31</v>
      </c>
      <c r="F562" s="76" t="s">
        <v>31</v>
      </c>
      <c r="G562" s="76" t="s">
        <v>31</v>
      </c>
      <c r="H562" s="76"/>
      <c r="I562" s="76"/>
      <c r="J562" s="76" t="s">
        <v>31</v>
      </c>
      <c r="K562" s="76" t="s">
        <v>31</v>
      </c>
      <c r="L562" s="76" t="s">
        <v>31</v>
      </c>
      <c r="M562" s="76" t="s">
        <v>31</v>
      </c>
      <c r="N562" s="76"/>
      <c r="U562" s="81"/>
    </row>
    <row r="563" spans="1:21" ht="20.25" customHeight="1" x14ac:dyDescent="0.35">
      <c r="A563" s="66" t="s">
        <v>30</v>
      </c>
      <c r="C563" s="67"/>
      <c r="D563" s="92" t="str">
        <f t="shared" ref="D563" si="310">E563</f>
        <v>E100040</v>
      </c>
      <c r="E563" s="91" t="str">
        <f>"E100040"</f>
        <v>E100040</v>
      </c>
      <c r="F563" s="89" t="str">
        <f>"Wave Mug"</f>
        <v>Wave Mug</v>
      </c>
      <c r="G563" s="89"/>
      <c r="H563" s="90" t="str">
        <f>"EA"</f>
        <v>EA</v>
      </c>
      <c r="I563" s="89"/>
      <c r="J563" s="89"/>
      <c r="K563" s="89"/>
      <c r="L563" s="89"/>
      <c r="M563" s="89"/>
      <c r="N563" s="89"/>
      <c r="O563" s="88">
        <f>(SUBTOTAL(9,O564:O566))</f>
        <v>1500</v>
      </c>
      <c r="P563" s="88">
        <f>(SUBTOTAL(9,P564:P566))</f>
        <v>-144</v>
      </c>
      <c r="Q563" s="88">
        <f>(SUBTOTAL(9,Q564:Q566))</f>
        <v>0</v>
      </c>
      <c r="R563" s="88">
        <f>(SUBTOTAL(9,R564:R566))</f>
        <v>0</v>
      </c>
      <c r="S563" s="88">
        <f>(SUBTOTAL(9,S564:S566))</f>
        <v>0</v>
      </c>
      <c r="T563" s="88">
        <f>(SUBTOTAL(9,T564:T566))</f>
        <v>0</v>
      </c>
      <c r="U563" s="87">
        <f t="shared" ref="U563" si="311">SUBTOTAL(9,O564:T566)</f>
        <v>1356</v>
      </c>
    </row>
    <row r="564" spans="1:21" ht="17.25" customHeight="1" x14ac:dyDescent="0.3">
      <c r="A564" s="66" t="s">
        <v>30</v>
      </c>
      <c r="C564" s="67"/>
      <c r="D564" s="77" t="str">
        <f t="shared" ref="D564" si="312">D563</f>
        <v>E100040</v>
      </c>
      <c r="E564" s="77"/>
      <c r="F564" s="76"/>
      <c r="G564" s="76" t="str">
        <f>"""NAV Direct"",""CRONUS JetCorp USA"",""32"",""1"",""168640"""</f>
        <v>"NAV Direct","CRONUS JetCorp USA","32","1","168640"</v>
      </c>
      <c r="H564" s="86">
        <v>43466</v>
      </c>
      <c r="I564" s="85">
        <v>168640</v>
      </c>
      <c r="J564" s="84" t="str">
        <f>"Vendor"</f>
        <v>Vendor</v>
      </c>
      <c r="K564" s="84" t="str">
        <f>"V100001"</f>
        <v>V100001</v>
      </c>
      <c r="L564" s="84" t="str">
        <f>IF($J564="Customer",_xll.NL("first",$J564,"Name","No.","@@"&amp;$K564),"")</f>
        <v/>
      </c>
      <c r="M564" s="84" t="str">
        <f>"Greigner, Inc."</f>
        <v>Greigner, Inc.</v>
      </c>
      <c r="N564" s="84" t="str">
        <f>IF($J564="Item",_xll.NL("first",$J564,"Description","No.","@@"&amp;$K564),"")</f>
        <v/>
      </c>
      <c r="O564" s="83">
        <v>1500</v>
      </c>
      <c r="P564" s="83">
        <v>0</v>
      </c>
      <c r="Q564" s="83">
        <v>0</v>
      </c>
      <c r="R564" s="83">
        <v>0</v>
      </c>
      <c r="S564" s="83">
        <v>0</v>
      </c>
      <c r="T564" s="83">
        <v>0</v>
      </c>
      <c r="U564" s="82"/>
    </row>
    <row r="565" spans="1:21" ht="17.25" customHeight="1" x14ac:dyDescent="0.3">
      <c r="A565" s="66" t="s">
        <v>30</v>
      </c>
      <c r="C565" s="67"/>
      <c r="D565" s="77" t="str">
        <f t="shared" ref="D565" si="313">D564</f>
        <v>E100040</v>
      </c>
      <c r="E565" s="77"/>
      <c r="F565" s="76"/>
      <c r="G565" s="76" t="str">
        <f>"""NAV Direct"",""CRONUS JetCorp USA"",""32"",""1"",""54706"""</f>
        <v>"NAV Direct","CRONUS JetCorp USA","32","1","54706"</v>
      </c>
      <c r="H565" s="86">
        <v>43474</v>
      </c>
      <c r="I565" s="85">
        <v>54706</v>
      </c>
      <c r="J565" s="84" t="str">
        <f>"Customer"</f>
        <v>Customer</v>
      </c>
      <c r="K565" s="84" t="str">
        <f>"C100096"</f>
        <v>C100096</v>
      </c>
      <c r="L565" s="84" t="str">
        <f>IF($J565="Customer",_xll.NL("first",$J565,"Name","No.","@@"&amp;$K565),"")</f>
        <v>D-Com Industries</v>
      </c>
      <c r="M565" s="84" t="str">
        <f>""</f>
        <v/>
      </c>
      <c r="N565" s="84" t="str">
        <f>IF($J565="Item",_xll.NL("first",$J565,"Description","No.","@@"&amp;$K565),"")</f>
        <v/>
      </c>
      <c r="O565" s="83">
        <v>0</v>
      </c>
      <c r="P565" s="83">
        <v>-144</v>
      </c>
      <c r="Q565" s="83">
        <v>0</v>
      </c>
      <c r="R565" s="83">
        <v>0</v>
      </c>
      <c r="S565" s="83">
        <v>0</v>
      </c>
      <c r="T565" s="83">
        <v>0</v>
      </c>
      <c r="U565" s="82"/>
    </row>
    <row r="566" spans="1:21" ht="17.25" customHeight="1" x14ac:dyDescent="0.3">
      <c r="A566" s="66" t="s">
        <v>30</v>
      </c>
      <c r="C566" s="67"/>
      <c r="D566" s="77"/>
      <c r="E566" s="77"/>
      <c r="F566" s="76"/>
      <c r="G566" s="76"/>
      <c r="H566" s="76"/>
      <c r="I566" s="76"/>
      <c r="J566" s="76"/>
      <c r="K566" s="76"/>
      <c r="L566" s="76"/>
      <c r="M566" s="76"/>
      <c r="N566" s="76"/>
      <c r="O566" s="75"/>
      <c r="P566" s="75"/>
      <c r="Q566" s="75"/>
      <c r="R566" s="75"/>
      <c r="S566" s="75"/>
      <c r="T566" s="75"/>
      <c r="U566" s="74"/>
    </row>
    <row r="567" spans="1:21" ht="17.25" customHeight="1" x14ac:dyDescent="0.3">
      <c r="A567" s="66" t="s">
        <v>30</v>
      </c>
      <c r="C567" s="67"/>
      <c r="D567" s="77"/>
      <c r="E567" s="77" t="s">
        <v>31</v>
      </c>
      <c r="F567" s="76" t="s">
        <v>31</v>
      </c>
      <c r="G567" s="76" t="s">
        <v>31</v>
      </c>
      <c r="H567" s="76"/>
      <c r="I567" s="76"/>
      <c r="J567" s="76" t="s">
        <v>31</v>
      </c>
      <c r="K567" s="76" t="s">
        <v>31</v>
      </c>
      <c r="L567" s="76" t="s">
        <v>31</v>
      </c>
      <c r="M567" s="76" t="s">
        <v>31</v>
      </c>
      <c r="N567" s="76"/>
      <c r="U567" s="81"/>
    </row>
    <row r="568" spans="1:21" ht="20.25" customHeight="1" x14ac:dyDescent="0.35">
      <c r="A568" s="66" t="s">
        <v>30</v>
      </c>
      <c r="C568" s="67"/>
      <c r="D568" s="92" t="str">
        <f t="shared" ref="D568" si="314">E568</f>
        <v>E100041</v>
      </c>
      <c r="E568" s="91" t="str">
        <f>"E100041"</f>
        <v>E100041</v>
      </c>
      <c r="F568" s="89" t="str">
        <f>"Biodegradable Colored SPORT BOT"</f>
        <v>Biodegradable Colored SPORT BOT</v>
      </c>
      <c r="G568" s="89"/>
      <c r="H568" s="90" t="str">
        <f>"EA"</f>
        <v>EA</v>
      </c>
      <c r="I568" s="89"/>
      <c r="J568" s="89"/>
      <c r="K568" s="89"/>
      <c r="L568" s="89"/>
      <c r="M568" s="89"/>
      <c r="N568" s="89"/>
      <c r="O568" s="88">
        <f>(SUBTOTAL(9,O569:O574))</f>
        <v>1999.9999999999998</v>
      </c>
      <c r="P568" s="88">
        <f>(SUBTOTAL(9,P569:P574))</f>
        <v>-575</v>
      </c>
      <c r="Q568" s="88">
        <f>(SUBTOTAL(9,Q569:Q574))</f>
        <v>0</v>
      </c>
      <c r="R568" s="88">
        <f>(SUBTOTAL(9,R569:R574))</f>
        <v>0</v>
      </c>
      <c r="S568" s="88">
        <f>(SUBTOTAL(9,S569:S574))</f>
        <v>0</v>
      </c>
      <c r="T568" s="88">
        <f>(SUBTOTAL(9,T569:T574))</f>
        <v>0</v>
      </c>
      <c r="U568" s="87">
        <f t="shared" ref="U568" si="315">SUBTOTAL(9,O569:T574)</f>
        <v>1424.9999999999998</v>
      </c>
    </row>
    <row r="569" spans="1:21" ht="17.25" customHeight="1" x14ac:dyDescent="0.3">
      <c r="A569" s="66" t="s">
        <v>30</v>
      </c>
      <c r="C569" s="67"/>
      <c r="D569" s="77" t="str">
        <f t="shared" ref="D569" si="316">D568</f>
        <v>E100041</v>
      </c>
      <c r="E569" s="77"/>
      <c r="F569" s="76"/>
      <c r="G569" s="76" t="str">
        <f>"""NAV Direct"",""CRONUS JetCorp USA"",""32"",""1"",""168639"""</f>
        <v>"NAV Direct","CRONUS JetCorp USA","32","1","168639"</v>
      </c>
      <c r="H569" s="86">
        <v>43466</v>
      </c>
      <c r="I569" s="85">
        <v>168639</v>
      </c>
      <c r="J569" s="84" t="str">
        <f>"Vendor"</f>
        <v>Vendor</v>
      </c>
      <c r="K569" s="84" t="str">
        <f>"V100001"</f>
        <v>V100001</v>
      </c>
      <c r="L569" s="84" t="str">
        <f>IF($J569="Customer",_xll.NL("first",$J569,"Name","No.","@@"&amp;$K569),"")</f>
        <v/>
      </c>
      <c r="M569" s="84" t="str">
        <f>"Greigner, Inc."</f>
        <v>Greigner, Inc.</v>
      </c>
      <c r="N569" s="84" t="str">
        <f>IF($J569="Item",_xll.NL("first",$J569,"Description","No.","@@"&amp;$K569),"")</f>
        <v/>
      </c>
      <c r="O569" s="83">
        <v>1999.9999999999998</v>
      </c>
      <c r="P569" s="83">
        <v>0</v>
      </c>
      <c r="Q569" s="83">
        <v>0</v>
      </c>
      <c r="R569" s="83">
        <v>0</v>
      </c>
      <c r="S569" s="83">
        <v>0</v>
      </c>
      <c r="T569" s="83">
        <v>0</v>
      </c>
      <c r="U569" s="82"/>
    </row>
    <row r="570" spans="1:21" ht="17.25" customHeight="1" x14ac:dyDescent="0.3">
      <c r="A570" s="66" t="s">
        <v>30</v>
      </c>
      <c r="C570" s="67"/>
      <c r="D570" s="77" t="str">
        <f t="shared" ref="D570:D573" si="317">D569</f>
        <v>E100041</v>
      </c>
      <c r="E570" s="77"/>
      <c r="F570" s="76"/>
      <c r="G570" s="76" t="str">
        <f>"""NAV Direct"",""CRONUS JetCorp USA"",""32"",""1"",""64585"""</f>
        <v>"NAV Direct","CRONUS JetCorp USA","32","1","64585"</v>
      </c>
      <c r="H570" s="86">
        <v>43469</v>
      </c>
      <c r="I570" s="85">
        <v>64585</v>
      </c>
      <c r="J570" s="84" t="str">
        <f>"Customer"</f>
        <v>Customer</v>
      </c>
      <c r="K570" s="84" t="str">
        <f>"C100140"</f>
        <v>C100140</v>
      </c>
      <c r="L570" s="84" t="str">
        <f>IF($J570="Customer",_xll.NL("first",$J570,"Name","No.","@@"&amp;$K570),"")</f>
        <v>Super Daves</v>
      </c>
      <c r="M570" s="84" t="str">
        <f>""</f>
        <v/>
      </c>
      <c r="N570" s="84" t="str">
        <f>IF($J570="Item",_xll.NL("first",$J570,"Description","No.","@@"&amp;$K570),"")</f>
        <v/>
      </c>
      <c r="O570" s="83">
        <v>0</v>
      </c>
      <c r="P570" s="83">
        <v>-288</v>
      </c>
      <c r="Q570" s="83">
        <v>0</v>
      </c>
      <c r="R570" s="83">
        <v>0</v>
      </c>
      <c r="S570" s="83">
        <v>0</v>
      </c>
      <c r="T570" s="83">
        <v>0</v>
      </c>
      <c r="U570" s="82"/>
    </row>
    <row r="571" spans="1:21" ht="17.25" customHeight="1" x14ac:dyDescent="0.3">
      <c r="A571" s="66" t="s">
        <v>30</v>
      </c>
      <c r="C571" s="67"/>
      <c r="D571" s="77" t="str">
        <f t="shared" si="317"/>
        <v>E100041</v>
      </c>
      <c r="E571" s="77"/>
      <c r="F571" s="76"/>
      <c r="G571" s="76" t="str">
        <f>"""NAV Direct"",""CRONUS JetCorp USA"",""32"",""1"",""44480"""</f>
        <v>"NAV Direct","CRONUS JetCorp USA","32","1","44480"</v>
      </c>
      <c r="H571" s="86">
        <v>43472</v>
      </c>
      <c r="I571" s="85">
        <v>44480</v>
      </c>
      <c r="J571" s="84" t="str">
        <f>"Customer"</f>
        <v>Customer</v>
      </c>
      <c r="K571" s="84" t="str">
        <f>"C100141"</f>
        <v>C100141</v>
      </c>
      <c r="L571" s="84" t="str">
        <f>IF($J571="Customer",_xll.NL("first",$J571,"Name","No.","@@"&amp;$K571),"")</f>
        <v>Bargottis</v>
      </c>
      <c r="M571" s="84" t="str">
        <f>""</f>
        <v/>
      </c>
      <c r="N571" s="84" t="str">
        <f>IF($J571="Item",_xll.NL("first",$J571,"Description","No.","@@"&amp;$K571),"")</f>
        <v/>
      </c>
      <c r="O571" s="83">
        <v>0</v>
      </c>
      <c r="P571" s="83">
        <v>-144</v>
      </c>
      <c r="Q571" s="83">
        <v>0</v>
      </c>
      <c r="R571" s="83">
        <v>0</v>
      </c>
      <c r="S571" s="83">
        <v>0</v>
      </c>
      <c r="T571" s="83">
        <v>0</v>
      </c>
      <c r="U571" s="82"/>
    </row>
    <row r="572" spans="1:21" ht="17.25" customHeight="1" x14ac:dyDescent="0.3">
      <c r="A572" s="66" t="s">
        <v>30</v>
      </c>
      <c r="C572" s="67"/>
      <c r="D572" s="77" t="str">
        <f t="shared" si="317"/>
        <v>E100041</v>
      </c>
      <c r="E572" s="77"/>
      <c r="F572" s="76"/>
      <c r="G572" s="76" t="str">
        <f>"""NAV Direct"",""CRONUS JetCorp USA"",""32"",""1"",""64604"""</f>
        <v>"NAV Direct","CRONUS JetCorp USA","32","1","64604"</v>
      </c>
      <c r="H572" s="86">
        <v>43472</v>
      </c>
      <c r="I572" s="85">
        <v>64604</v>
      </c>
      <c r="J572" s="84" t="str">
        <f>"Customer"</f>
        <v>Customer</v>
      </c>
      <c r="K572" s="84" t="str">
        <f>"C100140"</f>
        <v>C100140</v>
      </c>
      <c r="L572" s="84" t="str">
        <f>IF($J572="Customer",_xll.NL("first",$J572,"Name","No.","@@"&amp;$K572),"")</f>
        <v>Super Daves</v>
      </c>
      <c r="M572" s="84" t="str">
        <f>""</f>
        <v/>
      </c>
      <c r="N572" s="84" t="str">
        <f>IF($J572="Item",_xll.NL("first",$J572,"Description","No.","@@"&amp;$K572),"")</f>
        <v/>
      </c>
      <c r="O572" s="83">
        <v>0</v>
      </c>
      <c r="P572" s="83">
        <v>-144</v>
      </c>
      <c r="Q572" s="83">
        <v>0</v>
      </c>
      <c r="R572" s="83">
        <v>0</v>
      </c>
      <c r="S572" s="83">
        <v>0</v>
      </c>
      <c r="T572" s="83">
        <v>0</v>
      </c>
      <c r="U572" s="82"/>
    </row>
    <row r="573" spans="1:21" ht="17.25" customHeight="1" x14ac:dyDescent="0.3">
      <c r="A573" s="66" t="s">
        <v>30</v>
      </c>
      <c r="C573" s="67"/>
      <c r="D573" s="77" t="str">
        <f t="shared" si="317"/>
        <v>E100041</v>
      </c>
      <c r="E573" s="77"/>
      <c r="F573" s="76"/>
      <c r="G573" s="76" t="str">
        <f>"""NAV Direct"",""CRONUS JetCorp USA"",""32"",""1"",""159118"""</f>
        <v>"NAV Direct","CRONUS JetCorp USA","32","1","159118"</v>
      </c>
      <c r="H573" s="86">
        <v>43474</v>
      </c>
      <c r="I573" s="85">
        <v>159118</v>
      </c>
      <c r="J573" s="84" t="str">
        <f>"Customer"</f>
        <v>Customer</v>
      </c>
      <c r="K573" s="84" t="str">
        <f>"C100143"</f>
        <v>C100143</v>
      </c>
      <c r="L573" s="84" t="str">
        <f>IF($J573="Customer",_xll.NL("first",$J573,"Name","No.","@@"&amp;$K573),"")</f>
        <v>Parvotis</v>
      </c>
      <c r="M573" s="84" t="str">
        <f>""</f>
        <v/>
      </c>
      <c r="N573" s="84" t="str">
        <f>IF($J573="Item",_xll.NL("first",$J573,"Description","No.","@@"&amp;$K573),"")</f>
        <v/>
      </c>
      <c r="O573" s="83">
        <v>0</v>
      </c>
      <c r="P573" s="83">
        <v>1</v>
      </c>
      <c r="Q573" s="83">
        <v>0</v>
      </c>
      <c r="R573" s="83">
        <v>0</v>
      </c>
      <c r="S573" s="83">
        <v>0</v>
      </c>
      <c r="T573" s="83">
        <v>0</v>
      </c>
      <c r="U573" s="82"/>
    </row>
    <row r="574" spans="1:21" ht="17.25" customHeight="1" x14ac:dyDescent="0.3">
      <c r="A574" s="66" t="s">
        <v>30</v>
      </c>
      <c r="C574" s="67"/>
      <c r="D574" s="77"/>
      <c r="E574" s="77"/>
      <c r="F574" s="76"/>
      <c r="G574" s="76"/>
      <c r="H574" s="76"/>
      <c r="I574" s="76"/>
      <c r="J574" s="76"/>
      <c r="K574" s="76"/>
      <c r="L574" s="76"/>
      <c r="M574" s="76"/>
      <c r="N574" s="76"/>
      <c r="O574" s="75"/>
      <c r="P574" s="75"/>
      <c r="Q574" s="75"/>
      <c r="R574" s="75"/>
      <c r="S574" s="75"/>
      <c r="T574" s="75"/>
      <c r="U574" s="74"/>
    </row>
    <row r="575" spans="1:21" ht="17.25" customHeight="1" x14ac:dyDescent="0.3">
      <c r="A575" s="66" t="s">
        <v>30</v>
      </c>
      <c r="C575" s="67"/>
      <c r="D575" s="77"/>
      <c r="E575" s="77" t="s">
        <v>31</v>
      </c>
      <c r="F575" s="76" t="s">
        <v>31</v>
      </c>
      <c r="G575" s="76" t="s">
        <v>31</v>
      </c>
      <c r="H575" s="76"/>
      <c r="I575" s="76"/>
      <c r="J575" s="76" t="s">
        <v>31</v>
      </c>
      <c r="K575" s="76" t="s">
        <v>31</v>
      </c>
      <c r="L575" s="76" t="s">
        <v>31</v>
      </c>
      <c r="M575" s="76" t="s">
        <v>31</v>
      </c>
      <c r="N575" s="76"/>
      <c r="U575" s="81"/>
    </row>
    <row r="576" spans="1:21" ht="20.25" customHeight="1" x14ac:dyDescent="0.35">
      <c r="A576" s="66" t="s">
        <v>30</v>
      </c>
      <c r="C576" s="67"/>
      <c r="D576" s="92" t="str">
        <f t="shared" ref="D576" si="318">E576</f>
        <v>E100042</v>
      </c>
      <c r="E576" s="91" t="str">
        <f>"E100042"</f>
        <v>E100042</v>
      </c>
      <c r="F576" s="89" t="str">
        <f>"Soft Touch Travel Mug"</f>
        <v>Soft Touch Travel Mug</v>
      </c>
      <c r="G576" s="89"/>
      <c r="H576" s="90" t="str">
        <f>"EA"</f>
        <v>EA</v>
      </c>
      <c r="I576" s="89"/>
      <c r="J576" s="89"/>
      <c r="K576" s="89"/>
      <c r="L576" s="89"/>
      <c r="M576" s="89"/>
      <c r="N576" s="89"/>
      <c r="O576" s="88">
        <f>(SUBTOTAL(9,O577:O579))</f>
        <v>2750</v>
      </c>
      <c r="P576" s="88">
        <f>(SUBTOTAL(9,P577:P579))</f>
        <v>-144</v>
      </c>
      <c r="Q576" s="88">
        <f>(SUBTOTAL(9,Q577:Q579))</f>
        <v>0</v>
      </c>
      <c r="R576" s="88">
        <f>(SUBTOTAL(9,R577:R579))</f>
        <v>0</v>
      </c>
      <c r="S576" s="88">
        <f>(SUBTOTAL(9,S577:S579))</f>
        <v>0</v>
      </c>
      <c r="T576" s="88">
        <f>(SUBTOTAL(9,T577:T579))</f>
        <v>0</v>
      </c>
      <c r="U576" s="87">
        <f t="shared" ref="U576" si="319">SUBTOTAL(9,O577:T579)</f>
        <v>2606</v>
      </c>
    </row>
    <row r="577" spans="1:21" ht="17.25" customHeight="1" x14ac:dyDescent="0.3">
      <c r="A577" s="66" t="s">
        <v>30</v>
      </c>
      <c r="C577" s="67"/>
      <c r="D577" s="77" t="str">
        <f t="shared" ref="D577" si="320">D576</f>
        <v>E100042</v>
      </c>
      <c r="E577" s="77"/>
      <c r="F577" s="76"/>
      <c r="G577" s="76" t="str">
        <f>"""NAV Direct"",""CRONUS JetCorp USA"",""32"",""1"",""168638"""</f>
        <v>"NAV Direct","CRONUS JetCorp USA","32","1","168638"</v>
      </c>
      <c r="H577" s="86">
        <v>43466</v>
      </c>
      <c r="I577" s="85">
        <v>168638</v>
      </c>
      <c r="J577" s="84" t="str">
        <f>"Vendor"</f>
        <v>Vendor</v>
      </c>
      <c r="K577" s="84" t="str">
        <f>"V100001"</f>
        <v>V100001</v>
      </c>
      <c r="L577" s="84" t="str">
        <f>IF($J577="Customer",_xll.NL("first",$J577,"Name","No.","@@"&amp;$K577),"")</f>
        <v/>
      </c>
      <c r="M577" s="84" t="str">
        <f>"Greigner, Inc."</f>
        <v>Greigner, Inc.</v>
      </c>
      <c r="N577" s="84" t="str">
        <f>IF($J577="Item",_xll.NL("first",$J577,"Description","No.","@@"&amp;$K577),"")</f>
        <v/>
      </c>
      <c r="O577" s="83">
        <v>2750</v>
      </c>
      <c r="P577" s="83">
        <v>0</v>
      </c>
      <c r="Q577" s="83">
        <v>0</v>
      </c>
      <c r="R577" s="83">
        <v>0</v>
      </c>
      <c r="S577" s="83">
        <v>0</v>
      </c>
      <c r="T577" s="83">
        <v>0</v>
      </c>
      <c r="U577" s="82"/>
    </row>
    <row r="578" spans="1:21" ht="17.25" customHeight="1" x14ac:dyDescent="0.3">
      <c r="A578" s="66" t="s">
        <v>30</v>
      </c>
      <c r="C578" s="67"/>
      <c r="D578" s="77" t="str">
        <f t="shared" ref="D578" si="321">D577</f>
        <v>E100042</v>
      </c>
      <c r="E578" s="77"/>
      <c r="F578" s="76"/>
      <c r="G578" s="76" t="str">
        <f>"""NAV Direct"",""CRONUS JetCorp USA"",""32"",""1"",""64574"""</f>
        <v>"NAV Direct","CRONUS JetCorp USA","32","1","64574"</v>
      </c>
      <c r="H578" s="86">
        <v>43469</v>
      </c>
      <c r="I578" s="85">
        <v>64574</v>
      </c>
      <c r="J578" s="84" t="str">
        <f>"Customer"</f>
        <v>Customer</v>
      </c>
      <c r="K578" s="84" t="str">
        <f>"C100140"</f>
        <v>C100140</v>
      </c>
      <c r="L578" s="84" t="str">
        <f>IF($J578="Customer",_xll.NL("first",$J578,"Name","No.","@@"&amp;$K578),"")</f>
        <v>Super Daves</v>
      </c>
      <c r="M578" s="84" t="str">
        <f>""</f>
        <v/>
      </c>
      <c r="N578" s="84" t="str">
        <f>IF($J578="Item",_xll.NL("first",$J578,"Description","No.","@@"&amp;$K578),"")</f>
        <v/>
      </c>
      <c r="O578" s="83">
        <v>0</v>
      </c>
      <c r="P578" s="83">
        <v>-144</v>
      </c>
      <c r="Q578" s="83">
        <v>0</v>
      </c>
      <c r="R578" s="83">
        <v>0</v>
      </c>
      <c r="S578" s="83">
        <v>0</v>
      </c>
      <c r="T578" s="83">
        <v>0</v>
      </c>
      <c r="U578" s="82"/>
    </row>
    <row r="579" spans="1:21" ht="17.25" customHeight="1" x14ac:dyDescent="0.3">
      <c r="A579" s="66" t="s">
        <v>30</v>
      </c>
      <c r="C579" s="67"/>
      <c r="D579" s="77"/>
      <c r="E579" s="77"/>
      <c r="F579" s="76"/>
      <c r="G579" s="76"/>
      <c r="H579" s="76"/>
      <c r="I579" s="76"/>
      <c r="J579" s="76"/>
      <c r="K579" s="76"/>
      <c r="L579" s="76"/>
      <c r="M579" s="76"/>
      <c r="N579" s="76"/>
      <c r="O579" s="75"/>
      <c r="P579" s="75"/>
      <c r="Q579" s="75"/>
      <c r="R579" s="75"/>
      <c r="S579" s="75"/>
      <c r="T579" s="75"/>
      <c r="U579" s="74"/>
    </row>
    <row r="580" spans="1:21" ht="17.25" customHeight="1" x14ac:dyDescent="0.3">
      <c r="A580" s="66" t="s">
        <v>30</v>
      </c>
      <c r="C580" s="67"/>
      <c r="D580" s="77"/>
      <c r="E580" s="77" t="s">
        <v>31</v>
      </c>
      <c r="F580" s="76" t="s">
        <v>31</v>
      </c>
      <c r="G580" s="76" t="s">
        <v>31</v>
      </c>
      <c r="H580" s="76"/>
      <c r="I580" s="76"/>
      <c r="J580" s="76" t="s">
        <v>31</v>
      </c>
      <c r="K580" s="76" t="s">
        <v>31</v>
      </c>
      <c r="L580" s="76" t="s">
        <v>31</v>
      </c>
      <c r="M580" s="76" t="s">
        <v>31</v>
      </c>
      <c r="N580" s="76"/>
      <c r="U580" s="81"/>
    </row>
    <row r="581" spans="1:21" ht="20.25" customHeight="1" x14ac:dyDescent="0.35">
      <c r="A581" s="66" t="s">
        <v>30</v>
      </c>
      <c r="C581" s="67"/>
      <c r="D581" s="92" t="str">
        <f t="shared" ref="D581" si="322">E581</f>
        <v>E100043</v>
      </c>
      <c r="E581" s="91" t="str">
        <f>"E100043"</f>
        <v>E100043</v>
      </c>
      <c r="F581" s="89" t="str">
        <f>"Pub Glass"</f>
        <v>Pub Glass</v>
      </c>
      <c r="G581" s="89"/>
      <c r="H581" s="90" t="str">
        <f>"EA"</f>
        <v>EA</v>
      </c>
      <c r="I581" s="89"/>
      <c r="J581" s="89"/>
      <c r="K581" s="89"/>
      <c r="L581" s="89"/>
      <c r="M581" s="89"/>
      <c r="N581" s="89"/>
      <c r="O581" s="88">
        <f>(SUBTOTAL(9,O582:O585))</f>
        <v>2500</v>
      </c>
      <c r="P581" s="88">
        <f>(SUBTOTAL(9,P582:P585))</f>
        <v>-432</v>
      </c>
      <c r="Q581" s="88">
        <f>(SUBTOTAL(9,Q582:Q585))</f>
        <v>0</v>
      </c>
      <c r="R581" s="88">
        <f>(SUBTOTAL(9,R582:R585))</f>
        <v>0</v>
      </c>
      <c r="S581" s="88">
        <f>(SUBTOTAL(9,S582:S585))</f>
        <v>0</v>
      </c>
      <c r="T581" s="88">
        <f>(SUBTOTAL(9,T582:T585))</f>
        <v>0</v>
      </c>
      <c r="U581" s="87">
        <f t="shared" ref="U581" si="323">SUBTOTAL(9,O582:T585)</f>
        <v>2068</v>
      </c>
    </row>
    <row r="582" spans="1:21" ht="17.25" customHeight="1" x14ac:dyDescent="0.3">
      <c r="A582" s="66" t="s">
        <v>30</v>
      </c>
      <c r="C582" s="67"/>
      <c r="D582" s="77" t="str">
        <f t="shared" ref="D582" si="324">D581</f>
        <v>E100043</v>
      </c>
      <c r="E582" s="77"/>
      <c r="F582" s="76"/>
      <c r="G582" s="76" t="str">
        <f>"""NAV Direct"",""CRONUS JetCorp USA"",""32"",""1"",""168637"""</f>
        <v>"NAV Direct","CRONUS JetCorp USA","32","1","168637"</v>
      </c>
      <c r="H582" s="86">
        <v>43466</v>
      </c>
      <c r="I582" s="85">
        <v>168637</v>
      </c>
      <c r="J582" s="84" t="str">
        <f>"Vendor"</f>
        <v>Vendor</v>
      </c>
      <c r="K582" s="84" t="str">
        <f>"V100001"</f>
        <v>V100001</v>
      </c>
      <c r="L582" s="84" t="str">
        <f>IF($J582="Customer",_xll.NL("first",$J582,"Name","No.","@@"&amp;$K582),"")</f>
        <v/>
      </c>
      <c r="M582" s="84" t="str">
        <f>"Greigner, Inc."</f>
        <v>Greigner, Inc.</v>
      </c>
      <c r="N582" s="84" t="str">
        <f>IF($J582="Item",_xll.NL("first",$J582,"Description","No.","@@"&amp;$K582),"")</f>
        <v/>
      </c>
      <c r="O582" s="83">
        <v>2500</v>
      </c>
      <c r="P582" s="83">
        <v>0</v>
      </c>
      <c r="Q582" s="83">
        <v>0</v>
      </c>
      <c r="R582" s="83">
        <v>0</v>
      </c>
      <c r="S582" s="83">
        <v>0</v>
      </c>
      <c r="T582" s="83">
        <v>0</v>
      </c>
      <c r="U582" s="82"/>
    </row>
    <row r="583" spans="1:21" ht="17.25" customHeight="1" x14ac:dyDescent="0.3">
      <c r="A583" s="66" t="s">
        <v>30</v>
      </c>
      <c r="C583" s="67"/>
      <c r="D583" s="77" t="str">
        <f t="shared" ref="D583:D584" si="325">D582</f>
        <v>E100043</v>
      </c>
      <c r="E583" s="77"/>
      <c r="F583" s="76"/>
      <c r="G583" s="76" t="str">
        <f>"""NAV Direct"",""CRONUS JetCorp USA"",""32"",""1"",""147992"""</f>
        <v>"NAV Direct","CRONUS JetCorp USA","32","1","147992"</v>
      </c>
      <c r="H583" s="86">
        <v>43469</v>
      </c>
      <c r="I583" s="85">
        <v>147992</v>
      </c>
      <c r="J583" s="84" t="str">
        <f>"Customer"</f>
        <v>Customer</v>
      </c>
      <c r="K583" s="84" t="str">
        <f>"C100096"</f>
        <v>C100096</v>
      </c>
      <c r="L583" s="84" t="str">
        <f>IF($J583="Customer",_xll.NL("first",$J583,"Name","No.","@@"&amp;$K583),"")</f>
        <v>D-Com Industries</v>
      </c>
      <c r="M583" s="84" t="str">
        <f>""</f>
        <v/>
      </c>
      <c r="N583" s="84" t="str">
        <f>IF($J583="Item",_xll.NL("first",$J583,"Description","No.","@@"&amp;$K583),"")</f>
        <v/>
      </c>
      <c r="O583" s="83">
        <v>0</v>
      </c>
      <c r="P583" s="83">
        <v>-144</v>
      </c>
      <c r="Q583" s="83">
        <v>0</v>
      </c>
      <c r="R583" s="83">
        <v>0</v>
      </c>
      <c r="S583" s="83">
        <v>0</v>
      </c>
      <c r="T583" s="83">
        <v>0</v>
      </c>
      <c r="U583" s="82"/>
    </row>
    <row r="584" spans="1:21" ht="17.25" customHeight="1" x14ac:dyDescent="0.3">
      <c r="A584" s="66" t="s">
        <v>30</v>
      </c>
      <c r="C584" s="67"/>
      <c r="D584" s="77" t="str">
        <f t="shared" si="325"/>
        <v>E100043</v>
      </c>
      <c r="E584" s="77"/>
      <c r="F584" s="76"/>
      <c r="G584" s="76" t="str">
        <f>"""NAV Direct"",""CRONUS JetCorp USA"",""32"",""1"",""44523"""</f>
        <v>"NAV Direct","CRONUS JetCorp USA","32","1","44523"</v>
      </c>
      <c r="H584" s="86">
        <v>43473</v>
      </c>
      <c r="I584" s="85">
        <v>44523</v>
      </c>
      <c r="J584" s="84" t="str">
        <f>"Customer"</f>
        <v>Customer</v>
      </c>
      <c r="K584" s="84" t="str">
        <f>"C100139"</f>
        <v>C100139</v>
      </c>
      <c r="L584" s="84" t="str">
        <f>IF($J584="Customer",_xll.NL("first",$J584,"Name","No.","@@"&amp;$K584),"")</f>
        <v>Gamma Ray's</v>
      </c>
      <c r="M584" s="84" t="str">
        <f>""</f>
        <v/>
      </c>
      <c r="N584" s="84" t="str">
        <f>IF($J584="Item",_xll.NL("first",$J584,"Description","No.","@@"&amp;$K584),"")</f>
        <v/>
      </c>
      <c r="O584" s="83">
        <v>0</v>
      </c>
      <c r="P584" s="83">
        <v>-288</v>
      </c>
      <c r="Q584" s="83">
        <v>0</v>
      </c>
      <c r="R584" s="83">
        <v>0</v>
      </c>
      <c r="S584" s="83">
        <v>0</v>
      </c>
      <c r="T584" s="83">
        <v>0</v>
      </c>
      <c r="U584" s="82"/>
    </row>
    <row r="585" spans="1:21" ht="17.25" customHeight="1" x14ac:dyDescent="0.3">
      <c r="A585" s="66" t="s">
        <v>30</v>
      </c>
      <c r="C585" s="67"/>
      <c r="D585" s="77"/>
      <c r="E585" s="77"/>
      <c r="F585" s="76"/>
      <c r="G585" s="76"/>
      <c r="H585" s="76"/>
      <c r="I585" s="76"/>
      <c r="J585" s="76"/>
      <c r="K585" s="76"/>
      <c r="L585" s="76"/>
      <c r="M585" s="76"/>
      <c r="N585" s="76"/>
      <c r="O585" s="75"/>
      <c r="P585" s="75"/>
      <c r="Q585" s="75"/>
      <c r="R585" s="75"/>
      <c r="S585" s="75"/>
      <c r="T585" s="75"/>
      <c r="U585" s="74"/>
    </row>
    <row r="586" spans="1:21" ht="17.25" customHeight="1" x14ac:dyDescent="0.3">
      <c r="A586" s="66" t="s">
        <v>30</v>
      </c>
      <c r="C586" s="67"/>
      <c r="D586" s="77"/>
      <c r="E586" s="77" t="s">
        <v>31</v>
      </c>
      <c r="F586" s="76" t="s">
        <v>31</v>
      </c>
      <c r="G586" s="76" t="s">
        <v>31</v>
      </c>
      <c r="H586" s="76"/>
      <c r="I586" s="76"/>
      <c r="J586" s="76" t="s">
        <v>31</v>
      </c>
      <c r="K586" s="76" t="s">
        <v>31</v>
      </c>
      <c r="L586" s="76" t="s">
        <v>31</v>
      </c>
      <c r="M586" s="76" t="s">
        <v>31</v>
      </c>
      <c r="N586" s="76"/>
      <c r="U586" s="81"/>
    </row>
    <row r="587" spans="1:21" ht="20.25" customHeight="1" x14ac:dyDescent="0.35">
      <c r="A587" s="66" t="s">
        <v>30</v>
      </c>
      <c r="C587" s="67"/>
      <c r="D587" s="92" t="str">
        <f t="shared" ref="D587" si="326">E587</f>
        <v>E100044</v>
      </c>
      <c r="E587" s="91" t="str">
        <f>"E100044"</f>
        <v>E100044</v>
      </c>
      <c r="F587" s="89" t="str">
        <f>"Juice Glass"</f>
        <v>Juice Glass</v>
      </c>
      <c r="G587" s="89"/>
      <c r="H587" s="90" t="str">
        <f>"EA"</f>
        <v>EA</v>
      </c>
      <c r="I587" s="89"/>
      <c r="J587" s="89"/>
      <c r="K587" s="89"/>
      <c r="L587" s="89"/>
      <c r="M587" s="89"/>
      <c r="N587" s="89"/>
      <c r="O587" s="88">
        <f>(SUBTOTAL(9,O588:O592))</f>
        <v>2750</v>
      </c>
      <c r="P587" s="88">
        <f>(SUBTOTAL(9,P588:P592))</f>
        <v>-289</v>
      </c>
      <c r="Q587" s="88">
        <f>(SUBTOTAL(9,Q588:Q592))</f>
        <v>0</v>
      </c>
      <c r="R587" s="88">
        <f>(SUBTOTAL(9,R588:R592))</f>
        <v>0</v>
      </c>
      <c r="S587" s="88">
        <f>(SUBTOTAL(9,S588:S592))</f>
        <v>0</v>
      </c>
      <c r="T587" s="88">
        <f>(SUBTOTAL(9,T588:T592))</f>
        <v>0</v>
      </c>
      <c r="U587" s="87">
        <f t="shared" ref="U587" si="327">SUBTOTAL(9,O588:T592)</f>
        <v>2461</v>
      </c>
    </row>
    <row r="588" spans="1:21" ht="17.25" customHeight="1" x14ac:dyDescent="0.3">
      <c r="A588" s="66" t="s">
        <v>30</v>
      </c>
      <c r="C588" s="67"/>
      <c r="D588" s="77" t="str">
        <f t="shared" ref="D588" si="328">D587</f>
        <v>E100044</v>
      </c>
      <c r="E588" s="77"/>
      <c r="F588" s="76"/>
      <c r="G588" s="76" t="str">
        <f>"""NAV Direct"",""CRONUS JetCorp USA"",""32"",""1"",""168636"""</f>
        <v>"NAV Direct","CRONUS JetCorp USA","32","1","168636"</v>
      </c>
      <c r="H588" s="86">
        <v>43466</v>
      </c>
      <c r="I588" s="85">
        <v>168636</v>
      </c>
      <c r="J588" s="84" t="str">
        <f>"Vendor"</f>
        <v>Vendor</v>
      </c>
      <c r="K588" s="84" t="str">
        <f>"V100001"</f>
        <v>V100001</v>
      </c>
      <c r="L588" s="84" t="str">
        <f>IF($J588="Customer",_xll.NL("first",$J588,"Name","No.","@@"&amp;$K588),"")</f>
        <v/>
      </c>
      <c r="M588" s="84" t="str">
        <f>"Greigner, Inc."</f>
        <v>Greigner, Inc.</v>
      </c>
      <c r="N588" s="84" t="str">
        <f>IF($J588="Item",_xll.NL("first",$J588,"Description","No.","@@"&amp;$K588),"")</f>
        <v/>
      </c>
      <c r="O588" s="83">
        <v>2750</v>
      </c>
      <c r="P588" s="83">
        <v>0</v>
      </c>
      <c r="Q588" s="83">
        <v>0</v>
      </c>
      <c r="R588" s="83">
        <v>0</v>
      </c>
      <c r="S588" s="83">
        <v>0</v>
      </c>
      <c r="T588" s="83">
        <v>0</v>
      </c>
      <c r="U588" s="82"/>
    </row>
    <row r="589" spans="1:21" ht="17.25" customHeight="1" x14ac:dyDescent="0.3">
      <c r="A589" s="66" t="s">
        <v>30</v>
      </c>
      <c r="C589" s="67"/>
      <c r="D589" s="77" t="str">
        <f t="shared" ref="D589:D591" si="329">D588</f>
        <v>E100044</v>
      </c>
      <c r="E589" s="77"/>
      <c r="F589" s="76"/>
      <c r="G589" s="76" t="str">
        <f>"""NAV Direct"",""CRONUS JetCorp USA"",""32"",""1"",""64605"""</f>
        <v>"NAV Direct","CRONUS JetCorp USA","32","1","64605"</v>
      </c>
      <c r="H589" s="86">
        <v>43472</v>
      </c>
      <c r="I589" s="85">
        <v>64605</v>
      </c>
      <c r="J589" s="84" t="str">
        <f>"Customer"</f>
        <v>Customer</v>
      </c>
      <c r="K589" s="84" t="str">
        <f>"C100140"</f>
        <v>C100140</v>
      </c>
      <c r="L589" s="84" t="str">
        <f>IF($J589="Customer",_xll.NL("first",$J589,"Name","No.","@@"&amp;$K589),"")</f>
        <v>Super Daves</v>
      </c>
      <c r="M589" s="84" t="str">
        <f>""</f>
        <v/>
      </c>
      <c r="N589" s="84" t="str">
        <f>IF($J589="Item",_xll.NL("first",$J589,"Description","No.","@@"&amp;$K589),"")</f>
        <v/>
      </c>
      <c r="O589" s="83">
        <v>0</v>
      </c>
      <c r="P589" s="83">
        <v>-144</v>
      </c>
      <c r="Q589" s="83">
        <v>0</v>
      </c>
      <c r="R589" s="83">
        <v>0</v>
      </c>
      <c r="S589" s="83">
        <v>0</v>
      </c>
      <c r="T589" s="83">
        <v>0</v>
      </c>
      <c r="U589" s="82"/>
    </row>
    <row r="590" spans="1:21" ht="17.25" customHeight="1" x14ac:dyDescent="0.3">
      <c r="A590" s="66" t="s">
        <v>30</v>
      </c>
      <c r="C590" s="67"/>
      <c r="D590" s="77" t="str">
        <f t="shared" si="329"/>
        <v>E100044</v>
      </c>
      <c r="E590" s="77"/>
      <c r="F590" s="76"/>
      <c r="G590" s="76" t="str">
        <f>"""NAV Direct"",""CRONUS JetCorp USA"",""32"",""1"",""44535"""</f>
        <v>"NAV Direct","CRONUS JetCorp USA","32","1","44535"</v>
      </c>
      <c r="H590" s="86">
        <v>43473</v>
      </c>
      <c r="I590" s="85">
        <v>44535</v>
      </c>
      <c r="J590" s="84" t="str">
        <f>"Customer"</f>
        <v>Customer</v>
      </c>
      <c r="K590" s="84" t="str">
        <f>"C100139"</f>
        <v>C100139</v>
      </c>
      <c r="L590" s="84" t="str">
        <f>IF($J590="Customer",_xll.NL("first",$J590,"Name","No.","@@"&amp;$K590),"")</f>
        <v>Gamma Ray's</v>
      </c>
      <c r="M590" s="84" t="str">
        <f>""</f>
        <v/>
      </c>
      <c r="N590" s="84" t="str">
        <f>IF($J590="Item",_xll.NL("first",$J590,"Description","No.","@@"&amp;$K590),"")</f>
        <v/>
      </c>
      <c r="O590" s="83">
        <v>0</v>
      </c>
      <c r="P590" s="83">
        <v>-144</v>
      </c>
      <c r="Q590" s="83">
        <v>0</v>
      </c>
      <c r="R590" s="83">
        <v>0</v>
      </c>
      <c r="S590" s="83">
        <v>0</v>
      </c>
      <c r="T590" s="83">
        <v>0</v>
      </c>
      <c r="U590" s="82"/>
    </row>
    <row r="591" spans="1:21" ht="17.25" customHeight="1" x14ac:dyDescent="0.3">
      <c r="A591" s="66" t="s">
        <v>30</v>
      </c>
      <c r="C591" s="67"/>
      <c r="D591" s="77" t="str">
        <f t="shared" si="329"/>
        <v>E100044</v>
      </c>
      <c r="E591" s="77"/>
      <c r="F591" s="76"/>
      <c r="G591" s="76" t="str">
        <f>"""NAV Direct"",""CRONUS JetCorp USA"",""32"",""1"",""153186"""</f>
        <v>"NAV Direct","CRONUS JetCorp USA","32","1","153186"</v>
      </c>
      <c r="H591" s="86">
        <v>43475</v>
      </c>
      <c r="I591" s="85">
        <v>153186</v>
      </c>
      <c r="J591" s="84" t="str">
        <f>"Customer"</f>
        <v>Customer</v>
      </c>
      <c r="K591" s="84" t="str">
        <f>"C100108"</f>
        <v>C100108</v>
      </c>
      <c r="L591" s="84" t="str">
        <f>IF($J591="Customer",_xll.NL("first",$J591,"Name","No.","@@"&amp;$K591),"")</f>
        <v>Kinfix Industries</v>
      </c>
      <c r="M591" s="84" t="str">
        <f>""</f>
        <v/>
      </c>
      <c r="N591" s="84" t="str">
        <f>IF($J591="Item",_xll.NL("first",$J591,"Description","No.","@@"&amp;$K591),"")</f>
        <v/>
      </c>
      <c r="O591" s="83">
        <v>0</v>
      </c>
      <c r="P591" s="83">
        <v>-1</v>
      </c>
      <c r="Q591" s="83">
        <v>0</v>
      </c>
      <c r="R591" s="83">
        <v>0</v>
      </c>
      <c r="S591" s="83">
        <v>0</v>
      </c>
      <c r="T591" s="83">
        <v>0</v>
      </c>
      <c r="U591" s="82"/>
    </row>
    <row r="592" spans="1:21" ht="17.25" customHeight="1" x14ac:dyDescent="0.3">
      <c r="A592" s="66" t="s">
        <v>30</v>
      </c>
      <c r="C592" s="67"/>
      <c r="D592" s="77"/>
      <c r="E592" s="77"/>
      <c r="F592" s="76"/>
      <c r="G592" s="76"/>
      <c r="H592" s="76"/>
      <c r="I592" s="76"/>
      <c r="J592" s="76"/>
      <c r="K592" s="76"/>
      <c r="L592" s="76"/>
      <c r="M592" s="76"/>
      <c r="N592" s="76"/>
      <c r="O592" s="75"/>
      <c r="P592" s="75"/>
      <c r="Q592" s="75"/>
      <c r="R592" s="75"/>
      <c r="S592" s="75"/>
      <c r="T592" s="75"/>
      <c r="U592" s="74"/>
    </row>
    <row r="593" spans="1:21" ht="17.25" customHeight="1" x14ac:dyDescent="0.3">
      <c r="A593" s="66" t="s">
        <v>30</v>
      </c>
      <c r="C593" s="67"/>
      <c r="D593" s="77"/>
      <c r="E593" s="77" t="s">
        <v>31</v>
      </c>
      <c r="F593" s="76" t="s">
        <v>31</v>
      </c>
      <c r="G593" s="76" t="s">
        <v>31</v>
      </c>
      <c r="H593" s="76"/>
      <c r="I593" s="76"/>
      <c r="J593" s="76" t="s">
        <v>31</v>
      </c>
      <c r="K593" s="76" t="s">
        <v>31</v>
      </c>
      <c r="L593" s="76" t="s">
        <v>31</v>
      </c>
      <c r="M593" s="76" t="s">
        <v>31</v>
      </c>
      <c r="N593" s="76"/>
      <c r="U593" s="81"/>
    </row>
    <row r="594" spans="1:21" ht="20.25" customHeight="1" x14ac:dyDescent="0.35">
      <c r="A594" s="66" t="s">
        <v>30</v>
      </c>
      <c r="C594" s="67"/>
      <c r="D594" s="92" t="str">
        <f t="shared" ref="D594" si="330">E594</f>
        <v>E100045</v>
      </c>
      <c r="E594" s="91" t="str">
        <f>"E100045"</f>
        <v>E100045</v>
      </c>
      <c r="F594" s="89" t="str">
        <f>"Flute"</f>
        <v>Flute</v>
      </c>
      <c r="G594" s="89"/>
      <c r="H594" s="90" t="str">
        <f>"EA"</f>
        <v>EA</v>
      </c>
      <c r="I594" s="89"/>
      <c r="J594" s="89"/>
      <c r="K594" s="89"/>
      <c r="L594" s="89"/>
      <c r="M594" s="89"/>
      <c r="N594" s="89"/>
      <c r="O594" s="88">
        <f>(SUBTOTAL(9,O595:O598))</f>
        <v>1750</v>
      </c>
      <c r="P594" s="88">
        <f>(SUBTOTAL(9,P595:P598))</f>
        <v>-288</v>
      </c>
      <c r="Q594" s="88">
        <f>(SUBTOTAL(9,Q595:Q598))</f>
        <v>0</v>
      </c>
      <c r="R594" s="88">
        <f>(SUBTOTAL(9,R595:R598))</f>
        <v>0</v>
      </c>
      <c r="S594" s="88">
        <f>(SUBTOTAL(9,S595:S598))</f>
        <v>0</v>
      </c>
      <c r="T594" s="88">
        <f>(SUBTOTAL(9,T595:T598))</f>
        <v>0</v>
      </c>
      <c r="U594" s="87">
        <f t="shared" ref="U594" si="331">SUBTOTAL(9,O595:T598)</f>
        <v>1462</v>
      </c>
    </row>
    <row r="595" spans="1:21" ht="17.25" customHeight="1" x14ac:dyDescent="0.3">
      <c r="A595" s="66" t="s">
        <v>30</v>
      </c>
      <c r="C595" s="67"/>
      <c r="D595" s="77" t="str">
        <f t="shared" ref="D595" si="332">D594</f>
        <v>E100045</v>
      </c>
      <c r="E595" s="77"/>
      <c r="F595" s="76"/>
      <c r="G595" s="76" t="str">
        <f>"""NAV Direct"",""CRONUS JetCorp USA"",""32"",""1"",""168635"""</f>
        <v>"NAV Direct","CRONUS JetCorp USA","32","1","168635"</v>
      </c>
      <c r="H595" s="86">
        <v>43466</v>
      </c>
      <c r="I595" s="85">
        <v>168635</v>
      </c>
      <c r="J595" s="84" t="str">
        <f>"Vendor"</f>
        <v>Vendor</v>
      </c>
      <c r="K595" s="84" t="str">
        <f>"V100001"</f>
        <v>V100001</v>
      </c>
      <c r="L595" s="84" t="str">
        <f>IF($J595="Customer",_xll.NL("first",$J595,"Name","No.","@@"&amp;$K595),"")</f>
        <v/>
      </c>
      <c r="M595" s="84" t="str">
        <f>"Greigner, Inc."</f>
        <v>Greigner, Inc.</v>
      </c>
      <c r="N595" s="84" t="str">
        <f>IF($J595="Item",_xll.NL("first",$J595,"Description","No.","@@"&amp;$K595),"")</f>
        <v/>
      </c>
      <c r="O595" s="83">
        <v>1750</v>
      </c>
      <c r="P595" s="83">
        <v>0</v>
      </c>
      <c r="Q595" s="83">
        <v>0</v>
      </c>
      <c r="R595" s="83">
        <v>0</v>
      </c>
      <c r="S595" s="83">
        <v>0</v>
      </c>
      <c r="T595" s="83">
        <v>0</v>
      </c>
      <c r="U595" s="82"/>
    </row>
    <row r="596" spans="1:21" ht="17.25" customHeight="1" x14ac:dyDescent="0.3">
      <c r="A596" s="66" t="s">
        <v>30</v>
      </c>
      <c r="C596" s="67"/>
      <c r="D596" s="77" t="str">
        <f t="shared" ref="D596:D597" si="333">D595</f>
        <v>E100045</v>
      </c>
      <c r="E596" s="77"/>
      <c r="F596" s="76"/>
      <c r="G596" s="76" t="str">
        <f>"""NAV Direct"",""CRONUS JetCorp USA"",""32"",""1"",""44479"""</f>
        <v>"NAV Direct","CRONUS JetCorp USA","32","1","44479"</v>
      </c>
      <c r="H596" s="86">
        <v>43472</v>
      </c>
      <c r="I596" s="85">
        <v>44479</v>
      </c>
      <c r="J596" s="84" t="str">
        <f>"Customer"</f>
        <v>Customer</v>
      </c>
      <c r="K596" s="84" t="str">
        <f>"C100141"</f>
        <v>C100141</v>
      </c>
      <c r="L596" s="84" t="str">
        <f>IF($J596="Customer",_xll.NL("first",$J596,"Name","No.","@@"&amp;$K596),"")</f>
        <v>Bargottis</v>
      </c>
      <c r="M596" s="84" t="str">
        <f>""</f>
        <v/>
      </c>
      <c r="N596" s="84" t="str">
        <f>IF($J596="Item",_xll.NL("first",$J596,"Description","No.","@@"&amp;$K596),"")</f>
        <v/>
      </c>
      <c r="O596" s="83">
        <v>0</v>
      </c>
      <c r="P596" s="83">
        <v>-144</v>
      </c>
      <c r="Q596" s="83">
        <v>0</v>
      </c>
      <c r="R596" s="83">
        <v>0</v>
      </c>
      <c r="S596" s="83">
        <v>0</v>
      </c>
      <c r="T596" s="83">
        <v>0</v>
      </c>
      <c r="U596" s="82"/>
    </row>
    <row r="597" spans="1:21" ht="17.25" customHeight="1" x14ac:dyDescent="0.3">
      <c r="A597" s="66" t="s">
        <v>30</v>
      </c>
      <c r="C597" s="67"/>
      <c r="D597" s="77" t="str">
        <f t="shared" si="333"/>
        <v>E100045</v>
      </c>
      <c r="E597" s="77"/>
      <c r="F597" s="76"/>
      <c r="G597" s="76" t="str">
        <f>"""NAV Direct"",""CRONUS JetCorp USA"",""32"",""1"",""44534"""</f>
        <v>"NAV Direct","CRONUS JetCorp USA","32","1","44534"</v>
      </c>
      <c r="H597" s="86">
        <v>43473</v>
      </c>
      <c r="I597" s="85">
        <v>44534</v>
      </c>
      <c r="J597" s="84" t="str">
        <f>"Customer"</f>
        <v>Customer</v>
      </c>
      <c r="K597" s="84" t="str">
        <f>"C100139"</f>
        <v>C100139</v>
      </c>
      <c r="L597" s="84" t="str">
        <f>IF($J597="Customer",_xll.NL("first",$J597,"Name","No.","@@"&amp;$K597),"")</f>
        <v>Gamma Ray's</v>
      </c>
      <c r="M597" s="84" t="str">
        <f>""</f>
        <v/>
      </c>
      <c r="N597" s="84" t="str">
        <f>IF($J597="Item",_xll.NL("first",$J597,"Description","No.","@@"&amp;$K597),"")</f>
        <v/>
      </c>
      <c r="O597" s="83">
        <v>0</v>
      </c>
      <c r="P597" s="83">
        <v>-144</v>
      </c>
      <c r="Q597" s="83">
        <v>0</v>
      </c>
      <c r="R597" s="83">
        <v>0</v>
      </c>
      <c r="S597" s="83">
        <v>0</v>
      </c>
      <c r="T597" s="83">
        <v>0</v>
      </c>
      <c r="U597" s="82"/>
    </row>
    <row r="598" spans="1:21" ht="17.25" customHeight="1" x14ac:dyDescent="0.3">
      <c r="A598" s="66" t="s">
        <v>30</v>
      </c>
      <c r="C598" s="67"/>
      <c r="D598" s="77"/>
      <c r="E598" s="77"/>
      <c r="F598" s="76"/>
      <c r="G598" s="76"/>
      <c r="H598" s="76"/>
      <c r="I598" s="76"/>
      <c r="J598" s="76"/>
      <c r="K598" s="76"/>
      <c r="L598" s="76"/>
      <c r="M598" s="76"/>
      <c r="N598" s="76"/>
      <c r="O598" s="75"/>
      <c r="P598" s="75"/>
      <c r="Q598" s="75"/>
      <c r="R598" s="75"/>
      <c r="S598" s="75"/>
      <c r="T598" s="75"/>
      <c r="U598" s="74"/>
    </row>
    <row r="599" spans="1:21" ht="17.25" customHeight="1" x14ac:dyDescent="0.3">
      <c r="A599" s="66" t="s">
        <v>30</v>
      </c>
      <c r="C599" s="67"/>
      <c r="D599" s="77"/>
      <c r="E599" s="77" t="s">
        <v>31</v>
      </c>
      <c r="F599" s="76" t="s">
        <v>31</v>
      </c>
      <c r="G599" s="76" t="s">
        <v>31</v>
      </c>
      <c r="H599" s="76"/>
      <c r="I599" s="76"/>
      <c r="J599" s="76" t="s">
        <v>31</v>
      </c>
      <c r="K599" s="76" t="s">
        <v>31</v>
      </c>
      <c r="L599" s="76" t="s">
        <v>31</v>
      </c>
      <c r="M599" s="76" t="s">
        <v>31</v>
      </c>
      <c r="N599" s="76"/>
      <c r="U599" s="81"/>
    </row>
    <row r="600" spans="1:21" ht="20.25" customHeight="1" x14ac:dyDescent="0.35">
      <c r="A600" s="66" t="s">
        <v>30</v>
      </c>
      <c r="C600" s="67"/>
      <c r="D600" s="92" t="str">
        <f t="shared" ref="D600" si="334">E600</f>
        <v>E100046</v>
      </c>
      <c r="E600" s="91" t="str">
        <f>"E100046"</f>
        <v>E100046</v>
      </c>
      <c r="F600" s="89" t="str">
        <f>"Milk Bottle"</f>
        <v>Milk Bottle</v>
      </c>
      <c r="G600" s="89"/>
      <c r="H600" s="90" t="str">
        <f>"EA"</f>
        <v>EA</v>
      </c>
      <c r="I600" s="89"/>
      <c r="J600" s="89"/>
      <c r="K600" s="89"/>
      <c r="L600" s="89"/>
      <c r="M600" s="89"/>
      <c r="N600" s="89"/>
      <c r="O600" s="88">
        <f>(SUBTOTAL(9,O601:O604))</f>
        <v>2250</v>
      </c>
      <c r="P600" s="88">
        <f>(SUBTOTAL(9,P601:P604))</f>
        <v>-432</v>
      </c>
      <c r="Q600" s="88">
        <f>(SUBTOTAL(9,Q601:Q604))</f>
        <v>0</v>
      </c>
      <c r="R600" s="88">
        <f>(SUBTOTAL(9,R601:R604))</f>
        <v>0</v>
      </c>
      <c r="S600" s="88">
        <f>(SUBTOTAL(9,S601:S604))</f>
        <v>0</v>
      </c>
      <c r="T600" s="88">
        <f>(SUBTOTAL(9,T601:T604))</f>
        <v>0</v>
      </c>
      <c r="U600" s="87">
        <f t="shared" ref="U600" si="335">SUBTOTAL(9,O601:T604)</f>
        <v>1818</v>
      </c>
    </row>
    <row r="601" spans="1:21" ht="17.25" customHeight="1" x14ac:dyDescent="0.3">
      <c r="A601" s="66" t="s">
        <v>30</v>
      </c>
      <c r="C601" s="67"/>
      <c r="D601" s="77" t="str">
        <f t="shared" ref="D601" si="336">D600</f>
        <v>E100046</v>
      </c>
      <c r="E601" s="77"/>
      <c r="F601" s="76"/>
      <c r="G601" s="76" t="str">
        <f>"""NAV Direct"",""CRONUS JetCorp USA"",""32"",""1"",""168634"""</f>
        <v>"NAV Direct","CRONUS JetCorp USA","32","1","168634"</v>
      </c>
      <c r="H601" s="86">
        <v>43466</v>
      </c>
      <c r="I601" s="85">
        <v>168634</v>
      </c>
      <c r="J601" s="84" t="str">
        <f>"Vendor"</f>
        <v>Vendor</v>
      </c>
      <c r="K601" s="84" t="str">
        <f>"V100001"</f>
        <v>V100001</v>
      </c>
      <c r="L601" s="84" t="str">
        <f>IF($J601="Customer",_xll.NL("first",$J601,"Name","No.","@@"&amp;$K601),"")</f>
        <v/>
      </c>
      <c r="M601" s="84" t="str">
        <f>"Greigner, Inc."</f>
        <v>Greigner, Inc.</v>
      </c>
      <c r="N601" s="84" t="str">
        <f>IF($J601="Item",_xll.NL("first",$J601,"Description","No.","@@"&amp;$K601),"")</f>
        <v/>
      </c>
      <c r="O601" s="83">
        <v>2250</v>
      </c>
      <c r="P601" s="83">
        <v>0</v>
      </c>
      <c r="Q601" s="83">
        <v>0</v>
      </c>
      <c r="R601" s="83">
        <v>0</v>
      </c>
      <c r="S601" s="83">
        <v>0</v>
      </c>
      <c r="T601" s="83">
        <v>0</v>
      </c>
      <c r="U601" s="82"/>
    </row>
    <row r="602" spans="1:21" ht="17.25" customHeight="1" x14ac:dyDescent="0.3">
      <c r="A602" s="66" t="s">
        <v>30</v>
      </c>
      <c r="C602" s="67"/>
      <c r="D602" s="77" t="str">
        <f t="shared" ref="D602:D603" si="337">D601</f>
        <v>E100046</v>
      </c>
      <c r="E602" s="77"/>
      <c r="F602" s="76"/>
      <c r="G602" s="76" t="str">
        <f>"""NAV Direct"",""CRONUS JetCorp USA"",""32"",""1"",""64576"""</f>
        <v>"NAV Direct","CRONUS JetCorp USA","32","1","64576"</v>
      </c>
      <c r="H602" s="86">
        <v>43469</v>
      </c>
      <c r="I602" s="85">
        <v>64576</v>
      </c>
      <c r="J602" s="84" t="str">
        <f>"Customer"</f>
        <v>Customer</v>
      </c>
      <c r="K602" s="84" t="str">
        <f>"C100140"</f>
        <v>C100140</v>
      </c>
      <c r="L602" s="84" t="str">
        <f>IF($J602="Customer",_xll.NL("first",$J602,"Name","No.","@@"&amp;$K602),"")</f>
        <v>Super Daves</v>
      </c>
      <c r="M602" s="84" t="str">
        <f>""</f>
        <v/>
      </c>
      <c r="N602" s="84" t="str">
        <f>IF($J602="Item",_xll.NL("first",$J602,"Description","No.","@@"&amp;$K602),"")</f>
        <v/>
      </c>
      <c r="O602" s="83">
        <v>0</v>
      </c>
      <c r="P602" s="83">
        <v>-288</v>
      </c>
      <c r="Q602" s="83">
        <v>0</v>
      </c>
      <c r="R602" s="83">
        <v>0</v>
      </c>
      <c r="S602" s="83">
        <v>0</v>
      </c>
      <c r="T602" s="83">
        <v>0</v>
      </c>
      <c r="U602" s="82"/>
    </row>
    <row r="603" spans="1:21" ht="17.25" customHeight="1" x14ac:dyDescent="0.3">
      <c r="A603" s="66" t="s">
        <v>30</v>
      </c>
      <c r="C603" s="67"/>
      <c r="D603" s="77" t="str">
        <f t="shared" si="337"/>
        <v>E100046</v>
      </c>
      <c r="E603" s="77"/>
      <c r="F603" s="76"/>
      <c r="G603" s="76" t="str">
        <f>"""NAV Direct"",""CRONUS JetCorp USA"",""32"",""1"",""147991"""</f>
        <v>"NAV Direct","CRONUS JetCorp USA","32","1","147991"</v>
      </c>
      <c r="H603" s="86">
        <v>43469</v>
      </c>
      <c r="I603" s="85">
        <v>147991</v>
      </c>
      <c r="J603" s="84" t="str">
        <f>"Customer"</f>
        <v>Customer</v>
      </c>
      <c r="K603" s="84" t="str">
        <f>"C100096"</f>
        <v>C100096</v>
      </c>
      <c r="L603" s="84" t="str">
        <f>IF($J603="Customer",_xll.NL("first",$J603,"Name","No.","@@"&amp;$K603),"")</f>
        <v>D-Com Industries</v>
      </c>
      <c r="M603" s="84" t="str">
        <f>""</f>
        <v/>
      </c>
      <c r="N603" s="84" t="str">
        <f>IF($J603="Item",_xll.NL("first",$J603,"Description","No.","@@"&amp;$K603),"")</f>
        <v/>
      </c>
      <c r="O603" s="83">
        <v>0</v>
      </c>
      <c r="P603" s="83">
        <v>-144</v>
      </c>
      <c r="Q603" s="83">
        <v>0</v>
      </c>
      <c r="R603" s="83">
        <v>0</v>
      </c>
      <c r="S603" s="83">
        <v>0</v>
      </c>
      <c r="T603" s="83">
        <v>0</v>
      </c>
      <c r="U603" s="82"/>
    </row>
    <row r="604" spans="1:21" ht="17.25" customHeight="1" x14ac:dyDescent="0.3">
      <c r="A604" s="66" t="s">
        <v>30</v>
      </c>
      <c r="C604" s="67"/>
      <c r="D604" s="77"/>
      <c r="E604" s="77"/>
      <c r="F604" s="76"/>
      <c r="G604" s="76"/>
      <c r="H604" s="76"/>
      <c r="I604" s="76"/>
      <c r="J604" s="76"/>
      <c r="K604" s="76"/>
      <c r="L604" s="76"/>
      <c r="M604" s="76"/>
      <c r="N604" s="76"/>
      <c r="O604" s="75"/>
      <c r="P604" s="75"/>
      <c r="Q604" s="75"/>
      <c r="R604" s="75"/>
      <c r="S604" s="75"/>
      <c r="T604" s="75"/>
      <c r="U604" s="74"/>
    </row>
    <row r="605" spans="1:21" ht="17.25" customHeight="1" x14ac:dyDescent="0.3">
      <c r="A605" s="66" t="s">
        <v>30</v>
      </c>
      <c r="C605" s="67"/>
      <c r="D605" s="77"/>
      <c r="E605" s="77" t="s">
        <v>31</v>
      </c>
      <c r="F605" s="76" t="s">
        <v>31</v>
      </c>
      <c r="G605" s="76" t="s">
        <v>31</v>
      </c>
      <c r="H605" s="76"/>
      <c r="I605" s="76"/>
      <c r="J605" s="76" t="s">
        <v>31</v>
      </c>
      <c r="K605" s="76" t="s">
        <v>31</v>
      </c>
      <c r="L605" s="76" t="s">
        <v>31</v>
      </c>
      <c r="M605" s="76" t="s">
        <v>31</v>
      </c>
      <c r="N605" s="76"/>
      <c r="U605" s="81"/>
    </row>
    <row r="606" spans="1:21" ht="20.25" customHeight="1" x14ac:dyDescent="0.35">
      <c r="A606" s="66" t="s">
        <v>30</v>
      </c>
      <c r="C606" s="67"/>
      <c r="D606" s="92" t="str">
        <f t="shared" ref="D606" si="338">E606</f>
        <v>E100047</v>
      </c>
      <c r="E606" s="91" t="str">
        <f>"E100047"</f>
        <v>E100047</v>
      </c>
      <c r="F606" s="89" t="str">
        <f>"Chardonnay Glass"</f>
        <v>Chardonnay Glass</v>
      </c>
      <c r="G606" s="89"/>
      <c r="H606" s="90" t="str">
        <f>"EA"</f>
        <v>EA</v>
      </c>
      <c r="I606" s="89"/>
      <c r="J606" s="89"/>
      <c r="K606" s="89"/>
      <c r="L606" s="89"/>
      <c r="M606" s="89"/>
      <c r="N606" s="89"/>
      <c r="O606" s="88">
        <f>(SUBTOTAL(9,O607:O611))</f>
        <v>2250</v>
      </c>
      <c r="P606" s="88">
        <f>(SUBTOTAL(9,P607:P611))</f>
        <v>-576</v>
      </c>
      <c r="Q606" s="88">
        <f>(SUBTOTAL(9,Q607:Q611))</f>
        <v>0</v>
      </c>
      <c r="R606" s="88">
        <f>(SUBTOTAL(9,R607:R611))</f>
        <v>0</v>
      </c>
      <c r="S606" s="88">
        <f>(SUBTOTAL(9,S607:S611))</f>
        <v>0</v>
      </c>
      <c r="T606" s="88">
        <f>(SUBTOTAL(9,T607:T611))</f>
        <v>0</v>
      </c>
      <c r="U606" s="87">
        <f t="shared" ref="U606" si="339">SUBTOTAL(9,O607:T611)</f>
        <v>1674</v>
      </c>
    </row>
    <row r="607" spans="1:21" ht="17.25" customHeight="1" x14ac:dyDescent="0.3">
      <c r="A607" s="66" t="s">
        <v>30</v>
      </c>
      <c r="C607" s="67"/>
      <c r="D607" s="77" t="str">
        <f t="shared" ref="D607" si="340">D606</f>
        <v>E100047</v>
      </c>
      <c r="E607" s="77"/>
      <c r="F607" s="76"/>
      <c r="G607" s="76" t="str">
        <f>"""NAV Direct"",""CRONUS JetCorp USA"",""32"",""1"",""168633"""</f>
        <v>"NAV Direct","CRONUS JetCorp USA","32","1","168633"</v>
      </c>
      <c r="H607" s="86">
        <v>43466</v>
      </c>
      <c r="I607" s="85">
        <v>168633</v>
      </c>
      <c r="J607" s="84" t="str">
        <f>"Vendor"</f>
        <v>Vendor</v>
      </c>
      <c r="K607" s="84" t="str">
        <f>"V100001"</f>
        <v>V100001</v>
      </c>
      <c r="L607" s="84" t="str">
        <f>IF($J607="Customer",_xll.NL("first",$J607,"Name","No.","@@"&amp;$K607),"")</f>
        <v/>
      </c>
      <c r="M607" s="84" t="str">
        <f>"Greigner, Inc."</f>
        <v>Greigner, Inc.</v>
      </c>
      <c r="N607" s="84" t="str">
        <f>IF($J607="Item",_xll.NL("first",$J607,"Description","No.","@@"&amp;$K607),"")</f>
        <v/>
      </c>
      <c r="O607" s="83">
        <v>2250</v>
      </c>
      <c r="P607" s="83">
        <v>0</v>
      </c>
      <c r="Q607" s="83">
        <v>0</v>
      </c>
      <c r="R607" s="83">
        <v>0</v>
      </c>
      <c r="S607" s="83">
        <v>0</v>
      </c>
      <c r="T607" s="83">
        <v>0</v>
      </c>
      <c r="U607" s="82"/>
    </row>
    <row r="608" spans="1:21" ht="17.25" customHeight="1" x14ac:dyDescent="0.3">
      <c r="A608" s="66" t="s">
        <v>30</v>
      </c>
      <c r="C608" s="67"/>
      <c r="D608" s="77" t="str">
        <f t="shared" ref="D608:D610" si="341">D607</f>
        <v>E100047</v>
      </c>
      <c r="E608" s="77"/>
      <c r="F608" s="76"/>
      <c r="G608" s="76" t="str">
        <f>"""NAV Direct"",""CRONUS JetCorp USA"",""32"",""1"",""44473"""</f>
        <v>"NAV Direct","CRONUS JetCorp USA","32","1","44473"</v>
      </c>
      <c r="H608" s="86">
        <v>43472</v>
      </c>
      <c r="I608" s="85">
        <v>44473</v>
      </c>
      <c r="J608" s="84" t="str">
        <f>"Customer"</f>
        <v>Customer</v>
      </c>
      <c r="K608" s="84" t="str">
        <f>"C100141"</f>
        <v>C100141</v>
      </c>
      <c r="L608" s="84" t="str">
        <f>IF($J608="Customer",_xll.NL("first",$J608,"Name","No.","@@"&amp;$K608),"")</f>
        <v>Bargottis</v>
      </c>
      <c r="M608" s="84" t="str">
        <f>""</f>
        <v/>
      </c>
      <c r="N608" s="84" t="str">
        <f>IF($J608="Item",_xll.NL("first",$J608,"Description","No.","@@"&amp;$K608),"")</f>
        <v/>
      </c>
      <c r="O608" s="83">
        <v>0</v>
      </c>
      <c r="P608" s="83">
        <v>-144</v>
      </c>
      <c r="Q608" s="83">
        <v>0</v>
      </c>
      <c r="R608" s="83">
        <v>0</v>
      </c>
      <c r="S608" s="83">
        <v>0</v>
      </c>
      <c r="T608" s="83">
        <v>0</v>
      </c>
      <c r="U608" s="82"/>
    </row>
    <row r="609" spans="1:21" ht="17.25" customHeight="1" x14ac:dyDescent="0.3">
      <c r="A609" s="66" t="s">
        <v>30</v>
      </c>
      <c r="C609" s="67"/>
      <c r="D609" s="77" t="str">
        <f t="shared" si="341"/>
        <v>E100047</v>
      </c>
      <c r="E609" s="77"/>
      <c r="F609" s="76"/>
      <c r="G609" s="76" t="str">
        <f>"""NAV Direct"",""CRONUS JetCorp USA"",""32"",""1"",""64596"""</f>
        <v>"NAV Direct","CRONUS JetCorp USA","32","1","64596"</v>
      </c>
      <c r="H609" s="86">
        <v>43472</v>
      </c>
      <c r="I609" s="85">
        <v>64596</v>
      </c>
      <c r="J609" s="84" t="str">
        <f>"Customer"</f>
        <v>Customer</v>
      </c>
      <c r="K609" s="84" t="str">
        <f>"C100140"</f>
        <v>C100140</v>
      </c>
      <c r="L609" s="84" t="str">
        <f>IF($J609="Customer",_xll.NL("first",$J609,"Name","No.","@@"&amp;$K609),"")</f>
        <v>Super Daves</v>
      </c>
      <c r="M609" s="84" t="str">
        <f>""</f>
        <v/>
      </c>
      <c r="N609" s="84" t="str">
        <f>IF($J609="Item",_xll.NL("first",$J609,"Description","No.","@@"&amp;$K609),"")</f>
        <v/>
      </c>
      <c r="O609" s="83">
        <v>0</v>
      </c>
      <c r="P609" s="83">
        <v>-288</v>
      </c>
      <c r="Q609" s="83">
        <v>0</v>
      </c>
      <c r="R609" s="83">
        <v>0</v>
      </c>
      <c r="S609" s="83">
        <v>0</v>
      </c>
      <c r="T609" s="83">
        <v>0</v>
      </c>
      <c r="U609" s="82"/>
    </row>
    <row r="610" spans="1:21" ht="17.25" customHeight="1" x14ac:dyDescent="0.3">
      <c r="A610" s="66" t="s">
        <v>30</v>
      </c>
      <c r="C610" s="67"/>
      <c r="D610" s="77" t="str">
        <f t="shared" si="341"/>
        <v>E100047</v>
      </c>
      <c r="E610" s="77"/>
      <c r="F610" s="76"/>
      <c r="G610" s="76" t="str">
        <f>"""NAV Direct"",""CRONUS JetCorp USA"",""32"",""1"",""44528"""</f>
        <v>"NAV Direct","CRONUS JetCorp USA","32","1","44528"</v>
      </c>
      <c r="H610" s="86">
        <v>43473</v>
      </c>
      <c r="I610" s="85">
        <v>44528</v>
      </c>
      <c r="J610" s="84" t="str">
        <f>"Customer"</f>
        <v>Customer</v>
      </c>
      <c r="K610" s="84" t="str">
        <f>"C100139"</f>
        <v>C100139</v>
      </c>
      <c r="L610" s="84" t="str">
        <f>IF($J610="Customer",_xll.NL("first",$J610,"Name","No.","@@"&amp;$K610),"")</f>
        <v>Gamma Ray's</v>
      </c>
      <c r="M610" s="84" t="str">
        <f>""</f>
        <v/>
      </c>
      <c r="N610" s="84" t="str">
        <f>IF($J610="Item",_xll.NL("first",$J610,"Description","No.","@@"&amp;$K610),"")</f>
        <v/>
      </c>
      <c r="O610" s="83">
        <v>0</v>
      </c>
      <c r="P610" s="83">
        <v>-144</v>
      </c>
      <c r="Q610" s="83">
        <v>0</v>
      </c>
      <c r="R610" s="83">
        <v>0</v>
      </c>
      <c r="S610" s="83">
        <v>0</v>
      </c>
      <c r="T610" s="83">
        <v>0</v>
      </c>
      <c r="U610" s="82"/>
    </row>
    <row r="611" spans="1:21" ht="17.25" customHeight="1" x14ac:dyDescent="0.3">
      <c r="A611" s="66" t="s">
        <v>30</v>
      </c>
      <c r="C611" s="67"/>
      <c r="D611" s="77"/>
      <c r="E611" s="77"/>
      <c r="F611" s="76"/>
      <c r="G611" s="76"/>
      <c r="H611" s="76"/>
      <c r="I611" s="76"/>
      <c r="J611" s="76"/>
      <c r="K611" s="76"/>
      <c r="L611" s="76"/>
      <c r="M611" s="76"/>
      <c r="N611" s="76"/>
      <c r="O611" s="75"/>
      <c r="P611" s="75"/>
      <c r="Q611" s="75"/>
      <c r="R611" s="75"/>
      <c r="S611" s="75"/>
      <c r="T611" s="75"/>
      <c r="U611" s="74"/>
    </row>
    <row r="612" spans="1:21" ht="17.25" customHeight="1" x14ac:dyDescent="0.3">
      <c r="A612" s="66" t="s">
        <v>30</v>
      </c>
      <c r="C612" s="67"/>
      <c r="D612" s="77"/>
      <c r="E612" s="77" t="s">
        <v>31</v>
      </c>
      <c r="F612" s="76" t="s">
        <v>31</v>
      </c>
      <c r="G612" s="76" t="s">
        <v>31</v>
      </c>
      <c r="H612" s="76"/>
      <c r="I612" s="76"/>
      <c r="J612" s="76" t="s">
        <v>31</v>
      </c>
      <c r="K612" s="76" t="s">
        <v>31</v>
      </c>
      <c r="L612" s="76" t="s">
        <v>31</v>
      </c>
      <c r="M612" s="76" t="s">
        <v>31</v>
      </c>
      <c r="N612" s="76"/>
      <c r="U612" s="81"/>
    </row>
    <row r="613" spans="1:21" ht="20.25" customHeight="1" x14ac:dyDescent="0.35">
      <c r="A613" s="66" t="s">
        <v>30</v>
      </c>
      <c r="C613" s="67"/>
      <c r="D613" s="92" t="str">
        <f t="shared" ref="D613" si="342">E613</f>
        <v>S100001</v>
      </c>
      <c r="E613" s="91" t="str">
        <f>"S100001"</f>
        <v>S100001</v>
      </c>
      <c r="F613" s="89" t="str">
        <f>"Basketball Graphic Plaque"</f>
        <v>Basketball Graphic Plaque</v>
      </c>
      <c r="G613" s="89"/>
      <c r="H613" s="90" t="str">
        <f>"EA"</f>
        <v>EA</v>
      </c>
      <c r="I613" s="89"/>
      <c r="J613" s="89"/>
      <c r="K613" s="89"/>
      <c r="L613" s="89"/>
      <c r="M613" s="89"/>
      <c r="N613" s="89"/>
      <c r="O613" s="88">
        <f>(SUBTOTAL(9,O614:O617))</f>
        <v>1400</v>
      </c>
      <c r="P613" s="88">
        <f>(SUBTOTAL(9,P614:P617))</f>
        <v>-146</v>
      </c>
      <c r="Q613" s="88">
        <f>(SUBTOTAL(9,Q614:Q617))</f>
        <v>0</v>
      </c>
      <c r="R613" s="88">
        <f>(SUBTOTAL(9,R614:R617))</f>
        <v>0</v>
      </c>
      <c r="S613" s="88">
        <f>(SUBTOTAL(9,S614:S617))</f>
        <v>0</v>
      </c>
      <c r="T613" s="88">
        <f>(SUBTOTAL(9,T614:T617))</f>
        <v>0</v>
      </c>
      <c r="U613" s="87">
        <f t="shared" ref="U613" si="343">SUBTOTAL(9,O614:T617)</f>
        <v>1254</v>
      </c>
    </row>
    <row r="614" spans="1:21" ht="17.25" customHeight="1" x14ac:dyDescent="0.3">
      <c r="A614" s="66" t="s">
        <v>30</v>
      </c>
      <c r="C614" s="67"/>
      <c r="D614" s="77" t="str">
        <f t="shared" ref="D614" si="344">D613</f>
        <v>S100001</v>
      </c>
      <c r="E614" s="77"/>
      <c r="F614" s="76"/>
      <c r="G614" s="76" t="str">
        <f>"""NAV Direct"",""CRONUS JetCorp USA"",""32"",""1"",""166381"""</f>
        <v>"NAV Direct","CRONUS JetCorp USA","32","1","166381"</v>
      </c>
      <c r="H614" s="86">
        <v>43466</v>
      </c>
      <c r="I614" s="85">
        <v>166381</v>
      </c>
      <c r="J614" s="84" t="str">
        <f>"Vendor"</f>
        <v>Vendor</v>
      </c>
      <c r="K614" s="84" t="str">
        <f>"V100001"</f>
        <v>V100001</v>
      </c>
      <c r="L614" s="84" t="str">
        <f>IF($J614="Customer",_xll.NL("first",$J614,"Name","No.","@@"&amp;$K614),"")</f>
        <v/>
      </c>
      <c r="M614" s="84" t="str">
        <f>"Greigner, Inc."</f>
        <v>Greigner, Inc.</v>
      </c>
      <c r="N614" s="84" t="str">
        <f>IF($J614="Item",_xll.NL("first",$J614,"Description","No.","@@"&amp;$K614),"")</f>
        <v/>
      </c>
      <c r="O614" s="83">
        <v>1400</v>
      </c>
      <c r="P614" s="83">
        <v>0</v>
      </c>
      <c r="Q614" s="83">
        <v>0</v>
      </c>
      <c r="R614" s="83">
        <v>0</v>
      </c>
      <c r="S614" s="83">
        <v>0</v>
      </c>
      <c r="T614" s="83">
        <v>0</v>
      </c>
      <c r="U614" s="82"/>
    </row>
    <row r="615" spans="1:21" ht="17.25" customHeight="1" x14ac:dyDescent="0.3">
      <c r="A615" s="66" t="s">
        <v>30</v>
      </c>
      <c r="C615" s="67"/>
      <c r="D615" s="77" t="str">
        <f t="shared" ref="D615:D616" si="345">D614</f>
        <v>S100001</v>
      </c>
      <c r="E615" s="77"/>
      <c r="F615" s="76"/>
      <c r="G615" s="76" t="str">
        <f>"""NAV Direct"",""CRONUS JetCorp USA"",""32"",""1"",""25246"""</f>
        <v>"NAV Direct","CRONUS JetCorp USA","32","1","25246"</v>
      </c>
      <c r="H615" s="86">
        <v>43471</v>
      </c>
      <c r="I615" s="85">
        <v>25246</v>
      </c>
      <c r="J615" s="84" t="str">
        <f>"Customer"</f>
        <v>Customer</v>
      </c>
      <c r="K615" s="84" t="str">
        <f>"C100102"</f>
        <v>C100102</v>
      </c>
      <c r="L615" s="84" t="str">
        <f>IF($J615="Customer",_xll.NL("first",$J615,"Name","No.","@@"&amp;$K615),"")</f>
        <v xml:space="preserve">BEI Outfitters </v>
      </c>
      <c r="M615" s="84" t="str">
        <f>""</f>
        <v/>
      </c>
      <c r="N615" s="84" t="str">
        <f>IF($J615="Item",_xll.NL("first",$J615,"Description","No.","@@"&amp;$K615),"")</f>
        <v/>
      </c>
      <c r="O615" s="83">
        <v>0</v>
      </c>
      <c r="P615" s="83">
        <v>-2</v>
      </c>
      <c r="Q615" s="83">
        <v>0</v>
      </c>
      <c r="R615" s="83">
        <v>0</v>
      </c>
      <c r="S615" s="83">
        <v>0</v>
      </c>
      <c r="T615" s="83">
        <v>0</v>
      </c>
      <c r="U615" s="82"/>
    </row>
    <row r="616" spans="1:21" ht="17.25" customHeight="1" x14ac:dyDescent="0.3">
      <c r="A616" s="66" t="s">
        <v>30</v>
      </c>
      <c r="C616" s="67"/>
      <c r="D616" s="77" t="str">
        <f t="shared" si="345"/>
        <v>S100001</v>
      </c>
      <c r="E616" s="77"/>
      <c r="F616" s="76"/>
      <c r="G616" s="76" t="str">
        <f>"""NAV Direct"",""CRONUS JetCorp USA"",""32"",""1"",""25261"""</f>
        <v>"NAV Direct","CRONUS JetCorp USA","32","1","25261"</v>
      </c>
      <c r="H616" s="86">
        <v>43476</v>
      </c>
      <c r="I616" s="85">
        <v>25261</v>
      </c>
      <c r="J616" s="84" t="str">
        <f>"Customer"</f>
        <v>Customer</v>
      </c>
      <c r="K616" s="84" t="str">
        <f>"C100102"</f>
        <v>C100102</v>
      </c>
      <c r="L616" s="84" t="str">
        <f>IF($J616="Customer",_xll.NL("first",$J616,"Name","No.","@@"&amp;$K616),"")</f>
        <v xml:space="preserve">BEI Outfitters </v>
      </c>
      <c r="M616" s="84" t="str">
        <f>""</f>
        <v/>
      </c>
      <c r="N616" s="84" t="str">
        <f>IF($J616="Item",_xll.NL("first",$J616,"Description","No.","@@"&amp;$K616),"")</f>
        <v/>
      </c>
      <c r="O616" s="83">
        <v>0</v>
      </c>
      <c r="P616" s="83">
        <v>-144</v>
      </c>
      <c r="Q616" s="83">
        <v>0</v>
      </c>
      <c r="R616" s="83">
        <v>0</v>
      </c>
      <c r="S616" s="83">
        <v>0</v>
      </c>
      <c r="T616" s="83">
        <v>0</v>
      </c>
      <c r="U616" s="82"/>
    </row>
    <row r="617" spans="1:21" ht="17.25" customHeight="1" x14ac:dyDescent="0.3">
      <c r="A617" s="66" t="s">
        <v>30</v>
      </c>
      <c r="C617" s="67"/>
      <c r="D617" s="77"/>
      <c r="E617" s="77"/>
      <c r="F617" s="76"/>
      <c r="G617" s="76"/>
      <c r="H617" s="76"/>
      <c r="I617" s="76"/>
      <c r="J617" s="76"/>
      <c r="K617" s="76"/>
      <c r="L617" s="76"/>
      <c r="M617" s="76"/>
      <c r="N617" s="76"/>
      <c r="O617" s="75"/>
      <c r="P617" s="75"/>
      <c r="Q617" s="75"/>
      <c r="R617" s="75"/>
      <c r="S617" s="75"/>
      <c r="T617" s="75"/>
      <c r="U617" s="74"/>
    </row>
    <row r="618" spans="1:21" ht="17.25" customHeight="1" x14ac:dyDescent="0.3">
      <c r="A618" s="66" t="s">
        <v>30</v>
      </c>
      <c r="C618" s="67"/>
      <c r="D618" s="77"/>
      <c r="E618" s="77" t="s">
        <v>31</v>
      </c>
      <c r="F618" s="76" t="s">
        <v>31</v>
      </c>
      <c r="G618" s="76" t="s">
        <v>31</v>
      </c>
      <c r="H618" s="76"/>
      <c r="I618" s="76"/>
      <c r="J618" s="76" t="s">
        <v>31</v>
      </c>
      <c r="K618" s="76" t="s">
        <v>31</v>
      </c>
      <c r="L618" s="76" t="s">
        <v>31</v>
      </c>
      <c r="M618" s="76" t="s">
        <v>31</v>
      </c>
      <c r="N618" s="76"/>
      <c r="U618" s="81"/>
    </row>
    <row r="619" spans="1:21" ht="20.25" customHeight="1" x14ac:dyDescent="0.35">
      <c r="A619" s="66" t="s">
        <v>30</v>
      </c>
      <c r="C619" s="67"/>
      <c r="D619" s="92" t="str">
        <f t="shared" ref="D619" si="346">E619</f>
        <v>S100002</v>
      </c>
      <c r="E619" s="91" t="str">
        <f>"S100002"</f>
        <v>S100002</v>
      </c>
      <c r="F619" s="89" t="str">
        <f>"Football Graphic Plaque"</f>
        <v>Football Graphic Plaque</v>
      </c>
      <c r="G619" s="89"/>
      <c r="H619" s="90" t="str">
        <f>"EA"</f>
        <v>EA</v>
      </c>
      <c r="I619" s="89"/>
      <c r="J619" s="89"/>
      <c r="K619" s="89"/>
      <c r="L619" s="89"/>
      <c r="M619" s="89"/>
      <c r="N619" s="89"/>
      <c r="O619" s="88">
        <f>(SUBTOTAL(9,O620:O622))</f>
        <v>1999.9999999999998</v>
      </c>
      <c r="P619" s="88">
        <f>(SUBTOTAL(9,P620:P622))</f>
        <v>-48</v>
      </c>
      <c r="Q619" s="88">
        <f>(SUBTOTAL(9,Q620:Q622))</f>
        <v>0</v>
      </c>
      <c r="R619" s="88">
        <f>(SUBTOTAL(9,R620:R622))</f>
        <v>0</v>
      </c>
      <c r="S619" s="88">
        <f>(SUBTOTAL(9,S620:S622))</f>
        <v>0</v>
      </c>
      <c r="T619" s="88">
        <f>(SUBTOTAL(9,T620:T622))</f>
        <v>0</v>
      </c>
      <c r="U619" s="87">
        <f t="shared" ref="U619" si="347">SUBTOTAL(9,O620:T622)</f>
        <v>1951.9999999999998</v>
      </c>
    </row>
    <row r="620" spans="1:21" ht="17.25" customHeight="1" x14ac:dyDescent="0.3">
      <c r="A620" s="66" t="s">
        <v>30</v>
      </c>
      <c r="C620" s="67"/>
      <c r="D620" s="77" t="str">
        <f t="shared" ref="D620" si="348">D619</f>
        <v>S100002</v>
      </c>
      <c r="E620" s="77"/>
      <c r="F620" s="76"/>
      <c r="G620" s="76" t="str">
        <f>"""NAV Direct"",""CRONUS JetCorp USA"",""32"",""1"",""166380"""</f>
        <v>"NAV Direct","CRONUS JetCorp USA","32","1","166380"</v>
      </c>
      <c r="H620" s="86">
        <v>43466</v>
      </c>
      <c r="I620" s="85">
        <v>166380</v>
      </c>
      <c r="J620" s="84" t="str">
        <f>"Vendor"</f>
        <v>Vendor</v>
      </c>
      <c r="K620" s="84" t="str">
        <f>"V100001"</f>
        <v>V100001</v>
      </c>
      <c r="L620" s="84" t="str">
        <f>IF($J620="Customer",_xll.NL("first",$J620,"Name","No.","@@"&amp;$K620),"")</f>
        <v/>
      </c>
      <c r="M620" s="84" t="str">
        <f>"Greigner, Inc."</f>
        <v>Greigner, Inc.</v>
      </c>
      <c r="N620" s="84" t="str">
        <f>IF($J620="Item",_xll.NL("first",$J620,"Description","No.","@@"&amp;$K620),"")</f>
        <v/>
      </c>
      <c r="O620" s="83">
        <v>1999.9999999999998</v>
      </c>
      <c r="P620" s="83">
        <v>0</v>
      </c>
      <c r="Q620" s="83">
        <v>0</v>
      </c>
      <c r="R620" s="83">
        <v>0</v>
      </c>
      <c r="S620" s="83">
        <v>0</v>
      </c>
      <c r="T620" s="83">
        <v>0</v>
      </c>
      <c r="U620" s="82"/>
    </row>
    <row r="621" spans="1:21" ht="17.25" customHeight="1" x14ac:dyDescent="0.3">
      <c r="A621" s="66" t="s">
        <v>30</v>
      </c>
      <c r="C621" s="67"/>
      <c r="D621" s="77" t="str">
        <f t="shared" ref="D621" si="349">D620</f>
        <v>S100002</v>
      </c>
      <c r="E621" s="77"/>
      <c r="F621" s="76"/>
      <c r="G621" s="76" t="str">
        <f>"""NAV Direct"",""CRONUS JetCorp USA"",""32"",""1"",""25237"""</f>
        <v>"NAV Direct","CRONUS JetCorp USA","32","1","25237"</v>
      </c>
      <c r="H621" s="86">
        <v>43471</v>
      </c>
      <c r="I621" s="85">
        <v>25237</v>
      </c>
      <c r="J621" s="84" t="str">
        <f>"Customer"</f>
        <v>Customer</v>
      </c>
      <c r="K621" s="84" t="str">
        <f>"C100102"</f>
        <v>C100102</v>
      </c>
      <c r="L621" s="84" t="str">
        <f>IF($J621="Customer",_xll.NL("first",$J621,"Name","No.","@@"&amp;$K621),"")</f>
        <v xml:space="preserve">BEI Outfitters </v>
      </c>
      <c r="M621" s="84" t="str">
        <f>""</f>
        <v/>
      </c>
      <c r="N621" s="84" t="str">
        <f>IF($J621="Item",_xll.NL("first",$J621,"Description","No.","@@"&amp;$K621),"")</f>
        <v/>
      </c>
      <c r="O621" s="83">
        <v>0</v>
      </c>
      <c r="P621" s="83">
        <v>-48</v>
      </c>
      <c r="Q621" s="83">
        <v>0</v>
      </c>
      <c r="R621" s="83">
        <v>0</v>
      </c>
      <c r="S621" s="83">
        <v>0</v>
      </c>
      <c r="T621" s="83">
        <v>0</v>
      </c>
      <c r="U621" s="82"/>
    </row>
    <row r="622" spans="1:21" ht="17.25" customHeight="1" x14ac:dyDescent="0.3">
      <c r="A622" s="66" t="s">
        <v>30</v>
      </c>
      <c r="C622" s="67"/>
      <c r="D622" s="77"/>
      <c r="E622" s="77"/>
      <c r="F622" s="76"/>
      <c r="G622" s="76"/>
      <c r="H622" s="76"/>
      <c r="I622" s="76"/>
      <c r="J622" s="76"/>
      <c r="K622" s="76"/>
      <c r="L622" s="76"/>
      <c r="M622" s="76"/>
      <c r="N622" s="76"/>
      <c r="O622" s="75"/>
      <c r="P622" s="75"/>
      <c r="Q622" s="75"/>
      <c r="R622" s="75"/>
      <c r="S622" s="75"/>
      <c r="T622" s="75"/>
      <c r="U622" s="74"/>
    </row>
    <row r="623" spans="1:21" ht="17.25" customHeight="1" x14ac:dyDescent="0.3">
      <c r="A623" s="66" t="s">
        <v>30</v>
      </c>
      <c r="C623" s="67"/>
      <c r="D623" s="77"/>
      <c r="E623" s="77" t="s">
        <v>31</v>
      </c>
      <c r="F623" s="76" t="s">
        <v>31</v>
      </c>
      <c r="G623" s="76" t="s">
        <v>31</v>
      </c>
      <c r="H623" s="76"/>
      <c r="I623" s="76"/>
      <c r="J623" s="76" t="s">
        <v>31</v>
      </c>
      <c r="K623" s="76" t="s">
        <v>31</v>
      </c>
      <c r="L623" s="76" t="s">
        <v>31</v>
      </c>
      <c r="M623" s="76" t="s">
        <v>31</v>
      </c>
      <c r="N623" s="76"/>
      <c r="U623" s="81"/>
    </row>
    <row r="624" spans="1:21" ht="20.25" customHeight="1" x14ac:dyDescent="0.35">
      <c r="A624" s="66" t="s">
        <v>30</v>
      </c>
      <c r="C624" s="67"/>
      <c r="D624" s="92" t="str">
        <f t="shared" ref="D624" si="350">E624</f>
        <v>S100003</v>
      </c>
      <c r="E624" s="91" t="str">
        <f>"S100003"</f>
        <v>S100003</v>
      </c>
      <c r="F624" s="89" t="str">
        <f>"Soccer #1 Pin"</f>
        <v>Soccer #1 Pin</v>
      </c>
      <c r="G624" s="89"/>
      <c r="H624" s="90" t="str">
        <f>"EA"</f>
        <v>EA</v>
      </c>
      <c r="I624" s="89"/>
      <c r="J624" s="89"/>
      <c r="K624" s="89"/>
      <c r="L624" s="89"/>
      <c r="M624" s="89"/>
      <c r="N624" s="89"/>
      <c r="O624" s="88">
        <f>(SUBTOTAL(9,O625:O632))</f>
        <v>3700</v>
      </c>
      <c r="P624" s="88">
        <f>(SUBTOTAL(9,P625:P632))</f>
        <v>-727</v>
      </c>
      <c r="Q624" s="88">
        <f>(SUBTOTAL(9,Q625:Q632))</f>
        <v>0</v>
      </c>
      <c r="R624" s="88">
        <f>(SUBTOTAL(9,R625:R632))</f>
        <v>0</v>
      </c>
      <c r="S624" s="88">
        <f>(SUBTOTAL(9,S625:S632))</f>
        <v>0</v>
      </c>
      <c r="T624" s="88">
        <f>(SUBTOTAL(9,T625:T632))</f>
        <v>0</v>
      </c>
      <c r="U624" s="87">
        <f t="shared" ref="U624" si="351">SUBTOTAL(9,O625:T632)</f>
        <v>2973</v>
      </c>
    </row>
    <row r="625" spans="1:21" ht="17.25" customHeight="1" x14ac:dyDescent="0.3">
      <c r="A625" s="66" t="s">
        <v>30</v>
      </c>
      <c r="C625" s="67"/>
      <c r="D625" s="77" t="str">
        <f t="shared" ref="D625" si="352">D624</f>
        <v>S100003</v>
      </c>
      <c r="E625" s="77"/>
      <c r="F625" s="76"/>
      <c r="G625" s="76" t="str">
        <f>"""NAV Direct"",""CRONUS JetCorp USA"",""32"",""1"",""166379"""</f>
        <v>"NAV Direct","CRONUS JetCorp USA","32","1","166379"</v>
      </c>
      <c r="H625" s="86">
        <v>43466</v>
      </c>
      <c r="I625" s="85">
        <v>166379</v>
      </c>
      <c r="J625" s="84" t="str">
        <f>"Vendor"</f>
        <v>Vendor</v>
      </c>
      <c r="K625" s="84" t="str">
        <f>"V100001"</f>
        <v>V100001</v>
      </c>
      <c r="L625" s="84" t="str">
        <f>IF($J625="Customer",_xll.NL("first",$J625,"Name","No.","@@"&amp;$K625),"")</f>
        <v/>
      </c>
      <c r="M625" s="84" t="str">
        <f>"Greigner, Inc."</f>
        <v>Greigner, Inc.</v>
      </c>
      <c r="N625" s="84" t="str">
        <f>IF($J625="Item",_xll.NL("first",$J625,"Description","No.","@@"&amp;$K625),"")</f>
        <v/>
      </c>
      <c r="O625" s="83">
        <v>3700</v>
      </c>
      <c r="P625" s="83">
        <v>0</v>
      </c>
      <c r="Q625" s="83">
        <v>0</v>
      </c>
      <c r="R625" s="83">
        <v>0</v>
      </c>
      <c r="S625" s="83">
        <v>0</v>
      </c>
      <c r="T625" s="83">
        <v>0</v>
      </c>
      <c r="U625" s="82"/>
    </row>
    <row r="626" spans="1:21" ht="17.25" customHeight="1" x14ac:dyDescent="0.3">
      <c r="A626" s="66" t="s">
        <v>30</v>
      </c>
      <c r="C626" s="67"/>
      <c r="D626" s="77" t="str">
        <f t="shared" ref="D626:D631" si="353">D625</f>
        <v>S100003</v>
      </c>
      <c r="E626" s="77"/>
      <c r="F626" s="76"/>
      <c r="G626" s="76" t="str">
        <f>"""NAV Direct"",""CRONUS JetCorp USA"",""32"",""1"",""25244"""</f>
        <v>"NAV Direct","CRONUS JetCorp USA","32","1","25244"</v>
      </c>
      <c r="H626" s="86">
        <v>43471</v>
      </c>
      <c r="I626" s="85">
        <v>25244</v>
      </c>
      <c r="J626" s="84" t="str">
        <f>"Customer"</f>
        <v>Customer</v>
      </c>
      <c r="K626" s="84" t="str">
        <f>"C100102"</f>
        <v>C100102</v>
      </c>
      <c r="L626" s="84" t="str">
        <f>IF($J626="Customer",_xll.NL("first",$J626,"Name","No.","@@"&amp;$K626),"")</f>
        <v xml:space="preserve">BEI Outfitters </v>
      </c>
      <c r="M626" s="84" t="str">
        <f>""</f>
        <v/>
      </c>
      <c r="N626" s="84" t="str">
        <f>IF($J626="Item",_xll.NL("first",$J626,"Description","No.","@@"&amp;$K626),"")</f>
        <v/>
      </c>
      <c r="O626" s="83">
        <v>0</v>
      </c>
      <c r="P626" s="83">
        <v>-144</v>
      </c>
      <c r="Q626" s="83">
        <v>0</v>
      </c>
      <c r="R626" s="83">
        <v>0</v>
      </c>
      <c r="S626" s="83">
        <v>0</v>
      </c>
      <c r="T626" s="83">
        <v>0</v>
      </c>
      <c r="U626" s="82"/>
    </row>
    <row r="627" spans="1:21" ht="17.25" customHeight="1" x14ac:dyDescent="0.3">
      <c r="A627" s="66" t="s">
        <v>30</v>
      </c>
      <c r="C627" s="67"/>
      <c r="D627" s="77" t="str">
        <f t="shared" si="353"/>
        <v>S100003</v>
      </c>
      <c r="E627" s="77"/>
      <c r="F627" s="76"/>
      <c r="G627" s="76" t="str">
        <f>"""NAV Direct"",""CRONUS JetCorp USA"",""32"",""1"",""128857"""</f>
        <v>"NAV Direct","CRONUS JetCorp USA","32","1","128857"</v>
      </c>
      <c r="H627" s="86">
        <v>43471</v>
      </c>
      <c r="I627" s="85">
        <v>128857</v>
      </c>
      <c r="J627" s="84" t="str">
        <f>"Customer"</f>
        <v>Customer</v>
      </c>
      <c r="K627" s="84" t="str">
        <f>"C100138"</f>
        <v>C100138</v>
      </c>
      <c r="L627" s="84" t="str">
        <f>IF($J627="Customer",_xll.NL("first",$J627,"Name","No.","@@"&amp;$K627),"")</f>
        <v>Dantons</v>
      </c>
      <c r="M627" s="84" t="str">
        <f>""</f>
        <v/>
      </c>
      <c r="N627" s="84" t="str">
        <f>IF($J627="Item",_xll.NL("first",$J627,"Description","No.","@@"&amp;$K627),"")</f>
        <v/>
      </c>
      <c r="O627" s="83">
        <v>0</v>
      </c>
      <c r="P627" s="83">
        <v>-150</v>
      </c>
      <c r="Q627" s="83">
        <v>0</v>
      </c>
      <c r="R627" s="83">
        <v>0</v>
      </c>
      <c r="S627" s="83">
        <v>0</v>
      </c>
      <c r="T627" s="83">
        <v>0</v>
      </c>
      <c r="U627" s="82"/>
    </row>
    <row r="628" spans="1:21" ht="17.25" customHeight="1" x14ac:dyDescent="0.3">
      <c r="A628" s="66" t="s">
        <v>30</v>
      </c>
      <c r="C628" s="67"/>
      <c r="D628" s="77" t="str">
        <f t="shared" si="353"/>
        <v>S100003</v>
      </c>
      <c r="E628" s="77"/>
      <c r="F628" s="76"/>
      <c r="G628" s="76" t="str">
        <f>"""NAV Direct"",""CRONUS JetCorp USA"",""32"",""1"",""20341"""</f>
        <v>"NAV Direct","CRONUS JetCorp USA","32","1","20341"</v>
      </c>
      <c r="H628" s="86">
        <v>43472</v>
      </c>
      <c r="I628" s="85">
        <v>20341</v>
      </c>
      <c r="J628" s="84" t="str">
        <f>"Customer"</f>
        <v>Customer</v>
      </c>
      <c r="K628" s="84" t="str">
        <f>"C100145"</f>
        <v>C100145</v>
      </c>
      <c r="L628" s="84" t="str">
        <f>IF($J628="Customer",_xll.NL("first",$J628,"Name","No.","@@"&amp;$K628),"")</f>
        <v>Dicon Industries</v>
      </c>
      <c r="M628" s="84" t="str">
        <f>""</f>
        <v/>
      </c>
      <c r="N628" s="84" t="str">
        <f>IF($J628="Item",_xll.NL("first",$J628,"Description","No.","@@"&amp;$K628),"")</f>
        <v/>
      </c>
      <c r="O628" s="83">
        <v>0</v>
      </c>
      <c r="P628" s="83">
        <v>-144</v>
      </c>
      <c r="Q628" s="83">
        <v>0</v>
      </c>
      <c r="R628" s="83">
        <v>0</v>
      </c>
      <c r="S628" s="83">
        <v>0</v>
      </c>
      <c r="T628" s="83">
        <v>0</v>
      </c>
      <c r="U628" s="82"/>
    </row>
    <row r="629" spans="1:21" ht="17.25" customHeight="1" x14ac:dyDescent="0.3">
      <c r="A629" s="66" t="s">
        <v>30</v>
      </c>
      <c r="C629" s="67"/>
      <c r="D629" s="77" t="str">
        <f t="shared" si="353"/>
        <v>S100003</v>
      </c>
      <c r="E629" s="77"/>
      <c r="F629" s="76"/>
      <c r="G629" s="76" t="str">
        <f>"""NAV Direct"",""CRONUS JetCorp USA"",""32"",""1"",""44476"""</f>
        <v>"NAV Direct","CRONUS JetCorp USA","32","1","44476"</v>
      </c>
      <c r="H629" s="86">
        <v>43472</v>
      </c>
      <c r="I629" s="85">
        <v>44476</v>
      </c>
      <c r="J629" s="84" t="str">
        <f>"Customer"</f>
        <v>Customer</v>
      </c>
      <c r="K629" s="84" t="str">
        <f>"C100141"</f>
        <v>C100141</v>
      </c>
      <c r="L629" s="84" t="str">
        <f>IF($J629="Customer",_xll.NL("first",$J629,"Name","No.","@@"&amp;$K629),"")</f>
        <v>Bargottis</v>
      </c>
      <c r="M629" s="84" t="str">
        <f>""</f>
        <v/>
      </c>
      <c r="N629" s="84" t="str">
        <f>IF($J629="Item",_xll.NL("first",$J629,"Description","No.","@@"&amp;$K629),"")</f>
        <v/>
      </c>
      <c r="O629" s="83">
        <v>0</v>
      </c>
      <c r="P629" s="83">
        <v>-144</v>
      </c>
      <c r="Q629" s="83">
        <v>0</v>
      </c>
      <c r="R629" s="83">
        <v>0</v>
      </c>
      <c r="S629" s="83">
        <v>0</v>
      </c>
      <c r="T629" s="83">
        <v>0</v>
      </c>
      <c r="U629" s="82"/>
    </row>
    <row r="630" spans="1:21" ht="17.25" customHeight="1" x14ac:dyDescent="0.3">
      <c r="A630" s="66" t="s">
        <v>30</v>
      </c>
      <c r="C630" s="67"/>
      <c r="D630" s="77" t="str">
        <f t="shared" si="353"/>
        <v>S100003</v>
      </c>
      <c r="E630" s="77"/>
      <c r="F630" s="76"/>
      <c r="G630" s="76" t="str">
        <f>"""NAV Direct"",""CRONUS JetCorp USA"",""32"",""1"",""128880"""</f>
        <v>"NAV Direct","CRONUS JetCorp USA","32","1","128880"</v>
      </c>
      <c r="H630" s="86">
        <v>43472</v>
      </c>
      <c r="I630" s="85">
        <v>128880</v>
      </c>
      <c r="J630" s="84" t="str">
        <f>"Customer"</f>
        <v>Customer</v>
      </c>
      <c r="K630" s="84" t="str">
        <f>"C100105"</f>
        <v>C100105</v>
      </c>
      <c r="L630" s="84" t="str">
        <f>IF($J630="Customer",_xll.NL("first",$J630,"Name","No.","@@"&amp;$K630),"")</f>
        <v>Esystems</v>
      </c>
      <c r="M630" s="84" t="str">
        <f>""</f>
        <v/>
      </c>
      <c r="N630" s="84" t="str">
        <f>IF($J630="Item",_xll.NL("first",$J630,"Description","No.","@@"&amp;$K630),"")</f>
        <v/>
      </c>
      <c r="O630" s="83">
        <v>0</v>
      </c>
      <c r="P630" s="83">
        <v>-1</v>
      </c>
      <c r="Q630" s="83">
        <v>0</v>
      </c>
      <c r="R630" s="83">
        <v>0</v>
      </c>
      <c r="S630" s="83">
        <v>0</v>
      </c>
      <c r="T630" s="83">
        <v>0</v>
      </c>
      <c r="U630" s="82"/>
    </row>
    <row r="631" spans="1:21" ht="17.25" customHeight="1" x14ac:dyDescent="0.3">
      <c r="A631" s="66" t="s">
        <v>30</v>
      </c>
      <c r="C631" s="67"/>
      <c r="D631" s="77" t="str">
        <f t="shared" si="353"/>
        <v>S100003</v>
      </c>
      <c r="E631" s="77"/>
      <c r="F631" s="76"/>
      <c r="G631" s="76" t="str">
        <f>"""NAV Direct"",""CRONUS JetCorp USA"",""32"",""1"",""54708"""</f>
        <v>"NAV Direct","CRONUS JetCorp USA","32","1","54708"</v>
      </c>
      <c r="H631" s="86">
        <v>43474</v>
      </c>
      <c r="I631" s="85">
        <v>54708</v>
      </c>
      <c r="J631" s="84" t="str">
        <f>"Customer"</f>
        <v>Customer</v>
      </c>
      <c r="K631" s="84" t="str">
        <f>"C100096"</f>
        <v>C100096</v>
      </c>
      <c r="L631" s="84" t="str">
        <f>IF($J631="Customer",_xll.NL("first",$J631,"Name","No.","@@"&amp;$K631),"")</f>
        <v>D-Com Industries</v>
      </c>
      <c r="M631" s="84" t="str">
        <f>""</f>
        <v/>
      </c>
      <c r="N631" s="84" t="str">
        <f>IF($J631="Item",_xll.NL("first",$J631,"Description","No.","@@"&amp;$K631),"")</f>
        <v/>
      </c>
      <c r="O631" s="83">
        <v>0</v>
      </c>
      <c r="P631" s="83">
        <v>-144</v>
      </c>
      <c r="Q631" s="83">
        <v>0</v>
      </c>
      <c r="R631" s="83">
        <v>0</v>
      </c>
      <c r="S631" s="83">
        <v>0</v>
      </c>
      <c r="T631" s="83">
        <v>0</v>
      </c>
      <c r="U631" s="82"/>
    </row>
    <row r="632" spans="1:21" ht="17.25" customHeight="1" x14ac:dyDescent="0.3">
      <c r="A632" s="66" t="s">
        <v>30</v>
      </c>
      <c r="C632" s="67"/>
      <c r="D632" s="77"/>
      <c r="E632" s="77"/>
      <c r="F632" s="76"/>
      <c r="G632" s="76"/>
      <c r="H632" s="76"/>
      <c r="I632" s="76"/>
      <c r="J632" s="76"/>
      <c r="K632" s="76"/>
      <c r="L632" s="76"/>
      <c r="M632" s="76"/>
      <c r="N632" s="76"/>
      <c r="O632" s="75"/>
      <c r="P632" s="75"/>
      <c r="Q632" s="75"/>
      <c r="R632" s="75"/>
      <c r="S632" s="75"/>
      <c r="T632" s="75"/>
      <c r="U632" s="74"/>
    </row>
    <row r="633" spans="1:21" ht="17.25" customHeight="1" x14ac:dyDescent="0.3">
      <c r="A633" s="66" t="s">
        <v>30</v>
      </c>
      <c r="C633" s="67"/>
      <c r="D633" s="77"/>
      <c r="E633" s="77" t="s">
        <v>31</v>
      </c>
      <c r="F633" s="76" t="s">
        <v>31</v>
      </c>
      <c r="G633" s="76" t="s">
        <v>31</v>
      </c>
      <c r="H633" s="76"/>
      <c r="I633" s="76"/>
      <c r="J633" s="76" t="s">
        <v>31</v>
      </c>
      <c r="K633" s="76" t="s">
        <v>31</v>
      </c>
      <c r="L633" s="76" t="s">
        <v>31</v>
      </c>
      <c r="M633" s="76" t="s">
        <v>31</v>
      </c>
      <c r="N633" s="76"/>
      <c r="U633" s="81"/>
    </row>
    <row r="634" spans="1:21" ht="20.25" customHeight="1" x14ac:dyDescent="0.35">
      <c r="A634" s="66" t="s">
        <v>30</v>
      </c>
      <c r="C634" s="67"/>
      <c r="D634" s="92" t="str">
        <f t="shared" ref="D634" si="354">E634</f>
        <v>S100004</v>
      </c>
      <c r="E634" s="91" t="str">
        <f>"S100004"</f>
        <v>S100004</v>
      </c>
      <c r="F634" s="89" t="str">
        <f>"Award Medallian - 2''"</f>
        <v>Award Medallian - 2''</v>
      </c>
      <c r="G634" s="89"/>
      <c r="H634" s="90" t="str">
        <f>"EA"</f>
        <v>EA</v>
      </c>
      <c r="I634" s="89"/>
      <c r="J634" s="89"/>
      <c r="K634" s="89"/>
      <c r="L634" s="89"/>
      <c r="M634" s="89"/>
      <c r="N634" s="89"/>
      <c r="O634" s="88">
        <f>(SUBTOTAL(9,O635:O641))</f>
        <v>1700</v>
      </c>
      <c r="P634" s="88">
        <f>(SUBTOTAL(9,P635:P641))</f>
        <v>-578</v>
      </c>
      <c r="Q634" s="88">
        <f>(SUBTOTAL(9,Q635:Q641))</f>
        <v>0</v>
      </c>
      <c r="R634" s="88">
        <f>(SUBTOTAL(9,R635:R641))</f>
        <v>0</v>
      </c>
      <c r="S634" s="88">
        <f>(SUBTOTAL(9,S635:S641))</f>
        <v>0</v>
      </c>
      <c r="T634" s="88">
        <f>(SUBTOTAL(9,T635:T641))</f>
        <v>0</v>
      </c>
      <c r="U634" s="87">
        <f t="shared" ref="U634" si="355">SUBTOTAL(9,O635:T641)</f>
        <v>1122</v>
      </c>
    </row>
    <row r="635" spans="1:21" ht="17.25" customHeight="1" x14ac:dyDescent="0.3">
      <c r="A635" s="66" t="s">
        <v>30</v>
      </c>
      <c r="C635" s="67"/>
      <c r="D635" s="77" t="str">
        <f t="shared" ref="D635" si="356">D634</f>
        <v>S100004</v>
      </c>
      <c r="E635" s="77"/>
      <c r="F635" s="76"/>
      <c r="G635" s="76" t="str">
        <f>"""NAV Direct"",""CRONUS JetCorp USA"",""32"",""1"",""166378"""</f>
        <v>"NAV Direct","CRONUS JetCorp USA","32","1","166378"</v>
      </c>
      <c r="H635" s="86">
        <v>43466</v>
      </c>
      <c r="I635" s="85">
        <v>166378</v>
      </c>
      <c r="J635" s="84" t="str">
        <f>"Vendor"</f>
        <v>Vendor</v>
      </c>
      <c r="K635" s="84" t="str">
        <f>"V100001"</f>
        <v>V100001</v>
      </c>
      <c r="L635" s="84" t="str">
        <f>IF($J635="Customer",_xll.NL("first",$J635,"Name","No.","@@"&amp;$K635),"")</f>
        <v/>
      </c>
      <c r="M635" s="84" t="str">
        <f>"Greigner, Inc."</f>
        <v>Greigner, Inc.</v>
      </c>
      <c r="N635" s="84" t="str">
        <f>IF($J635="Item",_xll.NL("first",$J635,"Description","No.","@@"&amp;$K635),"")</f>
        <v/>
      </c>
      <c r="O635" s="83">
        <v>1700</v>
      </c>
      <c r="P635" s="83">
        <v>0</v>
      </c>
      <c r="Q635" s="83">
        <v>0</v>
      </c>
      <c r="R635" s="83">
        <v>0</v>
      </c>
      <c r="S635" s="83">
        <v>0</v>
      </c>
      <c r="T635" s="83">
        <v>0</v>
      </c>
      <c r="U635" s="82"/>
    </row>
    <row r="636" spans="1:21" ht="17.25" customHeight="1" x14ac:dyDescent="0.3">
      <c r="A636" s="66" t="s">
        <v>30</v>
      </c>
      <c r="C636" s="67"/>
      <c r="D636" s="77" t="str">
        <f t="shared" ref="D636:D640" si="357">D635</f>
        <v>S100004</v>
      </c>
      <c r="E636" s="77"/>
      <c r="F636" s="76"/>
      <c r="G636" s="76" t="str">
        <f>"""NAV Direct"",""CRONUS JetCorp USA"",""32"",""1"",""20365"""</f>
        <v>"NAV Direct","CRONUS JetCorp USA","32","1","20365"</v>
      </c>
      <c r="H636" s="86">
        <v>43468</v>
      </c>
      <c r="I636" s="85">
        <v>20365</v>
      </c>
      <c r="J636" s="84" t="str">
        <f>"Customer"</f>
        <v>Customer</v>
      </c>
      <c r="K636" s="84" t="str">
        <f>"C100145"</f>
        <v>C100145</v>
      </c>
      <c r="L636" s="84" t="str">
        <f>IF($J636="Customer",_xll.NL("first",$J636,"Name","No.","@@"&amp;$K636),"")</f>
        <v>Dicon Industries</v>
      </c>
      <c r="M636" s="84" t="str">
        <f>""</f>
        <v/>
      </c>
      <c r="N636" s="84" t="str">
        <f>IF($J636="Item",_xll.NL("first",$J636,"Description","No.","@@"&amp;$K636),"")</f>
        <v/>
      </c>
      <c r="O636" s="83">
        <v>0</v>
      </c>
      <c r="P636" s="83">
        <v>-145</v>
      </c>
      <c r="Q636" s="83">
        <v>0</v>
      </c>
      <c r="R636" s="83">
        <v>0</v>
      </c>
      <c r="S636" s="83">
        <v>0</v>
      </c>
      <c r="T636" s="83">
        <v>0</v>
      </c>
      <c r="U636" s="82"/>
    </row>
    <row r="637" spans="1:21" ht="17.25" customHeight="1" x14ac:dyDescent="0.3">
      <c r="A637" s="66" t="s">
        <v>30</v>
      </c>
      <c r="C637" s="67"/>
      <c r="D637" s="77" t="str">
        <f t="shared" si="357"/>
        <v>S100004</v>
      </c>
      <c r="E637" s="77"/>
      <c r="F637" s="76"/>
      <c r="G637" s="76" t="str">
        <f>"""NAV Direct"",""CRONUS JetCorp USA"",""32"",""1"",""25235"""</f>
        <v>"NAV Direct","CRONUS JetCorp USA","32","1","25235"</v>
      </c>
      <c r="H637" s="86">
        <v>43471</v>
      </c>
      <c r="I637" s="85">
        <v>25235</v>
      </c>
      <c r="J637" s="84" t="str">
        <f>"Customer"</f>
        <v>Customer</v>
      </c>
      <c r="K637" s="84" t="str">
        <f>"C100102"</f>
        <v>C100102</v>
      </c>
      <c r="L637" s="84" t="str">
        <f>IF($J637="Customer",_xll.NL("first",$J637,"Name","No.","@@"&amp;$K637),"")</f>
        <v xml:space="preserve">BEI Outfitters </v>
      </c>
      <c r="M637" s="84" t="str">
        <f>""</f>
        <v/>
      </c>
      <c r="N637" s="84" t="str">
        <f>IF($J637="Item",_xll.NL("first",$J637,"Description","No.","@@"&amp;$K637),"")</f>
        <v/>
      </c>
      <c r="O637" s="83">
        <v>0</v>
      </c>
      <c r="P637" s="83">
        <v>-144</v>
      </c>
      <c r="Q637" s="83">
        <v>0</v>
      </c>
      <c r="R637" s="83">
        <v>0</v>
      </c>
      <c r="S637" s="83">
        <v>0</v>
      </c>
      <c r="T637" s="83">
        <v>0</v>
      </c>
      <c r="U637" s="82"/>
    </row>
    <row r="638" spans="1:21" ht="17.25" customHeight="1" x14ac:dyDescent="0.3">
      <c r="A638" s="66" t="s">
        <v>30</v>
      </c>
      <c r="C638" s="67"/>
      <c r="D638" s="77" t="str">
        <f t="shared" si="357"/>
        <v>S100004</v>
      </c>
      <c r="E638" s="77"/>
      <c r="F638" s="76"/>
      <c r="G638" s="76" t="str">
        <f>"""NAV Direct"",""CRONUS JetCorp USA"",""32"",""1"",""128864"""</f>
        <v>"NAV Direct","CRONUS JetCorp USA","32","1","128864"</v>
      </c>
      <c r="H638" s="86">
        <v>43472</v>
      </c>
      <c r="I638" s="85">
        <v>128864</v>
      </c>
      <c r="J638" s="84" t="str">
        <f>"Customer"</f>
        <v>Customer</v>
      </c>
      <c r="K638" s="84" t="str">
        <f>"C100105"</f>
        <v>C100105</v>
      </c>
      <c r="L638" s="84" t="str">
        <f>IF($J638="Customer",_xll.NL("first",$J638,"Name","No.","@@"&amp;$K638),"")</f>
        <v>Esystems</v>
      </c>
      <c r="M638" s="84" t="str">
        <f>""</f>
        <v/>
      </c>
      <c r="N638" s="84" t="str">
        <f>IF($J638="Item",_xll.NL("first",$J638,"Description","No.","@@"&amp;$K638),"")</f>
        <v/>
      </c>
      <c r="O638" s="83">
        <v>0</v>
      </c>
      <c r="P638" s="83">
        <v>-144</v>
      </c>
      <c r="Q638" s="83">
        <v>0</v>
      </c>
      <c r="R638" s="83">
        <v>0</v>
      </c>
      <c r="S638" s="83">
        <v>0</v>
      </c>
      <c r="T638" s="83">
        <v>0</v>
      </c>
      <c r="U638" s="82"/>
    </row>
    <row r="639" spans="1:21" ht="17.25" customHeight="1" x14ac:dyDescent="0.3">
      <c r="A639" s="66" t="s">
        <v>30</v>
      </c>
      <c r="C639" s="67"/>
      <c r="D639" s="77" t="str">
        <f t="shared" si="357"/>
        <v>S100004</v>
      </c>
      <c r="E639" s="77"/>
      <c r="F639" s="76"/>
      <c r="G639" s="76" t="str">
        <f>"""NAV Direct"",""CRONUS JetCorp USA"",""32"",""1"",""20349"""</f>
        <v>"NAV Direct","CRONUS JetCorp USA","32","1","20349"</v>
      </c>
      <c r="H639" s="86">
        <v>43475</v>
      </c>
      <c r="I639" s="85">
        <v>20349</v>
      </c>
      <c r="J639" s="84" t="str">
        <f>"Customer"</f>
        <v>Customer</v>
      </c>
      <c r="K639" s="84" t="str">
        <f>"C100097"</f>
        <v>C100097</v>
      </c>
      <c r="L639" s="84" t="str">
        <f>IF($J639="Customer",_xll.NL("first",$J639,"Name","No.","@@"&amp;$K639),"")</f>
        <v>Solotech</v>
      </c>
      <c r="M639" s="84" t="str">
        <f>""</f>
        <v/>
      </c>
      <c r="N639" s="84" t="str">
        <f>IF($J639="Item",_xll.NL("first",$J639,"Description","No.","@@"&amp;$K639),"")</f>
        <v/>
      </c>
      <c r="O639" s="83">
        <v>0</v>
      </c>
      <c r="P639" s="83">
        <v>-144</v>
      </c>
      <c r="Q639" s="83">
        <v>0</v>
      </c>
      <c r="R639" s="83">
        <v>0</v>
      </c>
      <c r="S639" s="83">
        <v>0</v>
      </c>
      <c r="T639" s="83">
        <v>0</v>
      </c>
      <c r="U639" s="82"/>
    </row>
    <row r="640" spans="1:21" ht="17.25" customHeight="1" x14ac:dyDescent="0.3">
      <c r="A640" s="66" t="s">
        <v>30</v>
      </c>
      <c r="C640" s="67"/>
      <c r="D640" s="77" t="str">
        <f t="shared" si="357"/>
        <v>S100004</v>
      </c>
      <c r="E640" s="77"/>
      <c r="F640" s="76"/>
      <c r="G640" s="76" t="str">
        <f>"""NAV Direct"",""CRONUS JetCorp USA"",""32"",""1"",""25275"""</f>
        <v>"NAV Direct","CRONUS JetCorp USA","32","1","25275"</v>
      </c>
      <c r="H640" s="86">
        <v>43476</v>
      </c>
      <c r="I640" s="85">
        <v>25275</v>
      </c>
      <c r="J640" s="84" t="str">
        <f>"Customer"</f>
        <v>Customer</v>
      </c>
      <c r="K640" s="84" t="str">
        <f>"C100102"</f>
        <v>C100102</v>
      </c>
      <c r="L640" s="84" t="str">
        <f>IF($J640="Customer",_xll.NL("first",$J640,"Name","No.","@@"&amp;$K640),"")</f>
        <v xml:space="preserve">BEI Outfitters </v>
      </c>
      <c r="M640" s="84" t="str">
        <f>""</f>
        <v/>
      </c>
      <c r="N640" s="84" t="str">
        <f>IF($J640="Item",_xll.NL("first",$J640,"Description","No.","@@"&amp;$K640),"")</f>
        <v/>
      </c>
      <c r="O640" s="83">
        <v>0</v>
      </c>
      <c r="P640" s="83">
        <v>-1</v>
      </c>
      <c r="Q640" s="83">
        <v>0</v>
      </c>
      <c r="R640" s="83">
        <v>0</v>
      </c>
      <c r="S640" s="83">
        <v>0</v>
      </c>
      <c r="T640" s="83">
        <v>0</v>
      </c>
      <c r="U640" s="82"/>
    </row>
    <row r="641" spans="1:21" ht="17.25" customHeight="1" x14ac:dyDescent="0.3">
      <c r="A641" s="66" t="s">
        <v>30</v>
      </c>
      <c r="C641" s="67"/>
      <c r="D641" s="77"/>
      <c r="E641" s="77"/>
      <c r="F641" s="76"/>
      <c r="G641" s="76"/>
      <c r="H641" s="76"/>
      <c r="I641" s="76"/>
      <c r="J641" s="76"/>
      <c r="K641" s="76"/>
      <c r="L641" s="76"/>
      <c r="M641" s="76"/>
      <c r="N641" s="76"/>
      <c r="O641" s="75"/>
      <c r="P641" s="75"/>
      <c r="Q641" s="75"/>
      <c r="R641" s="75"/>
      <c r="S641" s="75"/>
      <c r="T641" s="75"/>
      <c r="U641" s="74"/>
    </row>
    <row r="642" spans="1:21" ht="17.25" customHeight="1" x14ac:dyDescent="0.3">
      <c r="A642" s="66" t="s">
        <v>30</v>
      </c>
      <c r="C642" s="67"/>
      <c r="D642" s="77"/>
      <c r="E642" s="77" t="s">
        <v>31</v>
      </c>
      <c r="F642" s="76" t="s">
        <v>31</v>
      </c>
      <c r="G642" s="76" t="s">
        <v>31</v>
      </c>
      <c r="H642" s="76"/>
      <c r="I642" s="76"/>
      <c r="J642" s="76" t="s">
        <v>31</v>
      </c>
      <c r="K642" s="76" t="s">
        <v>31</v>
      </c>
      <c r="L642" s="76" t="s">
        <v>31</v>
      </c>
      <c r="M642" s="76" t="s">
        <v>31</v>
      </c>
      <c r="N642" s="76"/>
      <c r="U642" s="81"/>
    </row>
    <row r="643" spans="1:21" ht="20.25" customHeight="1" x14ac:dyDescent="0.35">
      <c r="A643" s="66" t="s">
        <v>30</v>
      </c>
      <c r="C643" s="67"/>
      <c r="D643" s="92" t="str">
        <f t="shared" ref="D643" si="358">E643</f>
        <v>S100005</v>
      </c>
      <c r="E643" s="91" t="str">
        <f>"S100005"</f>
        <v>S100005</v>
      </c>
      <c r="F643" s="89" t="str">
        <f>"Award Medallian - 2.5''"</f>
        <v>Award Medallian - 2.5''</v>
      </c>
      <c r="G643" s="89"/>
      <c r="H643" s="90" t="str">
        <f>"EA"</f>
        <v>EA</v>
      </c>
      <c r="I643" s="89"/>
      <c r="J643" s="89"/>
      <c r="K643" s="89"/>
      <c r="L643" s="89"/>
      <c r="M643" s="89"/>
      <c r="N643" s="89"/>
      <c r="O643" s="88">
        <f>(SUBTOTAL(9,O644:O648))</f>
        <v>1600</v>
      </c>
      <c r="P643" s="88">
        <f>(SUBTOTAL(9,P644:P648))</f>
        <v>-336</v>
      </c>
      <c r="Q643" s="88">
        <f>(SUBTOTAL(9,Q644:Q648))</f>
        <v>0</v>
      </c>
      <c r="R643" s="88">
        <f>(SUBTOTAL(9,R644:R648))</f>
        <v>0</v>
      </c>
      <c r="S643" s="88">
        <f>(SUBTOTAL(9,S644:S648))</f>
        <v>0</v>
      </c>
      <c r="T643" s="88">
        <f>(SUBTOTAL(9,T644:T648))</f>
        <v>0</v>
      </c>
      <c r="U643" s="87">
        <f t="shared" ref="U643" si="359">SUBTOTAL(9,O644:T648)</f>
        <v>1264</v>
      </c>
    </row>
    <row r="644" spans="1:21" ht="17.25" customHeight="1" x14ac:dyDescent="0.3">
      <c r="A644" s="66" t="s">
        <v>30</v>
      </c>
      <c r="C644" s="67"/>
      <c r="D644" s="77" t="str">
        <f t="shared" ref="D644" si="360">D643</f>
        <v>S100005</v>
      </c>
      <c r="E644" s="77"/>
      <c r="F644" s="76"/>
      <c r="G644" s="76" t="str">
        <f>"""NAV Direct"",""CRONUS JetCorp USA"",""32"",""1"",""166377"""</f>
        <v>"NAV Direct","CRONUS JetCorp USA","32","1","166377"</v>
      </c>
      <c r="H644" s="86">
        <v>43466</v>
      </c>
      <c r="I644" s="85">
        <v>166377</v>
      </c>
      <c r="J644" s="84" t="str">
        <f>"Vendor"</f>
        <v>Vendor</v>
      </c>
      <c r="K644" s="84" t="str">
        <f>"V100001"</f>
        <v>V100001</v>
      </c>
      <c r="L644" s="84" t="str">
        <f>IF($J644="Customer",_xll.NL("first",$J644,"Name","No.","@@"&amp;$K644),"")</f>
        <v/>
      </c>
      <c r="M644" s="84" t="str">
        <f>"Greigner, Inc."</f>
        <v>Greigner, Inc.</v>
      </c>
      <c r="N644" s="84" t="str">
        <f>IF($J644="Item",_xll.NL("first",$J644,"Description","No.","@@"&amp;$K644),"")</f>
        <v/>
      </c>
      <c r="O644" s="83">
        <v>1600</v>
      </c>
      <c r="P644" s="83">
        <v>0</v>
      </c>
      <c r="Q644" s="83">
        <v>0</v>
      </c>
      <c r="R644" s="83">
        <v>0</v>
      </c>
      <c r="S644" s="83">
        <v>0</v>
      </c>
      <c r="T644" s="83">
        <v>0</v>
      </c>
      <c r="U644" s="82"/>
    </row>
    <row r="645" spans="1:21" ht="17.25" customHeight="1" x14ac:dyDescent="0.3">
      <c r="A645" s="66" t="s">
        <v>30</v>
      </c>
      <c r="C645" s="67"/>
      <c r="D645" s="77" t="str">
        <f t="shared" ref="D645:D647" si="361">D644</f>
        <v>S100005</v>
      </c>
      <c r="E645" s="77"/>
      <c r="F645" s="76"/>
      <c r="G645" s="76" t="str">
        <f>"""NAV Direct"",""CRONUS JetCorp USA"",""32"",""1"",""124524"""</f>
        <v>"NAV Direct","CRONUS JetCorp USA","32","1","124524"</v>
      </c>
      <c r="H645" s="86">
        <v>43474</v>
      </c>
      <c r="I645" s="85">
        <v>124524</v>
      </c>
      <c r="J645" s="84" t="str">
        <f>"Customer"</f>
        <v>Customer</v>
      </c>
      <c r="K645" s="84" t="str">
        <f>"C100145"</f>
        <v>C100145</v>
      </c>
      <c r="L645" s="84" t="str">
        <f>IF($J645="Customer",_xll.NL("first",$J645,"Name","No.","@@"&amp;$K645),"")</f>
        <v>Dicon Industries</v>
      </c>
      <c r="M645" s="84" t="str">
        <f>""</f>
        <v/>
      </c>
      <c r="N645" s="84" t="str">
        <f>IF($J645="Item",_xll.NL("first",$J645,"Description","No.","@@"&amp;$K645),"")</f>
        <v/>
      </c>
      <c r="O645" s="83">
        <v>0</v>
      </c>
      <c r="P645" s="83">
        <v>-144</v>
      </c>
      <c r="Q645" s="83">
        <v>0</v>
      </c>
      <c r="R645" s="83">
        <v>0</v>
      </c>
      <c r="S645" s="83">
        <v>0</v>
      </c>
      <c r="T645" s="83">
        <v>0</v>
      </c>
      <c r="U645" s="82"/>
    </row>
    <row r="646" spans="1:21" ht="17.25" customHeight="1" x14ac:dyDescent="0.3">
      <c r="A646" s="66" t="s">
        <v>30</v>
      </c>
      <c r="C646" s="67"/>
      <c r="D646" s="77" t="str">
        <f t="shared" si="361"/>
        <v>S100005</v>
      </c>
      <c r="E646" s="77"/>
      <c r="F646" s="76"/>
      <c r="G646" s="76" t="str">
        <f>"""NAV Direct"",""CRONUS JetCorp USA"",""32"",""1"",""20352"""</f>
        <v>"NAV Direct","CRONUS JetCorp USA","32","1","20352"</v>
      </c>
      <c r="H646" s="86">
        <v>43475</v>
      </c>
      <c r="I646" s="85">
        <v>20352</v>
      </c>
      <c r="J646" s="84" t="str">
        <f>"Customer"</f>
        <v>Customer</v>
      </c>
      <c r="K646" s="84" t="str">
        <f>"C100097"</f>
        <v>C100097</v>
      </c>
      <c r="L646" s="84" t="str">
        <f>IF($J646="Customer",_xll.NL("first",$J646,"Name","No.","@@"&amp;$K646),"")</f>
        <v>Solotech</v>
      </c>
      <c r="M646" s="84" t="str">
        <f>""</f>
        <v/>
      </c>
      <c r="N646" s="84" t="str">
        <f>IF($J646="Item",_xll.NL("first",$J646,"Description","No.","@@"&amp;$K646),"")</f>
        <v/>
      </c>
      <c r="O646" s="83">
        <v>0</v>
      </c>
      <c r="P646" s="83">
        <v>-144</v>
      </c>
      <c r="Q646" s="83">
        <v>0</v>
      </c>
      <c r="R646" s="83">
        <v>0</v>
      </c>
      <c r="S646" s="83">
        <v>0</v>
      </c>
      <c r="T646" s="83">
        <v>0</v>
      </c>
      <c r="U646" s="82"/>
    </row>
    <row r="647" spans="1:21" ht="17.25" customHeight="1" x14ac:dyDescent="0.3">
      <c r="A647" s="66" t="s">
        <v>30</v>
      </c>
      <c r="C647" s="67"/>
      <c r="D647" s="77" t="str">
        <f t="shared" si="361"/>
        <v>S100005</v>
      </c>
      <c r="E647" s="77"/>
      <c r="F647" s="76"/>
      <c r="G647" s="76" t="str">
        <f>"""NAV Direct"",""CRONUS JetCorp USA"",""32"",""1"",""20404"""</f>
        <v>"NAV Direct","CRONUS JetCorp USA","32","1","20404"</v>
      </c>
      <c r="H647" s="86">
        <v>43477</v>
      </c>
      <c r="I647" s="85">
        <v>20404</v>
      </c>
      <c r="J647" s="84" t="str">
        <f>"Customer"</f>
        <v>Customer</v>
      </c>
      <c r="K647" s="84" t="str">
        <f>"C100039"</f>
        <v>C100039</v>
      </c>
      <c r="L647" s="84" t="str">
        <f>IF($J647="Customer",_xll.NL("first",$J647,"Name","No.","@@"&amp;$K647),"")</f>
        <v>Gary's Sports</v>
      </c>
      <c r="M647" s="84" t="str">
        <f>""</f>
        <v/>
      </c>
      <c r="N647" s="84" t="str">
        <f>IF($J647="Item",_xll.NL("first",$J647,"Description","No.","@@"&amp;$K647),"")</f>
        <v/>
      </c>
      <c r="O647" s="83">
        <v>0</v>
      </c>
      <c r="P647" s="83">
        <v>-48</v>
      </c>
      <c r="Q647" s="83">
        <v>0</v>
      </c>
      <c r="R647" s="83">
        <v>0</v>
      </c>
      <c r="S647" s="83">
        <v>0</v>
      </c>
      <c r="T647" s="83">
        <v>0</v>
      </c>
      <c r="U647" s="82"/>
    </row>
    <row r="648" spans="1:21" ht="17.25" customHeight="1" x14ac:dyDescent="0.3">
      <c r="A648" s="66" t="s">
        <v>30</v>
      </c>
      <c r="C648" s="67"/>
      <c r="D648" s="77"/>
      <c r="E648" s="77"/>
      <c r="F648" s="76"/>
      <c r="G648" s="76"/>
      <c r="H648" s="76"/>
      <c r="I648" s="76"/>
      <c r="J648" s="76"/>
      <c r="K648" s="76"/>
      <c r="L648" s="76"/>
      <c r="M648" s="76"/>
      <c r="N648" s="76"/>
      <c r="O648" s="75"/>
      <c r="P648" s="75"/>
      <c r="Q648" s="75"/>
      <c r="R648" s="75"/>
      <c r="S648" s="75"/>
      <c r="T648" s="75"/>
      <c r="U648" s="74"/>
    </row>
    <row r="649" spans="1:21" ht="17.25" customHeight="1" x14ac:dyDescent="0.3">
      <c r="A649" s="66" t="s">
        <v>30</v>
      </c>
      <c r="C649" s="67"/>
      <c r="D649" s="77"/>
      <c r="E649" s="77" t="s">
        <v>31</v>
      </c>
      <c r="F649" s="76" t="s">
        <v>31</v>
      </c>
      <c r="G649" s="76" t="s">
        <v>31</v>
      </c>
      <c r="H649" s="76"/>
      <c r="I649" s="76"/>
      <c r="J649" s="76" t="s">
        <v>31</v>
      </c>
      <c r="K649" s="76" t="s">
        <v>31</v>
      </c>
      <c r="L649" s="76" t="s">
        <v>31</v>
      </c>
      <c r="M649" s="76" t="s">
        <v>31</v>
      </c>
      <c r="N649" s="76"/>
      <c r="U649" s="81"/>
    </row>
    <row r="650" spans="1:21" ht="20.25" customHeight="1" x14ac:dyDescent="0.35">
      <c r="A650" s="66" t="s">
        <v>30</v>
      </c>
      <c r="C650" s="67"/>
      <c r="D650" s="92" t="str">
        <f t="shared" ref="D650" si="362">E650</f>
        <v>S100006</v>
      </c>
      <c r="E650" s="91" t="str">
        <f>"S100006"</f>
        <v>S100006</v>
      </c>
      <c r="F650" s="89" t="str">
        <f>"Award Medallian - 3''"</f>
        <v>Award Medallian - 3''</v>
      </c>
      <c r="G650" s="89"/>
      <c r="H650" s="90" t="str">
        <f>"EA"</f>
        <v>EA</v>
      </c>
      <c r="I650" s="89"/>
      <c r="J650" s="89"/>
      <c r="K650" s="89"/>
      <c r="L650" s="89"/>
      <c r="M650" s="89"/>
      <c r="N650" s="89"/>
      <c r="O650" s="88">
        <f>(SUBTOTAL(9,O651:O657))</f>
        <v>2800</v>
      </c>
      <c r="P650" s="88">
        <f>(SUBTOTAL(9,P651:P657))</f>
        <v>-919</v>
      </c>
      <c r="Q650" s="88">
        <f>(SUBTOTAL(9,Q651:Q657))</f>
        <v>0</v>
      </c>
      <c r="R650" s="88">
        <f>(SUBTOTAL(9,R651:R657))</f>
        <v>0</v>
      </c>
      <c r="S650" s="88">
        <f>(SUBTOTAL(9,S651:S657))</f>
        <v>0</v>
      </c>
      <c r="T650" s="88">
        <f>(SUBTOTAL(9,T651:T657))</f>
        <v>0</v>
      </c>
      <c r="U650" s="87">
        <f t="shared" ref="U650" si="363">SUBTOTAL(9,O651:T657)</f>
        <v>1881</v>
      </c>
    </row>
    <row r="651" spans="1:21" ht="17.25" customHeight="1" x14ac:dyDescent="0.3">
      <c r="A651" s="66" t="s">
        <v>30</v>
      </c>
      <c r="C651" s="67"/>
      <c r="D651" s="77" t="str">
        <f t="shared" ref="D651" si="364">D650</f>
        <v>S100006</v>
      </c>
      <c r="E651" s="77"/>
      <c r="F651" s="76"/>
      <c r="G651" s="76" t="str">
        <f>"""NAV Direct"",""CRONUS JetCorp USA"",""32"",""1"",""166376"""</f>
        <v>"NAV Direct","CRONUS JetCorp USA","32","1","166376"</v>
      </c>
      <c r="H651" s="86">
        <v>43466</v>
      </c>
      <c r="I651" s="85">
        <v>166376</v>
      </c>
      <c r="J651" s="84" t="str">
        <f>"Vendor"</f>
        <v>Vendor</v>
      </c>
      <c r="K651" s="84" t="str">
        <f>"V100001"</f>
        <v>V100001</v>
      </c>
      <c r="L651" s="84" t="str">
        <f>IF($J651="Customer",_xll.NL("first",$J651,"Name","No.","@@"&amp;$K651),"")</f>
        <v/>
      </c>
      <c r="M651" s="84" t="str">
        <f>"Greigner, Inc."</f>
        <v>Greigner, Inc.</v>
      </c>
      <c r="N651" s="84" t="str">
        <f>IF($J651="Item",_xll.NL("first",$J651,"Description","No.","@@"&amp;$K651),"")</f>
        <v/>
      </c>
      <c r="O651" s="83">
        <v>2800</v>
      </c>
      <c r="P651" s="83">
        <v>0</v>
      </c>
      <c r="Q651" s="83">
        <v>0</v>
      </c>
      <c r="R651" s="83">
        <v>0</v>
      </c>
      <c r="S651" s="83">
        <v>0</v>
      </c>
      <c r="T651" s="83">
        <v>0</v>
      </c>
      <c r="U651" s="82"/>
    </row>
    <row r="652" spans="1:21" ht="17.25" customHeight="1" x14ac:dyDescent="0.3">
      <c r="A652" s="66" t="s">
        <v>30</v>
      </c>
      <c r="C652" s="67"/>
      <c r="D652" s="77" t="str">
        <f t="shared" ref="D652:D656" si="365">D651</f>
        <v>S100006</v>
      </c>
      <c r="E652" s="77"/>
      <c r="F652" s="76"/>
      <c r="G652" s="76" t="str">
        <f>"""NAV Direct"",""CRONUS JetCorp USA"",""32"",""1"",""20345"""</f>
        <v>"NAV Direct","CRONUS JetCorp USA","32","1","20345"</v>
      </c>
      <c r="H652" s="86">
        <v>43475</v>
      </c>
      <c r="I652" s="85">
        <v>20345</v>
      </c>
      <c r="J652" s="84" t="str">
        <f>"Customer"</f>
        <v>Customer</v>
      </c>
      <c r="K652" s="84" t="str">
        <f>"C100097"</f>
        <v>C100097</v>
      </c>
      <c r="L652" s="84" t="str">
        <f>IF($J652="Customer",_xll.NL("first",$J652,"Name","No.","@@"&amp;$K652),"")</f>
        <v>Solotech</v>
      </c>
      <c r="M652" s="84" t="str">
        <f>""</f>
        <v/>
      </c>
      <c r="N652" s="84" t="str">
        <f>IF($J652="Item",_xll.NL("first",$J652,"Description","No.","@@"&amp;$K652),"")</f>
        <v/>
      </c>
      <c r="O652" s="83">
        <v>0</v>
      </c>
      <c r="P652" s="83">
        <v>-288</v>
      </c>
      <c r="Q652" s="83">
        <v>0</v>
      </c>
      <c r="R652" s="83">
        <v>0</v>
      </c>
      <c r="S652" s="83">
        <v>0</v>
      </c>
      <c r="T652" s="83">
        <v>0</v>
      </c>
      <c r="U652" s="82"/>
    </row>
    <row r="653" spans="1:21" ht="17.25" customHeight="1" x14ac:dyDescent="0.3">
      <c r="A653" s="66" t="s">
        <v>30</v>
      </c>
      <c r="C653" s="67"/>
      <c r="D653" s="77" t="str">
        <f t="shared" si="365"/>
        <v>S100006</v>
      </c>
      <c r="E653" s="77"/>
      <c r="F653" s="76"/>
      <c r="G653" s="76" t="str">
        <f>"""NAV Direct"",""CRONUS JetCorp USA"",""32"",""1"",""128886"""</f>
        <v>"NAV Direct","CRONUS JetCorp USA","32","1","128886"</v>
      </c>
      <c r="H653" s="86">
        <v>43475</v>
      </c>
      <c r="I653" s="85">
        <v>128886</v>
      </c>
      <c r="J653" s="84" t="str">
        <f>"Customer"</f>
        <v>Customer</v>
      </c>
      <c r="K653" s="84" t="str">
        <f>"C100095"</f>
        <v>C100095</v>
      </c>
      <c r="L653" s="84" t="str">
        <f>IF($J653="Customer",_xll.NL("first",$J653,"Name","No.","@@"&amp;$K653),"")</f>
        <v>Randotax Outfitters</v>
      </c>
      <c r="M653" s="84" t="str">
        <f>""</f>
        <v/>
      </c>
      <c r="N653" s="84" t="str">
        <f>IF($J653="Item",_xll.NL("first",$J653,"Description","No.","@@"&amp;$K653),"")</f>
        <v/>
      </c>
      <c r="O653" s="83">
        <v>0</v>
      </c>
      <c r="P653" s="83">
        <v>-49</v>
      </c>
      <c r="Q653" s="83">
        <v>0</v>
      </c>
      <c r="R653" s="83">
        <v>0</v>
      </c>
      <c r="S653" s="83">
        <v>0</v>
      </c>
      <c r="T653" s="83">
        <v>0</v>
      </c>
      <c r="U653" s="82"/>
    </row>
    <row r="654" spans="1:21" ht="17.25" customHeight="1" x14ac:dyDescent="0.3">
      <c r="A654" s="66" t="s">
        <v>30</v>
      </c>
      <c r="C654" s="67"/>
      <c r="D654" s="77" t="str">
        <f t="shared" si="365"/>
        <v>S100006</v>
      </c>
      <c r="E654" s="77"/>
      <c r="F654" s="76"/>
      <c r="G654" s="76" t="str">
        <f>"""NAV Direct"",""CRONUS JetCorp USA"",""32"",""1"",""25264"""</f>
        <v>"NAV Direct","CRONUS JetCorp USA","32","1","25264"</v>
      </c>
      <c r="H654" s="86">
        <v>43476</v>
      </c>
      <c r="I654" s="85">
        <v>25264</v>
      </c>
      <c r="J654" s="84" t="str">
        <f>"Customer"</f>
        <v>Customer</v>
      </c>
      <c r="K654" s="84" t="str">
        <f>"C100102"</f>
        <v>C100102</v>
      </c>
      <c r="L654" s="84" t="str">
        <f>IF($J654="Customer",_xll.NL("first",$J654,"Name","No.","@@"&amp;$K654),"")</f>
        <v xml:space="preserve">BEI Outfitters </v>
      </c>
      <c r="M654" s="84" t="str">
        <f>""</f>
        <v/>
      </c>
      <c r="N654" s="84" t="str">
        <f>IF($J654="Item",_xll.NL("first",$J654,"Description","No.","@@"&amp;$K654),"")</f>
        <v/>
      </c>
      <c r="O654" s="83">
        <v>0</v>
      </c>
      <c r="P654" s="83">
        <v>-144</v>
      </c>
      <c r="Q654" s="83">
        <v>0</v>
      </c>
      <c r="R654" s="83">
        <v>0</v>
      </c>
      <c r="S654" s="83">
        <v>0</v>
      </c>
      <c r="T654" s="83">
        <v>0</v>
      </c>
      <c r="U654" s="82"/>
    </row>
    <row r="655" spans="1:21" ht="17.25" customHeight="1" x14ac:dyDescent="0.3">
      <c r="A655" s="66" t="s">
        <v>30</v>
      </c>
      <c r="C655" s="67"/>
      <c r="D655" s="77" t="str">
        <f t="shared" si="365"/>
        <v>S100006</v>
      </c>
      <c r="E655" s="77"/>
      <c r="F655" s="76"/>
      <c r="G655" s="76" t="str">
        <f>"""NAV Direct"",""CRONUS JetCorp USA"",""32"",""1"",""20398"""</f>
        <v>"NAV Direct","CRONUS JetCorp USA","32","1","20398"</v>
      </c>
      <c r="H655" s="86">
        <v>43477</v>
      </c>
      <c r="I655" s="85">
        <v>20398</v>
      </c>
      <c r="J655" s="84" t="str">
        <f>"Customer"</f>
        <v>Customer</v>
      </c>
      <c r="K655" s="84" t="str">
        <f>"C100039"</f>
        <v>C100039</v>
      </c>
      <c r="L655" s="84" t="str">
        <f>IF($J655="Customer",_xll.NL("first",$J655,"Name","No.","@@"&amp;$K655),"")</f>
        <v>Gary's Sports</v>
      </c>
      <c r="M655" s="84" t="str">
        <f>""</f>
        <v/>
      </c>
      <c r="N655" s="84" t="str">
        <f>IF($J655="Item",_xll.NL("first",$J655,"Description","No.","@@"&amp;$K655),"")</f>
        <v/>
      </c>
      <c r="O655" s="83">
        <v>0</v>
      </c>
      <c r="P655" s="83">
        <v>-150</v>
      </c>
      <c r="Q655" s="83">
        <v>0</v>
      </c>
      <c r="R655" s="83">
        <v>0</v>
      </c>
      <c r="S655" s="83">
        <v>0</v>
      </c>
      <c r="T655" s="83">
        <v>0</v>
      </c>
      <c r="U655" s="82"/>
    </row>
    <row r="656" spans="1:21" ht="17.25" customHeight="1" x14ac:dyDescent="0.3">
      <c r="A656" s="66" t="s">
        <v>30</v>
      </c>
      <c r="C656" s="67"/>
      <c r="D656" s="77" t="str">
        <f t="shared" si="365"/>
        <v>S100006</v>
      </c>
      <c r="E656" s="77"/>
      <c r="F656" s="76"/>
      <c r="G656" s="76" t="str">
        <f>"""NAV Direct"",""CRONUS JetCorp USA"",""32"",""1"",""25279"""</f>
        <v>"NAV Direct","CRONUS JetCorp USA","32","1","25279"</v>
      </c>
      <c r="H656" s="86">
        <v>43477</v>
      </c>
      <c r="I656" s="85">
        <v>25279</v>
      </c>
      <c r="J656" s="84" t="str">
        <f>"Customer"</f>
        <v>Customer</v>
      </c>
      <c r="K656" s="84" t="str">
        <f>"C100138"</f>
        <v>C100138</v>
      </c>
      <c r="L656" s="84" t="str">
        <f>IF($J656="Customer",_xll.NL("first",$J656,"Name","No.","@@"&amp;$K656),"")</f>
        <v>Dantons</v>
      </c>
      <c r="M656" s="84" t="str">
        <f>""</f>
        <v/>
      </c>
      <c r="N656" s="84" t="str">
        <f>IF($J656="Item",_xll.NL("first",$J656,"Description","No.","@@"&amp;$K656),"")</f>
        <v/>
      </c>
      <c r="O656" s="83">
        <v>0</v>
      </c>
      <c r="P656" s="83">
        <v>-288</v>
      </c>
      <c r="Q656" s="83">
        <v>0</v>
      </c>
      <c r="R656" s="83">
        <v>0</v>
      </c>
      <c r="S656" s="83">
        <v>0</v>
      </c>
      <c r="T656" s="83">
        <v>0</v>
      </c>
      <c r="U656" s="82"/>
    </row>
    <row r="657" spans="1:21" ht="17.25" customHeight="1" x14ac:dyDescent="0.3">
      <c r="A657" s="66" t="s">
        <v>30</v>
      </c>
      <c r="C657" s="67"/>
      <c r="D657" s="77"/>
      <c r="E657" s="77"/>
      <c r="F657" s="76"/>
      <c r="G657" s="76"/>
      <c r="H657" s="76"/>
      <c r="I657" s="76"/>
      <c r="J657" s="76"/>
      <c r="K657" s="76"/>
      <c r="L657" s="76"/>
      <c r="M657" s="76"/>
      <c r="N657" s="76"/>
      <c r="O657" s="75"/>
      <c r="P657" s="75"/>
      <c r="Q657" s="75"/>
      <c r="R657" s="75"/>
      <c r="S657" s="75"/>
      <c r="T657" s="75"/>
      <c r="U657" s="74"/>
    </row>
    <row r="658" spans="1:21" ht="17.25" customHeight="1" x14ac:dyDescent="0.3">
      <c r="A658" s="66" t="s">
        <v>30</v>
      </c>
      <c r="C658" s="67"/>
      <c r="D658" s="77"/>
      <c r="E658" s="77" t="s">
        <v>31</v>
      </c>
      <c r="F658" s="76" t="s">
        <v>31</v>
      </c>
      <c r="G658" s="76" t="s">
        <v>31</v>
      </c>
      <c r="H658" s="76"/>
      <c r="I658" s="76"/>
      <c r="J658" s="76" t="s">
        <v>31</v>
      </c>
      <c r="K658" s="76" t="s">
        <v>31</v>
      </c>
      <c r="L658" s="76" t="s">
        <v>31</v>
      </c>
      <c r="M658" s="76" t="s">
        <v>31</v>
      </c>
      <c r="N658" s="76"/>
      <c r="U658" s="81"/>
    </row>
    <row r="659" spans="1:21" ht="20.25" customHeight="1" x14ac:dyDescent="0.35">
      <c r="A659" s="66" t="s">
        <v>30</v>
      </c>
      <c r="C659" s="67"/>
      <c r="D659" s="92" t="str">
        <f t="shared" ref="D659" si="366">E659</f>
        <v>S100007</v>
      </c>
      <c r="E659" s="91" t="str">
        <f>"S100007"</f>
        <v>S100007</v>
      </c>
      <c r="F659" s="89" t="str">
        <f>"Baseball Figure Trophy"</f>
        <v>Baseball Figure Trophy</v>
      </c>
      <c r="G659" s="89"/>
      <c r="H659" s="90" t="str">
        <f>"EA"</f>
        <v>EA</v>
      </c>
      <c r="I659" s="89"/>
      <c r="J659" s="89"/>
      <c r="K659" s="89"/>
      <c r="L659" s="89"/>
      <c r="M659" s="89"/>
      <c r="N659" s="89"/>
      <c r="O659" s="88">
        <f>(SUBTOTAL(9,O660:O667))</f>
        <v>1400</v>
      </c>
      <c r="P659" s="88">
        <f>(SUBTOTAL(9,P660:P667))</f>
        <v>-589</v>
      </c>
      <c r="Q659" s="88">
        <f>(SUBTOTAL(9,Q660:Q667))</f>
        <v>0</v>
      </c>
      <c r="R659" s="88">
        <f>(SUBTOTAL(9,R660:R667))</f>
        <v>0</v>
      </c>
      <c r="S659" s="88">
        <f>(SUBTOTAL(9,S660:S667))</f>
        <v>0</v>
      </c>
      <c r="T659" s="88">
        <f>(SUBTOTAL(9,T660:T667))</f>
        <v>0</v>
      </c>
      <c r="U659" s="87">
        <f t="shared" ref="U659" si="367">SUBTOTAL(9,O660:T667)</f>
        <v>811</v>
      </c>
    </row>
    <row r="660" spans="1:21" ht="17.25" customHeight="1" x14ac:dyDescent="0.3">
      <c r="A660" s="66" t="s">
        <v>30</v>
      </c>
      <c r="C660" s="67"/>
      <c r="D660" s="77" t="str">
        <f t="shared" ref="D660" si="368">D659</f>
        <v>S100007</v>
      </c>
      <c r="E660" s="77"/>
      <c r="F660" s="76"/>
      <c r="G660" s="76" t="str">
        <f>"""NAV Direct"",""CRONUS JetCorp USA"",""32"",""1"",""166375"""</f>
        <v>"NAV Direct","CRONUS JetCorp USA","32","1","166375"</v>
      </c>
      <c r="H660" s="86">
        <v>43466</v>
      </c>
      <c r="I660" s="85">
        <v>166375</v>
      </c>
      <c r="J660" s="84" t="str">
        <f>"Vendor"</f>
        <v>Vendor</v>
      </c>
      <c r="K660" s="84" t="str">
        <f>"V100001"</f>
        <v>V100001</v>
      </c>
      <c r="L660" s="84" t="str">
        <f>IF($J660="Customer",_xll.NL("first",$J660,"Name","No.","@@"&amp;$K660),"")</f>
        <v/>
      </c>
      <c r="M660" s="84" t="str">
        <f>"Greigner, Inc."</f>
        <v>Greigner, Inc.</v>
      </c>
      <c r="N660" s="84" t="str">
        <f>IF($J660="Item",_xll.NL("first",$J660,"Description","No.","@@"&amp;$K660),"")</f>
        <v/>
      </c>
      <c r="O660" s="83">
        <v>1400</v>
      </c>
      <c r="P660" s="83">
        <v>0</v>
      </c>
      <c r="Q660" s="83">
        <v>0</v>
      </c>
      <c r="R660" s="83">
        <v>0</v>
      </c>
      <c r="S660" s="83">
        <v>0</v>
      </c>
      <c r="T660" s="83">
        <v>0</v>
      </c>
      <c r="U660" s="82"/>
    </row>
    <row r="661" spans="1:21" ht="17.25" customHeight="1" x14ac:dyDescent="0.3">
      <c r="A661" s="66" t="s">
        <v>30</v>
      </c>
      <c r="C661" s="67"/>
      <c r="D661" s="77" t="str">
        <f t="shared" ref="D661:D666" si="369">D660</f>
        <v>S100007</v>
      </c>
      <c r="E661" s="77"/>
      <c r="F661" s="76"/>
      <c r="G661" s="76" t="str">
        <f>"""NAV Direct"",""CRONUS JetCorp USA"",""32"",""1"",""20368"""</f>
        <v>"NAV Direct","CRONUS JetCorp USA","32","1","20368"</v>
      </c>
      <c r="H661" s="86">
        <v>43468</v>
      </c>
      <c r="I661" s="85">
        <v>20368</v>
      </c>
      <c r="J661" s="84" t="str">
        <f>"Customer"</f>
        <v>Customer</v>
      </c>
      <c r="K661" s="84" t="str">
        <f>"C100145"</f>
        <v>C100145</v>
      </c>
      <c r="L661" s="84" t="str">
        <f>IF($J661="Customer",_xll.NL("first",$J661,"Name","No.","@@"&amp;$K661),"")</f>
        <v>Dicon Industries</v>
      </c>
      <c r="M661" s="84" t="str">
        <f>""</f>
        <v/>
      </c>
      <c r="N661" s="84" t="str">
        <f>IF($J661="Item",_xll.NL("first",$J661,"Description","No.","@@"&amp;$K661),"")</f>
        <v/>
      </c>
      <c r="O661" s="83">
        <v>0</v>
      </c>
      <c r="P661" s="83">
        <v>-144</v>
      </c>
      <c r="Q661" s="83">
        <v>0</v>
      </c>
      <c r="R661" s="83">
        <v>0</v>
      </c>
      <c r="S661" s="83">
        <v>0</v>
      </c>
      <c r="T661" s="83">
        <v>0</v>
      </c>
      <c r="U661" s="82"/>
    </row>
    <row r="662" spans="1:21" ht="17.25" customHeight="1" x14ac:dyDescent="0.3">
      <c r="A662" s="66" t="s">
        <v>30</v>
      </c>
      <c r="C662" s="67"/>
      <c r="D662" s="77" t="str">
        <f t="shared" si="369"/>
        <v>S100007</v>
      </c>
      <c r="E662" s="77"/>
      <c r="F662" s="76"/>
      <c r="G662" s="76" t="str">
        <f>"""NAV Direct"",""CRONUS JetCorp USA"",""32"",""1"",""128859"""</f>
        <v>"NAV Direct","CRONUS JetCorp USA","32","1","128859"</v>
      </c>
      <c r="H662" s="86">
        <v>43471</v>
      </c>
      <c r="I662" s="85">
        <v>128859</v>
      </c>
      <c r="J662" s="84" t="str">
        <f>"Customer"</f>
        <v>Customer</v>
      </c>
      <c r="K662" s="84" t="str">
        <f>"C100138"</f>
        <v>C100138</v>
      </c>
      <c r="L662" s="84" t="str">
        <f>IF($J662="Customer",_xll.NL("first",$J662,"Name","No.","@@"&amp;$K662),"")</f>
        <v>Dantons</v>
      </c>
      <c r="M662" s="84" t="str">
        <f>""</f>
        <v/>
      </c>
      <c r="N662" s="84" t="str">
        <f>IF($J662="Item",_xll.NL("first",$J662,"Description","No.","@@"&amp;$K662),"")</f>
        <v/>
      </c>
      <c r="O662" s="83">
        <v>0</v>
      </c>
      <c r="P662" s="83">
        <v>-12</v>
      </c>
      <c r="Q662" s="83">
        <v>0</v>
      </c>
      <c r="R662" s="83">
        <v>0</v>
      </c>
      <c r="S662" s="83">
        <v>0</v>
      </c>
      <c r="T662" s="83">
        <v>0</v>
      </c>
      <c r="U662" s="82"/>
    </row>
    <row r="663" spans="1:21" ht="17.25" customHeight="1" x14ac:dyDescent="0.3">
      <c r="A663" s="66" t="s">
        <v>30</v>
      </c>
      <c r="C663" s="67"/>
      <c r="D663" s="77" t="str">
        <f t="shared" si="369"/>
        <v>S100007</v>
      </c>
      <c r="E663" s="77"/>
      <c r="F663" s="76"/>
      <c r="G663" s="76" t="str">
        <f>"""NAV Direct"",""CRONUS JetCorp USA"",""32"",""1"",""128869"""</f>
        <v>"NAV Direct","CRONUS JetCorp USA","32","1","128869"</v>
      </c>
      <c r="H663" s="86">
        <v>43472</v>
      </c>
      <c r="I663" s="85">
        <v>128869</v>
      </c>
      <c r="J663" s="84" t="str">
        <f>"Customer"</f>
        <v>Customer</v>
      </c>
      <c r="K663" s="84" t="str">
        <f>"C100105"</f>
        <v>C100105</v>
      </c>
      <c r="L663" s="84" t="str">
        <f>IF($J663="Customer",_xll.NL("first",$J663,"Name","No.","@@"&amp;$K663),"")</f>
        <v>Esystems</v>
      </c>
      <c r="M663" s="84" t="str">
        <f>""</f>
        <v/>
      </c>
      <c r="N663" s="84" t="str">
        <f>IF($J663="Item",_xll.NL("first",$J663,"Description","No.","@@"&amp;$K663),"")</f>
        <v/>
      </c>
      <c r="O663" s="83">
        <v>0</v>
      </c>
      <c r="P663" s="83">
        <v>-144</v>
      </c>
      <c r="Q663" s="83">
        <v>0</v>
      </c>
      <c r="R663" s="83">
        <v>0</v>
      </c>
      <c r="S663" s="83">
        <v>0</v>
      </c>
      <c r="T663" s="83">
        <v>0</v>
      </c>
      <c r="U663" s="82"/>
    </row>
    <row r="664" spans="1:21" ht="17.25" customHeight="1" x14ac:dyDescent="0.3">
      <c r="A664" s="66" t="s">
        <v>30</v>
      </c>
      <c r="C664" s="67"/>
      <c r="D664" s="77" t="str">
        <f t="shared" si="369"/>
        <v>S100007</v>
      </c>
      <c r="E664" s="77"/>
      <c r="F664" s="76"/>
      <c r="G664" s="76" t="str">
        <f>"""NAV Direct"",""CRONUS JetCorp USA"",""32"",""1"",""20353"""</f>
        <v>"NAV Direct","CRONUS JetCorp USA","32","1","20353"</v>
      </c>
      <c r="H664" s="86">
        <v>43475</v>
      </c>
      <c r="I664" s="85">
        <v>20353</v>
      </c>
      <c r="J664" s="84" t="str">
        <f>"Customer"</f>
        <v>Customer</v>
      </c>
      <c r="K664" s="84" t="str">
        <f>"C100097"</f>
        <v>C100097</v>
      </c>
      <c r="L664" s="84" t="str">
        <f>IF($J664="Customer",_xll.NL("first",$J664,"Name","No.","@@"&amp;$K664),"")</f>
        <v>Solotech</v>
      </c>
      <c r="M664" s="84" t="str">
        <f>""</f>
        <v/>
      </c>
      <c r="N664" s="84" t="str">
        <f>IF($J664="Item",_xll.NL("first",$J664,"Description","No.","@@"&amp;$K664),"")</f>
        <v/>
      </c>
      <c r="O664" s="83">
        <v>0</v>
      </c>
      <c r="P664" s="83">
        <v>-144</v>
      </c>
      <c r="Q664" s="83">
        <v>0</v>
      </c>
      <c r="R664" s="83">
        <v>0</v>
      </c>
      <c r="S664" s="83">
        <v>0</v>
      </c>
      <c r="T664" s="83">
        <v>0</v>
      </c>
      <c r="U664" s="82"/>
    </row>
    <row r="665" spans="1:21" ht="17.25" customHeight="1" x14ac:dyDescent="0.3">
      <c r="A665" s="66" t="s">
        <v>30</v>
      </c>
      <c r="C665" s="67"/>
      <c r="D665" s="77" t="str">
        <f t="shared" si="369"/>
        <v>S100007</v>
      </c>
      <c r="E665" s="77"/>
      <c r="F665" s="76"/>
      <c r="G665" s="76" t="str">
        <f>"""NAV Direct"",""CRONUS JetCorp USA"",""32"",""1"",""25277"""</f>
        <v>"NAV Direct","CRONUS JetCorp USA","32","1","25277"</v>
      </c>
      <c r="H665" s="86">
        <v>43476</v>
      </c>
      <c r="I665" s="85">
        <v>25277</v>
      </c>
      <c r="J665" s="84" t="str">
        <f>"Customer"</f>
        <v>Customer</v>
      </c>
      <c r="K665" s="84" t="str">
        <f>"C100102"</f>
        <v>C100102</v>
      </c>
      <c r="L665" s="84" t="str">
        <f>IF($J665="Customer",_xll.NL("first",$J665,"Name","No.","@@"&amp;$K665),"")</f>
        <v xml:space="preserve">BEI Outfitters </v>
      </c>
      <c r="M665" s="84" t="str">
        <f>""</f>
        <v/>
      </c>
      <c r="N665" s="84" t="str">
        <f>IF($J665="Item",_xll.NL("first",$J665,"Description","No.","@@"&amp;$K665),"")</f>
        <v/>
      </c>
      <c r="O665" s="83">
        <v>0</v>
      </c>
      <c r="P665" s="83">
        <v>-1</v>
      </c>
      <c r="Q665" s="83">
        <v>0</v>
      </c>
      <c r="R665" s="83">
        <v>0</v>
      </c>
      <c r="S665" s="83">
        <v>0</v>
      </c>
      <c r="T665" s="83">
        <v>0</v>
      </c>
      <c r="U665" s="82"/>
    </row>
    <row r="666" spans="1:21" ht="17.25" customHeight="1" x14ac:dyDescent="0.3">
      <c r="A666" s="66" t="s">
        <v>30</v>
      </c>
      <c r="C666" s="67"/>
      <c r="D666" s="77" t="str">
        <f t="shared" si="369"/>
        <v>S100007</v>
      </c>
      <c r="E666" s="77"/>
      <c r="F666" s="76"/>
      <c r="G666" s="76" t="str">
        <f>"""NAV Direct"",""CRONUS JetCorp USA"",""32"",""1"",""25285"""</f>
        <v>"NAV Direct","CRONUS JetCorp USA","32","1","25285"</v>
      </c>
      <c r="H666" s="86">
        <v>43477</v>
      </c>
      <c r="I666" s="85">
        <v>25285</v>
      </c>
      <c r="J666" s="84" t="str">
        <f>"Customer"</f>
        <v>Customer</v>
      </c>
      <c r="K666" s="84" t="str">
        <f>"C100138"</f>
        <v>C100138</v>
      </c>
      <c r="L666" s="84" t="str">
        <f>IF($J666="Customer",_xll.NL("first",$J666,"Name","No.","@@"&amp;$K666),"")</f>
        <v>Dantons</v>
      </c>
      <c r="M666" s="84" t="str">
        <f>""</f>
        <v/>
      </c>
      <c r="N666" s="84" t="str">
        <f>IF($J666="Item",_xll.NL("first",$J666,"Description","No.","@@"&amp;$K666),"")</f>
        <v/>
      </c>
      <c r="O666" s="83">
        <v>0</v>
      </c>
      <c r="P666" s="83">
        <v>-144</v>
      </c>
      <c r="Q666" s="83">
        <v>0</v>
      </c>
      <c r="R666" s="83">
        <v>0</v>
      </c>
      <c r="S666" s="83">
        <v>0</v>
      </c>
      <c r="T666" s="83">
        <v>0</v>
      </c>
      <c r="U666" s="82"/>
    </row>
    <row r="667" spans="1:21" ht="17.25" customHeight="1" x14ac:dyDescent="0.3">
      <c r="A667" s="66" t="s">
        <v>30</v>
      </c>
      <c r="C667" s="67"/>
      <c r="D667" s="77"/>
      <c r="E667" s="77"/>
      <c r="F667" s="76"/>
      <c r="G667" s="76"/>
      <c r="H667" s="76"/>
      <c r="I667" s="76"/>
      <c r="J667" s="76"/>
      <c r="K667" s="76"/>
      <c r="L667" s="76"/>
      <c r="M667" s="76"/>
      <c r="N667" s="76"/>
      <c r="O667" s="75"/>
      <c r="P667" s="75"/>
      <c r="Q667" s="75"/>
      <c r="R667" s="75"/>
      <c r="S667" s="75"/>
      <c r="T667" s="75"/>
      <c r="U667" s="74"/>
    </row>
    <row r="668" spans="1:21" ht="17.25" customHeight="1" x14ac:dyDescent="0.3">
      <c r="A668" s="66" t="s">
        <v>30</v>
      </c>
      <c r="C668" s="67"/>
      <c r="D668" s="77"/>
      <c r="E668" s="77" t="s">
        <v>31</v>
      </c>
      <c r="F668" s="76" t="s">
        <v>31</v>
      </c>
      <c r="G668" s="76" t="s">
        <v>31</v>
      </c>
      <c r="H668" s="76"/>
      <c r="I668" s="76"/>
      <c r="J668" s="76" t="s">
        <v>31</v>
      </c>
      <c r="K668" s="76" t="s">
        <v>31</v>
      </c>
      <c r="L668" s="76" t="s">
        <v>31</v>
      </c>
      <c r="M668" s="76" t="s">
        <v>31</v>
      </c>
      <c r="N668" s="76"/>
      <c r="U668" s="81"/>
    </row>
    <row r="669" spans="1:21" ht="20.25" customHeight="1" x14ac:dyDescent="0.35">
      <c r="A669" s="66" t="s">
        <v>30</v>
      </c>
      <c r="C669" s="67"/>
      <c r="D669" s="92" t="str">
        <f t="shared" ref="D669" si="370">E669</f>
        <v>S100008</v>
      </c>
      <c r="E669" s="91" t="str">
        <f>"S100008"</f>
        <v>S100008</v>
      </c>
      <c r="F669" s="89" t="str">
        <f>"Soccer Figure Trophy"</f>
        <v>Soccer Figure Trophy</v>
      </c>
      <c r="G669" s="89"/>
      <c r="H669" s="90" t="str">
        <f>"EA"</f>
        <v>EA</v>
      </c>
      <c r="I669" s="89"/>
      <c r="J669" s="89"/>
      <c r="K669" s="89"/>
      <c r="L669" s="89"/>
      <c r="M669" s="89"/>
      <c r="N669" s="89"/>
      <c r="O669" s="88">
        <f>(SUBTOTAL(9,O670:O678))</f>
        <v>2300</v>
      </c>
      <c r="P669" s="88">
        <f>(SUBTOTAL(9,P670:P678))</f>
        <v>-632</v>
      </c>
      <c r="Q669" s="88">
        <f>(SUBTOTAL(9,Q670:Q678))</f>
        <v>0</v>
      </c>
      <c r="R669" s="88">
        <f>(SUBTOTAL(9,R670:R678))</f>
        <v>0</v>
      </c>
      <c r="S669" s="88">
        <f>(SUBTOTAL(9,S670:S678))</f>
        <v>0</v>
      </c>
      <c r="T669" s="88">
        <f>(SUBTOTAL(9,T670:T678))</f>
        <v>0</v>
      </c>
      <c r="U669" s="87">
        <f t="shared" ref="U669" si="371">SUBTOTAL(9,O670:T678)</f>
        <v>1668</v>
      </c>
    </row>
    <row r="670" spans="1:21" ht="17.25" customHeight="1" x14ac:dyDescent="0.3">
      <c r="A670" s="66" t="s">
        <v>30</v>
      </c>
      <c r="C670" s="67"/>
      <c r="D670" s="77" t="str">
        <f t="shared" ref="D670" si="372">D669</f>
        <v>S100008</v>
      </c>
      <c r="E670" s="77"/>
      <c r="F670" s="76"/>
      <c r="G670" s="76" t="str">
        <f>"""NAV Direct"",""CRONUS JetCorp USA"",""32"",""1"",""166374"""</f>
        <v>"NAV Direct","CRONUS JetCorp USA","32","1","166374"</v>
      </c>
      <c r="H670" s="86">
        <v>43466</v>
      </c>
      <c r="I670" s="85">
        <v>166374</v>
      </c>
      <c r="J670" s="84" t="str">
        <f>"Vendor"</f>
        <v>Vendor</v>
      </c>
      <c r="K670" s="84" t="str">
        <f>"V100001"</f>
        <v>V100001</v>
      </c>
      <c r="L670" s="84" t="str">
        <f>IF($J670="Customer",_xll.NL("first",$J670,"Name","No.","@@"&amp;$K670),"")</f>
        <v/>
      </c>
      <c r="M670" s="84" t="str">
        <f>"Greigner, Inc."</f>
        <v>Greigner, Inc.</v>
      </c>
      <c r="N670" s="84" t="str">
        <f>IF($J670="Item",_xll.NL("first",$J670,"Description","No.","@@"&amp;$K670),"")</f>
        <v/>
      </c>
      <c r="O670" s="83">
        <v>2300</v>
      </c>
      <c r="P670" s="83">
        <v>0</v>
      </c>
      <c r="Q670" s="83">
        <v>0</v>
      </c>
      <c r="R670" s="83">
        <v>0</v>
      </c>
      <c r="S670" s="83">
        <v>0</v>
      </c>
      <c r="T670" s="83">
        <v>0</v>
      </c>
      <c r="U670" s="82"/>
    </row>
    <row r="671" spans="1:21" ht="17.25" customHeight="1" x14ac:dyDescent="0.3">
      <c r="A671" s="66" t="s">
        <v>30</v>
      </c>
      <c r="C671" s="67"/>
      <c r="D671" s="77" t="str">
        <f t="shared" ref="D671:D677" si="373">D670</f>
        <v>S100008</v>
      </c>
      <c r="E671" s="77"/>
      <c r="F671" s="76"/>
      <c r="G671" s="76" t="str">
        <f>"""NAV Direct"",""CRONUS JetCorp USA"",""32"",""1"",""128852"""</f>
        <v>"NAV Direct","CRONUS JetCorp USA","32","1","128852"</v>
      </c>
      <c r="H671" s="86">
        <v>43471</v>
      </c>
      <c r="I671" s="85">
        <v>128852</v>
      </c>
      <c r="J671" s="84" t="str">
        <f>"Customer"</f>
        <v>Customer</v>
      </c>
      <c r="K671" s="84" t="str">
        <f>"C100138"</f>
        <v>C100138</v>
      </c>
      <c r="L671" s="84" t="str">
        <f>IF($J671="Customer",_xll.NL("first",$J671,"Name","No.","@@"&amp;$K671),"")</f>
        <v>Dantons</v>
      </c>
      <c r="M671" s="84" t="str">
        <f>""</f>
        <v/>
      </c>
      <c r="N671" s="84" t="str">
        <f>IF($J671="Item",_xll.NL("first",$J671,"Description","No.","@@"&amp;$K671),"")</f>
        <v/>
      </c>
      <c r="O671" s="83">
        <v>0</v>
      </c>
      <c r="P671" s="83">
        <v>-150</v>
      </c>
      <c r="Q671" s="83">
        <v>0</v>
      </c>
      <c r="R671" s="83">
        <v>0</v>
      </c>
      <c r="S671" s="83">
        <v>0</v>
      </c>
      <c r="T671" s="83">
        <v>0</v>
      </c>
      <c r="U671" s="82"/>
    </row>
    <row r="672" spans="1:21" ht="17.25" customHeight="1" x14ac:dyDescent="0.3">
      <c r="A672" s="66" t="s">
        <v>30</v>
      </c>
      <c r="C672" s="67"/>
      <c r="D672" s="77" t="str">
        <f t="shared" si="373"/>
        <v>S100008</v>
      </c>
      <c r="E672" s="77"/>
      <c r="F672" s="76"/>
      <c r="G672" s="76" t="str">
        <f>"""NAV Direct"",""CRONUS JetCorp USA"",""32"",""1"",""128870"""</f>
        <v>"NAV Direct","CRONUS JetCorp USA","32","1","128870"</v>
      </c>
      <c r="H672" s="86">
        <v>43472</v>
      </c>
      <c r="I672" s="85">
        <v>128870</v>
      </c>
      <c r="J672" s="84" t="str">
        <f>"Customer"</f>
        <v>Customer</v>
      </c>
      <c r="K672" s="84" t="str">
        <f>"C100105"</f>
        <v>C100105</v>
      </c>
      <c r="L672" s="84" t="str">
        <f>IF($J672="Customer",_xll.NL("first",$J672,"Name","No.","@@"&amp;$K672),"")</f>
        <v>Esystems</v>
      </c>
      <c r="M672" s="84" t="str">
        <f>""</f>
        <v/>
      </c>
      <c r="N672" s="84" t="str">
        <f>IF($J672="Item",_xll.NL("first",$J672,"Description","No.","@@"&amp;$K672),"")</f>
        <v/>
      </c>
      <c r="O672" s="83">
        <v>0</v>
      </c>
      <c r="P672" s="83">
        <v>-144</v>
      </c>
      <c r="Q672" s="83">
        <v>0</v>
      </c>
      <c r="R672" s="83">
        <v>0</v>
      </c>
      <c r="S672" s="83">
        <v>0</v>
      </c>
      <c r="T672" s="83">
        <v>0</v>
      </c>
      <c r="U672" s="82"/>
    </row>
    <row r="673" spans="1:21" ht="17.25" customHeight="1" x14ac:dyDescent="0.3">
      <c r="A673" s="66" t="s">
        <v>30</v>
      </c>
      <c r="C673" s="67"/>
      <c r="D673" s="77" t="str">
        <f t="shared" si="373"/>
        <v>S100008</v>
      </c>
      <c r="E673" s="77"/>
      <c r="F673" s="76"/>
      <c r="G673" s="76" t="str">
        <f>"""NAV Direct"",""CRONUS JetCorp USA"",""32"",""1"",""20355"""</f>
        <v>"NAV Direct","CRONUS JetCorp USA","32","1","20355"</v>
      </c>
      <c r="H673" s="86">
        <v>43475</v>
      </c>
      <c r="I673" s="85">
        <v>20355</v>
      </c>
      <c r="J673" s="84" t="str">
        <f>"Customer"</f>
        <v>Customer</v>
      </c>
      <c r="K673" s="84" t="str">
        <f>"C100097"</f>
        <v>C100097</v>
      </c>
      <c r="L673" s="84" t="str">
        <f>IF($J673="Customer",_xll.NL("first",$J673,"Name","No.","@@"&amp;$K673),"")</f>
        <v>Solotech</v>
      </c>
      <c r="M673" s="84" t="str">
        <f>""</f>
        <v/>
      </c>
      <c r="N673" s="84" t="str">
        <f>IF($J673="Item",_xll.NL("first",$J673,"Description","No.","@@"&amp;$K673),"")</f>
        <v/>
      </c>
      <c r="O673" s="83">
        <v>0</v>
      </c>
      <c r="P673" s="83">
        <v>-144</v>
      </c>
      <c r="Q673" s="83">
        <v>0</v>
      </c>
      <c r="R673" s="83">
        <v>0</v>
      </c>
      <c r="S673" s="83">
        <v>0</v>
      </c>
      <c r="T673" s="83">
        <v>0</v>
      </c>
      <c r="U673" s="82"/>
    </row>
    <row r="674" spans="1:21" ht="17.25" customHeight="1" x14ac:dyDescent="0.3">
      <c r="A674" s="66" t="s">
        <v>30</v>
      </c>
      <c r="C674" s="67"/>
      <c r="D674" s="77" t="str">
        <f t="shared" si="373"/>
        <v>S100008</v>
      </c>
      <c r="E674" s="77"/>
      <c r="F674" s="76"/>
      <c r="G674" s="76" t="str">
        <f>"""NAV Direct"",""CRONUS JetCorp USA"",""32"",""1"",""128888"""</f>
        <v>"NAV Direct","CRONUS JetCorp USA","32","1","128888"</v>
      </c>
      <c r="H674" s="86">
        <v>43475</v>
      </c>
      <c r="I674" s="85">
        <v>128888</v>
      </c>
      <c r="J674" s="84" t="str">
        <f>"Customer"</f>
        <v>Customer</v>
      </c>
      <c r="K674" s="84" t="str">
        <f>"C100095"</f>
        <v>C100095</v>
      </c>
      <c r="L674" s="84" t="str">
        <f>IF($J674="Customer",_xll.NL("first",$J674,"Name","No.","@@"&amp;$K674),"")</f>
        <v>Randotax Outfitters</v>
      </c>
      <c r="M674" s="84" t="str">
        <f>""</f>
        <v/>
      </c>
      <c r="N674" s="84" t="str">
        <f>IF($J674="Item",_xll.NL("first",$J674,"Description","No.","@@"&amp;$K674),"")</f>
        <v/>
      </c>
      <c r="O674" s="83">
        <v>0</v>
      </c>
      <c r="P674" s="83">
        <v>-1</v>
      </c>
      <c r="Q674" s="83">
        <v>0</v>
      </c>
      <c r="R674" s="83">
        <v>0</v>
      </c>
      <c r="S674" s="83">
        <v>0</v>
      </c>
      <c r="T674" s="83">
        <v>0</v>
      </c>
      <c r="U674" s="82"/>
    </row>
    <row r="675" spans="1:21" ht="17.25" customHeight="1" x14ac:dyDescent="0.3">
      <c r="A675" s="66" t="s">
        <v>30</v>
      </c>
      <c r="C675" s="67"/>
      <c r="D675" s="77" t="str">
        <f t="shared" si="373"/>
        <v>S100008</v>
      </c>
      <c r="E675" s="77"/>
      <c r="F675" s="76"/>
      <c r="G675" s="76" t="str">
        <f>"""NAV Direct"",""CRONUS JetCorp USA"",""32"",""1"",""20402"""</f>
        <v>"NAV Direct","CRONUS JetCorp USA","32","1","20402"</v>
      </c>
      <c r="H675" s="86">
        <v>43477</v>
      </c>
      <c r="I675" s="85">
        <v>20402</v>
      </c>
      <c r="J675" s="84" t="str">
        <f>"Customer"</f>
        <v>Customer</v>
      </c>
      <c r="K675" s="84" t="str">
        <f>"C100039"</f>
        <v>C100039</v>
      </c>
      <c r="L675" s="84" t="str">
        <f>IF($J675="Customer",_xll.NL("first",$J675,"Name","No.","@@"&amp;$K675),"")</f>
        <v>Gary's Sports</v>
      </c>
      <c r="M675" s="84" t="str">
        <f>""</f>
        <v/>
      </c>
      <c r="N675" s="84" t="str">
        <f>IF($J675="Item",_xll.NL("first",$J675,"Description","No.","@@"&amp;$K675),"")</f>
        <v/>
      </c>
      <c r="O675" s="83">
        <v>0</v>
      </c>
      <c r="P675" s="83">
        <v>-144</v>
      </c>
      <c r="Q675" s="83">
        <v>0</v>
      </c>
      <c r="R675" s="83">
        <v>0</v>
      </c>
      <c r="S675" s="83">
        <v>0</v>
      </c>
      <c r="T675" s="83">
        <v>0</v>
      </c>
      <c r="U675" s="82"/>
    </row>
    <row r="676" spans="1:21" ht="17.25" customHeight="1" x14ac:dyDescent="0.3">
      <c r="A676" s="66" t="s">
        <v>30</v>
      </c>
      <c r="C676" s="67"/>
      <c r="D676" s="77" t="str">
        <f t="shared" si="373"/>
        <v>S100008</v>
      </c>
      <c r="E676" s="77"/>
      <c r="F676" s="76"/>
      <c r="G676" s="76" t="str">
        <f>"""NAV Direct"",""CRONUS JetCorp USA"",""32"",""1"",""25295"""</f>
        <v>"NAV Direct","CRONUS JetCorp USA","32","1","25295"</v>
      </c>
      <c r="H676" s="86">
        <v>43477</v>
      </c>
      <c r="I676" s="85">
        <v>25295</v>
      </c>
      <c r="J676" s="84" t="str">
        <f>"Customer"</f>
        <v>Customer</v>
      </c>
      <c r="K676" s="84" t="str">
        <f>"C100138"</f>
        <v>C100138</v>
      </c>
      <c r="L676" s="84" t="str">
        <f>IF($J676="Customer",_xll.NL("first",$J676,"Name","No.","@@"&amp;$K676),"")</f>
        <v>Dantons</v>
      </c>
      <c r="M676" s="84" t="str">
        <f>""</f>
        <v/>
      </c>
      <c r="N676" s="84" t="str">
        <f>IF($J676="Item",_xll.NL("first",$J676,"Description","No.","@@"&amp;$K676),"")</f>
        <v/>
      </c>
      <c r="O676" s="83">
        <v>0</v>
      </c>
      <c r="P676" s="83">
        <v>-48</v>
      </c>
      <c r="Q676" s="83">
        <v>0</v>
      </c>
      <c r="R676" s="83">
        <v>0</v>
      </c>
      <c r="S676" s="83">
        <v>0</v>
      </c>
      <c r="T676" s="83">
        <v>0</v>
      </c>
      <c r="U676" s="82"/>
    </row>
    <row r="677" spans="1:21" ht="17.25" customHeight="1" x14ac:dyDescent="0.3">
      <c r="A677" s="66" t="s">
        <v>30</v>
      </c>
      <c r="C677" s="67"/>
      <c r="D677" s="77" t="str">
        <f t="shared" si="373"/>
        <v>S100008</v>
      </c>
      <c r="E677" s="77"/>
      <c r="F677" s="76"/>
      <c r="G677" s="76" t="str">
        <f>"""NAV Direct"",""CRONUS JetCorp USA"",""32"",""1"",""132531"""</f>
        <v>"NAV Direct","CRONUS JetCorp USA","32","1","132531"</v>
      </c>
      <c r="H677" s="86">
        <v>43477</v>
      </c>
      <c r="I677" s="85">
        <v>132531</v>
      </c>
      <c r="J677" s="84" t="str">
        <f>"Customer"</f>
        <v>Customer</v>
      </c>
      <c r="K677" s="84" t="str">
        <f>"C100082"</f>
        <v>C100082</v>
      </c>
      <c r="L677" s="84" t="str">
        <f>IF($J677="Customer",_xll.NL("first",$J677,"Name","No.","@@"&amp;$K677),"")</f>
        <v>Sporting Goods Emporium</v>
      </c>
      <c r="M677" s="84" t="str">
        <f>""</f>
        <v/>
      </c>
      <c r="N677" s="84" t="str">
        <f>IF($J677="Item",_xll.NL("first",$J677,"Description","No.","@@"&amp;$K677),"")</f>
        <v/>
      </c>
      <c r="O677" s="83">
        <v>0</v>
      </c>
      <c r="P677" s="83">
        <v>-1</v>
      </c>
      <c r="Q677" s="83">
        <v>0</v>
      </c>
      <c r="R677" s="83">
        <v>0</v>
      </c>
      <c r="S677" s="83">
        <v>0</v>
      </c>
      <c r="T677" s="83">
        <v>0</v>
      </c>
      <c r="U677" s="82"/>
    </row>
    <row r="678" spans="1:21" ht="17.25" customHeight="1" x14ac:dyDescent="0.3">
      <c r="A678" s="66" t="s">
        <v>30</v>
      </c>
      <c r="C678" s="67"/>
      <c r="D678" s="77"/>
      <c r="E678" s="77"/>
      <c r="F678" s="76"/>
      <c r="G678" s="76"/>
      <c r="H678" s="76"/>
      <c r="I678" s="76"/>
      <c r="J678" s="76"/>
      <c r="K678" s="76"/>
      <c r="L678" s="76"/>
      <c r="M678" s="76"/>
      <c r="N678" s="76"/>
      <c r="O678" s="75"/>
      <c r="P678" s="75"/>
      <c r="Q678" s="75"/>
      <c r="R678" s="75"/>
      <c r="S678" s="75"/>
      <c r="T678" s="75"/>
      <c r="U678" s="74"/>
    </row>
    <row r="679" spans="1:21" ht="17.25" customHeight="1" x14ac:dyDescent="0.3">
      <c r="A679" s="66" t="s">
        <v>30</v>
      </c>
      <c r="C679" s="67"/>
      <c r="D679" s="77"/>
      <c r="E679" s="77" t="s">
        <v>31</v>
      </c>
      <c r="F679" s="76" t="s">
        <v>31</v>
      </c>
      <c r="G679" s="76" t="s">
        <v>31</v>
      </c>
      <c r="H679" s="76"/>
      <c r="I679" s="76"/>
      <c r="J679" s="76" t="s">
        <v>31</v>
      </c>
      <c r="K679" s="76" t="s">
        <v>31</v>
      </c>
      <c r="L679" s="76" t="s">
        <v>31</v>
      </c>
      <c r="M679" s="76" t="s">
        <v>31</v>
      </c>
      <c r="N679" s="76"/>
      <c r="U679" s="81"/>
    </row>
    <row r="680" spans="1:21" ht="20.25" customHeight="1" x14ac:dyDescent="0.35">
      <c r="A680" s="66" t="s">
        <v>30</v>
      </c>
      <c r="C680" s="67"/>
      <c r="D680" s="92" t="str">
        <f t="shared" ref="D680" si="374">E680</f>
        <v>S100009</v>
      </c>
      <c r="E680" s="91" t="str">
        <f>"S100009"</f>
        <v>S100009</v>
      </c>
      <c r="F680" s="89" t="str">
        <f>"Engraved Basketball Award"</f>
        <v>Engraved Basketball Award</v>
      </c>
      <c r="G680" s="89"/>
      <c r="H680" s="90" t="str">
        <f>"EA"</f>
        <v>EA</v>
      </c>
      <c r="I680" s="89"/>
      <c r="J680" s="89"/>
      <c r="K680" s="89"/>
      <c r="L680" s="89"/>
      <c r="M680" s="89"/>
      <c r="N680" s="89"/>
      <c r="O680" s="88">
        <f>(SUBTOTAL(9,O681:O687))</f>
        <v>1500</v>
      </c>
      <c r="P680" s="88">
        <f>(SUBTOTAL(9,P681:P687))</f>
        <v>-720</v>
      </c>
      <c r="Q680" s="88">
        <f>(SUBTOTAL(9,Q681:Q687))</f>
        <v>0</v>
      </c>
      <c r="R680" s="88">
        <f>(SUBTOTAL(9,R681:R687))</f>
        <v>0</v>
      </c>
      <c r="S680" s="88">
        <f>(SUBTOTAL(9,S681:S687))</f>
        <v>0</v>
      </c>
      <c r="T680" s="88">
        <f>(SUBTOTAL(9,T681:T687))</f>
        <v>0</v>
      </c>
      <c r="U680" s="87">
        <f t="shared" ref="U680" si="375">SUBTOTAL(9,O681:T687)</f>
        <v>780</v>
      </c>
    </row>
    <row r="681" spans="1:21" ht="17.25" customHeight="1" x14ac:dyDescent="0.3">
      <c r="A681" s="66" t="s">
        <v>30</v>
      </c>
      <c r="C681" s="67"/>
      <c r="D681" s="77" t="str">
        <f t="shared" ref="D681" si="376">D680</f>
        <v>S100009</v>
      </c>
      <c r="E681" s="77"/>
      <c r="F681" s="76"/>
      <c r="G681" s="76" t="str">
        <f>"""NAV Direct"",""CRONUS JetCorp USA"",""32"",""1"",""166373"""</f>
        <v>"NAV Direct","CRONUS JetCorp USA","32","1","166373"</v>
      </c>
      <c r="H681" s="86">
        <v>43466</v>
      </c>
      <c r="I681" s="85">
        <v>166373</v>
      </c>
      <c r="J681" s="84" t="str">
        <f>"Vendor"</f>
        <v>Vendor</v>
      </c>
      <c r="K681" s="84" t="str">
        <f>"V100001"</f>
        <v>V100001</v>
      </c>
      <c r="L681" s="84" t="str">
        <f>IF($J681="Customer",_xll.NL("first",$J681,"Name","No.","@@"&amp;$K681),"")</f>
        <v/>
      </c>
      <c r="M681" s="84" t="str">
        <f>"Greigner, Inc."</f>
        <v>Greigner, Inc.</v>
      </c>
      <c r="N681" s="84" t="str">
        <f>IF($J681="Item",_xll.NL("first",$J681,"Description","No.","@@"&amp;$K681),"")</f>
        <v/>
      </c>
      <c r="O681" s="83">
        <v>1500</v>
      </c>
      <c r="P681" s="83">
        <v>0</v>
      </c>
      <c r="Q681" s="83">
        <v>0</v>
      </c>
      <c r="R681" s="83">
        <v>0</v>
      </c>
      <c r="S681" s="83">
        <v>0</v>
      </c>
      <c r="T681" s="83">
        <v>0</v>
      </c>
      <c r="U681" s="82"/>
    </row>
    <row r="682" spans="1:21" ht="17.25" customHeight="1" x14ac:dyDescent="0.3">
      <c r="A682" s="66" t="s">
        <v>30</v>
      </c>
      <c r="C682" s="67"/>
      <c r="D682" s="77" t="str">
        <f t="shared" ref="D682:D686" si="377">D681</f>
        <v>S100009</v>
      </c>
      <c r="E682" s="77"/>
      <c r="F682" s="76"/>
      <c r="G682" s="76" t="str">
        <f>"""NAV Direct"",""CRONUS JetCorp USA"",""32"",""1"",""25234"""</f>
        <v>"NAV Direct","CRONUS JetCorp USA","32","1","25234"</v>
      </c>
      <c r="H682" s="86">
        <v>43471</v>
      </c>
      <c r="I682" s="85">
        <v>25234</v>
      </c>
      <c r="J682" s="84" t="str">
        <f>"Customer"</f>
        <v>Customer</v>
      </c>
      <c r="K682" s="84" t="str">
        <f>"C100102"</f>
        <v>C100102</v>
      </c>
      <c r="L682" s="84" t="str">
        <f>IF($J682="Customer",_xll.NL("first",$J682,"Name","No.","@@"&amp;$K682),"")</f>
        <v xml:space="preserve">BEI Outfitters </v>
      </c>
      <c r="M682" s="84" t="str">
        <f>""</f>
        <v/>
      </c>
      <c r="N682" s="84" t="str">
        <f>IF($J682="Item",_xll.NL("first",$J682,"Description","No.","@@"&amp;$K682),"")</f>
        <v/>
      </c>
      <c r="O682" s="83">
        <v>0</v>
      </c>
      <c r="P682" s="83">
        <v>-144</v>
      </c>
      <c r="Q682" s="83">
        <v>0</v>
      </c>
      <c r="R682" s="83">
        <v>0</v>
      </c>
      <c r="S682" s="83">
        <v>0</v>
      </c>
      <c r="T682" s="83">
        <v>0</v>
      </c>
      <c r="U682" s="82"/>
    </row>
    <row r="683" spans="1:21" ht="17.25" customHeight="1" x14ac:dyDescent="0.3">
      <c r="A683" s="66" t="s">
        <v>30</v>
      </c>
      <c r="C683" s="67"/>
      <c r="D683" s="77" t="str">
        <f t="shared" si="377"/>
        <v>S100009</v>
      </c>
      <c r="E683" s="77"/>
      <c r="F683" s="76"/>
      <c r="G683" s="76" t="str">
        <f>"""NAV Direct"",""CRONUS JetCorp USA"",""32"",""1"",""128861"""</f>
        <v>"NAV Direct","CRONUS JetCorp USA","32","1","128861"</v>
      </c>
      <c r="H683" s="86">
        <v>43472</v>
      </c>
      <c r="I683" s="85">
        <v>128861</v>
      </c>
      <c r="J683" s="84" t="str">
        <f>"Customer"</f>
        <v>Customer</v>
      </c>
      <c r="K683" s="84" t="str">
        <f>"C100105"</f>
        <v>C100105</v>
      </c>
      <c r="L683" s="84" t="str">
        <f>IF($J683="Customer",_xll.NL("first",$J683,"Name","No.","@@"&amp;$K683),"")</f>
        <v>Esystems</v>
      </c>
      <c r="M683" s="84" t="str">
        <f>""</f>
        <v/>
      </c>
      <c r="N683" s="84" t="str">
        <f>IF($J683="Item",_xll.NL("first",$J683,"Description","No.","@@"&amp;$K683),"")</f>
        <v/>
      </c>
      <c r="O683" s="83">
        <v>0</v>
      </c>
      <c r="P683" s="83">
        <v>-144</v>
      </c>
      <c r="Q683" s="83">
        <v>0</v>
      </c>
      <c r="R683" s="83">
        <v>0</v>
      </c>
      <c r="S683" s="83">
        <v>0</v>
      </c>
      <c r="T683" s="83">
        <v>0</v>
      </c>
      <c r="U683" s="82"/>
    </row>
    <row r="684" spans="1:21" ht="17.25" customHeight="1" x14ac:dyDescent="0.3">
      <c r="A684" s="66" t="s">
        <v>30</v>
      </c>
      <c r="C684" s="67"/>
      <c r="D684" s="77" t="str">
        <f t="shared" si="377"/>
        <v>S100009</v>
      </c>
      <c r="E684" s="77"/>
      <c r="F684" s="76"/>
      <c r="G684" s="76" t="str">
        <f>"""NAV Direct"",""CRONUS JetCorp USA"",""32"",""1"",""124522"""</f>
        <v>"NAV Direct","CRONUS JetCorp USA","32","1","124522"</v>
      </c>
      <c r="H684" s="86">
        <v>43474</v>
      </c>
      <c r="I684" s="85">
        <v>124522</v>
      </c>
      <c r="J684" s="84" t="str">
        <f>"Customer"</f>
        <v>Customer</v>
      </c>
      <c r="K684" s="84" t="str">
        <f>"C100145"</f>
        <v>C100145</v>
      </c>
      <c r="L684" s="84" t="str">
        <f>IF($J684="Customer",_xll.NL("first",$J684,"Name","No.","@@"&amp;$K684),"")</f>
        <v>Dicon Industries</v>
      </c>
      <c r="M684" s="84" t="str">
        <f>""</f>
        <v/>
      </c>
      <c r="N684" s="84" t="str">
        <f>IF($J684="Item",_xll.NL("first",$J684,"Description","No.","@@"&amp;$K684),"")</f>
        <v/>
      </c>
      <c r="O684" s="83">
        <v>0</v>
      </c>
      <c r="P684" s="83">
        <v>-144</v>
      </c>
      <c r="Q684" s="83">
        <v>0</v>
      </c>
      <c r="R684" s="83">
        <v>0</v>
      </c>
      <c r="S684" s="83">
        <v>0</v>
      </c>
      <c r="T684" s="83">
        <v>0</v>
      </c>
      <c r="U684" s="82"/>
    </row>
    <row r="685" spans="1:21" ht="17.25" customHeight="1" x14ac:dyDescent="0.3">
      <c r="A685" s="66" t="s">
        <v>30</v>
      </c>
      <c r="C685" s="67"/>
      <c r="D685" s="77" t="str">
        <f t="shared" si="377"/>
        <v>S100009</v>
      </c>
      <c r="E685" s="77"/>
      <c r="F685" s="76"/>
      <c r="G685" s="76" t="str">
        <f>"""NAV Direct"",""CRONUS JetCorp USA"",""32"",""1"",""20397"""</f>
        <v>"NAV Direct","CRONUS JetCorp USA","32","1","20397"</v>
      </c>
      <c r="H685" s="86">
        <v>43477</v>
      </c>
      <c r="I685" s="85">
        <v>20397</v>
      </c>
      <c r="J685" s="84" t="str">
        <f>"Customer"</f>
        <v>Customer</v>
      </c>
      <c r="K685" s="84" t="str">
        <f>"C100039"</f>
        <v>C100039</v>
      </c>
      <c r="L685" s="84" t="str">
        <f>IF($J685="Customer",_xll.NL("first",$J685,"Name","No.","@@"&amp;$K685),"")</f>
        <v>Gary's Sports</v>
      </c>
      <c r="M685" s="84" t="str">
        <f>""</f>
        <v/>
      </c>
      <c r="N685" s="84" t="str">
        <f>IF($J685="Item",_xll.NL("first",$J685,"Description","No.","@@"&amp;$K685),"")</f>
        <v/>
      </c>
      <c r="O685" s="83">
        <v>0</v>
      </c>
      <c r="P685" s="83">
        <v>-144</v>
      </c>
      <c r="Q685" s="83">
        <v>0</v>
      </c>
      <c r="R685" s="83">
        <v>0</v>
      </c>
      <c r="S685" s="83">
        <v>0</v>
      </c>
      <c r="T685" s="83">
        <v>0</v>
      </c>
      <c r="U685" s="82"/>
    </row>
    <row r="686" spans="1:21" ht="17.25" customHeight="1" x14ac:dyDescent="0.3">
      <c r="A686" s="66" t="s">
        <v>30</v>
      </c>
      <c r="C686" s="67"/>
      <c r="D686" s="77" t="str">
        <f t="shared" si="377"/>
        <v>S100009</v>
      </c>
      <c r="E686" s="77"/>
      <c r="F686" s="76"/>
      <c r="G686" s="76" t="str">
        <f>"""NAV Direct"",""CRONUS JetCorp USA"",""32"",""1"",""25280"""</f>
        <v>"NAV Direct","CRONUS JetCorp USA","32","1","25280"</v>
      </c>
      <c r="H686" s="86">
        <v>43477</v>
      </c>
      <c r="I686" s="85">
        <v>25280</v>
      </c>
      <c r="J686" s="84" t="str">
        <f>"Customer"</f>
        <v>Customer</v>
      </c>
      <c r="K686" s="84" t="str">
        <f>"C100138"</f>
        <v>C100138</v>
      </c>
      <c r="L686" s="84" t="str">
        <f>IF($J686="Customer",_xll.NL("first",$J686,"Name","No.","@@"&amp;$K686),"")</f>
        <v>Dantons</v>
      </c>
      <c r="M686" s="84" t="str">
        <f>""</f>
        <v/>
      </c>
      <c r="N686" s="84" t="str">
        <f>IF($J686="Item",_xll.NL("first",$J686,"Description","No.","@@"&amp;$K686),"")</f>
        <v/>
      </c>
      <c r="O686" s="83">
        <v>0</v>
      </c>
      <c r="P686" s="83">
        <v>-144</v>
      </c>
      <c r="Q686" s="83">
        <v>0</v>
      </c>
      <c r="R686" s="83">
        <v>0</v>
      </c>
      <c r="S686" s="83">
        <v>0</v>
      </c>
      <c r="T686" s="83">
        <v>0</v>
      </c>
      <c r="U686" s="82"/>
    </row>
    <row r="687" spans="1:21" ht="17.25" customHeight="1" x14ac:dyDescent="0.3">
      <c r="A687" s="66" t="s">
        <v>30</v>
      </c>
      <c r="C687" s="67"/>
      <c r="D687" s="77"/>
      <c r="E687" s="77"/>
      <c r="F687" s="76"/>
      <c r="G687" s="76"/>
      <c r="H687" s="76"/>
      <c r="I687" s="76"/>
      <c r="J687" s="76"/>
      <c r="K687" s="76"/>
      <c r="L687" s="76"/>
      <c r="M687" s="76"/>
      <c r="N687" s="76"/>
      <c r="O687" s="75"/>
      <c r="P687" s="75"/>
      <c r="Q687" s="75"/>
      <c r="R687" s="75"/>
      <c r="S687" s="75"/>
      <c r="T687" s="75"/>
      <c r="U687" s="74"/>
    </row>
    <row r="688" spans="1:21" ht="17.25" customHeight="1" x14ac:dyDescent="0.3">
      <c r="A688" s="66" t="s">
        <v>30</v>
      </c>
      <c r="C688" s="67"/>
      <c r="D688" s="77"/>
      <c r="E688" s="77" t="s">
        <v>31</v>
      </c>
      <c r="F688" s="76" t="s">
        <v>31</v>
      </c>
      <c r="G688" s="76" t="s">
        <v>31</v>
      </c>
      <c r="H688" s="76"/>
      <c r="I688" s="76"/>
      <c r="J688" s="76" t="s">
        <v>31</v>
      </c>
      <c r="K688" s="76" t="s">
        <v>31</v>
      </c>
      <c r="L688" s="76" t="s">
        <v>31</v>
      </c>
      <c r="M688" s="76" t="s">
        <v>31</v>
      </c>
      <c r="N688" s="76"/>
      <c r="U688" s="81"/>
    </row>
    <row r="689" spans="1:21" ht="20.25" customHeight="1" x14ac:dyDescent="0.35">
      <c r="A689" s="66" t="s">
        <v>30</v>
      </c>
      <c r="C689" s="67"/>
      <c r="D689" s="92" t="str">
        <f t="shared" ref="D689" si="378">E689</f>
        <v>S100010</v>
      </c>
      <c r="E689" s="91" t="str">
        <f>"S100010"</f>
        <v>S100010</v>
      </c>
      <c r="F689" s="89" t="str">
        <f>"Golf Relaxed Cap"</f>
        <v>Golf Relaxed Cap</v>
      </c>
      <c r="G689" s="89"/>
      <c r="H689" s="90" t="str">
        <f>"EA"</f>
        <v>EA</v>
      </c>
      <c r="I689" s="89"/>
      <c r="J689" s="89"/>
      <c r="K689" s="89"/>
      <c r="L689" s="89"/>
      <c r="M689" s="89"/>
      <c r="N689" s="89"/>
      <c r="O689" s="88">
        <f>(SUBTOTAL(9,O690:O696))</f>
        <v>2400</v>
      </c>
      <c r="P689" s="88">
        <f>(SUBTOTAL(9,P690:P696))</f>
        <v>-721</v>
      </c>
      <c r="Q689" s="88">
        <f>(SUBTOTAL(9,Q690:Q696))</f>
        <v>0</v>
      </c>
      <c r="R689" s="88">
        <f>(SUBTOTAL(9,R690:R696))</f>
        <v>0</v>
      </c>
      <c r="S689" s="88">
        <f>(SUBTOTAL(9,S690:S696))</f>
        <v>0</v>
      </c>
      <c r="T689" s="88">
        <f>(SUBTOTAL(9,T690:T696))</f>
        <v>0</v>
      </c>
      <c r="U689" s="87">
        <f t="shared" ref="U689" si="379">SUBTOTAL(9,O690:T696)</f>
        <v>1679</v>
      </c>
    </row>
    <row r="690" spans="1:21" ht="17.25" customHeight="1" x14ac:dyDescent="0.3">
      <c r="A690" s="66" t="s">
        <v>30</v>
      </c>
      <c r="C690" s="67"/>
      <c r="D690" s="77" t="str">
        <f t="shared" ref="D690" si="380">D689</f>
        <v>S100010</v>
      </c>
      <c r="E690" s="77"/>
      <c r="F690" s="76"/>
      <c r="G690" s="76" t="str">
        <f>"""NAV Direct"",""CRONUS JetCorp USA"",""32"",""1"",""167135"""</f>
        <v>"NAV Direct","CRONUS JetCorp USA","32","1","167135"</v>
      </c>
      <c r="H690" s="86">
        <v>43466</v>
      </c>
      <c r="I690" s="85">
        <v>167135</v>
      </c>
      <c r="J690" s="84" t="str">
        <f>"Vendor"</f>
        <v>Vendor</v>
      </c>
      <c r="K690" s="84" t="str">
        <f>"V100001"</f>
        <v>V100001</v>
      </c>
      <c r="L690" s="84" t="str">
        <f>IF($J690="Customer",_xll.NL("first",$J690,"Name","No.","@@"&amp;$K690),"")</f>
        <v/>
      </c>
      <c r="M690" s="84" t="str">
        <f>"Greigner, Inc."</f>
        <v>Greigner, Inc.</v>
      </c>
      <c r="N690" s="84" t="str">
        <f>IF($J690="Item",_xll.NL("first",$J690,"Description","No.","@@"&amp;$K690),"")</f>
        <v/>
      </c>
      <c r="O690" s="83">
        <v>2400</v>
      </c>
      <c r="P690" s="83">
        <v>0</v>
      </c>
      <c r="Q690" s="83">
        <v>0</v>
      </c>
      <c r="R690" s="83">
        <v>0</v>
      </c>
      <c r="S690" s="83">
        <v>0</v>
      </c>
      <c r="T690" s="83">
        <v>0</v>
      </c>
      <c r="U690" s="82"/>
    </row>
    <row r="691" spans="1:21" ht="17.25" customHeight="1" x14ac:dyDescent="0.3">
      <c r="A691" s="66" t="s">
        <v>30</v>
      </c>
      <c r="C691" s="67"/>
      <c r="D691" s="77" t="str">
        <f t="shared" ref="D691:D695" si="381">D690</f>
        <v>S100010</v>
      </c>
      <c r="E691" s="77"/>
      <c r="F691" s="76"/>
      <c r="G691" s="76" t="str">
        <f>"""NAV Direct"",""CRONUS JetCorp USA"",""32"",""1"",""25236"""</f>
        <v>"NAV Direct","CRONUS JetCorp USA","32","1","25236"</v>
      </c>
      <c r="H691" s="86">
        <v>43471</v>
      </c>
      <c r="I691" s="85">
        <v>25236</v>
      </c>
      <c r="J691" s="84" t="str">
        <f>"Customer"</f>
        <v>Customer</v>
      </c>
      <c r="K691" s="84" t="str">
        <f>"C100102"</f>
        <v>C100102</v>
      </c>
      <c r="L691" s="84" t="str">
        <f>IF($J691="Customer",_xll.NL("first",$J691,"Name","No.","@@"&amp;$K691),"")</f>
        <v xml:space="preserve">BEI Outfitters </v>
      </c>
      <c r="M691" s="84" t="str">
        <f>""</f>
        <v/>
      </c>
      <c r="N691" s="84" t="str">
        <f>IF($J691="Item",_xll.NL("first",$J691,"Description","No.","@@"&amp;$K691),"")</f>
        <v/>
      </c>
      <c r="O691" s="83">
        <v>0</v>
      </c>
      <c r="P691" s="83">
        <v>-144</v>
      </c>
      <c r="Q691" s="83">
        <v>0</v>
      </c>
      <c r="R691" s="83">
        <v>0</v>
      </c>
      <c r="S691" s="83">
        <v>0</v>
      </c>
      <c r="T691" s="83">
        <v>0</v>
      </c>
      <c r="U691" s="82"/>
    </row>
    <row r="692" spans="1:21" ht="17.25" customHeight="1" x14ac:dyDescent="0.3">
      <c r="A692" s="66" t="s">
        <v>30</v>
      </c>
      <c r="C692" s="67"/>
      <c r="D692" s="77" t="str">
        <f t="shared" si="381"/>
        <v>S100010</v>
      </c>
      <c r="E692" s="77"/>
      <c r="F692" s="76"/>
      <c r="G692" s="76" t="str">
        <f>"""NAV Direct"",""CRONUS JetCorp USA"",""32"",""1"",""20333"""</f>
        <v>"NAV Direct","CRONUS JetCorp USA","32","1","20333"</v>
      </c>
      <c r="H692" s="86">
        <v>43472</v>
      </c>
      <c r="I692" s="85">
        <v>20333</v>
      </c>
      <c r="J692" s="84" t="str">
        <f>"Customer"</f>
        <v>Customer</v>
      </c>
      <c r="K692" s="84" t="str">
        <f>"C100145"</f>
        <v>C100145</v>
      </c>
      <c r="L692" s="84" t="str">
        <f>IF($J692="Customer",_xll.NL("first",$J692,"Name","No.","@@"&amp;$K692),"")</f>
        <v>Dicon Industries</v>
      </c>
      <c r="M692" s="84" t="str">
        <f>""</f>
        <v/>
      </c>
      <c r="N692" s="84" t="str">
        <f>IF($J692="Item",_xll.NL("first",$J692,"Description","No.","@@"&amp;$K692),"")</f>
        <v/>
      </c>
      <c r="O692" s="83">
        <v>0</v>
      </c>
      <c r="P692" s="83">
        <v>-144</v>
      </c>
      <c r="Q692" s="83">
        <v>0</v>
      </c>
      <c r="R692" s="83">
        <v>0</v>
      </c>
      <c r="S692" s="83">
        <v>0</v>
      </c>
      <c r="T692" s="83">
        <v>0</v>
      </c>
      <c r="U692" s="82"/>
    </row>
    <row r="693" spans="1:21" ht="17.25" customHeight="1" x14ac:dyDescent="0.3">
      <c r="A693" s="66" t="s">
        <v>30</v>
      </c>
      <c r="C693" s="67"/>
      <c r="D693" s="77" t="str">
        <f t="shared" si="381"/>
        <v>S100010</v>
      </c>
      <c r="E693" s="77"/>
      <c r="F693" s="76"/>
      <c r="G693" s="76" t="str">
        <f>"""NAV Direct"",""CRONUS JetCorp USA"",""32"",""1"",""20350"""</f>
        <v>"NAV Direct","CRONUS JetCorp USA","32","1","20350"</v>
      </c>
      <c r="H693" s="86">
        <v>43475</v>
      </c>
      <c r="I693" s="85">
        <v>20350</v>
      </c>
      <c r="J693" s="84" t="str">
        <f>"Customer"</f>
        <v>Customer</v>
      </c>
      <c r="K693" s="84" t="str">
        <f>"C100097"</f>
        <v>C100097</v>
      </c>
      <c r="L693" s="84" t="str">
        <f>IF($J693="Customer",_xll.NL("first",$J693,"Name","No.","@@"&amp;$K693),"")</f>
        <v>Solotech</v>
      </c>
      <c r="M693" s="84" t="str">
        <f>""</f>
        <v/>
      </c>
      <c r="N693" s="84" t="str">
        <f>IF($J693="Item",_xll.NL("first",$J693,"Description","No.","@@"&amp;$K693),"")</f>
        <v/>
      </c>
      <c r="O693" s="83">
        <v>0</v>
      </c>
      <c r="P693" s="83">
        <v>-144</v>
      </c>
      <c r="Q693" s="83">
        <v>0</v>
      </c>
      <c r="R693" s="83">
        <v>0</v>
      </c>
      <c r="S693" s="83">
        <v>0</v>
      </c>
      <c r="T693" s="83">
        <v>0</v>
      </c>
      <c r="U693" s="82"/>
    </row>
    <row r="694" spans="1:21" ht="17.25" customHeight="1" x14ac:dyDescent="0.3">
      <c r="A694" s="66" t="s">
        <v>30</v>
      </c>
      <c r="C694" s="67"/>
      <c r="D694" s="77" t="str">
        <f t="shared" si="381"/>
        <v>S100010</v>
      </c>
      <c r="E694" s="77"/>
      <c r="F694" s="76"/>
      <c r="G694" s="76" t="str">
        <f>"""NAV Direct"",""CRONUS JetCorp USA"",""32"",""1"",""20399"""</f>
        <v>"NAV Direct","CRONUS JetCorp USA","32","1","20399"</v>
      </c>
      <c r="H694" s="86">
        <v>43477</v>
      </c>
      <c r="I694" s="85">
        <v>20399</v>
      </c>
      <c r="J694" s="84" t="str">
        <f>"Customer"</f>
        <v>Customer</v>
      </c>
      <c r="K694" s="84" t="str">
        <f>"C100039"</f>
        <v>C100039</v>
      </c>
      <c r="L694" s="84" t="str">
        <f>IF($J694="Customer",_xll.NL("first",$J694,"Name","No.","@@"&amp;$K694),"")</f>
        <v>Gary's Sports</v>
      </c>
      <c r="M694" s="84" t="str">
        <f>""</f>
        <v/>
      </c>
      <c r="N694" s="84" t="str">
        <f>IF($J694="Item",_xll.NL("first",$J694,"Description","No.","@@"&amp;$K694),"")</f>
        <v/>
      </c>
      <c r="O694" s="83">
        <v>0</v>
      </c>
      <c r="P694" s="83">
        <v>-144</v>
      </c>
      <c r="Q694" s="83">
        <v>0</v>
      </c>
      <c r="R694" s="83">
        <v>0</v>
      </c>
      <c r="S694" s="83">
        <v>0</v>
      </c>
      <c r="T694" s="83">
        <v>0</v>
      </c>
      <c r="U694" s="82"/>
    </row>
    <row r="695" spans="1:21" ht="17.25" customHeight="1" x14ac:dyDescent="0.3">
      <c r="A695" s="66" t="s">
        <v>30</v>
      </c>
      <c r="C695" s="67"/>
      <c r="D695" s="77" t="str">
        <f t="shared" si="381"/>
        <v>S100010</v>
      </c>
      <c r="E695" s="77"/>
      <c r="F695" s="76"/>
      <c r="G695" s="76" t="str">
        <f>"""NAV Direct"",""CRONUS JetCorp USA"",""32"",""1"",""25283"""</f>
        <v>"NAV Direct","CRONUS JetCorp USA","32","1","25283"</v>
      </c>
      <c r="H695" s="86">
        <v>43477</v>
      </c>
      <c r="I695" s="85">
        <v>25283</v>
      </c>
      <c r="J695" s="84" t="str">
        <f>"Customer"</f>
        <v>Customer</v>
      </c>
      <c r="K695" s="84" t="str">
        <f>"C100138"</f>
        <v>C100138</v>
      </c>
      <c r="L695" s="84" t="str">
        <f>IF($J695="Customer",_xll.NL("first",$J695,"Name","No.","@@"&amp;$K695),"")</f>
        <v>Dantons</v>
      </c>
      <c r="M695" s="84" t="str">
        <f>""</f>
        <v/>
      </c>
      <c r="N695" s="84" t="str">
        <f>IF($J695="Item",_xll.NL("first",$J695,"Description","No.","@@"&amp;$K695),"")</f>
        <v/>
      </c>
      <c r="O695" s="83">
        <v>0</v>
      </c>
      <c r="P695" s="83">
        <v>-145</v>
      </c>
      <c r="Q695" s="83">
        <v>0</v>
      </c>
      <c r="R695" s="83">
        <v>0</v>
      </c>
      <c r="S695" s="83">
        <v>0</v>
      </c>
      <c r="T695" s="83">
        <v>0</v>
      </c>
      <c r="U695" s="82"/>
    </row>
    <row r="696" spans="1:21" ht="17.25" customHeight="1" x14ac:dyDescent="0.3">
      <c r="A696" s="66" t="s">
        <v>30</v>
      </c>
      <c r="C696" s="67"/>
      <c r="D696" s="77"/>
      <c r="E696" s="77"/>
      <c r="F696" s="76"/>
      <c r="G696" s="76"/>
      <c r="H696" s="76"/>
      <c r="I696" s="76"/>
      <c r="J696" s="76"/>
      <c r="K696" s="76"/>
      <c r="L696" s="76"/>
      <c r="M696" s="76"/>
      <c r="N696" s="76"/>
      <c r="O696" s="75"/>
      <c r="P696" s="75"/>
      <c r="Q696" s="75"/>
      <c r="R696" s="75"/>
      <c r="S696" s="75"/>
      <c r="T696" s="75"/>
      <c r="U696" s="74"/>
    </row>
    <row r="697" spans="1:21" ht="17.25" customHeight="1" x14ac:dyDescent="0.3">
      <c r="A697" s="66" t="s">
        <v>30</v>
      </c>
      <c r="C697" s="67"/>
      <c r="D697" s="77"/>
      <c r="E697" s="77" t="s">
        <v>31</v>
      </c>
      <c r="F697" s="76" t="s">
        <v>31</v>
      </c>
      <c r="G697" s="76" t="s">
        <v>31</v>
      </c>
      <c r="H697" s="76"/>
      <c r="I697" s="76"/>
      <c r="J697" s="76" t="s">
        <v>31</v>
      </c>
      <c r="K697" s="76" t="s">
        <v>31</v>
      </c>
      <c r="L697" s="76" t="s">
        <v>31</v>
      </c>
      <c r="M697" s="76" t="s">
        <v>31</v>
      </c>
      <c r="N697" s="76"/>
      <c r="U697" s="81"/>
    </row>
    <row r="698" spans="1:21" ht="20.25" customHeight="1" x14ac:dyDescent="0.35">
      <c r="A698" s="66" t="s">
        <v>30</v>
      </c>
      <c r="C698" s="67"/>
      <c r="D698" s="92" t="str">
        <f t="shared" ref="D698" si="382">E698</f>
        <v>S100011</v>
      </c>
      <c r="E698" s="91" t="str">
        <f>"S100011"</f>
        <v>S100011</v>
      </c>
      <c r="F698" s="89" t="str">
        <f>"All Star Cap"</f>
        <v>All Star Cap</v>
      </c>
      <c r="G698" s="89"/>
      <c r="H698" s="90" t="str">
        <f>"EA"</f>
        <v>EA</v>
      </c>
      <c r="I698" s="89"/>
      <c r="J698" s="89"/>
      <c r="K698" s="89"/>
      <c r="L698" s="89"/>
      <c r="M698" s="89"/>
      <c r="N698" s="89"/>
      <c r="O698" s="88">
        <f>(SUBTOTAL(9,O699:O708))</f>
        <v>2800</v>
      </c>
      <c r="P698" s="88">
        <f>(SUBTOTAL(9,P699:P708))</f>
        <v>-649</v>
      </c>
      <c r="Q698" s="88">
        <f>(SUBTOTAL(9,Q699:Q708))</f>
        <v>0</v>
      </c>
      <c r="R698" s="88">
        <f>(SUBTOTAL(9,R699:R708))</f>
        <v>0</v>
      </c>
      <c r="S698" s="88">
        <f>(SUBTOTAL(9,S699:S708))</f>
        <v>0</v>
      </c>
      <c r="T698" s="88">
        <f>(SUBTOTAL(9,T699:T708))</f>
        <v>0</v>
      </c>
      <c r="U698" s="87">
        <f t="shared" ref="U698" si="383">SUBTOTAL(9,O699:T708)</f>
        <v>2151</v>
      </c>
    </row>
    <row r="699" spans="1:21" ht="17.25" customHeight="1" x14ac:dyDescent="0.3">
      <c r="A699" s="66" t="s">
        <v>30</v>
      </c>
      <c r="C699" s="67"/>
      <c r="D699" s="77" t="str">
        <f t="shared" ref="D699" si="384">D698</f>
        <v>S100011</v>
      </c>
      <c r="E699" s="77"/>
      <c r="F699" s="76"/>
      <c r="G699" s="76" t="str">
        <f>"""NAV Direct"",""CRONUS JetCorp USA"",""32"",""1"",""167134"""</f>
        <v>"NAV Direct","CRONUS JetCorp USA","32","1","167134"</v>
      </c>
      <c r="H699" s="86">
        <v>43466</v>
      </c>
      <c r="I699" s="85">
        <v>167134</v>
      </c>
      <c r="J699" s="84" t="str">
        <f>"Vendor"</f>
        <v>Vendor</v>
      </c>
      <c r="K699" s="84" t="str">
        <f>"V100001"</f>
        <v>V100001</v>
      </c>
      <c r="L699" s="84" t="str">
        <f>IF($J699="Customer",_xll.NL("first",$J699,"Name","No.","@@"&amp;$K699),"")</f>
        <v/>
      </c>
      <c r="M699" s="84" t="str">
        <f>"Greigner, Inc."</f>
        <v>Greigner, Inc.</v>
      </c>
      <c r="N699" s="84" t="str">
        <f>IF($J699="Item",_xll.NL("first",$J699,"Description","No.","@@"&amp;$K699),"")</f>
        <v/>
      </c>
      <c r="O699" s="83">
        <v>2800</v>
      </c>
      <c r="P699" s="83">
        <v>0</v>
      </c>
      <c r="Q699" s="83">
        <v>0</v>
      </c>
      <c r="R699" s="83">
        <v>0</v>
      </c>
      <c r="S699" s="83">
        <v>0</v>
      </c>
      <c r="T699" s="83">
        <v>0</v>
      </c>
      <c r="U699" s="82"/>
    </row>
    <row r="700" spans="1:21" ht="17.25" customHeight="1" x14ac:dyDescent="0.3">
      <c r="A700" s="66" t="s">
        <v>30</v>
      </c>
      <c r="C700" s="67"/>
      <c r="D700" s="77" t="str">
        <f t="shared" ref="D700:D707" si="385">D699</f>
        <v>S100011</v>
      </c>
      <c r="E700" s="77"/>
      <c r="F700" s="76"/>
      <c r="G700" s="76" t="str">
        <f>"""NAV Direct"",""CRONUS JetCorp USA"",""32"",""1"",""20376"""</f>
        <v>"NAV Direct","CRONUS JetCorp USA","32","1","20376"</v>
      </c>
      <c r="H700" s="86">
        <v>43468</v>
      </c>
      <c r="I700" s="85">
        <v>20376</v>
      </c>
      <c r="J700" s="84" t="str">
        <f>"Customer"</f>
        <v>Customer</v>
      </c>
      <c r="K700" s="84" t="str">
        <f>"C100145"</f>
        <v>C100145</v>
      </c>
      <c r="L700" s="84" t="str">
        <f>IF($J700="Customer",_xll.NL("first",$J700,"Name","No.","@@"&amp;$K700),"")</f>
        <v>Dicon Industries</v>
      </c>
      <c r="M700" s="84" t="str">
        <f>""</f>
        <v/>
      </c>
      <c r="N700" s="84" t="str">
        <f>IF($J700="Item",_xll.NL("first",$J700,"Description","No.","@@"&amp;$K700),"")</f>
        <v/>
      </c>
      <c r="O700" s="83">
        <v>0</v>
      </c>
      <c r="P700" s="83">
        <v>-1</v>
      </c>
      <c r="Q700" s="83">
        <v>0</v>
      </c>
      <c r="R700" s="83">
        <v>0</v>
      </c>
      <c r="S700" s="83">
        <v>0</v>
      </c>
      <c r="T700" s="83">
        <v>0</v>
      </c>
      <c r="U700" s="82"/>
    </row>
    <row r="701" spans="1:21" ht="17.25" customHeight="1" x14ac:dyDescent="0.3">
      <c r="A701" s="66" t="s">
        <v>30</v>
      </c>
      <c r="C701" s="67"/>
      <c r="D701" s="77" t="str">
        <f t="shared" si="385"/>
        <v>S100011</v>
      </c>
      <c r="E701" s="77"/>
      <c r="F701" s="76"/>
      <c r="G701" s="76" t="str">
        <f>"""NAV Direct"",""CRONUS JetCorp USA"",""32"",""1"",""25247"""</f>
        <v>"NAV Direct","CRONUS JetCorp USA","32","1","25247"</v>
      </c>
      <c r="H701" s="86">
        <v>43471</v>
      </c>
      <c r="I701" s="85">
        <v>25247</v>
      </c>
      <c r="J701" s="84" t="str">
        <f>"Customer"</f>
        <v>Customer</v>
      </c>
      <c r="K701" s="84" t="str">
        <f>"C100102"</f>
        <v>C100102</v>
      </c>
      <c r="L701" s="84" t="str">
        <f>IF($J701="Customer",_xll.NL("first",$J701,"Name","No.","@@"&amp;$K701),"")</f>
        <v xml:space="preserve">BEI Outfitters </v>
      </c>
      <c r="M701" s="84" t="str">
        <f>""</f>
        <v/>
      </c>
      <c r="N701" s="84" t="str">
        <f>IF($J701="Item",_xll.NL("first",$J701,"Description","No.","@@"&amp;$K701),"")</f>
        <v/>
      </c>
      <c r="O701" s="83">
        <v>0</v>
      </c>
      <c r="P701" s="83">
        <v>-12</v>
      </c>
      <c r="Q701" s="83">
        <v>0</v>
      </c>
      <c r="R701" s="83">
        <v>0</v>
      </c>
      <c r="S701" s="83">
        <v>0</v>
      </c>
      <c r="T701" s="83">
        <v>0</v>
      </c>
      <c r="U701" s="82"/>
    </row>
    <row r="702" spans="1:21" ht="17.25" customHeight="1" x14ac:dyDescent="0.3">
      <c r="A702" s="66" t="s">
        <v>30</v>
      </c>
      <c r="C702" s="67"/>
      <c r="D702" s="77" t="str">
        <f t="shared" si="385"/>
        <v>S100011</v>
      </c>
      <c r="E702" s="77"/>
      <c r="F702" s="76"/>
      <c r="G702" s="76" t="str">
        <f>"""NAV Direct"",""CRONUS JetCorp USA"",""32"",""1"",""44477"""</f>
        <v>"NAV Direct","CRONUS JetCorp USA","32","1","44477"</v>
      </c>
      <c r="H702" s="86">
        <v>43472</v>
      </c>
      <c r="I702" s="85">
        <v>44477</v>
      </c>
      <c r="J702" s="84" t="str">
        <f>"Customer"</f>
        <v>Customer</v>
      </c>
      <c r="K702" s="84" t="str">
        <f>"C100141"</f>
        <v>C100141</v>
      </c>
      <c r="L702" s="84" t="str">
        <f>IF($J702="Customer",_xll.NL("first",$J702,"Name","No.","@@"&amp;$K702),"")</f>
        <v>Bargottis</v>
      </c>
      <c r="M702" s="84" t="str">
        <f>""</f>
        <v/>
      </c>
      <c r="N702" s="84" t="str">
        <f>IF($J702="Item",_xll.NL("first",$J702,"Description","No.","@@"&amp;$K702),"")</f>
        <v/>
      </c>
      <c r="O702" s="83">
        <v>0</v>
      </c>
      <c r="P702" s="83">
        <v>-144</v>
      </c>
      <c r="Q702" s="83">
        <v>0</v>
      </c>
      <c r="R702" s="83">
        <v>0</v>
      </c>
      <c r="S702" s="83">
        <v>0</v>
      </c>
      <c r="T702" s="83">
        <v>0</v>
      </c>
      <c r="U702" s="82"/>
    </row>
    <row r="703" spans="1:21" ht="17.25" customHeight="1" x14ac:dyDescent="0.3">
      <c r="A703" s="66" t="s">
        <v>30</v>
      </c>
      <c r="C703" s="67"/>
      <c r="D703" s="77" t="str">
        <f t="shared" si="385"/>
        <v>S100011</v>
      </c>
      <c r="E703" s="77"/>
      <c r="F703" s="76"/>
      <c r="G703" s="76" t="str">
        <f>"""NAV Direct"",""CRONUS JetCorp USA"",""32"",""1"",""64601"""</f>
        <v>"NAV Direct","CRONUS JetCorp USA","32","1","64601"</v>
      </c>
      <c r="H703" s="86">
        <v>43472</v>
      </c>
      <c r="I703" s="85">
        <v>64601</v>
      </c>
      <c r="J703" s="84" t="str">
        <f>"Customer"</f>
        <v>Customer</v>
      </c>
      <c r="K703" s="84" t="str">
        <f>"C100140"</f>
        <v>C100140</v>
      </c>
      <c r="L703" s="84" t="str">
        <f>IF($J703="Customer",_xll.NL("first",$J703,"Name","No.","@@"&amp;$K703),"")</f>
        <v>Super Daves</v>
      </c>
      <c r="M703" s="84" t="str">
        <f>""</f>
        <v/>
      </c>
      <c r="N703" s="84" t="str">
        <f>IF($J703="Item",_xll.NL("first",$J703,"Description","No.","@@"&amp;$K703),"")</f>
        <v/>
      </c>
      <c r="O703" s="83">
        <v>0</v>
      </c>
      <c r="P703" s="83">
        <v>-144</v>
      </c>
      <c r="Q703" s="83">
        <v>0</v>
      </c>
      <c r="R703" s="83">
        <v>0</v>
      </c>
      <c r="S703" s="83">
        <v>0</v>
      </c>
      <c r="T703" s="83">
        <v>0</v>
      </c>
      <c r="U703" s="82"/>
    </row>
    <row r="704" spans="1:21" ht="17.25" customHeight="1" x14ac:dyDescent="0.3">
      <c r="A704" s="66" t="s">
        <v>30</v>
      </c>
      <c r="C704" s="67"/>
      <c r="D704" s="77" t="str">
        <f t="shared" si="385"/>
        <v>S100011</v>
      </c>
      <c r="E704" s="77"/>
      <c r="F704" s="76"/>
      <c r="G704" s="76" t="str">
        <f>"""NAV Direct"",""CRONUS JetCorp USA"",""32"",""1"",""44529"""</f>
        <v>"NAV Direct","CRONUS JetCorp USA","32","1","44529"</v>
      </c>
      <c r="H704" s="86">
        <v>43473</v>
      </c>
      <c r="I704" s="85">
        <v>44529</v>
      </c>
      <c r="J704" s="84" t="str">
        <f>"Customer"</f>
        <v>Customer</v>
      </c>
      <c r="K704" s="84" t="str">
        <f>"C100139"</f>
        <v>C100139</v>
      </c>
      <c r="L704" s="84" t="str">
        <f>IF($J704="Customer",_xll.NL("first",$J704,"Name","No.","@@"&amp;$K704),"")</f>
        <v>Gamma Ray's</v>
      </c>
      <c r="M704" s="84" t="str">
        <f>""</f>
        <v/>
      </c>
      <c r="N704" s="84" t="str">
        <f>IF($J704="Item",_xll.NL("first",$J704,"Description","No.","@@"&amp;$K704),"")</f>
        <v/>
      </c>
      <c r="O704" s="83">
        <v>0</v>
      </c>
      <c r="P704" s="83">
        <v>-168</v>
      </c>
      <c r="Q704" s="83">
        <v>0</v>
      </c>
      <c r="R704" s="83">
        <v>0</v>
      </c>
      <c r="S704" s="83">
        <v>0</v>
      </c>
      <c r="T704" s="83">
        <v>0</v>
      </c>
      <c r="U704" s="82"/>
    </row>
    <row r="705" spans="1:21" ht="17.25" customHeight="1" x14ac:dyDescent="0.3">
      <c r="A705" s="66" t="s">
        <v>30</v>
      </c>
      <c r="C705" s="67"/>
      <c r="D705" s="77" t="str">
        <f t="shared" si="385"/>
        <v>S100011</v>
      </c>
      <c r="E705" s="77"/>
      <c r="F705" s="76"/>
      <c r="G705" s="76" t="str">
        <f>"""NAV Direct"",""CRONUS JetCorp USA"",""32"",""1"",""20359"""</f>
        <v>"NAV Direct","CRONUS JetCorp USA","32","1","20359"</v>
      </c>
      <c r="H705" s="86">
        <v>43475</v>
      </c>
      <c r="I705" s="85">
        <v>20359</v>
      </c>
      <c r="J705" s="84" t="str">
        <f>"Customer"</f>
        <v>Customer</v>
      </c>
      <c r="K705" s="84" t="str">
        <f>"C100097"</f>
        <v>C100097</v>
      </c>
      <c r="L705" s="84" t="str">
        <f>IF($J705="Customer",_xll.NL("first",$J705,"Name","No.","@@"&amp;$K705),"")</f>
        <v>Solotech</v>
      </c>
      <c r="M705" s="84" t="str">
        <f>""</f>
        <v/>
      </c>
      <c r="N705" s="84" t="str">
        <f>IF($J705="Item",_xll.NL("first",$J705,"Description","No.","@@"&amp;$K705),"")</f>
        <v/>
      </c>
      <c r="O705" s="83">
        <v>0</v>
      </c>
      <c r="P705" s="83">
        <v>-144</v>
      </c>
      <c r="Q705" s="83">
        <v>0</v>
      </c>
      <c r="R705" s="83">
        <v>0</v>
      </c>
      <c r="S705" s="83">
        <v>0</v>
      </c>
      <c r="T705" s="83">
        <v>0</v>
      </c>
      <c r="U705" s="82"/>
    </row>
    <row r="706" spans="1:21" ht="17.25" customHeight="1" x14ac:dyDescent="0.3">
      <c r="A706" s="66" t="s">
        <v>30</v>
      </c>
      <c r="C706" s="67"/>
      <c r="D706" s="77" t="str">
        <f t="shared" si="385"/>
        <v>S100011</v>
      </c>
      <c r="E706" s="77"/>
      <c r="F706" s="76"/>
      <c r="G706" s="76" t="str">
        <f>"""NAV Direct"",""CRONUS JetCorp USA"",""32"",""1"",""25274"""</f>
        <v>"NAV Direct","CRONUS JetCorp USA","32","1","25274"</v>
      </c>
      <c r="H706" s="86">
        <v>43476</v>
      </c>
      <c r="I706" s="85">
        <v>25274</v>
      </c>
      <c r="J706" s="84" t="str">
        <f>"Customer"</f>
        <v>Customer</v>
      </c>
      <c r="K706" s="84" t="str">
        <f>"C100102"</f>
        <v>C100102</v>
      </c>
      <c r="L706" s="84" t="str">
        <f>IF($J706="Customer",_xll.NL("first",$J706,"Name","No.","@@"&amp;$K706),"")</f>
        <v xml:space="preserve">BEI Outfitters </v>
      </c>
      <c r="M706" s="84" t="str">
        <f>""</f>
        <v/>
      </c>
      <c r="N706" s="84" t="str">
        <f>IF($J706="Item",_xll.NL("first",$J706,"Description","No.","@@"&amp;$K706),"")</f>
        <v/>
      </c>
      <c r="O706" s="83">
        <v>0</v>
      </c>
      <c r="P706" s="83">
        <v>-12</v>
      </c>
      <c r="Q706" s="83">
        <v>0</v>
      </c>
      <c r="R706" s="83">
        <v>0</v>
      </c>
      <c r="S706" s="83">
        <v>0</v>
      </c>
      <c r="T706" s="83">
        <v>0</v>
      </c>
      <c r="U706" s="82"/>
    </row>
    <row r="707" spans="1:21" ht="17.25" customHeight="1" x14ac:dyDescent="0.3">
      <c r="A707" s="66" t="s">
        <v>30</v>
      </c>
      <c r="C707" s="67"/>
      <c r="D707" s="77" t="str">
        <f t="shared" si="385"/>
        <v>S100011</v>
      </c>
      <c r="E707" s="77"/>
      <c r="F707" s="76"/>
      <c r="G707" s="76" t="str">
        <f>"""NAV Direct"",""CRONUS JetCorp USA"",""32"",""1"",""20406"""</f>
        <v>"NAV Direct","CRONUS JetCorp USA","32","1","20406"</v>
      </c>
      <c r="H707" s="86">
        <v>43477</v>
      </c>
      <c r="I707" s="85">
        <v>20406</v>
      </c>
      <c r="J707" s="84" t="str">
        <f>"Customer"</f>
        <v>Customer</v>
      </c>
      <c r="K707" s="84" t="str">
        <f>"C100039"</f>
        <v>C100039</v>
      </c>
      <c r="L707" s="84" t="str">
        <f>IF($J707="Customer",_xll.NL("first",$J707,"Name","No.","@@"&amp;$K707),"")</f>
        <v>Gary's Sports</v>
      </c>
      <c r="M707" s="84" t="str">
        <f>""</f>
        <v/>
      </c>
      <c r="N707" s="84" t="str">
        <f>IF($J707="Item",_xll.NL("first",$J707,"Description","No.","@@"&amp;$K707),"")</f>
        <v/>
      </c>
      <c r="O707" s="83">
        <v>0</v>
      </c>
      <c r="P707" s="83">
        <v>-24</v>
      </c>
      <c r="Q707" s="83">
        <v>0</v>
      </c>
      <c r="R707" s="83">
        <v>0</v>
      </c>
      <c r="S707" s="83">
        <v>0</v>
      </c>
      <c r="T707" s="83">
        <v>0</v>
      </c>
      <c r="U707" s="82"/>
    </row>
    <row r="708" spans="1:21" ht="17.25" customHeight="1" x14ac:dyDescent="0.3">
      <c r="A708" s="66" t="s">
        <v>30</v>
      </c>
      <c r="C708" s="67"/>
      <c r="D708" s="77"/>
      <c r="E708" s="77"/>
      <c r="F708" s="76"/>
      <c r="G708" s="76"/>
      <c r="H708" s="76"/>
      <c r="I708" s="76"/>
      <c r="J708" s="76"/>
      <c r="K708" s="76"/>
      <c r="L708" s="76"/>
      <c r="M708" s="76"/>
      <c r="N708" s="76"/>
      <c r="O708" s="75"/>
      <c r="P708" s="75"/>
      <c r="Q708" s="75"/>
      <c r="R708" s="75"/>
      <c r="S708" s="75"/>
      <c r="T708" s="75"/>
      <c r="U708" s="74"/>
    </row>
    <row r="709" spans="1:21" ht="17.25" customHeight="1" x14ac:dyDescent="0.3">
      <c r="A709" s="66" t="s">
        <v>30</v>
      </c>
      <c r="C709" s="67"/>
      <c r="D709" s="77"/>
      <c r="E709" s="77" t="s">
        <v>31</v>
      </c>
      <c r="F709" s="76" t="s">
        <v>31</v>
      </c>
      <c r="G709" s="76" t="s">
        <v>31</v>
      </c>
      <c r="H709" s="76"/>
      <c r="I709" s="76"/>
      <c r="J709" s="76" t="s">
        <v>31</v>
      </c>
      <c r="K709" s="76" t="s">
        <v>31</v>
      </c>
      <c r="L709" s="76" t="s">
        <v>31</v>
      </c>
      <c r="M709" s="76" t="s">
        <v>31</v>
      </c>
      <c r="N709" s="76"/>
      <c r="U709" s="81"/>
    </row>
    <row r="710" spans="1:21" ht="20.25" customHeight="1" x14ac:dyDescent="0.35">
      <c r="A710" s="66" t="s">
        <v>30</v>
      </c>
      <c r="C710" s="67"/>
      <c r="D710" s="92" t="str">
        <f t="shared" ref="D710" si="386">E710</f>
        <v>S100012</v>
      </c>
      <c r="E710" s="91" t="str">
        <f>"S100012"</f>
        <v>S100012</v>
      </c>
      <c r="F710" s="89" t="str">
        <f>"Raw-Edge Patch BALL CAP"</f>
        <v>Raw-Edge Patch BALL CAP</v>
      </c>
      <c r="G710" s="89"/>
      <c r="H710" s="90" t="str">
        <f>"EA"</f>
        <v>EA</v>
      </c>
      <c r="I710" s="89"/>
      <c r="J710" s="89"/>
      <c r="K710" s="89"/>
      <c r="L710" s="89"/>
      <c r="M710" s="89"/>
      <c r="N710" s="89"/>
      <c r="O710" s="88">
        <f>(SUBTOTAL(9,O711:O713))</f>
        <v>1200</v>
      </c>
      <c r="P710" s="88">
        <f>(SUBTOTAL(9,P711:P713))</f>
        <v>-144</v>
      </c>
      <c r="Q710" s="88">
        <f>(SUBTOTAL(9,Q711:Q713))</f>
        <v>0</v>
      </c>
      <c r="R710" s="88">
        <f>(SUBTOTAL(9,R711:R713))</f>
        <v>0</v>
      </c>
      <c r="S710" s="88">
        <f>(SUBTOTAL(9,S711:S713))</f>
        <v>0</v>
      </c>
      <c r="T710" s="88">
        <f>(SUBTOTAL(9,T711:T713))</f>
        <v>0</v>
      </c>
      <c r="U710" s="87">
        <f t="shared" ref="U710" si="387">SUBTOTAL(9,O711:T713)</f>
        <v>1056</v>
      </c>
    </row>
    <row r="711" spans="1:21" ht="17.25" customHeight="1" x14ac:dyDescent="0.3">
      <c r="A711" s="66" t="s">
        <v>30</v>
      </c>
      <c r="C711" s="67"/>
      <c r="D711" s="77" t="str">
        <f t="shared" ref="D711" si="388">D710</f>
        <v>S100012</v>
      </c>
      <c r="E711" s="77"/>
      <c r="F711" s="76"/>
      <c r="G711" s="76" t="str">
        <f>"""NAV Direct"",""CRONUS JetCorp USA"",""32"",""1"",""167133"""</f>
        <v>"NAV Direct","CRONUS JetCorp USA","32","1","167133"</v>
      </c>
      <c r="H711" s="86">
        <v>43466</v>
      </c>
      <c r="I711" s="85">
        <v>167133</v>
      </c>
      <c r="J711" s="84" t="str">
        <f>"Vendor"</f>
        <v>Vendor</v>
      </c>
      <c r="K711" s="84" t="str">
        <f>"V100001"</f>
        <v>V100001</v>
      </c>
      <c r="L711" s="84" t="str">
        <f>IF($J711="Customer",_xll.NL("first",$J711,"Name","No.","@@"&amp;$K711),"")</f>
        <v/>
      </c>
      <c r="M711" s="84" t="str">
        <f>"Greigner, Inc."</f>
        <v>Greigner, Inc.</v>
      </c>
      <c r="N711" s="84" t="str">
        <f>IF($J711="Item",_xll.NL("first",$J711,"Description","No.","@@"&amp;$K711),"")</f>
        <v/>
      </c>
      <c r="O711" s="83">
        <v>1200</v>
      </c>
      <c r="P711" s="83">
        <v>0</v>
      </c>
      <c r="Q711" s="83">
        <v>0</v>
      </c>
      <c r="R711" s="83">
        <v>0</v>
      </c>
      <c r="S711" s="83">
        <v>0</v>
      </c>
      <c r="T711" s="83">
        <v>0</v>
      </c>
      <c r="U711" s="82"/>
    </row>
    <row r="712" spans="1:21" ht="17.25" customHeight="1" x14ac:dyDescent="0.3">
      <c r="A712" s="66" t="s">
        <v>30</v>
      </c>
      <c r="C712" s="67"/>
      <c r="D712" s="77" t="str">
        <f t="shared" ref="D712" si="389">D711</f>
        <v>S100012</v>
      </c>
      <c r="E712" s="77"/>
      <c r="F712" s="76"/>
      <c r="G712" s="76" t="str">
        <f>"""NAV Direct"",""CRONUS JetCorp USA"",""32"",""1"",""25282"""</f>
        <v>"NAV Direct","CRONUS JetCorp USA","32","1","25282"</v>
      </c>
      <c r="H712" s="86">
        <v>43477</v>
      </c>
      <c r="I712" s="85">
        <v>25282</v>
      </c>
      <c r="J712" s="84" t="str">
        <f>"Customer"</f>
        <v>Customer</v>
      </c>
      <c r="K712" s="84" t="str">
        <f>"C100138"</f>
        <v>C100138</v>
      </c>
      <c r="L712" s="84" t="str">
        <f>IF($J712="Customer",_xll.NL("first",$J712,"Name","No.","@@"&amp;$K712),"")</f>
        <v>Dantons</v>
      </c>
      <c r="M712" s="84" t="str">
        <f>""</f>
        <v/>
      </c>
      <c r="N712" s="84" t="str">
        <f>IF($J712="Item",_xll.NL("first",$J712,"Description","No.","@@"&amp;$K712),"")</f>
        <v/>
      </c>
      <c r="O712" s="83">
        <v>0</v>
      </c>
      <c r="P712" s="83">
        <v>-144</v>
      </c>
      <c r="Q712" s="83">
        <v>0</v>
      </c>
      <c r="R712" s="83">
        <v>0</v>
      </c>
      <c r="S712" s="83">
        <v>0</v>
      </c>
      <c r="T712" s="83">
        <v>0</v>
      </c>
      <c r="U712" s="82"/>
    </row>
    <row r="713" spans="1:21" ht="17.25" customHeight="1" x14ac:dyDescent="0.3">
      <c r="A713" s="66" t="s">
        <v>30</v>
      </c>
      <c r="C713" s="67"/>
      <c r="D713" s="77"/>
      <c r="E713" s="77"/>
      <c r="F713" s="76"/>
      <c r="G713" s="76"/>
      <c r="H713" s="76"/>
      <c r="I713" s="76"/>
      <c r="J713" s="76"/>
      <c r="K713" s="76"/>
      <c r="L713" s="76"/>
      <c r="M713" s="76"/>
      <c r="N713" s="76"/>
      <c r="O713" s="75"/>
      <c r="P713" s="75"/>
      <c r="Q713" s="75"/>
      <c r="R713" s="75"/>
      <c r="S713" s="75"/>
      <c r="T713" s="75"/>
      <c r="U713" s="74"/>
    </row>
    <row r="714" spans="1:21" ht="17.25" customHeight="1" x14ac:dyDescent="0.3">
      <c r="A714" s="66" t="s">
        <v>30</v>
      </c>
      <c r="C714" s="67"/>
      <c r="D714" s="77"/>
      <c r="E714" s="77" t="s">
        <v>31</v>
      </c>
      <c r="F714" s="76" t="s">
        <v>31</v>
      </c>
      <c r="G714" s="76" t="s">
        <v>31</v>
      </c>
      <c r="H714" s="76"/>
      <c r="I714" s="76"/>
      <c r="J714" s="76" t="s">
        <v>31</v>
      </c>
      <c r="K714" s="76" t="s">
        <v>31</v>
      </c>
      <c r="L714" s="76" t="s">
        <v>31</v>
      </c>
      <c r="M714" s="76" t="s">
        <v>31</v>
      </c>
      <c r="N714" s="76"/>
      <c r="U714" s="81"/>
    </row>
    <row r="715" spans="1:21" ht="20.25" customHeight="1" x14ac:dyDescent="0.35">
      <c r="A715" s="66" t="s">
        <v>30</v>
      </c>
      <c r="C715" s="67"/>
      <c r="D715" s="92" t="str">
        <f t="shared" ref="D715" si="390">E715</f>
        <v>S100013</v>
      </c>
      <c r="E715" s="91" t="str">
        <f>"S100013"</f>
        <v>S100013</v>
      </c>
      <c r="F715" s="89" t="str">
        <f>"Mesh BALL CAP"</f>
        <v>Mesh BALL CAP</v>
      </c>
      <c r="G715" s="89"/>
      <c r="H715" s="90" t="str">
        <f>"EA"</f>
        <v>EA</v>
      </c>
      <c r="I715" s="89"/>
      <c r="J715" s="89"/>
      <c r="K715" s="89"/>
      <c r="L715" s="89"/>
      <c r="M715" s="89"/>
      <c r="N715" s="89"/>
      <c r="O715" s="88">
        <f>(SUBTOTAL(9,O716:O719))</f>
        <v>1999.9999999999998</v>
      </c>
      <c r="P715" s="88">
        <f>(SUBTOTAL(9,P716:P719))</f>
        <v>-294</v>
      </c>
      <c r="Q715" s="88">
        <f>(SUBTOTAL(9,Q716:Q719))</f>
        <v>0</v>
      </c>
      <c r="R715" s="88">
        <f>(SUBTOTAL(9,R716:R719))</f>
        <v>0</v>
      </c>
      <c r="S715" s="88">
        <f>(SUBTOTAL(9,S716:S719))</f>
        <v>0</v>
      </c>
      <c r="T715" s="88">
        <f>(SUBTOTAL(9,T716:T719))</f>
        <v>0</v>
      </c>
      <c r="U715" s="87">
        <f t="shared" ref="U715" si="391">SUBTOTAL(9,O716:T719)</f>
        <v>1705.9999999999998</v>
      </c>
    </row>
    <row r="716" spans="1:21" ht="17.25" customHeight="1" x14ac:dyDescent="0.3">
      <c r="A716" s="66" t="s">
        <v>30</v>
      </c>
      <c r="C716" s="67"/>
      <c r="D716" s="77" t="str">
        <f t="shared" ref="D716" si="392">D715</f>
        <v>S100013</v>
      </c>
      <c r="E716" s="77"/>
      <c r="F716" s="76"/>
      <c r="G716" s="76" t="str">
        <f>"""NAV Direct"",""CRONUS JetCorp USA"",""32"",""1"",""167132"""</f>
        <v>"NAV Direct","CRONUS JetCorp USA","32","1","167132"</v>
      </c>
      <c r="H716" s="86">
        <v>43466</v>
      </c>
      <c r="I716" s="85">
        <v>167132</v>
      </c>
      <c r="J716" s="84" t="str">
        <f>"Vendor"</f>
        <v>Vendor</v>
      </c>
      <c r="K716" s="84" t="str">
        <f>"V100001"</f>
        <v>V100001</v>
      </c>
      <c r="L716" s="84" t="str">
        <f>IF($J716="Customer",_xll.NL("first",$J716,"Name","No.","@@"&amp;$K716),"")</f>
        <v/>
      </c>
      <c r="M716" s="84" t="str">
        <f>"Greigner, Inc."</f>
        <v>Greigner, Inc.</v>
      </c>
      <c r="N716" s="84" t="str">
        <f>IF($J716="Item",_xll.NL("first",$J716,"Description","No.","@@"&amp;$K716),"")</f>
        <v/>
      </c>
      <c r="O716" s="83">
        <v>1999.9999999999998</v>
      </c>
      <c r="P716" s="83">
        <v>0</v>
      </c>
      <c r="Q716" s="83">
        <v>0</v>
      </c>
      <c r="R716" s="83">
        <v>0</v>
      </c>
      <c r="S716" s="83">
        <v>0</v>
      </c>
      <c r="T716" s="83">
        <v>0</v>
      </c>
      <c r="U716" s="82"/>
    </row>
    <row r="717" spans="1:21" ht="17.25" customHeight="1" x14ac:dyDescent="0.3">
      <c r="A717" s="66" t="s">
        <v>30</v>
      </c>
      <c r="C717" s="67"/>
      <c r="D717" s="77" t="str">
        <f t="shared" ref="D717:D718" si="393">D716</f>
        <v>S100013</v>
      </c>
      <c r="E717" s="77"/>
      <c r="F717" s="76"/>
      <c r="G717" s="76" t="str">
        <f>"""NAV Direct"",""CRONUS JetCorp USA"",""32"",""1"",""20343"""</f>
        <v>"NAV Direct","CRONUS JetCorp USA","32","1","20343"</v>
      </c>
      <c r="H717" s="86">
        <v>43472</v>
      </c>
      <c r="I717" s="85">
        <v>20343</v>
      </c>
      <c r="J717" s="84" t="str">
        <f>"Customer"</f>
        <v>Customer</v>
      </c>
      <c r="K717" s="84" t="str">
        <f>"C100145"</f>
        <v>C100145</v>
      </c>
      <c r="L717" s="84" t="str">
        <f>IF($J717="Customer",_xll.NL("first",$J717,"Name","No.","@@"&amp;$K717),"")</f>
        <v>Dicon Industries</v>
      </c>
      <c r="M717" s="84" t="str">
        <f>""</f>
        <v/>
      </c>
      <c r="N717" s="84" t="str">
        <f>IF($J717="Item",_xll.NL("first",$J717,"Description","No.","@@"&amp;$K717),"")</f>
        <v/>
      </c>
      <c r="O717" s="83">
        <v>0</v>
      </c>
      <c r="P717" s="83">
        <v>-6</v>
      </c>
      <c r="Q717" s="83">
        <v>0</v>
      </c>
      <c r="R717" s="83">
        <v>0</v>
      </c>
      <c r="S717" s="83">
        <v>0</v>
      </c>
      <c r="T717" s="83">
        <v>0</v>
      </c>
      <c r="U717" s="82"/>
    </row>
    <row r="718" spans="1:21" ht="17.25" customHeight="1" x14ac:dyDescent="0.3">
      <c r="A718" s="66" t="s">
        <v>30</v>
      </c>
      <c r="C718" s="67"/>
      <c r="D718" s="77" t="str">
        <f t="shared" si="393"/>
        <v>S100013</v>
      </c>
      <c r="E718" s="77"/>
      <c r="F718" s="76"/>
      <c r="G718" s="76" t="str">
        <f>"""NAV Direct"",""CRONUS JetCorp USA"",""32"",""1"",""132520"""</f>
        <v>"NAV Direct","CRONUS JetCorp USA","32","1","132520"</v>
      </c>
      <c r="H718" s="86">
        <v>43477</v>
      </c>
      <c r="I718" s="85">
        <v>132520</v>
      </c>
      <c r="J718" s="84" t="str">
        <f>"Customer"</f>
        <v>Customer</v>
      </c>
      <c r="K718" s="84" t="str">
        <f>"C100082"</f>
        <v>C100082</v>
      </c>
      <c r="L718" s="84" t="str">
        <f>IF($J718="Customer",_xll.NL("first",$J718,"Name","No.","@@"&amp;$K718),"")</f>
        <v>Sporting Goods Emporium</v>
      </c>
      <c r="M718" s="84" t="str">
        <f>""</f>
        <v/>
      </c>
      <c r="N718" s="84" t="str">
        <f>IF($J718="Item",_xll.NL("first",$J718,"Description","No.","@@"&amp;$K718),"")</f>
        <v/>
      </c>
      <c r="O718" s="83">
        <v>0</v>
      </c>
      <c r="P718" s="83">
        <v>-288</v>
      </c>
      <c r="Q718" s="83">
        <v>0</v>
      </c>
      <c r="R718" s="83">
        <v>0</v>
      </c>
      <c r="S718" s="83">
        <v>0</v>
      </c>
      <c r="T718" s="83">
        <v>0</v>
      </c>
      <c r="U718" s="82"/>
    </row>
    <row r="719" spans="1:21" ht="17.25" customHeight="1" x14ac:dyDescent="0.3">
      <c r="A719" s="66" t="s">
        <v>30</v>
      </c>
      <c r="C719" s="67"/>
      <c r="D719" s="77"/>
      <c r="E719" s="77"/>
      <c r="F719" s="76"/>
      <c r="G719" s="76"/>
      <c r="H719" s="76"/>
      <c r="I719" s="76"/>
      <c r="J719" s="76"/>
      <c r="K719" s="76"/>
      <c r="L719" s="76"/>
      <c r="M719" s="76"/>
      <c r="N719" s="76"/>
      <c r="O719" s="75"/>
      <c r="P719" s="75"/>
      <c r="Q719" s="75"/>
      <c r="R719" s="75"/>
      <c r="S719" s="75"/>
      <c r="T719" s="75"/>
      <c r="U719" s="74"/>
    </row>
    <row r="720" spans="1:21" ht="17.25" customHeight="1" x14ac:dyDescent="0.3">
      <c r="A720" s="66" t="s">
        <v>30</v>
      </c>
      <c r="C720" s="67"/>
      <c r="D720" s="77"/>
      <c r="E720" s="77" t="s">
        <v>31</v>
      </c>
      <c r="F720" s="76" t="s">
        <v>31</v>
      </c>
      <c r="G720" s="76" t="s">
        <v>31</v>
      </c>
      <c r="H720" s="76"/>
      <c r="I720" s="76"/>
      <c r="J720" s="76" t="s">
        <v>31</v>
      </c>
      <c r="K720" s="76" t="s">
        <v>31</v>
      </c>
      <c r="L720" s="76" t="s">
        <v>31</v>
      </c>
      <c r="M720" s="76" t="s">
        <v>31</v>
      </c>
      <c r="N720" s="76"/>
      <c r="U720" s="81"/>
    </row>
    <row r="721" spans="1:21" ht="20.25" customHeight="1" x14ac:dyDescent="0.35">
      <c r="A721" s="66" t="s">
        <v>30</v>
      </c>
      <c r="C721" s="67"/>
      <c r="D721" s="92" t="str">
        <f t="shared" ref="D721" si="394">E721</f>
        <v>S100014</v>
      </c>
      <c r="E721" s="91" t="str">
        <f>"S100014"</f>
        <v>S100014</v>
      </c>
      <c r="F721" s="89" t="str">
        <f>"Chunky Knit Hat"</f>
        <v>Chunky Knit Hat</v>
      </c>
      <c r="G721" s="89"/>
      <c r="H721" s="90" t="str">
        <f>"EA"</f>
        <v>EA</v>
      </c>
      <c r="I721" s="89"/>
      <c r="J721" s="89"/>
      <c r="K721" s="89"/>
      <c r="L721" s="89"/>
      <c r="M721" s="89"/>
      <c r="N721" s="89"/>
      <c r="O721" s="88">
        <f>(SUBTOTAL(9,O722:O728))</f>
        <v>1600</v>
      </c>
      <c r="P721" s="88">
        <f>(SUBTOTAL(9,P722:P728))</f>
        <v>-434</v>
      </c>
      <c r="Q721" s="88">
        <f>(SUBTOTAL(9,Q722:Q728))</f>
        <v>0</v>
      </c>
      <c r="R721" s="88">
        <f>(SUBTOTAL(9,R722:R728))</f>
        <v>0</v>
      </c>
      <c r="S721" s="88">
        <f>(SUBTOTAL(9,S722:S728))</f>
        <v>0</v>
      </c>
      <c r="T721" s="88">
        <f>(SUBTOTAL(9,T722:T728))</f>
        <v>0</v>
      </c>
      <c r="U721" s="87">
        <f t="shared" ref="U721" si="395">SUBTOTAL(9,O722:T728)</f>
        <v>1166</v>
      </c>
    </row>
    <row r="722" spans="1:21" ht="17.25" customHeight="1" x14ac:dyDescent="0.3">
      <c r="A722" s="66" t="s">
        <v>30</v>
      </c>
      <c r="C722" s="67"/>
      <c r="D722" s="77" t="str">
        <f t="shared" ref="D722" si="396">D721</f>
        <v>S100014</v>
      </c>
      <c r="E722" s="77"/>
      <c r="F722" s="76"/>
      <c r="G722" s="76" t="str">
        <f>"""NAV Direct"",""CRONUS JetCorp USA"",""32"",""1"",""167131"""</f>
        <v>"NAV Direct","CRONUS JetCorp USA","32","1","167131"</v>
      </c>
      <c r="H722" s="86">
        <v>43466</v>
      </c>
      <c r="I722" s="85">
        <v>167131</v>
      </c>
      <c r="J722" s="84" t="str">
        <f>"Vendor"</f>
        <v>Vendor</v>
      </c>
      <c r="K722" s="84" t="str">
        <f>"V100001"</f>
        <v>V100001</v>
      </c>
      <c r="L722" s="84" t="str">
        <f>IF($J722="Customer",_xll.NL("first",$J722,"Name","No.","@@"&amp;$K722),"")</f>
        <v/>
      </c>
      <c r="M722" s="84" t="str">
        <f>"Greigner, Inc."</f>
        <v>Greigner, Inc.</v>
      </c>
      <c r="N722" s="84" t="str">
        <f>IF($J722="Item",_xll.NL("first",$J722,"Description","No.","@@"&amp;$K722),"")</f>
        <v/>
      </c>
      <c r="O722" s="83">
        <v>1600</v>
      </c>
      <c r="P722" s="83">
        <v>0</v>
      </c>
      <c r="Q722" s="83">
        <v>0</v>
      </c>
      <c r="R722" s="83">
        <v>0</v>
      </c>
      <c r="S722" s="83">
        <v>0</v>
      </c>
      <c r="T722" s="83">
        <v>0</v>
      </c>
      <c r="U722" s="82"/>
    </row>
    <row r="723" spans="1:21" ht="17.25" customHeight="1" x14ac:dyDescent="0.3">
      <c r="A723" s="66" t="s">
        <v>30</v>
      </c>
      <c r="C723" s="67"/>
      <c r="D723" s="77" t="str">
        <f t="shared" ref="D723:D727" si="397">D722</f>
        <v>S100014</v>
      </c>
      <c r="E723" s="77"/>
      <c r="F723" s="76"/>
      <c r="G723" s="76" t="str">
        <f>"""NAV Direct"",""CRONUS JetCorp USA"",""32"",""1"",""20367"""</f>
        <v>"NAV Direct","CRONUS JetCorp USA","32","1","20367"</v>
      </c>
      <c r="H723" s="86">
        <v>43468</v>
      </c>
      <c r="I723" s="85">
        <v>20367</v>
      </c>
      <c r="J723" s="84" t="str">
        <f>"Customer"</f>
        <v>Customer</v>
      </c>
      <c r="K723" s="84" t="str">
        <f>"C100145"</f>
        <v>C100145</v>
      </c>
      <c r="L723" s="84" t="str">
        <f>IF($J723="Customer",_xll.NL("first",$J723,"Name","No.","@@"&amp;$K723),"")</f>
        <v>Dicon Industries</v>
      </c>
      <c r="M723" s="84" t="str">
        <f>""</f>
        <v/>
      </c>
      <c r="N723" s="84" t="str">
        <f>IF($J723="Item",_xll.NL("first",$J723,"Description","No.","@@"&amp;$K723),"")</f>
        <v/>
      </c>
      <c r="O723" s="83">
        <v>0</v>
      </c>
      <c r="P723" s="83">
        <v>-144</v>
      </c>
      <c r="Q723" s="83">
        <v>0</v>
      </c>
      <c r="R723" s="83">
        <v>0</v>
      </c>
      <c r="S723" s="83">
        <v>0</v>
      </c>
      <c r="T723" s="83">
        <v>0</v>
      </c>
      <c r="U723" s="82"/>
    </row>
    <row r="724" spans="1:21" ht="17.25" customHeight="1" x14ac:dyDescent="0.3">
      <c r="A724" s="66" t="s">
        <v>30</v>
      </c>
      <c r="C724" s="67"/>
      <c r="D724" s="77" t="str">
        <f t="shared" si="397"/>
        <v>S100014</v>
      </c>
      <c r="E724" s="77"/>
      <c r="F724" s="76"/>
      <c r="G724" s="76" t="str">
        <f>"""NAV Direct"",""CRONUS JetCorp USA"",""32"",""1"",""128878"""</f>
        <v>"NAV Direct","CRONUS JetCorp USA","32","1","128878"</v>
      </c>
      <c r="H724" s="86">
        <v>43472</v>
      </c>
      <c r="I724" s="85">
        <v>128878</v>
      </c>
      <c r="J724" s="84" t="str">
        <f>"Customer"</f>
        <v>Customer</v>
      </c>
      <c r="K724" s="84" t="str">
        <f>"C100105"</f>
        <v>C100105</v>
      </c>
      <c r="L724" s="84" t="str">
        <f>IF($J724="Customer",_xll.NL("first",$J724,"Name","No.","@@"&amp;$K724),"")</f>
        <v>Esystems</v>
      </c>
      <c r="M724" s="84" t="str">
        <f>""</f>
        <v/>
      </c>
      <c r="N724" s="84" t="str">
        <f>IF($J724="Item",_xll.NL("first",$J724,"Description","No.","@@"&amp;$K724),"")</f>
        <v/>
      </c>
      <c r="O724" s="83">
        <v>0</v>
      </c>
      <c r="P724" s="83">
        <v>-1</v>
      </c>
      <c r="Q724" s="83">
        <v>0</v>
      </c>
      <c r="R724" s="83">
        <v>0</v>
      </c>
      <c r="S724" s="83">
        <v>0</v>
      </c>
      <c r="T724" s="83">
        <v>0</v>
      </c>
      <c r="U724" s="82"/>
    </row>
    <row r="725" spans="1:21" ht="17.25" customHeight="1" x14ac:dyDescent="0.3">
      <c r="A725" s="66" t="s">
        <v>30</v>
      </c>
      <c r="C725" s="67"/>
      <c r="D725" s="77" t="str">
        <f t="shared" si="397"/>
        <v>S100014</v>
      </c>
      <c r="E725" s="77"/>
      <c r="F725" s="76"/>
      <c r="G725" s="76" t="str">
        <f>"""NAV Direct"",""CRONUS JetCorp USA"",""32"",""1"",""20351"""</f>
        <v>"NAV Direct","CRONUS JetCorp USA","32","1","20351"</v>
      </c>
      <c r="H725" s="86">
        <v>43475</v>
      </c>
      <c r="I725" s="85">
        <v>20351</v>
      </c>
      <c r="J725" s="84" t="str">
        <f>"Customer"</f>
        <v>Customer</v>
      </c>
      <c r="K725" s="84" t="str">
        <f>"C100097"</f>
        <v>C100097</v>
      </c>
      <c r="L725" s="84" t="str">
        <f>IF($J725="Customer",_xll.NL("first",$J725,"Name","No.","@@"&amp;$K725),"")</f>
        <v>Solotech</v>
      </c>
      <c r="M725" s="84" t="str">
        <f>""</f>
        <v/>
      </c>
      <c r="N725" s="84" t="str">
        <f>IF($J725="Item",_xll.NL("first",$J725,"Description","No.","@@"&amp;$K725),"")</f>
        <v/>
      </c>
      <c r="O725" s="83">
        <v>0</v>
      </c>
      <c r="P725" s="83">
        <v>-144</v>
      </c>
      <c r="Q725" s="83">
        <v>0</v>
      </c>
      <c r="R725" s="83">
        <v>0</v>
      </c>
      <c r="S725" s="83">
        <v>0</v>
      </c>
      <c r="T725" s="83">
        <v>0</v>
      </c>
      <c r="U725" s="82"/>
    </row>
    <row r="726" spans="1:21" ht="17.25" customHeight="1" x14ac:dyDescent="0.3">
      <c r="A726" s="66" t="s">
        <v>30</v>
      </c>
      <c r="C726" s="67"/>
      <c r="D726" s="77" t="str">
        <f t="shared" si="397"/>
        <v>S100014</v>
      </c>
      <c r="E726" s="77"/>
      <c r="F726" s="76"/>
      <c r="G726" s="76" t="str">
        <f>"""NAV Direct"",""CRONUS JetCorp USA"",""32"",""1"",""25276"""</f>
        <v>"NAV Direct","CRONUS JetCorp USA","32","1","25276"</v>
      </c>
      <c r="H726" s="86">
        <v>43476</v>
      </c>
      <c r="I726" s="85">
        <v>25276</v>
      </c>
      <c r="J726" s="84" t="str">
        <f>"Customer"</f>
        <v>Customer</v>
      </c>
      <c r="K726" s="84" t="str">
        <f>"C100102"</f>
        <v>C100102</v>
      </c>
      <c r="L726" s="84" t="str">
        <f>IF($J726="Customer",_xll.NL("first",$J726,"Name","No.","@@"&amp;$K726),"")</f>
        <v xml:space="preserve">BEI Outfitters </v>
      </c>
      <c r="M726" s="84" t="str">
        <f>""</f>
        <v/>
      </c>
      <c r="N726" s="84" t="str">
        <f>IF($J726="Item",_xll.NL("first",$J726,"Description","No.","@@"&amp;$K726),"")</f>
        <v/>
      </c>
      <c r="O726" s="83">
        <v>0</v>
      </c>
      <c r="P726" s="83">
        <v>-1</v>
      </c>
      <c r="Q726" s="83">
        <v>0</v>
      </c>
      <c r="R726" s="83">
        <v>0</v>
      </c>
      <c r="S726" s="83">
        <v>0</v>
      </c>
      <c r="T726" s="83">
        <v>0</v>
      </c>
      <c r="U726" s="82"/>
    </row>
    <row r="727" spans="1:21" ht="17.25" customHeight="1" x14ac:dyDescent="0.3">
      <c r="A727" s="66" t="s">
        <v>30</v>
      </c>
      <c r="C727" s="67"/>
      <c r="D727" s="77" t="str">
        <f t="shared" si="397"/>
        <v>S100014</v>
      </c>
      <c r="E727" s="77"/>
      <c r="F727" s="76"/>
      <c r="G727" s="76" t="str">
        <f>"""NAV Direct"",""CRONUS JetCorp USA"",""32"",""1"",""25284"""</f>
        <v>"NAV Direct","CRONUS JetCorp USA","32","1","25284"</v>
      </c>
      <c r="H727" s="86">
        <v>43477</v>
      </c>
      <c r="I727" s="85">
        <v>25284</v>
      </c>
      <c r="J727" s="84" t="str">
        <f>"Customer"</f>
        <v>Customer</v>
      </c>
      <c r="K727" s="84" t="str">
        <f>"C100138"</f>
        <v>C100138</v>
      </c>
      <c r="L727" s="84" t="str">
        <f>IF($J727="Customer",_xll.NL("first",$J727,"Name","No.","@@"&amp;$K727),"")</f>
        <v>Dantons</v>
      </c>
      <c r="M727" s="84" t="str">
        <f>""</f>
        <v/>
      </c>
      <c r="N727" s="84" t="str">
        <f>IF($J727="Item",_xll.NL("first",$J727,"Description","No.","@@"&amp;$K727),"")</f>
        <v/>
      </c>
      <c r="O727" s="83">
        <v>0</v>
      </c>
      <c r="P727" s="83">
        <v>-144</v>
      </c>
      <c r="Q727" s="83">
        <v>0</v>
      </c>
      <c r="R727" s="83">
        <v>0</v>
      </c>
      <c r="S727" s="83">
        <v>0</v>
      </c>
      <c r="T727" s="83">
        <v>0</v>
      </c>
      <c r="U727" s="82"/>
    </row>
    <row r="728" spans="1:21" ht="17.25" customHeight="1" x14ac:dyDescent="0.3">
      <c r="A728" s="66" t="s">
        <v>30</v>
      </c>
      <c r="C728" s="67"/>
      <c r="D728" s="77"/>
      <c r="E728" s="77"/>
      <c r="F728" s="76"/>
      <c r="G728" s="76"/>
      <c r="H728" s="76"/>
      <c r="I728" s="76"/>
      <c r="J728" s="76"/>
      <c r="K728" s="76"/>
      <c r="L728" s="76"/>
      <c r="M728" s="76"/>
      <c r="N728" s="76"/>
      <c r="O728" s="75"/>
      <c r="P728" s="75"/>
      <c r="Q728" s="75"/>
      <c r="R728" s="75"/>
      <c r="S728" s="75"/>
      <c r="T728" s="75"/>
      <c r="U728" s="74"/>
    </row>
    <row r="729" spans="1:21" ht="17.25" customHeight="1" x14ac:dyDescent="0.3">
      <c r="A729" s="66" t="s">
        <v>30</v>
      </c>
      <c r="C729" s="67"/>
      <c r="D729" s="77"/>
      <c r="E729" s="77" t="s">
        <v>31</v>
      </c>
      <c r="F729" s="76" t="s">
        <v>31</v>
      </c>
      <c r="G729" s="76" t="s">
        <v>31</v>
      </c>
      <c r="H729" s="76"/>
      <c r="I729" s="76"/>
      <c r="J729" s="76" t="s">
        <v>31</v>
      </c>
      <c r="K729" s="76" t="s">
        <v>31</v>
      </c>
      <c r="L729" s="76" t="s">
        <v>31</v>
      </c>
      <c r="M729" s="76" t="s">
        <v>31</v>
      </c>
      <c r="N729" s="76"/>
      <c r="U729" s="81"/>
    </row>
    <row r="730" spans="1:21" ht="20.25" customHeight="1" x14ac:dyDescent="0.35">
      <c r="A730" s="66" t="s">
        <v>30</v>
      </c>
      <c r="C730" s="67"/>
      <c r="D730" s="92" t="str">
        <f t="shared" ref="D730" si="398">E730</f>
        <v>S100015</v>
      </c>
      <c r="E730" s="91" t="str">
        <f>"S100015"</f>
        <v>S100015</v>
      </c>
      <c r="F730" s="89" t="str">
        <f>"Raw-Edge Bucket Hat"</f>
        <v>Raw-Edge Bucket Hat</v>
      </c>
      <c r="G730" s="89"/>
      <c r="H730" s="90" t="str">
        <f>"EA"</f>
        <v>EA</v>
      </c>
      <c r="I730" s="89"/>
      <c r="J730" s="89"/>
      <c r="K730" s="89"/>
      <c r="L730" s="89"/>
      <c r="M730" s="89"/>
      <c r="N730" s="89"/>
      <c r="O730" s="88">
        <f>(SUBTOTAL(9,O731:O736))</f>
        <v>2800</v>
      </c>
      <c r="P730" s="88">
        <f>(SUBTOTAL(9,P731:P736))</f>
        <v>-576</v>
      </c>
      <c r="Q730" s="88">
        <f>(SUBTOTAL(9,Q731:Q736))</f>
        <v>0</v>
      </c>
      <c r="R730" s="88">
        <f>(SUBTOTAL(9,R731:R736))</f>
        <v>0</v>
      </c>
      <c r="S730" s="88">
        <f>(SUBTOTAL(9,S731:S736))</f>
        <v>0</v>
      </c>
      <c r="T730" s="88">
        <f>(SUBTOTAL(9,T731:T736))</f>
        <v>0</v>
      </c>
      <c r="U730" s="87">
        <f t="shared" ref="U730" si="399">SUBTOTAL(9,O731:T736)</f>
        <v>2224</v>
      </c>
    </row>
    <row r="731" spans="1:21" ht="17.25" customHeight="1" x14ac:dyDescent="0.3">
      <c r="A731" s="66" t="s">
        <v>30</v>
      </c>
      <c r="C731" s="67"/>
      <c r="D731" s="77" t="str">
        <f t="shared" ref="D731" si="400">D730</f>
        <v>S100015</v>
      </c>
      <c r="E731" s="77"/>
      <c r="F731" s="76"/>
      <c r="G731" s="76" t="str">
        <f>"""NAV Direct"",""CRONUS JetCorp USA"",""32"",""1"",""167130"""</f>
        <v>"NAV Direct","CRONUS JetCorp USA","32","1","167130"</v>
      </c>
      <c r="H731" s="86">
        <v>43466</v>
      </c>
      <c r="I731" s="85">
        <v>167130</v>
      </c>
      <c r="J731" s="84" t="str">
        <f>"Vendor"</f>
        <v>Vendor</v>
      </c>
      <c r="K731" s="84" t="str">
        <f>"V100001"</f>
        <v>V100001</v>
      </c>
      <c r="L731" s="84" t="str">
        <f>IF($J731="Customer",_xll.NL("first",$J731,"Name","No.","@@"&amp;$K731),"")</f>
        <v/>
      </c>
      <c r="M731" s="84" t="str">
        <f>"Greigner, Inc."</f>
        <v>Greigner, Inc.</v>
      </c>
      <c r="N731" s="84" t="str">
        <f>IF($J731="Item",_xll.NL("first",$J731,"Description","No.","@@"&amp;$K731),"")</f>
        <v/>
      </c>
      <c r="O731" s="83">
        <v>2800</v>
      </c>
      <c r="P731" s="83">
        <v>0</v>
      </c>
      <c r="Q731" s="83">
        <v>0</v>
      </c>
      <c r="R731" s="83">
        <v>0</v>
      </c>
      <c r="S731" s="83">
        <v>0</v>
      </c>
      <c r="T731" s="83">
        <v>0</v>
      </c>
      <c r="U731" s="82"/>
    </row>
    <row r="732" spans="1:21" ht="17.25" customHeight="1" x14ac:dyDescent="0.3">
      <c r="A732" s="66" t="s">
        <v>30</v>
      </c>
      <c r="C732" s="67"/>
      <c r="D732" s="77" t="str">
        <f t="shared" ref="D732:D735" si="401">D731</f>
        <v>S100015</v>
      </c>
      <c r="E732" s="77"/>
      <c r="F732" s="76"/>
      <c r="G732" s="76" t="str">
        <f>"""NAV Direct"",""CRONUS JetCorp USA"",""32"",""1"",""20369"""</f>
        <v>"NAV Direct","CRONUS JetCorp USA","32","1","20369"</v>
      </c>
      <c r="H732" s="86">
        <v>43468</v>
      </c>
      <c r="I732" s="85">
        <v>20369</v>
      </c>
      <c r="J732" s="84" t="str">
        <f>"Customer"</f>
        <v>Customer</v>
      </c>
      <c r="K732" s="84" t="str">
        <f>"C100145"</f>
        <v>C100145</v>
      </c>
      <c r="L732" s="84" t="str">
        <f>IF($J732="Customer",_xll.NL("first",$J732,"Name","No.","@@"&amp;$K732),"")</f>
        <v>Dicon Industries</v>
      </c>
      <c r="M732" s="84" t="str">
        <f>""</f>
        <v/>
      </c>
      <c r="N732" s="84" t="str">
        <f>IF($J732="Item",_xll.NL("first",$J732,"Description","No.","@@"&amp;$K732),"")</f>
        <v/>
      </c>
      <c r="O732" s="83">
        <v>0</v>
      </c>
      <c r="P732" s="83">
        <v>-144</v>
      </c>
      <c r="Q732" s="83">
        <v>0</v>
      </c>
      <c r="R732" s="83">
        <v>0</v>
      </c>
      <c r="S732" s="83">
        <v>0</v>
      </c>
      <c r="T732" s="83">
        <v>0</v>
      </c>
      <c r="U732" s="82"/>
    </row>
    <row r="733" spans="1:21" ht="17.25" customHeight="1" x14ac:dyDescent="0.3">
      <c r="A733" s="66" t="s">
        <v>30</v>
      </c>
      <c r="C733" s="67"/>
      <c r="D733" s="77" t="str">
        <f t="shared" si="401"/>
        <v>S100015</v>
      </c>
      <c r="E733" s="77"/>
      <c r="F733" s="76"/>
      <c r="G733" s="76" t="str">
        <f>"""NAV Direct"",""CRONUS JetCorp USA"",""32"",""1"",""128851"""</f>
        <v>"NAV Direct","CRONUS JetCorp USA","32","1","128851"</v>
      </c>
      <c r="H733" s="86">
        <v>43471</v>
      </c>
      <c r="I733" s="85">
        <v>128851</v>
      </c>
      <c r="J733" s="84" t="str">
        <f>"Customer"</f>
        <v>Customer</v>
      </c>
      <c r="K733" s="84" t="str">
        <f>"C100138"</f>
        <v>C100138</v>
      </c>
      <c r="L733" s="84" t="str">
        <f>IF($J733="Customer",_xll.NL("first",$J733,"Name","No.","@@"&amp;$K733),"")</f>
        <v>Dantons</v>
      </c>
      <c r="M733" s="84" t="str">
        <f>""</f>
        <v/>
      </c>
      <c r="N733" s="84" t="str">
        <f>IF($J733="Item",_xll.NL("first",$J733,"Description","No.","@@"&amp;$K733),"")</f>
        <v/>
      </c>
      <c r="O733" s="83">
        <v>0</v>
      </c>
      <c r="P733" s="83">
        <v>-144</v>
      </c>
      <c r="Q733" s="83">
        <v>0</v>
      </c>
      <c r="R733" s="83">
        <v>0</v>
      </c>
      <c r="S733" s="83">
        <v>0</v>
      </c>
      <c r="T733" s="83">
        <v>0</v>
      </c>
      <c r="U733" s="82"/>
    </row>
    <row r="734" spans="1:21" ht="17.25" customHeight="1" x14ac:dyDescent="0.3">
      <c r="A734" s="66" t="s">
        <v>30</v>
      </c>
      <c r="C734" s="67"/>
      <c r="D734" s="77" t="str">
        <f t="shared" si="401"/>
        <v>S100015</v>
      </c>
      <c r="E734" s="77"/>
      <c r="F734" s="76"/>
      <c r="G734" s="76" t="str">
        <f>"""NAV Direct"",""CRONUS JetCorp USA"",""32"",""1"",""25265"""</f>
        <v>"NAV Direct","CRONUS JetCorp USA","32","1","25265"</v>
      </c>
      <c r="H734" s="86">
        <v>43476</v>
      </c>
      <c r="I734" s="85">
        <v>25265</v>
      </c>
      <c r="J734" s="84" t="str">
        <f>"Customer"</f>
        <v>Customer</v>
      </c>
      <c r="K734" s="84" t="str">
        <f>"C100102"</f>
        <v>C100102</v>
      </c>
      <c r="L734" s="84" t="str">
        <f>IF($J734="Customer",_xll.NL("first",$J734,"Name","No.","@@"&amp;$K734),"")</f>
        <v xml:space="preserve">BEI Outfitters </v>
      </c>
      <c r="M734" s="84" t="str">
        <f>""</f>
        <v/>
      </c>
      <c r="N734" s="84" t="str">
        <f>IF($J734="Item",_xll.NL("first",$J734,"Description","No.","@@"&amp;$K734),"")</f>
        <v/>
      </c>
      <c r="O734" s="83">
        <v>0</v>
      </c>
      <c r="P734" s="83">
        <v>-144</v>
      </c>
      <c r="Q734" s="83">
        <v>0</v>
      </c>
      <c r="R734" s="83">
        <v>0</v>
      </c>
      <c r="S734" s="83">
        <v>0</v>
      </c>
      <c r="T734" s="83">
        <v>0</v>
      </c>
      <c r="U734" s="82"/>
    </row>
    <row r="735" spans="1:21" ht="17.25" customHeight="1" x14ac:dyDescent="0.3">
      <c r="A735" s="66" t="s">
        <v>30</v>
      </c>
      <c r="C735" s="67"/>
      <c r="D735" s="77" t="str">
        <f t="shared" si="401"/>
        <v>S100015</v>
      </c>
      <c r="E735" s="77"/>
      <c r="F735" s="76"/>
      <c r="G735" s="76" t="str">
        <f>"""NAV Direct"",""CRONUS JetCorp USA"",""32"",""1"",""132521"""</f>
        <v>"NAV Direct","CRONUS JetCorp USA","32","1","132521"</v>
      </c>
      <c r="H735" s="86">
        <v>43477</v>
      </c>
      <c r="I735" s="85">
        <v>132521</v>
      </c>
      <c r="J735" s="84" t="str">
        <f>"Customer"</f>
        <v>Customer</v>
      </c>
      <c r="K735" s="84" t="str">
        <f>"C100082"</f>
        <v>C100082</v>
      </c>
      <c r="L735" s="84" t="str">
        <f>IF($J735="Customer",_xll.NL("first",$J735,"Name","No.","@@"&amp;$K735),"")</f>
        <v>Sporting Goods Emporium</v>
      </c>
      <c r="M735" s="84" t="str">
        <f>""</f>
        <v/>
      </c>
      <c r="N735" s="84" t="str">
        <f>IF($J735="Item",_xll.NL("first",$J735,"Description","No.","@@"&amp;$K735),"")</f>
        <v/>
      </c>
      <c r="O735" s="83">
        <v>0</v>
      </c>
      <c r="P735" s="83">
        <v>-144</v>
      </c>
      <c r="Q735" s="83">
        <v>0</v>
      </c>
      <c r="R735" s="83">
        <v>0</v>
      </c>
      <c r="S735" s="83">
        <v>0</v>
      </c>
      <c r="T735" s="83">
        <v>0</v>
      </c>
      <c r="U735" s="82"/>
    </row>
    <row r="736" spans="1:21" ht="17.25" customHeight="1" x14ac:dyDescent="0.3">
      <c r="A736" s="66" t="s">
        <v>30</v>
      </c>
      <c r="C736" s="67"/>
      <c r="D736" s="77"/>
      <c r="E736" s="77"/>
      <c r="F736" s="76"/>
      <c r="G736" s="76"/>
      <c r="H736" s="76"/>
      <c r="I736" s="76"/>
      <c r="J736" s="76"/>
      <c r="K736" s="76"/>
      <c r="L736" s="76"/>
      <c r="M736" s="76"/>
      <c r="N736" s="76"/>
      <c r="O736" s="75"/>
      <c r="P736" s="75"/>
      <c r="Q736" s="75"/>
      <c r="R736" s="75"/>
      <c r="S736" s="75"/>
      <c r="T736" s="75"/>
      <c r="U736" s="74"/>
    </row>
    <row r="737" spans="1:21" ht="17.25" customHeight="1" x14ac:dyDescent="0.3">
      <c r="A737" s="66" t="s">
        <v>30</v>
      </c>
      <c r="C737" s="67"/>
      <c r="D737" s="77"/>
      <c r="E737" s="77" t="s">
        <v>31</v>
      </c>
      <c r="F737" s="76" t="s">
        <v>31</v>
      </c>
      <c r="G737" s="76" t="s">
        <v>31</v>
      </c>
      <c r="H737" s="76"/>
      <c r="I737" s="76"/>
      <c r="J737" s="76" t="s">
        <v>31</v>
      </c>
      <c r="K737" s="76" t="s">
        <v>31</v>
      </c>
      <c r="L737" s="76" t="s">
        <v>31</v>
      </c>
      <c r="M737" s="76" t="s">
        <v>31</v>
      </c>
      <c r="N737" s="76"/>
      <c r="U737" s="81"/>
    </row>
    <row r="738" spans="1:21" ht="20.25" customHeight="1" x14ac:dyDescent="0.35">
      <c r="A738" s="66" t="s">
        <v>30</v>
      </c>
      <c r="C738" s="67"/>
      <c r="D738" s="92" t="str">
        <f t="shared" ref="D738" si="402">E738</f>
        <v>S100016</v>
      </c>
      <c r="E738" s="91" t="str">
        <f>"S100016"</f>
        <v>S100016</v>
      </c>
      <c r="F738" s="89" t="str">
        <f>"Mesh Bucket Hat"</f>
        <v>Mesh Bucket Hat</v>
      </c>
      <c r="G738" s="89"/>
      <c r="H738" s="90" t="str">
        <f>"EA"</f>
        <v>EA</v>
      </c>
      <c r="I738" s="89"/>
      <c r="J738" s="89"/>
      <c r="K738" s="89"/>
      <c r="L738" s="89"/>
      <c r="M738" s="89"/>
      <c r="N738" s="89"/>
      <c r="O738" s="88">
        <f>(SUBTOTAL(9,O739:O745))</f>
        <v>3999.9999999999995</v>
      </c>
      <c r="P738" s="88">
        <f>(SUBTOTAL(9,P739:P745))</f>
        <v>-912</v>
      </c>
      <c r="Q738" s="88">
        <f>(SUBTOTAL(9,Q739:Q745))</f>
        <v>0</v>
      </c>
      <c r="R738" s="88">
        <f>(SUBTOTAL(9,R739:R745))</f>
        <v>0</v>
      </c>
      <c r="S738" s="88">
        <f>(SUBTOTAL(9,S739:S745))</f>
        <v>0</v>
      </c>
      <c r="T738" s="88">
        <f>(SUBTOTAL(9,T739:T745))</f>
        <v>0</v>
      </c>
      <c r="U738" s="87">
        <f t="shared" ref="U738" si="403">SUBTOTAL(9,O739:T745)</f>
        <v>3087.9999999999995</v>
      </c>
    </row>
    <row r="739" spans="1:21" ht="17.25" customHeight="1" x14ac:dyDescent="0.3">
      <c r="A739" s="66" t="s">
        <v>30</v>
      </c>
      <c r="C739" s="67"/>
      <c r="D739" s="77" t="str">
        <f t="shared" ref="D739" si="404">D738</f>
        <v>S100016</v>
      </c>
      <c r="E739" s="77"/>
      <c r="F739" s="76"/>
      <c r="G739" s="76" t="str">
        <f>"""NAV Direct"",""CRONUS JetCorp USA"",""32"",""1"",""167129"""</f>
        <v>"NAV Direct","CRONUS JetCorp USA","32","1","167129"</v>
      </c>
      <c r="H739" s="86">
        <v>43466</v>
      </c>
      <c r="I739" s="85">
        <v>167129</v>
      </c>
      <c r="J739" s="84" t="str">
        <f>"Vendor"</f>
        <v>Vendor</v>
      </c>
      <c r="K739" s="84" t="str">
        <f>"V100001"</f>
        <v>V100001</v>
      </c>
      <c r="L739" s="84" t="str">
        <f>IF($J739="Customer",_xll.NL("first",$J739,"Name","No.","@@"&amp;$K739),"")</f>
        <v/>
      </c>
      <c r="M739" s="84" t="str">
        <f>"Greigner, Inc."</f>
        <v>Greigner, Inc.</v>
      </c>
      <c r="N739" s="84" t="str">
        <f>IF($J739="Item",_xll.NL("first",$J739,"Description","No.","@@"&amp;$K739),"")</f>
        <v/>
      </c>
      <c r="O739" s="83">
        <v>3999.9999999999995</v>
      </c>
      <c r="P739" s="83">
        <v>0</v>
      </c>
      <c r="Q739" s="83">
        <v>0</v>
      </c>
      <c r="R739" s="83">
        <v>0</v>
      </c>
      <c r="S739" s="83">
        <v>0</v>
      </c>
      <c r="T739" s="83">
        <v>0</v>
      </c>
      <c r="U739" s="82"/>
    </row>
    <row r="740" spans="1:21" ht="17.25" customHeight="1" x14ac:dyDescent="0.3">
      <c r="A740" s="66" t="s">
        <v>30</v>
      </c>
      <c r="C740" s="67"/>
      <c r="D740" s="77" t="str">
        <f t="shared" ref="D740:D744" si="405">D739</f>
        <v>S100016</v>
      </c>
      <c r="E740" s="77"/>
      <c r="F740" s="76"/>
      <c r="G740" s="76" t="str">
        <f>"""NAV Direct"",""CRONUS JetCorp USA"",""32"",""1"",""20334"""</f>
        <v>"NAV Direct","CRONUS JetCorp USA","32","1","20334"</v>
      </c>
      <c r="H740" s="86">
        <v>43472</v>
      </c>
      <c r="I740" s="85">
        <v>20334</v>
      </c>
      <c r="J740" s="84" t="str">
        <f>"Customer"</f>
        <v>Customer</v>
      </c>
      <c r="K740" s="84" t="str">
        <f>"C100145"</f>
        <v>C100145</v>
      </c>
      <c r="L740" s="84" t="str">
        <f>IF($J740="Customer",_xll.NL("first",$J740,"Name","No.","@@"&amp;$K740),"")</f>
        <v>Dicon Industries</v>
      </c>
      <c r="M740" s="84" t="str">
        <f>""</f>
        <v/>
      </c>
      <c r="N740" s="84" t="str">
        <f>IF($J740="Item",_xll.NL("first",$J740,"Description","No.","@@"&amp;$K740),"")</f>
        <v/>
      </c>
      <c r="O740" s="83">
        <v>0</v>
      </c>
      <c r="P740" s="83">
        <v>-288</v>
      </c>
      <c r="Q740" s="83">
        <v>0</v>
      </c>
      <c r="R740" s="83">
        <v>0</v>
      </c>
      <c r="S740" s="83">
        <v>0</v>
      </c>
      <c r="T740" s="83">
        <v>0</v>
      </c>
      <c r="U740" s="82"/>
    </row>
    <row r="741" spans="1:21" ht="17.25" customHeight="1" x14ac:dyDescent="0.3">
      <c r="A741" s="66" t="s">
        <v>30</v>
      </c>
      <c r="C741" s="67"/>
      <c r="D741" s="77" t="str">
        <f t="shared" si="405"/>
        <v>S100016</v>
      </c>
      <c r="E741" s="77"/>
      <c r="F741" s="76"/>
      <c r="G741" s="76" t="str">
        <f>"""NAV Direct"",""CRONUS JetCorp USA"",""32"",""1"",""128871"""</f>
        <v>"NAV Direct","CRONUS JetCorp USA","32","1","128871"</v>
      </c>
      <c r="H741" s="86">
        <v>43472</v>
      </c>
      <c r="I741" s="85">
        <v>128871</v>
      </c>
      <c r="J741" s="84" t="str">
        <f>"Customer"</f>
        <v>Customer</v>
      </c>
      <c r="K741" s="84" t="str">
        <f>"C100105"</f>
        <v>C100105</v>
      </c>
      <c r="L741" s="84" t="str">
        <f>IF($J741="Customer",_xll.NL("first",$J741,"Name","No.","@@"&amp;$K741),"")</f>
        <v>Esystems</v>
      </c>
      <c r="M741" s="84" t="str">
        <f>""</f>
        <v/>
      </c>
      <c r="N741" s="84" t="str">
        <f>IF($J741="Item",_xll.NL("first",$J741,"Description","No.","@@"&amp;$K741),"")</f>
        <v/>
      </c>
      <c r="O741" s="83">
        <v>0</v>
      </c>
      <c r="P741" s="83">
        <v>-144</v>
      </c>
      <c r="Q741" s="83">
        <v>0</v>
      </c>
      <c r="R741" s="83">
        <v>0</v>
      </c>
      <c r="S741" s="83">
        <v>0</v>
      </c>
      <c r="T741" s="83">
        <v>0</v>
      </c>
      <c r="U741" s="82"/>
    </row>
    <row r="742" spans="1:21" ht="17.25" customHeight="1" x14ac:dyDescent="0.3">
      <c r="A742" s="66" t="s">
        <v>30</v>
      </c>
      <c r="C742" s="67"/>
      <c r="D742" s="77" t="str">
        <f t="shared" si="405"/>
        <v>S100016</v>
      </c>
      <c r="E742" s="77"/>
      <c r="F742" s="76"/>
      <c r="G742" s="76" t="str">
        <f>"""NAV Direct"",""CRONUS JetCorp USA"",""32"",""1"",""124525"""</f>
        <v>"NAV Direct","CRONUS JetCorp USA","32","1","124525"</v>
      </c>
      <c r="H742" s="86">
        <v>43474</v>
      </c>
      <c r="I742" s="85">
        <v>124525</v>
      </c>
      <c r="J742" s="84" t="str">
        <f>"Customer"</f>
        <v>Customer</v>
      </c>
      <c r="K742" s="84" t="str">
        <f>"C100145"</f>
        <v>C100145</v>
      </c>
      <c r="L742" s="84" t="str">
        <f>IF($J742="Customer",_xll.NL("first",$J742,"Name","No.","@@"&amp;$K742),"")</f>
        <v>Dicon Industries</v>
      </c>
      <c r="M742" s="84" t="str">
        <f>""</f>
        <v/>
      </c>
      <c r="N742" s="84" t="str">
        <f>IF($J742="Item",_xll.NL("first",$J742,"Description","No.","@@"&amp;$K742),"")</f>
        <v/>
      </c>
      <c r="O742" s="83">
        <v>0</v>
      </c>
      <c r="P742" s="83">
        <v>-192</v>
      </c>
      <c r="Q742" s="83">
        <v>0</v>
      </c>
      <c r="R742" s="83">
        <v>0</v>
      </c>
      <c r="S742" s="83">
        <v>0</v>
      </c>
      <c r="T742" s="83">
        <v>0</v>
      </c>
      <c r="U742" s="82"/>
    </row>
    <row r="743" spans="1:21" ht="17.25" customHeight="1" x14ac:dyDescent="0.3">
      <c r="A743" s="66" t="s">
        <v>30</v>
      </c>
      <c r="C743" s="67"/>
      <c r="D743" s="77" t="str">
        <f t="shared" si="405"/>
        <v>S100016</v>
      </c>
      <c r="E743" s="77"/>
      <c r="F743" s="76"/>
      <c r="G743" s="76" t="str">
        <f>"""NAV Direct"",""CRONUS JetCorp USA"",""32"",""1"",""25266"""</f>
        <v>"NAV Direct","CRONUS JetCorp USA","32","1","25266"</v>
      </c>
      <c r="H743" s="86">
        <v>43476</v>
      </c>
      <c r="I743" s="85">
        <v>25266</v>
      </c>
      <c r="J743" s="84" t="str">
        <f>"Customer"</f>
        <v>Customer</v>
      </c>
      <c r="K743" s="84" t="str">
        <f>"C100102"</f>
        <v>C100102</v>
      </c>
      <c r="L743" s="84" t="str">
        <f>IF($J743="Customer",_xll.NL("first",$J743,"Name","No.","@@"&amp;$K743),"")</f>
        <v xml:space="preserve">BEI Outfitters </v>
      </c>
      <c r="M743" s="84" t="str">
        <f>""</f>
        <v/>
      </c>
      <c r="N743" s="84" t="str">
        <f>IF($J743="Item",_xll.NL("first",$J743,"Description","No.","@@"&amp;$K743),"")</f>
        <v/>
      </c>
      <c r="O743" s="83">
        <v>0</v>
      </c>
      <c r="P743" s="83">
        <v>-144</v>
      </c>
      <c r="Q743" s="83">
        <v>0</v>
      </c>
      <c r="R743" s="83">
        <v>0</v>
      </c>
      <c r="S743" s="83">
        <v>0</v>
      </c>
      <c r="T743" s="83">
        <v>0</v>
      </c>
      <c r="U743" s="82"/>
    </row>
    <row r="744" spans="1:21" ht="17.25" customHeight="1" x14ac:dyDescent="0.3">
      <c r="A744" s="66" t="s">
        <v>30</v>
      </c>
      <c r="C744" s="67"/>
      <c r="D744" s="77" t="str">
        <f t="shared" si="405"/>
        <v>S100016</v>
      </c>
      <c r="E744" s="77"/>
      <c r="F744" s="76"/>
      <c r="G744" s="76" t="str">
        <f>"""NAV Direct"",""CRONUS JetCorp USA"",""32"",""1"",""25288"""</f>
        <v>"NAV Direct","CRONUS JetCorp USA","32","1","25288"</v>
      </c>
      <c r="H744" s="86">
        <v>43477</v>
      </c>
      <c r="I744" s="85">
        <v>25288</v>
      </c>
      <c r="J744" s="84" t="str">
        <f>"Customer"</f>
        <v>Customer</v>
      </c>
      <c r="K744" s="84" t="str">
        <f>"C100138"</f>
        <v>C100138</v>
      </c>
      <c r="L744" s="84" t="str">
        <f>IF($J744="Customer",_xll.NL("first",$J744,"Name","No.","@@"&amp;$K744),"")</f>
        <v>Dantons</v>
      </c>
      <c r="M744" s="84" t="str">
        <f>""</f>
        <v/>
      </c>
      <c r="N744" s="84" t="str">
        <f>IF($J744="Item",_xll.NL("first",$J744,"Description","No.","@@"&amp;$K744),"")</f>
        <v/>
      </c>
      <c r="O744" s="83">
        <v>0</v>
      </c>
      <c r="P744" s="83">
        <v>-144</v>
      </c>
      <c r="Q744" s="83">
        <v>0</v>
      </c>
      <c r="R744" s="83">
        <v>0</v>
      </c>
      <c r="S744" s="83">
        <v>0</v>
      </c>
      <c r="T744" s="83">
        <v>0</v>
      </c>
      <c r="U744" s="82"/>
    </row>
    <row r="745" spans="1:21" ht="17.25" customHeight="1" x14ac:dyDescent="0.3">
      <c r="A745" s="66" t="s">
        <v>30</v>
      </c>
      <c r="C745" s="67"/>
      <c r="D745" s="77"/>
      <c r="E745" s="77"/>
      <c r="F745" s="76"/>
      <c r="G745" s="76"/>
      <c r="H745" s="76"/>
      <c r="I745" s="76"/>
      <c r="J745" s="76"/>
      <c r="K745" s="76"/>
      <c r="L745" s="76"/>
      <c r="M745" s="76"/>
      <c r="N745" s="76"/>
      <c r="O745" s="75"/>
      <c r="P745" s="75"/>
      <c r="Q745" s="75"/>
      <c r="R745" s="75"/>
      <c r="S745" s="75"/>
      <c r="T745" s="75"/>
      <c r="U745" s="74"/>
    </row>
    <row r="746" spans="1:21" ht="17.25" customHeight="1" x14ac:dyDescent="0.3">
      <c r="A746" s="66" t="s">
        <v>30</v>
      </c>
      <c r="C746" s="67"/>
      <c r="D746" s="77"/>
      <c r="E746" s="77" t="s">
        <v>31</v>
      </c>
      <c r="F746" s="76" t="s">
        <v>31</v>
      </c>
      <c r="G746" s="76" t="s">
        <v>31</v>
      </c>
      <c r="H746" s="76"/>
      <c r="I746" s="76"/>
      <c r="J746" s="76" t="s">
        <v>31</v>
      </c>
      <c r="K746" s="76" t="s">
        <v>31</v>
      </c>
      <c r="L746" s="76" t="s">
        <v>31</v>
      </c>
      <c r="M746" s="76" t="s">
        <v>31</v>
      </c>
      <c r="N746" s="76"/>
      <c r="U746" s="81"/>
    </row>
    <row r="747" spans="1:21" ht="20.25" customHeight="1" x14ac:dyDescent="0.35">
      <c r="A747" s="66" t="s">
        <v>30</v>
      </c>
      <c r="C747" s="67"/>
      <c r="D747" s="92" t="str">
        <f t="shared" ref="D747" si="406">E747</f>
        <v>S100017</v>
      </c>
      <c r="E747" s="91" t="str">
        <f>"S100017"</f>
        <v>S100017</v>
      </c>
      <c r="F747" s="89" t="str">
        <f>"Microfiber Bucket Hat"</f>
        <v>Microfiber Bucket Hat</v>
      </c>
      <c r="G747" s="89"/>
      <c r="H747" s="90" t="str">
        <f>"EA"</f>
        <v>EA</v>
      </c>
      <c r="I747" s="89"/>
      <c r="J747" s="89"/>
      <c r="K747" s="89"/>
      <c r="L747" s="89"/>
      <c r="M747" s="89"/>
      <c r="N747" s="89"/>
      <c r="O747" s="88">
        <f>(SUBTOTAL(9,O748:O752))</f>
        <v>3200</v>
      </c>
      <c r="P747" s="88">
        <f>(SUBTOTAL(9,P748:P752))</f>
        <v>-576</v>
      </c>
      <c r="Q747" s="88">
        <f>(SUBTOTAL(9,Q748:Q752))</f>
        <v>0</v>
      </c>
      <c r="R747" s="88">
        <f>(SUBTOTAL(9,R748:R752))</f>
        <v>0</v>
      </c>
      <c r="S747" s="88">
        <f>(SUBTOTAL(9,S748:S752))</f>
        <v>0</v>
      </c>
      <c r="T747" s="88">
        <f>(SUBTOTAL(9,T748:T752))</f>
        <v>0</v>
      </c>
      <c r="U747" s="87">
        <f t="shared" ref="U747" si="407">SUBTOTAL(9,O748:T752)</f>
        <v>2624</v>
      </c>
    </row>
    <row r="748" spans="1:21" ht="17.25" customHeight="1" x14ac:dyDescent="0.3">
      <c r="A748" s="66" t="s">
        <v>30</v>
      </c>
      <c r="C748" s="67"/>
      <c r="D748" s="77" t="str">
        <f t="shared" ref="D748" si="408">D747</f>
        <v>S100017</v>
      </c>
      <c r="E748" s="77"/>
      <c r="F748" s="76"/>
      <c r="G748" s="76" t="str">
        <f>"""NAV Direct"",""CRONUS JetCorp USA"",""32"",""1"",""167128"""</f>
        <v>"NAV Direct","CRONUS JetCorp USA","32","1","167128"</v>
      </c>
      <c r="H748" s="86">
        <v>43466</v>
      </c>
      <c r="I748" s="85">
        <v>167128</v>
      </c>
      <c r="J748" s="84" t="str">
        <f>"Vendor"</f>
        <v>Vendor</v>
      </c>
      <c r="K748" s="84" t="str">
        <f>"V100001"</f>
        <v>V100001</v>
      </c>
      <c r="L748" s="84" t="str">
        <f>IF($J748="Customer",_xll.NL("first",$J748,"Name","No.","@@"&amp;$K748),"")</f>
        <v/>
      </c>
      <c r="M748" s="84" t="str">
        <f>"Greigner, Inc."</f>
        <v>Greigner, Inc.</v>
      </c>
      <c r="N748" s="84" t="str">
        <f>IF($J748="Item",_xll.NL("first",$J748,"Description","No.","@@"&amp;$K748),"")</f>
        <v/>
      </c>
      <c r="O748" s="83">
        <v>3200</v>
      </c>
      <c r="P748" s="83">
        <v>0</v>
      </c>
      <c r="Q748" s="83">
        <v>0</v>
      </c>
      <c r="R748" s="83">
        <v>0</v>
      </c>
      <c r="S748" s="83">
        <v>0</v>
      </c>
      <c r="T748" s="83">
        <v>0</v>
      </c>
      <c r="U748" s="82"/>
    </row>
    <row r="749" spans="1:21" ht="17.25" customHeight="1" x14ac:dyDescent="0.3">
      <c r="A749" s="66" t="s">
        <v>30</v>
      </c>
      <c r="C749" s="67"/>
      <c r="D749" s="77" t="str">
        <f t="shared" ref="D749:D751" si="409">D748</f>
        <v>S100017</v>
      </c>
      <c r="E749" s="77"/>
      <c r="F749" s="76"/>
      <c r="G749" s="76" t="str">
        <f>"""NAV Direct"",""CRONUS JetCorp USA"",""32"",""1"",""25238"""</f>
        <v>"NAV Direct","CRONUS JetCorp USA","32","1","25238"</v>
      </c>
      <c r="H749" s="86">
        <v>43471</v>
      </c>
      <c r="I749" s="85">
        <v>25238</v>
      </c>
      <c r="J749" s="84" t="str">
        <f>"Customer"</f>
        <v>Customer</v>
      </c>
      <c r="K749" s="84" t="str">
        <f>"C100102"</f>
        <v>C100102</v>
      </c>
      <c r="L749" s="84" t="str">
        <f>IF($J749="Customer",_xll.NL("first",$J749,"Name","No.","@@"&amp;$K749),"")</f>
        <v xml:space="preserve">BEI Outfitters </v>
      </c>
      <c r="M749" s="84" t="str">
        <f>""</f>
        <v/>
      </c>
      <c r="N749" s="84" t="str">
        <f>IF($J749="Item",_xll.NL("first",$J749,"Description","No.","@@"&amp;$K749),"")</f>
        <v/>
      </c>
      <c r="O749" s="83">
        <v>0</v>
      </c>
      <c r="P749" s="83">
        <v>-144</v>
      </c>
      <c r="Q749" s="83">
        <v>0</v>
      </c>
      <c r="R749" s="83">
        <v>0</v>
      </c>
      <c r="S749" s="83">
        <v>0</v>
      </c>
      <c r="T749" s="83">
        <v>0</v>
      </c>
      <c r="U749" s="82"/>
    </row>
    <row r="750" spans="1:21" ht="17.25" customHeight="1" x14ac:dyDescent="0.3">
      <c r="A750" s="66" t="s">
        <v>30</v>
      </c>
      <c r="C750" s="67"/>
      <c r="D750" s="77" t="str">
        <f t="shared" si="409"/>
        <v>S100017</v>
      </c>
      <c r="E750" s="77"/>
      <c r="F750" s="76"/>
      <c r="G750" s="76" t="str">
        <f>"""NAV Direct"",""CRONUS JetCorp USA"",""32"",""1"",""20348"""</f>
        <v>"NAV Direct","CRONUS JetCorp USA","32","1","20348"</v>
      </c>
      <c r="H750" s="86">
        <v>43475</v>
      </c>
      <c r="I750" s="85">
        <v>20348</v>
      </c>
      <c r="J750" s="84" t="str">
        <f>"Customer"</f>
        <v>Customer</v>
      </c>
      <c r="K750" s="84" t="str">
        <f>"C100097"</f>
        <v>C100097</v>
      </c>
      <c r="L750" s="84" t="str">
        <f>IF($J750="Customer",_xll.NL("first",$J750,"Name","No.","@@"&amp;$K750),"")</f>
        <v>Solotech</v>
      </c>
      <c r="M750" s="84" t="str">
        <f>""</f>
        <v/>
      </c>
      <c r="N750" s="84" t="str">
        <f>IF($J750="Item",_xll.NL("first",$J750,"Description","No.","@@"&amp;$K750),"")</f>
        <v/>
      </c>
      <c r="O750" s="83">
        <v>0</v>
      </c>
      <c r="P750" s="83">
        <v>-288</v>
      </c>
      <c r="Q750" s="83">
        <v>0</v>
      </c>
      <c r="R750" s="83">
        <v>0</v>
      </c>
      <c r="S750" s="83">
        <v>0</v>
      </c>
      <c r="T750" s="83">
        <v>0</v>
      </c>
      <c r="U750" s="82"/>
    </row>
    <row r="751" spans="1:21" ht="17.25" customHeight="1" x14ac:dyDescent="0.3">
      <c r="A751" s="66" t="s">
        <v>30</v>
      </c>
      <c r="C751" s="67"/>
      <c r="D751" s="77" t="str">
        <f t="shared" si="409"/>
        <v>S100017</v>
      </c>
      <c r="E751" s="77"/>
      <c r="F751" s="76"/>
      <c r="G751" s="76" t="str">
        <f>"""NAV Direct"",""CRONUS JetCorp USA"",""32"",""1"",""20400"""</f>
        <v>"NAV Direct","CRONUS JetCorp USA","32","1","20400"</v>
      </c>
      <c r="H751" s="86">
        <v>43477</v>
      </c>
      <c r="I751" s="85">
        <v>20400</v>
      </c>
      <c r="J751" s="84" t="str">
        <f>"Customer"</f>
        <v>Customer</v>
      </c>
      <c r="K751" s="84" t="str">
        <f>"C100039"</f>
        <v>C100039</v>
      </c>
      <c r="L751" s="84" t="str">
        <f>IF($J751="Customer",_xll.NL("first",$J751,"Name","No.","@@"&amp;$K751),"")</f>
        <v>Gary's Sports</v>
      </c>
      <c r="M751" s="84" t="str">
        <f>""</f>
        <v/>
      </c>
      <c r="N751" s="84" t="str">
        <f>IF($J751="Item",_xll.NL("first",$J751,"Description","No.","@@"&amp;$K751),"")</f>
        <v/>
      </c>
      <c r="O751" s="83">
        <v>0</v>
      </c>
      <c r="P751" s="83">
        <v>-144</v>
      </c>
      <c r="Q751" s="83">
        <v>0</v>
      </c>
      <c r="R751" s="83">
        <v>0</v>
      </c>
      <c r="S751" s="83">
        <v>0</v>
      </c>
      <c r="T751" s="83">
        <v>0</v>
      </c>
      <c r="U751" s="82"/>
    </row>
    <row r="752" spans="1:21" ht="17.25" customHeight="1" x14ac:dyDescent="0.3">
      <c r="A752" s="66" t="s">
        <v>30</v>
      </c>
      <c r="C752" s="67"/>
      <c r="D752" s="77"/>
      <c r="E752" s="77"/>
      <c r="F752" s="76"/>
      <c r="G752" s="76"/>
      <c r="H752" s="76"/>
      <c r="I752" s="76"/>
      <c r="J752" s="76"/>
      <c r="K752" s="76"/>
      <c r="L752" s="76"/>
      <c r="M752" s="76"/>
      <c r="N752" s="76"/>
      <c r="O752" s="75"/>
      <c r="P752" s="75"/>
      <c r="Q752" s="75"/>
      <c r="R752" s="75"/>
      <c r="S752" s="75"/>
      <c r="T752" s="75"/>
      <c r="U752" s="74"/>
    </row>
    <row r="753" spans="1:21" ht="17.25" customHeight="1" x14ac:dyDescent="0.3">
      <c r="A753" s="66" t="s">
        <v>30</v>
      </c>
      <c r="C753" s="67"/>
      <c r="D753" s="77"/>
      <c r="E753" s="77" t="s">
        <v>31</v>
      </c>
      <c r="F753" s="76" t="s">
        <v>31</v>
      </c>
      <c r="G753" s="76" t="s">
        <v>31</v>
      </c>
      <c r="H753" s="76"/>
      <c r="I753" s="76"/>
      <c r="J753" s="76" t="s">
        <v>31</v>
      </c>
      <c r="K753" s="76" t="s">
        <v>31</v>
      </c>
      <c r="L753" s="76" t="s">
        <v>31</v>
      </c>
      <c r="M753" s="76" t="s">
        <v>31</v>
      </c>
      <c r="N753" s="76"/>
      <c r="U753" s="81"/>
    </row>
    <row r="754" spans="1:21" ht="20.25" customHeight="1" x14ac:dyDescent="0.35">
      <c r="A754" s="66" t="s">
        <v>30</v>
      </c>
      <c r="C754" s="67"/>
      <c r="D754" s="92" t="str">
        <f t="shared" ref="D754" si="410">E754</f>
        <v>S100018</v>
      </c>
      <c r="E754" s="91" t="str">
        <f>"S100018"</f>
        <v>S100018</v>
      </c>
      <c r="F754" s="89" t="str">
        <f>"Crusher Bucket Hat"</f>
        <v>Crusher Bucket Hat</v>
      </c>
      <c r="G754" s="89"/>
      <c r="H754" s="90" t="str">
        <f>"EA"</f>
        <v>EA</v>
      </c>
      <c r="I754" s="89"/>
      <c r="J754" s="89"/>
      <c r="K754" s="89"/>
      <c r="L754" s="89"/>
      <c r="M754" s="89"/>
      <c r="N754" s="89"/>
      <c r="O754" s="88">
        <f>(SUBTOTAL(9,O755:O759))</f>
        <v>1999.9999999999998</v>
      </c>
      <c r="P754" s="88">
        <f>(SUBTOTAL(9,P755:P759))</f>
        <v>-864</v>
      </c>
      <c r="Q754" s="88">
        <f>(SUBTOTAL(9,Q755:Q759))</f>
        <v>0</v>
      </c>
      <c r="R754" s="88">
        <f>(SUBTOTAL(9,R755:R759))</f>
        <v>0</v>
      </c>
      <c r="S754" s="88">
        <f>(SUBTOTAL(9,S755:S759))</f>
        <v>0</v>
      </c>
      <c r="T754" s="88">
        <f>(SUBTOTAL(9,T755:T759))</f>
        <v>0</v>
      </c>
      <c r="U754" s="87">
        <f t="shared" ref="U754" si="411">SUBTOTAL(9,O755:T759)</f>
        <v>1135.9999999999998</v>
      </c>
    </row>
    <row r="755" spans="1:21" ht="17.25" customHeight="1" x14ac:dyDescent="0.3">
      <c r="A755" s="66" t="s">
        <v>30</v>
      </c>
      <c r="C755" s="67"/>
      <c r="D755" s="77" t="str">
        <f t="shared" ref="D755" si="412">D754</f>
        <v>S100018</v>
      </c>
      <c r="E755" s="77"/>
      <c r="F755" s="76"/>
      <c r="G755" s="76" t="str">
        <f>"""NAV Direct"",""CRONUS JetCorp USA"",""32"",""1"",""167127"""</f>
        <v>"NAV Direct","CRONUS JetCorp USA","32","1","167127"</v>
      </c>
      <c r="H755" s="86">
        <v>43466</v>
      </c>
      <c r="I755" s="85">
        <v>167127</v>
      </c>
      <c r="J755" s="84" t="str">
        <f>"Vendor"</f>
        <v>Vendor</v>
      </c>
      <c r="K755" s="84" t="str">
        <f>"V100001"</f>
        <v>V100001</v>
      </c>
      <c r="L755" s="84" t="str">
        <f>IF($J755="Customer",_xll.NL("first",$J755,"Name","No.","@@"&amp;$K755),"")</f>
        <v/>
      </c>
      <c r="M755" s="84" t="str">
        <f>"Greigner, Inc."</f>
        <v>Greigner, Inc.</v>
      </c>
      <c r="N755" s="84" t="str">
        <f>IF($J755="Item",_xll.NL("first",$J755,"Description","No.","@@"&amp;$K755),"")</f>
        <v/>
      </c>
      <c r="O755" s="83">
        <v>1999.9999999999998</v>
      </c>
      <c r="P755" s="83">
        <v>0</v>
      </c>
      <c r="Q755" s="83">
        <v>0</v>
      </c>
      <c r="R755" s="83">
        <v>0</v>
      </c>
      <c r="S755" s="83">
        <v>0</v>
      </c>
      <c r="T755" s="83">
        <v>0</v>
      </c>
      <c r="U755" s="82"/>
    </row>
    <row r="756" spans="1:21" ht="17.25" customHeight="1" x14ac:dyDescent="0.3">
      <c r="A756" s="66" t="s">
        <v>30</v>
      </c>
      <c r="C756" s="67"/>
      <c r="D756" s="77" t="str">
        <f t="shared" ref="D756:D758" si="413">D755</f>
        <v>S100018</v>
      </c>
      <c r="E756" s="77"/>
      <c r="F756" s="76"/>
      <c r="G756" s="76" t="str">
        <f>"""NAV Direct"",""CRONUS JetCorp USA"",""32"",""1"",""20332"""</f>
        <v>"NAV Direct","CRONUS JetCorp USA","32","1","20332"</v>
      </c>
      <c r="H756" s="86">
        <v>43472</v>
      </c>
      <c r="I756" s="85">
        <v>20332</v>
      </c>
      <c r="J756" s="84" t="str">
        <f>"Customer"</f>
        <v>Customer</v>
      </c>
      <c r="K756" s="84" t="str">
        <f>"C100145"</f>
        <v>C100145</v>
      </c>
      <c r="L756" s="84" t="str">
        <f>IF($J756="Customer",_xll.NL("first",$J756,"Name","No.","@@"&amp;$K756),"")</f>
        <v>Dicon Industries</v>
      </c>
      <c r="M756" s="84" t="str">
        <f>""</f>
        <v/>
      </c>
      <c r="N756" s="84" t="str">
        <f>IF($J756="Item",_xll.NL("first",$J756,"Description","No.","@@"&amp;$K756),"")</f>
        <v/>
      </c>
      <c r="O756" s="83">
        <v>0</v>
      </c>
      <c r="P756" s="83">
        <v>-288</v>
      </c>
      <c r="Q756" s="83">
        <v>0</v>
      </c>
      <c r="R756" s="83">
        <v>0</v>
      </c>
      <c r="S756" s="83">
        <v>0</v>
      </c>
      <c r="T756" s="83">
        <v>0</v>
      </c>
      <c r="U756" s="82"/>
    </row>
    <row r="757" spans="1:21" ht="17.25" customHeight="1" x14ac:dyDescent="0.3">
      <c r="A757" s="66" t="s">
        <v>30</v>
      </c>
      <c r="C757" s="67"/>
      <c r="D757" s="77" t="str">
        <f t="shared" si="413"/>
        <v>S100018</v>
      </c>
      <c r="E757" s="77"/>
      <c r="F757" s="76"/>
      <c r="G757" s="76" t="str">
        <f>"""NAV Direct"",""CRONUS JetCorp USA"",""32"",""1"",""128863"""</f>
        <v>"NAV Direct","CRONUS JetCorp USA","32","1","128863"</v>
      </c>
      <c r="H757" s="86">
        <v>43472</v>
      </c>
      <c r="I757" s="85">
        <v>128863</v>
      </c>
      <c r="J757" s="84" t="str">
        <f>"Customer"</f>
        <v>Customer</v>
      </c>
      <c r="K757" s="84" t="str">
        <f>"C100105"</f>
        <v>C100105</v>
      </c>
      <c r="L757" s="84" t="str">
        <f>IF($J757="Customer",_xll.NL("first",$J757,"Name","No.","@@"&amp;$K757),"")</f>
        <v>Esystems</v>
      </c>
      <c r="M757" s="84" t="str">
        <f>""</f>
        <v/>
      </c>
      <c r="N757" s="84" t="str">
        <f>IF($J757="Item",_xll.NL("first",$J757,"Description","No.","@@"&amp;$K757),"")</f>
        <v/>
      </c>
      <c r="O757" s="83">
        <v>0</v>
      </c>
      <c r="P757" s="83">
        <v>-288</v>
      </c>
      <c r="Q757" s="83">
        <v>0</v>
      </c>
      <c r="R757" s="83">
        <v>0</v>
      </c>
      <c r="S757" s="83">
        <v>0</v>
      </c>
      <c r="T757" s="83">
        <v>0</v>
      </c>
      <c r="U757" s="82"/>
    </row>
    <row r="758" spans="1:21" ht="17.25" customHeight="1" x14ac:dyDescent="0.3">
      <c r="A758" s="66" t="s">
        <v>30</v>
      </c>
      <c r="C758" s="67"/>
      <c r="D758" s="77" t="str">
        <f t="shared" si="413"/>
        <v>S100018</v>
      </c>
      <c r="E758" s="77"/>
      <c r="F758" s="76"/>
      <c r="G758" s="76" t="str">
        <f>"""NAV Direct"",""CRONUS JetCorp USA"",""32"",""1"",""25281"""</f>
        <v>"NAV Direct","CRONUS JetCorp USA","32","1","25281"</v>
      </c>
      <c r="H758" s="86">
        <v>43477</v>
      </c>
      <c r="I758" s="85">
        <v>25281</v>
      </c>
      <c r="J758" s="84" t="str">
        <f>"Customer"</f>
        <v>Customer</v>
      </c>
      <c r="K758" s="84" t="str">
        <f>"C100138"</f>
        <v>C100138</v>
      </c>
      <c r="L758" s="84" t="str">
        <f>IF($J758="Customer",_xll.NL("first",$J758,"Name","No.","@@"&amp;$K758),"")</f>
        <v>Dantons</v>
      </c>
      <c r="M758" s="84" t="str">
        <f>""</f>
        <v/>
      </c>
      <c r="N758" s="84" t="str">
        <f>IF($J758="Item",_xll.NL("first",$J758,"Description","No.","@@"&amp;$K758),"")</f>
        <v/>
      </c>
      <c r="O758" s="83">
        <v>0</v>
      </c>
      <c r="P758" s="83">
        <v>-288</v>
      </c>
      <c r="Q758" s="83">
        <v>0</v>
      </c>
      <c r="R758" s="83">
        <v>0</v>
      </c>
      <c r="S758" s="83">
        <v>0</v>
      </c>
      <c r="T758" s="83">
        <v>0</v>
      </c>
      <c r="U758" s="82"/>
    </row>
    <row r="759" spans="1:21" ht="17.25" customHeight="1" x14ac:dyDescent="0.3">
      <c r="A759" s="66" t="s">
        <v>30</v>
      </c>
      <c r="C759" s="67"/>
      <c r="D759" s="77"/>
      <c r="E759" s="77"/>
      <c r="F759" s="76"/>
      <c r="G759" s="76"/>
      <c r="H759" s="76"/>
      <c r="I759" s="76"/>
      <c r="J759" s="76"/>
      <c r="K759" s="76"/>
      <c r="L759" s="76"/>
      <c r="M759" s="76"/>
      <c r="N759" s="76"/>
      <c r="O759" s="75"/>
      <c r="P759" s="75"/>
      <c r="Q759" s="75"/>
      <c r="R759" s="75"/>
      <c r="S759" s="75"/>
      <c r="T759" s="75"/>
      <c r="U759" s="74"/>
    </row>
    <row r="760" spans="1:21" ht="17.25" customHeight="1" x14ac:dyDescent="0.3">
      <c r="A760" s="66" t="s">
        <v>30</v>
      </c>
      <c r="C760" s="67"/>
      <c r="D760" s="77"/>
      <c r="E760" s="77" t="s">
        <v>31</v>
      </c>
      <c r="F760" s="76" t="s">
        <v>31</v>
      </c>
      <c r="G760" s="76" t="s">
        <v>31</v>
      </c>
      <c r="H760" s="76"/>
      <c r="I760" s="76"/>
      <c r="J760" s="76" t="s">
        <v>31</v>
      </c>
      <c r="K760" s="76" t="s">
        <v>31</v>
      </c>
      <c r="L760" s="76" t="s">
        <v>31</v>
      </c>
      <c r="M760" s="76" t="s">
        <v>31</v>
      </c>
      <c r="N760" s="76"/>
      <c r="U760" s="81"/>
    </row>
    <row r="761" spans="1:21" ht="20.25" customHeight="1" x14ac:dyDescent="0.35">
      <c r="A761" s="66" t="s">
        <v>30</v>
      </c>
      <c r="C761" s="67"/>
      <c r="D761" s="92" t="str">
        <f t="shared" ref="D761" si="414">E761</f>
        <v>S100019</v>
      </c>
      <c r="E761" s="91" t="str">
        <f>"S100019"</f>
        <v>S100019</v>
      </c>
      <c r="F761" s="89" t="str">
        <f>"Sportsman Bucket Hat"</f>
        <v>Sportsman Bucket Hat</v>
      </c>
      <c r="G761" s="89"/>
      <c r="H761" s="90" t="str">
        <f>"EA"</f>
        <v>EA</v>
      </c>
      <c r="I761" s="89"/>
      <c r="J761" s="89"/>
      <c r="K761" s="89"/>
      <c r="L761" s="89"/>
      <c r="M761" s="89"/>
      <c r="N761" s="89"/>
      <c r="O761" s="88">
        <f>(SUBTOTAL(9,O762:O768))</f>
        <v>3200</v>
      </c>
      <c r="P761" s="88">
        <f>(SUBTOTAL(9,P762:P768))</f>
        <v>-864</v>
      </c>
      <c r="Q761" s="88">
        <f>(SUBTOTAL(9,Q762:Q768))</f>
        <v>0</v>
      </c>
      <c r="R761" s="88">
        <f>(SUBTOTAL(9,R762:R768))</f>
        <v>0</v>
      </c>
      <c r="S761" s="88">
        <f>(SUBTOTAL(9,S762:S768))</f>
        <v>0</v>
      </c>
      <c r="T761" s="88">
        <f>(SUBTOTAL(9,T762:T768))</f>
        <v>0</v>
      </c>
      <c r="U761" s="87">
        <f t="shared" ref="U761" si="415">SUBTOTAL(9,O762:T768)</f>
        <v>2336</v>
      </c>
    </row>
    <row r="762" spans="1:21" ht="17.25" customHeight="1" x14ac:dyDescent="0.3">
      <c r="A762" s="66" t="s">
        <v>30</v>
      </c>
      <c r="C762" s="67"/>
      <c r="D762" s="77" t="str">
        <f t="shared" ref="D762" si="416">D761</f>
        <v>S100019</v>
      </c>
      <c r="E762" s="77"/>
      <c r="F762" s="76"/>
      <c r="G762" s="76" t="str">
        <f>"""NAV Direct"",""CRONUS JetCorp USA"",""32"",""1"",""167126"""</f>
        <v>"NAV Direct","CRONUS JetCorp USA","32","1","167126"</v>
      </c>
      <c r="H762" s="86">
        <v>43466</v>
      </c>
      <c r="I762" s="85">
        <v>167126</v>
      </c>
      <c r="J762" s="84" t="str">
        <f>"Vendor"</f>
        <v>Vendor</v>
      </c>
      <c r="K762" s="84" t="str">
        <f>"V100001"</f>
        <v>V100001</v>
      </c>
      <c r="L762" s="84" t="str">
        <f>IF($J762="Customer",_xll.NL("first",$J762,"Name","No.","@@"&amp;$K762),"")</f>
        <v/>
      </c>
      <c r="M762" s="84" t="str">
        <f>"Greigner, Inc."</f>
        <v>Greigner, Inc.</v>
      </c>
      <c r="N762" s="84" t="str">
        <f>IF($J762="Item",_xll.NL("first",$J762,"Description","No.","@@"&amp;$K762),"")</f>
        <v/>
      </c>
      <c r="O762" s="83">
        <v>3200</v>
      </c>
      <c r="P762" s="83">
        <v>0</v>
      </c>
      <c r="Q762" s="83">
        <v>0</v>
      </c>
      <c r="R762" s="83">
        <v>0</v>
      </c>
      <c r="S762" s="83">
        <v>0</v>
      </c>
      <c r="T762" s="83">
        <v>0</v>
      </c>
      <c r="U762" s="82"/>
    </row>
    <row r="763" spans="1:21" ht="17.25" customHeight="1" x14ac:dyDescent="0.3">
      <c r="A763" s="66" t="s">
        <v>30</v>
      </c>
      <c r="C763" s="67"/>
      <c r="D763" s="77" t="str">
        <f t="shared" ref="D763:D767" si="417">D762</f>
        <v>S100019</v>
      </c>
      <c r="E763" s="77"/>
      <c r="F763" s="76"/>
      <c r="G763" s="76" t="str">
        <f>"""NAV Direct"",""CRONUS JetCorp USA"",""32"",""1"",""20336"""</f>
        <v>"NAV Direct","CRONUS JetCorp USA","32","1","20336"</v>
      </c>
      <c r="H763" s="86">
        <v>43472</v>
      </c>
      <c r="I763" s="85">
        <v>20336</v>
      </c>
      <c r="J763" s="84" t="str">
        <f>"Customer"</f>
        <v>Customer</v>
      </c>
      <c r="K763" s="84" t="str">
        <f>"C100145"</f>
        <v>C100145</v>
      </c>
      <c r="L763" s="84" t="str">
        <f>IF($J763="Customer",_xll.NL("first",$J763,"Name","No.","@@"&amp;$K763),"")</f>
        <v>Dicon Industries</v>
      </c>
      <c r="M763" s="84" t="str">
        <f>""</f>
        <v/>
      </c>
      <c r="N763" s="84" t="str">
        <f>IF($J763="Item",_xll.NL("first",$J763,"Description","No.","@@"&amp;$K763),"")</f>
        <v/>
      </c>
      <c r="O763" s="83">
        <v>0</v>
      </c>
      <c r="P763" s="83">
        <v>-144</v>
      </c>
      <c r="Q763" s="83">
        <v>0</v>
      </c>
      <c r="R763" s="83">
        <v>0</v>
      </c>
      <c r="S763" s="83">
        <v>0</v>
      </c>
      <c r="T763" s="83">
        <v>0</v>
      </c>
      <c r="U763" s="82"/>
    </row>
    <row r="764" spans="1:21" ht="17.25" customHeight="1" x14ac:dyDescent="0.3">
      <c r="A764" s="66" t="s">
        <v>30</v>
      </c>
      <c r="C764" s="67"/>
      <c r="D764" s="77" t="str">
        <f t="shared" si="417"/>
        <v>S100019</v>
      </c>
      <c r="E764" s="77"/>
      <c r="F764" s="76"/>
      <c r="G764" s="76" t="str">
        <f>"""NAV Direct"",""CRONUS JetCorp USA"",""32"",""1"",""44458"""</f>
        <v>"NAV Direct","CRONUS JetCorp USA","32","1","44458"</v>
      </c>
      <c r="H764" s="86">
        <v>43472</v>
      </c>
      <c r="I764" s="85">
        <v>44458</v>
      </c>
      <c r="J764" s="84" t="str">
        <f>"Customer"</f>
        <v>Customer</v>
      </c>
      <c r="K764" s="84" t="str">
        <f>"C100141"</f>
        <v>C100141</v>
      </c>
      <c r="L764" s="84" t="str">
        <f>IF($J764="Customer",_xll.NL("first",$J764,"Name","No.","@@"&amp;$K764),"")</f>
        <v>Bargottis</v>
      </c>
      <c r="M764" s="84" t="str">
        <f>""</f>
        <v/>
      </c>
      <c r="N764" s="84" t="str">
        <f>IF($J764="Item",_xll.NL("first",$J764,"Description","No.","@@"&amp;$K764),"")</f>
        <v/>
      </c>
      <c r="O764" s="83">
        <v>0</v>
      </c>
      <c r="P764" s="83">
        <v>-288</v>
      </c>
      <c r="Q764" s="83">
        <v>0</v>
      </c>
      <c r="R764" s="83">
        <v>0</v>
      </c>
      <c r="S764" s="83">
        <v>0</v>
      </c>
      <c r="T764" s="83">
        <v>0</v>
      </c>
      <c r="U764" s="82"/>
    </row>
    <row r="765" spans="1:21" ht="17.25" customHeight="1" x14ac:dyDescent="0.3">
      <c r="A765" s="66" t="s">
        <v>30</v>
      </c>
      <c r="C765" s="67"/>
      <c r="D765" s="77" t="str">
        <f t="shared" si="417"/>
        <v>S100019</v>
      </c>
      <c r="E765" s="77"/>
      <c r="F765" s="76"/>
      <c r="G765" s="76" t="str">
        <f>"""NAV Direct"",""CRONUS JetCorp USA"",""32"",""1"",""128873"""</f>
        <v>"NAV Direct","CRONUS JetCorp USA","32","1","128873"</v>
      </c>
      <c r="H765" s="86">
        <v>43472</v>
      </c>
      <c r="I765" s="85">
        <v>128873</v>
      </c>
      <c r="J765" s="84" t="str">
        <f>"Customer"</f>
        <v>Customer</v>
      </c>
      <c r="K765" s="84" t="str">
        <f>"C100105"</f>
        <v>C100105</v>
      </c>
      <c r="L765" s="84" t="str">
        <f>IF($J765="Customer",_xll.NL("first",$J765,"Name","No.","@@"&amp;$K765),"")</f>
        <v>Esystems</v>
      </c>
      <c r="M765" s="84" t="str">
        <f>""</f>
        <v/>
      </c>
      <c r="N765" s="84" t="str">
        <f>IF($J765="Item",_xll.NL("first",$J765,"Description","No.","@@"&amp;$K765),"")</f>
        <v/>
      </c>
      <c r="O765" s="83">
        <v>0</v>
      </c>
      <c r="P765" s="83">
        <v>-144</v>
      </c>
      <c r="Q765" s="83">
        <v>0</v>
      </c>
      <c r="R765" s="83">
        <v>0</v>
      </c>
      <c r="S765" s="83">
        <v>0</v>
      </c>
      <c r="T765" s="83">
        <v>0</v>
      </c>
      <c r="U765" s="82"/>
    </row>
    <row r="766" spans="1:21" ht="17.25" customHeight="1" x14ac:dyDescent="0.3">
      <c r="A766" s="66" t="s">
        <v>30</v>
      </c>
      <c r="C766" s="67"/>
      <c r="D766" s="77" t="str">
        <f t="shared" si="417"/>
        <v>S100019</v>
      </c>
      <c r="E766" s="77"/>
      <c r="F766" s="76"/>
      <c r="G766" s="76" t="str">
        <f>"""NAV Direct"",""CRONUS JetCorp USA"",""32"",""1"",""25289"""</f>
        <v>"NAV Direct","CRONUS JetCorp USA","32","1","25289"</v>
      </c>
      <c r="H766" s="86">
        <v>43477</v>
      </c>
      <c r="I766" s="85">
        <v>25289</v>
      </c>
      <c r="J766" s="84" t="str">
        <f>"Customer"</f>
        <v>Customer</v>
      </c>
      <c r="K766" s="84" t="str">
        <f>"C100138"</f>
        <v>C100138</v>
      </c>
      <c r="L766" s="84" t="str">
        <f>IF($J766="Customer",_xll.NL("first",$J766,"Name","No.","@@"&amp;$K766),"")</f>
        <v>Dantons</v>
      </c>
      <c r="M766" s="84" t="str">
        <f>""</f>
        <v/>
      </c>
      <c r="N766" s="84" t="str">
        <f>IF($J766="Item",_xll.NL("first",$J766,"Description","No.","@@"&amp;$K766),"")</f>
        <v/>
      </c>
      <c r="O766" s="83">
        <v>0</v>
      </c>
      <c r="P766" s="83">
        <v>-144</v>
      </c>
      <c r="Q766" s="83">
        <v>0</v>
      </c>
      <c r="R766" s="83">
        <v>0</v>
      </c>
      <c r="S766" s="83">
        <v>0</v>
      </c>
      <c r="T766" s="83">
        <v>0</v>
      </c>
      <c r="U766" s="82"/>
    </row>
    <row r="767" spans="1:21" ht="17.25" customHeight="1" x14ac:dyDescent="0.3">
      <c r="A767" s="66" t="s">
        <v>30</v>
      </c>
      <c r="C767" s="67"/>
      <c r="D767" s="77" t="str">
        <f t="shared" si="417"/>
        <v>S100019</v>
      </c>
      <c r="E767" s="77"/>
      <c r="F767" s="76"/>
      <c r="G767" s="76" t="str">
        <f>"""NAV Direct"",""CRONUS JetCorp USA"",""32"",""1"",""132524"""</f>
        <v>"NAV Direct","CRONUS JetCorp USA","32","1","132524"</v>
      </c>
      <c r="H767" s="86">
        <v>43477</v>
      </c>
      <c r="I767" s="85">
        <v>132524</v>
      </c>
      <c r="J767" s="84" t="str">
        <f>"Customer"</f>
        <v>Customer</v>
      </c>
      <c r="K767" s="84" t="str">
        <f>"C100082"</f>
        <v>C100082</v>
      </c>
      <c r="L767" s="84" t="str">
        <f>IF($J767="Customer",_xll.NL("first",$J767,"Name","No.","@@"&amp;$K767),"")</f>
        <v>Sporting Goods Emporium</v>
      </c>
      <c r="M767" s="84" t="str">
        <f>""</f>
        <v/>
      </c>
      <c r="N767" s="84" t="str">
        <f>IF($J767="Item",_xll.NL("first",$J767,"Description","No.","@@"&amp;$K767),"")</f>
        <v/>
      </c>
      <c r="O767" s="83">
        <v>0</v>
      </c>
      <c r="P767" s="83">
        <v>-144</v>
      </c>
      <c r="Q767" s="83">
        <v>0</v>
      </c>
      <c r="R767" s="83">
        <v>0</v>
      </c>
      <c r="S767" s="83">
        <v>0</v>
      </c>
      <c r="T767" s="83">
        <v>0</v>
      </c>
      <c r="U767" s="82"/>
    </row>
    <row r="768" spans="1:21" ht="17.25" customHeight="1" x14ac:dyDescent="0.3">
      <c r="A768" s="66" t="s">
        <v>30</v>
      </c>
      <c r="C768" s="67"/>
      <c r="D768" s="77"/>
      <c r="E768" s="77"/>
      <c r="F768" s="76"/>
      <c r="G768" s="76"/>
      <c r="H768" s="76"/>
      <c r="I768" s="76"/>
      <c r="J768" s="76"/>
      <c r="K768" s="76"/>
      <c r="L768" s="76"/>
      <c r="M768" s="76"/>
      <c r="N768" s="76"/>
      <c r="O768" s="75"/>
      <c r="P768" s="75"/>
      <c r="Q768" s="75"/>
      <c r="R768" s="75"/>
      <c r="S768" s="75"/>
      <c r="T768" s="75"/>
      <c r="U768" s="74"/>
    </row>
    <row r="769" spans="1:21" ht="17.25" customHeight="1" x14ac:dyDescent="0.3">
      <c r="A769" s="66" t="s">
        <v>30</v>
      </c>
      <c r="C769" s="67"/>
      <c r="D769" s="77"/>
      <c r="E769" s="77" t="s">
        <v>31</v>
      </c>
      <c r="F769" s="76" t="s">
        <v>31</v>
      </c>
      <c r="G769" s="76" t="s">
        <v>31</v>
      </c>
      <c r="H769" s="76"/>
      <c r="I769" s="76"/>
      <c r="J769" s="76" t="s">
        <v>31</v>
      </c>
      <c r="K769" s="76" t="s">
        <v>31</v>
      </c>
      <c r="L769" s="76" t="s">
        <v>31</v>
      </c>
      <c r="M769" s="76" t="s">
        <v>31</v>
      </c>
      <c r="N769" s="76"/>
      <c r="U769" s="81"/>
    </row>
    <row r="770" spans="1:21" ht="20.25" customHeight="1" x14ac:dyDescent="0.35">
      <c r="A770" s="66" t="s">
        <v>30</v>
      </c>
      <c r="C770" s="67"/>
      <c r="D770" s="92" t="str">
        <f t="shared" ref="D770" si="418">E770</f>
        <v>S100020</v>
      </c>
      <c r="E770" s="91" t="str">
        <f>"S100020"</f>
        <v>S100020</v>
      </c>
      <c r="F770" s="89" t="str">
        <f>"Super Sport Stopwatch"</f>
        <v>Super Sport Stopwatch</v>
      </c>
      <c r="G770" s="89"/>
      <c r="H770" s="90" t="str">
        <f>"EA"</f>
        <v>EA</v>
      </c>
      <c r="I770" s="89"/>
      <c r="J770" s="89"/>
      <c r="K770" s="89"/>
      <c r="L770" s="89"/>
      <c r="M770" s="89"/>
      <c r="N770" s="89"/>
      <c r="O770" s="88">
        <f>(SUBTOTAL(9,O771:O779))</f>
        <v>3600</v>
      </c>
      <c r="P770" s="88">
        <f>(SUBTOTAL(9,P771:P779))</f>
        <v>-1297</v>
      </c>
      <c r="Q770" s="88">
        <f>(SUBTOTAL(9,Q771:Q779))</f>
        <v>0</v>
      </c>
      <c r="R770" s="88">
        <f>(SUBTOTAL(9,R771:R779))</f>
        <v>0</v>
      </c>
      <c r="S770" s="88">
        <f>(SUBTOTAL(9,S771:S779))</f>
        <v>0</v>
      </c>
      <c r="T770" s="88">
        <f>(SUBTOTAL(9,T771:T779))</f>
        <v>0</v>
      </c>
      <c r="U770" s="87">
        <f t="shared" ref="U770" si="419">SUBTOTAL(9,O771:T779)</f>
        <v>2303</v>
      </c>
    </row>
    <row r="771" spans="1:21" ht="17.25" customHeight="1" x14ac:dyDescent="0.3">
      <c r="A771" s="66" t="s">
        <v>30</v>
      </c>
      <c r="C771" s="67"/>
      <c r="D771" s="77" t="str">
        <f t="shared" ref="D771" si="420">D770</f>
        <v>S100020</v>
      </c>
      <c r="E771" s="77"/>
      <c r="F771" s="76"/>
      <c r="G771" s="76" t="str">
        <f>"""NAV Direct"",""CRONUS JetCorp USA"",""32"",""1"",""167570"""</f>
        <v>"NAV Direct","CRONUS JetCorp USA","32","1","167570"</v>
      </c>
      <c r="H771" s="86">
        <v>43466</v>
      </c>
      <c r="I771" s="85">
        <v>167570</v>
      </c>
      <c r="J771" s="84" t="str">
        <f>"Vendor"</f>
        <v>Vendor</v>
      </c>
      <c r="K771" s="84" t="str">
        <f>"V100001"</f>
        <v>V100001</v>
      </c>
      <c r="L771" s="84" t="str">
        <f>IF($J771="Customer",_xll.NL("first",$J771,"Name","No.","@@"&amp;$K771),"")</f>
        <v/>
      </c>
      <c r="M771" s="84" t="str">
        <f>"Greigner, Inc."</f>
        <v>Greigner, Inc.</v>
      </c>
      <c r="N771" s="84" t="str">
        <f>IF($J771="Item",_xll.NL("first",$J771,"Description","No.","@@"&amp;$K771),"")</f>
        <v/>
      </c>
      <c r="O771" s="83">
        <v>3600</v>
      </c>
      <c r="P771" s="83">
        <v>0</v>
      </c>
      <c r="Q771" s="83">
        <v>0</v>
      </c>
      <c r="R771" s="83">
        <v>0</v>
      </c>
      <c r="S771" s="83">
        <v>0</v>
      </c>
      <c r="T771" s="83">
        <v>0</v>
      </c>
      <c r="U771" s="82"/>
    </row>
    <row r="772" spans="1:21" ht="17.25" customHeight="1" x14ac:dyDescent="0.3">
      <c r="A772" s="66" t="s">
        <v>30</v>
      </c>
      <c r="C772" s="67"/>
      <c r="D772" s="77" t="str">
        <f t="shared" ref="D772:D778" si="421">D771</f>
        <v>S100020</v>
      </c>
      <c r="E772" s="77"/>
      <c r="F772" s="76"/>
      <c r="G772" s="76" t="str">
        <f>"""NAV Direct"",""CRONUS JetCorp USA"",""32"",""1"",""20373"""</f>
        <v>"NAV Direct","CRONUS JetCorp USA","32","1","20373"</v>
      </c>
      <c r="H772" s="86">
        <v>43468</v>
      </c>
      <c r="I772" s="85">
        <v>20373</v>
      </c>
      <c r="J772" s="84" t="str">
        <f>"Customer"</f>
        <v>Customer</v>
      </c>
      <c r="K772" s="84" t="str">
        <f>"C100145"</f>
        <v>C100145</v>
      </c>
      <c r="L772" s="84" t="str">
        <f>IF($J772="Customer",_xll.NL("first",$J772,"Name","No.","@@"&amp;$K772),"")</f>
        <v>Dicon Industries</v>
      </c>
      <c r="M772" s="84" t="str">
        <f>""</f>
        <v/>
      </c>
      <c r="N772" s="84" t="str">
        <f>IF($J772="Item",_xll.NL("first",$J772,"Description","No.","@@"&amp;$K772),"")</f>
        <v/>
      </c>
      <c r="O772" s="83">
        <v>0</v>
      </c>
      <c r="P772" s="83">
        <v>-144</v>
      </c>
      <c r="Q772" s="83">
        <v>0</v>
      </c>
      <c r="R772" s="83">
        <v>0</v>
      </c>
      <c r="S772" s="83">
        <v>0</v>
      </c>
      <c r="T772" s="83">
        <v>0</v>
      </c>
      <c r="U772" s="82"/>
    </row>
    <row r="773" spans="1:21" ht="17.25" customHeight="1" x14ac:dyDescent="0.3">
      <c r="A773" s="66" t="s">
        <v>30</v>
      </c>
      <c r="C773" s="67"/>
      <c r="D773" s="77" t="str">
        <f t="shared" si="421"/>
        <v>S100020</v>
      </c>
      <c r="E773" s="77"/>
      <c r="F773" s="76"/>
      <c r="G773" s="76" t="str">
        <f>"""NAV Direct"",""CRONUS JetCorp USA"",""32"",""1"",""128856"""</f>
        <v>"NAV Direct","CRONUS JetCorp USA","32","1","128856"</v>
      </c>
      <c r="H773" s="86">
        <v>43471</v>
      </c>
      <c r="I773" s="85">
        <v>128856</v>
      </c>
      <c r="J773" s="84" t="str">
        <f>"Customer"</f>
        <v>Customer</v>
      </c>
      <c r="K773" s="84" t="str">
        <f>"C100138"</f>
        <v>C100138</v>
      </c>
      <c r="L773" s="84" t="str">
        <f>IF($J773="Customer",_xll.NL("first",$J773,"Name","No.","@@"&amp;$K773),"")</f>
        <v>Dantons</v>
      </c>
      <c r="M773" s="84" t="str">
        <f>""</f>
        <v/>
      </c>
      <c r="N773" s="84" t="str">
        <f>IF($J773="Item",_xll.NL("first",$J773,"Description","No.","@@"&amp;$K773),"")</f>
        <v/>
      </c>
      <c r="O773" s="83">
        <v>0</v>
      </c>
      <c r="P773" s="83">
        <v>-145</v>
      </c>
      <c r="Q773" s="83">
        <v>0</v>
      </c>
      <c r="R773" s="83">
        <v>0</v>
      </c>
      <c r="S773" s="83">
        <v>0</v>
      </c>
      <c r="T773" s="83">
        <v>0</v>
      </c>
      <c r="U773" s="82"/>
    </row>
    <row r="774" spans="1:21" ht="17.25" customHeight="1" x14ac:dyDescent="0.3">
      <c r="A774" s="66" t="s">
        <v>30</v>
      </c>
      <c r="C774" s="67"/>
      <c r="D774" s="77" t="str">
        <f t="shared" si="421"/>
        <v>S100020</v>
      </c>
      <c r="E774" s="77"/>
      <c r="F774" s="76"/>
      <c r="G774" s="76" t="str">
        <f>"""NAV Direct"",""CRONUS JetCorp USA"",""32"",""1"",""44463"""</f>
        <v>"NAV Direct","CRONUS JetCorp USA","32","1","44463"</v>
      </c>
      <c r="H774" s="86">
        <v>43472</v>
      </c>
      <c r="I774" s="85">
        <v>44463</v>
      </c>
      <c r="J774" s="84" t="str">
        <f>"Customer"</f>
        <v>Customer</v>
      </c>
      <c r="K774" s="84" t="str">
        <f>"C100141"</f>
        <v>C100141</v>
      </c>
      <c r="L774" s="84" t="str">
        <f>IF($J774="Customer",_xll.NL("first",$J774,"Name","No.","@@"&amp;$K774),"")</f>
        <v>Bargottis</v>
      </c>
      <c r="M774" s="84" t="str">
        <f>""</f>
        <v/>
      </c>
      <c r="N774" s="84" t="str">
        <f>IF($J774="Item",_xll.NL("first",$J774,"Description","No.","@@"&amp;$K774),"")</f>
        <v/>
      </c>
      <c r="O774" s="83">
        <v>0</v>
      </c>
      <c r="P774" s="83">
        <v>-288</v>
      </c>
      <c r="Q774" s="83">
        <v>0</v>
      </c>
      <c r="R774" s="83">
        <v>0</v>
      </c>
      <c r="S774" s="83">
        <v>0</v>
      </c>
      <c r="T774" s="83">
        <v>0</v>
      </c>
      <c r="U774" s="82"/>
    </row>
    <row r="775" spans="1:21" ht="17.25" customHeight="1" x14ac:dyDescent="0.3">
      <c r="A775" s="66" t="s">
        <v>30</v>
      </c>
      <c r="C775" s="67"/>
      <c r="D775" s="77" t="str">
        <f t="shared" si="421"/>
        <v>S100020</v>
      </c>
      <c r="E775" s="77"/>
      <c r="F775" s="76"/>
      <c r="G775" s="76" t="str">
        <f>"""NAV Direct"",""CRONUS JetCorp USA"",""32"",""1"",""128874"""</f>
        <v>"NAV Direct","CRONUS JetCorp USA","32","1","128874"</v>
      </c>
      <c r="H775" s="86">
        <v>43472</v>
      </c>
      <c r="I775" s="85">
        <v>128874</v>
      </c>
      <c r="J775" s="84" t="str">
        <f>"Customer"</f>
        <v>Customer</v>
      </c>
      <c r="K775" s="84" t="str">
        <f>"C100105"</f>
        <v>C100105</v>
      </c>
      <c r="L775" s="84" t="str">
        <f>IF($J775="Customer",_xll.NL("first",$J775,"Name","No.","@@"&amp;$K775),"")</f>
        <v>Esystems</v>
      </c>
      <c r="M775" s="84" t="str">
        <f>""</f>
        <v/>
      </c>
      <c r="N775" s="84" t="str">
        <f>IF($J775="Item",_xll.NL("first",$J775,"Description","No.","@@"&amp;$K775),"")</f>
        <v/>
      </c>
      <c r="O775" s="83">
        <v>0</v>
      </c>
      <c r="P775" s="83">
        <v>-288</v>
      </c>
      <c r="Q775" s="83">
        <v>0</v>
      </c>
      <c r="R775" s="83">
        <v>0</v>
      </c>
      <c r="S775" s="83">
        <v>0</v>
      </c>
      <c r="T775" s="83">
        <v>0</v>
      </c>
      <c r="U775" s="82"/>
    </row>
    <row r="776" spans="1:21" ht="17.25" customHeight="1" x14ac:dyDescent="0.3">
      <c r="A776" s="66" t="s">
        <v>30</v>
      </c>
      <c r="C776" s="67"/>
      <c r="D776" s="77" t="str">
        <f t="shared" si="421"/>
        <v>S100020</v>
      </c>
      <c r="E776" s="77"/>
      <c r="F776" s="76"/>
      <c r="G776" s="76" t="str">
        <f>"""NAV Direct"",""CRONUS JetCorp USA"",""32"",""1"",""54702"""</f>
        <v>"NAV Direct","CRONUS JetCorp USA","32","1","54702"</v>
      </c>
      <c r="H776" s="86">
        <v>43474</v>
      </c>
      <c r="I776" s="85">
        <v>54702</v>
      </c>
      <c r="J776" s="84" t="str">
        <f>"Customer"</f>
        <v>Customer</v>
      </c>
      <c r="K776" s="84" t="str">
        <f>"C100096"</f>
        <v>C100096</v>
      </c>
      <c r="L776" s="84" t="str">
        <f>IF($J776="Customer",_xll.NL("first",$J776,"Name","No.","@@"&amp;$K776),"")</f>
        <v>D-Com Industries</v>
      </c>
      <c r="M776" s="84" t="str">
        <f>""</f>
        <v/>
      </c>
      <c r="N776" s="84" t="str">
        <f>IF($J776="Item",_xll.NL("first",$J776,"Description","No.","@@"&amp;$K776),"")</f>
        <v/>
      </c>
      <c r="O776" s="83">
        <v>0</v>
      </c>
      <c r="P776" s="83">
        <v>-144</v>
      </c>
      <c r="Q776" s="83">
        <v>0</v>
      </c>
      <c r="R776" s="83">
        <v>0</v>
      </c>
      <c r="S776" s="83">
        <v>0</v>
      </c>
      <c r="T776" s="83">
        <v>0</v>
      </c>
      <c r="U776" s="82"/>
    </row>
    <row r="777" spans="1:21" ht="17.25" customHeight="1" x14ac:dyDescent="0.3">
      <c r="A777" s="66" t="s">
        <v>30</v>
      </c>
      <c r="C777" s="67"/>
      <c r="D777" s="77" t="str">
        <f t="shared" si="421"/>
        <v>S100020</v>
      </c>
      <c r="E777" s="77"/>
      <c r="F777" s="76"/>
      <c r="G777" s="76" t="str">
        <f>"""NAV Direct"",""CRONUS JetCorp USA"",""32"",""1"",""20358"""</f>
        <v>"NAV Direct","CRONUS JetCorp USA","32","1","20358"</v>
      </c>
      <c r="H777" s="86">
        <v>43475</v>
      </c>
      <c r="I777" s="85">
        <v>20358</v>
      </c>
      <c r="J777" s="84" t="str">
        <f>"Customer"</f>
        <v>Customer</v>
      </c>
      <c r="K777" s="84" t="str">
        <f>"C100097"</f>
        <v>C100097</v>
      </c>
      <c r="L777" s="84" t="str">
        <f>IF($J777="Customer",_xll.NL("first",$J777,"Name","No.","@@"&amp;$K777),"")</f>
        <v>Solotech</v>
      </c>
      <c r="M777" s="84" t="str">
        <f>""</f>
        <v/>
      </c>
      <c r="N777" s="84" t="str">
        <f>IF($J777="Item",_xll.NL("first",$J777,"Description","No.","@@"&amp;$K777),"")</f>
        <v/>
      </c>
      <c r="O777" s="83">
        <v>0</v>
      </c>
      <c r="P777" s="83">
        <v>-144</v>
      </c>
      <c r="Q777" s="83">
        <v>0</v>
      </c>
      <c r="R777" s="83">
        <v>0</v>
      </c>
      <c r="S777" s="83">
        <v>0</v>
      </c>
      <c r="T777" s="83">
        <v>0</v>
      </c>
      <c r="U777" s="82"/>
    </row>
    <row r="778" spans="1:21" ht="17.25" customHeight="1" x14ac:dyDescent="0.3">
      <c r="A778" s="66" t="s">
        <v>30</v>
      </c>
      <c r="C778" s="67"/>
      <c r="D778" s="77" t="str">
        <f t="shared" si="421"/>
        <v>S100020</v>
      </c>
      <c r="E778" s="77"/>
      <c r="F778" s="76"/>
      <c r="G778" s="76" t="str">
        <f>"""NAV Direct"",""CRONUS JetCorp USA"",""32"",""1"",""25271"""</f>
        <v>"NAV Direct","CRONUS JetCorp USA","32","1","25271"</v>
      </c>
      <c r="H778" s="86">
        <v>43476</v>
      </c>
      <c r="I778" s="85">
        <v>25271</v>
      </c>
      <c r="J778" s="84" t="str">
        <f>"Customer"</f>
        <v>Customer</v>
      </c>
      <c r="K778" s="84" t="str">
        <f>"C100102"</f>
        <v>C100102</v>
      </c>
      <c r="L778" s="84" t="str">
        <f>IF($J778="Customer",_xll.NL("first",$J778,"Name","No.","@@"&amp;$K778),"")</f>
        <v xml:space="preserve">BEI Outfitters </v>
      </c>
      <c r="M778" s="84" t="str">
        <f>""</f>
        <v/>
      </c>
      <c r="N778" s="84" t="str">
        <f>IF($J778="Item",_xll.NL("first",$J778,"Description","No.","@@"&amp;$K778),"")</f>
        <v/>
      </c>
      <c r="O778" s="83">
        <v>0</v>
      </c>
      <c r="P778" s="83">
        <v>-144</v>
      </c>
      <c r="Q778" s="83">
        <v>0</v>
      </c>
      <c r="R778" s="83">
        <v>0</v>
      </c>
      <c r="S778" s="83">
        <v>0</v>
      </c>
      <c r="T778" s="83">
        <v>0</v>
      </c>
      <c r="U778" s="82"/>
    </row>
    <row r="779" spans="1:21" ht="17.25" customHeight="1" x14ac:dyDescent="0.3">
      <c r="A779" s="66" t="s">
        <v>30</v>
      </c>
      <c r="C779" s="67"/>
      <c r="D779" s="77"/>
      <c r="E779" s="77"/>
      <c r="F779" s="76"/>
      <c r="G779" s="76"/>
      <c r="H779" s="76"/>
      <c r="I779" s="76"/>
      <c r="J779" s="76"/>
      <c r="K779" s="76"/>
      <c r="L779" s="76"/>
      <c r="M779" s="76"/>
      <c r="N779" s="76"/>
      <c r="O779" s="75"/>
      <c r="P779" s="75"/>
      <c r="Q779" s="75"/>
      <c r="R779" s="75"/>
      <c r="S779" s="75"/>
      <c r="T779" s="75"/>
      <c r="U779" s="74"/>
    </row>
    <row r="780" spans="1:21" ht="17.25" customHeight="1" x14ac:dyDescent="0.3">
      <c r="A780" s="66" t="s">
        <v>30</v>
      </c>
      <c r="C780" s="67"/>
      <c r="D780" s="77"/>
      <c r="E780" s="77" t="s">
        <v>31</v>
      </c>
      <c r="F780" s="76" t="s">
        <v>31</v>
      </c>
      <c r="G780" s="76" t="s">
        <v>31</v>
      </c>
      <c r="H780" s="76"/>
      <c r="I780" s="76"/>
      <c r="J780" s="76" t="s">
        <v>31</v>
      </c>
      <c r="K780" s="76" t="s">
        <v>31</v>
      </c>
      <c r="L780" s="76" t="s">
        <v>31</v>
      </c>
      <c r="M780" s="76" t="s">
        <v>31</v>
      </c>
      <c r="N780" s="76"/>
      <c r="U780" s="81"/>
    </row>
    <row r="781" spans="1:21" ht="20.25" customHeight="1" x14ac:dyDescent="0.35">
      <c r="A781" s="66" t="s">
        <v>30</v>
      </c>
      <c r="C781" s="67"/>
      <c r="D781" s="92" t="str">
        <f t="shared" ref="D781" si="422">E781</f>
        <v>S100021</v>
      </c>
      <c r="E781" s="91" t="str">
        <f>"S100021"</f>
        <v>S100021</v>
      </c>
      <c r="F781" s="89" t="str">
        <f>"Translucent Stopwatch"</f>
        <v>Translucent Stopwatch</v>
      </c>
      <c r="G781" s="89"/>
      <c r="H781" s="90" t="str">
        <f>"EA"</f>
        <v>EA</v>
      </c>
      <c r="I781" s="89"/>
      <c r="J781" s="89"/>
      <c r="K781" s="89"/>
      <c r="L781" s="89"/>
      <c r="M781" s="89"/>
      <c r="N781" s="89"/>
      <c r="O781" s="88">
        <f>(SUBTOTAL(9,O782:O793))</f>
        <v>5800</v>
      </c>
      <c r="P781" s="88">
        <f>(SUBTOTAL(9,P782:P793))</f>
        <v>-1729</v>
      </c>
      <c r="Q781" s="88">
        <f>(SUBTOTAL(9,Q782:Q793))</f>
        <v>0</v>
      </c>
      <c r="R781" s="88">
        <f>(SUBTOTAL(9,R782:R793))</f>
        <v>0</v>
      </c>
      <c r="S781" s="88">
        <f>(SUBTOTAL(9,S782:S793))</f>
        <v>0</v>
      </c>
      <c r="T781" s="88">
        <f>(SUBTOTAL(9,T782:T793))</f>
        <v>0</v>
      </c>
      <c r="U781" s="87">
        <f t="shared" ref="U781" si="423">SUBTOTAL(9,O782:T793)</f>
        <v>4071</v>
      </c>
    </row>
    <row r="782" spans="1:21" ht="17.25" customHeight="1" x14ac:dyDescent="0.3">
      <c r="A782" s="66" t="s">
        <v>30</v>
      </c>
      <c r="C782" s="67"/>
      <c r="D782" s="77" t="str">
        <f t="shared" ref="D782" si="424">D781</f>
        <v>S100021</v>
      </c>
      <c r="E782" s="77"/>
      <c r="F782" s="76"/>
      <c r="G782" s="76" t="str">
        <f>"""NAV Direct"",""CRONUS JetCorp USA"",""32"",""1"",""167569"""</f>
        <v>"NAV Direct","CRONUS JetCorp USA","32","1","167569"</v>
      </c>
      <c r="H782" s="86">
        <v>43466</v>
      </c>
      <c r="I782" s="85">
        <v>167569</v>
      </c>
      <c r="J782" s="84" t="str">
        <f>"Vendor"</f>
        <v>Vendor</v>
      </c>
      <c r="K782" s="84" t="str">
        <f>"V100001"</f>
        <v>V100001</v>
      </c>
      <c r="L782" s="84" t="str">
        <f>IF($J782="Customer",_xll.NL("first",$J782,"Name","No.","@@"&amp;$K782),"")</f>
        <v/>
      </c>
      <c r="M782" s="84" t="str">
        <f>"Greigner, Inc."</f>
        <v>Greigner, Inc.</v>
      </c>
      <c r="N782" s="84" t="str">
        <f>IF($J782="Item",_xll.NL("first",$J782,"Description","No.","@@"&amp;$K782),"")</f>
        <v/>
      </c>
      <c r="O782" s="83">
        <v>5800</v>
      </c>
      <c r="P782" s="83">
        <v>0</v>
      </c>
      <c r="Q782" s="83">
        <v>0</v>
      </c>
      <c r="R782" s="83">
        <v>0</v>
      </c>
      <c r="S782" s="83">
        <v>0</v>
      </c>
      <c r="T782" s="83">
        <v>0</v>
      </c>
      <c r="U782" s="82"/>
    </row>
    <row r="783" spans="1:21" ht="17.25" customHeight="1" x14ac:dyDescent="0.3">
      <c r="A783" s="66" t="s">
        <v>30</v>
      </c>
      <c r="C783" s="67"/>
      <c r="D783" s="77" t="str">
        <f t="shared" ref="D783:D792" si="425">D782</f>
        <v>S100021</v>
      </c>
      <c r="E783" s="77"/>
      <c r="F783" s="76"/>
      <c r="G783" s="76" t="str">
        <f>"""NAV Direct"",""CRONUS JetCorp USA"",""32"",""1"",""20370"""</f>
        <v>"NAV Direct","CRONUS JetCorp USA","32","1","20370"</v>
      </c>
      <c r="H783" s="86">
        <v>43468</v>
      </c>
      <c r="I783" s="85">
        <v>20370</v>
      </c>
      <c r="J783" s="84" t="str">
        <f>"Customer"</f>
        <v>Customer</v>
      </c>
      <c r="K783" s="84" t="str">
        <f>"C100145"</f>
        <v>C100145</v>
      </c>
      <c r="L783" s="84" t="str">
        <f>IF($J783="Customer",_xll.NL("first",$J783,"Name","No.","@@"&amp;$K783),"")</f>
        <v>Dicon Industries</v>
      </c>
      <c r="M783" s="84" t="str">
        <f>""</f>
        <v/>
      </c>
      <c r="N783" s="84" t="str">
        <f>IF($J783="Item",_xll.NL("first",$J783,"Description","No.","@@"&amp;$K783),"")</f>
        <v/>
      </c>
      <c r="O783" s="83">
        <v>0</v>
      </c>
      <c r="P783" s="83">
        <v>-144</v>
      </c>
      <c r="Q783" s="83">
        <v>0</v>
      </c>
      <c r="R783" s="83">
        <v>0</v>
      </c>
      <c r="S783" s="83">
        <v>0</v>
      </c>
      <c r="T783" s="83">
        <v>0</v>
      </c>
      <c r="U783" s="82"/>
    </row>
    <row r="784" spans="1:21" ht="17.25" customHeight="1" x14ac:dyDescent="0.3">
      <c r="A784" s="66" t="s">
        <v>30</v>
      </c>
      <c r="C784" s="67"/>
      <c r="D784" s="77" t="str">
        <f t="shared" si="425"/>
        <v>S100021</v>
      </c>
      <c r="E784" s="77"/>
      <c r="F784" s="76"/>
      <c r="G784" s="76" t="str">
        <f>"""NAV Direct"",""CRONUS JetCorp USA"",""32"",""1"",""64573"""</f>
        <v>"NAV Direct","CRONUS JetCorp USA","32","1","64573"</v>
      </c>
      <c r="H784" s="86">
        <v>43469</v>
      </c>
      <c r="I784" s="85">
        <v>64573</v>
      </c>
      <c r="J784" s="84" t="str">
        <f>"Customer"</f>
        <v>Customer</v>
      </c>
      <c r="K784" s="84" t="str">
        <f>"C100140"</f>
        <v>C100140</v>
      </c>
      <c r="L784" s="84" t="str">
        <f>IF($J784="Customer",_xll.NL("first",$J784,"Name","No.","@@"&amp;$K784),"")</f>
        <v>Super Daves</v>
      </c>
      <c r="M784" s="84" t="str">
        <f>""</f>
        <v/>
      </c>
      <c r="N784" s="84" t="str">
        <f>IF($J784="Item",_xll.NL("first",$J784,"Description","No.","@@"&amp;$K784),"")</f>
        <v/>
      </c>
      <c r="O784" s="83">
        <v>0</v>
      </c>
      <c r="P784" s="83">
        <v>-144</v>
      </c>
      <c r="Q784" s="83">
        <v>0</v>
      </c>
      <c r="R784" s="83">
        <v>0</v>
      </c>
      <c r="S784" s="83">
        <v>0</v>
      </c>
      <c r="T784" s="83">
        <v>0</v>
      </c>
      <c r="U784" s="82"/>
    </row>
    <row r="785" spans="1:21" ht="17.25" customHeight="1" x14ac:dyDescent="0.3">
      <c r="A785" s="66" t="s">
        <v>30</v>
      </c>
      <c r="C785" s="67"/>
      <c r="D785" s="77" t="str">
        <f t="shared" si="425"/>
        <v>S100021</v>
      </c>
      <c r="E785" s="77"/>
      <c r="F785" s="76"/>
      <c r="G785" s="76" t="str">
        <f>"""NAV Direct"",""CRONUS JetCorp USA"",""32"",""1"",""147988"""</f>
        <v>"NAV Direct","CRONUS JetCorp USA","32","1","147988"</v>
      </c>
      <c r="H785" s="86">
        <v>43469</v>
      </c>
      <c r="I785" s="85">
        <v>147988</v>
      </c>
      <c r="J785" s="84" t="str">
        <f>"Customer"</f>
        <v>Customer</v>
      </c>
      <c r="K785" s="84" t="str">
        <f>"C100096"</f>
        <v>C100096</v>
      </c>
      <c r="L785" s="84" t="str">
        <f>IF($J785="Customer",_xll.NL("first",$J785,"Name","No.","@@"&amp;$K785),"")</f>
        <v>D-Com Industries</v>
      </c>
      <c r="M785" s="84" t="str">
        <f>""</f>
        <v/>
      </c>
      <c r="N785" s="84" t="str">
        <f>IF($J785="Item",_xll.NL("first",$J785,"Description","No.","@@"&amp;$K785),"")</f>
        <v/>
      </c>
      <c r="O785" s="83">
        <v>0</v>
      </c>
      <c r="P785" s="83">
        <v>-288</v>
      </c>
      <c r="Q785" s="83">
        <v>0</v>
      </c>
      <c r="R785" s="83">
        <v>0</v>
      </c>
      <c r="S785" s="83">
        <v>0</v>
      </c>
      <c r="T785" s="83">
        <v>0</v>
      </c>
      <c r="U785" s="82"/>
    </row>
    <row r="786" spans="1:21" ht="17.25" customHeight="1" x14ac:dyDescent="0.3">
      <c r="A786" s="66" t="s">
        <v>30</v>
      </c>
      <c r="C786" s="67"/>
      <c r="D786" s="77" t="str">
        <f t="shared" si="425"/>
        <v>S100021</v>
      </c>
      <c r="E786" s="77"/>
      <c r="F786" s="76"/>
      <c r="G786" s="76" t="str">
        <f>"""NAV Direct"",""CRONUS JetCorp USA"",""32"",""1"",""128854"""</f>
        <v>"NAV Direct","CRONUS JetCorp USA","32","1","128854"</v>
      </c>
      <c r="H786" s="86">
        <v>43471</v>
      </c>
      <c r="I786" s="85">
        <v>128854</v>
      </c>
      <c r="J786" s="84" t="str">
        <f>"Customer"</f>
        <v>Customer</v>
      </c>
      <c r="K786" s="84" t="str">
        <f>"C100138"</f>
        <v>C100138</v>
      </c>
      <c r="L786" s="84" t="str">
        <f>IF($J786="Customer",_xll.NL("first",$J786,"Name","No.","@@"&amp;$K786),"")</f>
        <v>Dantons</v>
      </c>
      <c r="M786" s="84" t="str">
        <f>""</f>
        <v/>
      </c>
      <c r="N786" s="84" t="str">
        <f>IF($J786="Item",_xll.NL("first",$J786,"Description","No.","@@"&amp;$K786),"")</f>
        <v/>
      </c>
      <c r="O786" s="83">
        <v>0</v>
      </c>
      <c r="P786" s="83">
        <v>-145</v>
      </c>
      <c r="Q786" s="83">
        <v>0</v>
      </c>
      <c r="R786" s="83">
        <v>0</v>
      </c>
      <c r="S786" s="83">
        <v>0</v>
      </c>
      <c r="T786" s="83">
        <v>0</v>
      </c>
      <c r="U786" s="82"/>
    </row>
    <row r="787" spans="1:21" ht="17.25" customHeight="1" x14ac:dyDescent="0.3">
      <c r="A787" s="66" t="s">
        <v>30</v>
      </c>
      <c r="C787" s="67"/>
      <c r="D787" s="77" t="str">
        <f t="shared" si="425"/>
        <v>S100021</v>
      </c>
      <c r="E787" s="77"/>
      <c r="F787" s="76"/>
      <c r="G787" s="76" t="str">
        <f>"""NAV Direct"",""CRONUS JetCorp USA"",""32"",""1"",""20337"""</f>
        <v>"NAV Direct","CRONUS JetCorp USA","32","1","20337"</v>
      </c>
      <c r="H787" s="86">
        <v>43472</v>
      </c>
      <c r="I787" s="85">
        <v>20337</v>
      </c>
      <c r="J787" s="84" t="str">
        <f>"Customer"</f>
        <v>Customer</v>
      </c>
      <c r="K787" s="84" t="str">
        <f>"C100145"</f>
        <v>C100145</v>
      </c>
      <c r="L787" s="84" t="str">
        <f>IF($J787="Customer",_xll.NL("first",$J787,"Name","No.","@@"&amp;$K787),"")</f>
        <v>Dicon Industries</v>
      </c>
      <c r="M787" s="84" t="str">
        <f>""</f>
        <v/>
      </c>
      <c r="N787" s="84" t="str">
        <f>IF($J787="Item",_xll.NL("first",$J787,"Description","No.","@@"&amp;$K787),"")</f>
        <v/>
      </c>
      <c r="O787" s="83">
        <v>0</v>
      </c>
      <c r="P787" s="83">
        <v>-144</v>
      </c>
      <c r="Q787" s="83">
        <v>0</v>
      </c>
      <c r="R787" s="83">
        <v>0</v>
      </c>
      <c r="S787" s="83">
        <v>0</v>
      </c>
      <c r="T787" s="83">
        <v>0</v>
      </c>
      <c r="U787" s="82"/>
    </row>
    <row r="788" spans="1:21" ht="17.25" customHeight="1" x14ac:dyDescent="0.3">
      <c r="A788" s="66" t="s">
        <v>30</v>
      </c>
      <c r="C788" s="67"/>
      <c r="D788" s="77" t="str">
        <f t="shared" si="425"/>
        <v>S100021</v>
      </c>
      <c r="E788" s="77"/>
      <c r="F788" s="76"/>
      <c r="G788" s="76" t="str">
        <f>"""NAV Direct"",""CRONUS JetCorp USA"",""32"",""1"",""44464"""</f>
        <v>"NAV Direct","CRONUS JetCorp USA","32","1","44464"</v>
      </c>
      <c r="H788" s="86">
        <v>43472</v>
      </c>
      <c r="I788" s="85">
        <v>44464</v>
      </c>
      <c r="J788" s="84" t="str">
        <f>"Customer"</f>
        <v>Customer</v>
      </c>
      <c r="K788" s="84" t="str">
        <f>"C100141"</f>
        <v>C100141</v>
      </c>
      <c r="L788" s="84" t="str">
        <f>IF($J788="Customer",_xll.NL("first",$J788,"Name","No.","@@"&amp;$K788),"")</f>
        <v>Bargottis</v>
      </c>
      <c r="M788" s="84" t="str">
        <f>""</f>
        <v/>
      </c>
      <c r="N788" s="84" t="str">
        <f>IF($J788="Item",_xll.NL("first",$J788,"Description","No.","@@"&amp;$K788),"")</f>
        <v/>
      </c>
      <c r="O788" s="83">
        <v>0</v>
      </c>
      <c r="P788" s="83">
        <v>-144</v>
      </c>
      <c r="Q788" s="83">
        <v>0</v>
      </c>
      <c r="R788" s="83">
        <v>0</v>
      </c>
      <c r="S788" s="83">
        <v>0</v>
      </c>
      <c r="T788" s="83">
        <v>0</v>
      </c>
      <c r="U788" s="82"/>
    </row>
    <row r="789" spans="1:21" ht="17.25" customHeight="1" x14ac:dyDescent="0.3">
      <c r="A789" s="66" t="s">
        <v>30</v>
      </c>
      <c r="C789" s="67"/>
      <c r="D789" s="77" t="str">
        <f t="shared" si="425"/>
        <v>S100021</v>
      </c>
      <c r="E789" s="77"/>
      <c r="F789" s="76"/>
      <c r="G789" s="76" t="str">
        <f>"""NAV Direct"",""CRONUS JetCorp USA"",""32"",""1"",""128867"""</f>
        <v>"NAV Direct","CRONUS JetCorp USA","32","1","128867"</v>
      </c>
      <c r="H789" s="86">
        <v>43472</v>
      </c>
      <c r="I789" s="85">
        <v>128867</v>
      </c>
      <c r="J789" s="84" t="str">
        <f>"Customer"</f>
        <v>Customer</v>
      </c>
      <c r="K789" s="84" t="str">
        <f>"C100105"</f>
        <v>C100105</v>
      </c>
      <c r="L789" s="84" t="str">
        <f>IF($J789="Customer",_xll.NL("first",$J789,"Name","No.","@@"&amp;$K789),"")</f>
        <v>Esystems</v>
      </c>
      <c r="M789" s="84" t="str">
        <f>""</f>
        <v/>
      </c>
      <c r="N789" s="84" t="str">
        <f>IF($J789="Item",_xll.NL("first",$J789,"Description","No.","@@"&amp;$K789),"")</f>
        <v/>
      </c>
      <c r="O789" s="83">
        <v>0</v>
      </c>
      <c r="P789" s="83">
        <v>-288</v>
      </c>
      <c r="Q789" s="83">
        <v>0</v>
      </c>
      <c r="R789" s="83">
        <v>0</v>
      </c>
      <c r="S789" s="83">
        <v>0</v>
      </c>
      <c r="T789" s="83">
        <v>0</v>
      </c>
      <c r="U789" s="82"/>
    </row>
    <row r="790" spans="1:21" ht="17.25" customHeight="1" x14ac:dyDescent="0.3">
      <c r="A790" s="66" t="s">
        <v>30</v>
      </c>
      <c r="C790" s="67"/>
      <c r="D790" s="77" t="str">
        <f t="shared" si="425"/>
        <v>S100021</v>
      </c>
      <c r="E790" s="77"/>
      <c r="F790" s="76"/>
      <c r="G790" s="76" t="str">
        <f>"""NAV Direct"",""CRONUS JetCorp USA"",""32"",""1"",""124528"""</f>
        <v>"NAV Direct","CRONUS JetCorp USA","32","1","124528"</v>
      </c>
      <c r="H790" s="86">
        <v>43474</v>
      </c>
      <c r="I790" s="85">
        <v>124528</v>
      </c>
      <c r="J790" s="84" t="str">
        <f>"Customer"</f>
        <v>Customer</v>
      </c>
      <c r="K790" s="84" t="str">
        <f>"C100145"</f>
        <v>C100145</v>
      </c>
      <c r="L790" s="84" t="str">
        <f>IF($J790="Customer",_xll.NL("first",$J790,"Name","No.","@@"&amp;$K790),"")</f>
        <v>Dicon Industries</v>
      </c>
      <c r="M790" s="84" t="str">
        <f>""</f>
        <v/>
      </c>
      <c r="N790" s="84" t="str">
        <f>IF($J790="Item",_xll.NL("first",$J790,"Description","No.","@@"&amp;$K790),"")</f>
        <v/>
      </c>
      <c r="O790" s="83">
        <v>0</v>
      </c>
      <c r="P790" s="83">
        <v>-144</v>
      </c>
      <c r="Q790" s="83">
        <v>0</v>
      </c>
      <c r="R790" s="83">
        <v>0</v>
      </c>
      <c r="S790" s="83">
        <v>0</v>
      </c>
      <c r="T790" s="83">
        <v>0</v>
      </c>
      <c r="U790" s="82"/>
    </row>
    <row r="791" spans="1:21" ht="17.25" customHeight="1" x14ac:dyDescent="0.3">
      <c r="A791" s="66" t="s">
        <v>30</v>
      </c>
      <c r="C791" s="67"/>
      <c r="D791" s="77" t="str">
        <f t="shared" si="425"/>
        <v>S100021</v>
      </c>
      <c r="E791" s="77"/>
      <c r="F791" s="76"/>
      <c r="G791" s="76" t="str">
        <f>"""NAV Direct"",""CRONUS JetCorp USA"",""32"",""1"",""20356"""</f>
        <v>"NAV Direct","CRONUS JetCorp USA","32","1","20356"</v>
      </c>
      <c r="H791" s="86">
        <v>43475</v>
      </c>
      <c r="I791" s="85">
        <v>20356</v>
      </c>
      <c r="J791" s="84" t="str">
        <f>"Customer"</f>
        <v>Customer</v>
      </c>
      <c r="K791" s="84" t="str">
        <f>"C100097"</f>
        <v>C100097</v>
      </c>
      <c r="L791" s="84" t="str">
        <f>IF($J791="Customer",_xll.NL("first",$J791,"Name","No.","@@"&amp;$K791),"")</f>
        <v>Solotech</v>
      </c>
      <c r="M791" s="84" t="str">
        <f>""</f>
        <v/>
      </c>
      <c r="N791" s="84" t="str">
        <f>IF($J791="Item",_xll.NL("first",$J791,"Description","No.","@@"&amp;$K791),"")</f>
        <v/>
      </c>
      <c r="O791" s="83">
        <v>0</v>
      </c>
      <c r="P791" s="83">
        <v>-144</v>
      </c>
      <c r="Q791" s="83">
        <v>0</v>
      </c>
      <c r="R791" s="83">
        <v>0</v>
      </c>
      <c r="S791" s="83">
        <v>0</v>
      </c>
      <c r="T791" s="83">
        <v>0</v>
      </c>
      <c r="U791" s="82"/>
    </row>
    <row r="792" spans="1:21" ht="17.25" customHeight="1" x14ac:dyDescent="0.3">
      <c r="A792" s="66" t="s">
        <v>30</v>
      </c>
      <c r="C792" s="67"/>
      <c r="D792" s="77" t="str">
        <f t="shared" si="425"/>
        <v>S100021</v>
      </c>
      <c r="E792" s="77"/>
      <c r="F792" s="76"/>
      <c r="G792" s="76" t="str">
        <f>"""NAV Direct"",""CRONUS JetCorp USA"",""32"",""1"",""25291"""</f>
        <v>"NAV Direct","CRONUS JetCorp USA","32","1","25291"</v>
      </c>
      <c r="H792" s="86">
        <v>43477</v>
      </c>
      <c r="I792" s="85">
        <v>25291</v>
      </c>
      <c r="J792" s="84" t="str">
        <f>"Customer"</f>
        <v>Customer</v>
      </c>
      <c r="K792" s="84" t="str">
        <f>"C100138"</f>
        <v>C100138</v>
      </c>
      <c r="L792" s="84" t="str">
        <f>IF($J792="Customer",_xll.NL("first",$J792,"Name","No.","@@"&amp;$K792),"")</f>
        <v>Dantons</v>
      </c>
      <c r="M792" s="84" t="str">
        <f>""</f>
        <v/>
      </c>
      <c r="N792" s="84" t="str">
        <f>IF($J792="Item",_xll.NL("first",$J792,"Description","No.","@@"&amp;$K792),"")</f>
        <v/>
      </c>
      <c r="O792" s="83">
        <v>0</v>
      </c>
      <c r="P792" s="83">
        <v>-144</v>
      </c>
      <c r="Q792" s="83">
        <v>0</v>
      </c>
      <c r="R792" s="83">
        <v>0</v>
      </c>
      <c r="S792" s="83">
        <v>0</v>
      </c>
      <c r="T792" s="83">
        <v>0</v>
      </c>
      <c r="U792" s="82"/>
    </row>
    <row r="793" spans="1:21" ht="17.25" customHeight="1" x14ac:dyDescent="0.3">
      <c r="A793" s="66" t="s">
        <v>30</v>
      </c>
      <c r="C793" s="67"/>
      <c r="D793" s="77"/>
      <c r="E793" s="77"/>
      <c r="F793" s="76"/>
      <c r="G793" s="76"/>
      <c r="H793" s="76"/>
      <c r="I793" s="76"/>
      <c r="J793" s="76"/>
      <c r="K793" s="76"/>
      <c r="L793" s="76"/>
      <c r="M793" s="76"/>
      <c r="N793" s="76"/>
      <c r="O793" s="75"/>
      <c r="P793" s="75"/>
      <c r="Q793" s="75"/>
      <c r="R793" s="75"/>
      <c r="S793" s="75"/>
      <c r="T793" s="75"/>
      <c r="U793" s="74"/>
    </row>
    <row r="794" spans="1:21" ht="17.25" customHeight="1" x14ac:dyDescent="0.3">
      <c r="A794" s="66" t="s">
        <v>30</v>
      </c>
      <c r="C794" s="67"/>
      <c r="D794" s="77"/>
      <c r="E794" s="77" t="s">
        <v>31</v>
      </c>
      <c r="F794" s="76" t="s">
        <v>31</v>
      </c>
      <c r="G794" s="76" t="s">
        <v>31</v>
      </c>
      <c r="H794" s="76"/>
      <c r="I794" s="76"/>
      <c r="J794" s="76" t="s">
        <v>31</v>
      </c>
      <c r="K794" s="76" t="s">
        <v>31</v>
      </c>
      <c r="L794" s="76" t="s">
        <v>31</v>
      </c>
      <c r="M794" s="76" t="s">
        <v>31</v>
      </c>
      <c r="N794" s="76"/>
      <c r="U794" s="81"/>
    </row>
    <row r="795" spans="1:21" ht="20.25" customHeight="1" x14ac:dyDescent="0.35">
      <c r="A795" s="66" t="s">
        <v>30</v>
      </c>
      <c r="C795" s="67"/>
      <c r="D795" s="92" t="str">
        <f t="shared" ref="D795" si="426">E795</f>
        <v>S100023</v>
      </c>
      <c r="E795" s="91" t="str">
        <f>"S100023"</f>
        <v>S100023</v>
      </c>
      <c r="F795" s="89" t="str">
        <f>"Gripper SPORT BOT"</f>
        <v>Gripper SPORT BOT</v>
      </c>
      <c r="G795" s="89"/>
      <c r="H795" s="90" t="str">
        <f>"EA"</f>
        <v>EA</v>
      </c>
      <c r="I795" s="89"/>
      <c r="J795" s="89"/>
      <c r="K795" s="89"/>
      <c r="L795" s="89"/>
      <c r="M795" s="89"/>
      <c r="N795" s="89"/>
      <c r="O795" s="88">
        <f>(SUBTOTAL(9,O796:O798))</f>
        <v>2750</v>
      </c>
      <c r="P795" s="88">
        <f>(SUBTOTAL(9,P796:P798))</f>
        <v>-144</v>
      </c>
      <c r="Q795" s="88">
        <f>(SUBTOTAL(9,Q796:Q798))</f>
        <v>0</v>
      </c>
      <c r="R795" s="88">
        <f>(SUBTOTAL(9,R796:R798))</f>
        <v>0</v>
      </c>
      <c r="S795" s="88">
        <f>(SUBTOTAL(9,S796:S798))</f>
        <v>0</v>
      </c>
      <c r="T795" s="88">
        <f>(SUBTOTAL(9,T796:T798))</f>
        <v>0</v>
      </c>
      <c r="U795" s="87">
        <f t="shared" ref="U795" si="427">SUBTOTAL(9,O796:T798)</f>
        <v>2606</v>
      </c>
    </row>
    <row r="796" spans="1:21" ht="17.25" customHeight="1" x14ac:dyDescent="0.3">
      <c r="A796" s="66" t="s">
        <v>30</v>
      </c>
      <c r="C796" s="67"/>
      <c r="D796" s="77" t="str">
        <f t="shared" ref="D796" si="428">D795</f>
        <v>S100023</v>
      </c>
      <c r="E796" s="77"/>
      <c r="F796" s="76"/>
      <c r="G796" s="76" t="str">
        <f>"""NAV Direct"",""CRONUS JetCorp USA"",""32"",""1"",""168632"""</f>
        <v>"NAV Direct","CRONUS JetCorp USA","32","1","168632"</v>
      </c>
      <c r="H796" s="86">
        <v>43466</v>
      </c>
      <c r="I796" s="85">
        <v>168632</v>
      </c>
      <c r="J796" s="84" t="str">
        <f>"Vendor"</f>
        <v>Vendor</v>
      </c>
      <c r="K796" s="84" t="str">
        <f>"V100001"</f>
        <v>V100001</v>
      </c>
      <c r="L796" s="84" t="str">
        <f>IF($J796="Customer",_xll.NL("first",$J796,"Name","No.","@@"&amp;$K796),"")</f>
        <v/>
      </c>
      <c r="M796" s="84" t="str">
        <f>"Greigner, Inc."</f>
        <v>Greigner, Inc.</v>
      </c>
      <c r="N796" s="84" t="str">
        <f>IF($J796="Item",_xll.NL("first",$J796,"Description","No.","@@"&amp;$K796),"")</f>
        <v/>
      </c>
      <c r="O796" s="83">
        <v>2750</v>
      </c>
      <c r="P796" s="83">
        <v>0</v>
      </c>
      <c r="Q796" s="83">
        <v>0</v>
      </c>
      <c r="R796" s="83">
        <v>0</v>
      </c>
      <c r="S796" s="83">
        <v>0</v>
      </c>
      <c r="T796" s="83">
        <v>0</v>
      </c>
      <c r="U796" s="82"/>
    </row>
    <row r="797" spans="1:21" ht="17.25" customHeight="1" x14ac:dyDescent="0.3">
      <c r="A797" s="66" t="s">
        <v>30</v>
      </c>
      <c r="C797" s="67"/>
      <c r="D797" s="77" t="str">
        <f t="shared" ref="D797" si="429">D796</f>
        <v>S100023</v>
      </c>
      <c r="E797" s="77"/>
      <c r="F797" s="76"/>
      <c r="G797" s="76" t="str">
        <f>"""NAV Direct"",""CRONUS JetCorp USA"",""32"",""1"",""44527"""</f>
        <v>"NAV Direct","CRONUS JetCorp USA","32","1","44527"</v>
      </c>
      <c r="H797" s="86">
        <v>43473</v>
      </c>
      <c r="I797" s="85">
        <v>44527</v>
      </c>
      <c r="J797" s="84" t="str">
        <f>"Customer"</f>
        <v>Customer</v>
      </c>
      <c r="K797" s="84" t="str">
        <f>"C100139"</f>
        <v>C100139</v>
      </c>
      <c r="L797" s="84" t="str">
        <f>IF($J797="Customer",_xll.NL("first",$J797,"Name","No.","@@"&amp;$K797),"")</f>
        <v>Gamma Ray's</v>
      </c>
      <c r="M797" s="84" t="str">
        <f>""</f>
        <v/>
      </c>
      <c r="N797" s="84" t="str">
        <f>IF($J797="Item",_xll.NL("first",$J797,"Description","No.","@@"&amp;$K797),"")</f>
        <v/>
      </c>
      <c r="O797" s="83">
        <v>0</v>
      </c>
      <c r="P797" s="83">
        <v>-144</v>
      </c>
      <c r="Q797" s="83">
        <v>0</v>
      </c>
      <c r="R797" s="83">
        <v>0</v>
      </c>
      <c r="S797" s="83">
        <v>0</v>
      </c>
      <c r="T797" s="83">
        <v>0</v>
      </c>
      <c r="U797" s="82"/>
    </row>
    <row r="798" spans="1:21" ht="17.25" customHeight="1" x14ac:dyDescent="0.3">
      <c r="A798" s="66" t="s">
        <v>30</v>
      </c>
      <c r="C798" s="67"/>
      <c r="D798" s="77"/>
      <c r="E798" s="77"/>
      <c r="F798" s="76"/>
      <c r="G798" s="76"/>
      <c r="H798" s="76"/>
      <c r="I798" s="76"/>
      <c r="J798" s="76"/>
      <c r="K798" s="76"/>
      <c r="L798" s="76"/>
      <c r="M798" s="76"/>
      <c r="N798" s="76"/>
      <c r="O798" s="75"/>
      <c r="P798" s="75"/>
      <c r="Q798" s="75"/>
      <c r="R798" s="75"/>
      <c r="S798" s="75"/>
      <c r="T798" s="75"/>
      <c r="U798" s="74"/>
    </row>
    <row r="799" spans="1:21" ht="17.25" customHeight="1" x14ac:dyDescent="0.3">
      <c r="A799" s="66" t="s">
        <v>30</v>
      </c>
      <c r="C799" s="67"/>
      <c r="D799" s="77"/>
      <c r="E799" s="77" t="s">
        <v>31</v>
      </c>
      <c r="F799" s="76" t="s">
        <v>31</v>
      </c>
      <c r="G799" s="76" t="s">
        <v>31</v>
      </c>
      <c r="H799" s="76"/>
      <c r="I799" s="76"/>
      <c r="J799" s="76" t="s">
        <v>31</v>
      </c>
      <c r="K799" s="76" t="s">
        <v>31</v>
      </c>
      <c r="L799" s="76" t="s">
        <v>31</v>
      </c>
      <c r="M799" s="76" t="s">
        <v>31</v>
      </c>
      <c r="N799" s="76"/>
      <c r="U799" s="81"/>
    </row>
    <row r="800" spans="1:21" ht="20.25" customHeight="1" x14ac:dyDescent="0.35">
      <c r="A800" s="66" t="s">
        <v>30</v>
      </c>
      <c r="C800" s="67"/>
      <c r="D800" s="92" t="str">
        <f t="shared" ref="D800" si="430">E800</f>
        <v>S100024</v>
      </c>
      <c r="E800" s="91" t="str">
        <f>"S100024"</f>
        <v>S100024</v>
      </c>
      <c r="F800" s="89" t="str">
        <f>"Aluminum SPORT BOT"</f>
        <v>Aluminum SPORT BOT</v>
      </c>
      <c r="G800" s="89"/>
      <c r="H800" s="90" t="str">
        <f>"EA"</f>
        <v>EA</v>
      </c>
      <c r="I800" s="89"/>
      <c r="J800" s="89"/>
      <c r="K800" s="89"/>
      <c r="L800" s="89"/>
      <c r="M800" s="89"/>
      <c r="N800" s="89"/>
      <c r="O800" s="88">
        <f>(SUBTOTAL(9,O801:O804))</f>
        <v>2500</v>
      </c>
      <c r="P800" s="88">
        <f>(SUBTOTAL(9,P801:P804))</f>
        <v>-288</v>
      </c>
      <c r="Q800" s="88">
        <f>(SUBTOTAL(9,Q801:Q804))</f>
        <v>0</v>
      </c>
      <c r="R800" s="88">
        <f>(SUBTOTAL(9,R801:R804))</f>
        <v>0</v>
      </c>
      <c r="S800" s="88">
        <f>(SUBTOTAL(9,S801:S804))</f>
        <v>0</v>
      </c>
      <c r="T800" s="88">
        <f>(SUBTOTAL(9,T801:T804))</f>
        <v>0</v>
      </c>
      <c r="U800" s="87">
        <f t="shared" ref="U800" si="431">SUBTOTAL(9,O801:T804)</f>
        <v>2212</v>
      </c>
    </row>
    <row r="801" spans="1:21" ht="17.25" customHeight="1" x14ac:dyDescent="0.3">
      <c r="A801" s="66" t="s">
        <v>30</v>
      </c>
      <c r="C801" s="67"/>
      <c r="D801" s="77" t="str">
        <f t="shared" ref="D801" si="432">D800</f>
        <v>S100024</v>
      </c>
      <c r="E801" s="77"/>
      <c r="F801" s="76"/>
      <c r="G801" s="76" t="str">
        <f>"""NAV Direct"",""CRONUS JetCorp USA"",""32"",""1"",""168631"""</f>
        <v>"NAV Direct","CRONUS JetCorp USA","32","1","168631"</v>
      </c>
      <c r="H801" s="86">
        <v>43466</v>
      </c>
      <c r="I801" s="85">
        <v>168631</v>
      </c>
      <c r="J801" s="84" t="str">
        <f>"Vendor"</f>
        <v>Vendor</v>
      </c>
      <c r="K801" s="84" t="str">
        <f>"V100001"</f>
        <v>V100001</v>
      </c>
      <c r="L801" s="84" t="str">
        <f>IF($J801="Customer",_xll.NL("first",$J801,"Name","No.","@@"&amp;$K801),"")</f>
        <v/>
      </c>
      <c r="M801" s="84" t="str">
        <f>"Greigner, Inc."</f>
        <v>Greigner, Inc.</v>
      </c>
      <c r="N801" s="84" t="str">
        <f>IF($J801="Item",_xll.NL("first",$J801,"Description","No.","@@"&amp;$K801),"")</f>
        <v/>
      </c>
      <c r="O801" s="83">
        <v>2500</v>
      </c>
      <c r="P801" s="83">
        <v>0</v>
      </c>
      <c r="Q801" s="83">
        <v>0</v>
      </c>
      <c r="R801" s="83">
        <v>0</v>
      </c>
      <c r="S801" s="83">
        <v>0</v>
      </c>
      <c r="T801" s="83">
        <v>0</v>
      </c>
      <c r="U801" s="82"/>
    </row>
    <row r="802" spans="1:21" ht="17.25" customHeight="1" x14ac:dyDescent="0.3">
      <c r="A802" s="66" t="s">
        <v>30</v>
      </c>
      <c r="C802" s="67"/>
      <c r="D802" s="77" t="str">
        <f t="shared" ref="D802:D803" si="433">D801</f>
        <v>S100024</v>
      </c>
      <c r="E802" s="77"/>
      <c r="F802" s="76"/>
      <c r="G802" s="76" t="str">
        <f>"""NAV Direct"",""CRONUS JetCorp USA"",""32"",""1"",""44467"""</f>
        <v>"NAV Direct","CRONUS JetCorp USA","32","1","44467"</v>
      </c>
      <c r="H802" s="86">
        <v>43472</v>
      </c>
      <c r="I802" s="85">
        <v>44467</v>
      </c>
      <c r="J802" s="84" t="str">
        <f>"Customer"</f>
        <v>Customer</v>
      </c>
      <c r="K802" s="84" t="str">
        <f>"C100141"</f>
        <v>C100141</v>
      </c>
      <c r="L802" s="84" t="str">
        <f>IF($J802="Customer",_xll.NL("first",$J802,"Name","No.","@@"&amp;$K802),"")</f>
        <v>Bargottis</v>
      </c>
      <c r="M802" s="84" t="str">
        <f>""</f>
        <v/>
      </c>
      <c r="N802" s="84" t="str">
        <f>IF($J802="Item",_xll.NL("first",$J802,"Description","No.","@@"&amp;$K802),"")</f>
        <v/>
      </c>
      <c r="O802" s="83">
        <v>0</v>
      </c>
      <c r="P802" s="83">
        <v>-144</v>
      </c>
      <c r="Q802" s="83">
        <v>0</v>
      </c>
      <c r="R802" s="83">
        <v>0</v>
      </c>
      <c r="S802" s="83">
        <v>0</v>
      </c>
      <c r="T802" s="83">
        <v>0</v>
      </c>
      <c r="U802" s="82"/>
    </row>
    <row r="803" spans="1:21" ht="17.25" customHeight="1" x14ac:dyDescent="0.3">
      <c r="A803" s="66" t="s">
        <v>30</v>
      </c>
      <c r="C803" s="67"/>
      <c r="D803" s="77" t="str">
        <f t="shared" si="433"/>
        <v>S100024</v>
      </c>
      <c r="E803" s="77"/>
      <c r="F803" s="76"/>
      <c r="G803" s="76" t="str">
        <f>"""NAV Direct"",""CRONUS JetCorp USA"",""32"",""1"",""44516"""</f>
        <v>"NAV Direct","CRONUS JetCorp USA","32","1","44516"</v>
      </c>
      <c r="H803" s="86">
        <v>43473</v>
      </c>
      <c r="I803" s="85">
        <v>44516</v>
      </c>
      <c r="J803" s="84" t="str">
        <f>"Customer"</f>
        <v>Customer</v>
      </c>
      <c r="K803" s="84" t="str">
        <f>"C100139"</f>
        <v>C100139</v>
      </c>
      <c r="L803" s="84" t="str">
        <f>IF($J803="Customer",_xll.NL("first",$J803,"Name","No.","@@"&amp;$K803),"")</f>
        <v>Gamma Ray's</v>
      </c>
      <c r="M803" s="84" t="str">
        <f>""</f>
        <v/>
      </c>
      <c r="N803" s="84" t="str">
        <f>IF($J803="Item",_xll.NL("first",$J803,"Description","No.","@@"&amp;$K803),"")</f>
        <v/>
      </c>
      <c r="O803" s="83">
        <v>0</v>
      </c>
      <c r="P803" s="83">
        <v>-144</v>
      </c>
      <c r="Q803" s="83">
        <v>0</v>
      </c>
      <c r="R803" s="83">
        <v>0</v>
      </c>
      <c r="S803" s="83">
        <v>0</v>
      </c>
      <c r="T803" s="83">
        <v>0</v>
      </c>
      <c r="U803" s="82"/>
    </row>
    <row r="804" spans="1:21" ht="17.25" customHeight="1" x14ac:dyDescent="0.3">
      <c r="A804" s="66" t="s">
        <v>30</v>
      </c>
      <c r="C804" s="67"/>
      <c r="D804" s="77"/>
      <c r="E804" s="77"/>
      <c r="F804" s="76"/>
      <c r="G804" s="76"/>
      <c r="H804" s="76"/>
      <c r="I804" s="76"/>
      <c r="J804" s="76"/>
      <c r="K804" s="76"/>
      <c r="L804" s="76"/>
      <c r="M804" s="76"/>
      <c r="N804" s="76"/>
      <c r="O804" s="75"/>
      <c r="P804" s="75"/>
      <c r="Q804" s="75"/>
      <c r="R804" s="75"/>
      <c r="S804" s="75"/>
      <c r="T804" s="75"/>
      <c r="U804" s="74"/>
    </row>
    <row r="805" spans="1:21" ht="17.25" customHeight="1" x14ac:dyDescent="0.3">
      <c r="A805" s="66" t="s">
        <v>30</v>
      </c>
      <c r="C805" s="67"/>
      <c r="D805" s="77"/>
      <c r="E805" s="77" t="s">
        <v>31</v>
      </c>
      <c r="F805" s="76" t="s">
        <v>31</v>
      </c>
      <c r="G805" s="76" t="s">
        <v>31</v>
      </c>
      <c r="H805" s="76"/>
      <c r="I805" s="76"/>
      <c r="J805" s="76" t="s">
        <v>31</v>
      </c>
      <c r="K805" s="76" t="s">
        <v>31</v>
      </c>
      <c r="L805" s="76" t="s">
        <v>31</v>
      </c>
      <c r="M805" s="76" t="s">
        <v>31</v>
      </c>
      <c r="N805" s="76"/>
      <c r="U805" s="81"/>
    </row>
    <row r="806" spans="1:21" ht="20.25" customHeight="1" x14ac:dyDescent="0.35">
      <c r="A806" s="66" t="s">
        <v>30</v>
      </c>
      <c r="C806" s="67"/>
      <c r="D806" s="92" t="str">
        <f t="shared" ref="D806" si="434">E806</f>
        <v>S100025</v>
      </c>
      <c r="E806" s="91" t="str">
        <f>"S100025"</f>
        <v>S100025</v>
      </c>
      <c r="F806" s="89" t="str">
        <f>"SPORT BOT with Pop Lid"</f>
        <v>SPORT BOT with Pop Lid</v>
      </c>
      <c r="G806" s="89"/>
      <c r="H806" s="90" t="str">
        <f>"EA"</f>
        <v>EA</v>
      </c>
      <c r="I806" s="89"/>
      <c r="J806" s="89"/>
      <c r="K806" s="89"/>
      <c r="L806" s="89"/>
      <c r="M806" s="89"/>
      <c r="N806" s="89"/>
      <c r="O806" s="88">
        <f>(SUBTOTAL(9,O807:O809))</f>
        <v>1500</v>
      </c>
      <c r="P806" s="88">
        <f>(SUBTOTAL(9,P807:P809))</f>
        <v>-294</v>
      </c>
      <c r="Q806" s="88">
        <f>(SUBTOTAL(9,Q807:Q809))</f>
        <v>0</v>
      </c>
      <c r="R806" s="88">
        <f>(SUBTOTAL(9,R807:R809))</f>
        <v>0</v>
      </c>
      <c r="S806" s="88">
        <f>(SUBTOTAL(9,S807:S809))</f>
        <v>0</v>
      </c>
      <c r="T806" s="88">
        <f>(SUBTOTAL(9,T807:T809))</f>
        <v>0</v>
      </c>
      <c r="U806" s="87">
        <f t="shared" ref="U806" si="435">SUBTOTAL(9,O807:T809)</f>
        <v>1206</v>
      </c>
    </row>
    <row r="807" spans="1:21" ht="17.25" customHeight="1" x14ac:dyDescent="0.3">
      <c r="A807" s="66" t="s">
        <v>30</v>
      </c>
      <c r="C807" s="67"/>
      <c r="D807" s="77" t="str">
        <f t="shared" ref="D807" si="436">D806</f>
        <v>S100025</v>
      </c>
      <c r="E807" s="77"/>
      <c r="F807" s="76"/>
      <c r="G807" s="76" t="str">
        <f>"""NAV Direct"",""CRONUS JetCorp USA"",""32"",""1"",""168630"""</f>
        <v>"NAV Direct","CRONUS JetCorp USA","32","1","168630"</v>
      </c>
      <c r="H807" s="86">
        <v>43466</v>
      </c>
      <c r="I807" s="85">
        <v>168630</v>
      </c>
      <c r="J807" s="84" t="str">
        <f>"Vendor"</f>
        <v>Vendor</v>
      </c>
      <c r="K807" s="84" t="str">
        <f>"V100001"</f>
        <v>V100001</v>
      </c>
      <c r="L807" s="84" t="str">
        <f>IF($J807="Customer",_xll.NL("first",$J807,"Name","No.","@@"&amp;$K807),"")</f>
        <v/>
      </c>
      <c r="M807" s="84" t="str">
        <f>"Greigner, Inc."</f>
        <v>Greigner, Inc.</v>
      </c>
      <c r="N807" s="84" t="str">
        <f>IF($J807="Item",_xll.NL("first",$J807,"Description","No.","@@"&amp;$K807),"")</f>
        <v/>
      </c>
      <c r="O807" s="83">
        <v>1500</v>
      </c>
      <c r="P807" s="83">
        <v>0</v>
      </c>
      <c r="Q807" s="83">
        <v>0</v>
      </c>
      <c r="R807" s="83">
        <v>0</v>
      </c>
      <c r="S807" s="83">
        <v>0</v>
      </c>
      <c r="T807" s="83">
        <v>0</v>
      </c>
      <c r="U807" s="82"/>
    </row>
    <row r="808" spans="1:21" ht="17.25" customHeight="1" x14ac:dyDescent="0.3">
      <c r="A808" s="66" t="s">
        <v>30</v>
      </c>
      <c r="C808" s="67"/>
      <c r="D808" s="77" t="str">
        <f t="shared" ref="D808" si="437">D807</f>
        <v>S100025</v>
      </c>
      <c r="E808" s="77"/>
      <c r="F808" s="76"/>
      <c r="G808" s="76" t="str">
        <f>"""NAV Direct"",""CRONUS JetCorp USA"",""32"",""1"",""64597"""</f>
        <v>"NAV Direct","CRONUS JetCorp USA","32","1","64597"</v>
      </c>
      <c r="H808" s="86">
        <v>43472</v>
      </c>
      <c r="I808" s="85">
        <v>64597</v>
      </c>
      <c r="J808" s="84" t="str">
        <f>"Customer"</f>
        <v>Customer</v>
      </c>
      <c r="K808" s="84" t="str">
        <f>"C100140"</f>
        <v>C100140</v>
      </c>
      <c r="L808" s="84" t="str">
        <f>IF($J808="Customer",_xll.NL("first",$J808,"Name","No.","@@"&amp;$K808),"")</f>
        <v>Super Daves</v>
      </c>
      <c r="M808" s="84" t="str">
        <f>""</f>
        <v/>
      </c>
      <c r="N808" s="84" t="str">
        <f>IF($J808="Item",_xll.NL("first",$J808,"Description","No.","@@"&amp;$K808),"")</f>
        <v/>
      </c>
      <c r="O808" s="83">
        <v>0</v>
      </c>
      <c r="P808" s="83">
        <v>-294</v>
      </c>
      <c r="Q808" s="83">
        <v>0</v>
      </c>
      <c r="R808" s="83">
        <v>0</v>
      </c>
      <c r="S808" s="83">
        <v>0</v>
      </c>
      <c r="T808" s="83">
        <v>0</v>
      </c>
      <c r="U808" s="82"/>
    </row>
    <row r="809" spans="1:21" ht="17.25" customHeight="1" x14ac:dyDescent="0.3">
      <c r="A809" s="66" t="s">
        <v>30</v>
      </c>
      <c r="C809" s="67"/>
      <c r="D809" s="77"/>
      <c r="E809" s="77"/>
      <c r="F809" s="76"/>
      <c r="G809" s="76"/>
      <c r="H809" s="76"/>
      <c r="I809" s="76"/>
      <c r="J809" s="76"/>
      <c r="K809" s="76"/>
      <c r="L809" s="76"/>
      <c r="M809" s="76"/>
      <c r="N809" s="76"/>
      <c r="O809" s="75"/>
      <c r="P809" s="75"/>
      <c r="Q809" s="75"/>
      <c r="R809" s="75"/>
      <c r="S809" s="75"/>
      <c r="T809" s="75"/>
      <c r="U809" s="74"/>
    </row>
    <row r="810" spans="1:21" ht="17.25" customHeight="1" x14ac:dyDescent="0.3">
      <c r="A810" s="66" t="s">
        <v>30</v>
      </c>
      <c r="C810" s="67"/>
      <c r="D810" s="77"/>
      <c r="E810" s="77" t="s">
        <v>31</v>
      </c>
      <c r="F810" s="76" t="s">
        <v>31</v>
      </c>
      <c r="G810" s="76" t="s">
        <v>31</v>
      </c>
      <c r="H810" s="76"/>
      <c r="I810" s="76"/>
      <c r="J810" s="76" t="s">
        <v>31</v>
      </c>
      <c r="K810" s="76" t="s">
        <v>31</v>
      </c>
      <c r="L810" s="76" t="s">
        <v>31</v>
      </c>
      <c r="M810" s="76" t="s">
        <v>31</v>
      </c>
      <c r="N810" s="76"/>
      <c r="U810" s="81"/>
    </row>
    <row r="811" spans="1:21" ht="20.25" customHeight="1" x14ac:dyDescent="0.35">
      <c r="A811" s="66" t="s">
        <v>30</v>
      </c>
      <c r="C811" s="67"/>
      <c r="D811" s="92" t="str">
        <f t="shared" ref="D811" si="438">E811</f>
        <v>S100026</v>
      </c>
      <c r="E811" s="91" t="str">
        <f>"S100026"</f>
        <v>S100026</v>
      </c>
      <c r="F811" s="89" t="str">
        <f>"Wide SPORT BOT"</f>
        <v>Wide SPORT BOT</v>
      </c>
      <c r="G811" s="89"/>
      <c r="H811" s="90" t="str">
        <f>"EA"</f>
        <v>EA</v>
      </c>
      <c r="I811" s="89"/>
      <c r="J811" s="89"/>
      <c r="K811" s="89"/>
      <c r="L811" s="89"/>
      <c r="M811" s="89"/>
      <c r="N811" s="89"/>
      <c r="O811" s="88">
        <f>(SUBTOTAL(9,O812:O817))</f>
        <v>3999.9999999999995</v>
      </c>
      <c r="P811" s="88">
        <f>(SUBTOTAL(9,P812:P817))</f>
        <v>-865</v>
      </c>
      <c r="Q811" s="88">
        <f>(SUBTOTAL(9,Q812:Q817))</f>
        <v>0</v>
      </c>
      <c r="R811" s="88">
        <f>(SUBTOTAL(9,R812:R817))</f>
        <v>0</v>
      </c>
      <c r="S811" s="88">
        <f>(SUBTOTAL(9,S812:S817))</f>
        <v>0</v>
      </c>
      <c r="T811" s="88">
        <f>(SUBTOTAL(9,T812:T817))</f>
        <v>0</v>
      </c>
      <c r="U811" s="87">
        <f t="shared" ref="U811" si="439">SUBTOTAL(9,O812:T817)</f>
        <v>3134.9999999999995</v>
      </c>
    </row>
    <row r="812" spans="1:21" ht="17.25" customHeight="1" x14ac:dyDescent="0.3">
      <c r="A812" s="66" t="s">
        <v>30</v>
      </c>
      <c r="C812" s="67"/>
      <c r="D812" s="77" t="str">
        <f t="shared" ref="D812" si="440">D811</f>
        <v>S100026</v>
      </c>
      <c r="E812" s="77"/>
      <c r="F812" s="76"/>
      <c r="G812" s="76" t="str">
        <f>"""NAV Direct"",""CRONUS JetCorp USA"",""32"",""1"",""168629"""</f>
        <v>"NAV Direct","CRONUS JetCorp USA","32","1","168629"</v>
      </c>
      <c r="H812" s="86">
        <v>43466</v>
      </c>
      <c r="I812" s="85">
        <v>168629</v>
      </c>
      <c r="J812" s="84" t="str">
        <f>"Vendor"</f>
        <v>Vendor</v>
      </c>
      <c r="K812" s="84" t="str">
        <f>"V100001"</f>
        <v>V100001</v>
      </c>
      <c r="L812" s="84" t="str">
        <f>IF($J812="Customer",_xll.NL("first",$J812,"Name","No.","@@"&amp;$K812),"")</f>
        <v/>
      </c>
      <c r="M812" s="84" t="str">
        <f>"Greigner, Inc."</f>
        <v>Greigner, Inc.</v>
      </c>
      <c r="N812" s="84" t="str">
        <f>IF($J812="Item",_xll.NL("first",$J812,"Description","No.","@@"&amp;$K812),"")</f>
        <v/>
      </c>
      <c r="O812" s="83">
        <v>3999.9999999999995</v>
      </c>
      <c r="P812" s="83">
        <v>0</v>
      </c>
      <c r="Q812" s="83">
        <v>0</v>
      </c>
      <c r="R812" s="83">
        <v>0</v>
      </c>
      <c r="S812" s="83">
        <v>0</v>
      </c>
      <c r="T812" s="83">
        <v>0</v>
      </c>
      <c r="U812" s="82"/>
    </row>
    <row r="813" spans="1:21" ht="17.25" customHeight="1" x14ac:dyDescent="0.3">
      <c r="A813" s="66" t="s">
        <v>30</v>
      </c>
      <c r="C813" s="67"/>
      <c r="D813" s="77" t="str">
        <f t="shared" ref="D813:D816" si="441">D812</f>
        <v>S100026</v>
      </c>
      <c r="E813" s="77"/>
      <c r="F813" s="76"/>
      <c r="G813" s="76" t="str">
        <f>"""NAV Direct"",""CRONUS JetCorp USA"",""32"",""1"",""44465"""</f>
        <v>"NAV Direct","CRONUS JetCorp USA","32","1","44465"</v>
      </c>
      <c r="H813" s="86">
        <v>43472</v>
      </c>
      <c r="I813" s="85">
        <v>44465</v>
      </c>
      <c r="J813" s="84" t="str">
        <f>"Customer"</f>
        <v>Customer</v>
      </c>
      <c r="K813" s="84" t="str">
        <f>"C100141"</f>
        <v>C100141</v>
      </c>
      <c r="L813" s="84" t="str">
        <f>IF($J813="Customer",_xll.NL("first",$J813,"Name","No.","@@"&amp;$K813),"")</f>
        <v>Bargottis</v>
      </c>
      <c r="M813" s="84" t="str">
        <f>""</f>
        <v/>
      </c>
      <c r="N813" s="84" t="str">
        <f>IF($J813="Item",_xll.NL("first",$J813,"Description","No.","@@"&amp;$K813),"")</f>
        <v/>
      </c>
      <c r="O813" s="83">
        <v>0</v>
      </c>
      <c r="P813" s="83">
        <v>-144</v>
      </c>
      <c r="Q813" s="83">
        <v>0</v>
      </c>
      <c r="R813" s="83">
        <v>0</v>
      </c>
      <c r="S813" s="83">
        <v>0</v>
      </c>
      <c r="T813" s="83">
        <v>0</v>
      </c>
      <c r="U813" s="82"/>
    </row>
    <row r="814" spans="1:21" ht="17.25" customHeight="1" x14ac:dyDescent="0.3">
      <c r="A814" s="66" t="s">
        <v>30</v>
      </c>
      <c r="C814" s="67"/>
      <c r="D814" s="77" t="str">
        <f t="shared" si="441"/>
        <v>S100026</v>
      </c>
      <c r="E814" s="77"/>
      <c r="F814" s="76"/>
      <c r="G814" s="76" t="str">
        <f>"""NAV Direct"",""CRONUS JetCorp USA"",""32"",""1"",""64594"""</f>
        <v>"NAV Direct","CRONUS JetCorp USA","32","1","64594"</v>
      </c>
      <c r="H814" s="86">
        <v>43472</v>
      </c>
      <c r="I814" s="85">
        <v>64594</v>
      </c>
      <c r="J814" s="84" t="str">
        <f>"Customer"</f>
        <v>Customer</v>
      </c>
      <c r="K814" s="84" t="str">
        <f>"C100140"</f>
        <v>C100140</v>
      </c>
      <c r="L814" s="84" t="str">
        <f>IF($J814="Customer",_xll.NL("first",$J814,"Name","No.","@@"&amp;$K814),"")</f>
        <v>Super Daves</v>
      </c>
      <c r="M814" s="84" t="str">
        <f>""</f>
        <v/>
      </c>
      <c r="N814" s="84" t="str">
        <f>IF($J814="Item",_xll.NL("first",$J814,"Description","No.","@@"&amp;$K814),"")</f>
        <v/>
      </c>
      <c r="O814" s="83">
        <v>0</v>
      </c>
      <c r="P814" s="83">
        <v>-288</v>
      </c>
      <c r="Q814" s="83">
        <v>0</v>
      </c>
      <c r="R814" s="83">
        <v>0</v>
      </c>
      <c r="S814" s="83">
        <v>0</v>
      </c>
      <c r="T814" s="83">
        <v>0</v>
      </c>
      <c r="U814" s="82"/>
    </row>
    <row r="815" spans="1:21" ht="17.25" customHeight="1" x14ac:dyDescent="0.3">
      <c r="A815" s="66" t="s">
        <v>30</v>
      </c>
      <c r="C815" s="67"/>
      <c r="D815" s="77" t="str">
        <f t="shared" si="441"/>
        <v>S100026</v>
      </c>
      <c r="E815" s="77"/>
      <c r="F815" s="76"/>
      <c r="G815" s="76" t="str">
        <f>"""NAV Direct"",""CRONUS JetCorp USA"",""32"",""1"",""44541"""</f>
        <v>"NAV Direct","CRONUS JetCorp USA","32","1","44541"</v>
      </c>
      <c r="H815" s="86">
        <v>43473</v>
      </c>
      <c r="I815" s="85">
        <v>44541</v>
      </c>
      <c r="J815" s="84" t="str">
        <f>"Customer"</f>
        <v>Customer</v>
      </c>
      <c r="K815" s="84" t="str">
        <f>"C100139"</f>
        <v>C100139</v>
      </c>
      <c r="L815" s="84" t="str">
        <f>IF($J815="Customer",_xll.NL("first",$J815,"Name","No.","@@"&amp;$K815),"")</f>
        <v>Gamma Ray's</v>
      </c>
      <c r="M815" s="84" t="str">
        <f>""</f>
        <v/>
      </c>
      <c r="N815" s="84" t="str">
        <f>IF($J815="Item",_xll.NL("first",$J815,"Description","No.","@@"&amp;$K815),"")</f>
        <v/>
      </c>
      <c r="O815" s="83">
        <v>0</v>
      </c>
      <c r="P815" s="83">
        <v>-1</v>
      </c>
      <c r="Q815" s="83">
        <v>0</v>
      </c>
      <c r="R815" s="83">
        <v>0</v>
      </c>
      <c r="S815" s="83">
        <v>0</v>
      </c>
      <c r="T815" s="83">
        <v>0</v>
      </c>
      <c r="U815" s="82"/>
    </row>
    <row r="816" spans="1:21" ht="17.25" customHeight="1" x14ac:dyDescent="0.3">
      <c r="A816" s="66" t="s">
        <v>30</v>
      </c>
      <c r="C816" s="67"/>
      <c r="D816" s="77" t="str">
        <f t="shared" si="441"/>
        <v>S100026</v>
      </c>
      <c r="E816" s="77"/>
      <c r="F816" s="76"/>
      <c r="G816" s="76" t="str">
        <f>"""NAV Direct"",""CRONUS JetCorp USA"",""32"",""1"",""54691"""</f>
        <v>"NAV Direct","CRONUS JetCorp USA","32","1","54691"</v>
      </c>
      <c r="H816" s="86">
        <v>43474</v>
      </c>
      <c r="I816" s="85">
        <v>54691</v>
      </c>
      <c r="J816" s="84" t="str">
        <f>"Customer"</f>
        <v>Customer</v>
      </c>
      <c r="K816" s="84" t="str">
        <f>"C100096"</f>
        <v>C100096</v>
      </c>
      <c r="L816" s="84" t="str">
        <f>IF($J816="Customer",_xll.NL("first",$J816,"Name","No.","@@"&amp;$K816),"")</f>
        <v>D-Com Industries</v>
      </c>
      <c r="M816" s="84" t="str">
        <f>""</f>
        <v/>
      </c>
      <c r="N816" s="84" t="str">
        <f>IF($J816="Item",_xll.NL("first",$J816,"Description","No.","@@"&amp;$K816),"")</f>
        <v/>
      </c>
      <c r="O816" s="83">
        <v>0</v>
      </c>
      <c r="P816" s="83">
        <v>-432</v>
      </c>
      <c r="Q816" s="83">
        <v>0</v>
      </c>
      <c r="R816" s="83">
        <v>0</v>
      </c>
      <c r="S816" s="83">
        <v>0</v>
      </c>
      <c r="T816" s="83">
        <v>0</v>
      </c>
      <c r="U816" s="82"/>
    </row>
    <row r="817" spans="1:21" ht="17.25" customHeight="1" x14ac:dyDescent="0.3">
      <c r="A817" s="66" t="s">
        <v>30</v>
      </c>
      <c r="C817" s="67"/>
      <c r="D817" s="77"/>
      <c r="E817" s="77"/>
      <c r="F817" s="76"/>
      <c r="G817" s="76"/>
      <c r="H817" s="76"/>
      <c r="I817" s="76"/>
      <c r="J817" s="76"/>
      <c r="K817" s="76"/>
      <c r="L817" s="76"/>
      <c r="M817" s="76"/>
      <c r="N817" s="76"/>
      <c r="O817" s="75"/>
      <c r="P817" s="75"/>
      <c r="Q817" s="75"/>
      <c r="R817" s="75"/>
      <c r="S817" s="75"/>
      <c r="T817" s="75"/>
      <c r="U817" s="74"/>
    </row>
    <row r="818" spans="1:21" ht="17.25" customHeight="1" x14ac:dyDescent="0.3">
      <c r="A818" s="66" t="s">
        <v>30</v>
      </c>
      <c r="C818" s="67"/>
      <c r="D818" s="77"/>
      <c r="E818" s="77" t="s">
        <v>31</v>
      </c>
      <c r="F818" s="76" t="s">
        <v>31</v>
      </c>
      <c r="G818" s="76" t="s">
        <v>31</v>
      </c>
      <c r="H818" s="76"/>
      <c r="I818" s="76"/>
      <c r="J818" s="76" t="s">
        <v>31</v>
      </c>
      <c r="K818" s="76" t="s">
        <v>31</v>
      </c>
      <c r="L818" s="76" t="s">
        <v>31</v>
      </c>
      <c r="M818" s="76" t="s">
        <v>31</v>
      </c>
      <c r="N818" s="76"/>
      <c r="U818" s="81"/>
    </row>
    <row r="819" spans="1:21" ht="20.25" customHeight="1" x14ac:dyDescent="0.35">
      <c r="A819" s="66" t="s">
        <v>30</v>
      </c>
      <c r="C819" s="67"/>
      <c r="D819" s="92" t="str">
        <f t="shared" ref="D819" si="442">E819</f>
        <v>S200001</v>
      </c>
      <c r="E819" s="91" t="str">
        <f>"S200001"</f>
        <v>S200001</v>
      </c>
      <c r="F819" s="89" t="str">
        <f>"3.25"" Lamp of Knowledge Trophy"</f>
        <v>3.25" Lamp of Knowledge Trophy</v>
      </c>
      <c r="G819" s="89"/>
      <c r="H819" s="90" t="str">
        <f>"EA"</f>
        <v>EA</v>
      </c>
      <c r="I819" s="89"/>
      <c r="J819" s="89"/>
      <c r="K819" s="89"/>
      <c r="L819" s="89"/>
      <c r="M819" s="89"/>
      <c r="N819" s="89"/>
      <c r="O819" s="88">
        <f>(SUBTOTAL(9,O820:O821))</f>
        <v>249.99999999999997</v>
      </c>
      <c r="P819" s="88">
        <f>(SUBTOTAL(9,P820:P821))</f>
        <v>0</v>
      </c>
      <c r="Q819" s="88">
        <f>(SUBTOTAL(9,Q820:Q821))</f>
        <v>0</v>
      </c>
      <c r="R819" s="88">
        <f>(SUBTOTAL(9,R820:R821))</f>
        <v>0</v>
      </c>
      <c r="S819" s="88">
        <f>(SUBTOTAL(9,S820:S821))</f>
        <v>0</v>
      </c>
      <c r="T819" s="88">
        <f>(SUBTOTAL(9,T820:T821))</f>
        <v>0</v>
      </c>
      <c r="U819" s="87">
        <f t="shared" ref="U819" si="443">SUBTOTAL(9,O820:T821)</f>
        <v>249.99999999999997</v>
      </c>
    </row>
    <row r="820" spans="1:21" ht="17.25" customHeight="1" x14ac:dyDescent="0.3">
      <c r="A820" s="66" t="s">
        <v>30</v>
      </c>
      <c r="C820" s="67"/>
      <c r="D820" s="77" t="str">
        <f t="shared" ref="D820" si="444">D819</f>
        <v>S200001</v>
      </c>
      <c r="E820" s="77"/>
      <c r="F820" s="76"/>
      <c r="G820" s="76" t="str">
        <f>"""NAV Direct"",""CRONUS JetCorp USA"",""32"",""1"",""169240"""</f>
        <v>"NAV Direct","CRONUS JetCorp USA","32","1","169240"</v>
      </c>
      <c r="H820" s="86">
        <v>43466</v>
      </c>
      <c r="I820" s="85">
        <v>169240</v>
      </c>
      <c r="J820" s="84" t="str">
        <f>"Vendor"</f>
        <v>Vendor</v>
      </c>
      <c r="K820" s="84" t="str">
        <f>"V100001"</f>
        <v>V100001</v>
      </c>
      <c r="L820" s="84" t="str">
        <f>IF($J820="Customer",_xll.NL("first",$J820,"Name","No.","@@"&amp;$K820),"")</f>
        <v/>
      </c>
      <c r="M820" s="84" t="str">
        <f>"Greigner, Inc."</f>
        <v>Greigner, Inc.</v>
      </c>
      <c r="N820" s="84" t="str">
        <f>IF($J820="Item",_xll.NL("first",$J820,"Description","No.","@@"&amp;$K820),"")</f>
        <v/>
      </c>
      <c r="O820" s="83">
        <v>249.99999999999997</v>
      </c>
      <c r="P820" s="83">
        <v>0</v>
      </c>
      <c r="Q820" s="83">
        <v>0</v>
      </c>
      <c r="R820" s="83">
        <v>0</v>
      </c>
      <c r="S820" s="83">
        <v>0</v>
      </c>
      <c r="T820" s="83">
        <v>0</v>
      </c>
      <c r="U820" s="82"/>
    </row>
    <row r="821" spans="1:21" ht="17.25" customHeight="1" x14ac:dyDescent="0.3">
      <c r="A821" s="66" t="s">
        <v>30</v>
      </c>
      <c r="C821" s="67"/>
      <c r="D821" s="77"/>
      <c r="E821" s="77"/>
      <c r="F821" s="76"/>
      <c r="G821" s="76"/>
      <c r="H821" s="76"/>
      <c r="I821" s="76"/>
      <c r="J821" s="76"/>
      <c r="K821" s="76"/>
      <c r="L821" s="76"/>
      <c r="M821" s="76"/>
      <c r="N821" s="76"/>
      <c r="O821" s="75"/>
      <c r="P821" s="75"/>
      <c r="Q821" s="75"/>
      <c r="R821" s="75"/>
      <c r="S821" s="75"/>
      <c r="T821" s="75"/>
      <c r="U821" s="74"/>
    </row>
    <row r="822" spans="1:21" ht="17.25" customHeight="1" x14ac:dyDescent="0.3">
      <c r="A822" s="66" t="s">
        <v>30</v>
      </c>
      <c r="C822" s="67"/>
      <c r="D822" s="77"/>
      <c r="E822" s="77" t="s">
        <v>31</v>
      </c>
      <c r="F822" s="76" t="s">
        <v>31</v>
      </c>
      <c r="G822" s="76" t="s">
        <v>31</v>
      </c>
      <c r="H822" s="76"/>
      <c r="I822" s="76"/>
      <c r="J822" s="76" t="s">
        <v>31</v>
      </c>
      <c r="K822" s="76" t="s">
        <v>31</v>
      </c>
      <c r="L822" s="76" t="s">
        <v>31</v>
      </c>
      <c r="M822" s="76" t="s">
        <v>31</v>
      </c>
      <c r="N822" s="76"/>
      <c r="U822" s="81"/>
    </row>
    <row r="823" spans="1:21" ht="20.25" customHeight="1" x14ac:dyDescent="0.35">
      <c r="A823" s="66" t="s">
        <v>30</v>
      </c>
      <c r="C823" s="67"/>
      <c r="D823" s="92" t="str">
        <f t="shared" ref="D823" si="445">E823</f>
        <v>S200002</v>
      </c>
      <c r="E823" s="91" t="str">
        <f>"S200002"</f>
        <v>S200002</v>
      </c>
      <c r="F823" s="89" t="str">
        <f>"3.25"" Apple Trophy "</f>
        <v xml:space="preserve">3.25" Apple Trophy </v>
      </c>
      <c r="G823" s="89"/>
      <c r="H823" s="90" t="str">
        <f>"EA"</f>
        <v>EA</v>
      </c>
      <c r="I823" s="89"/>
      <c r="J823" s="89"/>
      <c r="K823" s="89"/>
      <c r="L823" s="89"/>
      <c r="M823" s="89"/>
      <c r="N823" s="89"/>
      <c r="O823" s="88">
        <f>(SUBTOTAL(9,O824:O825))</f>
        <v>249.99999999999997</v>
      </c>
      <c r="P823" s="88">
        <f>(SUBTOTAL(9,P824:P825))</f>
        <v>0</v>
      </c>
      <c r="Q823" s="88">
        <f>(SUBTOTAL(9,Q824:Q825))</f>
        <v>0</v>
      </c>
      <c r="R823" s="88">
        <f>(SUBTOTAL(9,R824:R825))</f>
        <v>0</v>
      </c>
      <c r="S823" s="88">
        <f>(SUBTOTAL(9,S824:S825))</f>
        <v>0</v>
      </c>
      <c r="T823" s="88">
        <f>(SUBTOTAL(9,T824:T825))</f>
        <v>0</v>
      </c>
      <c r="U823" s="87">
        <f t="shared" ref="U823" si="446">SUBTOTAL(9,O824:T825)</f>
        <v>249.99999999999997</v>
      </c>
    </row>
    <row r="824" spans="1:21" ht="17.25" customHeight="1" x14ac:dyDescent="0.3">
      <c r="A824" s="66" t="s">
        <v>30</v>
      </c>
      <c r="C824" s="67"/>
      <c r="D824" s="77" t="str">
        <f t="shared" ref="D824" si="447">D823</f>
        <v>S200002</v>
      </c>
      <c r="E824" s="77"/>
      <c r="F824" s="76"/>
      <c r="G824" s="76" t="str">
        <f>"""NAV Direct"",""CRONUS JetCorp USA"",""32"",""1"",""169239"""</f>
        <v>"NAV Direct","CRONUS JetCorp USA","32","1","169239"</v>
      </c>
      <c r="H824" s="86">
        <v>43466</v>
      </c>
      <c r="I824" s="85">
        <v>169239</v>
      </c>
      <c r="J824" s="84" t="str">
        <f>"Vendor"</f>
        <v>Vendor</v>
      </c>
      <c r="K824" s="84" t="str">
        <f>"V100001"</f>
        <v>V100001</v>
      </c>
      <c r="L824" s="84" t="str">
        <f>IF($J824="Customer",_xll.NL("first",$J824,"Name","No.","@@"&amp;$K824),"")</f>
        <v/>
      </c>
      <c r="M824" s="84" t="str">
        <f>"Greigner, Inc."</f>
        <v>Greigner, Inc.</v>
      </c>
      <c r="N824" s="84" t="str">
        <f>IF($J824="Item",_xll.NL("first",$J824,"Description","No.","@@"&amp;$K824),"")</f>
        <v/>
      </c>
      <c r="O824" s="83">
        <v>249.99999999999997</v>
      </c>
      <c r="P824" s="83">
        <v>0</v>
      </c>
      <c r="Q824" s="83">
        <v>0</v>
      </c>
      <c r="R824" s="83">
        <v>0</v>
      </c>
      <c r="S824" s="83">
        <v>0</v>
      </c>
      <c r="T824" s="83">
        <v>0</v>
      </c>
      <c r="U824" s="82"/>
    </row>
    <row r="825" spans="1:21" ht="17.25" customHeight="1" x14ac:dyDescent="0.3">
      <c r="A825" s="66" t="s">
        <v>30</v>
      </c>
      <c r="C825" s="67"/>
      <c r="D825" s="77"/>
      <c r="E825" s="77"/>
      <c r="F825" s="76"/>
      <c r="G825" s="76"/>
      <c r="H825" s="76"/>
      <c r="I825" s="76"/>
      <c r="J825" s="76"/>
      <c r="K825" s="76"/>
      <c r="L825" s="76"/>
      <c r="M825" s="76"/>
      <c r="N825" s="76"/>
      <c r="O825" s="75"/>
      <c r="P825" s="75"/>
      <c r="Q825" s="75"/>
      <c r="R825" s="75"/>
      <c r="S825" s="75"/>
      <c r="T825" s="75"/>
      <c r="U825" s="74"/>
    </row>
    <row r="826" spans="1:21" ht="17.25" customHeight="1" x14ac:dyDescent="0.3">
      <c r="A826" s="66" t="s">
        <v>30</v>
      </c>
      <c r="C826" s="67"/>
      <c r="D826" s="77"/>
      <c r="E826" s="77" t="s">
        <v>31</v>
      </c>
      <c r="F826" s="76" t="s">
        <v>31</v>
      </c>
      <c r="G826" s="76" t="s">
        <v>31</v>
      </c>
      <c r="H826" s="76"/>
      <c r="I826" s="76"/>
      <c r="J826" s="76" t="s">
        <v>31</v>
      </c>
      <c r="K826" s="76" t="s">
        <v>31</v>
      </c>
      <c r="L826" s="76" t="s">
        <v>31</v>
      </c>
      <c r="M826" s="76" t="s">
        <v>31</v>
      </c>
      <c r="N826" s="76"/>
      <c r="U826" s="81"/>
    </row>
    <row r="827" spans="1:21" ht="20.25" customHeight="1" x14ac:dyDescent="0.35">
      <c r="A827" s="66" t="s">
        <v>30</v>
      </c>
      <c r="C827" s="67"/>
      <c r="D827" s="92" t="str">
        <f t="shared" ref="D827" si="448">E827</f>
        <v>S200004</v>
      </c>
      <c r="E827" s="91" t="str">
        <f>"S200004"</f>
        <v>S200004</v>
      </c>
      <c r="F827" s="89" t="str">
        <f>"5"" Female Graduate Trophy"</f>
        <v>5" Female Graduate Trophy</v>
      </c>
      <c r="G827" s="89"/>
      <c r="H827" s="90" t="str">
        <f>"EA"</f>
        <v>EA</v>
      </c>
      <c r="I827" s="89"/>
      <c r="J827" s="89"/>
      <c r="K827" s="89"/>
      <c r="L827" s="89"/>
      <c r="M827" s="89"/>
      <c r="N827" s="89"/>
      <c r="O827" s="88">
        <f>(SUBTOTAL(9,O828:O829))</f>
        <v>0</v>
      </c>
      <c r="P827" s="88">
        <f>(SUBTOTAL(9,P828:P829))</f>
        <v>-144</v>
      </c>
      <c r="Q827" s="88">
        <f>(SUBTOTAL(9,Q828:Q829))</f>
        <v>0</v>
      </c>
      <c r="R827" s="88">
        <f>(SUBTOTAL(9,R828:R829))</f>
        <v>0</v>
      </c>
      <c r="S827" s="88">
        <f>(SUBTOTAL(9,S828:S829))</f>
        <v>0</v>
      </c>
      <c r="T827" s="88">
        <f>(SUBTOTAL(9,T828:T829))</f>
        <v>0</v>
      </c>
      <c r="U827" s="87">
        <f t="shared" ref="U827" si="449">SUBTOTAL(9,O828:T829)</f>
        <v>-144</v>
      </c>
    </row>
    <row r="828" spans="1:21" ht="17.25" customHeight="1" x14ac:dyDescent="0.3">
      <c r="A828" s="66" t="s">
        <v>30</v>
      </c>
      <c r="C828" s="67"/>
      <c r="D828" s="77" t="str">
        <f t="shared" ref="D828" si="450">D827</f>
        <v>S200004</v>
      </c>
      <c r="E828" s="77"/>
      <c r="F828" s="76"/>
      <c r="G828" s="76" t="str">
        <f>"""NAV Direct"",""CRONUS JetCorp USA"",""32"",""1"",""153179"""</f>
        <v>"NAV Direct","CRONUS JetCorp USA","32","1","153179"</v>
      </c>
      <c r="H828" s="86">
        <v>43475</v>
      </c>
      <c r="I828" s="85">
        <v>153179</v>
      </c>
      <c r="J828" s="84" t="str">
        <f>"Customer"</f>
        <v>Customer</v>
      </c>
      <c r="K828" s="84" t="str">
        <f>"C100108"</f>
        <v>C100108</v>
      </c>
      <c r="L828" s="84" t="str">
        <f>IF($J828="Customer",_xll.NL("first",$J828,"Name","No.","@@"&amp;$K828),"")</f>
        <v>Kinfix Industries</v>
      </c>
      <c r="M828" s="84" t="str">
        <f>""</f>
        <v/>
      </c>
      <c r="N828" s="84" t="str">
        <f>IF($J828="Item",_xll.NL("first",$J828,"Description","No.","@@"&amp;$K828),"")</f>
        <v/>
      </c>
      <c r="O828" s="83">
        <v>0</v>
      </c>
      <c r="P828" s="83">
        <v>-144</v>
      </c>
      <c r="Q828" s="83">
        <v>0</v>
      </c>
      <c r="R828" s="83">
        <v>0</v>
      </c>
      <c r="S828" s="83">
        <v>0</v>
      </c>
      <c r="T828" s="83">
        <v>0</v>
      </c>
      <c r="U828" s="82"/>
    </row>
    <row r="829" spans="1:21" ht="17.25" customHeight="1" x14ac:dyDescent="0.3">
      <c r="A829" s="66" t="s">
        <v>30</v>
      </c>
      <c r="C829" s="67"/>
      <c r="D829" s="77"/>
      <c r="E829" s="77"/>
      <c r="F829" s="76"/>
      <c r="G829" s="76"/>
      <c r="H829" s="76"/>
      <c r="I829" s="76"/>
      <c r="J829" s="76"/>
      <c r="K829" s="76"/>
      <c r="L829" s="76"/>
      <c r="M829" s="76"/>
      <c r="N829" s="76"/>
      <c r="O829" s="75"/>
      <c r="P829" s="75"/>
      <c r="Q829" s="75"/>
      <c r="R829" s="75"/>
      <c r="S829" s="75"/>
      <c r="T829" s="75"/>
      <c r="U829" s="74"/>
    </row>
    <row r="830" spans="1:21" ht="17.25" customHeight="1" x14ac:dyDescent="0.3">
      <c r="A830" s="66" t="s">
        <v>30</v>
      </c>
      <c r="C830" s="67"/>
      <c r="D830" s="77"/>
      <c r="E830" s="77" t="s">
        <v>31</v>
      </c>
      <c r="F830" s="76" t="s">
        <v>31</v>
      </c>
      <c r="G830" s="76" t="s">
        <v>31</v>
      </c>
      <c r="H830" s="76"/>
      <c r="I830" s="76"/>
      <c r="J830" s="76" t="s">
        <v>31</v>
      </c>
      <c r="K830" s="76" t="s">
        <v>31</v>
      </c>
      <c r="L830" s="76" t="s">
        <v>31</v>
      </c>
      <c r="M830" s="76" t="s">
        <v>31</v>
      </c>
      <c r="N830" s="76"/>
      <c r="U830" s="81"/>
    </row>
    <row r="831" spans="1:21" ht="20.25" customHeight="1" x14ac:dyDescent="0.35">
      <c r="A831" s="66" t="s">
        <v>30</v>
      </c>
      <c r="C831" s="67"/>
      <c r="D831" s="92" t="str">
        <f t="shared" ref="D831" si="451">E831</f>
        <v>S200007</v>
      </c>
      <c r="E831" s="91" t="str">
        <f>"S200007"</f>
        <v>S200007</v>
      </c>
      <c r="F831" s="89" t="str">
        <f>"3.75"" Football Trophy"</f>
        <v>3.75" Football Trophy</v>
      </c>
      <c r="G831" s="89"/>
      <c r="H831" s="90" t="str">
        <f>"EA"</f>
        <v>EA</v>
      </c>
      <c r="I831" s="89"/>
      <c r="J831" s="89"/>
      <c r="K831" s="89"/>
      <c r="L831" s="89"/>
      <c r="M831" s="89"/>
      <c r="N831" s="89"/>
      <c r="O831" s="88">
        <f>(SUBTOTAL(9,O832:O833))</f>
        <v>249.99999999999997</v>
      </c>
      <c r="P831" s="88">
        <f>(SUBTOTAL(9,P832:P833))</f>
        <v>0</v>
      </c>
      <c r="Q831" s="88">
        <f>(SUBTOTAL(9,Q832:Q833))</f>
        <v>0</v>
      </c>
      <c r="R831" s="88">
        <f>(SUBTOTAL(9,R832:R833))</f>
        <v>0</v>
      </c>
      <c r="S831" s="88">
        <f>(SUBTOTAL(9,S832:S833))</f>
        <v>0</v>
      </c>
      <c r="T831" s="88">
        <f>(SUBTOTAL(9,T832:T833))</f>
        <v>0</v>
      </c>
      <c r="U831" s="87">
        <f t="shared" ref="U831" si="452">SUBTOTAL(9,O832:T833)</f>
        <v>249.99999999999997</v>
      </c>
    </row>
    <row r="832" spans="1:21" ht="17.25" customHeight="1" x14ac:dyDescent="0.3">
      <c r="A832" s="66" t="s">
        <v>30</v>
      </c>
      <c r="C832" s="67"/>
      <c r="D832" s="77" t="str">
        <f t="shared" ref="D832" si="453">D831</f>
        <v>S200007</v>
      </c>
      <c r="E832" s="77"/>
      <c r="F832" s="76"/>
      <c r="G832" s="76" t="str">
        <f>"""NAV Direct"",""CRONUS JetCorp USA"",""32"",""1"",""169238"""</f>
        <v>"NAV Direct","CRONUS JetCorp USA","32","1","169238"</v>
      </c>
      <c r="H832" s="86">
        <v>43466</v>
      </c>
      <c r="I832" s="85">
        <v>169238</v>
      </c>
      <c r="J832" s="84" t="str">
        <f>"Vendor"</f>
        <v>Vendor</v>
      </c>
      <c r="K832" s="84" t="str">
        <f>"V100001"</f>
        <v>V100001</v>
      </c>
      <c r="L832" s="84" t="str">
        <f>IF($J832="Customer",_xll.NL("first",$J832,"Name","No.","@@"&amp;$K832),"")</f>
        <v/>
      </c>
      <c r="M832" s="84" t="str">
        <f>"Greigner, Inc."</f>
        <v>Greigner, Inc.</v>
      </c>
      <c r="N832" s="84" t="str">
        <f>IF($J832="Item",_xll.NL("first",$J832,"Description","No.","@@"&amp;$K832),"")</f>
        <v/>
      </c>
      <c r="O832" s="83">
        <v>249.99999999999997</v>
      </c>
      <c r="P832" s="83">
        <v>0</v>
      </c>
      <c r="Q832" s="83">
        <v>0</v>
      </c>
      <c r="R832" s="83">
        <v>0</v>
      </c>
      <c r="S832" s="83">
        <v>0</v>
      </c>
      <c r="T832" s="83">
        <v>0</v>
      </c>
      <c r="U832" s="82"/>
    </row>
    <row r="833" spans="1:21" ht="17.25" customHeight="1" x14ac:dyDescent="0.3">
      <c r="A833" s="66" t="s">
        <v>30</v>
      </c>
      <c r="C833" s="67"/>
      <c r="D833" s="77"/>
      <c r="E833" s="77"/>
      <c r="F833" s="76"/>
      <c r="G833" s="76"/>
      <c r="H833" s="76"/>
      <c r="I833" s="76"/>
      <c r="J833" s="76"/>
      <c r="K833" s="76"/>
      <c r="L833" s="76"/>
      <c r="M833" s="76"/>
      <c r="N833" s="76"/>
      <c r="O833" s="75"/>
      <c r="P833" s="75"/>
      <c r="Q833" s="75"/>
      <c r="R833" s="75"/>
      <c r="S833" s="75"/>
      <c r="T833" s="75"/>
      <c r="U833" s="74"/>
    </row>
    <row r="834" spans="1:21" ht="17.25" customHeight="1" x14ac:dyDescent="0.3">
      <c r="A834" s="66" t="s">
        <v>30</v>
      </c>
      <c r="C834" s="67"/>
      <c r="D834" s="77"/>
      <c r="E834" s="77" t="s">
        <v>31</v>
      </c>
      <c r="F834" s="76" t="s">
        <v>31</v>
      </c>
      <c r="G834" s="76" t="s">
        <v>31</v>
      </c>
      <c r="H834" s="76"/>
      <c r="I834" s="76"/>
      <c r="J834" s="76" t="s">
        <v>31</v>
      </c>
      <c r="K834" s="76" t="s">
        <v>31</v>
      </c>
      <c r="L834" s="76" t="s">
        <v>31</v>
      </c>
      <c r="M834" s="76" t="s">
        <v>31</v>
      </c>
      <c r="N834" s="76"/>
      <c r="U834" s="81"/>
    </row>
    <row r="835" spans="1:21" ht="20.25" customHeight="1" x14ac:dyDescent="0.35">
      <c r="A835" s="66" t="s">
        <v>30</v>
      </c>
      <c r="C835" s="67"/>
      <c r="D835" s="92" t="str">
        <f t="shared" ref="D835" si="454">E835</f>
        <v>S200012</v>
      </c>
      <c r="E835" s="91" t="str">
        <f>"S200012"</f>
        <v>S200012</v>
      </c>
      <c r="F835" s="89" t="str">
        <f>"10.75"" Star Riser Apple Trophy"</f>
        <v>10.75" Star Riser Apple Trophy</v>
      </c>
      <c r="G835" s="89"/>
      <c r="H835" s="90" t="str">
        <f>"EA"</f>
        <v>EA</v>
      </c>
      <c r="I835" s="89"/>
      <c r="J835" s="89"/>
      <c r="K835" s="89"/>
      <c r="L835" s="89"/>
      <c r="M835" s="89"/>
      <c r="N835" s="89"/>
      <c r="O835" s="88">
        <f>(SUBTOTAL(9,O836:O839))</f>
        <v>750</v>
      </c>
      <c r="P835" s="88">
        <f>(SUBTOTAL(9,P836:P839))</f>
        <v>-288</v>
      </c>
      <c r="Q835" s="88">
        <f>(SUBTOTAL(9,Q836:Q839))</f>
        <v>0</v>
      </c>
      <c r="R835" s="88">
        <f>(SUBTOTAL(9,R836:R839))</f>
        <v>0</v>
      </c>
      <c r="S835" s="88">
        <f>(SUBTOTAL(9,S836:S839))</f>
        <v>0</v>
      </c>
      <c r="T835" s="88">
        <f>(SUBTOTAL(9,T836:T839))</f>
        <v>0</v>
      </c>
      <c r="U835" s="87">
        <f t="shared" ref="U835" si="455">SUBTOTAL(9,O836:T839)</f>
        <v>462</v>
      </c>
    </row>
    <row r="836" spans="1:21" ht="17.25" customHeight="1" x14ac:dyDescent="0.3">
      <c r="A836" s="66" t="s">
        <v>30</v>
      </c>
      <c r="C836" s="67"/>
      <c r="D836" s="77" t="str">
        <f t="shared" ref="D836" si="456">D835</f>
        <v>S200012</v>
      </c>
      <c r="E836" s="77"/>
      <c r="F836" s="76"/>
      <c r="G836" s="76" t="str">
        <f>"""NAV Direct"",""CRONUS JetCorp USA"",""32"",""1"",""169237"""</f>
        <v>"NAV Direct","CRONUS JetCorp USA","32","1","169237"</v>
      </c>
      <c r="H836" s="86">
        <v>43466</v>
      </c>
      <c r="I836" s="85">
        <v>169237</v>
      </c>
      <c r="J836" s="84" t="str">
        <f>"Vendor"</f>
        <v>Vendor</v>
      </c>
      <c r="K836" s="84" t="str">
        <f>"V100001"</f>
        <v>V100001</v>
      </c>
      <c r="L836" s="84" t="str">
        <f>IF($J836="Customer",_xll.NL("first",$J836,"Name","No.","@@"&amp;$K836),"")</f>
        <v/>
      </c>
      <c r="M836" s="84" t="str">
        <f>"Greigner, Inc."</f>
        <v>Greigner, Inc.</v>
      </c>
      <c r="N836" s="84" t="str">
        <f>IF($J836="Item",_xll.NL("first",$J836,"Description","No.","@@"&amp;$K836),"")</f>
        <v/>
      </c>
      <c r="O836" s="83">
        <v>750</v>
      </c>
      <c r="P836" s="83">
        <v>0</v>
      </c>
      <c r="Q836" s="83">
        <v>0</v>
      </c>
      <c r="R836" s="83">
        <v>0</v>
      </c>
      <c r="S836" s="83">
        <v>0</v>
      </c>
      <c r="T836" s="83">
        <v>0</v>
      </c>
      <c r="U836" s="82"/>
    </row>
    <row r="837" spans="1:21" ht="17.25" customHeight="1" x14ac:dyDescent="0.3">
      <c r="A837" s="66" t="s">
        <v>30</v>
      </c>
      <c r="C837" s="67"/>
      <c r="D837" s="77" t="str">
        <f t="shared" ref="D837:D838" si="457">D836</f>
        <v>S200012</v>
      </c>
      <c r="E837" s="77"/>
      <c r="F837" s="76"/>
      <c r="G837" s="76" t="str">
        <f>"""NAV Direct"",""CRONUS JetCorp USA"",""32"",""1"",""147987"""</f>
        <v>"NAV Direct","CRONUS JetCorp USA","32","1","147987"</v>
      </c>
      <c r="H837" s="86">
        <v>43469</v>
      </c>
      <c r="I837" s="85">
        <v>147987</v>
      </c>
      <c r="J837" s="84" t="str">
        <f>"Customer"</f>
        <v>Customer</v>
      </c>
      <c r="K837" s="84" t="str">
        <f>"C100096"</f>
        <v>C100096</v>
      </c>
      <c r="L837" s="84" t="str">
        <f>IF($J837="Customer",_xll.NL("first",$J837,"Name","No.","@@"&amp;$K837),"")</f>
        <v>D-Com Industries</v>
      </c>
      <c r="M837" s="84" t="str">
        <f>""</f>
        <v/>
      </c>
      <c r="N837" s="84" t="str">
        <f>IF($J837="Item",_xll.NL("first",$J837,"Description","No.","@@"&amp;$K837),"")</f>
        <v/>
      </c>
      <c r="O837" s="83">
        <v>0</v>
      </c>
      <c r="P837" s="83">
        <v>-144</v>
      </c>
      <c r="Q837" s="83">
        <v>0</v>
      </c>
      <c r="R837" s="83">
        <v>0</v>
      </c>
      <c r="S837" s="83">
        <v>0</v>
      </c>
      <c r="T837" s="83">
        <v>0</v>
      </c>
      <c r="U837" s="82"/>
    </row>
    <row r="838" spans="1:21" ht="17.25" customHeight="1" x14ac:dyDescent="0.3">
      <c r="A838" s="66" t="s">
        <v>30</v>
      </c>
      <c r="C838" s="67"/>
      <c r="D838" s="77" t="str">
        <f t="shared" si="457"/>
        <v>S200012</v>
      </c>
      <c r="E838" s="77"/>
      <c r="F838" s="76"/>
      <c r="G838" s="76" t="str">
        <f>"""NAV Direct"",""CRONUS JetCorp USA"",""32"",""1"",""153178"""</f>
        <v>"NAV Direct","CRONUS JetCorp USA","32","1","153178"</v>
      </c>
      <c r="H838" s="86">
        <v>43475</v>
      </c>
      <c r="I838" s="85">
        <v>153178</v>
      </c>
      <c r="J838" s="84" t="str">
        <f>"Customer"</f>
        <v>Customer</v>
      </c>
      <c r="K838" s="84" t="str">
        <f>"C100108"</f>
        <v>C100108</v>
      </c>
      <c r="L838" s="84" t="str">
        <f>IF($J838="Customer",_xll.NL("first",$J838,"Name","No.","@@"&amp;$K838),"")</f>
        <v>Kinfix Industries</v>
      </c>
      <c r="M838" s="84" t="str">
        <f>""</f>
        <v/>
      </c>
      <c r="N838" s="84" t="str">
        <f>IF($J838="Item",_xll.NL("first",$J838,"Description","No.","@@"&amp;$K838),"")</f>
        <v/>
      </c>
      <c r="O838" s="83">
        <v>0</v>
      </c>
      <c r="P838" s="83">
        <v>-144</v>
      </c>
      <c r="Q838" s="83">
        <v>0</v>
      </c>
      <c r="R838" s="83">
        <v>0</v>
      </c>
      <c r="S838" s="83">
        <v>0</v>
      </c>
      <c r="T838" s="83">
        <v>0</v>
      </c>
      <c r="U838" s="82"/>
    </row>
    <row r="839" spans="1:21" ht="17.25" customHeight="1" x14ac:dyDescent="0.3">
      <c r="A839" s="66" t="s">
        <v>30</v>
      </c>
      <c r="C839" s="67"/>
      <c r="D839" s="77"/>
      <c r="E839" s="77"/>
      <c r="F839" s="76"/>
      <c r="G839" s="76"/>
      <c r="H839" s="76"/>
      <c r="I839" s="76"/>
      <c r="J839" s="76"/>
      <c r="K839" s="76"/>
      <c r="L839" s="76"/>
      <c r="M839" s="76"/>
      <c r="N839" s="76"/>
      <c r="O839" s="75"/>
      <c r="P839" s="75"/>
      <c r="Q839" s="75"/>
      <c r="R839" s="75"/>
      <c r="S839" s="75"/>
      <c r="T839" s="75"/>
      <c r="U839" s="74"/>
    </row>
    <row r="840" spans="1:21" ht="17.25" customHeight="1" x14ac:dyDescent="0.3">
      <c r="A840" s="66" t="s">
        <v>30</v>
      </c>
      <c r="C840" s="67"/>
      <c r="D840" s="77"/>
      <c r="E840" s="77" t="s">
        <v>31</v>
      </c>
      <c r="F840" s="76" t="s">
        <v>31</v>
      </c>
      <c r="G840" s="76" t="s">
        <v>31</v>
      </c>
      <c r="H840" s="76"/>
      <c r="I840" s="76"/>
      <c r="J840" s="76" t="s">
        <v>31</v>
      </c>
      <c r="K840" s="76" t="s">
        <v>31</v>
      </c>
      <c r="L840" s="76" t="s">
        <v>31</v>
      </c>
      <c r="M840" s="76" t="s">
        <v>31</v>
      </c>
      <c r="N840" s="76"/>
      <c r="U840" s="81"/>
    </row>
    <row r="841" spans="1:21" ht="20.25" customHeight="1" x14ac:dyDescent="0.35">
      <c r="A841" s="66" t="s">
        <v>30</v>
      </c>
      <c r="C841" s="67"/>
      <c r="D841" s="92" t="str">
        <f t="shared" ref="D841" si="458">E841</f>
        <v>S200013</v>
      </c>
      <c r="E841" s="91" t="str">
        <f>"S200013"</f>
        <v>S200013</v>
      </c>
      <c r="F841" s="89" t="str">
        <f>"10.75"" Star Riser Soccer Trophy"</f>
        <v>10.75" Star Riser Soccer Trophy</v>
      </c>
      <c r="G841" s="89"/>
      <c r="H841" s="90" t="str">
        <f>"EA"</f>
        <v>EA</v>
      </c>
      <c r="I841" s="89"/>
      <c r="J841" s="89"/>
      <c r="K841" s="89"/>
      <c r="L841" s="89"/>
      <c r="M841" s="89"/>
      <c r="N841" s="89"/>
      <c r="O841" s="88">
        <f>(SUBTOTAL(9,O842:O843))</f>
        <v>0</v>
      </c>
      <c r="P841" s="88">
        <f>(SUBTOTAL(9,P842:P843))</f>
        <v>-1</v>
      </c>
      <c r="Q841" s="88">
        <f>(SUBTOTAL(9,Q842:Q843))</f>
        <v>0</v>
      </c>
      <c r="R841" s="88">
        <f>(SUBTOTAL(9,R842:R843))</f>
        <v>0</v>
      </c>
      <c r="S841" s="88">
        <f>(SUBTOTAL(9,S842:S843))</f>
        <v>0</v>
      </c>
      <c r="T841" s="88">
        <f>(SUBTOTAL(9,T842:T843))</f>
        <v>0</v>
      </c>
      <c r="U841" s="87">
        <f t="shared" ref="U841" si="459">SUBTOTAL(9,O842:T843)</f>
        <v>-1</v>
      </c>
    </row>
    <row r="842" spans="1:21" ht="17.25" customHeight="1" x14ac:dyDescent="0.3">
      <c r="A842" s="66" t="s">
        <v>30</v>
      </c>
      <c r="C842" s="67"/>
      <c r="D842" s="77" t="str">
        <f t="shared" ref="D842" si="460">D841</f>
        <v>S200013</v>
      </c>
      <c r="E842" s="77"/>
      <c r="F842" s="76"/>
      <c r="G842" s="76" t="str">
        <f>"""NAV Direct"",""CRONUS JetCorp USA"",""32"",""1"",""153185"""</f>
        <v>"NAV Direct","CRONUS JetCorp USA","32","1","153185"</v>
      </c>
      <c r="H842" s="86">
        <v>43475</v>
      </c>
      <c r="I842" s="85">
        <v>153185</v>
      </c>
      <c r="J842" s="84" t="str">
        <f>"Customer"</f>
        <v>Customer</v>
      </c>
      <c r="K842" s="84" t="str">
        <f>"C100108"</f>
        <v>C100108</v>
      </c>
      <c r="L842" s="84" t="str">
        <f>IF($J842="Customer",_xll.NL("first",$J842,"Name","No.","@@"&amp;$K842),"")</f>
        <v>Kinfix Industries</v>
      </c>
      <c r="M842" s="84" t="str">
        <f>""</f>
        <v/>
      </c>
      <c r="N842" s="84" t="str">
        <f>IF($J842="Item",_xll.NL("first",$J842,"Description","No.","@@"&amp;$K842),"")</f>
        <v/>
      </c>
      <c r="O842" s="83">
        <v>0</v>
      </c>
      <c r="P842" s="83">
        <v>-1</v>
      </c>
      <c r="Q842" s="83">
        <v>0</v>
      </c>
      <c r="R842" s="83">
        <v>0</v>
      </c>
      <c r="S842" s="83">
        <v>0</v>
      </c>
      <c r="T842" s="83">
        <v>0</v>
      </c>
      <c r="U842" s="82"/>
    </row>
    <row r="843" spans="1:21" ht="17.25" customHeight="1" x14ac:dyDescent="0.3">
      <c r="A843" s="66" t="s">
        <v>30</v>
      </c>
      <c r="C843" s="67"/>
      <c r="D843" s="77"/>
      <c r="E843" s="77"/>
      <c r="F843" s="76"/>
      <c r="G843" s="76"/>
      <c r="H843" s="76"/>
      <c r="I843" s="76"/>
      <c r="J843" s="76"/>
      <c r="K843" s="76"/>
      <c r="L843" s="76"/>
      <c r="M843" s="76"/>
      <c r="N843" s="76"/>
      <c r="O843" s="75"/>
      <c r="P843" s="75"/>
      <c r="Q843" s="75"/>
      <c r="R843" s="75"/>
      <c r="S843" s="75"/>
      <c r="T843" s="75"/>
      <c r="U843" s="74"/>
    </row>
    <row r="844" spans="1:21" ht="17.25" customHeight="1" x14ac:dyDescent="0.3">
      <c r="A844" s="66" t="s">
        <v>30</v>
      </c>
      <c r="C844" s="67"/>
      <c r="D844" s="77"/>
      <c r="E844" s="77" t="s">
        <v>31</v>
      </c>
      <c r="F844" s="76" t="s">
        <v>31</v>
      </c>
      <c r="G844" s="76" t="s">
        <v>31</v>
      </c>
      <c r="H844" s="76"/>
      <c r="I844" s="76"/>
      <c r="J844" s="76" t="s">
        <v>31</v>
      </c>
      <c r="K844" s="76" t="s">
        <v>31</v>
      </c>
      <c r="L844" s="76" t="s">
        <v>31</v>
      </c>
      <c r="M844" s="76" t="s">
        <v>31</v>
      </c>
      <c r="N844" s="76"/>
      <c r="U844" s="81"/>
    </row>
    <row r="845" spans="1:21" ht="20.25" customHeight="1" x14ac:dyDescent="0.35">
      <c r="A845" s="66" t="s">
        <v>30</v>
      </c>
      <c r="C845" s="67"/>
      <c r="D845" s="92" t="str">
        <f t="shared" ref="D845" si="461">E845</f>
        <v>S200016</v>
      </c>
      <c r="E845" s="91" t="str">
        <f>"S200016"</f>
        <v>S200016</v>
      </c>
      <c r="F845" s="89" t="str">
        <f>"10.75"" Star Riser Volleyball Trophy"</f>
        <v>10.75" Star Riser Volleyball Trophy</v>
      </c>
      <c r="G845" s="89"/>
      <c r="H845" s="90" t="str">
        <f>"EA"</f>
        <v>EA</v>
      </c>
      <c r="I845" s="89"/>
      <c r="J845" s="89"/>
      <c r="K845" s="89"/>
      <c r="L845" s="89"/>
      <c r="M845" s="89"/>
      <c r="N845" s="89"/>
      <c r="O845" s="88">
        <f>(SUBTOTAL(9,O846:O847))</f>
        <v>0</v>
      </c>
      <c r="P845" s="88">
        <f>(SUBTOTAL(9,P846:P847))</f>
        <v>-144</v>
      </c>
      <c r="Q845" s="88">
        <f>(SUBTOTAL(9,Q846:Q847))</f>
        <v>0</v>
      </c>
      <c r="R845" s="88">
        <f>(SUBTOTAL(9,R846:R847))</f>
        <v>0</v>
      </c>
      <c r="S845" s="88">
        <f>(SUBTOTAL(9,S846:S847))</f>
        <v>0</v>
      </c>
      <c r="T845" s="88">
        <f>(SUBTOTAL(9,T846:T847))</f>
        <v>0</v>
      </c>
      <c r="U845" s="87">
        <f t="shared" ref="U845" si="462">SUBTOTAL(9,O846:T847)</f>
        <v>-144</v>
      </c>
    </row>
    <row r="846" spans="1:21" ht="17.25" customHeight="1" x14ac:dyDescent="0.3">
      <c r="A846" s="66" t="s">
        <v>30</v>
      </c>
      <c r="C846" s="67"/>
      <c r="D846" s="77" t="str">
        <f t="shared" ref="D846" si="463">D845</f>
        <v>S200016</v>
      </c>
      <c r="E846" s="77"/>
      <c r="F846" s="76"/>
      <c r="G846" s="76" t="str">
        <f>"""NAV Direct"",""CRONUS JetCorp USA"",""32"",""1"",""147986"""</f>
        <v>"NAV Direct","CRONUS JetCorp USA","32","1","147986"</v>
      </c>
      <c r="H846" s="86">
        <v>43469</v>
      </c>
      <c r="I846" s="85">
        <v>147986</v>
      </c>
      <c r="J846" s="84" t="str">
        <f>"Customer"</f>
        <v>Customer</v>
      </c>
      <c r="K846" s="84" t="str">
        <f>"C100096"</f>
        <v>C100096</v>
      </c>
      <c r="L846" s="84" t="str">
        <f>IF($J846="Customer",_xll.NL("first",$J846,"Name","No.","@@"&amp;$K846),"")</f>
        <v>D-Com Industries</v>
      </c>
      <c r="M846" s="84" t="str">
        <f>""</f>
        <v/>
      </c>
      <c r="N846" s="84" t="str">
        <f>IF($J846="Item",_xll.NL("first",$J846,"Description","No.","@@"&amp;$K846),"")</f>
        <v/>
      </c>
      <c r="O846" s="83">
        <v>0</v>
      </c>
      <c r="P846" s="83">
        <v>-144</v>
      </c>
      <c r="Q846" s="83">
        <v>0</v>
      </c>
      <c r="R846" s="83">
        <v>0</v>
      </c>
      <c r="S846" s="83">
        <v>0</v>
      </c>
      <c r="T846" s="83">
        <v>0</v>
      </c>
      <c r="U846" s="82"/>
    </row>
    <row r="847" spans="1:21" ht="17.25" customHeight="1" x14ac:dyDescent="0.3">
      <c r="A847" s="66" t="s">
        <v>30</v>
      </c>
      <c r="C847" s="67"/>
      <c r="D847" s="77"/>
      <c r="E847" s="77"/>
      <c r="F847" s="76"/>
      <c r="G847" s="76"/>
      <c r="H847" s="76"/>
      <c r="I847" s="76"/>
      <c r="J847" s="76"/>
      <c r="K847" s="76"/>
      <c r="L847" s="76"/>
      <c r="M847" s="76"/>
      <c r="N847" s="76"/>
      <c r="O847" s="75"/>
      <c r="P847" s="75"/>
      <c r="Q847" s="75"/>
      <c r="R847" s="75"/>
      <c r="S847" s="75"/>
      <c r="T847" s="75"/>
      <c r="U847" s="74"/>
    </row>
    <row r="848" spans="1:21" ht="17.25" customHeight="1" x14ac:dyDescent="0.3">
      <c r="A848" s="66" t="s">
        <v>30</v>
      </c>
      <c r="C848" s="67"/>
      <c r="D848" s="77"/>
      <c r="E848" s="77" t="s">
        <v>31</v>
      </c>
      <c r="F848" s="76" t="s">
        <v>31</v>
      </c>
      <c r="G848" s="76" t="s">
        <v>31</v>
      </c>
      <c r="H848" s="76"/>
      <c r="I848" s="76"/>
      <c r="J848" s="76" t="s">
        <v>31</v>
      </c>
      <c r="K848" s="76" t="s">
        <v>31</v>
      </c>
      <c r="L848" s="76" t="s">
        <v>31</v>
      </c>
      <c r="M848" s="76" t="s">
        <v>31</v>
      </c>
      <c r="N848" s="76"/>
      <c r="U848" s="81"/>
    </row>
    <row r="849" spans="1:21" ht="20.25" customHeight="1" x14ac:dyDescent="0.35">
      <c r="A849" s="66" t="s">
        <v>30</v>
      </c>
      <c r="C849" s="67"/>
      <c r="D849" s="92" t="str">
        <f t="shared" ref="D849" si="464">E849</f>
        <v>S200019</v>
      </c>
      <c r="E849" s="91" t="str">
        <f>"S200019"</f>
        <v>S200019</v>
      </c>
      <c r="F849" s="89" t="str">
        <f>"10.75"" Tourch Riser Apple Trophy"</f>
        <v>10.75" Tourch Riser Apple Trophy</v>
      </c>
      <c r="G849" s="89"/>
      <c r="H849" s="90" t="str">
        <f>"EA"</f>
        <v>EA</v>
      </c>
      <c r="I849" s="89"/>
      <c r="J849" s="89"/>
      <c r="K849" s="89"/>
      <c r="L849" s="89"/>
      <c r="M849" s="89"/>
      <c r="N849" s="89"/>
      <c r="O849" s="88">
        <f>(SUBTOTAL(9,O850:O851))</f>
        <v>0</v>
      </c>
      <c r="P849" s="88">
        <f>(SUBTOTAL(9,P850:P851))</f>
        <v>-144</v>
      </c>
      <c r="Q849" s="88">
        <f>(SUBTOTAL(9,Q850:Q851))</f>
        <v>0</v>
      </c>
      <c r="R849" s="88">
        <f>(SUBTOTAL(9,R850:R851))</f>
        <v>0</v>
      </c>
      <c r="S849" s="88">
        <f>(SUBTOTAL(9,S850:S851))</f>
        <v>0</v>
      </c>
      <c r="T849" s="88">
        <f>(SUBTOTAL(9,T850:T851))</f>
        <v>0</v>
      </c>
      <c r="U849" s="87">
        <f t="shared" ref="U849" si="465">SUBTOTAL(9,O850:T851)</f>
        <v>-144</v>
      </c>
    </row>
    <row r="850" spans="1:21" ht="17.25" customHeight="1" x14ac:dyDescent="0.3">
      <c r="A850" s="66" t="s">
        <v>30</v>
      </c>
      <c r="C850" s="67"/>
      <c r="D850" s="77" t="str">
        <f t="shared" ref="D850" si="466">D849</f>
        <v>S200019</v>
      </c>
      <c r="E850" s="77"/>
      <c r="F850" s="76"/>
      <c r="G850" s="76" t="str">
        <f>"""NAV Direct"",""CRONUS JetCorp USA"",""32"",""1"",""147985"""</f>
        <v>"NAV Direct","CRONUS JetCorp USA","32","1","147985"</v>
      </c>
      <c r="H850" s="86">
        <v>43469</v>
      </c>
      <c r="I850" s="85">
        <v>147985</v>
      </c>
      <c r="J850" s="84" t="str">
        <f>"Customer"</f>
        <v>Customer</v>
      </c>
      <c r="K850" s="84" t="str">
        <f>"C100096"</f>
        <v>C100096</v>
      </c>
      <c r="L850" s="84" t="str">
        <f>IF($J850="Customer",_xll.NL("first",$J850,"Name","No.","@@"&amp;$K850),"")</f>
        <v>D-Com Industries</v>
      </c>
      <c r="M850" s="84" t="str">
        <f>""</f>
        <v/>
      </c>
      <c r="N850" s="84" t="str">
        <f>IF($J850="Item",_xll.NL("first",$J850,"Description","No.","@@"&amp;$K850),"")</f>
        <v/>
      </c>
      <c r="O850" s="83">
        <v>0</v>
      </c>
      <c r="P850" s="83">
        <v>-144</v>
      </c>
      <c r="Q850" s="83">
        <v>0</v>
      </c>
      <c r="R850" s="83">
        <v>0</v>
      </c>
      <c r="S850" s="83">
        <v>0</v>
      </c>
      <c r="T850" s="83">
        <v>0</v>
      </c>
      <c r="U850" s="82"/>
    </row>
    <row r="851" spans="1:21" ht="17.25" customHeight="1" x14ac:dyDescent="0.3">
      <c r="A851" s="66" t="s">
        <v>30</v>
      </c>
      <c r="C851" s="67"/>
      <c r="D851" s="77"/>
      <c r="E851" s="77"/>
      <c r="F851" s="76"/>
      <c r="G851" s="76"/>
      <c r="H851" s="76"/>
      <c r="I851" s="76"/>
      <c r="J851" s="76"/>
      <c r="K851" s="76"/>
      <c r="L851" s="76"/>
      <c r="M851" s="76"/>
      <c r="N851" s="76"/>
      <c r="O851" s="75"/>
      <c r="P851" s="75"/>
      <c r="Q851" s="75"/>
      <c r="R851" s="75"/>
      <c r="S851" s="75"/>
      <c r="T851" s="75"/>
      <c r="U851" s="74"/>
    </row>
    <row r="852" spans="1:21" ht="17.25" customHeight="1" x14ac:dyDescent="0.3">
      <c r="A852" s="66" t="s">
        <v>30</v>
      </c>
      <c r="C852" s="67"/>
      <c r="D852" s="77"/>
      <c r="E852" s="77" t="s">
        <v>31</v>
      </c>
      <c r="F852" s="76" t="s">
        <v>31</v>
      </c>
      <c r="G852" s="76" t="s">
        <v>31</v>
      </c>
      <c r="H852" s="76"/>
      <c r="I852" s="76"/>
      <c r="J852" s="76" t="s">
        <v>31</v>
      </c>
      <c r="K852" s="76" t="s">
        <v>31</v>
      </c>
      <c r="L852" s="76" t="s">
        <v>31</v>
      </c>
      <c r="M852" s="76" t="s">
        <v>31</v>
      </c>
      <c r="N852" s="76"/>
      <c r="U852" s="81"/>
    </row>
    <row r="853" spans="1:21" ht="20.25" customHeight="1" x14ac:dyDescent="0.35">
      <c r="A853" s="66" t="s">
        <v>30</v>
      </c>
      <c r="C853" s="67"/>
      <c r="D853" s="92" t="str">
        <f t="shared" ref="D853" si="467">E853</f>
        <v>S200020</v>
      </c>
      <c r="E853" s="91" t="str">
        <f>"S200020"</f>
        <v>S200020</v>
      </c>
      <c r="F853" s="89" t="str">
        <f>"10.75"" Tourch Riser Soccer Trophy"</f>
        <v>10.75" Tourch Riser Soccer Trophy</v>
      </c>
      <c r="G853" s="89"/>
      <c r="H853" s="90" t="str">
        <f>"EA"</f>
        <v>EA</v>
      </c>
      <c r="I853" s="89"/>
      <c r="J853" s="89"/>
      <c r="K853" s="89"/>
      <c r="L853" s="89"/>
      <c r="M853" s="89"/>
      <c r="N853" s="89"/>
      <c r="O853" s="88">
        <f>(SUBTOTAL(9,O854:O856))</f>
        <v>750</v>
      </c>
      <c r="P853" s="88">
        <f>(SUBTOTAL(9,P854:P856))</f>
        <v>1</v>
      </c>
      <c r="Q853" s="88">
        <f>(SUBTOTAL(9,Q854:Q856))</f>
        <v>0</v>
      </c>
      <c r="R853" s="88">
        <f>(SUBTOTAL(9,R854:R856))</f>
        <v>0</v>
      </c>
      <c r="S853" s="88">
        <f>(SUBTOTAL(9,S854:S856))</f>
        <v>0</v>
      </c>
      <c r="T853" s="88">
        <f>(SUBTOTAL(9,T854:T856))</f>
        <v>0</v>
      </c>
      <c r="U853" s="87">
        <f t="shared" ref="U853" si="468">SUBTOTAL(9,O854:T856)</f>
        <v>751</v>
      </c>
    </row>
    <row r="854" spans="1:21" ht="17.25" customHeight="1" x14ac:dyDescent="0.3">
      <c r="A854" s="66" t="s">
        <v>30</v>
      </c>
      <c r="C854" s="67"/>
      <c r="D854" s="77" t="str">
        <f t="shared" ref="D854" si="469">D853</f>
        <v>S200020</v>
      </c>
      <c r="E854" s="77"/>
      <c r="F854" s="76"/>
      <c r="G854" s="76" t="str">
        <f>"""NAV Direct"",""CRONUS JetCorp USA"",""32"",""1"",""169236"""</f>
        <v>"NAV Direct","CRONUS JetCorp USA","32","1","169236"</v>
      </c>
      <c r="H854" s="86">
        <v>43466</v>
      </c>
      <c r="I854" s="85">
        <v>169236</v>
      </c>
      <c r="J854" s="84" t="str">
        <f>"Vendor"</f>
        <v>Vendor</v>
      </c>
      <c r="K854" s="84" t="str">
        <f>"V100001"</f>
        <v>V100001</v>
      </c>
      <c r="L854" s="84" t="str">
        <f>IF($J854="Customer",_xll.NL("first",$J854,"Name","No.","@@"&amp;$K854),"")</f>
        <v/>
      </c>
      <c r="M854" s="84" t="str">
        <f>"Greigner, Inc."</f>
        <v>Greigner, Inc.</v>
      </c>
      <c r="N854" s="84" t="str">
        <f>IF($J854="Item",_xll.NL("first",$J854,"Description","No.","@@"&amp;$K854),"")</f>
        <v/>
      </c>
      <c r="O854" s="83">
        <v>750</v>
      </c>
      <c r="P854" s="83">
        <v>0</v>
      </c>
      <c r="Q854" s="83">
        <v>0</v>
      </c>
      <c r="R854" s="83">
        <v>0</v>
      </c>
      <c r="S854" s="83">
        <v>0</v>
      </c>
      <c r="T854" s="83">
        <v>0</v>
      </c>
      <c r="U854" s="82"/>
    </row>
    <row r="855" spans="1:21" ht="17.25" customHeight="1" x14ac:dyDescent="0.3">
      <c r="A855" s="66" t="s">
        <v>30</v>
      </c>
      <c r="C855" s="67"/>
      <c r="D855" s="77" t="str">
        <f t="shared" ref="D855" si="470">D854</f>
        <v>S200020</v>
      </c>
      <c r="E855" s="77"/>
      <c r="F855" s="76"/>
      <c r="G855" s="76" t="str">
        <f>"""NAV Direct"",""CRONUS JetCorp USA"",""32"",""1"",""159117"""</f>
        <v>"NAV Direct","CRONUS JetCorp USA","32","1","159117"</v>
      </c>
      <c r="H855" s="86">
        <v>43474</v>
      </c>
      <c r="I855" s="85">
        <v>159117</v>
      </c>
      <c r="J855" s="84" t="str">
        <f>"Customer"</f>
        <v>Customer</v>
      </c>
      <c r="K855" s="84" t="str">
        <f>"C100143"</f>
        <v>C100143</v>
      </c>
      <c r="L855" s="84" t="str">
        <f>IF($J855="Customer",_xll.NL("first",$J855,"Name","No.","@@"&amp;$K855),"")</f>
        <v>Parvotis</v>
      </c>
      <c r="M855" s="84" t="str">
        <f>""</f>
        <v/>
      </c>
      <c r="N855" s="84" t="str">
        <f>IF($J855="Item",_xll.NL("first",$J855,"Description","No.","@@"&amp;$K855),"")</f>
        <v/>
      </c>
      <c r="O855" s="83">
        <v>0</v>
      </c>
      <c r="P855" s="83">
        <v>1</v>
      </c>
      <c r="Q855" s="83">
        <v>0</v>
      </c>
      <c r="R855" s="83">
        <v>0</v>
      </c>
      <c r="S855" s="83">
        <v>0</v>
      </c>
      <c r="T855" s="83">
        <v>0</v>
      </c>
      <c r="U855" s="82"/>
    </row>
    <row r="856" spans="1:21" ht="17.25" customHeight="1" x14ac:dyDescent="0.3">
      <c r="A856" s="66" t="s">
        <v>30</v>
      </c>
      <c r="C856" s="67"/>
      <c r="D856" s="77"/>
      <c r="E856" s="77"/>
      <c r="F856" s="76"/>
      <c r="G856" s="76"/>
      <c r="H856" s="76"/>
      <c r="I856" s="76"/>
      <c r="J856" s="76"/>
      <c r="K856" s="76"/>
      <c r="L856" s="76"/>
      <c r="M856" s="76"/>
      <c r="N856" s="76"/>
      <c r="O856" s="75"/>
      <c r="P856" s="75"/>
      <c r="Q856" s="75"/>
      <c r="R856" s="75"/>
      <c r="S856" s="75"/>
      <c r="T856" s="75"/>
      <c r="U856" s="74"/>
    </row>
    <row r="857" spans="1:21" ht="17.25" customHeight="1" x14ac:dyDescent="0.3">
      <c r="A857" s="66" t="s">
        <v>30</v>
      </c>
      <c r="C857" s="67"/>
      <c r="D857" s="77"/>
      <c r="E857" s="77" t="s">
        <v>31</v>
      </c>
      <c r="F857" s="76" t="s">
        <v>31</v>
      </c>
      <c r="G857" s="76" t="s">
        <v>31</v>
      </c>
      <c r="H857" s="76"/>
      <c r="I857" s="76"/>
      <c r="J857" s="76" t="s">
        <v>31</v>
      </c>
      <c r="K857" s="76" t="s">
        <v>31</v>
      </c>
      <c r="L857" s="76" t="s">
        <v>31</v>
      </c>
      <c r="M857" s="76" t="s">
        <v>31</v>
      </c>
      <c r="N857" s="76"/>
      <c r="U857" s="81"/>
    </row>
    <row r="858" spans="1:21" ht="20.25" customHeight="1" x14ac:dyDescent="0.35">
      <c r="A858" s="66" t="s">
        <v>30</v>
      </c>
      <c r="C858" s="67"/>
      <c r="D858" s="92" t="str">
        <f t="shared" ref="D858" si="471">E858</f>
        <v>S200021</v>
      </c>
      <c r="E858" s="91" t="str">
        <f>"S200021"</f>
        <v>S200021</v>
      </c>
      <c r="F858" s="89" t="str">
        <f>"10.75"" Tourch Riser FootballTrophy"</f>
        <v>10.75" Tourch Riser FootballTrophy</v>
      </c>
      <c r="G858" s="89"/>
      <c r="H858" s="90" t="str">
        <f>"EA"</f>
        <v>EA</v>
      </c>
      <c r="I858" s="89"/>
      <c r="J858" s="89"/>
      <c r="K858" s="89"/>
      <c r="L858" s="89"/>
      <c r="M858" s="89"/>
      <c r="N858" s="89"/>
      <c r="O858" s="88">
        <f>(SUBTOTAL(9,O859:O860))</f>
        <v>249.99999999999997</v>
      </c>
      <c r="P858" s="88">
        <f>(SUBTOTAL(9,P859:P860))</f>
        <v>0</v>
      </c>
      <c r="Q858" s="88">
        <f>(SUBTOTAL(9,Q859:Q860))</f>
        <v>0</v>
      </c>
      <c r="R858" s="88">
        <f>(SUBTOTAL(9,R859:R860))</f>
        <v>0</v>
      </c>
      <c r="S858" s="88">
        <f>(SUBTOTAL(9,S859:S860))</f>
        <v>0</v>
      </c>
      <c r="T858" s="88">
        <f>(SUBTOTAL(9,T859:T860))</f>
        <v>0</v>
      </c>
      <c r="U858" s="87">
        <f t="shared" ref="U858" si="472">SUBTOTAL(9,O859:T860)</f>
        <v>249.99999999999997</v>
      </c>
    </row>
    <row r="859" spans="1:21" ht="17.25" customHeight="1" x14ac:dyDescent="0.3">
      <c r="A859" s="66" t="s">
        <v>30</v>
      </c>
      <c r="C859" s="67"/>
      <c r="D859" s="77" t="str">
        <f t="shared" ref="D859" si="473">D858</f>
        <v>S200021</v>
      </c>
      <c r="E859" s="77"/>
      <c r="F859" s="76"/>
      <c r="G859" s="76" t="str">
        <f>"""NAV Direct"",""CRONUS JetCorp USA"",""32"",""1"",""169235"""</f>
        <v>"NAV Direct","CRONUS JetCorp USA","32","1","169235"</v>
      </c>
      <c r="H859" s="86">
        <v>43466</v>
      </c>
      <c r="I859" s="85">
        <v>169235</v>
      </c>
      <c r="J859" s="84" t="str">
        <f>"Vendor"</f>
        <v>Vendor</v>
      </c>
      <c r="K859" s="84" t="str">
        <f>"V100001"</f>
        <v>V100001</v>
      </c>
      <c r="L859" s="84" t="str">
        <f>IF($J859="Customer",_xll.NL("first",$J859,"Name","No.","@@"&amp;$K859),"")</f>
        <v/>
      </c>
      <c r="M859" s="84" t="str">
        <f>"Greigner, Inc."</f>
        <v>Greigner, Inc.</v>
      </c>
      <c r="N859" s="84" t="str">
        <f>IF($J859="Item",_xll.NL("first",$J859,"Description","No.","@@"&amp;$K859),"")</f>
        <v/>
      </c>
      <c r="O859" s="83">
        <v>249.99999999999997</v>
      </c>
      <c r="P859" s="83">
        <v>0</v>
      </c>
      <c r="Q859" s="83">
        <v>0</v>
      </c>
      <c r="R859" s="83">
        <v>0</v>
      </c>
      <c r="S859" s="83">
        <v>0</v>
      </c>
      <c r="T859" s="83">
        <v>0</v>
      </c>
      <c r="U859" s="82"/>
    </row>
    <row r="860" spans="1:21" ht="17.25" customHeight="1" x14ac:dyDescent="0.3">
      <c r="A860" s="66" t="s">
        <v>30</v>
      </c>
      <c r="C860" s="67"/>
      <c r="D860" s="77"/>
      <c r="E860" s="77"/>
      <c r="F860" s="76"/>
      <c r="G860" s="76"/>
      <c r="H860" s="76"/>
      <c r="I860" s="76"/>
      <c r="J860" s="76"/>
      <c r="K860" s="76"/>
      <c r="L860" s="76"/>
      <c r="M860" s="76"/>
      <c r="N860" s="76"/>
      <c r="O860" s="75"/>
      <c r="P860" s="75"/>
      <c r="Q860" s="75"/>
      <c r="R860" s="75"/>
      <c r="S860" s="75"/>
      <c r="T860" s="75"/>
      <c r="U860" s="74"/>
    </row>
    <row r="861" spans="1:21" ht="17.25" customHeight="1" x14ac:dyDescent="0.3">
      <c r="A861" s="66" t="s">
        <v>30</v>
      </c>
      <c r="C861" s="67"/>
      <c r="D861" s="77"/>
      <c r="E861" s="77" t="s">
        <v>31</v>
      </c>
      <c r="F861" s="76" t="s">
        <v>31</v>
      </c>
      <c r="G861" s="76" t="s">
        <v>31</v>
      </c>
      <c r="H861" s="76"/>
      <c r="I861" s="76"/>
      <c r="J861" s="76" t="s">
        <v>31</v>
      </c>
      <c r="K861" s="76" t="s">
        <v>31</v>
      </c>
      <c r="L861" s="76" t="s">
        <v>31</v>
      </c>
      <c r="M861" s="76" t="s">
        <v>31</v>
      </c>
      <c r="N861" s="76"/>
      <c r="U861" s="81"/>
    </row>
    <row r="862" spans="1:21" ht="20.25" customHeight="1" x14ac:dyDescent="0.35">
      <c r="A862" s="66" t="s">
        <v>30</v>
      </c>
      <c r="C862" s="67"/>
      <c r="D862" s="92" t="str">
        <f t="shared" ref="D862" si="474">E862</f>
        <v>S200022</v>
      </c>
      <c r="E862" s="91" t="str">
        <f>"S200022"</f>
        <v>S200022</v>
      </c>
      <c r="F862" s="89" t="str">
        <f>"10.75"" Tourch Riser Basketball Trophy"</f>
        <v>10.75" Tourch Riser Basketball Trophy</v>
      </c>
      <c r="G862" s="89"/>
      <c r="H862" s="90" t="str">
        <f>"EA"</f>
        <v>EA</v>
      </c>
      <c r="I862" s="89"/>
      <c r="J862" s="89"/>
      <c r="K862" s="89"/>
      <c r="L862" s="89"/>
      <c r="M862" s="89"/>
      <c r="N862" s="89"/>
      <c r="O862" s="88">
        <f>(SUBTOTAL(9,O863:O865))</f>
        <v>249.99999999999997</v>
      </c>
      <c r="P862" s="88">
        <f>(SUBTOTAL(9,P863:P865))</f>
        <v>-144</v>
      </c>
      <c r="Q862" s="88">
        <f>(SUBTOTAL(9,Q863:Q865))</f>
        <v>0</v>
      </c>
      <c r="R862" s="88">
        <f>(SUBTOTAL(9,R863:R865))</f>
        <v>0</v>
      </c>
      <c r="S862" s="88">
        <f>(SUBTOTAL(9,S863:S865))</f>
        <v>0</v>
      </c>
      <c r="T862" s="88">
        <f>(SUBTOTAL(9,T863:T865))</f>
        <v>0</v>
      </c>
      <c r="U862" s="87">
        <f t="shared" ref="U862" si="475">SUBTOTAL(9,O863:T865)</f>
        <v>105.99999999999997</v>
      </c>
    </row>
    <row r="863" spans="1:21" ht="17.25" customHeight="1" x14ac:dyDescent="0.3">
      <c r="A863" s="66" t="s">
        <v>30</v>
      </c>
      <c r="C863" s="67"/>
      <c r="D863" s="77" t="str">
        <f t="shared" ref="D863" si="476">D862</f>
        <v>S200022</v>
      </c>
      <c r="E863" s="77"/>
      <c r="F863" s="76"/>
      <c r="G863" s="76" t="str">
        <f>"""NAV Direct"",""CRONUS JetCorp USA"",""32"",""1"",""169234"""</f>
        <v>"NAV Direct","CRONUS JetCorp USA","32","1","169234"</v>
      </c>
      <c r="H863" s="86">
        <v>43466</v>
      </c>
      <c r="I863" s="85">
        <v>169234</v>
      </c>
      <c r="J863" s="84" t="str">
        <f>"Vendor"</f>
        <v>Vendor</v>
      </c>
      <c r="K863" s="84" t="str">
        <f>"V100001"</f>
        <v>V100001</v>
      </c>
      <c r="L863" s="84" t="str">
        <f>IF($J863="Customer",_xll.NL("first",$J863,"Name","No.","@@"&amp;$K863),"")</f>
        <v/>
      </c>
      <c r="M863" s="84" t="str">
        <f>"Greigner, Inc."</f>
        <v>Greigner, Inc.</v>
      </c>
      <c r="N863" s="84" t="str">
        <f>IF($J863="Item",_xll.NL("first",$J863,"Description","No.","@@"&amp;$K863),"")</f>
        <v/>
      </c>
      <c r="O863" s="83">
        <v>249.99999999999997</v>
      </c>
      <c r="P863" s="83">
        <v>0</v>
      </c>
      <c r="Q863" s="83">
        <v>0</v>
      </c>
      <c r="R863" s="83">
        <v>0</v>
      </c>
      <c r="S863" s="83">
        <v>0</v>
      </c>
      <c r="T863" s="83">
        <v>0</v>
      </c>
      <c r="U863" s="82"/>
    </row>
    <row r="864" spans="1:21" ht="17.25" customHeight="1" x14ac:dyDescent="0.3">
      <c r="A864" s="66" t="s">
        <v>30</v>
      </c>
      <c r="C864" s="67"/>
      <c r="D864" s="77" t="str">
        <f t="shared" ref="D864" si="477">D863</f>
        <v>S200022</v>
      </c>
      <c r="E864" s="77"/>
      <c r="F864" s="76"/>
      <c r="G864" s="76" t="str">
        <f>"""NAV Direct"",""CRONUS JetCorp USA"",""32"",""1"",""153177"""</f>
        <v>"NAV Direct","CRONUS JetCorp USA","32","1","153177"</v>
      </c>
      <c r="H864" s="86">
        <v>43475</v>
      </c>
      <c r="I864" s="85">
        <v>153177</v>
      </c>
      <c r="J864" s="84" t="str">
        <f>"Customer"</f>
        <v>Customer</v>
      </c>
      <c r="K864" s="84" t="str">
        <f>"C100108"</f>
        <v>C100108</v>
      </c>
      <c r="L864" s="84" t="str">
        <f>IF($J864="Customer",_xll.NL("first",$J864,"Name","No.","@@"&amp;$K864),"")</f>
        <v>Kinfix Industries</v>
      </c>
      <c r="M864" s="84" t="str">
        <f>""</f>
        <v/>
      </c>
      <c r="N864" s="84" t="str">
        <f>IF($J864="Item",_xll.NL("first",$J864,"Description","No.","@@"&amp;$K864),"")</f>
        <v/>
      </c>
      <c r="O864" s="83">
        <v>0</v>
      </c>
      <c r="P864" s="83">
        <v>-144</v>
      </c>
      <c r="Q864" s="83">
        <v>0</v>
      </c>
      <c r="R864" s="83">
        <v>0</v>
      </c>
      <c r="S864" s="83">
        <v>0</v>
      </c>
      <c r="T864" s="83">
        <v>0</v>
      </c>
      <c r="U864" s="82"/>
    </row>
    <row r="865" spans="1:21" ht="17.25" customHeight="1" x14ac:dyDescent="0.3">
      <c r="A865" s="66" t="s">
        <v>30</v>
      </c>
      <c r="C865" s="67"/>
      <c r="D865" s="77"/>
      <c r="E865" s="77"/>
      <c r="F865" s="76"/>
      <c r="G865" s="76"/>
      <c r="H865" s="76"/>
      <c r="I865" s="76"/>
      <c r="J865" s="76"/>
      <c r="K865" s="76"/>
      <c r="L865" s="76"/>
      <c r="M865" s="76"/>
      <c r="N865" s="76"/>
      <c r="O865" s="75"/>
      <c r="P865" s="75"/>
      <c r="Q865" s="75"/>
      <c r="R865" s="75"/>
      <c r="S865" s="75"/>
      <c r="T865" s="75"/>
      <c r="U865" s="74"/>
    </row>
    <row r="866" spans="1:21" ht="17.25" customHeight="1" x14ac:dyDescent="0.3">
      <c r="A866" s="66" t="s">
        <v>30</v>
      </c>
      <c r="C866" s="67"/>
      <c r="D866" s="77"/>
      <c r="E866" s="77" t="s">
        <v>31</v>
      </c>
      <c r="F866" s="76" t="s">
        <v>31</v>
      </c>
      <c r="G866" s="76" t="s">
        <v>31</v>
      </c>
      <c r="H866" s="76"/>
      <c r="I866" s="76"/>
      <c r="J866" s="76" t="s">
        <v>31</v>
      </c>
      <c r="K866" s="76" t="s">
        <v>31</v>
      </c>
      <c r="L866" s="76" t="s">
        <v>31</v>
      </c>
      <c r="M866" s="76" t="s">
        <v>31</v>
      </c>
      <c r="N866" s="76"/>
      <c r="U866" s="81"/>
    </row>
    <row r="867" spans="1:21" ht="20.25" customHeight="1" x14ac:dyDescent="0.35">
      <c r="A867" s="66" t="s">
        <v>30</v>
      </c>
      <c r="C867" s="67"/>
      <c r="D867" s="92" t="str">
        <f t="shared" ref="D867" si="478">E867</f>
        <v>S200023</v>
      </c>
      <c r="E867" s="91" t="str">
        <f>"S200023"</f>
        <v>S200023</v>
      </c>
      <c r="F867" s="89" t="str">
        <f>"10.75"" Tourch Riser Volleyball Trophy"</f>
        <v>10.75" Tourch Riser Volleyball Trophy</v>
      </c>
      <c r="G867" s="89"/>
      <c r="H867" s="90" t="str">
        <f>"EA"</f>
        <v>EA</v>
      </c>
      <c r="I867" s="89"/>
      <c r="J867" s="89"/>
      <c r="K867" s="89"/>
      <c r="L867" s="89"/>
      <c r="M867" s="89"/>
      <c r="N867" s="89"/>
      <c r="O867" s="88">
        <f>(SUBTOTAL(9,O868:O869))</f>
        <v>249.99999999999997</v>
      </c>
      <c r="P867" s="88">
        <f>(SUBTOTAL(9,P868:P869))</f>
        <v>0</v>
      </c>
      <c r="Q867" s="88">
        <f>(SUBTOTAL(9,Q868:Q869))</f>
        <v>0</v>
      </c>
      <c r="R867" s="88">
        <f>(SUBTOTAL(9,R868:R869))</f>
        <v>0</v>
      </c>
      <c r="S867" s="88">
        <f>(SUBTOTAL(9,S868:S869))</f>
        <v>0</v>
      </c>
      <c r="T867" s="88">
        <f>(SUBTOTAL(9,T868:T869))</f>
        <v>0</v>
      </c>
      <c r="U867" s="87">
        <f t="shared" ref="U867" si="479">SUBTOTAL(9,O868:T869)</f>
        <v>249.99999999999997</v>
      </c>
    </row>
    <row r="868" spans="1:21" ht="17.25" customHeight="1" x14ac:dyDescent="0.3">
      <c r="A868" s="66" t="s">
        <v>30</v>
      </c>
      <c r="C868" s="67"/>
      <c r="D868" s="77" t="str">
        <f t="shared" ref="D868:D878" si="480">D867</f>
        <v>S200023</v>
      </c>
      <c r="E868" s="77"/>
      <c r="F868" s="76"/>
      <c r="G868" s="76" t="str">
        <f>"""NAV Direct"",""CRONUS JetCorp USA"",""32"",""1"",""169233"""</f>
        <v>"NAV Direct","CRONUS JetCorp USA","32","1","169233"</v>
      </c>
      <c r="H868" s="86">
        <v>43466</v>
      </c>
      <c r="I868" s="85">
        <v>169233</v>
      </c>
      <c r="J868" s="84" t="str">
        <f>"Vendor"</f>
        <v>Vendor</v>
      </c>
      <c r="K868" s="84" t="str">
        <f>"V100001"</f>
        <v>V100001</v>
      </c>
      <c r="L868" s="84" t="str">
        <f>IF($J868="Customer",_xll.NL("first",$J868,"Name","No.","@@"&amp;$K868),"")</f>
        <v/>
      </c>
      <c r="M868" s="84" t="str">
        <f>"Greigner, Inc."</f>
        <v>Greigner, Inc.</v>
      </c>
      <c r="N868" s="84" t="str">
        <f>IF($J868="Item",_xll.NL("first",$J868,"Description","No.","@@"&amp;$K868),"")</f>
        <v/>
      </c>
      <c r="O868" s="83">
        <v>249.99999999999997</v>
      </c>
      <c r="P868" s="83">
        <v>0</v>
      </c>
      <c r="Q868" s="83">
        <v>0</v>
      </c>
      <c r="R868" s="83">
        <v>0</v>
      </c>
      <c r="S868" s="83">
        <v>0</v>
      </c>
      <c r="T868" s="83">
        <v>0</v>
      </c>
      <c r="U868" s="82"/>
    </row>
    <row r="869" spans="1:21" ht="17.25" customHeight="1" x14ac:dyDescent="0.3">
      <c r="A869" s="66" t="s">
        <v>30</v>
      </c>
      <c r="C869" s="67"/>
      <c r="D869" s="77"/>
      <c r="E869" s="77"/>
      <c r="F869" s="76"/>
      <c r="G869" s="76"/>
      <c r="H869" s="76"/>
      <c r="I869" s="76"/>
      <c r="J869" s="76"/>
      <c r="K869" s="76"/>
      <c r="L869" s="76"/>
      <c r="M869" s="76"/>
      <c r="N869" s="76"/>
      <c r="O869" s="75"/>
      <c r="P869" s="75"/>
      <c r="Q869" s="75"/>
      <c r="R869" s="75"/>
      <c r="S869" s="75"/>
      <c r="T869" s="75"/>
      <c r="U869" s="74"/>
    </row>
    <row r="870" spans="1:21" ht="17.25" customHeight="1" x14ac:dyDescent="0.3">
      <c r="A870" s="66" t="s">
        <v>30</v>
      </c>
      <c r="C870" s="67"/>
      <c r="D870" s="77"/>
      <c r="E870" s="77" t="s">
        <v>31</v>
      </c>
      <c r="F870" s="76" t="s">
        <v>31</v>
      </c>
      <c r="G870" s="76" t="s">
        <v>31</v>
      </c>
      <c r="H870" s="76"/>
      <c r="I870" s="76"/>
      <c r="J870" s="76" t="s">
        <v>31</v>
      </c>
      <c r="K870" s="76" t="s">
        <v>31</v>
      </c>
      <c r="L870" s="76" t="s">
        <v>31</v>
      </c>
      <c r="M870" s="76" t="s">
        <v>31</v>
      </c>
      <c r="N870" s="76"/>
      <c r="U870" s="81"/>
    </row>
    <row r="871" spans="1:21" ht="20.25" customHeight="1" x14ac:dyDescent="0.35">
      <c r="A871" s="66" t="s">
        <v>30</v>
      </c>
      <c r="C871" s="67"/>
      <c r="D871" s="92" t="str">
        <f t="shared" ref="D871" si="481">E871</f>
        <v>S200029</v>
      </c>
      <c r="E871" s="91" t="str">
        <f>"S200029"</f>
        <v>S200029</v>
      </c>
      <c r="F871" s="89" t="str">
        <f>"10.75"" Column Basketball Trophy"</f>
        <v>10.75" Column Basketball Trophy</v>
      </c>
      <c r="G871" s="89"/>
      <c r="H871" s="90" t="str">
        <f>"EA"</f>
        <v>EA</v>
      </c>
      <c r="I871" s="89"/>
      <c r="J871" s="89"/>
      <c r="K871" s="89"/>
      <c r="L871" s="89"/>
      <c r="M871" s="89"/>
      <c r="N871" s="89"/>
      <c r="O871" s="88">
        <f>(SUBTOTAL(9,O872:O873))</f>
        <v>0</v>
      </c>
      <c r="P871" s="88">
        <f>(SUBTOTAL(9,P872:P873))</f>
        <v>6</v>
      </c>
      <c r="Q871" s="88">
        <f>(SUBTOTAL(9,Q872:Q873))</f>
        <v>0</v>
      </c>
      <c r="R871" s="88">
        <f>(SUBTOTAL(9,R872:R873))</f>
        <v>0</v>
      </c>
      <c r="S871" s="88">
        <f>(SUBTOTAL(9,S872:S873))</f>
        <v>0</v>
      </c>
      <c r="T871" s="88">
        <f>(SUBTOTAL(9,T872:T873))</f>
        <v>0</v>
      </c>
      <c r="U871" s="87">
        <f t="shared" ref="U871" si="482">SUBTOTAL(9,O872:T873)</f>
        <v>6</v>
      </c>
    </row>
    <row r="872" spans="1:21" ht="17.25" customHeight="1" x14ac:dyDescent="0.3">
      <c r="A872" s="66" t="s">
        <v>30</v>
      </c>
      <c r="C872" s="67"/>
      <c r="D872" s="77" t="str">
        <f t="shared" ref="D872:D878" si="483">D871</f>
        <v>S200029</v>
      </c>
      <c r="E872" s="77"/>
      <c r="F872" s="76"/>
      <c r="G872" s="76" t="str">
        <f>"""NAV Direct"",""CRONUS JetCorp USA"",""32"",""1"",""159116"""</f>
        <v>"NAV Direct","CRONUS JetCorp USA","32","1","159116"</v>
      </c>
      <c r="H872" s="86">
        <v>43474</v>
      </c>
      <c r="I872" s="85">
        <v>159116</v>
      </c>
      <c r="J872" s="84" t="str">
        <f>"Customer"</f>
        <v>Customer</v>
      </c>
      <c r="K872" s="84" t="str">
        <f>"C100143"</f>
        <v>C100143</v>
      </c>
      <c r="L872" s="84" t="str">
        <f>IF($J872="Customer",_xll.NL("first",$J872,"Name","No.","@@"&amp;$K872),"")</f>
        <v>Parvotis</v>
      </c>
      <c r="M872" s="84" t="str">
        <f>""</f>
        <v/>
      </c>
      <c r="N872" s="84" t="str">
        <f>IF($J872="Item",_xll.NL("first",$J872,"Description","No.","@@"&amp;$K872),"")</f>
        <v/>
      </c>
      <c r="O872" s="83">
        <v>0</v>
      </c>
      <c r="P872" s="83">
        <v>6</v>
      </c>
      <c r="Q872" s="83">
        <v>0</v>
      </c>
      <c r="R872" s="83">
        <v>0</v>
      </c>
      <c r="S872" s="83">
        <v>0</v>
      </c>
      <c r="T872" s="83">
        <v>0</v>
      </c>
      <c r="U872" s="82"/>
    </row>
    <row r="873" spans="1:21" ht="17.25" customHeight="1" x14ac:dyDescent="0.3">
      <c r="A873" s="66" t="s">
        <v>30</v>
      </c>
      <c r="C873" s="67"/>
      <c r="D873" s="77"/>
      <c r="E873" s="77"/>
      <c r="F873" s="76"/>
      <c r="G873" s="76"/>
      <c r="H873" s="76"/>
      <c r="I873" s="76"/>
      <c r="J873" s="76"/>
      <c r="K873" s="76"/>
      <c r="L873" s="76"/>
      <c r="M873" s="76"/>
      <c r="N873" s="76"/>
      <c r="O873" s="75"/>
      <c r="P873" s="75"/>
      <c r="Q873" s="75"/>
      <c r="R873" s="75"/>
      <c r="S873" s="75"/>
      <c r="T873" s="75"/>
      <c r="U873" s="74"/>
    </row>
    <row r="874" spans="1:21" ht="17.25" customHeight="1" x14ac:dyDescent="0.3">
      <c r="A874" s="66" t="s">
        <v>30</v>
      </c>
      <c r="C874" s="67"/>
      <c r="D874" s="77"/>
      <c r="E874" s="77" t="s">
        <v>31</v>
      </c>
      <c r="F874" s="76" t="s">
        <v>31</v>
      </c>
      <c r="G874" s="76" t="s">
        <v>31</v>
      </c>
      <c r="H874" s="76"/>
      <c r="I874" s="76"/>
      <c r="J874" s="76" t="s">
        <v>31</v>
      </c>
      <c r="K874" s="76" t="s">
        <v>31</v>
      </c>
      <c r="L874" s="76" t="s">
        <v>31</v>
      </c>
      <c r="M874" s="76" t="s">
        <v>31</v>
      </c>
      <c r="N874" s="76"/>
      <c r="U874" s="81"/>
    </row>
    <row r="875" spans="1:21" ht="20.25" customHeight="1" x14ac:dyDescent="0.35">
      <c r="A875" s="66" t="s">
        <v>30</v>
      </c>
      <c r="C875" s="67"/>
      <c r="D875" s="92" t="str">
        <f t="shared" ref="D875" si="484">E875</f>
        <v>S200031</v>
      </c>
      <c r="E875" s="91" t="str">
        <f>"S200031"</f>
        <v>S200031</v>
      </c>
      <c r="F875" s="89" t="str">
        <f>"10.75"" Column Wrestling Trophy"</f>
        <v>10.75" Column Wrestling Trophy</v>
      </c>
      <c r="G875" s="89"/>
      <c r="H875" s="90" t="str">
        <f>"EA"</f>
        <v>EA</v>
      </c>
      <c r="I875" s="89"/>
      <c r="J875" s="89"/>
      <c r="K875" s="89"/>
      <c r="L875" s="89"/>
      <c r="M875" s="89"/>
      <c r="N875" s="89"/>
      <c r="O875" s="88">
        <f>(SUBTOTAL(9,O876:O877))</f>
        <v>0</v>
      </c>
      <c r="P875" s="88">
        <f>(SUBTOTAL(9,P876:P877))</f>
        <v>-144</v>
      </c>
      <c r="Q875" s="88">
        <f>(SUBTOTAL(9,Q876:Q877))</f>
        <v>0</v>
      </c>
      <c r="R875" s="88">
        <f>(SUBTOTAL(9,R876:R877))</f>
        <v>0</v>
      </c>
      <c r="S875" s="88">
        <f>(SUBTOTAL(9,S876:S877))</f>
        <v>0</v>
      </c>
      <c r="T875" s="88">
        <f>(SUBTOTAL(9,T876:T877))</f>
        <v>0</v>
      </c>
      <c r="U875" s="87">
        <f t="shared" ref="U875" si="485">SUBTOTAL(9,O876:T877)</f>
        <v>-144</v>
      </c>
    </row>
    <row r="876" spans="1:21" ht="17.25" customHeight="1" x14ac:dyDescent="0.3">
      <c r="A876" s="66" t="s">
        <v>30</v>
      </c>
      <c r="C876" s="67"/>
      <c r="D876" s="77" t="str">
        <f t="shared" ref="D876:D878" si="486">D875</f>
        <v>S200031</v>
      </c>
      <c r="E876" s="77"/>
      <c r="F876" s="76"/>
      <c r="G876" s="76" t="str">
        <f>"""NAV Direct"",""CRONUS JetCorp USA"",""32"",""1"",""147984"""</f>
        <v>"NAV Direct","CRONUS JetCorp USA","32","1","147984"</v>
      </c>
      <c r="H876" s="86">
        <v>43469</v>
      </c>
      <c r="I876" s="85">
        <v>147984</v>
      </c>
      <c r="J876" s="84" t="str">
        <f>"Customer"</f>
        <v>Customer</v>
      </c>
      <c r="K876" s="84" t="str">
        <f>"C100096"</f>
        <v>C100096</v>
      </c>
      <c r="L876" s="84" t="str">
        <f>IF($J876="Customer",_xll.NL("first",$J876,"Name","No.","@@"&amp;$K876),"")</f>
        <v>D-Com Industries</v>
      </c>
      <c r="M876" s="84" t="str">
        <f>""</f>
        <v/>
      </c>
      <c r="N876" s="84" t="str">
        <f>IF($J876="Item",_xll.NL("first",$J876,"Description","No.","@@"&amp;$K876),"")</f>
        <v/>
      </c>
      <c r="O876" s="83">
        <v>0</v>
      </c>
      <c r="P876" s="83">
        <v>-144</v>
      </c>
      <c r="Q876" s="83">
        <v>0</v>
      </c>
      <c r="R876" s="83">
        <v>0</v>
      </c>
      <c r="S876" s="83">
        <v>0</v>
      </c>
      <c r="T876" s="83">
        <v>0</v>
      </c>
      <c r="U876" s="82"/>
    </row>
    <row r="877" spans="1:21" ht="17.25" customHeight="1" x14ac:dyDescent="0.3">
      <c r="A877" s="66" t="s">
        <v>30</v>
      </c>
      <c r="C877" s="67"/>
      <c r="D877" s="77"/>
      <c r="E877" s="77"/>
      <c r="F877" s="76"/>
      <c r="G877" s="76"/>
      <c r="H877" s="76"/>
      <c r="I877" s="76"/>
      <c r="J877" s="76"/>
      <c r="K877" s="76"/>
      <c r="L877" s="76"/>
      <c r="M877" s="76"/>
      <c r="N877" s="76"/>
      <c r="O877" s="75"/>
      <c r="P877" s="75"/>
      <c r="Q877" s="75"/>
      <c r="R877" s="75"/>
      <c r="S877" s="75"/>
      <c r="T877" s="75"/>
      <c r="U877" s="74"/>
    </row>
    <row r="878" spans="1:21" ht="17.25" customHeight="1" x14ac:dyDescent="0.3">
      <c r="A878" s="66" t="s">
        <v>30</v>
      </c>
      <c r="C878" s="67"/>
      <c r="D878" s="77"/>
      <c r="E878" s="77" t="s">
        <v>31</v>
      </c>
      <c r="F878" s="76" t="s">
        <v>31</v>
      </c>
      <c r="G878" s="76" t="s">
        <v>31</v>
      </c>
      <c r="H878" s="76"/>
      <c r="I878" s="76"/>
      <c r="J878" s="76" t="s">
        <v>31</v>
      </c>
      <c r="K878" s="76" t="s">
        <v>31</v>
      </c>
      <c r="L878" s="76" t="s">
        <v>31</v>
      </c>
      <c r="M878" s="76" t="s">
        <v>31</v>
      </c>
      <c r="N878" s="76"/>
      <c r="U878" s="81"/>
    </row>
    <row r="879" spans="1:21" ht="17.25" customHeight="1" x14ac:dyDescent="0.3">
      <c r="A879" s="66"/>
      <c r="C879" s="67"/>
      <c r="D879" s="77"/>
      <c r="E879" s="77"/>
      <c r="F879" s="76"/>
      <c r="G879" s="76"/>
      <c r="H879" s="76"/>
      <c r="I879" s="76"/>
      <c r="J879" s="76"/>
      <c r="K879" s="76"/>
      <c r="L879" s="76"/>
      <c r="M879" s="76"/>
      <c r="N879" s="76"/>
      <c r="O879" s="75"/>
      <c r="P879" s="75"/>
      <c r="Q879" s="75"/>
      <c r="R879" s="75"/>
      <c r="S879" s="75"/>
      <c r="T879" s="75"/>
      <c r="U879" s="74"/>
    </row>
    <row r="880" spans="1:21" ht="20.25" customHeight="1" thickBot="1" x14ac:dyDescent="0.4">
      <c r="A880" s="66"/>
      <c r="C880" s="67"/>
      <c r="D880" s="77"/>
      <c r="E880" s="77"/>
      <c r="F880" s="76"/>
      <c r="G880" s="76"/>
      <c r="H880" s="76"/>
      <c r="I880" s="76"/>
      <c r="J880" s="76"/>
      <c r="K880" s="76"/>
      <c r="L880" s="76"/>
      <c r="M880" s="76"/>
      <c r="N880" s="80" t="s">
        <v>32</v>
      </c>
      <c r="O880" s="79">
        <f>SUBTOTAL(9,O13:O879)</f>
        <v>195600</v>
      </c>
      <c r="P880" s="79">
        <f>SUBTOTAL(9,P13:P879)</f>
        <v>-45633</v>
      </c>
      <c r="Q880" s="79">
        <f>SUBTOTAL(9,Q13:Q879)</f>
        <v>0</v>
      </c>
      <c r="R880" s="79">
        <f>SUBTOTAL(9,R13:R879)</f>
        <v>0</v>
      </c>
      <c r="S880" s="79">
        <f>SUBTOTAL(9,S13:S879)</f>
        <v>0</v>
      </c>
      <c r="T880" s="79">
        <f>SUBTOTAL(9,T13:T879)</f>
        <v>0</v>
      </c>
      <c r="U880" s="78">
        <f>SUM(U12:U879)</f>
        <v>149967</v>
      </c>
    </row>
    <row r="881" spans="1:21" ht="17.25" customHeight="1" x14ac:dyDescent="0.3">
      <c r="A881" s="66"/>
      <c r="C881" s="67"/>
      <c r="D881" s="77"/>
      <c r="E881" s="77"/>
      <c r="F881" s="76"/>
      <c r="G881" s="76"/>
      <c r="H881" s="76"/>
      <c r="I881" s="76"/>
      <c r="J881" s="76"/>
      <c r="K881" s="76"/>
      <c r="L881" s="76"/>
      <c r="M881" s="76"/>
      <c r="N881" s="76"/>
      <c r="O881" s="75"/>
      <c r="P881" s="75"/>
      <c r="Q881" s="75"/>
      <c r="R881" s="75"/>
      <c r="S881" s="75"/>
      <c r="T881" s="75"/>
      <c r="U881" s="74"/>
    </row>
    <row r="882" spans="1:21" ht="17.25" customHeight="1" x14ac:dyDescent="0.3">
      <c r="A882" s="66"/>
      <c r="C882" s="67"/>
      <c r="D882" s="73"/>
      <c r="E882" s="73"/>
      <c r="F882" s="72"/>
      <c r="G882" s="72"/>
      <c r="H882" s="72"/>
      <c r="I882" s="72"/>
      <c r="J882" s="72"/>
      <c r="K882" s="72"/>
      <c r="L882" s="72"/>
      <c r="M882" s="72"/>
      <c r="N882" s="71"/>
      <c r="O882" s="70"/>
      <c r="P882" s="70"/>
      <c r="Q882" s="70"/>
      <c r="R882" s="70"/>
      <c r="S882" s="70"/>
      <c r="T882" s="70"/>
      <c r="U882" s="69"/>
    </row>
    <row r="883" spans="1:21" ht="17.25" customHeight="1" x14ac:dyDescent="0.3">
      <c r="A883" s="66"/>
      <c r="C883" s="67"/>
      <c r="D883" s="68"/>
      <c r="E883" s="68"/>
      <c r="F883" s="68"/>
      <c r="G883" s="68"/>
      <c r="H883" s="68"/>
      <c r="I883" s="68"/>
      <c r="J883" s="68"/>
      <c r="K883" s="68"/>
      <c r="L883" s="68"/>
      <c r="M883" s="68"/>
      <c r="N883" s="68"/>
      <c r="O883" s="68"/>
      <c r="P883" s="68"/>
      <c r="Q883" s="68"/>
      <c r="R883" s="68"/>
      <c r="S883" s="68"/>
      <c r="T883" s="68"/>
      <c r="U883" s="68"/>
    </row>
    <row r="884" spans="1:21" ht="17.25" customHeight="1" x14ac:dyDescent="0.3">
      <c r="A884" s="66"/>
      <c r="C884" s="67"/>
      <c r="D884" s="68"/>
      <c r="E884" s="68"/>
      <c r="F884" s="68"/>
      <c r="G884" s="68"/>
      <c r="H884" s="68"/>
      <c r="I884" s="68"/>
      <c r="J884" s="68"/>
      <c r="K884" s="68"/>
      <c r="L884" s="68"/>
      <c r="M884" s="68"/>
      <c r="N884" s="68"/>
      <c r="O884" s="68"/>
      <c r="P884" s="68"/>
      <c r="Q884" s="68"/>
      <c r="R884" s="68"/>
      <c r="S884" s="68"/>
      <c r="T884" s="68"/>
      <c r="U884" s="68"/>
    </row>
    <row r="885" spans="1:21" ht="17.25" customHeight="1" x14ac:dyDescent="0.3">
      <c r="A885" s="66"/>
      <c r="C885" s="67"/>
      <c r="D885" s="68"/>
      <c r="E885" s="68"/>
      <c r="F885" s="68"/>
      <c r="G885" s="68"/>
      <c r="H885" s="68"/>
      <c r="I885" s="68"/>
      <c r="J885" s="68"/>
      <c r="K885" s="68"/>
      <c r="L885" s="68"/>
      <c r="M885" s="68"/>
      <c r="N885" s="68"/>
      <c r="O885" s="68"/>
      <c r="P885" s="68"/>
      <c r="Q885" s="68"/>
      <c r="R885" s="68"/>
      <c r="S885" s="68"/>
      <c r="T885" s="68"/>
      <c r="U885" s="68"/>
    </row>
    <row r="886" spans="1:21" ht="17.25" customHeight="1" x14ac:dyDescent="0.3">
      <c r="A886" s="66"/>
      <c r="C886" s="67"/>
      <c r="D886" s="68"/>
      <c r="E886" s="68"/>
      <c r="F886" s="68"/>
      <c r="G886" s="68"/>
      <c r="H886" s="68"/>
      <c r="I886" s="68"/>
      <c r="J886" s="68"/>
      <c r="K886" s="68"/>
      <c r="L886" s="68"/>
      <c r="M886" s="68"/>
      <c r="N886" s="68"/>
      <c r="O886" s="68"/>
      <c r="P886" s="68"/>
      <c r="Q886" s="68"/>
      <c r="R886" s="68"/>
      <c r="S886" s="68"/>
      <c r="T886" s="68"/>
      <c r="U886" s="68"/>
    </row>
    <row r="887" spans="1:21" ht="17.25" customHeight="1" x14ac:dyDescent="0.3">
      <c r="A887" s="66"/>
      <c r="C887" s="67"/>
      <c r="D887" s="68"/>
      <c r="E887" s="68"/>
      <c r="F887" s="68"/>
      <c r="G887" s="68"/>
      <c r="H887" s="68"/>
      <c r="I887" s="68"/>
      <c r="J887" s="68"/>
      <c r="K887" s="68"/>
      <c r="L887" s="68"/>
      <c r="M887" s="68"/>
      <c r="N887" s="68"/>
      <c r="O887" s="68"/>
      <c r="P887" s="68"/>
      <c r="Q887" s="68"/>
      <c r="R887" s="68"/>
      <c r="S887" s="68"/>
      <c r="T887" s="68"/>
      <c r="U887" s="68"/>
    </row>
    <row r="888" spans="1:21" ht="17.25" customHeight="1" x14ac:dyDescent="0.3">
      <c r="A888" s="66"/>
      <c r="C888" s="67"/>
      <c r="D888" s="68"/>
      <c r="E888" s="68"/>
      <c r="F888" s="68"/>
      <c r="G888" s="68"/>
      <c r="H888" s="68"/>
      <c r="I888" s="68"/>
      <c r="J888" s="68"/>
      <c r="K888" s="68"/>
      <c r="L888" s="68"/>
      <c r="M888" s="68"/>
      <c r="N888" s="68"/>
      <c r="O888" s="68"/>
      <c r="P888" s="68"/>
      <c r="Q888" s="68"/>
      <c r="R888" s="68"/>
      <c r="S888" s="68"/>
      <c r="T888" s="68"/>
      <c r="U888" s="68"/>
    </row>
    <row r="889" spans="1:21" ht="17.25" customHeight="1" x14ac:dyDescent="0.3">
      <c r="A889" s="66"/>
      <c r="C889" s="67"/>
      <c r="D889" s="68"/>
      <c r="E889" s="68"/>
      <c r="F889" s="68"/>
      <c r="G889" s="68"/>
      <c r="H889" s="68"/>
      <c r="I889" s="68"/>
      <c r="J889" s="68"/>
      <c r="K889" s="68"/>
      <c r="L889" s="68"/>
      <c r="M889" s="68"/>
      <c r="N889" s="68"/>
      <c r="O889" s="68"/>
      <c r="P889" s="68"/>
      <c r="Q889" s="68"/>
      <c r="R889" s="68"/>
      <c r="S889" s="68"/>
      <c r="T889" s="68"/>
      <c r="U889" s="68"/>
    </row>
    <row r="890" spans="1:21" ht="17.25" customHeight="1" x14ac:dyDescent="0.3">
      <c r="A890" s="66"/>
      <c r="C890" s="67"/>
      <c r="D890" s="68"/>
      <c r="E890" s="68"/>
      <c r="F890" s="68"/>
      <c r="G890" s="68"/>
      <c r="H890" s="68"/>
      <c r="I890" s="68"/>
      <c r="J890" s="68"/>
      <c r="K890" s="68"/>
      <c r="L890" s="68"/>
      <c r="M890" s="68"/>
      <c r="N890" s="68"/>
      <c r="O890" s="68"/>
      <c r="P890" s="68"/>
      <c r="Q890" s="68"/>
      <c r="R890" s="68"/>
      <c r="S890" s="68"/>
      <c r="T890" s="68"/>
      <c r="U890" s="68"/>
    </row>
    <row r="891" spans="1:21" ht="17.25" customHeight="1" x14ac:dyDescent="0.3">
      <c r="A891" s="66"/>
      <c r="C891" s="67"/>
      <c r="D891" s="67"/>
      <c r="E891" s="67"/>
      <c r="F891" s="67"/>
      <c r="G891" s="67"/>
      <c r="H891" s="67"/>
      <c r="I891" s="67"/>
      <c r="J891" s="67"/>
      <c r="K891" s="67"/>
      <c r="L891" s="67"/>
      <c r="M891" s="67"/>
      <c r="N891" s="67"/>
      <c r="O891" s="67"/>
      <c r="P891" s="67"/>
      <c r="Q891" s="67"/>
      <c r="R891" s="67"/>
      <c r="S891" s="67"/>
      <c r="T891" s="67"/>
      <c r="U891" s="67"/>
    </row>
    <row r="892" spans="1:21" ht="17.25" customHeight="1" x14ac:dyDescent="0.3">
      <c r="A892" s="66"/>
      <c r="C892" s="67"/>
      <c r="D892" s="67"/>
      <c r="E892" s="67"/>
      <c r="F892" s="67"/>
      <c r="G892" s="67"/>
      <c r="H892" s="67"/>
      <c r="I892" s="67"/>
      <c r="J892" s="67"/>
      <c r="K892" s="67"/>
      <c r="L892" s="67"/>
      <c r="M892" s="67"/>
      <c r="N892" s="67"/>
      <c r="O892" s="67"/>
      <c r="P892" s="67"/>
      <c r="Q892" s="67"/>
      <c r="R892" s="67"/>
      <c r="S892" s="67"/>
      <c r="T892" s="67"/>
      <c r="U892" s="67"/>
    </row>
    <row r="893" spans="1:21" ht="14.25" customHeight="1" x14ac:dyDescent="0.25">
      <c r="A893" s="66"/>
    </row>
    <row r="894" spans="1:21" ht="14.25" customHeight="1" x14ac:dyDescent="0.25">
      <c r="A894" s="66"/>
    </row>
    <row r="895" spans="1:21" ht="14.25" customHeight="1" x14ac:dyDescent="0.25">
      <c r="A895" s="66"/>
    </row>
    <row r="896" spans="1:21" ht="14.25" customHeight="1" x14ac:dyDescent="0.25">
      <c r="A896" s="66"/>
    </row>
    <row r="897" spans="1:1" ht="14.25" customHeight="1" x14ac:dyDescent="0.25">
      <c r="A897" s="66"/>
    </row>
    <row r="898" spans="1:1" ht="14.25" customHeight="1" x14ac:dyDescent="0.25">
      <c r="A898" s="66"/>
    </row>
    <row r="899" spans="1:1" ht="14.25" customHeight="1" x14ac:dyDescent="0.25">
      <c r="A899" s="66"/>
    </row>
    <row r="900" spans="1:1" ht="14.25" customHeight="1" x14ac:dyDescent="0.25">
      <c r="A900" s="66"/>
    </row>
    <row r="901" spans="1:1" ht="14.25" customHeight="1" x14ac:dyDescent="0.25">
      <c r="A901" s="66"/>
    </row>
  </sheetData>
  <mergeCells count="1">
    <mergeCell ref="E3:F3"/>
  </mergeCells>
  <pageMargins left="0.25" right="0.25" top="0.75" bottom="0.75" header="0.3" footer="0.3"/>
  <pageSetup scale="3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U261"/>
  <sheetViews>
    <sheetView showGridLines="0" zoomScale="75" workbookViewId="0">
      <pane ySplit="10" topLeftCell="A11" activePane="bottomLeft" state="frozen"/>
      <selection pane="bottomLeft"/>
    </sheetView>
  </sheetViews>
  <sheetFormatPr defaultRowHeight="14.25" customHeight="1" x14ac:dyDescent="0.25"/>
  <cols>
    <col min="1" max="1" width="9.140625" style="65" hidden="1" customWidth="1"/>
    <col min="2" max="3" width="2.85546875" style="65" bestFit="1" customWidth="1"/>
    <col min="4" max="4" width="11.140625" style="65" hidden="1" customWidth="1"/>
    <col min="5" max="5" width="21.140625" style="65" bestFit="1" customWidth="1"/>
    <col min="6" max="6" width="48" style="65" bestFit="1" customWidth="1"/>
    <col min="7" max="7" width="43" style="65" hidden="1" customWidth="1"/>
    <col min="8" max="8" width="14.7109375" style="65" bestFit="1" customWidth="1"/>
    <col min="9" max="9" width="17.42578125" style="65" customWidth="1"/>
    <col min="10" max="10" width="14.42578125" style="65" bestFit="1" customWidth="1"/>
    <col min="11" max="11" width="20.85546875" style="65" bestFit="1" customWidth="1"/>
    <col min="12" max="12" width="22.85546875" style="65" bestFit="1" customWidth="1"/>
    <col min="13" max="13" width="23.42578125" style="65" bestFit="1" customWidth="1"/>
    <col min="14" max="14" width="26.7109375" style="65" customWidth="1"/>
    <col min="15" max="15" width="15" style="65" bestFit="1" customWidth="1"/>
    <col min="16" max="16" width="10.85546875" style="65" bestFit="1" customWidth="1"/>
    <col min="17" max="17" width="24.7109375" style="65" bestFit="1" customWidth="1"/>
    <col min="18" max="18" width="14.28515625" style="65" bestFit="1" customWidth="1"/>
    <col min="19" max="19" width="19.85546875" style="65" bestFit="1" customWidth="1"/>
    <col min="20" max="20" width="8.7109375" style="65" bestFit="1" customWidth="1"/>
    <col min="21" max="21" width="26" style="65" bestFit="1" customWidth="1"/>
    <col min="22" max="16384" width="9.140625" style="65"/>
  </cols>
  <sheetData>
    <row r="1" spans="1:21" ht="14.25" hidden="1" customHeight="1" x14ac:dyDescent="0.25">
      <c r="A1" s="66" t="s">
        <v>38154</v>
      </c>
      <c r="B1" s="66" t="s">
        <v>9</v>
      </c>
      <c r="C1" s="66" t="s">
        <v>9</v>
      </c>
      <c r="D1" s="66" t="s">
        <v>10</v>
      </c>
      <c r="E1" s="66" t="s">
        <v>9</v>
      </c>
      <c r="F1" s="66" t="s">
        <v>9</v>
      </c>
      <c r="G1" s="66" t="s">
        <v>10</v>
      </c>
      <c r="H1" s="66" t="s">
        <v>9</v>
      </c>
      <c r="I1" s="66"/>
      <c r="J1" s="66" t="s">
        <v>9</v>
      </c>
      <c r="K1" s="66" t="s">
        <v>9</v>
      </c>
      <c r="L1" s="66" t="s">
        <v>9</v>
      </c>
      <c r="M1" s="66" t="s">
        <v>9</v>
      </c>
      <c r="N1" s="66"/>
      <c r="O1" s="66" t="s">
        <v>9</v>
      </c>
      <c r="P1" s="66" t="s">
        <v>9</v>
      </c>
      <c r="Q1" s="66" t="s">
        <v>9</v>
      </c>
      <c r="R1" s="66" t="s">
        <v>9</v>
      </c>
      <c r="S1" s="66" t="s">
        <v>9</v>
      </c>
      <c r="T1" s="66" t="s">
        <v>9</v>
      </c>
      <c r="U1" s="66" t="s">
        <v>9</v>
      </c>
    </row>
    <row r="2" spans="1:21" ht="14.25" customHeight="1" x14ac:dyDescent="0.25">
      <c r="A2" s="66"/>
    </row>
    <row r="3" spans="1:21" ht="30.75" customHeight="1" x14ac:dyDescent="0.55000000000000004">
      <c r="A3" s="66"/>
      <c r="D3" s="111"/>
      <c r="E3" s="114" t="s">
        <v>11</v>
      </c>
      <c r="F3" s="114"/>
      <c r="G3" s="112"/>
      <c r="H3" s="112"/>
      <c r="I3" s="112"/>
      <c r="J3" s="112"/>
      <c r="K3" s="112"/>
      <c r="L3" s="112"/>
      <c r="O3" s="111"/>
    </row>
    <row r="4" spans="1:21" ht="24.95" customHeight="1" x14ac:dyDescent="0.3">
      <c r="A4" s="66"/>
      <c r="K4" s="110" t="s">
        <v>2856</v>
      </c>
      <c r="L4" s="109">
        <v>43395.629178240742</v>
      </c>
    </row>
    <row r="5" spans="1:21" ht="24.95" customHeight="1" x14ac:dyDescent="0.45">
      <c r="A5" s="66"/>
      <c r="E5" s="105" t="s">
        <v>8</v>
      </c>
      <c r="F5" s="108"/>
      <c r="K5" s="107" t="s">
        <v>5</v>
      </c>
      <c r="L5" s="106" t="str">
        <f>Options!C4</f>
        <v>1/1/2019..1/12/2019</v>
      </c>
    </row>
    <row r="6" spans="1:21" ht="24.95" customHeight="1" x14ac:dyDescent="0.45">
      <c r="A6" s="66"/>
      <c r="E6" s="105" t="str">
        <f>"LON-WHSE1"</f>
        <v>LON-WHSE1</v>
      </c>
      <c r="K6" s="107" t="s">
        <v>6</v>
      </c>
      <c r="L6" s="106" t="str">
        <f>Options!C5</f>
        <v>*</v>
      </c>
    </row>
    <row r="7" spans="1:21" ht="21" customHeight="1" x14ac:dyDescent="0.3">
      <c r="A7" s="66"/>
      <c r="C7" s="67"/>
      <c r="D7" s="67"/>
      <c r="E7" s="67"/>
      <c r="F7" s="67"/>
      <c r="G7" s="67"/>
      <c r="H7" s="68"/>
      <c r="I7" s="68"/>
      <c r="J7" s="67"/>
      <c r="K7" s="107" t="s">
        <v>12</v>
      </c>
      <c r="L7" s="106" t="str">
        <f>Options!C6</f>
        <v>*</v>
      </c>
      <c r="M7" s="67"/>
      <c r="P7" s="68"/>
      <c r="Q7" s="67"/>
      <c r="R7" s="67"/>
      <c r="S7" s="67"/>
      <c r="T7" s="67"/>
      <c r="U7" s="67"/>
    </row>
    <row r="8" spans="1:21" ht="26.25" customHeight="1" x14ac:dyDescent="0.45">
      <c r="A8" s="66"/>
      <c r="C8" s="67"/>
      <c r="D8" s="68"/>
      <c r="E8" s="105"/>
      <c r="F8" s="68"/>
      <c r="G8" s="68"/>
      <c r="H8" s="68"/>
      <c r="I8" s="68"/>
      <c r="J8" s="68"/>
      <c r="K8" s="68"/>
      <c r="L8" s="68"/>
      <c r="M8" s="104"/>
      <c r="N8" s="68"/>
      <c r="O8" s="68"/>
      <c r="P8" s="68"/>
      <c r="Q8" s="68"/>
      <c r="R8" s="68"/>
      <c r="S8" s="68"/>
      <c r="T8" s="68"/>
      <c r="U8" s="68"/>
    </row>
    <row r="9" spans="1:21" ht="20.100000000000001" customHeight="1" x14ac:dyDescent="0.35">
      <c r="A9" s="66"/>
      <c r="C9" s="67"/>
      <c r="D9" s="99"/>
      <c r="E9" s="98" t="s">
        <v>6</v>
      </c>
      <c r="F9" s="97" t="s">
        <v>15</v>
      </c>
      <c r="G9" s="97"/>
      <c r="H9" s="103" t="s">
        <v>16</v>
      </c>
      <c r="I9" s="97"/>
      <c r="J9" s="97"/>
      <c r="K9" s="97"/>
      <c r="L9" s="97"/>
      <c r="M9" s="97"/>
      <c r="N9" s="97"/>
      <c r="O9" s="103"/>
      <c r="P9" s="102"/>
      <c r="Q9" s="101"/>
      <c r="R9" s="101"/>
      <c r="S9" s="101"/>
      <c r="T9" s="101"/>
      <c r="U9" s="100"/>
    </row>
    <row r="10" spans="1:21" ht="20.100000000000001" customHeight="1" x14ac:dyDescent="0.35">
      <c r="A10" s="66"/>
      <c r="C10" s="67"/>
      <c r="D10" s="99"/>
      <c r="E10" s="98"/>
      <c r="F10" s="97"/>
      <c r="G10" s="97"/>
      <c r="H10" s="96" t="s">
        <v>17</v>
      </c>
      <c r="I10" s="96" t="s">
        <v>18</v>
      </c>
      <c r="J10" s="96" t="s">
        <v>19</v>
      </c>
      <c r="K10" s="96" t="s">
        <v>20</v>
      </c>
      <c r="L10" s="96" t="s">
        <v>21</v>
      </c>
      <c r="M10" s="96" t="s">
        <v>22</v>
      </c>
      <c r="N10" s="96" t="s">
        <v>14</v>
      </c>
      <c r="O10" s="95" t="s">
        <v>23</v>
      </c>
      <c r="P10" s="95" t="s">
        <v>24</v>
      </c>
      <c r="Q10" s="95" t="s">
        <v>25</v>
      </c>
      <c r="R10" s="95" t="s">
        <v>26</v>
      </c>
      <c r="S10" s="95" t="s">
        <v>27</v>
      </c>
      <c r="T10" s="95" t="s">
        <v>28</v>
      </c>
      <c r="U10" s="94" t="s">
        <v>29</v>
      </c>
    </row>
    <row r="11" spans="1:21" ht="17.25" customHeight="1" x14ac:dyDescent="0.3">
      <c r="A11" s="66"/>
      <c r="C11" s="67"/>
      <c r="D11" s="77"/>
      <c r="E11" s="77"/>
      <c r="F11" s="76"/>
      <c r="G11" s="76"/>
      <c r="H11" s="76"/>
      <c r="I11" s="76"/>
      <c r="J11" s="76"/>
      <c r="K11" s="76"/>
      <c r="L11" s="76"/>
      <c r="M11" s="76"/>
      <c r="N11" s="76"/>
      <c r="O11" s="76"/>
      <c r="P11" s="76"/>
      <c r="Q11" s="76"/>
      <c r="R11" s="76"/>
      <c r="S11" s="76"/>
      <c r="T11" s="76"/>
      <c r="U11" s="93"/>
    </row>
    <row r="12" spans="1:21" ht="20.25" customHeight="1" x14ac:dyDescent="0.35">
      <c r="A12" s="66"/>
      <c r="C12" s="67"/>
      <c r="D12" s="92" t="str">
        <f>E12</f>
        <v>C100003</v>
      </c>
      <c r="E12" s="91" t="str">
        <f>"C100003"</f>
        <v>C100003</v>
      </c>
      <c r="F12" s="89" t="str">
        <f>"Cherry Finish Frame"</f>
        <v>Cherry Finish Frame</v>
      </c>
      <c r="G12" s="89"/>
      <c r="H12" s="90" t="str">
        <f>"EA"</f>
        <v>EA</v>
      </c>
      <c r="I12" s="89"/>
      <c r="J12" s="89"/>
      <c r="K12" s="89"/>
      <c r="L12" s="89"/>
      <c r="M12" s="89"/>
      <c r="N12" s="89"/>
      <c r="O12" s="88">
        <f>(SUBTOTAL(9,O13:O15))</f>
        <v>300</v>
      </c>
      <c r="P12" s="88">
        <f>(SUBTOTAL(9,P13:P15))</f>
        <v>-144</v>
      </c>
      <c r="Q12" s="88">
        <f>(SUBTOTAL(9,Q13:Q15))</f>
        <v>0</v>
      </c>
      <c r="R12" s="88">
        <f>(SUBTOTAL(9,R13:R15))</f>
        <v>0</v>
      </c>
      <c r="S12" s="88">
        <f>(SUBTOTAL(9,S13:S15))</f>
        <v>0</v>
      </c>
      <c r="T12" s="88">
        <f>(SUBTOTAL(9,T13:T15))</f>
        <v>0</v>
      </c>
      <c r="U12" s="87">
        <f>SUBTOTAL(9,O13:T15)</f>
        <v>156</v>
      </c>
    </row>
    <row r="13" spans="1:21" ht="17.25" customHeight="1" x14ac:dyDescent="0.3">
      <c r="A13" s="66"/>
      <c r="C13" s="67"/>
      <c r="D13" s="77" t="str">
        <f>D12</f>
        <v>C100003</v>
      </c>
      <c r="E13" s="77"/>
      <c r="F13" s="76"/>
      <c r="G13" s="76" t="str">
        <f>"""NAV Direct"",""CRONUS JetCorp USA"",""32"",""1"",""166401"""</f>
        <v>"NAV Direct","CRONUS JetCorp USA","32","1","166401"</v>
      </c>
      <c r="H13" s="86">
        <v>43466</v>
      </c>
      <c r="I13" s="85">
        <v>166401</v>
      </c>
      <c r="J13" s="84" t="str">
        <f>"Vendor"</f>
        <v>Vendor</v>
      </c>
      <c r="K13" s="84" t="str">
        <f>"V100047"</f>
        <v>V100047</v>
      </c>
      <c r="L13" s="84" t="str">
        <f>IF($J13="Customer",_xll.NL("first",$J13,"Name","No.","@@"&amp;$K13),"")</f>
        <v/>
      </c>
      <c r="M13" s="84" t="str">
        <f>"WoodMart Supply Co."</f>
        <v>WoodMart Supply Co.</v>
      </c>
      <c r="N13" s="84" t="str">
        <f>IF($J13="Item",_xll.NL("first",$J13,"Description","No.","@@"&amp;$K13),"")</f>
        <v/>
      </c>
      <c r="O13" s="83">
        <v>300</v>
      </c>
      <c r="P13" s="83">
        <v>0</v>
      </c>
      <c r="Q13" s="83">
        <v>0</v>
      </c>
      <c r="R13" s="83">
        <v>0</v>
      </c>
      <c r="S13" s="83">
        <v>0</v>
      </c>
      <c r="T13" s="83">
        <v>0</v>
      </c>
      <c r="U13" s="82"/>
    </row>
    <row r="14" spans="1:21" ht="17.25" customHeight="1" x14ac:dyDescent="0.3">
      <c r="A14" s="66" t="s">
        <v>30</v>
      </c>
      <c r="C14" s="67"/>
      <c r="D14" s="77" t="str">
        <f>D13</f>
        <v>C100003</v>
      </c>
      <c r="E14" s="77"/>
      <c r="F14" s="76"/>
      <c r="G14" s="76" t="str">
        <f>"""NAV Direct"",""CRONUS JetCorp USA"",""32"",""1"",""36489"""</f>
        <v>"NAV Direct","CRONUS JetCorp USA","32","1","36489"</v>
      </c>
      <c r="H14" s="86">
        <v>43474</v>
      </c>
      <c r="I14" s="85">
        <v>36489</v>
      </c>
      <c r="J14" s="84" t="str">
        <f>"Customer"</f>
        <v>Customer</v>
      </c>
      <c r="K14" s="84" t="str">
        <f>"C100092"</f>
        <v>C100092</v>
      </c>
      <c r="L14" s="84" t="str">
        <f>IF($J14="Customer",_xll.NL("first",$J14,"Name","No.","@@"&amp;$K14),"")</f>
        <v>Zuni Home Crafts Ltd.</v>
      </c>
      <c r="M14" s="84" t="str">
        <f>""</f>
        <v/>
      </c>
      <c r="N14" s="84" t="str">
        <f>IF($J14="Item",_xll.NL("first",$J14,"Description","No.","@@"&amp;$K14),"")</f>
        <v/>
      </c>
      <c r="O14" s="83">
        <v>0</v>
      </c>
      <c r="P14" s="83">
        <v>-144</v>
      </c>
      <c r="Q14" s="83">
        <v>0</v>
      </c>
      <c r="R14" s="83">
        <v>0</v>
      </c>
      <c r="S14" s="83">
        <v>0</v>
      </c>
      <c r="T14" s="83">
        <v>0</v>
      </c>
      <c r="U14" s="82"/>
    </row>
    <row r="15" spans="1:21" ht="17.25" customHeight="1" x14ac:dyDescent="0.3">
      <c r="A15" s="66"/>
      <c r="C15" s="67"/>
      <c r="D15" s="77"/>
      <c r="E15" s="77"/>
      <c r="F15" s="76"/>
      <c r="G15" s="76"/>
      <c r="H15" s="76"/>
      <c r="I15" s="76"/>
      <c r="J15" s="76"/>
      <c r="K15" s="76"/>
      <c r="L15" s="76"/>
      <c r="M15" s="76"/>
      <c r="N15" s="76"/>
      <c r="O15" s="75"/>
      <c r="P15" s="75"/>
      <c r="Q15" s="75"/>
      <c r="R15" s="75"/>
      <c r="S15" s="75"/>
      <c r="T15" s="75"/>
      <c r="U15" s="74"/>
    </row>
    <row r="16" spans="1:21" ht="17.25" customHeight="1" x14ac:dyDescent="0.3">
      <c r="A16" s="66"/>
      <c r="C16" s="67"/>
      <c r="D16" s="77"/>
      <c r="E16" s="77" t="s">
        <v>31</v>
      </c>
      <c r="F16" s="76" t="s">
        <v>31</v>
      </c>
      <c r="G16" s="76" t="s">
        <v>31</v>
      </c>
      <c r="H16" s="76"/>
      <c r="I16" s="76"/>
      <c r="J16" s="76" t="s">
        <v>31</v>
      </c>
      <c r="K16" s="76" t="s">
        <v>31</v>
      </c>
      <c r="L16" s="76" t="s">
        <v>31</v>
      </c>
      <c r="M16" s="76" t="s">
        <v>31</v>
      </c>
      <c r="N16" s="76"/>
      <c r="U16" s="81"/>
    </row>
    <row r="17" spans="1:21" ht="20.25" customHeight="1" x14ac:dyDescent="0.35">
      <c r="A17" s="66" t="s">
        <v>30</v>
      </c>
      <c r="C17" s="67"/>
      <c r="D17" s="92" t="str">
        <f t="shared" ref="D17" si="0">E17</f>
        <v>C100004</v>
      </c>
      <c r="E17" s="91" t="str">
        <f>"C100004"</f>
        <v>C100004</v>
      </c>
      <c r="F17" s="89" t="str">
        <f>"Walnut Medallian Plate"</f>
        <v>Walnut Medallian Plate</v>
      </c>
      <c r="G17" s="89"/>
      <c r="H17" s="90" t="str">
        <f>"EA"</f>
        <v>EA</v>
      </c>
      <c r="I17" s="89"/>
      <c r="J17" s="89"/>
      <c r="K17" s="89"/>
      <c r="L17" s="89"/>
      <c r="M17" s="89"/>
      <c r="N17" s="89"/>
      <c r="O17" s="88">
        <f>(SUBTOTAL(9,O18:O19))</f>
        <v>100</v>
      </c>
      <c r="P17" s="88">
        <f>(SUBTOTAL(9,P18:P19))</f>
        <v>0</v>
      </c>
      <c r="Q17" s="88">
        <f>(SUBTOTAL(9,Q18:Q19))</f>
        <v>0</v>
      </c>
      <c r="R17" s="88">
        <f>(SUBTOTAL(9,R18:R19))</f>
        <v>0</v>
      </c>
      <c r="S17" s="88">
        <f>(SUBTOTAL(9,S18:S19))</f>
        <v>0</v>
      </c>
      <c r="T17" s="88">
        <f>(SUBTOTAL(9,T18:T19))</f>
        <v>0</v>
      </c>
      <c r="U17" s="87">
        <f t="shared" ref="U17" si="1">SUBTOTAL(9,O18:T19)</f>
        <v>100</v>
      </c>
    </row>
    <row r="18" spans="1:21" ht="17.25" customHeight="1" x14ac:dyDescent="0.3">
      <c r="A18" s="66" t="s">
        <v>30</v>
      </c>
      <c r="C18" s="67"/>
      <c r="D18" s="77" t="str">
        <f t="shared" ref="D18" si="2">D17</f>
        <v>C100004</v>
      </c>
      <c r="E18" s="77"/>
      <c r="F18" s="76"/>
      <c r="G18" s="76" t="str">
        <f>"""NAV Direct"",""CRONUS JetCorp USA"",""32"",""1"",""166400"""</f>
        <v>"NAV Direct","CRONUS JetCorp USA","32","1","166400"</v>
      </c>
      <c r="H18" s="86">
        <v>43466</v>
      </c>
      <c r="I18" s="85">
        <v>166400</v>
      </c>
      <c r="J18" s="84" t="str">
        <f>"Vendor"</f>
        <v>Vendor</v>
      </c>
      <c r="K18" s="84" t="str">
        <f>"V100047"</f>
        <v>V100047</v>
      </c>
      <c r="L18" s="84" t="str">
        <f>IF($J18="Customer",_xll.NL("first",$J18,"Name","No.","@@"&amp;$K18),"")</f>
        <v/>
      </c>
      <c r="M18" s="84" t="str">
        <f>"WoodMart Supply Co."</f>
        <v>WoodMart Supply Co.</v>
      </c>
      <c r="N18" s="84" t="str">
        <f>IF($J18="Item",_xll.NL("first",$J18,"Description","No.","@@"&amp;$K18),"")</f>
        <v/>
      </c>
      <c r="O18" s="83">
        <v>100</v>
      </c>
      <c r="P18" s="83">
        <v>0</v>
      </c>
      <c r="Q18" s="83">
        <v>0</v>
      </c>
      <c r="R18" s="83">
        <v>0</v>
      </c>
      <c r="S18" s="83">
        <v>0</v>
      </c>
      <c r="T18" s="83">
        <v>0</v>
      </c>
      <c r="U18" s="82"/>
    </row>
    <row r="19" spans="1:21" ht="17.25" customHeight="1" x14ac:dyDescent="0.3">
      <c r="A19" s="66" t="s">
        <v>30</v>
      </c>
      <c r="C19" s="67"/>
      <c r="D19" s="77"/>
      <c r="E19" s="77"/>
      <c r="F19" s="76"/>
      <c r="G19" s="76"/>
      <c r="H19" s="76"/>
      <c r="I19" s="76"/>
      <c r="J19" s="76"/>
      <c r="K19" s="76"/>
      <c r="L19" s="76"/>
      <c r="M19" s="76"/>
      <c r="N19" s="76"/>
      <c r="O19" s="75"/>
      <c r="P19" s="75"/>
      <c r="Q19" s="75"/>
      <c r="R19" s="75"/>
      <c r="S19" s="75"/>
      <c r="T19" s="75"/>
      <c r="U19" s="74"/>
    </row>
    <row r="20" spans="1:21" ht="17.25" customHeight="1" x14ac:dyDescent="0.3">
      <c r="A20" s="66" t="s">
        <v>30</v>
      </c>
      <c r="C20" s="67"/>
      <c r="D20" s="77"/>
      <c r="E20" s="77" t="s">
        <v>31</v>
      </c>
      <c r="F20" s="76" t="s">
        <v>31</v>
      </c>
      <c r="G20" s="76" t="s">
        <v>31</v>
      </c>
      <c r="H20" s="76"/>
      <c r="I20" s="76"/>
      <c r="J20" s="76" t="s">
        <v>31</v>
      </c>
      <c r="K20" s="76" t="s">
        <v>31</v>
      </c>
      <c r="L20" s="76" t="s">
        <v>31</v>
      </c>
      <c r="M20" s="76" t="s">
        <v>31</v>
      </c>
      <c r="N20" s="76"/>
      <c r="U20" s="81"/>
    </row>
    <row r="21" spans="1:21" ht="20.25" customHeight="1" x14ac:dyDescent="0.35">
      <c r="A21" s="66" t="s">
        <v>30</v>
      </c>
      <c r="C21" s="67"/>
      <c r="D21" s="92" t="str">
        <f t="shared" ref="D21" si="3">E21</f>
        <v>C100005</v>
      </c>
      <c r="E21" s="91" t="str">
        <f>"C100005"</f>
        <v>C100005</v>
      </c>
      <c r="F21" s="89" t="str">
        <f>"Cherry Finished Crystal Award"</f>
        <v>Cherry Finished Crystal Award</v>
      </c>
      <c r="G21" s="89"/>
      <c r="H21" s="90" t="str">
        <f>"EA"</f>
        <v>EA</v>
      </c>
      <c r="I21" s="89"/>
      <c r="J21" s="89"/>
      <c r="K21" s="89"/>
      <c r="L21" s="89"/>
      <c r="M21" s="89"/>
      <c r="N21" s="89"/>
      <c r="O21" s="88">
        <f>(SUBTOTAL(9,O22:O23))</f>
        <v>100</v>
      </c>
      <c r="P21" s="88">
        <f>(SUBTOTAL(9,P22:P23))</f>
        <v>0</v>
      </c>
      <c r="Q21" s="88">
        <f>(SUBTOTAL(9,Q22:Q23))</f>
        <v>0</v>
      </c>
      <c r="R21" s="88">
        <f>(SUBTOTAL(9,R22:R23))</f>
        <v>0</v>
      </c>
      <c r="S21" s="88">
        <f>(SUBTOTAL(9,S22:S23))</f>
        <v>0</v>
      </c>
      <c r="T21" s="88">
        <f>(SUBTOTAL(9,T22:T23))</f>
        <v>0</v>
      </c>
      <c r="U21" s="87">
        <f t="shared" ref="U21" si="4">SUBTOTAL(9,O22:T23)</f>
        <v>100</v>
      </c>
    </row>
    <row r="22" spans="1:21" ht="17.25" customHeight="1" x14ac:dyDescent="0.3">
      <c r="A22" s="66" t="s">
        <v>30</v>
      </c>
      <c r="C22" s="67"/>
      <c r="D22" s="77" t="str">
        <f t="shared" ref="D22" si="5">D21</f>
        <v>C100005</v>
      </c>
      <c r="E22" s="77"/>
      <c r="F22" s="76"/>
      <c r="G22" s="76" t="str">
        <f>"""NAV Direct"",""CRONUS JetCorp USA"",""32"",""1"",""166399"""</f>
        <v>"NAV Direct","CRONUS JetCorp USA","32","1","166399"</v>
      </c>
      <c r="H22" s="86">
        <v>43466</v>
      </c>
      <c r="I22" s="85">
        <v>166399</v>
      </c>
      <c r="J22" s="84" t="str">
        <f>"Vendor"</f>
        <v>Vendor</v>
      </c>
      <c r="K22" s="84" t="str">
        <f>"V100047"</f>
        <v>V100047</v>
      </c>
      <c r="L22" s="84" t="str">
        <f>IF($J22="Customer",_xll.NL("first",$J22,"Name","No.","@@"&amp;$K22),"")</f>
        <v/>
      </c>
      <c r="M22" s="84" t="str">
        <f>"WoodMart Supply Co."</f>
        <v>WoodMart Supply Co.</v>
      </c>
      <c r="N22" s="84" t="str">
        <f>IF($J22="Item",_xll.NL("first",$J22,"Description","No.","@@"&amp;$K22),"")</f>
        <v/>
      </c>
      <c r="O22" s="83">
        <v>100</v>
      </c>
      <c r="P22" s="83">
        <v>0</v>
      </c>
      <c r="Q22" s="83">
        <v>0</v>
      </c>
      <c r="R22" s="83">
        <v>0</v>
      </c>
      <c r="S22" s="83">
        <v>0</v>
      </c>
      <c r="T22" s="83">
        <v>0</v>
      </c>
      <c r="U22" s="82"/>
    </row>
    <row r="23" spans="1:21" ht="17.25" customHeight="1" x14ac:dyDescent="0.3">
      <c r="A23" s="66" t="s">
        <v>30</v>
      </c>
      <c r="C23" s="67"/>
      <c r="D23" s="77"/>
      <c r="E23" s="77"/>
      <c r="F23" s="76"/>
      <c r="G23" s="76"/>
      <c r="H23" s="76"/>
      <c r="I23" s="76"/>
      <c r="J23" s="76"/>
      <c r="K23" s="76"/>
      <c r="L23" s="76"/>
      <c r="M23" s="76"/>
      <c r="N23" s="76"/>
      <c r="O23" s="75"/>
      <c r="P23" s="75"/>
      <c r="Q23" s="75"/>
      <c r="R23" s="75"/>
      <c r="S23" s="75"/>
      <c r="T23" s="75"/>
      <c r="U23" s="74"/>
    </row>
    <row r="24" spans="1:21" ht="17.25" customHeight="1" x14ac:dyDescent="0.3">
      <c r="A24" s="66" t="s">
        <v>30</v>
      </c>
      <c r="C24" s="67"/>
      <c r="D24" s="77"/>
      <c r="E24" s="77" t="s">
        <v>31</v>
      </c>
      <c r="F24" s="76" t="s">
        <v>31</v>
      </c>
      <c r="G24" s="76" t="s">
        <v>31</v>
      </c>
      <c r="H24" s="76"/>
      <c r="I24" s="76"/>
      <c r="J24" s="76" t="s">
        <v>31</v>
      </c>
      <c r="K24" s="76" t="s">
        <v>31</v>
      </c>
      <c r="L24" s="76" t="s">
        <v>31</v>
      </c>
      <c r="M24" s="76" t="s">
        <v>31</v>
      </c>
      <c r="N24" s="76"/>
      <c r="U24" s="81"/>
    </row>
    <row r="25" spans="1:21" ht="20.25" customHeight="1" x14ac:dyDescent="0.35">
      <c r="A25" s="66" t="s">
        <v>30</v>
      </c>
      <c r="C25" s="67"/>
      <c r="D25" s="92" t="str">
        <f t="shared" ref="D25" si="6">E25</f>
        <v>C100006</v>
      </c>
      <c r="E25" s="91" t="str">
        <f>"C100006"</f>
        <v>C100006</v>
      </c>
      <c r="F25" s="89" t="str">
        <f>"Cherry Finished Crystal Award- Large"</f>
        <v>Cherry Finished Crystal Award- Large</v>
      </c>
      <c r="G25" s="89"/>
      <c r="H25" s="90" t="str">
        <f>"EA"</f>
        <v>EA</v>
      </c>
      <c r="I25" s="89"/>
      <c r="J25" s="89"/>
      <c r="K25" s="89"/>
      <c r="L25" s="89"/>
      <c r="M25" s="89"/>
      <c r="N25" s="89"/>
      <c r="O25" s="88">
        <f>(SUBTOTAL(9,O26:O28))</f>
        <v>100</v>
      </c>
      <c r="P25" s="88">
        <f>(SUBTOTAL(9,P26:P28))</f>
        <v>-24</v>
      </c>
      <c r="Q25" s="88">
        <f>(SUBTOTAL(9,Q26:Q28))</f>
        <v>0</v>
      </c>
      <c r="R25" s="88">
        <f>(SUBTOTAL(9,R26:R28))</f>
        <v>0</v>
      </c>
      <c r="S25" s="88">
        <f>(SUBTOTAL(9,S26:S28))</f>
        <v>0</v>
      </c>
      <c r="T25" s="88">
        <f>(SUBTOTAL(9,T26:T28))</f>
        <v>0</v>
      </c>
      <c r="U25" s="87">
        <f t="shared" ref="U25" si="7">SUBTOTAL(9,O26:T28)</f>
        <v>76</v>
      </c>
    </row>
    <row r="26" spans="1:21" ht="17.25" customHeight="1" x14ac:dyDescent="0.3">
      <c r="A26" s="66" t="s">
        <v>30</v>
      </c>
      <c r="C26" s="67"/>
      <c r="D26" s="77" t="str">
        <f t="shared" ref="D26" si="8">D25</f>
        <v>C100006</v>
      </c>
      <c r="E26" s="77"/>
      <c r="F26" s="76"/>
      <c r="G26" s="76" t="str">
        <f>"""NAV Direct"",""CRONUS JetCorp USA"",""32"",""1"",""166398"""</f>
        <v>"NAV Direct","CRONUS JetCorp USA","32","1","166398"</v>
      </c>
      <c r="H26" s="86">
        <v>43466</v>
      </c>
      <c r="I26" s="85">
        <v>166398</v>
      </c>
      <c r="J26" s="84" t="str">
        <f>"Vendor"</f>
        <v>Vendor</v>
      </c>
      <c r="K26" s="84" t="str">
        <f>"V100047"</f>
        <v>V100047</v>
      </c>
      <c r="L26" s="84" t="str">
        <f>IF($J26="Customer",_xll.NL("first",$J26,"Name","No.","@@"&amp;$K26),"")</f>
        <v/>
      </c>
      <c r="M26" s="84" t="str">
        <f>"WoodMart Supply Co."</f>
        <v>WoodMart Supply Co.</v>
      </c>
      <c r="N26" s="84" t="str">
        <f>IF($J26="Item",_xll.NL("first",$J26,"Description","No.","@@"&amp;$K26),"")</f>
        <v/>
      </c>
      <c r="O26" s="83">
        <v>100</v>
      </c>
      <c r="P26" s="83">
        <v>0</v>
      </c>
      <c r="Q26" s="83">
        <v>0</v>
      </c>
      <c r="R26" s="83">
        <v>0</v>
      </c>
      <c r="S26" s="83">
        <v>0</v>
      </c>
      <c r="T26" s="83">
        <v>0</v>
      </c>
      <c r="U26" s="82"/>
    </row>
    <row r="27" spans="1:21" ht="17.25" customHeight="1" x14ac:dyDescent="0.3">
      <c r="A27" s="66" t="s">
        <v>30</v>
      </c>
      <c r="C27" s="67"/>
      <c r="D27" s="77" t="str">
        <f t="shared" ref="D27" si="9">D26</f>
        <v>C100006</v>
      </c>
      <c r="E27" s="77"/>
      <c r="F27" s="76"/>
      <c r="G27" s="76" t="str">
        <f>"""NAV Direct"",""CRONUS JetCorp USA"",""32"",""1"",""34327"""</f>
        <v>"NAV Direct","CRONUS JetCorp USA","32","1","34327"</v>
      </c>
      <c r="H27" s="86">
        <v>43475</v>
      </c>
      <c r="I27" s="85">
        <v>34327</v>
      </c>
      <c r="J27" s="84" t="str">
        <f>"Customer"</f>
        <v>Customer</v>
      </c>
      <c r="K27" s="84" t="str">
        <f>"C100008"</f>
        <v>C100008</v>
      </c>
      <c r="L27" s="84" t="str">
        <f>IF($J27="Customer",_xll.NL("first",$J27,"Name","No.","@@"&amp;$K27),"")</f>
        <v>Blanemark Hifi Shop</v>
      </c>
      <c r="M27" s="84" t="str">
        <f>""</f>
        <v/>
      </c>
      <c r="N27" s="84" t="str">
        <f>IF($J27="Item",_xll.NL("first",$J27,"Description","No.","@@"&amp;$K27),"")</f>
        <v/>
      </c>
      <c r="O27" s="83">
        <v>0</v>
      </c>
      <c r="P27" s="83">
        <v>-24</v>
      </c>
      <c r="Q27" s="83">
        <v>0</v>
      </c>
      <c r="R27" s="83">
        <v>0</v>
      </c>
      <c r="S27" s="83">
        <v>0</v>
      </c>
      <c r="T27" s="83">
        <v>0</v>
      </c>
      <c r="U27" s="82"/>
    </row>
    <row r="28" spans="1:21" ht="17.25" customHeight="1" x14ac:dyDescent="0.3">
      <c r="A28" s="66" t="s">
        <v>30</v>
      </c>
      <c r="C28" s="67"/>
      <c r="D28" s="77"/>
      <c r="E28" s="77"/>
      <c r="F28" s="76"/>
      <c r="G28" s="76"/>
      <c r="H28" s="76"/>
      <c r="I28" s="76"/>
      <c r="J28" s="76"/>
      <c r="K28" s="76"/>
      <c r="L28" s="76"/>
      <c r="M28" s="76"/>
      <c r="N28" s="76"/>
      <c r="O28" s="75"/>
      <c r="P28" s="75"/>
      <c r="Q28" s="75"/>
      <c r="R28" s="75"/>
      <c r="S28" s="75"/>
      <c r="T28" s="75"/>
      <c r="U28" s="74"/>
    </row>
    <row r="29" spans="1:21" ht="17.25" customHeight="1" x14ac:dyDescent="0.3">
      <c r="A29" s="66" t="s">
        <v>30</v>
      </c>
      <c r="C29" s="67"/>
      <c r="D29" s="77"/>
      <c r="E29" s="77" t="s">
        <v>31</v>
      </c>
      <c r="F29" s="76" t="s">
        <v>31</v>
      </c>
      <c r="G29" s="76" t="s">
        <v>31</v>
      </c>
      <c r="H29" s="76"/>
      <c r="I29" s="76"/>
      <c r="J29" s="76" t="s">
        <v>31</v>
      </c>
      <c r="K29" s="76" t="s">
        <v>31</v>
      </c>
      <c r="L29" s="76" t="s">
        <v>31</v>
      </c>
      <c r="M29" s="76" t="s">
        <v>31</v>
      </c>
      <c r="N29" s="76"/>
      <c r="U29" s="81"/>
    </row>
    <row r="30" spans="1:21" ht="20.25" customHeight="1" x14ac:dyDescent="0.35">
      <c r="A30" s="66" t="s">
        <v>30</v>
      </c>
      <c r="C30" s="67"/>
      <c r="D30" s="92" t="str">
        <f t="shared" ref="D30" si="10">E30</f>
        <v>C100014</v>
      </c>
      <c r="E30" s="91" t="str">
        <f>"C100014"</f>
        <v>C100014</v>
      </c>
      <c r="F30" s="89" t="str">
        <f>"Canvas Field Bag"</f>
        <v>Canvas Field Bag</v>
      </c>
      <c r="G30" s="89"/>
      <c r="H30" s="90" t="str">
        <f>"EA"</f>
        <v>EA</v>
      </c>
      <c r="I30" s="89"/>
      <c r="J30" s="89"/>
      <c r="K30" s="89"/>
      <c r="L30" s="89"/>
      <c r="M30" s="89"/>
      <c r="N30" s="89"/>
      <c r="O30" s="88">
        <f>(SUBTOTAL(9,O31:O33))</f>
        <v>200</v>
      </c>
      <c r="P30" s="88">
        <f>(SUBTOTAL(9,P31:P33))</f>
        <v>-144</v>
      </c>
      <c r="Q30" s="88">
        <f>(SUBTOTAL(9,Q31:Q33))</f>
        <v>0</v>
      </c>
      <c r="R30" s="88">
        <f>(SUBTOTAL(9,R31:R33))</f>
        <v>0</v>
      </c>
      <c r="S30" s="88">
        <f>(SUBTOTAL(9,S31:S33))</f>
        <v>0</v>
      </c>
      <c r="T30" s="88">
        <f>(SUBTOTAL(9,T31:T33))</f>
        <v>0</v>
      </c>
      <c r="U30" s="87">
        <f t="shared" ref="U30" si="11">SUBTOTAL(9,O31:T33)</f>
        <v>56</v>
      </c>
    </row>
    <row r="31" spans="1:21" ht="17.25" customHeight="1" x14ac:dyDescent="0.3">
      <c r="A31" s="66" t="s">
        <v>30</v>
      </c>
      <c r="C31" s="67"/>
      <c r="D31" s="77" t="str">
        <f t="shared" ref="D31" si="12">D30</f>
        <v>C100014</v>
      </c>
      <c r="E31" s="77"/>
      <c r="F31" s="76"/>
      <c r="G31" s="76" t="str">
        <f>"""NAV Direct"",""CRONUS JetCorp USA"",""32"",""1"",""166785"""</f>
        <v>"NAV Direct","CRONUS JetCorp USA","32","1","166785"</v>
      </c>
      <c r="H31" s="86">
        <v>43466</v>
      </c>
      <c r="I31" s="85">
        <v>166785</v>
      </c>
      <c r="J31" s="84" t="str">
        <f>"Vendor"</f>
        <v>Vendor</v>
      </c>
      <c r="K31" s="84" t="str">
        <f>"V100047"</f>
        <v>V100047</v>
      </c>
      <c r="L31" s="84" t="str">
        <f>IF($J31="Customer",_xll.NL("first",$J31,"Name","No.","@@"&amp;$K31),"")</f>
        <v/>
      </c>
      <c r="M31" s="84" t="str">
        <f>"WoodMart Supply Co."</f>
        <v>WoodMart Supply Co.</v>
      </c>
      <c r="N31" s="84" t="str">
        <f>IF($J31="Item",_xll.NL("first",$J31,"Description","No.","@@"&amp;$K31),"")</f>
        <v/>
      </c>
      <c r="O31" s="83">
        <v>200</v>
      </c>
      <c r="P31" s="83">
        <v>0</v>
      </c>
      <c r="Q31" s="83">
        <v>0</v>
      </c>
      <c r="R31" s="83">
        <v>0</v>
      </c>
      <c r="S31" s="83">
        <v>0</v>
      </c>
      <c r="T31" s="83">
        <v>0</v>
      </c>
      <c r="U31" s="82"/>
    </row>
    <row r="32" spans="1:21" ht="17.25" customHeight="1" x14ac:dyDescent="0.3">
      <c r="A32" s="66" t="s">
        <v>30</v>
      </c>
      <c r="C32" s="67"/>
      <c r="D32" s="77" t="str">
        <f t="shared" ref="D32" si="13">D31</f>
        <v>C100014</v>
      </c>
      <c r="E32" s="77"/>
      <c r="F32" s="76"/>
      <c r="G32" s="76" t="str">
        <f>"""NAV Direct"",""CRONUS JetCorp USA"",""32"",""1"",""34331"""</f>
        <v>"NAV Direct","CRONUS JetCorp USA","32","1","34331"</v>
      </c>
      <c r="H32" s="86">
        <v>43475</v>
      </c>
      <c r="I32" s="85">
        <v>34331</v>
      </c>
      <c r="J32" s="84" t="str">
        <f>"Customer"</f>
        <v>Customer</v>
      </c>
      <c r="K32" s="84" t="str">
        <f>"C100008"</f>
        <v>C100008</v>
      </c>
      <c r="L32" s="84" t="str">
        <f>IF($J32="Customer",_xll.NL("first",$J32,"Name","No.","@@"&amp;$K32),"")</f>
        <v>Blanemark Hifi Shop</v>
      </c>
      <c r="M32" s="84" t="str">
        <f>""</f>
        <v/>
      </c>
      <c r="N32" s="84" t="str">
        <f>IF($J32="Item",_xll.NL("first",$J32,"Description","No.","@@"&amp;$K32),"")</f>
        <v/>
      </c>
      <c r="O32" s="83">
        <v>0</v>
      </c>
      <c r="P32" s="83">
        <v>-144</v>
      </c>
      <c r="Q32" s="83">
        <v>0</v>
      </c>
      <c r="R32" s="83">
        <v>0</v>
      </c>
      <c r="S32" s="83">
        <v>0</v>
      </c>
      <c r="T32" s="83">
        <v>0</v>
      </c>
      <c r="U32" s="82"/>
    </row>
    <row r="33" spans="1:21" ht="17.25" customHeight="1" x14ac:dyDescent="0.3">
      <c r="A33" s="66" t="s">
        <v>30</v>
      </c>
      <c r="C33" s="67"/>
      <c r="D33" s="77"/>
      <c r="E33" s="77"/>
      <c r="F33" s="76"/>
      <c r="G33" s="76"/>
      <c r="H33" s="76"/>
      <c r="I33" s="76"/>
      <c r="J33" s="76"/>
      <c r="K33" s="76"/>
      <c r="L33" s="76"/>
      <c r="M33" s="76"/>
      <c r="N33" s="76"/>
      <c r="O33" s="75"/>
      <c r="P33" s="75"/>
      <c r="Q33" s="75"/>
      <c r="R33" s="75"/>
      <c r="S33" s="75"/>
      <c r="T33" s="75"/>
      <c r="U33" s="74"/>
    </row>
    <row r="34" spans="1:21" ht="17.25" customHeight="1" x14ac:dyDescent="0.3">
      <c r="A34" s="66" t="s">
        <v>30</v>
      </c>
      <c r="C34" s="67"/>
      <c r="D34" s="77"/>
      <c r="E34" s="77" t="s">
        <v>31</v>
      </c>
      <c r="F34" s="76" t="s">
        <v>31</v>
      </c>
      <c r="G34" s="76" t="s">
        <v>31</v>
      </c>
      <c r="H34" s="76"/>
      <c r="I34" s="76"/>
      <c r="J34" s="76" t="s">
        <v>31</v>
      </c>
      <c r="K34" s="76" t="s">
        <v>31</v>
      </c>
      <c r="L34" s="76" t="s">
        <v>31</v>
      </c>
      <c r="M34" s="76" t="s">
        <v>31</v>
      </c>
      <c r="N34" s="76"/>
      <c r="U34" s="81"/>
    </row>
    <row r="35" spans="1:21" ht="20.25" customHeight="1" x14ac:dyDescent="0.35">
      <c r="A35" s="66" t="s">
        <v>30</v>
      </c>
      <c r="C35" s="67"/>
      <c r="D35" s="92" t="str">
        <f t="shared" ref="D35" si="14">E35</f>
        <v>C100019</v>
      </c>
      <c r="E35" s="91" t="str">
        <f>"C100019"</f>
        <v>C100019</v>
      </c>
      <c r="F35" s="89" t="str">
        <f>"Black Duffel Bag"</f>
        <v>Black Duffel Bag</v>
      </c>
      <c r="G35" s="89"/>
      <c r="H35" s="90" t="str">
        <f>"EA"</f>
        <v>EA</v>
      </c>
      <c r="I35" s="89"/>
      <c r="J35" s="89"/>
      <c r="K35" s="89"/>
      <c r="L35" s="89"/>
      <c r="M35" s="89"/>
      <c r="N35" s="89"/>
      <c r="O35" s="88">
        <f>(SUBTOTAL(9,O36:O37))</f>
        <v>200</v>
      </c>
      <c r="P35" s="88">
        <f>(SUBTOTAL(9,P36:P37))</f>
        <v>0</v>
      </c>
      <c r="Q35" s="88">
        <f>(SUBTOTAL(9,Q36:Q37))</f>
        <v>0</v>
      </c>
      <c r="R35" s="88">
        <f>(SUBTOTAL(9,R36:R37))</f>
        <v>0</v>
      </c>
      <c r="S35" s="88">
        <f>(SUBTOTAL(9,S36:S37))</f>
        <v>0</v>
      </c>
      <c r="T35" s="88">
        <f>(SUBTOTAL(9,T36:T37))</f>
        <v>0</v>
      </c>
      <c r="U35" s="87">
        <f t="shared" ref="U35" si="15">SUBTOTAL(9,O36:T37)</f>
        <v>200</v>
      </c>
    </row>
    <row r="36" spans="1:21" ht="17.25" customHeight="1" x14ac:dyDescent="0.3">
      <c r="A36" s="66" t="s">
        <v>30</v>
      </c>
      <c r="C36" s="67"/>
      <c r="D36" s="77" t="str">
        <f t="shared" ref="D36" si="16">D35</f>
        <v>C100019</v>
      </c>
      <c r="E36" s="77"/>
      <c r="F36" s="76"/>
      <c r="G36" s="76" t="str">
        <f>"""NAV Direct"",""CRONUS JetCorp USA"",""32"",""1"",""166784"""</f>
        <v>"NAV Direct","CRONUS JetCorp USA","32","1","166784"</v>
      </c>
      <c r="H36" s="86">
        <v>43466</v>
      </c>
      <c r="I36" s="85">
        <v>166784</v>
      </c>
      <c r="J36" s="84" t="str">
        <f>"Vendor"</f>
        <v>Vendor</v>
      </c>
      <c r="K36" s="84" t="str">
        <f>"V100047"</f>
        <v>V100047</v>
      </c>
      <c r="L36" s="84" t="str">
        <f>IF($J36="Customer",_xll.NL("first",$J36,"Name","No.","@@"&amp;$K36),"")</f>
        <v/>
      </c>
      <c r="M36" s="84" t="str">
        <f>"WoodMart Supply Co."</f>
        <v>WoodMart Supply Co.</v>
      </c>
      <c r="N36" s="84" t="str">
        <f>IF($J36="Item",_xll.NL("first",$J36,"Description","No.","@@"&amp;$K36),"")</f>
        <v/>
      </c>
      <c r="O36" s="83">
        <v>200</v>
      </c>
      <c r="P36" s="83">
        <v>0</v>
      </c>
      <c r="Q36" s="83">
        <v>0</v>
      </c>
      <c r="R36" s="83">
        <v>0</v>
      </c>
      <c r="S36" s="83">
        <v>0</v>
      </c>
      <c r="T36" s="83">
        <v>0</v>
      </c>
      <c r="U36" s="82"/>
    </row>
    <row r="37" spans="1:21" ht="17.25" customHeight="1" x14ac:dyDescent="0.3">
      <c r="A37" s="66" t="s">
        <v>30</v>
      </c>
      <c r="C37" s="67"/>
      <c r="D37" s="77"/>
      <c r="E37" s="77"/>
      <c r="F37" s="76"/>
      <c r="G37" s="76"/>
      <c r="H37" s="76"/>
      <c r="I37" s="76"/>
      <c r="J37" s="76"/>
      <c r="K37" s="76"/>
      <c r="L37" s="76"/>
      <c r="M37" s="76"/>
      <c r="N37" s="76"/>
      <c r="O37" s="75"/>
      <c r="P37" s="75"/>
      <c r="Q37" s="75"/>
      <c r="R37" s="75"/>
      <c r="S37" s="75"/>
      <c r="T37" s="75"/>
      <c r="U37" s="74"/>
    </row>
    <row r="38" spans="1:21" ht="17.25" customHeight="1" x14ac:dyDescent="0.3">
      <c r="A38" s="66" t="s">
        <v>30</v>
      </c>
      <c r="C38" s="67"/>
      <c r="D38" s="77"/>
      <c r="E38" s="77" t="s">
        <v>31</v>
      </c>
      <c r="F38" s="76" t="s">
        <v>31</v>
      </c>
      <c r="G38" s="76" t="s">
        <v>31</v>
      </c>
      <c r="H38" s="76"/>
      <c r="I38" s="76"/>
      <c r="J38" s="76" t="s">
        <v>31</v>
      </c>
      <c r="K38" s="76" t="s">
        <v>31</v>
      </c>
      <c r="L38" s="76" t="s">
        <v>31</v>
      </c>
      <c r="M38" s="76" t="s">
        <v>31</v>
      </c>
      <c r="N38" s="76"/>
      <c r="U38" s="81"/>
    </row>
    <row r="39" spans="1:21" ht="20.25" customHeight="1" x14ac:dyDescent="0.35">
      <c r="A39" s="66" t="s">
        <v>30</v>
      </c>
      <c r="C39" s="67"/>
      <c r="D39" s="92" t="str">
        <f t="shared" ref="D39" si="17">E39</f>
        <v>C100021</v>
      </c>
      <c r="E39" s="91" t="str">
        <f>"C100021"</f>
        <v>C100021</v>
      </c>
      <c r="F39" s="89" t="str">
        <f>"Canvas Boat Bag"</f>
        <v>Canvas Boat Bag</v>
      </c>
      <c r="G39" s="89"/>
      <c r="H39" s="90" t="str">
        <f>"EA"</f>
        <v>EA</v>
      </c>
      <c r="I39" s="89"/>
      <c r="J39" s="89"/>
      <c r="K39" s="89"/>
      <c r="L39" s="89"/>
      <c r="M39" s="89"/>
      <c r="N39" s="89"/>
      <c r="O39" s="88">
        <f>(SUBTOTAL(9,O40:O41))</f>
        <v>200</v>
      </c>
      <c r="P39" s="88">
        <f>(SUBTOTAL(9,P40:P41))</f>
        <v>0</v>
      </c>
      <c r="Q39" s="88">
        <f>(SUBTOTAL(9,Q40:Q41))</f>
        <v>0</v>
      </c>
      <c r="R39" s="88">
        <f>(SUBTOTAL(9,R40:R41))</f>
        <v>0</v>
      </c>
      <c r="S39" s="88">
        <f>(SUBTOTAL(9,S40:S41))</f>
        <v>0</v>
      </c>
      <c r="T39" s="88">
        <f>(SUBTOTAL(9,T40:T41))</f>
        <v>0</v>
      </c>
      <c r="U39" s="87">
        <f t="shared" ref="U39" si="18">SUBTOTAL(9,O40:T41)</f>
        <v>200</v>
      </c>
    </row>
    <row r="40" spans="1:21" ht="17.25" customHeight="1" x14ac:dyDescent="0.3">
      <c r="A40" s="66" t="s">
        <v>30</v>
      </c>
      <c r="C40" s="67"/>
      <c r="D40" s="77" t="str">
        <f t="shared" ref="D40" si="19">D39</f>
        <v>C100021</v>
      </c>
      <c r="E40" s="77"/>
      <c r="F40" s="76"/>
      <c r="G40" s="76" t="str">
        <f>"""NAV Direct"",""CRONUS JetCorp USA"",""32"",""1"",""166783"""</f>
        <v>"NAV Direct","CRONUS JetCorp USA","32","1","166783"</v>
      </c>
      <c r="H40" s="86">
        <v>43466</v>
      </c>
      <c r="I40" s="85">
        <v>166783</v>
      </c>
      <c r="J40" s="84" t="str">
        <f>"Vendor"</f>
        <v>Vendor</v>
      </c>
      <c r="K40" s="84" t="str">
        <f>"V100047"</f>
        <v>V100047</v>
      </c>
      <c r="L40" s="84" t="str">
        <f>IF($J40="Customer",_xll.NL("first",$J40,"Name","No.","@@"&amp;$K40),"")</f>
        <v/>
      </c>
      <c r="M40" s="84" t="str">
        <f>"WoodMart Supply Co."</f>
        <v>WoodMart Supply Co.</v>
      </c>
      <c r="N40" s="84" t="str">
        <f>IF($J40="Item",_xll.NL("first",$J40,"Description","No.","@@"&amp;$K40),"")</f>
        <v/>
      </c>
      <c r="O40" s="83">
        <v>200</v>
      </c>
      <c r="P40" s="83">
        <v>0</v>
      </c>
      <c r="Q40" s="83">
        <v>0</v>
      </c>
      <c r="R40" s="83">
        <v>0</v>
      </c>
      <c r="S40" s="83">
        <v>0</v>
      </c>
      <c r="T40" s="83">
        <v>0</v>
      </c>
      <c r="U40" s="82"/>
    </row>
    <row r="41" spans="1:21" ht="17.25" customHeight="1" x14ac:dyDescent="0.3">
      <c r="A41" s="66" t="s">
        <v>30</v>
      </c>
      <c r="C41" s="67"/>
      <c r="D41" s="77"/>
      <c r="E41" s="77"/>
      <c r="F41" s="76"/>
      <c r="G41" s="76"/>
      <c r="H41" s="76"/>
      <c r="I41" s="76"/>
      <c r="J41" s="76"/>
      <c r="K41" s="76"/>
      <c r="L41" s="76"/>
      <c r="M41" s="76"/>
      <c r="N41" s="76"/>
      <c r="O41" s="75"/>
      <c r="P41" s="75"/>
      <c r="Q41" s="75"/>
      <c r="R41" s="75"/>
      <c r="S41" s="75"/>
      <c r="T41" s="75"/>
      <c r="U41" s="74"/>
    </row>
    <row r="42" spans="1:21" ht="17.25" customHeight="1" x14ac:dyDescent="0.3">
      <c r="A42" s="66" t="s">
        <v>30</v>
      </c>
      <c r="C42" s="67"/>
      <c r="D42" s="77"/>
      <c r="E42" s="77" t="s">
        <v>31</v>
      </c>
      <c r="F42" s="76" t="s">
        <v>31</v>
      </c>
      <c r="G42" s="76" t="s">
        <v>31</v>
      </c>
      <c r="H42" s="76"/>
      <c r="I42" s="76"/>
      <c r="J42" s="76" t="s">
        <v>31</v>
      </c>
      <c r="K42" s="76" t="s">
        <v>31</v>
      </c>
      <c r="L42" s="76" t="s">
        <v>31</v>
      </c>
      <c r="M42" s="76" t="s">
        <v>31</v>
      </c>
      <c r="N42" s="76"/>
      <c r="U42" s="81"/>
    </row>
    <row r="43" spans="1:21" ht="20.25" customHeight="1" x14ac:dyDescent="0.35">
      <c r="A43" s="66" t="s">
        <v>30</v>
      </c>
      <c r="C43" s="67"/>
      <c r="D43" s="92" t="str">
        <f t="shared" ref="D43" si="20">E43</f>
        <v>C100022</v>
      </c>
      <c r="E43" s="91" t="str">
        <f>"C100022"</f>
        <v>C100022</v>
      </c>
      <c r="F43" s="89" t="str">
        <f>"Two-Toned Cap"</f>
        <v>Two-Toned Cap</v>
      </c>
      <c r="G43" s="89"/>
      <c r="H43" s="90" t="str">
        <f>"EA"</f>
        <v>EA</v>
      </c>
      <c r="I43" s="89"/>
      <c r="J43" s="89"/>
      <c r="K43" s="89"/>
      <c r="L43" s="89"/>
      <c r="M43" s="89"/>
      <c r="N43" s="89"/>
      <c r="O43" s="88">
        <f>(SUBTOTAL(9,O44:O45))</f>
        <v>400</v>
      </c>
      <c r="P43" s="88">
        <f>(SUBTOTAL(9,P44:P45))</f>
        <v>0</v>
      </c>
      <c r="Q43" s="88">
        <f>(SUBTOTAL(9,Q44:Q45))</f>
        <v>0</v>
      </c>
      <c r="R43" s="88">
        <f>(SUBTOTAL(9,R44:R45))</f>
        <v>0</v>
      </c>
      <c r="S43" s="88">
        <f>(SUBTOTAL(9,S44:S45))</f>
        <v>0</v>
      </c>
      <c r="T43" s="88">
        <f>(SUBTOTAL(9,T44:T45))</f>
        <v>0</v>
      </c>
      <c r="U43" s="87">
        <f t="shared" ref="U43" si="21">SUBTOTAL(9,O44:T45)</f>
        <v>400</v>
      </c>
    </row>
    <row r="44" spans="1:21" ht="17.25" customHeight="1" x14ac:dyDescent="0.3">
      <c r="A44" s="66" t="s">
        <v>30</v>
      </c>
      <c r="C44" s="67"/>
      <c r="D44" s="77" t="str">
        <f t="shared" ref="D44" si="22">D43</f>
        <v>C100022</v>
      </c>
      <c r="E44" s="77"/>
      <c r="F44" s="76"/>
      <c r="G44" s="76" t="str">
        <f>"""NAV Direct"",""CRONUS JetCorp USA"",""32"",""1"",""167152"""</f>
        <v>"NAV Direct","CRONUS JetCorp USA","32","1","167152"</v>
      </c>
      <c r="H44" s="86">
        <v>43466</v>
      </c>
      <c r="I44" s="85">
        <v>167152</v>
      </c>
      <c r="J44" s="84" t="str">
        <f>"Vendor"</f>
        <v>Vendor</v>
      </c>
      <c r="K44" s="84" t="str">
        <f>"V100047"</f>
        <v>V100047</v>
      </c>
      <c r="L44" s="84" t="str">
        <f>IF($J44="Customer",_xll.NL("first",$J44,"Name","No.","@@"&amp;$K44),"")</f>
        <v/>
      </c>
      <c r="M44" s="84" t="str">
        <f>"WoodMart Supply Co."</f>
        <v>WoodMart Supply Co.</v>
      </c>
      <c r="N44" s="84" t="str">
        <f>IF($J44="Item",_xll.NL("first",$J44,"Description","No.","@@"&amp;$K44),"")</f>
        <v/>
      </c>
      <c r="O44" s="83">
        <v>400</v>
      </c>
      <c r="P44" s="83">
        <v>0</v>
      </c>
      <c r="Q44" s="83">
        <v>0</v>
      </c>
      <c r="R44" s="83">
        <v>0</v>
      </c>
      <c r="S44" s="83">
        <v>0</v>
      </c>
      <c r="T44" s="83">
        <v>0</v>
      </c>
      <c r="U44" s="82"/>
    </row>
    <row r="45" spans="1:21" ht="17.25" customHeight="1" x14ac:dyDescent="0.3">
      <c r="A45" s="66" t="s">
        <v>30</v>
      </c>
      <c r="C45" s="67"/>
      <c r="D45" s="77"/>
      <c r="E45" s="77"/>
      <c r="F45" s="76"/>
      <c r="G45" s="76"/>
      <c r="H45" s="76"/>
      <c r="I45" s="76"/>
      <c r="J45" s="76"/>
      <c r="K45" s="76"/>
      <c r="L45" s="76"/>
      <c r="M45" s="76"/>
      <c r="N45" s="76"/>
      <c r="O45" s="75"/>
      <c r="P45" s="75"/>
      <c r="Q45" s="75"/>
      <c r="R45" s="75"/>
      <c r="S45" s="75"/>
      <c r="T45" s="75"/>
      <c r="U45" s="74"/>
    </row>
    <row r="46" spans="1:21" ht="17.25" customHeight="1" x14ac:dyDescent="0.3">
      <c r="A46" s="66" t="s">
        <v>30</v>
      </c>
      <c r="C46" s="67"/>
      <c r="D46" s="77"/>
      <c r="E46" s="77" t="s">
        <v>31</v>
      </c>
      <c r="F46" s="76" t="s">
        <v>31</v>
      </c>
      <c r="G46" s="76" t="s">
        <v>31</v>
      </c>
      <c r="H46" s="76"/>
      <c r="I46" s="76"/>
      <c r="J46" s="76" t="s">
        <v>31</v>
      </c>
      <c r="K46" s="76" t="s">
        <v>31</v>
      </c>
      <c r="L46" s="76" t="s">
        <v>31</v>
      </c>
      <c r="M46" s="76" t="s">
        <v>31</v>
      </c>
      <c r="N46" s="76"/>
      <c r="U46" s="81"/>
    </row>
    <row r="47" spans="1:21" ht="20.25" customHeight="1" x14ac:dyDescent="0.35">
      <c r="A47" s="66" t="s">
        <v>30</v>
      </c>
      <c r="C47" s="67"/>
      <c r="D47" s="92" t="str">
        <f t="shared" ref="D47" si="23">E47</f>
        <v>C100023</v>
      </c>
      <c r="E47" s="91" t="str">
        <f>"C100023"</f>
        <v>C100023</v>
      </c>
      <c r="F47" s="89" t="str">
        <f>"Two-Toned Knit Hat"</f>
        <v>Two-Toned Knit Hat</v>
      </c>
      <c r="G47" s="89"/>
      <c r="H47" s="90" t="str">
        <f>"EA"</f>
        <v>EA</v>
      </c>
      <c r="I47" s="89"/>
      <c r="J47" s="89"/>
      <c r="K47" s="89"/>
      <c r="L47" s="89"/>
      <c r="M47" s="89"/>
      <c r="N47" s="89"/>
      <c r="O47" s="88">
        <f>(SUBTOTAL(9,O48:O49))</f>
        <v>0</v>
      </c>
      <c r="P47" s="88">
        <f>(SUBTOTAL(9,P48:P49))</f>
        <v>-144</v>
      </c>
      <c r="Q47" s="88">
        <f>(SUBTOTAL(9,Q48:Q49))</f>
        <v>0</v>
      </c>
      <c r="R47" s="88">
        <f>(SUBTOTAL(9,R48:R49))</f>
        <v>0</v>
      </c>
      <c r="S47" s="88">
        <f>(SUBTOTAL(9,S48:S49))</f>
        <v>0</v>
      </c>
      <c r="T47" s="88">
        <f>(SUBTOTAL(9,T48:T49))</f>
        <v>0</v>
      </c>
      <c r="U47" s="87">
        <f t="shared" ref="U47" si="24">SUBTOTAL(9,O48:T49)</f>
        <v>-144</v>
      </c>
    </row>
    <row r="48" spans="1:21" ht="17.25" customHeight="1" x14ac:dyDescent="0.3">
      <c r="A48" s="66" t="s">
        <v>30</v>
      </c>
      <c r="C48" s="67"/>
      <c r="D48" s="77" t="str">
        <f t="shared" ref="D48" si="25">D47</f>
        <v>C100023</v>
      </c>
      <c r="E48" s="77"/>
      <c r="F48" s="76"/>
      <c r="G48" s="76" t="str">
        <f>"""NAV Direct"",""CRONUS JetCorp USA"",""32"",""1"",""34335"""</f>
        <v>"NAV Direct","CRONUS JetCorp USA","32","1","34335"</v>
      </c>
      <c r="H48" s="86">
        <v>43475</v>
      </c>
      <c r="I48" s="85">
        <v>34335</v>
      </c>
      <c r="J48" s="84" t="str">
        <f>"Customer"</f>
        <v>Customer</v>
      </c>
      <c r="K48" s="84" t="str">
        <f>"C100008"</f>
        <v>C100008</v>
      </c>
      <c r="L48" s="84" t="str">
        <f>IF($J48="Customer",_xll.NL("first",$J48,"Name","No.","@@"&amp;$K48),"")</f>
        <v>Blanemark Hifi Shop</v>
      </c>
      <c r="M48" s="84" t="str">
        <f>""</f>
        <v/>
      </c>
      <c r="N48" s="84" t="str">
        <f>IF($J48="Item",_xll.NL("first",$J48,"Description","No.","@@"&amp;$K48),"")</f>
        <v/>
      </c>
      <c r="O48" s="83">
        <v>0</v>
      </c>
      <c r="P48" s="83">
        <v>-144</v>
      </c>
      <c r="Q48" s="83">
        <v>0</v>
      </c>
      <c r="R48" s="83">
        <v>0</v>
      </c>
      <c r="S48" s="83">
        <v>0</v>
      </c>
      <c r="T48" s="83">
        <v>0</v>
      </c>
      <c r="U48" s="82"/>
    </row>
    <row r="49" spans="1:21" ht="17.25" customHeight="1" x14ac:dyDescent="0.3">
      <c r="A49" s="66" t="s">
        <v>30</v>
      </c>
      <c r="C49" s="67"/>
      <c r="D49" s="77"/>
      <c r="E49" s="77"/>
      <c r="F49" s="76"/>
      <c r="G49" s="76"/>
      <c r="H49" s="76"/>
      <c r="I49" s="76"/>
      <c r="J49" s="76"/>
      <c r="K49" s="76"/>
      <c r="L49" s="76"/>
      <c r="M49" s="76"/>
      <c r="N49" s="76"/>
      <c r="O49" s="75"/>
      <c r="P49" s="75"/>
      <c r="Q49" s="75"/>
      <c r="R49" s="75"/>
      <c r="S49" s="75"/>
      <c r="T49" s="75"/>
      <c r="U49" s="74"/>
    </row>
    <row r="50" spans="1:21" ht="17.25" customHeight="1" x14ac:dyDescent="0.3">
      <c r="A50" s="66" t="s">
        <v>30</v>
      </c>
      <c r="C50" s="67"/>
      <c r="D50" s="77"/>
      <c r="E50" s="77" t="s">
        <v>31</v>
      </c>
      <c r="F50" s="76" t="s">
        <v>31</v>
      </c>
      <c r="G50" s="76" t="s">
        <v>31</v>
      </c>
      <c r="H50" s="76"/>
      <c r="I50" s="76"/>
      <c r="J50" s="76" t="s">
        <v>31</v>
      </c>
      <c r="K50" s="76" t="s">
        <v>31</v>
      </c>
      <c r="L50" s="76" t="s">
        <v>31</v>
      </c>
      <c r="M50" s="76" t="s">
        <v>31</v>
      </c>
      <c r="N50" s="76"/>
      <c r="U50" s="81"/>
    </row>
    <row r="51" spans="1:21" ht="20.25" customHeight="1" x14ac:dyDescent="0.35">
      <c r="A51" s="66" t="s">
        <v>30</v>
      </c>
      <c r="C51" s="67"/>
      <c r="D51" s="92" t="str">
        <f t="shared" ref="D51" si="26">E51</f>
        <v>C100024</v>
      </c>
      <c r="E51" s="91" t="str">
        <f>"C100024"</f>
        <v>C100024</v>
      </c>
      <c r="F51" s="89" t="str">
        <f>"Knit Hat with Bill"</f>
        <v>Knit Hat with Bill</v>
      </c>
      <c r="G51" s="89"/>
      <c r="H51" s="90" t="str">
        <f>"EA"</f>
        <v>EA</v>
      </c>
      <c r="I51" s="89"/>
      <c r="J51" s="89"/>
      <c r="K51" s="89"/>
      <c r="L51" s="89"/>
      <c r="M51" s="89"/>
      <c r="N51" s="89"/>
      <c r="O51" s="88">
        <f>(SUBTOTAL(9,O52:O53))</f>
        <v>0</v>
      </c>
      <c r="P51" s="88">
        <f>(SUBTOTAL(9,P52:P53))</f>
        <v>-1</v>
      </c>
      <c r="Q51" s="88">
        <f>(SUBTOTAL(9,Q52:Q53))</f>
        <v>0</v>
      </c>
      <c r="R51" s="88">
        <f>(SUBTOTAL(9,R52:R53))</f>
        <v>0</v>
      </c>
      <c r="S51" s="88">
        <f>(SUBTOTAL(9,S52:S53))</f>
        <v>0</v>
      </c>
      <c r="T51" s="88">
        <f>(SUBTOTAL(9,T52:T53))</f>
        <v>0</v>
      </c>
      <c r="U51" s="87">
        <f t="shared" ref="U51" si="27">SUBTOTAL(9,O52:T53)</f>
        <v>-1</v>
      </c>
    </row>
    <row r="52" spans="1:21" ht="17.25" customHeight="1" x14ac:dyDescent="0.3">
      <c r="A52" s="66" t="s">
        <v>30</v>
      </c>
      <c r="C52" s="67"/>
      <c r="D52" s="77" t="str">
        <f t="shared" ref="D52" si="28">D51</f>
        <v>C100024</v>
      </c>
      <c r="E52" s="77"/>
      <c r="F52" s="76"/>
      <c r="G52" s="76" t="str">
        <f>"""NAV Direct"",""CRONUS JetCorp USA"",""32"",""1"",""34341"""</f>
        <v>"NAV Direct","CRONUS JetCorp USA","32","1","34341"</v>
      </c>
      <c r="H52" s="86">
        <v>43475</v>
      </c>
      <c r="I52" s="85">
        <v>34341</v>
      </c>
      <c r="J52" s="84" t="str">
        <f>"Customer"</f>
        <v>Customer</v>
      </c>
      <c r="K52" s="84" t="str">
        <f>"C100008"</f>
        <v>C100008</v>
      </c>
      <c r="L52" s="84" t="str">
        <f>IF($J52="Customer",_xll.NL("first",$J52,"Name","No.","@@"&amp;$K52),"")</f>
        <v>Blanemark Hifi Shop</v>
      </c>
      <c r="M52" s="84" t="str">
        <f>""</f>
        <v/>
      </c>
      <c r="N52" s="84" t="str">
        <f>IF($J52="Item",_xll.NL("first",$J52,"Description","No.","@@"&amp;$K52),"")</f>
        <v/>
      </c>
      <c r="O52" s="83">
        <v>0</v>
      </c>
      <c r="P52" s="83">
        <v>-1</v>
      </c>
      <c r="Q52" s="83">
        <v>0</v>
      </c>
      <c r="R52" s="83">
        <v>0</v>
      </c>
      <c r="S52" s="83">
        <v>0</v>
      </c>
      <c r="T52" s="83">
        <v>0</v>
      </c>
      <c r="U52" s="82"/>
    </row>
    <row r="53" spans="1:21" ht="17.25" customHeight="1" x14ac:dyDescent="0.3">
      <c r="A53" s="66" t="s">
        <v>30</v>
      </c>
      <c r="C53" s="67"/>
      <c r="D53" s="77"/>
      <c r="E53" s="77"/>
      <c r="F53" s="76"/>
      <c r="G53" s="76"/>
      <c r="H53" s="76"/>
      <c r="I53" s="76"/>
      <c r="J53" s="76"/>
      <c r="K53" s="76"/>
      <c r="L53" s="76"/>
      <c r="M53" s="76"/>
      <c r="N53" s="76"/>
      <c r="O53" s="75"/>
      <c r="P53" s="75"/>
      <c r="Q53" s="75"/>
      <c r="R53" s="75"/>
      <c r="S53" s="75"/>
      <c r="T53" s="75"/>
      <c r="U53" s="74"/>
    </row>
    <row r="54" spans="1:21" ht="17.25" customHeight="1" x14ac:dyDescent="0.3">
      <c r="A54" s="66" t="s">
        <v>30</v>
      </c>
      <c r="C54" s="67"/>
      <c r="D54" s="77"/>
      <c r="E54" s="77" t="s">
        <v>31</v>
      </c>
      <c r="F54" s="76" t="s">
        <v>31</v>
      </c>
      <c r="G54" s="76" t="s">
        <v>31</v>
      </c>
      <c r="H54" s="76"/>
      <c r="I54" s="76"/>
      <c r="J54" s="76" t="s">
        <v>31</v>
      </c>
      <c r="K54" s="76" t="s">
        <v>31</v>
      </c>
      <c r="L54" s="76" t="s">
        <v>31</v>
      </c>
      <c r="M54" s="76" t="s">
        <v>31</v>
      </c>
      <c r="N54" s="76"/>
      <c r="U54" s="81"/>
    </row>
    <row r="55" spans="1:21" ht="20.25" customHeight="1" x14ac:dyDescent="0.35">
      <c r="A55" s="66" t="s">
        <v>30</v>
      </c>
      <c r="C55" s="67"/>
      <c r="D55" s="92" t="str">
        <f t="shared" ref="D55" si="29">E55</f>
        <v>C100025</v>
      </c>
      <c r="E55" s="91" t="str">
        <f>"C100025"</f>
        <v>C100025</v>
      </c>
      <c r="F55" s="89" t="str">
        <f>"Striped Knit Hat"</f>
        <v>Striped Knit Hat</v>
      </c>
      <c r="G55" s="89"/>
      <c r="H55" s="90" t="str">
        <f>"EA"</f>
        <v>EA</v>
      </c>
      <c r="I55" s="89"/>
      <c r="J55" s="89"/>
      <c r="K55" s="89"/>
      <c r="L55" s="89"/>
      <c r="M55" s="89"/>
      <c r="N55" s="89"/>
      <c r="O55" s="88">
        <f>(SUBTOTAL(9,O56:O57))</f>
        <v>400</v>
      </c>
      <c r="P55" s="88">
        <f>(SUBTOTAL(9,P56:P57))</f>
        <v>0</v>
      </c>
      <c r="Q55" s="88">
        <f>(SUBTOTAL(9,Q56:Q57))</f>
        <v>0</v>
      </c>
      <c r="R55" s="88">
        <f>(SUBTOTAL(9,R56:R57))</f>
        <v>0</v>
      </c>
      <c r="S55" s="88">
        <f>(SUBTOTAL(9,S56:S57))</f>
        <v>0</v>
      </c>
      <c r="T55" s="88">
        <f>(SUBTOTAL(9,T56:T57))</f>
        <v>0</v>
      </c>
      <c r="U55" s="87">
        <f t="shared" ref="U55" si="30">SUBTOTAL(9,O56:T57)</f>
        <v>400</v>
      </c>
    </row>
    <row r="56" spans="1:21" ht="17.25" customHeight="1" x14ac:dyDescent="0.3">
      <c r="A56" s="66" t="s">
        <v>30</v>
      </c>
      <c r="C56" s="67"/>
      <c r="D56" s="77" t="str">
        <f t="shared" ref="D56" si="31">D55</f>
        <v>C100025</v>
      </c>
      <c r="E56" s="77"/>
      <c r="F56" s="76"/>
      <c r="G56" s="76" t="str">
        <f>"""NAV Direct"",""CRONUS JetCorp USA"",""32"",""1"",""167151"""</f>
        <v>"NAV Direct","CRONUS JetCorp USA","32","1","167151"</v>
      </c>
      <c r="H56" s="86">
        <v>43466</v>
      </c>
      <c r="I56" s="85">
        <v>167151</v>
      </c>
      <c r="J56" s="84" t="str">
        <f>"Vendor"</f>
        <v>Vendor</v>
      </c>
      <c r="K56" s="84" t="str">
        <f>"V100047"</f>
        <v>V100047</v>
      </c>
      <c r="L56" s="84" t="str">
        <f>IF($J56="Customer",_xll.NL("first",$J56,"Name","No.","@@"&amp;$K56),"")</f>
        <v/>
      </c>
      <c r="M56" s="84" t="str">
        <f>"WoodMart Supply Co."</f>
        <v>WoodMart Supply Co.</v>
      </c>
      <c r="N56" s="84" t="str">
        <f>IF($J56="Item",_xll.NL("first",$J56,"Description","No.","@@"&amp;$K56),"")</f>
        <v/>
      </c>
      <c r="O56" s="83">
        <v>400</v>
      </c>
      <c r="P56" s="83">
        <v>0</v>
      </c>
      <c r="Q56" s="83">
        <v>0</v>
      </c>
      <c r="R56" s="83">
        <v>0</v>
      </c>
      <c r="S56" s="83">
        <v>0</v>
      </c>
      <c r="T56" s="83">
        <v>0</v>
      </c>
      <c r="U56" s="82"/>
    </row>
    <row r="57" spans="1:21" ht="17.25" customHeight="1" x14ac:dyDescent="0.3">
      <c r="A57" s="66" t="s">
        <v>30</v>
      </c>
      <c r="C57" s="67"/>
      <c r="D57" s="77"/>
      <c r="E57" s="77"/>
      <c r="F57" s="76"/>
      <c r="G57" s="76"/>
      <c r="H57" s="76"/>
      <c r="I57" s="76"/>
      <c r="J57" s="76"/>
      <c r="K57" s="76"/>
      <c r="L57" s="76"/>
      <c r="M57" s="76"/>
      <c r="N57" s="76"/>
      <c r="O57" s="75"/>
      <c r="P57" s="75"/>
      <c r="Q57" s="75"/>
      <c r="R57" s="75"/>
      <c r="S57" s="75"/>
      <c r="T57" s="75"/>
      <c r="U57" s="74"/>
    </row>
    <row r="58" spans="1:21" ht="17.25" customHeight="1" x14ac:dyDescent="0.3">
      <c r="A58" s="66" t="s">
        <v>30</v>
      </c>
      <c r="C58" s="67"/>
      <c r="D58" s="77"/>
      <c r="E58" s="77" t="s">
        <v>31</v>
      </c>
      <c r="F58" s="76" t="s">
        <v>31</v>
      </c>
      <c r="G58" s="76" t="s">
        <v>31</v>
      </c>
      <c r="H58" s="76"/>
      <c r="I58" s="76"/>
      <c r="J58" s="76" t="s">
        <v>31</v>
      </c>
      <c r="K58" s="76" t="s">
        <v>31</v>
      </c>
      <c r="L58" s="76" t="s">
        <v>31</v>
      </c>
      <c r="M58" s="76" t="s">
        <v>31</v>
      </c>
      <c r="N58" s="76"/>
      <c r="U58" s="81"/>
    </row>
    <row r="59" spans="1:21" ht="20.25" customHeight="1" x14ac:dyDescent="0.35">
      <c r="A59" s="66" t="s">
        <v>30</v>
      </c>
      <c r="C59" s="67"/>
      <c r="D59" s="92" t="str">
        <f t="shared" ref="D59" si="32">E59</f>
        <v>C100026</v>
      </c>
      <c r="E59" s="91" t="str">
        <f>"C100026"</f>
        <v>C100026</v>
      </c>
      <c r="F59" s="89" t="str">
        <f>"Fleece Beanie"</f>
        <v>Fleece Beanie</v>
      </c>
      <c r="G59" s="89"/>
      <c r="H59" s="90" t="str">
        <f>"EA"</f>
        <v>EA</v>
      </c>
      <c r="I59" s="89"/>
      <c r="J59" s="89"/>
      <c r="K59" s="89"/>
      <c r="L59" s="89"/>
      <c r="M59" s="89"/>
      <c r="N59" s="89"/>
      <c r="O59" s="88">
        <f>(SUBTOTAL(9,O60:O62))</f>
        <v>400</v>
      </c>
      <c r="P59" s="88">
        <f>(SUBTOTAL(9,P60:P62))</f>
        <v>-144</v>
      </c>
      <c r="Q59" s="88">
        <f>(SUBTOTAL(9,Q60:Q62))</f>
        <v>0</v>
      </c>
      <c r="R59" s="88">
        <f>(SUBTOTAL(9,R60:R62))</f>
        <v>0</v>
      </c>
      <c r="S59" s="88">
        <f>(SUBTOTAL(9,S60:S62))</f>
        <v>0</v>
      </c>
      <c r="T59" s="88">
        <f>(SUBTOTAL(9,T60:T62))</f>
        <v>0</v>
      </c>
      <c r="U59" s="87">
        <f t="shared" ref="U59" si="33">SUBTOTAL(9,O60:T62)</f>
        <v>256</v>
      </c>
    </row>
    <row r="60" spans="1:21" ht="17.25" customHeight="1" x14ac:dyDescent="0.3">
      <c r="A60" s="66" t="s">
        <v>30</v>
      </c>
      <c r="C60" s="67"/>
      <c r="D60" s="77" t="str">
        <f t="shared" ref="D60" si="34">D59</f>
        <v>C100026</v>
      </c>
      <c r="E60" s="77"/>
      <c r="F60" s="76"/>
      <c r="G60" s="76" t="str">
        <f>"""NAV Direct"",""CRONUS JetCorp USA"",""32"",""1"",""167150"""</f>
        <v>"NAV Direct","CRONUS JetCorp USA","32","1","167150"</v>
      </c>
      <c r="H60" s="86">
        <v>43466</v>
      </c>
      <c r="I60" s="85">
        <v>167150</v>
      </c>
      <c r="J60" s="84" t="str">
        <f>"Vendor"</f>
        <v>Vendor</v>
      </c>
      <c r="K60" s="84" t="str">
        <f>"V100047"</f>
        <v>V100047</v>
      </c>
      <c r="L60" s="84" t="str">
        <f>IF($J60="Customer",_xll.NL("first",$J60,"Name","No.","@@"&amp;$K60),"")</f>
        <v/>
      </c>
      <c r="M60" s="84" t="str">
        <f>"WoodMart Supply Co."</f>
        <v>WoodMart Supply Co.</v>
      </c>
      <c r="N60" s="84" t="str">
        <f>IF($J60="Item",_xll.NL("first",$J60,"Description","No.","@@"&amp;$K60),"")</f>
        <v/>
      </c>
      <c r="O60" s="83">
        <v>400</v>
      </c>
      <c r="P60" s="83">
        <v>0</v>
      </c>
      <c r="Q60" s="83">
        <v>0</v>
      </c>
      <c r="R60" s="83">
        <v>0</v>
      </c>
      <c r="S60" s="83">
        <v>0</v>
      </c>
      <c r="T60" s="83">
        <v>0</v>
      </c>
      <c r="U60" s="82"/>
    </row>
    <row r="61" spans="1:21" ht="17.25" customHeight="1" x14ac:dyDescent="0.3">
      <c r="A61" s="66" t="s">
        <v>30</v>
      </c>
      <c r="C61" s="67"/>
      <c r="D61" s="77" t="str">
        <f t="shared" ref="D61" si="35">D60</f>
        <v>C100026</v>
      </c>
      <c r="E61" s="77"/>
      <c r="F61" s="76"/>
      <c r="G61" s="76" t="str">
        <f>"""NAV Direct"",""CRONUS JetCorp USA"",""32"",""1"",""34334"""</f>
        <v>"NAV Direct","CRONUS JetCorp USA","32","1","34334"</v>
      </c>
      <c r="H61" s="86">
        <v>43475</v>
      </c>
      <c r="I61" s="85">
        <v>34334</v>
      </c>
      <c r="J61" s="84" t="str">
        <f>"Customer"</f>
        <v>Customer</v>
      </c>
      <c r="K61" s="84" t="str">
        <f>"C100008"</f>
        <v>C100008</v>
      </c>
      <c r="L61" s="84" t="str">
        <f>IF($J61="Customer",_xll.NL("first",$J61,"Name","No.","@@"&amp;$K61),"")</f>
        <v>Blanemark Hifi Shop</v>
      </c>
      <c r="M61" s="84" t="str">
        <f>""</f>
        <v/>
      </c>
      <c r="N61" s="84" t="str">
        <f>IF($J61="Item",_xll.NL("first",$J61,"Description","No.","@@"&amp;$K61),"")</f>
        <v/>
      </c>
      <c r="O61" s="83">
        <v>0</v>
      </c>
      <c r="P61" s="83">
        <v>-144</v>
      </c>
      <c r="Q61" s="83">
        <v>0</v>
      </c>
      <c r="R61" s="83">
        <v>0</v>
      </c>
      <c r="S61" s="83">
        <v>0</v>
      </c>
      <c r="T61" s="83">
        <v>0</v>
      </c>
      <c r="U61" s="82"/>
    </row>
    <row r="62" spans="1:21" ht="17.25" customHeight="1" x14ac:dyDescent="0.3">
      <c r="A62" s="66" t="s">
        <v>30</v>
      </c>
      <c r="C62" s="67"/>
      <c r="D62" s="77"/>
      <c r="E62" s="77"/>
      <c r="F62" s="76"/>
      <c r="G62" s="76"/>
      <c r="H62" s="76"/>
      <c r="I62" s="76"/>
      <c r="J62" s="76"/>
      <c r="K62" s="76"/>
      <c r="L62" s="76"/>
      <c r="M62" s="76"/>
      <c r="N62" s="76"/>
      <c r="O62" s="75"/>
      <c r="P62" s="75"/>
      <c r="Q62" s="75"/>
      <c r="R62" s="75"/>
      <c r="S62" s="75"/>
      <c r="T62" s="75"/>
      <c r="U62" s="74"/>
    </row>
    <row r="63" spans="1:21" ht="17.25" customHeight="1" x14ac:dyDescent="0.3">
      <c r="A63" s="66" t="s">
        <v>30</v>
      </c>
      <c r="C63" s="67"/>
      <c r="D63" s="77"/>
      <c r="E63" s="77" t="s">
        <v>31</v>
      </c>
      <c r="F63" s="76" t="s">
        <v>31</v>
      </c>
      <c r="G63" s="76" t="s">
        <v>31</v>
      </c>
      <c r="H63" s="76"/>
      <c r="I63" s="76"/>
      <c r="J63" s="76" t="s">
        <v>31</v>
      </c>
      <c r="K63" s="76" t="s">
        <v>31</v>
      </c>
      <c r="L63" s="76" t="s">
        <v>31</v>
      </c>
      <c r="M63" s="76" t="s">
        <v>31</v>
      </c>
      <c r="N63" s="76"/>
      <c r="U63" s="81"/>
    </row>
    <row r="64" spans="1:21" ht="20.25" customHeight="1" x14ac:dyDescent="0.35">
      <c r="A64" s="66" t="s">
        <v>30</v>
      </c>
      <c r="C64" s="67"/>
      <c r="D64" s="92" t="str">
        <f t="shared" ref="D64" si="36">E64</f>
        <v>C100028</v>
      </c>
      <c r="E64" s="91" t="str">
        <f>"C100028"</f>
        <v>C100028</v>
      </c>
      <c r="F64" s="89" t="str">
        <f>"Twill Visor"</f>
        <v>Twill Visor</v>
      </c>
      <c r="G64" s="89"/>
      <c r="H64" s="90" t="str">
        <f>"EA"</f>
        <v>EA</v>
      </c>
      <c r="I64" s="89"/>
      <c r="J64" s="89"/>
      <c r="K64" s="89"/>
      <c r="L64" s="89"/>
      <c r="M64" s="89"/>
      <c r="N64" s="89"/>
      <c r="O64" s="88">
        <f>(SUBTOTAL(9,O65:O66))</f>
        <v>0</v>
      </c>
      <c r="P64" s="88">
        <f>(SUBTOTAL(9,P65:P66))</f>
        <v>-24</v>
      </c>
      <c r="Q64" s="88">
        <f>(SUBTOTAL(9,Q65:Q66))</f>
        <v>0</v>
      </c>
      <c r="R64" s="88">
        <f>(SUBTOTAL(9,R65:R66))</f>
        <v>0</v>
      </c>
      <c r="S64" s="88">
        <f>(SUBTOTAL(9,S65:S66))</f>
        <v>0</v>
      </c>
      <c r="T64" s="88">
        <f>(SUBTOTAL(9,T65:T66))</f>
        <v>0</v>
      </c>
      <c r="U64" s="87">
        <f t="shared" ref="U64" si="37">SUBTOTAL(9,O65:T66)</f>
        <v>-24</v>
      </c>
    </row>
    <row r="65" spans="1:21" ht="17.25" customHeight="1" x14ac:dyDescent="0.3">
      <c r="A65" s="66" t="s">
        <v>30</v>
      </c>
      <c r="C65" s="67"/>
      <c r="D65" s="77" t="str">
        <f t="shared" ref="D65" si="38">D64</f>
        <v>C100028</v>
      </c>
      <c r="E65" s="77"/>
      <c r="F65" s="76"/>
      <c r="G65" s="76" t="str">
        <f>"""NAV Direct"",""CRONUS JetCorp USA"",""32"",""1"",""34337"""</f>
        <v>"NAV Direct","CRONUS JetCorp USA","32","1","34337"</v>
      </c>
      <c r="H65" s="86">
        <v>43475</v>
      </c>
      <c r="I65" s="85">
        <v>34337</v>
      </c>
      <c r="J65" s="84" t="str">
        <f>"Customer"</f>
        <v>Customer</v>
      </c>
      <c r="K65" s="84" t="str">
        <f>"C100008"</f>
        <v>C100008</v>
      </c>
      <c r="L65" s="84" t="str">
        <f>IF($J65="Customer",_xll.NL("first",$J65,"Name","No.","@@"&amp;$K65),"")</f>
        <v>Blanemark Hifi Shop</v>
      </c>
      <c r="M65" s="84" t="str">
        <f>""</f>
        <v/>
      </c>
      <c r="N65" s="84" t="str">
        <f>IF($J65="Item",_xll.NL("first",$J65,"Description","No.","@@"&amp;$K65),"")</f>
        <v/>
      </c>
      <c r="O65" s="83">
        <v>0</v>
      </c>
      <c r="P65" s="83">
        <v>-24</v>
      </c>
      <c r="Q65" s="83">
        <v>0</v>
      </c>
      <c r="R65" s="83">
        <v>0</v>
      </c>
      <c r="S65" s="83">
        <v>0</v>
      </c>
      <c r="T65" s="83">
        <v>0</v>
      </c>
      <c r="U65" s="82"/>
    </row>
    <row r="66" spans="1:21" ht="17.25" customHeight="1" x14ac:dyDescent="0.3">
      <c r="A66" s="66" t="s">
        <v>30</v>
      </c>
      <c r="C66" s="67"/>
      <c r="D66" s="77"/>
      <c r="E66" s="77"/>
      <c r="F66" s="76"/>
      <c r="G66" s="76"/>
      <c r="H66" s="76"/>
      <c r="I66" s="76"/>
      <c r="J66" s="76"/>
      <c r="K66" s="76"/>
      <c r="L66" s="76"/>
      <c r="M66" s="76"/>
      <c r="N66" s="76"/>
      <c r="O66" s="75"/>
      <c r="P66" s="75"/>
      <c r="Q66" s="75"/>
      <c r="R66" s="75"/>
      <c r="S66" s="75"/>
      <c r="T66" s="75"/>
      <c r="U66" s="74"/>
    </row>
    <row r="67" spans="1:21" ht="17.25" customHeight="1" x14ac:dyDescent="0.3">
      <c r="A67" s="66" t="s">
        <v>30</v>
      </c>
      <c r="C67" s="67"/>
      <c r="D67" s="77"/>
      <c r="E67" s="77" t="s">
        <v>31</v>
      </c>
      <c r="F67" s="76" t="s">
        <v>31</v>
      </c>
      <c r="G67" s="76" t="s">
        <v>31</v>
      </c>
      <c r="H67" s="76"/>
      <c r="I67" s="76"/>
      <c r="J67" s="76" t="s">
        <v>31</v>
      </c>
      <c r="K67" s="76" t="s">
        <v>31</v>
      </c>
      <c r="L67" s="76" t="s">
        <v>31</v>
      </c>
      <c r="M67" s="76" t="s">
        <v>31</v>
      </c>
      <c r="N67" s="76"/>
      <c r="U67" s="81"/>
    </row>
    <row r="68" spans="1:21" ht="20.25" customHeight="1" x14ac:dyDescent="0.35">
      <c r="A68" s="66" t="s">
        <v>30</v>
      </c>
      <c r="C68" s="67"/>
      <c r="D68" s="92" t="str">
        <f t="shared" ref="D68" si="39">E68</f>
        <v>C100030</v>
      </c>
      <c r="E68" s="91" t="str">
        <f>"C100030"</f>
        <v>C100030</v>
      </c>
      <c r="F68" s="89" t="str">
        <f>"Fashion Visor"</f>
        <v>Fashion Visor</v>
      </c>
      <c r="G68" s="89"/>
      <c r="H68" s="90" t="str">
        <f>"EA"</f>
        <v>EA</v>
      </c>
      <c r="I68" s="89"/>
      <c r="J68" s="89"/>
      <c r="K68" s="89"/>
      <c r="L68" s="89"/>
      <c r="M68" s="89"/>
      <c r="N68" s="89"/>
      <c r="O68" s="88">
        <f>(SUBTOTAL(9,O69:O70))</f>
        <v>0</v>
      </c>
      <c r="P68" s="88">
        <f>(SUBTOTAL(9,P69:P70))</f>
        <v>-1</v>
      </c>
      <c r="Q68" s="88">
        <f>(SUBTOTAL(9,Q69:Q70))</f>
        <v>0</v>
      </c>
      <c r="R68" s="88">
        <f>(SUBTOTAL(9,R69:R70))</f>
        <v>0</v>
      </c>
      <c r="S68" s="88">
        <f>(SUBTOTAL(9,S69:S70))</f>
        <v>0</v>
      </c>
      <c r="T68" s="88">
        <f>(SUBTOTAL(9,T69:T70))</f>
        <v>0</v>
      </c>
      <c r="U68" s="87">
        <f t="shared" ref="U68" si="40">SUBTOTAL(9,O69:T70)</f>
        <v>-1</v>
      </c>
    </row>
    <row r="69" spans="1:21" ht="17.25" customHeight="1" x14ac:dyDescent="0.3">
      <c r="A69" s="66" t="s">
        <v>30</v>
      </c>
      <c r="C69" s="67"/>
      <c r="D69" s="77" t="str">
        <f t="shared" ref="D69" si="41">D68</f>
        <v>C100030</v>
      </c>
      <c r="E69" s="77"/>
      <c r="F69" s="76"/>
      <c r="G69" s="76" t="str">
        <f>"""NAV Direct"",""CRONUS JetCorp USA"",""32"",""1"",""34342"""</f>
        <v>"NAV Direct","CRONUS JetCorp USA","32","1","34342"</v>
      </c>
      <c r="H69" s="86">
        <v>43475</v>
      </c>
      <c r="I69" s="85">
        <v>34342</v>
      </c>
      <c r="J69" s="84" t="str">
        <f>"Customer"</f>
        <v>Customer</v>
      </c>
      <c r="K69" s="84" t="str">
        <f>"C100008"</f>
        <v>C100008</v>
      </c>
      <c r="L69" s="84" t="str">
        <f>IF($J69="Customer",_xll.NL("first",$J69,"Name","No.","@@"&amp;$K69),"")</f>
        <v>Blanemark Hifi Shop</v>
      </c>
      <c r="M69" s="84" t="str">
        <f>""</f>
        <v/>
      </c>
      <c r="N69" s="84" t="str">
        <f>IF($J69="Item",_xll.NL("first",$J69,"Description","No.","@@"&amp;$K69),"")</f>
        <v/>
      </c>
      <c r="O69" s="83">
        <v>0</v>
      </c>
      <c r="P69" s="83">
        <v>-1</v>
      </c>
      <c r="Q69" s="83">
        <v>0</v>
      </c>
      <c r="R69" s="83">
        <v>0</v>
      </c>
      <c r="S69" s="83">
        <v>0</v>
      </c>
      <c r="T69" s="83">
        <v>0</v>
      </c>
      <c r="U69" s="82"/>
    </row>
    <row r="70" spans="1:21" ht="17.25" customHeight="1" x14ac:dyDescent="0.3">
      <c r="A70" s="66" t="s">
        <v>30</v>
      </c>
      <c r="C70" s="67"/>
      <c r="D70" s="77"/>
      <c r="E70" s="77"/>
      <c r="F70" s="76"/>
      <c r="G70" s="76"/>
      <c r="H70" s="76"/>
      <c r="I70" s="76"/>
      <c r="J70" s="76"/>
      <c r="K70" s="76"/>
      <c r="L70" s="76"/>
      <c r="M70" s="76"/>
      <c r="N70" s="76"/>
      <c r="O70" s="75"/>
      <c r="P70" s="75"/>
      <c r="Q70" s="75"/>
      <c r="R70" s="75"/>
      <c r="S70" s="75"/>
      <c r="T70" s="75"/>
      <c r="U70" s="74"/>
    </row>
    <row r="71" spans="1:21" ht="17.25" customHeight="1" x14ac:dyDescent="0.3">
      <c r="A71" s="66" t="s">
        <v>30</v>
      </c>
      <c r="C71" s="67"/>
      <c r="D71" s="77"/>
      <c r="E71" s="77" t="s">
        <v>31</v>
      </c>
      <c r="F71" s="76" t="s">
        <v>31</v>
      </c>
      <c r="G71" s="76" t="s">
        <v>31</v>
      </c>
      <c r="H71" s="76"/>
      <c r="I71" s="76"/>
      <c r="J71" s="76" t="s">
        <v>31</v>
      </c>
      <c r="K71" s="76" t="s">
        <v>31</v>
      </c>
      <c r="L71" s="76" t="s">
        <v>31</v>
      </c>
      <c r="M71" s="76" t="s">
        <v>31</v>
      </c>
      <c r="N71" s="76"/>
      <c r="U71" s="81"/>
    </row>
    <row r="72" spans="1:21" ht="20.25" customHeight="1" x14ac:dyDescent="0.35">
      <c r="A72" s="66" t="s">
        <v>30</v>
      </c>
      <c r="C72" s="67"/>
      <c r="D72" s="92" t="str">
        <f t="shared" ref="D72" si="42">E72</f>
        <v>C100032</v>
      </c>
      <c r="E72" s="91" t="str">
        <f>"C100032"</f>
        <v>C100032</v>
      </c>
      <c r="F72" s="89" t="str">
        <f>"Clip-on Clock"</f>
        <v>Clip-on Clock</v>
      </c>
      <c r="G72" s="89"/>
      <c r="H72" s="90" t="str">
        <f>"EA"</f>
        <v>EA</v>
      </c>
      <c r="I72" s="89"/>
      <c r="J72" s="89"/>
      <c r="K72" s="89"/>
      <c r="L72" s="89"/>
      <c r="M72" s="89"/>
      <c r="N72" s="89"/>
      <c r="O72" s="88">
        <f>(SUBTOTAL(9,O73:O74))</f>
        <v>0</v>
      </c>
      <c r="P72" s="88">
        <f>(SUBTOTAL(9,P73:P74))</f>
        <v>-1</v>
      </c>
      <c r="Q72" s="88">
        <f>(SUBTOTAL(9,Q73:Q74))</f>
        <v>0</v>
      </c>
      <c r="R72" s="88">
        <f>(SUBTOTAL(9,R73:R74))</f>
        <v>0</v>
      </c>
      <c r="S72" s="88">
        <f>(SUBTOTAL(9,S73:S74))</f>
        <v>0</v>
      </c>
      <c r="T72" s="88">
        <f>(SUBTOTAL(9,T73:T74))</f>
        <v>0</v>
      </c>
      <c r="U72" s="87">
        <f t="shared" ref="U72" si="43">SUBTOTAL(9,O73:T74)</f>
        <v>-1</v>
      </c>
    </row>
    <row r="73" spans="1:21" ht="17.25" customHeight="1" x14ac:dyDescent="0.3">
      <c r="A73" s="66" t="s">
        <v>30</v>
      </c>
      <c r="C73" s="67"/>
      <c r="D73" s="77" t="str">
        <f t="shared" ref="D73" si="44">D72</f>
        <v>C100032</v>
      </c>
      <c r="E73" s="77"/>
      <c r="F73" s="76"/>
      <c r="G73" s="76" t="str">
        <f>"""NAV Direct"",""CRONUS JetCorp USA"",""32"",""1"",""34338"""</f>
        <v>"NAV Direct","CRONUS JetCorp USA","32","1","34338"</v>
      </c>
      <c r="H73" s="86">
        <v>43475</v>
      </c>
      <c r="I73" s="85">
        <v>34338</v>
      </c>
      <c r="J73" s="84" t="str">
        <f>"Customer"</f>
        <v>Customer</v>
      </c>
      <c r="K73" s="84" t="str">
        <f>"C100008"</f>
        <v>C100008</v>
      </c>
      <c r="L73" s="84" t="str">
        <f>IF($J73="Customer",_xll.NL("first",$J73,"Name","No.","@@"&amp;$K73),"")</f>
        <v>Blanemark Hifi Shop</v>
      </c>
      <c r="M73" s="84" t="str">
        <f>""</f>
        <v/>
      </c>
      <c r="N73" s="84" t="str">
        <f>IF($J73="Item",_xll.NL("first",$J73,"Description","No.","@@"&amp;$K73),"")</f>
        <v/>
      </c>
      <c r="O73" s="83">
        <v>0</v>
      </c>
      <c r="P73" s="83">
        <v>-1</v>
      </c>
      <c r="Q73" s="83">
        <v>0</v>
      </c>
      <c r="R73" s="83">
        <v>0</v>
      </c>
      <c r="S73" s="83">
        <v>0</v>
      </c>
      <c r="T73" s="83">
        <v>0</v>
      </c>
      <c r="U73" s="82"/>
    </row>
    <row r="74" spans="1:21" ht="17.25" customHeight="1" x14ac:dyDescent="0.3">
      <c r="A74" s="66" t="s">
        <v>30</v>
      </c>
      <c r="C74" s="67"/>
      <c r="D74" s="77"/>
      <c r="E74" s="77"/>
      <c r="F74" s="76"/>
      <c r="G74" s="76"/>
      <c r="H74" s="76"/>
      <c r="I74" s="76"/>
      <c r="J74" s="76"/>
      <c r="K74" s="76"/>
      <c r="L74" s="76"/>
      <c r="M74" s="76"/>
      <c r="N74" s="76"/>
      <c r="O74" s="75"/>
      <c r="P74" s="75"/>
      <c r="Q74" s="75"/>
      <c r="R74" s="75"/>
      <c r="S74" s="75"/>
      <c r="T74" s="75"/>
      <c r="U74" s="74"/>
    </row>
    <row r="75" spans="1:21" ht="17.25" customHeight="1" x14ac:dyDescent="0.3">
      <c r="A75" s="66" t="s">
        <v>30</v>
      </c>
      <c r="C75" s="67"/>
      <c r="D75" s="77"/>
      <c r="E75" s="77" t="s">
        <v>31</v>
      </c>
      <c r="F75" s="76" t="s">
        <v>31</v>
      </c>
      <c r="G75" s="76" t="s">
        <v>31</v>
      </c>
      <c r="H75" s="76"/>
      <c r="I75" s="76"/>
      <c r="J75" s="76" t="s">
        <v>31</v>
      </c>
      <c r="K75" s="76" t="s">
        <v>31</v>
      </c>
      <c r="L75" s="76" t="s">
        <v>31</v>
      </c>
      <c r="M75" s="76" t="s">
        <v>31</v>
      </c>
      <c r="N75" s="76"/>
      <c r="U75" s="81"/>
    </row>
    <row r="76" spans="1:21" ht="20.25" customHeight="1" x14ac:dyDescent="0.35">
      <c r="A76" s="66" t="s">
        <v>30</v>
      </c>
      <c r="C76" s="67"/>
      <c r="D76" s="92" t="str">
        <f t="shared" ref="D76" si="45">E76</f>
        <v>C100035</v>
      </c>
      <c r="E76" s="91" t="str">
        <f>"C100035"</f>
        <v>C100035</v>
      </c>
      <c r="F76" s="89" t="str">
        <f>"Calculator &amp; World Time Clock"</f>
        <v>Calculator &amp; World Time Clock</v>
      </c>
      <c r="G76" s="89"/>
      <c r="H76" s="90" t="str">
        <f>"EA"</f>
        <v>EA</v>
      </c>
      <c r="I76" s="89"/>
      <c r="J76" s="89"/>
      <c r="K76" s="89"/>
      <c r="L76" s="89"/>
      <c r="M76" s="89"/>
      <c r="N76" s="89"/>
      <c r="O76" s="88">
        <f>(SUBTOTAL(9,O77:O78))</f>
        <v>200</v>
      </c>
      <c r="P76" s="88">
        <f>(SUBTOTAL(9,P77:P78))</f>
        <v>0</v>
      </c>
      <c r="Q76" s="88">
        <f>(SUBTOTAL(9,Q77:Q78))</f>
        <v>0</v>
      </c>
      <c r="R76" s="88">
        <f>(SUBTOTAL(9,R77:R78))</f>
        <v>0</v>
      </c>
      <c r="S76" s="88">
        <f>(SUBTOTAL(9,S77:S78))</f>
        <v>0</v>
      </c>
      <c r="T76" s="88">
        <f>(SUBTOTAL(9,T77:T78))</f>
        <v>0</v>
      </c>
      <c r="U76" s="87">
        <f t="shared" ref="U76" si="46">SUBTOTAL(9,O77:T78)</f>
        <v>200</v>
      </c>
    </row>
    <row r="77" spans="1:21" ht="17.25" customHeight="1" x14ac:dyDescent="0.3">
      <c r="A77" s="66" t="s">
        <v>30</v>
      </c>
      <c r="C77" s="67"/>
      <c r="D77" s="77" t="str">
        <f t="shared" ref="D77" si="47">D76</f>
        <v>C100035</v>
      </c>
      <c r="E77" s="77"/>
      <c r="F77" s="76"/>
      <c r="G77" s="76" t="str">
        <f>"""NAV Direct"",""CRONUS JetCorp USA"",""32"",""1"",""167596"""</f>
        <v>"NAV Direct","CRONUS JetCorp USA","32","1","167596"</v>
      </c>
      <c r="H77" s="86">
        <v>43466</v>
      </c>
      <c r="I77" s="85">
        <v>167596</v>
      </c>
      <c r="J77" s="84" t="str">
        <f>"Vendor"</f>
        <v>Vendor</v>
      </c>
      <c r="K77" s="84" t="str">
        <f>"V100047"</f>
        <v>V100047</v>
      </c>
      <c r="L77" s="84" t="str">
        <f>IF($J77="Customer",_xll.NL("first",$J77,"Name","No.","@@"&amp;$K77),"")</f>
        <v/>
      </c>
      <c r="M77" s="84" t="str">
        <f>"WoodMart Supply Co."</f>
        <v>WoodMart Supply Co.</v>
      </c>
      <c r="N77" s="84" t="str">
        <f>IF($J77="Item",_xll.NL("first",$J77,"Description","No.","@@"&amp;$K77),"")</f>
        <v/>
      </c>
      <c r="O77" s="83">
        <v>200</v>
      </c>
      <c r="P77" s="83">
        <v>0</v>
      </c>
      <c r="Q77" s="83">
        <v>0</v>
      </c>
      <c r="R77" s="83">
        <v>0</v>
      </c>
      <c r="S77" s="83">
        <v>0</v>
      </c>
      <c r="T77" s="83">
        <v>0</v>
      </c>
      <c r="U77" s="82"/>
    </row>
    <row r="78" spans="1:21" ht="17.25" customHeight="1" x14ac:dyDescent="0.3">
      <c r="A78" s="66" t="s">
        <v>30</v>
      </c>
      <c r="C78" s="67"/>
      <c r="D78" s="77"/>
      <c r="E78" s="77"/>
      <c r="F78" s="76"/>
      <c r="G78" s="76"/>
      <c r="H78" s="76"/>
      <c r="I78" s="76"/>
      <c r="J78" s="76"/>
      <c r="K78" s="76"/>
      <c r="L78" s="76"/>
      <c r="M78" s="76"/>
      <c r="N78" s="76"/>
      <c r="O78" s="75"/>
      <c r="P78" s="75"/>
      <c r="Q78" s="75"/>
      <c r="R78" s="75"/>
      <c r="S78" s="75"/>
      <c r="T78" s="75"/>
      <c r="U78" s="74"/>
    </row>
    <row r="79" spans="1:21" ht="17.25" customHeight="1" x14ac:dyDescent="0.3">
      <c r="A79" s="66" t="s">
        <v>30</v>
      </c>
      <c r="C79" s="67"/>
      <c r="D79" s="77"/>
      <c r="E79" s="77" t="s">
        <v>31</v>
      </c>
      <c r="F79" s="76" t="s">
        <v>31</v>
      </c>
      <c r="G79" s="76" t="s">
        <v>31</v>
      </c>
      <c r="H79" s="76"/>
      <c r="I79" s="76"/>
      <c r="J79" s="76" t="s">
        <v>31</v>
      </c>
      <c r="K79" s="76" t="s">
        <v>31</v>
      </c>
      <c r="L79" s="76" t="s">
        <v>31</v>
      </c>
      <c r="M79" s="76" t="s">
        <v>31</v>
      </c>
      <c r="N79" s="76"/>
      <c r="U79" s="81"/>
    </row>
    <row r="80" spans="1:21" ht="20.25" customHeight="1" x14ac:dyDescent="0.35">
      <c r="A80" s="66" t="s">
        <v>30</v>
      </c>
      <c r="C80" s="67"/>
      <c r="D80" s="92" t="str">
        <f t="shared" ref="D80" si="48">E80</f>
        <v>C100062</v>
      </c>
      <c r="E80" s="91" t="str">
        <f>"C100062"</f>
        <v>C100062</v>
      </c>
      <c r="F80" s="89" t="str">
        <f>"Tall Matte Finish Mug"</f>
        <v>Tall Matte Finish Mug</v>
      </c>
      <c r="G80" s="89"/>
      <c r="H80" s="90" t="str">
        <f>"EA"</f>
        <v>EA</v>
      </c>
      <c r="I80" s="89"/>
      <c r="J80" s="89"/>
      <c r="K80" s="89"/>
      <c r="L80" s="89"/>
      <c r="M80" s="89"/>
      <c r="N80" s="89"/>
      <c r="O80" s="88">
        <f>(SUBTOTAL(9,O81:O82))</f>
        <v>499.99999999999994</v>
      </c>
      <c r="P80" s="88">
        <f>(SUBTOTAL(9,P81:P82))</f>
        <v>0</v>
      </c>
      <c r="Q80" s="88">
        <f>(SUBTOTAL(9,Q81:Q82))</f>
        <v>0</v>
      </c>
      <c r="R80" s="88">
        <f>(SUBTOTAL(9,R81:R82))</f>
        <v>0</v>
      </c>
      <c r="S80" s="88">
        <f>(SUBTOTAL(9,S81:S82))</f>
        <v>0</v>
      </c>
      <c r="T80" s="88">
        <f>(SUBTOTAL(9,T81:T82))</f>
        <v>0</v>
      </c>
      <c r="U80" s="87">
        <f t="shared" ref="U80" si="49">SUBTOTAL(9,O81:T82)</f>
        <v>499.99999999999994</v>
      </c>
    </row>
    <row r="81" spans="1:21" ht="17.25" customHeight="1" x14ac:dyDescent="0.3">
      <c r="A81" s="66" t="s">
        <v>30</v>
      </c>
      <c r="C81" s="67"/>
      <c r="D81" s="77" t="str">
        <f t="shared" ref="D81" si="50">D80</f>
        <v>C100062</v>
      </c>
      <c r="E81" s="77"/>
      <c r="F81" s="76"/>
      <c r="G81" s="76" t="str">
        <f>"""NAV Direct"",""CRONUS JetCorp USA"",""32"",""1"",""168652"""</f>
        <v>"NAV Direct","CRONUS JetCorp USA","32","1","168652"</v>
      </c>
      <c r="H81" s="86">
        <v>43466</v>
      </c>
      <c r="I81" s="85">
        <v>168652</v>
      </c>
      <c r="J81" s="84" t="str">
        <f>"Vendor"</f>
        <v>Vendor</v>
      </c>
      <c r="K81" s="84" t="str">
        <f>"V100047"</f>
        <v>V100047</v>
      </c>
      <c r="L81" s="84" t="str">
        <f>IF($J81="Customer",_xll.NL("first",$J81,"Name","No.","@@"&amp;$K81),"")</f>
        <v/>
      </c>
      <c r="M81" s="84" t="str">
        <f>"WoodMart Supply Co."</f>
        <v>WoodMart Supply Co.</v>
      </c>
      <c r="N81" s="84" t="str">
        <f>IF($J81="Item",_xll.NL("first",$J81,"Description","No.","@@"&amp;$K81),"")</f>
        <v/>
      </c>
      <c r="O81" s="83">
        <v>499.99999999999994</v>
      </c>
      <c r="P81" s="83">
        <v>0</v>
      </c>
      <c r="Q81" s="83">
        <v>0</v>
      </c>
      <c r="R81" s="83">
        <v>0</v>
      </c>
      <c r="S81" s="83">
        <v>0</v>
      </c>
      <c r="T81" s="83">
        <v>0</v>
      </c>
      <c r="U81" s="82"/>
    </row>
    <row r="82" spans="1:21" ht="17.25" customHeight="1" x14ac:dyDescent="0.3">
      <c r="A82" s="66" t="s">
        <v>30</v>
      </c>
      <c r="C82" s="67"/>
      <c r="D82" s="77"/>
      <c r="E82" s="77"/>
      <c r="F82" s="76"/>
      <c r="G82" s="76"/>
      <c r="H82" s="76"/>
      <c r="I82" s="76"/>
      <c r="J82" s="76"/>
      <c r="K82" s="76"/>
      <c r="L82" s="76"/>
      <c r="M82" s="76"/>
      <c r="N82" s="76"/>
      <c r="O82" s="75"/>
      <c r="P82" s="75"/>
      <c r="Q82" s="75"/>
      <c r="R82" s="75"/>
      <c r="S82" s="75"/>
      <c r="T82" s="75"/>
      <c r="U82" s="74"/>
    </row>
    <row r="83" spans="1:21" ht="17.25" customHeight="1" x14ac:dyDescent="0.3">
      <c r="A83" s="66" t="s">
        <v>30</v>
      </c>
      <c r="C83" s="67"/>
      <c r="D83" s="77"/>
      <c r="E83" s="77" t="s">
        <v>31</v>
      </c>
      <c r="F83" s="76" t="s">
        <v>31</v>
      </c>
      <c r="G83" s="76" t="s">
        <v>31</v>
      </c>
      <c r="H83" s="76"/>
      <c r="I83" s="76"/>
      <c r="J83" s="76" t="s">
        <v>31</v>
      </c>
      <c r="K83" s="76" t="s">
        <v>31</v>
      </c>
      <c r="L83" s="76" t="s">
        <v>31</v>
      </c>
      <c r="M83" s="76" t="s">
        <v>31</v>
      </c>
      <c r="N83" s="76"/>
      <c r="U83" s="81"/>
    </row>
    <row r="84" spans="1:21" ht="20.25" customHeight="1" x14ac:dyDescent="0.35">
      <c r="A84" s="66" t="s">
        <v>30</v>
      </c>
      <c r="C84" s="67"/>
      <c r="D84" s="92" t="str">
        <f t="shared" ref="D84" si="51">E84</f>
        <v>C100063</v>
      </c>
      <c r="E84" s="91" t="str">
        <f>"C100063"</f>
        <v>C100063</v>
      </c>
      <c r="F84" s="89" t="str">
        <f>"Soup Mug"</f>
        <v>Soup Mug</v>
      </c>
      <c r="G84" s="89"/>
      <c r="H84" s="90" t="str">
        <f>"EA"</f>
        <v>EA</v>
      </c>
      <c r="I84" s="89"/>
      <c r="J84" s="89"/>
      <c r="K84" s="89"/>
      <c r="L84" s="89"/>
      <c r="M84" s="89"/>
      <c r="N84" s="89"/>
      <c r="O84" s="88">
        <f>(SUBTOTAL(9,O85:O86))</f>
        <v>249.99999999999997</v>
      </c>
      <c r="P84" s="88">
        <f>(SUBTOTAL(9,P85:P86))</f>
        <v>0</v>
      </c>
      <c r="Q84" s="88">
        <f>(SUBTOTAL(9,Q85:Q86))</f>
        <v>0</v>
      </c>
      <c r="R84" s="88">
        <f>(SUBTOTAL(9,R85:R86))</f>
        <v>0</v>
      </c>
      <c r="S84" s="88">
        <f>(SUBTOTAL(9,S85:S86))</f>
        <v>0</v>
      </c>
      <c r="T84" s="88">
        <f>(SUBTOTAL(9,T85:T86))</f>
        <v>0</v>
      </c>
      <c r="U84" s="87">
        <f t="shared" ref="U84" si="52">SUBTOTAL(9,O85:T86)</f>
        <v>249.99999999999997</v>
      </c>
    </row>
    <row r="85" spans="1:21" ht="17.25" customHeight="1" x14ac:dyDescent="0.3">
      <c r="A85" s="66" t="s">
        <v>30</v>
      </c>
      <c r="C85" s="67"/>
      <c r="D85" s="77" t="str">
        <f t="shared" ref="D85" si="53">D84</f>
        <v>C100063</v>
      </c>
      <c r="E85" s="77"/>
      <c r="F85" s="76"/>
      <c r="G85" s="76" t="str">
        <f>"""NAV Direct"",""CRONUS JetCorp USA"",""32"",""1"",""168651"""</f>
        <v>"NAV Direct","CRONUS JetCorp USA","32","1","168651"</v>
      </c>
      <c r="H85" s="86">
        <v>43466</v>
      </c>
      <c r="I85" s="85">
        <v>168651</v>
      </c>
      <c r="J85" s="84" t="str">
        <f>"Vendor"</f>
        <v>Vendor</v>
      </c>
      <c r="K85" s="84" t="str">
        <f>"V100047"</f>
        <v>V100047</v>
      </c>
      <c r="L85" s="84" t="str">
        <f>IF($J85="Customer",_xll.NL("first",$J85,"Name","No.","@@"&amp;$K85),"")</f>
        <v/>
      </c>
      <c r="M85" s="84" t="str">
        <f>"WoodMart Supply Co."</f>
        <v>WoodMart Supply Co.</v>
      </c>
      <c r="N85" s="84" t="str">
        <f>IF($J85="Item",_xll.NL("first",$J85,"Description","No.","@@"&amp;$K85),"")</f>
        <v/>
      </c>
      <c r="O85" s="83">
        <v>249.99999999999997</v>
      </c>
      <c r="P85" s="83">
        <v>0</v>
      </c>
      <c r="Q85" s="83">
        <v>0</v>
      </c>
      <c r="R85" s="83">
        <v>0</v>
      </c>
      <c r="S85" s="83">
        <v>0</v>
      </c>
      <c r="T85" s="83">
        <v>0</v>
      </c>
      <c r="U85" s="82"/>
    </row>
    <row r="86" spans="1:21" ht="17.25" customHeight="1" x14ac:dyDescent="0.3">
      <c r="A86" s="66" t="s">
        <v>30</v>
      </c>
      <c r="C86" s="67"/>
      <c r="D86" s="77"/>
      <c r="E86" s="77"/>
      <c r="F86" s="76"/>
      <c r="G86" s="76"/>
      <c r="H86" s="76"/>
      <c r="I86" s="76"/>
      <c r="J86" s="76"/>
      <c r="K86" s="76"/>
      <c r="L86" s="76"/>
      <c r="M86" s="76"/>
      <c r="N86" s="76"/>
      <c r="O86" s="75"/>
      <c r="P86" s="75"/>
      <c r="Q86" s="75"/>
      <c r="R86" s="75"/>
      <c r="S86" s="75"/>
      <c r="T86" s="75"/>
      <c r="U86" s="74"/>
    </row>
    <row r="87" spans="1:21" ht="17.25" customHeight="1" x14ac:dyDescent="0.3">
      <c r="A87" s="66" t="s">
        <v>30</v>
      </c>
      <c r="C87" s="67"/>
      <c r="D87" s="77"/>
      <c r="E87" s="77" t="s">
        <v>31</v>
      </c>
      <c r="F87" s="76" t="s">
        <v>31</v>
      </c>
      <c r="G87" s="76" t="s">
        <v>31</v>
      </c>
      <c r="H87" s="76"/>
      <c r="I87" s="76"/>
      <c r="J87" s="76" t="s">
        <v>31</v>
      </c>
      <c r="K87" s="76" t="s">
        <v>31</v>
      </c>
      <c r="L87" s="76" t="s">
        <v>31</v>
      </c>
      <c r="M87" s="76" t="s">
        <v>31</v>
      </c>
      <c r="N87" s="76"/>
      <c r="U87" s="81"/>
    </row>
    <row r="88" spans="1:21" ht="20.25" customHeight="1" x14ac:dyDescent="0.35">
      <c r="A88" s="66" t="s">
        <v>30</v>
      </c>
      <c r="C88" s="67"/>
      <c r="D88" s="92" t="str">
        <f t="shared" ref="D88" si="54">E88</f>
        <v>E100004</v>
      </c>
      <c r="E88" s="91" t="str">
        <f>"E100004"</f>
        <v>E100004</v>
      </c>
      <c r="F88" s="89" t="str">
        <f>"Laminated Tote"</f>
        <v>Laminated Tote</v>
      </c>
      <c r="G88" s="89"/>
      <c r="H88" s="90" t="str">
        <f>"EA"</f>
        <v>EA</v>
      </c>
      <c r="I88" s="89"/>
      <c r="J88" s="89"/>
      <c r="K88" s="89"/>
      <c r="L88" s="89"/>
      <c r="M88" s="89"/>
      <c r="N88" s="89"/>
      <c r="O88" s="88">
        <f>(SUBTOTAL(9,O89:O90))</f>
        <v>400</v>
      </c>
      <c r="P88" s="88">
        <f>(SUBTOTAL(9,P89:P90))</f>
        <v>0</v>
      </c>
      <c r="Q88" s="88">
        <f>(SUBTOTAL(9,Q89:Q90))</f>
        <v>0</v>
      </c>
      <c r="R88" s="88">
        <f>(SUBTOTAL(9,R89:R90))</f>
        <v>0</v>
      </c>
      <c r="S88" s="88">
        <f>(SUBTOTAL(9,S89:S90))</f>
        <v>0</v>
      </c>
      <c r="T88" s="88">
        <f>(SUBTOTAL(9,T89:T90))</f>
        <v>0</v>
      </c>
      <c r="U88" s="87">
        <f t="shared" ref="U88" si="55">SUBTOTAL(9,O89:T90)</f>
        <v>400</v>
      </c>
    </row>
    <row r="89" spans="1:21" ht="17.25" customHeight="1" x14ac:dyDescent="0.3">
      <c r="A89" s="66" t="s">
        <v>30</v>
      </c>
      <c r="C89" s="67"/>
      <c r="D89" s="77" t="str">
        <f t="shared" ref="D89" si="56">D88</f>
        <v>E100004</v>
      </c>
      <c r="E89" s="77"/>
      <c r="F89" s="76"/>
      <c r="G89" s="76" t="str">
        <f>"""NAV Direct"",""CRONUS JetCorp USA"",""32"",""1"",""166782"""</f>
        <v>"NAV Direct","CRONUS JetCorp USA","32","1","166782"</v>
      </c>
      <c r="H89" s="86">
        <v>43466</v>
      </c>
      <c r="I89" s="85">
        <v>166782</v>
      </c>
      <c r="J89" s="84" t="str">
        <f>"Vendor"</f>
        <v>Vendor</v>
      </c>
      <c r="K89" s="84" t="str">
        <f>"V100047"</f>
        <v>V100047</v>
      </c>
      <c r="L89" s="84" t="str">
        <f>IF($J89="Customer",_xll.NL("first",$J89,"Name","No.","@@"&amp;$K89),"")</f>
        <v/>
      </c>
      <c r="M89" s="84" t="str">
        <f>"WoodMart Supply Co."</f>
        <v>WoodMart Supply Co.</v>
      </c>
      <c r="N89" s="84" t="str">
        <f>IF($J89="Item",_xll.NL("first",$J89,"Description","No.","@@"&amp;$K89),"")</f>
        <v/>
      </c>
      <c r="O89" s="83">
        <v>400</v>
      </c>
      <c r="P89" s="83">
        <v>0</v>
      </c>
      <c r="Q89" s="83">
        <v>0</v>
      </c>
      <c r="R89" s="83">
        <v>0</v>
      </c>
      <c r="S89" s="83">
        <v>0</v>
      </c>
      <c r="T89" s="83">
        <v>0</v>
      </c>
      <c r="U89" s="82"/>
    </row>
    <row r="90" spans="1:21" ht="17.25" customHeight="1" x14ac:dyDescent="0.3">
      <c r="A90" s="66" t="s">
        <v>30</v>
      </c>
      <c r="C90" s="67"/>
      <c r="D90" s="77"/>
      <c r="E90" s="77"/>
      <c r="F90" s="76"/>
      <c r="G90" s="76"/>
      <c r="H90" s="76"/>
      <c r="I90" s="76"/>
      <c r="J90" s="76"/>
      <c r="K90" s="76"/>
      <c r="L90" s="76"/>
      <c r="M90" s="76"/>
      <c r="N90" s="76"/>
      <c r="O90" s="75"/>
      <c r="P90" s="75"/>
      <c r="Q90" s="75"/>
      <c r="R90" s="75"/>
      <c r="S90" s="75"/>
      <c r="T90" s="75"/>
      <c r="U90" s="74"/>
    </row>
    <row r="91" spans="1:21" ht="17.25" customHeight="1" x14ac:dyDescent="0.3">
      <c r="A91" s="66" t="s">
        <v>30</v>
      </c>
      <c r="C91" s="67"/>
      <c r="D91" s="77"/>
      <c r="E91" s="77" t="s">
        <v>31</v>
      </c>
      <c r="F91" s="76" t="s">
        <v>31</v>
      </c>
      <c r="G91" s="76" t="s">
        <v>31</v>
      </c>
      <c r="H91" s="76"/>
      <c r="I91" s="76"/>
      <c r="J91" s="76" t="s">
        <v>31</v>
      </c>
      <c r="K91" s="76" t="s">
        <v>31</v>
      </c>
      <c r="L91" s="76" t="s">
        <v>31</v>
      </c>
      <c r="M91" s="76" t="s">
        <v>31</v>
      </c>
      <c r="N91" s="76"/>
      <c r="U91" s="81"/>
    </row>
    <row r="92" spans="1:21" ht="20.25" customHeight="1" x14ac:dyDescent="0.35">
      <c r="A92" s="66" t="s">
        <v>30</v>
      </c>
      <c r="C92" s="67"/>
      <c r="D92" s="92" t="str">
        <f t="shared" ref="D92" si="57">E92</f>
        <v>E100008</v>
      </c>
      <c r="E92" s="91" t="str">
        <f>"E100008"</f>
        <v>E100008</v>
      </c>
      <c r="F92" s="89" t="str">
        <f>"Super Shopper"</f>
        <v>Super Shopper</v>
      </c>
      <c r="G92" s="89"/>
      <c r="H92" s="90" t="str">
        <f>"EA"</f>
        <v>EA</v>
      </c>
      <c r="I92" s="89"/>
      <c r="J92" s="89"/>
      <c r="K92" s="89"/>
      <c r="L92" s="89"/>
      <c r="M92" s="89"/>
      <c r="N92" s="89"/>
      <c r="O92" s="88">
        <f>(SUBTOTAL(9,O93:O94))</f>
        <v>400</v>
      </c>
      <c r="P92" s="88">
        <f>(SUBTOTAL(9,P93:P94))</f>
        <v>0</v>
      </c>
      <c r="Q92" s="88">
        <f>(SUBTOTAL(9,Q93:Q94))</f>
        <v>0</v>
      </c>
      <c r="R92" s="88">
        <f>(SUBTOTAL(9,R93:R94))</f>
        <v>0</v>
      </c>
      <c r="S92" s="88">
        <f>(SUBTOTAL(9,S93:S94))</f>
        <v>0</v>
      </c>
      <c r="T92" s="88">
        <f>(SUBTOTAL(9,T93:T94))</f>
        <v>0</v>
      </c>
      <c r="U92" s="87">
        <f t="shared" ref="U92" si="58">SUBTOTAL(9,O93:T94)</f>
        <v>400</v>
      </c>
    </row>
    <row r="93" spans="1:21" ht="17.25" customHeight="1" x14ac:dyDescent="0.3">
      <c r="A93" s="66" t="s">
        <v>30</v>
      </c>
      <c r="C93" s="67"/>
      <c r="D93" s="77" t="str">
        <f t="shared" ref="D93" si="59">D92</f>
        <v>E100008</v>
      </c>
      <c r="E93" s="77"/>
      <c r="F93" s="76"/>
      <c r="G93" s="76" t="str">
        <f>"""NAV Direct"",""CRONUS JetCorp USA"",""32"",""1"",""166781"""</f>
        <v>"NAV Direct","CRONUS JetCorp USA","32","1","166781"</v>
      </c>
      <c r="H93" s="86">
        <v>43466</v>
      </c>
      <c r="I93" s="85">
        <v>166781</v>
      </c>
      <c r="J93" s="84" t="str">
        <f>"Vendor"</f>
        <v>Vendor</v>
      </c>
      <c r="K93" s="84" t="str">
        <f>"V100047"</f>
        <v>V100047</v>
      </c>
      <c r="L93" s="84" t="str">
        <f>IF($J93="Customer",_xll.NL("first",$J93,"Name","No.","@@"&amp;$K93),"")</f>
        <v/>
      </c>
      <c r="M93" s="84" t="str">
        <f>"WoodMart Supply Co."</f>
        <v>WoodMart Supply Co.</v>
      </c>
      <c r="N93" s="84" t="str">
        <f>IF($J93="Item",_xll.NL("first",$J93,"Description","No.","@@"&amp;$K93),"")</f>
        <v/>
      </c>
      <c r="O93" s="83">
        <v>400</v>
      </c>
      <c r="P93" s="83">
        <v>0</v>
      </c>
      <c r="Q93" s="83">
        <v>0</v>
      </c>
      <c r="R93" s="83">
        <v>0</v>
      </c>
      <c r="S93" s="83">
        <v>0</v>
      </c>
      <c r="T93" s="83">
        <v>0</v>
      </c>
      <c r="U93" s="82"/>
    </row>
    <row r="94" spans="1:21" ht="17.25" customHeight="1" x14ac:dyDescent="0.3">
      <c r="A94" s="66" t="s">
        <v>30</v>
      </c>
      <c r="C94" s="67"/>
      <c r="D94" s="77"/>
      <c r="E94" s="77"/>
      <c r="F94" s="76"/>
      <c r="G94" s="76"/>
      <c r="H94" s="76"/>
      <c r="I94" s="76"/>
      <c r="J94" s="76"/>
      <c r="K94" s="76"/>
      <c r="L94" s="76"/>
      <c r="M94" s="76"/>
      <c r="N94" s="76"/>
      <c r="O94" s="75"/>
      <c r="P94" s="75"/>
      <c r="Q94" s="75"/>
      <c r="R94" s="75"/>
      <c r="S94" s="75"/>
      <c r="T94" s="75"/>
      <c r="U94" s="74"/>
    </row>
    <row r="95" spans="1:21" ht="17.25" customHeight="1" x14ac:dyDescent="0.3">
      <c r="A95" s="66" t="s">
        <v>30</v>
      </c>
      <c r="C95" s="67"/>
      <c r="D95" s="77"/>
      <c r="E95" s="77" t="s">
        <v>31</v>
      </c>
      <c r="F95" s="76" t="s">
        <v>31</v>
      </c>
      <c r="G95" s="76" t="s">
        <v>31</v>
      </c>
      <c r="H95" s="76"/>
      <c r="I95" s="76"/>
      <c r="J95" s="76" t="s">
        <v>31</v>
      </c>
      <c r="K95" s="76" t="s">
        <v>31</v>
      </c>
      <c r="L95" s="76" t="s">
        <v>31</v>
      </c>
      <c r="M95" s="76" t="s">
        <v>31</v>
      </c>
      <c r="N95" s="76"/>
      <c r="U95" s="81"/>
    </row>
    <row r="96" spans="1:21" ht="20.25" customHeight="1" x14ac:dyDescent="0.35">
      <c r="A96" s="66" t="s">
        <v>30</v>
      </c>
      <c r="C96" s="67"/>
      <c r="D96" s="92" t="str">
        <f t="shared" ref="D96" si="60">E96</f>
        <v>E100009</v>
      </c>
      <c r="E96" s="91" t="str">
        <f>"E100009"</f>
        <v>E100009</v>
      </c>
      <c r="F96" s="89" t="str">
        <f>"Die-Cut Tote"</f>
        <v>Die-Cut Tote</v>
      </c>
      <c r="G96" s="89"/>
      <c r="H96" s="90" t="str">
        <f>"EA"</f>
        <v>EA</v>
      </c>
      <c r="I96" s="89"/>
      <c r="J96" s="89"/>
      <c r="K96" s="89"/>
      <c r="L96" s="89"/>
      <c r="M96" s="89"/>
      <c r="N96" s="89"/>
      <c r="O96" s="88">
        <f>(SUBTOTAL(9,O97:O98))</f>
        <v>400</v>
      </c>
      <c r="P96" s="88">
        <f>(SUBTOTAL(9,P97:P98))</f>
        <v>0</v>
      </c>
      <c r="Q96" s="88">
        <f>(SUBTOTAL(9,Q97:Q98))</f>
        <v>0</v>
      </c>
      <c r="R96" s="88">
        <f>(SUBTOTAL(9,R97:R98))</f>
        <v>0</v>
      </c>
      <c r="S96" s="88">
        <f>(SUBTOTAL(9,S97:S98))</f>
        <v>0</v>
      </c>
      <c r="T96" s="88">
        <f>(SUBTOTAL(9,T97:T98))</f>
        <v>0</v>
      </c>
      <c r="U96" s="87">
        <f t="shared" ref="U96" si="61">SUBTOTAL(9,O97:T98)</f>
        <v>400</v>
      </c>
    </row>
    <row r="97" spans="1:21" ht="17.25" customHeight="1" x14ac:dyDescent="0.3">
      <c r="A97" s="66" t="s">
        <v>30</v>
      </c>
      <c r="C97" s="67"/>
      <c r="D97" s="77" t="str">
        <f t="shared" ref="D97" si="62">D96</f>
        <v>E100009</v>
      </c>
      <c r="E97" s="77"/>
      <c r="F97" s="76"/>
      <c r="G97" s="76" t="str">
        <f>"""NAV Direct"",""CRONUS JetCorp USA"",""32"",""1"",""166780"""</f>
        <v>"NAV Direct","CRONUS JetCorp USA","32","1","166780"</v>
      </c>
      <c r="H97" s="86">
        <v>43466</v>
      </c>
      <c r="I97" s="85">
        <v>166780</v>
      </c>
      <c r="J97" s="84" t="str">
        <f>"Vendor"</f>
        <v>Vendor</v>
      </c>
      <c r="K97" s="84" t="str">
        <f>"V100047"</f>
        <v>V100047</v>
      </c>
      <c r="L97" s="84" t="str">
        <f>IF($J97="Customer",_xll.NL("first",$J97,"Name","No.","@@"&amp;$K97),"")</f>
        <v/>
      </c>
      <c r="M97" s="84" t="str">
        <f>"WoodMart Supply Co."</f>
        <v>WoodMart Supply Co.</v>
      </c>
      <c r="N97" s="84" t="str">
        <f>IF($J97="Item",_xll.NL("first",$J97,"Description","No.","@@"&amp;$K97),"")</f>
        <v/>
      </c>
      <c r="O97" s="83">
        <v>400</v>
      </c>
      <c r="P97" s="83">
        <v>0</v>
      </c>
      <c r="Q97" s="83">
        <v>0</v>
      </c>
      <c r="R97" s="83">
        <v>0</v>
      </c>
      <c r="S97" s="83">
        <v>0</v>
      </c>
      <c r="T97" s="83">
        <v>0</v>
      </c>
      <c r="U97" s="82"/>
    </row>
    <row r="98" spans="1:21" ht="17.25" customHeight="1" x14ac:dyDescent="0.3">
      <c r="A98" s="66" t="s">
        <v>30</v>
      </c>
      <c r="C98" s="67"/>
      <c r="D98" s="77"/>
      <c r="E98" s="77"/>
      <c r="F98" s="76"/>
      <c r="G98" s="76"/>
      <c r="H98" s="76"/>
      <c r="I98" s="76"/>
      <c r="J98" s="76"/>
      <c r="K98" s="76"/>
      <c r="L98" s="76"/>
      <c r="M98" s="76"/>
      <c r="N98" s="76"/>
      <c r="O98" s="75"/>
      <c r="P98" s="75"/>
      <c r="Q98" s="75"/>
      <c r="R98" s="75"/>
      <c r="S98" s="75"/>
      <c r="T98" s="75"/>
      <c r="U98" s="74"/>
    </row>
    <row r="99" spans="1:21" ht="17.25" customHeight="1" x14ac:dyDescent="0.3">
      <c r="A99" s="66" t="s">
        <v>30</v>
      </c>
      <c r="C99" s="67"/>
      <c r="D99" s="77"/>
      <c r="E99" s="77" t="s">
        <v>31</v>
      </c>
      <c r="F99" s="76" t="s">
        <v>31</v>
      </c>
      <c r="G99" s="76" t="s">
        <v>31</v>
      </c>
      <c r="H99" s="76"/>
      <c r="I99" s="76"/>
      <c r="J99" s="76" t="s">
        <v>31</v>
      </c>
      <c r="K99" s="76" t="s">
        <v>31</v>
      </c>
      <c r="L99" s="76" t="s">
        <v>31</v>
      </c>
      <c r="M99" s="76" t="s">
        <v>31</v>
      </c>
      <c r="N99" s="76"/>
      <c r="U99" s="81"/>
    </row>
    <row r="100" spans="1:21" ht="20.25" customHeight="1" x14ac:dyDescent="0.35">
      <c r="A100" s="66" t="s">
        <v>30</v>
      </c>
      <c r="C100" s="67"/>
      <c r="D100" s="92" t="str">
        <f t="shared" ref="D100" si="63">E100</f>
        <v>E100010</v>
      </c>
      <c r="E100" s="91" t="str">
        <f>"E100010"</f>
        <v>E100010</v>
      </c>
      <c r="F100" s="89" t="str">
        <f>"Vinyl Tote"</f>
        <v>Vinyl Tote</v>
      </c>
      <c r="G100" s="89"/>
      <c r="H100" s="90" t="str">
        <f>"EA"</f>
        <v>EA</v>
      </c>
      <c r="I100" s="89"/>
      <c r="J100" s="89"/>
      <c r="K100" s="89"/>
      <c r="L100" s="89"/>
      <c r="M100" s="89"/>
      <c r="N100" s="89"/>
      <c r="O100" s="88">
        <f>(SUBTOTAL(9,O101:O102))</f>
        <v>200</v>
      </c>
      <c r="P100" s="88">
        <f>(SUBTOTAL(9,P101:P102))</f>
        <v>0</v>
      </c>
      <c r="Q100" s="88">
        <f>(SUBTOTAL(9,Q101:Q102))</f>
        <v>0</v>
      </c>
      <c r="R100" s="88">
        <f>(SUBTOTAL(9,R101:R102))</f>
        <v>0</v>
      </c>
      <c r="S100" s="88">
        <f>(SUBTOTAL(9,S101:S102))</f>
        <v>0</v>
      </c>
      <c r="T100" s="88">
        <f>(SUBTOTAL(9,T101:T102))</f>
        <v>0</v>
      </c>
      <c r="U100" s="87">
        <f t="shared" ref="U100" si="64">SUBTOTAL(9,O101:T102)</f>
        <v>200</v>
      </c>
    </row>
    <row r="101" spans="1:21" ht="17.25" customHeight="1" x14ac:dyDescent="0.3">
      <c r="A101" s="66" t="s">
        <v>30</v>
      </c>
      <c r="C101" s="67"/>
      <c r="D101" s="77" t="str">
        <f t="shared" ref="D101" si="65">D100</f>
        <v>E100010</v>
      </c>
      <c r="E101" s="77"/>
      <c r="F101" s="76"/>
      <c r="G101" s="76" t="str">
        <f>"""NAV Direct"",""CRONUS JetCorp USA"",""32"",""1"",""166779"""</f>
        <v>"NAV Direct","CRONUS JetCorp USA","32","1","166779"</v>
      </c>
      <c r="H101" s="86">
        <v>43466</v>
      </c>
      <c r="I101" s="85">
        <v>166779</v>
      </c>
      <c r="J101" s="84" t="str">
        <f>"Vendor"</f>
        <v>Vendor</v>
      </c>
      <c r="K101" s="84" t="str">
        <f>"V100047"</f>
        <v>V100047</v>
      </c>
      <c r="L101" s="84" t="str">
        <f>IF($J101="Customer",_xll.NL("first",$J101,"Name","No.","@@"&amp;$K101),"")</f>
        <v/>
      </c>
      <c r="M101" s="84" t="str">
        <f>"WoodMart Supply Co."</f>
        <v>WoodMart Supply Co.</v>
      </c>
      <c r="N101" s="84" t="str">
        <f>IF($J101="Item",_xll.NL("first",$J101,"Description","No.","@@"&amp;$K101),"")</f>
        <v/>
      </c>
      <c r="O101" s="83">
        <v>200</v>
      </c>
      <c r="P101" s="83">
        <v>0</v>
      </c>
      <c r="Q101" s="83">
        <v>0</v>
      </c>
      <c r="R101" s="83">
        <v>0</v>
      </c>
      <c r="S101" s="83">
        <v>0</v>
      </c>
      <c r="T101" s="83">
        <v>0</v>
      </c>
      <c r="U101" s="82"/>
    </row>
    <row r="102" spans="1:21" ht="17.25" customHeight="1" x14ac:dyDescent="0.3">
      <c r="A102" s="66" t="s">
        <v>30</v>
      </c>
      <c r="C102" s="67"/>
      <c r="D102" s="77"/>
      <c r="E102" s="77"/>
      <c r="F102" s="76"/>
      <c r="G102" s="76"/>
      <c r="H102" s="76"/>
      <c r="I102" s="76"/>
      <c r="J102" s="76"/>
      <c r="K102" s="76"/>
      <c r="L102" s="76"/>
      <c r="M102" s="76"/>
      <c r="N102" s="76"/>
      <c r="O102" s="75"/>
      <c r="P102" s="75"/>
      <c r="Q102" s="75"/>
      <c r="R102" s="75"/>
      <c r="S102" s="75"/>
      <c r="T102" s="75"/>
      <c r="U102" s="74"/>
    </row>
    <row r="103" spans="1:21" ht="17.25" customHeight="1" x14ac:dyDescent="0.3">
      <c r="A103" s="66" t="s">
        <v>30</v>
      </c>
      <c r="C103" s="67"/>
      <c r="D103" s="77"/>
      <c r="E103" s="77" t="s">
        <v>31</v>
      </c>
      <c r="F103" s="76" t="s">
        <v>31</v>
      </c>
      <c r="G103" s="76" t="s">
        <v>31</v>
      </c>
      <c r="H103" s="76"/>
      <c r="I103" s="76"/>
      <c r="J103" s="76" t="s">
        <v>31</v>
      </c>
      <c r="K103" s="76" t="s">
        <v>31</v>
      </c>
      <c r="L103" s="76" t="s">
        <v>31</v>
      </c>
      <c r="M103" s="76" t="s">
        <v>31</v>
      </c>
      <c r="N103" s="76"/>
      <c r="U103" s="81"/>
    </row>
    <row r="104" spans="1:21" ht="20.25" customHeight="1" x14ac:dyDescent="0.35">
      <c r="A104" s="66" t="s">
        <v>30</v>
      </c>
      <c r="C104" s="67"/>
      <c r="D104" s="92" t="str">
        <f t="shared" ref="D104" si="66">E104</f>
        <v>E100011</v>
      </c>
      <c r="E104" s="91" t="str">
        <f>"E100011"</f>
        <v>E100011</v>
      </c>
      <c r="F104" s="89" t="str">
        <f>"Plastic Sun Visor"</f>
        <v>Plastic Sun Visor</v>
      </c>
      <c r="G104" s="89"/>
      <c r="H104" s="90" t="str">
        <f>"EA"</f>
        <v>EA</v>
      </c>
      <c r="I104" s="89"/>
      <c r="J104" s="89"/>
      <c r="K104" s="89"/>
      <c r="L104" s="89"/>
      <c r="M104" s="89"/>
      <c r="N104" s="89"/>
      <c r="O104" s="88">
        <f>(SUBTOTAL(9,O105:O107))</f>
        <v>400</v>
      </c>
      <c r="P104" s="88">
        <f>(SUBTOTAL(9,P105:P107))</f>
        <v>-1</v>
      </c>
      <c r="Q104" s="88">
        <f>(SUBTOTAL(9,Q105:Q107))</f>
        <v>0</v>
      </c>
      <c r="R104" s="88">
        <f>(SUBTOTAL(9,R105:R107))</f>
        <v>0</v>
      </c>
      <c r="S104" s="88">
        <f>(SUBTOTAL(9,S105:S107))</f>
        <v>0</v>
      </c>
      <c r="T104" s="88">
        <f>(SUBTOTAL(9,T105:T107))</f>
        <v>0</v>
      </c>
      <c r="U104" s="87">
        <f t="shared" ref="U104" si="67">SUBTOTAL(9,O105:T107)</f>
        <v>399</v>
      </c>
    </row>
    <row r="105" spans="1:21" ht="17.25" customHeight="1" x14ac:dyDescent="0.3">
      <c r="A105" s="66" t="s">
        <v>30</v>
      </c>
      <c r="C105" s="67"/>
      <c r="D105" s="77" t="str">
        <f t="shared" ref="D105" si="68">D104</f>
        <v>E100011</v>
      </c>
      <c r="E105" s="77"/>
      <c r="F105" s="76"/>
      <c r="G105" s="76" t="str">
        <f>"""NAV Direct"",""CRONUS JetCorp USA"",""32"",""1"",""167149"""</f>
        <v>"NAV Direct","CRONUS JetCorp USA","32","1","167149"</v>
      </c>
      <c r="H105" s="86">
        <v>43466</v>
      </c>
      <c r="I105" s="85">
        <v>167149</v>
      </c>
      <c r="J105" s="84" t="str">
        <f>"Vendor"</f>
        <v>Vendor</v>
      </c>
      <c r="K105" s="84" t="str">
        <f>"V100047"</f>
        <v>V100047</v>
      </c>
      <c r="L105" s="84" t="str">
        <f>IF($J105="Customer",_xll.NL("first",$J105,"Name","No.","@@"&amp;$K105),"")</f>
        <v/>
      </c>
      <c r="M105" s="84" t="str">
        <f>"WoodMart Supply Co."</f>
        <v>WoodMart Supply Co.</v>
      </c>
      <c r="N105" s="84" t="str">
        <f>IF($J105="Item",_xll.NL("first",$J105,"Description","No.","@@"&amp;$K105),"")</f>
        <v/>
      </c>
      <c r="O105" s="83">
        <v>400</v>
      </c>
      <c r="P105" s="83">
        <v>0</v>
      </c>
      <c r="Q105" s="83">
        <v>0</v>
      </c>
      <c r="R105" s="83">
        <v>0</v>
      </c>
      <c r="S105" s="83">
        <v>0</v>
      </c>
      <c r="T105" s="83">
        <v>0</v>
      </c>
      <c r="U105" s="82"/>
    </row>
    <row r="106" spans="1:21" ht="17.25" customHeight="1" x14ac:dyDescent="0.3">
      <c r="A106" s="66" t="s">
        <v>30</v>
      </c>
      <c r="C106" s="67"/>
      <c r="D106" s="77" t="str">
        <f t="shared" ref="D106" si="69">D105</f>
        <v>E100011</v>
      </c>
      <c r="E106" s="77"/>
      <c r="F106" s="76"/>
      <c r="G106" s="76" t="str">
        <f>"""NAV Direct"",""CRONUS JetCorp USA"",""32"",""1"",""34344"""</f>
        <v>"NAV Direct","CRONUS JetCorp USA","32","1","34344"</v>
      </c>
      <c r="H106" s="86">
        <v>43475</v>
      </c>
      <c r="I106" s="85">
        <v>34344</v>
      </c>
      <c r="J106" s="84" t="str">
        <f>"Customer"</f>
        <v>Customer</v>
      </c>
      <c r="K106" s="84" t="str">
        <f>"C100008"</f>
        <v>C100008</v>
      </c>
      <c r="L106" s="84" t="str">
        <f>IF($J106="Customer",_xll.NL("first",$J106,"Name","No.","@@"&amp;$K106),"")</f>
        <v>Blanemark Hifi Shop</v>
      </c>
      <c r="M106" s="84" t="str">
        <f>""</f>
        <v/>
      </c>
      <c r="N106" s="84" t="str">
        <f>IF($J106="Item",_xll.NL("first",$J106,"Description","No.","@@"&amp;$K106),"")</f>
        <v/>
      </c>
      <c r="O106" s="83">
        <v>0</v>
      </c>
      <c r="P106" s="83">
        <v>-1</v>
      </c>
      <c r="Q106" s="83">
        <v>0</v>
      </c>
      <c r="R106" s="83">
        <v>0</v>
      </c>
      <c r="S106" s="83">
        <v>0</v>
      </c>
      <c r="T106" s="83">
        <v>0</v>
      </c>
      <c r="U106" s="82"/>
    </row>
    <row r="107" spans="1:21" ht="17.25" customHeight="1" x14ac:dyDescent="0.3">
      <c r="A107" s="66" t="s">
        <v>30</v>
      </c>
      <c r="C107" s="67"/>
      <c r="D107" s="77"/>
      <c r="E107" s="77"/>
      <c r="F107" s="76"/>
      <c r="G107" s="76"/>
      <c r="H107" s="76"/>
      <c r="I107" s="76"/>
      <c r="J107" s="76"/>
      <c r="K107" s="76"/>
      <c r="L107" s="76"/>
      <c r="M107" s="76"/>
      <c r="N107" s="76"/>
      <c r="O107" s="75"/>
      <c r="P107" s="75"/>
      <c r="Q107" s="75"/>
      <c r="R107" s="75"/>
      <c r="S107" s="75"/>
      <c r="T107" s="75"/>
      <c r="U107" s="74"/>
    </row>
    <row r="108" spans="1:21" ht="17.25" customHeight="1" x14ac:dyDescent="0.3">
      <c r="A108" s="66" t="s">
        <v>30</v>
      </c>
      <c r="C108" s="67"/>
      <c r="D108" s="77"/>
      <c r="E108" s="77" t="s">
        <v>31</v>
      </c>
      <c r="F108" s="76" t="s">
        <v>31</v>
      </c>
      <c r="G108" s="76" t="s">
        <v>31</v>
      </c>
      <c r="H108" s="76"/>
      <c r="I108" s="76"/>
      <c r="J108" s="76" t="s">
        <v>31</v>
      </c>
      <c r="K108" s="76" t="s">
        <v>31</v>
      </c>
      <c r="L108" s="76" t="s">
        <v>31</v>
      </c>
      <c r="M108" s="76" t="s">
        <v>31</v>
      </c>
      <c r="N108" s="76"/>
      <c r="U108" s="81"/>
    </row>
    <row r="109" spans="1:21" ht="20.25" customHeight="1" x14ac:dyDescent="0.35">
      <c r="A109" s="66" t="s">
        <v>30</v>
      </c>
      <c r="C109" s="67"/>
      <c r="D109" s="92" t="str">
        <f t="shared" ref="D109" si="70">E109</f>
        <v>E100012</v>
      </c>
      <c r="E109" s="91" t="str">
        <f>"E100012"</f>
        <v>E100012</v>
      </c>
      <c r="F109" s="89" t="str">
        <f>"Canvas Stopwatch"</f>
        <v>Canvas Stopwatch</v>
      </c>
      <c r="G109" s="89"/>
      <c r="H109" s="90" t="str">
        <f>"EA"</f>
        <v>EA</v>
      </c>
      <c r="I109" s="89"/>
      <c r="J109" s="89"/>
      <c r="K109" s="89"/>
      <c r="L109" s="89"/>
      <c r="M109" s="89"/>
      <c r="N109" s="89"/>
      <c r="O109" s="88">
        <f>(SUBTOTAL(9,O110:O112))</f>
        <v>400</v>
      </c>
      <c r="P109" s="88">
        <f>(SUBTOTAL(9,P110:P112))</f>
        <v>-288</v>
      </c>
      <c r="Q109" s="88">
        <f>(SUBTOTAL(9,Q110:Q112))</f>
        <v>0</v>
      </c>
      <c r="R109" s="88">
        <f>(SUBTOTAL(9,R110:R112))</f>
        <v>0</v>
      </c>
      <c r="S109" s="88">
        <f>(SUBTOTAL(9,S110:S112))</f>
        <v>0</v>
      </c>
      <c r="T109" s="88">
        <f>(SUBTOTAL(9,T110:T112))</f>
        <v>0</v>
      </c>
      <c r="U109" s="87">
        <f t="shared" ref="U109" si="71">SUBTOTAL(9,O110:T112)</f>
        <v>112</v>
      </c>
    </row>
    <row r="110" spans="1:21" ht="17.25" customHeight="1" x14ac:dyDescent="0.3">
      <c r="A110" s="66" t="s">
        <v>30</v>
      </c>
      <c r="C110" s="67"/>
      <c r="D110" s="77" t="str">
        <f t="shared" ref="D110" si="72">D109</f>
        <v>E100012</v>
      </c>
      <c r="E110" s="77"/>
      <c r="F110" s="76"/>
      <c r="G110" s="76" t="str">
        <f>"""NAV Direct"",""CRONUS JetCorp USA"",""32"",""1"",""167595"""</f>
        <v>"NAV Direct","CRONUS JetCorp USA","32","1","167595"</v>
      </c>
      <c r="H110" s="86">
        <v>43466</v>
      </c>
      <c r="I110" s="85">
        <v>167595</v>
      </c>
      <c r="J110" s="84" t="str">
        <f>"Vendor"</f>
        <v>Vendor</v>
      </c>
      <c r="K110" s="84" t="str">
        <f>"V100047"</f>
        <v>V100047</v>
      </c>
      <c r="L110" s="84" t="str">
        <f>IF($J110="Customer",_xll.NL("first",$J110,"Name","No.","@@"&amp;$K110),"")</f>
        <v/>
      </c>
      <c r="M110" s="84" t="str">
        <f>"WoodMart Supply Co."</f>
        <v>WoodMart Supply Co.</v>
      </c>
      <c r="N110" s="84" t="str">
        <f>IF($J110="Item",_xll.NL("first",$J110,"Description","No.","@@"&amp;$K110),"")</f>
        <v/>
      </c>
      <c r="O110" s="83">
        <v>400</v>
      </c>
      <c r="P110" s="83">
        <v>0</v>
      </c>
      <c r="Q110" s="83">
        <v>0</v>
      </c>
      <c r="R110" s="83">
        <v>0</v>
      </c>
      <c r="S110" s="83">
        <v>0</v>
      </c>
      <c r="T110" s="83">
        <v>0</v>
      </c>
      <c r="U110" s="82"/>
    </row>
    <row r="111" spans="1:21" ht="17.25" customHeight="1" x14ac:dyDescent="0.3">
      <c r="A111" s="66" t="s">
        <v>30</v>
      </c>
      <c r="C111" s="67"/>
      <c r="D111" s="77" t="str">
        <f t="shared" ref="D111" si="73">D110</f>
        <v>E100012</v>
      </c>
      <c r="E111" s="77"/>
      <c r="F111" s="76"/>
      <c r="G111" s="76" t="str">
        <f>"""NAV Direct"",""CRONUS JetCorp USA"",""32"",""1"",""34332"""</f>
        <v>"NAV Direct","CRONUS JetCorp USA","32","1","34332"</v>
      </c>
      <c r="H111" s="86">
        <v>43475</v>
      </c>
      <c r="I111" s="85">
        <v>34332</v>
      </c>
      <c r="J111" s="84" t="str">
        <f>"Customer"</f>
        <v>Customer</v>
      </c>
      <c r="K111" s="84" t="str">
        <f>"C100008"</f>
        <v>C100008</v>
      </c>
      <c r="L111" s="84" t="str">
        <f>IF($J111="Customer",_xll.NL("first",$J111,"Name","No.","@@"&amp;$K111),"")</f>
        <v>Blanemark Hifi Shop</v>
      </c>
      <c r="M111" s="84" t="str">
        <f>""</f>
        <v/>
      </c>
      <c r="N111" s="84" t="str">
        <f>IF($J111="Item",_xll.NL("first",$J111,"Description","No.","@@"&amp;$K111),"")</f>
        <v/>
      </c>
      <c r="O111" s="83">
        <v>0</v>
      </c>
      <c r="P111" s="83">
        <v>-288</v>
      </c>
      <c r="Q111" s="83">
        <v>0</v>
      </c>
      <c r="R111" s="83">
        <v>0</v>
      </c>
      <c r="S111" s="83">
        <v>0</v>
      </c>
      <c r="T111" s="83">
        <v>0</v>
      </c>
      <c r="U111" s="82"/>
    </row>
    <row r="112" spans="1:21" ht="17.25" customHeight="1" x14ac:dyDescent="0.3">
      <c r="A112" s="66" t="s">
        <v>30</v>
      </c>
      <c r="C112" s="67"/>
      <c r="D112" s="77"/>
      <c r="E112" s="77"/>
      <c r="F112" s="76"/>
      <c r="G112" s="76"/>
      <c r="H112" s="76"/>
      <c r="I112" s="76"/>
      <c r="J112" s="76"/>
      <c r="K112" s="76"/>
      <c r="L112" s="76"/>
      <c r="M112" s="76"/>
      <c r="N112" s="76"/>
      <c r="O112" s="75"/>
      <c r="P112" s="75"/>
      <c r="Q112" s="75"/>
      <c r="R112" s="75"/>
      <c r="S112" s="75"/>
      <c r="T112" s="75"/>
      <c r="U112" s="74"/>
    </row>
    <row r="113" spans="1:21" ht="17.25" customHeight="1" x14ac:dyDescent="0.3">
      <c r="A113" s="66" t="s">
        <v>30</v>
      </c>
      <c r="C113" s="67"/>
      <c r="D113" s="77"/>
      <c r="E113" s="77" t="s">
        <v>31</v>
      </c>
      <c r="F113" s="76" t="s">
        <v>31</v>
      </c>
      <c r="G113" s="76" t="s">
        <v>31</v>
      </c>
      <c r="H113" s="76"/>
      <c r="I113" s="76"/>
      <c r="J113" s="76" t="s">
        <v>31</v>
      </c>
      <c r="K113" s="76" t="s">
        <v>31</v>
      </c>
      <c r="L113" s="76" t="s">
        <v>31</v>
      </c>
      <c r="M113" s="76" t="s">
        <v>31</v>
      </c>
      <c r="N113" s="76"/>
      <c r="U113" s="81"/>
    </row>
    <row r="114" spans="1:21" ht="20.25" customHeight="1" x14ac:dyDescent="0.35">
      <c r="A114" s="66" t="s">
        <v>30</v>
      </c>
      <c r="C114" s="67"/>
      <c r="D114" s="92" t="str">
        <f t="shared" ref="D114" si="74">E114</f>
        <v>E100014</v>
      </c>
      <c r="E114" s="91" t="str">
        <f>"E100014"</f>
        <v>E100014</v>
      </c>
      <c r="F114" s="89" t="str">
        <f>"Stopwatch with Neck Rope"</f>
        <v>Stopwatch with Neck Rope</v>
      </c>
      <c r="G114" s="89"/>
      <c r="H114" s="90" t="str">
        <f>"EA"</f>
        <v>EA</v>
      </c>
      <c r="I114" s="89"/>
      <c r="J114" s="89"/>
      <c r="K114" s="89"/>
      <c r="L114" s="89"/>
      <c r="M114" s="89"/>
      <c r="N114" s="89"/>
      <c r="O114" s="88">
        <f>(SUBTOTAL(9,O115:O116))</f>
        <v>200</v>
      </c>
      <c r="P114" s="88">
        <f>(SUBTOTAL(9,P115:P116))</f>
        <v>0</v>
      </c>
      <c r="Q114" s="88">
        <f>(SUBTOTAL(9,Q115:Q116))</f>
        <v>0</v>
      </c>
      <c r="R114" s="88">
        <f>(SUBTOTAL(9,R115:R116))</f>
        <v>0</v>
      </c>
      <c r="S114" s="88">
        <f>(SUBTOTAL(9,S115:S116))</f>
        <v>0</v>
      </c>
      <c r="T114" s="88">
        <f>(SUBTOTAL(9,T115:T116))</f>
        <v>0</v>
      </c>
      <c r="U114" s="87">
        <f t="shared" ref="U114" si="75">SUBTOTAL(9,O115:T116)</f>
        <v>200</v>
      </c>
    </row>
    <row r="115" spans="1:21" ht="17.25" customHeight="1" x14ac:dyDescent="0.3">
      <c r="A115" s="66" t="s">
        <v>30</v>
      </c>
      <c r="C115" s="67"/>
      <c r="D115" s="77" t="str">
        <f t="shared" ref="D115" si="76">D114</f>
        <v>E100014</v>
      </c>
      <c r="E115" s="77"/>
      <c r="F115" s="76"/>
      <c r="G115" s="76" t="str">
        <f>"""NAV Direct"",""CRONUS JetCorp USA"",""32"",""1"",""167594"""</f>
        <v>"NAV Direct","CRONUS JetCorp USA","32","1","167594"</v>
      </c>
      <c r="H115" s="86">
        <v>43466</v>
      </c>
      <c r="I115" s="85">
        <v>167594</v>
      </c>
      <c r="J115" s="84" t="str">
        <f>"Vendor"</f>
        <v>Vendor</v>
      </c>
      <c r="K115" s="84" t="str">
        <f>"V100047"</f>
        <v>V100047</v>
      </c>
      <c r="L115" s="84" t="str">
        <f>IF($J115="Customer",_xll.NL("first",$J115,"Name","No.","@@"&amp;$K115),"")</f>
        <v/>
      </c>
      <c r="M115" s="84" t="str">
        <f>"WoodMart Supply Co."</f>
        <v>WoodMart Supply Co.</v>
      </c>
      <c r="N115" s="84" t="str">
        <f>IF($J115="Item",_xll.NL("first",$J115,"Description","No.","@@"&amp;$K115),"")</f>
        <v/>
      </c>
      <c r="O115" s="83">
        <v>200</v>
      </c>
      <c r="P115" s="83">
        <v>0</v>
      </c>
      <c r="Q115" s="83">
        <v>0</v>
      </c>
      <c r="R115" s="83">
        <v>0</v>
      </c>
      <c r="S115" s="83">
        <v>0</v>
      </c>
      <c r="T115" s="83">
        <v>0</v>
      </c>
      <c r="U115" s="82"/>
    </row>
    <row r="116" spans="1:21" ht="17.25" customHeight="1" x14ac:dyDescent="0.3">
      <c r="A116" s="66" t="s">
        <v>30</v>
      </c>
      <c r="C116" s="67"/>
      <c r="D116" s="77"/>
      <c r="E116" s="77"/>
      <c r="F116" s="76"/>
      <c r="G116" s="76"/>
      <c r="H116" s="76"/>
      <c r="I116" s="76"/>
      <c r="J116" s="76"/>
      <c r="K116" s="76"/>
      <c r="L116" s="76"/>
      <c r="M116" s="76"/>
      <c r="N116" s="76"/>
      <c r="O116" s="75"/>
      <c r="P116" s="75"/>
      <c r="Q116" s="75"/>
      <c r="R116" s="75"/>
      <c r="S116" s="75"/>
      <c r="T116" s="75"/>
      <c r="U116" s="74"/>
    </row>
    <row r="117" spans="1:21" ht="17.25" customHeight="1" x14ac:dyDescent="0.3">
      <c r="A117" s="66" t="s">
        <v>30</v>
      </c>
      <c r="C117" s="67"/>
      <c r="D117" s="77"/>
      <c r="E117" s="77" t="s">
        <v>31</v>
      </c>
      <c r="F117" s="76" t="s">
        <v>31</v>
      </c>
      <c r="G117" s="76" t="s">
        <v>31</v>
      </c>
      <c r="H117" s="76"/>
      <c r="I117" s="76"/>
      <c r="J117" s="76" t="s">
        <v>31</v>
      </c>
      <c r="K117" s="76" t="s">
        <v>31</v>
      </c>
      <c r="L117" s="76" t="s">
        <v>31</v>
      </c>
      <c r="M117" s="76" t="s">
        <v>31</v>
      </c>
      <c r="N117" s="76"/>
      <c r="U117" s="81"/>
    </row>
    <row r="118" spans="1:21" ht="20.25" customHeight="1" x14ac:dyDescent="0.35">
      <c r="A118" s="66" t="s">
        <v>30</v>
      </c>
      <c r="C118" s="67"/>
      <c r="D118" s="92" t="str">
        <f t="shared" ref="D118" si="77">E118</f>
        <v>E100015</v>
      </c>
      <c r="E118" s="91" t="str">
        <f>"E100015"</f>
        <v>E100015</v>
      </c>
      <c r="F118" s="89" t="str">
        <f>"360 Clip Watch"</f>
        <v>360 Clip Watch</v>
      </c>
      <c r="G118" s="89"/>
      <c r="H118" s="90" t="str">
        <f>"EA"</f>
        <v>EA</v>
      </c>
      <c r="I118" s="89"/>
      <c r="J118" s="89"/>
      <c r="K118" s="89"/>
      <c r="L118" s="89"/>
      <c r="M118" s="89"/>
      <c r="N118" s="89"/>
      <c r="O118" s="88">
        <f>(SUBTOTAL(9,O119:O121))</f>
        <v>200</v>
      </c>
      <c r="P118" s="88">
        <f>(SUBTOTAL(9,P119:P121))</f>
        <v>-144</v>
      </c>
      <c r="Q118" s="88">
        <f>(SUBTOTAL(9,Q119:Q121))</f>
        <v>0</v>
      </c>
      <c r="R118" s="88">
        <f>(SUBTOTAL(9,R119:R121))</f>
        <v>0</v>
      </c>
      <c r="S118" s="88">
        <f>(SUBTOTAL(9,S119:S121))</f>
        <v>0</v>
      </c>
      <c r="T118" s="88">
        <f>(SUBTOTAL(9,T119:T121))</f>
        <v>0</v>
      </c>
      <c r="U118" s="87">
        <f t="shared" ref="U118" si="78">SUBTOTAL(9,O119:T121)</f>
        <v>56</v>
      </c>
    </row>
    <row r="119" spans="1:21" ht="17.25" customHeight="1" x14ac:dyDescent="0.3">
      <c r="A119" s="66" t="s">
        <v>30</v>
      </c>
      <c r="C119" s="67"/>
      <c r="D119" s="77" t="str">
        <f t="shared" ref="D119" si="79">D118</f>
        <v>E100015</v>
      </c>
      <c r="E119" s="77"/>
      <c r="F119" s="76"/>
      <c r="G119" s="76" t="str">
        <f>"""NAV Direct"",""CRONUS JetCorp USA"",""32"",""1"",""167593"""</f>
        <v>"NAV Direct","CRONUS JetCorp USA","32","1","167593"</v>
      </c>
      <c r="H119" s="86">
        <v>43466</v>
      </c>
      <c r="I119" s="85">
        <v>167593</v>
      </c>
      <c r="J119" s="84" t="str">
        <f>"Vendor"</f>
        <v>Vendor</v>
      </c>
      <c r="K119" s="84" t="str">
        <f>"V100047"</f>
        <v>V100047</v>
      </c>
      <c r="L119" s="84" t="str">
        <f>IF($J119="Customer",_xll.NL("first",$J119,"Name","No.","@@"&amp;$K119),"")</f>
        <v/>
      </c>
      <c r="M119" s="84" t="str">
        <f>"WoodMart Supply Co."</f>
        <v>WoodMart Supply Co.</v>
      </c>
      <c r="N119" s="84" t="str">
        <f>IF($J119="Item",_xll.NL("first",$J119,"Description","No.","@@"&amp;$K119),"")</f>
        <v/>
      </c>
      <c r="O119" s="83">
        <v>200</v>
      </c>
      <c r="P119" s="83">
        <v>0</v>
      </c>
      <c r="Q119" s="83">
        <v>0</v>
      </c>
      <c r="R119" s="83">
        <v>0</v>
      </c>
      <c r="S119" s="83">
        <v>0</v>
      </c>
      <c r="T119" s="83">
        <v>0</v>
      </c>
      <c r="U119" s="82"/>
    </row>
    <row r="120" spans="1:21" ht="17.25" customHeight="1" x14ac:dyDescent="0.3">
      <c r="A120" s="66" t="s">
        <v>30</v>
      </c>
      <c r="C120" s="67"/>
      <c r="D120" s="77" t="str">
        <f t="shared" ref="D120" si="80">D119</f>
        <v>E100015</v>
      </c>
      <c r="E120" s="77"/>
      <c r="F120" s="76"/>
      <c r="G120" s="76" t="str">
        <f>"""NAV Direct"",""CRONUS JetCorp USA"",""32"",""1"",""34336"""</f>
        <v>"NAV Direct","CRONUS JetCorp USA","32","1","34336"</v>
      </c>
      <c r="H120" s="86">
        <v>43475</v>
      </c>
      <c r="I120" s="85">
        <v>34336</v>
      </c>
      <c r="J120" s="84" t="str">
        <f>"Customer"</f>
        <v>Customer</v>
      </c>
      <c r="K120" s="84" t="str">
        <f>"C100008"</f>
        <v>C100008</v>
      </c>
      <c r="L120" s="84" t="str">
        <f>IF($J120="Customer",_xll.NL("first",$J120,"Name","No.","@@"&amp;$K120),"")</f>
        <v>Blanemark Hifi Shop</v>
      </c>
      <c r="M120" s="84" t="str">
        <f>""</f>
        <v/>
      </c>
      <c r="N120" s="84" t="str">
        <f>IF($J120="Item",_xll.NL("first",$J120,"Description","No.","@@"&amp;$K120),"")</f>
        <v/>
      </c>
      <c r="O120" s="83">
        <v>0</v>
      </c>
      <c r="P120" s="83">
        <v>-144</v>
      </c>
      <c r="Q120" s="83">
        <v>0</v>
      </c>
      <c r="R120" s="83">
        <v>0</v>
      </c>
      <c r="S120" s="83">
        <v>0</v>
      </c>
      <c r="T120" s="83">
        <v>0</v>
      </c>
      <c r="U120" s="82"/>
    </row>
    <row r="121" spans="1:21" ht="17.25" customHeight="1" x14ac:dyDescent="0.3">
      <c r="A121" s="66" t="s">
        <v>30</v>
      </c>
      <c r="C121" s="67"/>
      <c r="D121" s="77"/>
      <c r="E121" s="77"/>
      <c r="F121" s="76"/>
      <c r="G121" s="76"/>
      <c r="H121" s="76"/>
      <c r="I121" s="76"/>
      <c r="J121" s="76"/>
      <c r="K121" s="76"/>
      <c r="L121" s="76"/>
      <c r="M121" s="76"/>
      <c r="N121" s="76"/>
      <c r="O121" s="75"/>
      <c r="P121" s="75"/>
      <c r="Q121" s="75"/>
      <c r="R121" s="75"/>
      <c r="S121" s="75"/>
      <c r="T121" s="75"/>
      <c r="U121" s="74"/>
    </row>
    <row r="122" spans="1:21" ht="17.25" customHeight="1" x14ac:dyDescent="0.3">
      <c r="A122" s="66" t="s">
        <v>30</v>
      </c>
      <c r="C122" s="67"/>
      <c r="D122" s="77"/>
      <c r="E122" s="77" t="s">
        <v>31</v>
      </c>
      <c r="F122" s="76" t="s">
        <v>31</v>
      </c>
      <c r="G122" s="76" t="s">
        <v>31</v>
      </c>
      <c r="H122" s="76"/>
      <c r="I122" s="76"/>
      <c r="J122" s="76" t="s">
        <v>31</v>
      </c>
      <c r="K122" s="76" t="s">
        <v>31</v>
      </c>
      <c r="L122" s="76" t="s">
        <v>31</v>
      </c>
      <c r="M122" s="76" t="s">
        <v>31</v>
      </c>
      <c r="N122" s="76"/>
      <c r="U122" s="81"/>
    </row>
    <row r="123" spans="1:21" ht="20.25" customHeight="1" x14ac:dyDescent="0.35">
      <c r="A123" s="66" t="s">
        <v>30</v>
      </c>
      <c r="C123" s="67"/>
      <c r="D123" s="92" t="str">
        <f t="shared" ref="D123" si="81">E123</f>
        <v>E100016</v>
      </c>
      <c r="E123" s="91" t="str">
        <f>"E100016"</f>
        <v>E100016</v>
      </c>
      <c r="F123" s="89" t="str">
        <f>"4 Function Rotating Carabiner Watch"</f>
        <v>4 Function Rotating Carabiner Watch</v>
      </c>
      <c r="G123" s="89"/>
      <c r="H123" s="90" t="str">
        <f>"EA"</f>
        <v>EA</v>
      </c>
      <c r="I123" s="89"/>
      <c r="J123" s="89"/>
      <c r="K123" s="89"/>
      <c r="L123" s="89"/>
      <c r="M123" s="89"/>
      <c r="N123" s="89"/>
      <c r="O123" s="88">
        <f>(SUBTOTAL(9,O124:O125))</f>
        <v>400</v>
      </c>
      <c r="P123" s="88">
        <f>(SUBTOTAL(9,P124:P125))</f>
        <v>0</v>
      </c>
      <c r="Q123" s="88">
        <f>(SUBTOTAL(9,Q124:Q125))</f>
        <v>0</v>
      </c>
      <c r="R123" s="88">
        <f>(SUBTOTAL(9,R124:R125))</f>
        <v>0</v>
      </c>
      <c r="S123" s="88">
        <f>(SUBTOTAL(9,S124:S125))</f>
        <v>0</v>
      </c>
      <c r="T123" s="88">
        <f>(SUBTOTAL(9,T124:T125))</f>
        <v>0</v>
      </c>
      <c r="U123" s="87">
        <f t="shared" ref="U123" si="82">SUBTOTAL(9,O124:T125)</f>
        <v>400</v>
      </c>
    </row>
    <row r="124" spans="1:21" ht="17.25" customHeight="1" x14ac:dyDescent="0.3">
      <c r="A124" s="66" t="s">
        <v>30</v>
      </c>
      <c r="C124" s="67"/>
      <c r="D124" s="77" t="str">
        <f t="shared" ref="D124" si="83">D123</f>
        <v>E100016</v>
      </c>
      <c r="E124" s="77"/>
      <c r="F124" s="76"/>
      <c r="G124" s="76" t="str">
        <f>"""NAV Direct"",""CRONUS JetCorp USA"",""32"",""1"",""167592"""</f>
        <v>"NAV Direct","CRONUS JetCorp USA","32","1","167592"</v>
      </c>
      <c r="H124" s="86">
        <v>43466</v>
      </c>
      <c r="I124" s="85">
        <v>167592</v>
      </c>
      <c r="J124" s="84" t="str">
        <f>"Vendor"</f>
        <v>Vendor</v>
      </c>
      <c r="K124" s="84" t="str">
        <f>"V100047"</f>
        <v>V100047</v>
      </c>
      <c r="L124" s="84" t="str">
        <f>IF($J124="Customer",_xll.NL("first",$J124,"Name","No.","@@"&amp;$K124),"")</f>
        <v/>
      </c>
      <c r="M124" s="84" t="str">
        <f>"WoodMart Supply Co."</f>
        <v>WoodMart Supply Co.</v>
      </c>
      <c r="N124" s="84" t="str">
        <f>IF($J124="Item",_xll.NL("first",$J124,"Description","No.","@@"&amp;$K124),"")</f>
        <v/>
      </c>
      <c r="O124" s="83">
        <v>400</v>
      </c>
      <c r="P124" s="83">
        <v>0</v>
      </c>
      <c r="Q124" s="83">
        <v>0</v>
      </c>
      <c r="R124" s="83">
        <v>0</v>
      </c>
      <c r="S124" s="83">
        <v>0</v>
      </c>
      <c r="T124" s="83">
        <v>0</v>
      </c>
      <c r="U124" s="82"/>
    </row>
    <row r="125" spans="1:21" ht="17.25" customHeight="1" x14ac:dyDescent="0.3">
      <c r="A125" s="66" t="s">
        <v>30</v>
      </c>
      <c r="C125" s="67"/>
      <c r="D125" s="77"/>
      <c r="E125" s="77"/>
      <c r="F125" s="76"/>
      <c r="G125" s="76"/>
      <c r="H125" s="76"/>
      <c r="I125" s="76"/>
      <c r="J125" s="76"/>
      <c r="K125" s="76"/>
      <c r="L125" s="76"/>
      <c r="M125" s="76"/>
      <c r="N125" s="76"/>
      <c r="O125" s="75"/>
      <c r="P125" s="75"/>
      <c r="Q125" s="75"/>
      <c r="R125" s="75"/>
      <c r="S125" s="75"/>
      <c r="T125" s="75"/>
      <c r="U125" s="74"/>
    </row>
    <row r="126" spans="1:21" ht="17.25" customHeight="1" x14ac:dyDescent="0.3">
      <c r="A126" s="66" t="s">
        <v>30</v>
      </c>
      <c r="C126" s="67"/>
      <c r="D126" s="77"/>
      <c r="E126" s="77" t="s">
        <v>31</v>
      </c>
      <c r="F126" s="76" t="s">
        <v>31</v>
      </c>
      <c r="G126" s="76" t="s">
        <v>31</v>
      </c>
      <c r="H126" s="76"/>
      <c r="I126" s="76"/>
      <c r="J126" s="76" t="s">
        <v>31</v>
      </c>
      <c r="K126" s="76" t="s">
        <v>31</v>
      </c>
      <c r="L126" s="76" t="s">
        <v>31</v>
      </c>
      <c r="M126" s="76" t="s">
        <v>31</v>
      </c>
      <c r="N126" s="76"/>
      <c r="U126" s="81"/>
    </row>
    <row r="127" spans="1:21" ht="20.25" customHeight="1" x14ac:dyDescent="0.35">
      <c r="A127" s="66" t="s">
        <v>30</v>
      </c>
      <c r="C127" s="67"/>
      <c r="D127" s="92" t="str">
        <f t="shared" ref="D127" si="84">E127</f>
        <v>E100017</v>
      </c>
      <c r="E127" s="91" t="str">
        <f>"E100017"</f>
        <v>E100017</v>
      </c>
      <c r="F127" s="89" t="str">
        <f>"Clip-on Clock with Compass"</f>
        <v>Clip-on Clock with Compass</v>
      </c>
      <c r="G127" s="89"/>
      <c r="H127" s="90" t="str">
        <f>"EA"</f>
        <v>EA</v>
      </c>
      <c r="I127" s="89"/>
      <c r="J127" s="89"/>
      <c r="K127" s="89"/>
      <c r="L127" s="89"/>
      <c r="M127" s="89"/>
      <c r="N127" s="89"/>
      <c r="O127" s="88">
        <f>(SUBTOTAL(9,O128:O129))</f>
        <v>200</v>
      </c>
      <c r="P127" s="88">
        <f>(SUBTOTAL(9,P128:P129))</f>
        <v>0</v>
      </c>
      <c r="Q127" s="88">
        <f>(SUBTOTAL(9,Q128:Q129))</f>
        <v>0</v>
      </c>
      <c r="R127" s="88">
        <f>(SUBTOTAL(9,R128:R129))</f>
        <v>0</v>
      </c>
      <c r="S127" s="88">
        <f>(SUBTOTAL(9,S128:S129))</f>
        <v>0</v>
      </c>
      <c r="T127" s="88">
        <f>(SUBTOTAL(9,T128:T129))</f>
        <v>0</v>
      </c>
      <c r="U127" s="87">
        <f t="shared" ref="U127" si="85">SUBTOTAL(9,O128:T129)</f>
        <v>200</v>
      </c>
    </row>
    <row r="128" spans="1:21" ht="17.25" customHeight="1" x14ac:dyDescent="0.3">
      <c r="A128" s="66" t="s">
        <v>30</v>
      </c>
      <c r="C128" s="67"/>
      <c r="D128" s="77" t="str">
        <f t="shared" ref="D128" si="86">D127</f>
        <v>E100017</v>
      </c>
      <c r="E128" s="77"/>
      <c r="F128" s="76"/>
      <c r="G128" s="76" t="str">
        <f>"""NAV Direct"",""CRONUS JetCorp USA"",""32"",""1"",""167591"""</f>
        <v>"NAV Direct","CRONUS JetCorp USA","32","1","167591"</v>
      </c>
      <c r="H128" s="86">
        <v>43466</v>
      </c>
      <c r="I128" s="85">
        <v>167591</v>
      </c>
      <c r="J128" s="84" t="str">
        <f>"Vendor"</f>
        <v>Vendor</v>
      </c>
      <c r="K128" s="84" t="str">
        <f>"V100047"</f>
        <v>V100047</v>
      </c>
      <c r="L128" s="84" t="str">
        <f>IF($J128="Customer",_xll.NL("first",$J128,"Name","No.","@@"&amp;$K128),"")</f>
        <v/>
      </c>
      <c r="M128" s="84" t="str">
        <f>"WoodMart Supply Co."</f>
        <v>WoodMart Supply Co.</v>
      </c>
      <c r="N128" s="84" t="str">
        <f>IF($J128="Item",_xll.NL("first",$J128,"Description","No.","@@"&amp;$K128),"")</f>
        <v/>
      </c>
      <c r="O128" s="83">
        <v>200</v>
      </c>
      <c r="P128" s="83">
        <v>0</v>
      </c>
      <c r="Q128" s="83">
        <v>0</v>
      </c>
      <c r="R128" s="83">
        <v>0</v>
      </c>
      <c r="S128" s="83">
        <v>0</v>
      </c>
      <c r="T128" s="83">
        <v>0</v>
      </c>
      <c r="U128" s="82"/>
    </row>
    <row r="129" spans="1:21" ht="17.25" customHeight="1" x14ac:dyDescent="0.3">
      <c r="A129" s="66" t="s">
        <v>30</v>
      </c>
      <c r="C129" s="67"/>
      <c r="D129" s="77"/>
      <c r="E129" s="77"/>
      <c r="F129" s="76"/>
      <c r="G129" s="76"/>
      <c r="H129" s="76"/>
      <c r="I129" s="76"/>
      <c r="J129" s="76"/>
      <c r="K129" s="76"/>
      <c r="L129" s="76"/>
      <c r="M129" s="76"/>
      <c r="N129" s="76"/>
      <c r="O129" s="75"/>
      <c r="P129" s="75"/>
      <c r="Q129" s="75"/>
      <c r="R129" s="75"/>
      <c r="S129" s="75"/>
      <c r="T129" s="75"/>
      <c r="U129" s="74"/>
    </row>
    <row r="130" spans="1:21" ht="17.25" customHeight="1" x14ac:dyDescent="0.3">
      <c r="A130" s="66" t="s">
        <v>30</v>
      </c>
      <c r="C130" s="67"/>
      <c r="D130" s="77"/>
      <c r="E130" s="77" t="s">
        <v>31</v>
      </c>
      <c r="F130" s="76" t="s">
        <v>31</v>
      </c>
      <c r="G130" s="76" t="s">
        <v>31</v>
      </c>
      <c r="H130" s="76"/>
      <c r="I130" s="76"/>
      <c r="J130" s="76" t="s">
        <v>31</v>
      </c>
      <c r="K130" s="76" t="s">
        <v>31</v>
      </c>
      <c r="L130" s="76" t="s">
        <v>31</v>
      </c>
      <c r="M130" s="76" t="s">
        <v>31</v>
      </c>
      <c r="N130" s="76"/>
      <c r="U130" s="81"/>
    </row>
    <row r="131" spans="1:21" ht="20.25" customHeight="1" x14ac:dyDescent="0.35">
      <c r="A131" s="66" t="s">
        <v>30</v>
      </c>
      <c r="C131" s="67"/>
      <c r="D131" s="92" t="str">
        <f t="shared" ref="D131" si="87">E131</f>
        <v>E100018</v>
      </c>
      <c r="E131" s="91" t="str">
        <f>"E100018"</f>
        <v>E100018</v>
      </c>
      <c r="F131" s="89" t="str">
        <f>"Flexi-Clock &amp; Clip"</f>
        <v>Flexi-Clock &amp; Clip</v>
      </c>
      <c r="G131" s="89"/>
      <c r="H131" s="90" t="str">
        <f>"EA"</f>
        <v>EA</v>
      </c>
      <c r="I131" s="89"/>
      <c r="J131" s="89"/>
      <c r="K131" s="89"/>
      <c r="L131" s="89"/>
      <c r="M131" s="89"/>
      <c r="N131" s="89"/>
      <c r="O131" s="88">
        <f>(SUBTOTAL(9,O132:O135))</f>
        <v>600</v>
      </c>
      <c r="P131" s="88">
        <f>(SUBTOTAL(9,P132:P135))</f>
        <v>-145</v>
      </c>
      <c r="Q131" s="88">
        <f>(SUBTOTAL(9,Q132:Q135))</f>
        <v>0</v>
      </c>
      <c r="R131" s="88">
        <f>(SUBTOTAL(9,R132:R135))</f>
        <v>0</v>
      </c>
      <c r="S131" s="88">
        <f>(SUBTOTAL(9,S132:S135))</f>
        <v>0</v>
      </c>
      <c r="T131" s="88">
        <f>(SUBTOTAL(9,T132:T135))</f>
        <v>0</v>
      </c>
      <c r="U131" s="87">
        <f t="shared" ref="U131" si="88">SUBTOTAL(9,O132:T135)</f>
        <v>455</v>
      </c>
    </row>
    <row r="132" spans="1:21" ht="17.25" customHeight="1" x14ac:dyDescent="0.3">
      <c r="A132" s="66" t="s">
        <v>30</v>
      </c>
      <c r="C132" s="67"/>
      <c r="D132" s="77" t="str">
        <f t="shared" ref="D132" si="89">D131</f>
        <v>E100018</v>
      </c>
      <c r="E132" s="77"/>
      <c r="F132" s="76"/>
      <c r="G132" s="76" t="str">
        <f>"""NAV Direct"",""CRONUS JetCorp USA"",""32"",""1"",""167590"""</f>
        <v>"NAV Direct","CRONUS JetCorp USA","32","1","167590"</v>
      </c>
      <c r="H132" s="86">
        <v>43466</v>
      </c>
      <c r="I132" s="85">
        <v>167590</v>
      </c>
      <c r="J132" s="84" t="str">
        <f>"Vendor"</f>
        <v>Vendor</v>
      </c>
      <c r="K132" s="84" t="str">
        <f>"V100047"</f>
        <v>V100047</v>
      </c>
      <c r="L132" s="84" t="str">
        <f>IF($J132="Customer",_xll.NL("first",$J132,"Name","No.","@@"&amp;$K132),"")</f>
        <v/>
      </c>
      <c r="M132" s="84" t="str">
        <f>"WoodMart Supply Co."</f>
        <v>WoodMart Supply Co.</v>
      </c>
      <c r="N132" s="84" t="str">
        <f>IF($J132="Item",_xll.NL("first",$J132,"Description","No.","@@"&amp;$K132),"")</f>
        <v/>
      </c>
      <c r="O132" s="83">
        <v>600</v>
      </c>
      <c r="P132" s="83">
        <v>0</v>
      </c>
      <c r="Q132" s="83">
        <v>0</v>
      </c>
      <c r="R132" s="83">
        <v>0</v>
      </c>
      <c r="S132" s="83">
        <v>0</v>
      </c>
      <c r="T132" s="83">
        <v>0</v>
      </c>
      <c r="U132" s="82"/>
    </row>
    <row r="133" spans="1:21" ht="17.25" customHeight="1" x14ac:dyDescent="0.3">
      <c r="A133" s="66" t="s">
        <v>30</v>
      </c>
      <c r="C133" s="67"/>
      <c r="D133" s="77" t="str">
        <f t="shared" ref="D133:D134" si="90">D132</f>
        <v>E100018</v>
      </c>
      <c r="E133" s="77"/>
      <c r="F133" s="76"/>
      <c r="G133" s="76" t="str">
        <f>"""NAV Direct"",""CRONUS JetCorp USA"",""32"",""1"",""36496"""</f>
        <v>"NAV Direct","CRONUS JetCorp USA","32","1","36496"</v>
      </c>
      <c r="H133" s="86">
        <v>43474</v>
      </c>
      <c r="I133" s="85">
        <v>36496</v>
      </c>
      <c r="J133" s="84" t="str">
        <f>"Customer"</f>
        <v>Customer</v>
      </c>
      <c r="K133" s="84" t="str">
        <f>"C100092"</f>
        <v>C100092</v>
      </c>
      <c r="L133" s="84" t="str">
        <f>IF($J133="Customer",_xll.NL("first",$J133,"Name","No.","@@"&amp;$K133),"")</f>
        <v>Zuni Home Crafts Ltd.</v>
      </c>
      <c r="M133" s="84" t="str">
        <f>""</f>
        <v/>
      </c>
      <c r="N133" s="84" t="str">
        <f>IF($J133="Item",_xll.NL("first",$J133,"Description","No.","@@"&amp;$K133),"")</f>
        <v/>
      </c>
      <c r="O133" s="83">
        <v>0</v>
      </c>
      <c r="P133" s="83">
        <v>-144</v>
      </c>
      <c r="Q133" s="83">
        <v>0</v>
      </c>
      <c r="R133" s="83">
        <v>0</v>
      </c>
      <c r="S133" s="83">
        <v>0</v>
      </c>
      <c r="T133" s="83">
        <v>0</v>
      </c>
      <c r="U133" s="82"/>
    </row>
    <row r="134" spans="1:21" ht="17.25" customHeight="1" x14ac:dyDescent="0.3">
      <c r="A134" s="66" t="s">
        <v>30</v>
      </c>
      <c r="C134" s="67"/>
      <c r="D134" s="77" t="str">
        <f t="shared" si="90"/>
        <v>E100018</v>
      </c>
      <c r="E134" s="77"/>
      <c r="F134" s="76"/>
      <c r="G134" s="76" t="str">
        <f>"""NAV Direct"",""CRONUS JetCorp USA"",""32"",""1"",""34343"""</f>
        <v>"NAV Direct","CRONUS JetCorp USA","32","1","34343"</v>
      </c>
      <c r="H134" s="86">
        <v>43475</v>
      </c>
      <c r="I134" s="85">
        <v>34343</v>
      </c>
      <c r="J134" s="84" t="str">
        <f>"Customer"</f>
        <v>Customer</v>
      </c>
      <c r="K134" s="84" t="str">
        <f>"C100008"</f>
        <v>C100008</v>
      </c>
      <c r="L134" s="84" t="str">
        <f>IF($J134="Customer",_xll.NL("first",$J134,"Name","No.","@@"&amp;$K134),"")</f>
        <v>Blanemark Hifi Shop</v>
      </c>
      <c r="M134" s="84" t="str">
        <f>""</f>
        <v/>
      </c>
      <c r="N134" s="84" t="str">
        <f>IF($J134="Item",_xll.NL("first",$J134,"Description","No.","@@"&amp;$K134),"")</f>
        <v/>
      </c>
      <c r="O134" s="83">
        <v>0</v>
      </c>
      <c r="P134" s="83">
        <v>-1</v>
      </c>
      <c r="Q134" s="83">
        <v>0</v>
      </c>
      <c r="R134" s="83">
        <v>0</v>
      </c>
      <c r="S134" s="83">
        <v>0</v>
      </c>
      <c r="T134" s="83">
        <v>0</v>
      </c>
      <c r="U134" s="82"/>
    </row>
    <row r="135" spans="1:21" ht="17.25" customHeight="1" x14ac:dyDescent="0.3">
      <c r="A135" s="66" t="s">
        <v>30</v>
      </c>
      <c r="C135" s="67"/>
      <c r="D135" s="77"/>
      <c r="E135" s="77"/>
      <c r="F135" s="76"/>
      <c r="G135" s="76"/>
      <c r="H135" s="76"/>
      <c r="I135" s="76"/>
      <c r="J135" s="76"/>
      <c r="K135" s="76"/>
      <c r="L135" s="76"/>
      <c r="M135" s="76"/>
      <c r="N135" s="76"/>
      <c r="O135" s="75"/>
      <c r="P135" s="75"/>
      <c r="Q135" s="75"/>
      <c r="R135" s="75"/>
      <c r="S135" s="75"/>
      <c r="T135" s="75"/>
      <c r="U135" s="74"/>
    </row>
    <row r="136" spans="1:21" ht="17.25" customHeight="1" x14ac:dyDescent="0.3">
      <c r="A136" s="66" t="s">
        <v>30</v>
      </c>
      <c r="C136" s="67"/>
      <c r="D136" s="77"/>
      <c r="E136" s="77" t="s">
        <v>31</v>
      </c>
      <c r="F136" s="76" t="s">
        <v>31</v>
      </c>
      <c r="G136" s="76" t="s">
        <v>31</v>
      </c>
      <c r="H136" s="76"/>
      <c r="I136" s="76"/>
      <c r="J136" s="76" t="s">
        <v>31</v>
      </c>
      <c r="K136" s="76" t="s">
        <v>31</v>
      </c>
      <c r="L136" s="76" t="s">
        <v>31</v>
      </c>
      <c r="M136" s="76" t="s">
        <v>31</v>
      </c>
      <c r="N136" s="76"/>
      <c r="U136" s="81"/>
    </row>
    <row r="137" spans="1:21" ht="20.25" customHeight="1" x14ac:dyDescent="0.35">
      <c r="A137" s="66" t="s">
        <v>30</v>
      </c>
      <c r="C137" s="67"/>
      <c r="D137" s="92" t="str">
        <f t="shared" ref="D137" si="91">E137</f>
        <v>E100022</v>
      </c>
      <c r="E137" s="91" t="str">
        <f>"E100022"</f>
        <v>E100022</v>
      </c>
      <c r="F137" s="89" t="str">
        <f>"Wide Screen Alarm Clock"</f>
        <v>Wide Screen Alarm Clock</v>
      </c>
      <c r="G137" s="89"/>
      <c r="H137" s="90" t="str">
        <f>"EA"</f>
        <v>EA</v>
      </c>
      <c r="I137" s="89"/>
      <c r="J137" s="89"/>
      <c r="K137" s="89"/>
      <c r="L137" s="89"/>
      <c r="M137" s="89"/>
      <c r="N137" s="89"/>
      <c r="O137" s="88">
        <f>(SUBTOTAL(9,O138:O139))</f>
        <v>200</v>
      </c>
      <c r="P137" s="88">
        <f>(SUBTOTAL(9,P138:P139))</f>
        <v>0</v>
      </c>
      <c r="Q137" s="88">
        <f>(SUBTOTAL(9,Q138:Q139))</f>
        <v>0</v>
      </c>
      <c r="R137" s="88">
        <f>(SUBTOTAL(9,R138:R139))</f>
        <v>0</v>
      </c>
      <c r="S137" s="88">
        <f>(SUBTOTAL(9,S138:S139))</f>
        <v>0</v>
      </c>
      <c r="T137" s="88">
        <f>(SUBTOTAL(9,T138:T139))</f>
        <v>0</v>
      </c>
      <c r="U137" s="87">
        <f t="shared" ref="U137" si="92">SUBTOTAL(9,O138:T139)</f>
        <v>200</v>
      </c>
    </row>
    <row r="138" spans="1:21" ht="17.25" customHeight="1" x14ac:dyDescent="0.3">
      <c r="A138" s="66" t="s">
        <v>30</v>
      </c>
      <c r="C138" s="67"/>
      <c r="D138" s="77" t="str">
        <f t="shared" ref="D138" si="93">D137</f>
        <v>E100022</v>
      </c>
      <c r="E138" s="77"/>
      <c r="F138" s="76"/>
      <c r="G138" s="76" t="str">
        <f>"""NAV Direct"",""CRONUS JetCorp USA"",""32"",""1"",""167589"""</f>
        <v>"NAV Direct","CRONUS JetCorp USA","32","1","167589"</v>
      </c>
      <c r="H138" s="86">
        <v>43466</v>
      </c>
      <c r="I138" s="85">
        <v>167589</v>
      </c>
      <c r="J138" s="84" t="str">
        <f>"Vendor"</f>
        <v>Vendor</v>
      </c>
      <c r="K138" s="84" t="str">
        <f>"V100047"</f>
        <v>V100047</v>
      </c>
      <c r="L138" s="84" t="str">
        <f>IF($J138="Customer",_xll.NL("first",$J138,"Name","No.","@@"&amp;$K138),"")</f>
        <v/>
      </c>
      <c r="M138" s="84" t="str">
        <f>"WoodMart Supply Co."</f>
        <v>WoodMart Supply Co.</v>
      </c>
      <c r="N138" s="84" t="str">
        <f>IF($J138="Item",_xll.NL("first",$J138,"Description","No.","@@"&amp;$K138),"")</f>
        <v/>
      </c>
      <c r="O138" s="83">
        <v>200</v>
      </c>
      <c r="P138" s="83">
        <v>0</v>
      </c>
      <c r="Q138" s="83">
        <v>0</v>
      </c>
      <c r="R138" s="83">
        <v>0</v>
      </c>
      <c r="S138" s="83">
        <v>0</v>
      </c>
      <c r="T138" s="83">
        <v>0</v>
      </c>
      <c r="U138" s="82"/>
    </row>
    <row r="139" spans="1:21" ht="17.25" customHeight="1" x14ac:dyDescent="0.3">
      <c r="A139" s="66" t="s">
        <v>30</v>
      </c>
      <c r="C139" s="67"/>
      <c r="D139" s="77"/>
      <c r="E139" s="77"/>
      <c r="F139" s="76"/>
      <c r="G139" s="76"/>
      <c r="H139" s="76"/>
      <c r="I139" s="76"/>
      <c r="J139" s="76"/>
      <c r="K139" s="76"/>
      <c r="L139" s="76"/>
      <c r="M139" s="76"/>
      <c r="N139" s="76"/>
      <c r="O139" s="75"/>
      <c r="P139" s="75"/>
      <c r="Q139" s="75"/>
      <c r="R139" s="75"/>
      <c r="S139" s="75"/>
      <c r="T139" s="75"/>
      <c r="U139" s="74"/>
    </row>
    <row r="140" spans="1:21" ht="17.25" customHeight="1" x14ac:dyDescent="0.3">
      <c r="A140" s="66" t="s">
        <v>30</v>
      </c>
      <c r="C140" s="67"/>
      <c r="D140" s="77"/>
      <c r="E140" s="77" t="s">
        <v>31</v>
      </c>
      <c r="F140" s="76" t="s">
        <v>31</v>
      </c>
      <c r="G140" s="76" t="s">
        <v>31</v>
      </c>
      <c r="H140" s="76"/>
      <c r="I140" s="76"/>
      <c r="J140" s="76" t="s">
        <v>31</v>
      </c>
      <c r="K140" s="76" t="s">
        <v>31</v>
      </c>
      <c r="L140" s="76" t="s">
        <v>31</v>
      </c>
      <c r="M140" s="76" t="s">
        <v>31</v>
      </c>
      <c r="N140" s="76"/>
      <c r="U140" s="81"/>
    </row>
    <row r="141" spans="1:21" ht="20.25" customHeight="1" x14ac:dyDescent="0.35">
      <c r="A141" s="66" t="s">
        <v>30</v>
      </c>
      <c r="C141" s="67"/>
      <c r="D141" s="92" t="str">
        <f t="shared" ref="D141" si="94">E141</f>
        <v>E100023</v>
      </c>
      <c r="E141" s="91" t="str">
        <f>"E100023"</f>
        <v>E100023</v>
      </c>
      <c r="F141" s="89" t="str">
        <f>"Sport Earbuds"</f>
        <v>Sport Earbuds</v>
      </c>
      <c r="G141" s="89"/>
      <c r="H141" s="90" t="str">
        <f>"EA"</f>
        <v>EA</v>
      </c>
      <c r="I141" s="89"/>
      <c r="J141" s="89"/>
      <c r="K141" s="89"/>
      <c r="L141" s="89"/>
      <c r="M141" s="89"/>
      <c r="N141" s="89"/>
      <c r="O141" s="88">
        <f>(SUBTOTAL(9,O142:O143))</f>
        <v>100</v>
      </c>
      <c r="P141" s="88">
        <f>(SUBTOTAL(9,P142:P143))</f>
        <v>0</v>
      </c>
      <c r="Q141" s="88">
        <f>(SUBTOTAL(9,Q142:Q143))</f>
        <v>0</v>
      </c>
      <c r="R141" s="88">
        <f>(SUBTOTAL(9,R142:R143))</f>
        <v>0</v>
      </c>
      <c r="S141" s="88">
        <f>(SUBTOTAL(9,S142:S143))</f>
        <v>0</v>
      </c>
      <c r="T141" s="88">
        <f>(SUBTOTAL(9,T142:T143))</f>
        <v>0</v>
      </c>
      <c r="U141" s="87">
        <f t="shared" ref="U141" si="95">SUBTOTAL(9,O142:T143)</f>
        <v>100</v>
      </c>
    </row>
    <row r="142" spans="1:21" ht="17.25" customHeight="1" x14ac:dyDescent="0.3">
      <c r="A142" s="66" t="s">
        <v>30</v>
      </c>
      <c r="C142" s="67"/>
      <c r="D142" s="77" t="str">
        <f t="shared" ref="D142" si="96">D141</f>
        <v>E100023</v>
      </c>
      <c r="E142" s="77"/>
      <c r="F142" s="76"/>
      <c r="G142" s="76" t="str">
        <f>"""NAV Direct"",""CRONUS JetCorp USA"",""32"",""1"",""168042"""</f>
        <v>"NAV Direct","CRONUS JetCorp USA","32","1","168042"</v>
      </c>
      <c r="H142" s="86">
        <v>43466</v>
      </c>
      <c r="I142" s="85">
        <v>168042</v>
      </c>
      <c r="J142" s="84" t="str">
        <f>"Vendor"</f>
        <v>Vendor</v>
      </c>
      <c r="K142" s="84" t="str">
        <f>"V100047"</f>
        <v>V100047</v>
      </c>
      <c r="L142" s="84" t="str">
        <f>IF($J142="Customer",_xll.NL("first",$J142,"Name","No.","@@"&amp;$K142),"")</f>
        <v/>
      </c>
      <c r="M142" s="84" t="str">
        <f>"WoodMart Supply Co."</f>
        <v>WoodMart Supply Co.</v>
      </c>
      <c r="N142" s="84" t="str">
        <f>IF($J142="Item",_xll.NL("first",$J142,"Description","No.","@@"&amp;$K142),"")</f>
        <v/>
      </c>
      <c r="O142" s="83">
        <v>100</v>
      </c>
      <c r="P142" s="83">
        <v>0</v>
      </c>
      <c r="Q142" s="83">
        <v>0</v>
      </c>
      <c r="R142" s="83">
        <v>0</v>
      </c>
      <c r="S142" s="83">
        <v>0</v>
      </c>
      <c r="T142" s="83">
        <v>0</v>
      </c>
      <c r="U142" s="82"/>
    </row>
    <row r="143" spans="1:21" ht="17.25" customHeight="1" x14ac:dyDescent="0.3">
      <c r="A143" s="66" t="s">
        <v>30</v>
      </c>
      <c r="C143" s="67"/>
      <c r="D143" s="77"/>
      <c r="E143" s="77"/>
      <c r="F143" s="76"/>
      <c r="G143" s="76"/>
      <c r="H143" s="76"/>
      <c r="I143" s="76"/>
      <c r="J143" s="76"/>
      <c r="K143" s="76"/>
      <c r="L143" s="76"/>
      <c r="M143" s="76"/>
      <c r="N143" s="76"/>
      <c r="O143" s="75"/>
      <c r="P143" s="75"/>
      <c r="Q143" s="75"/>
      <c r="R143" s="75"/>
      <c r="S143" s="75"/>
      <c r="T143" s="75"/>
      <c r="U143" s="74"/>
    </row>
    <row r="144" spans="1:21" ht="17.25" customHeight="1" x14ac:dyDescent="0.3">
      <c r="A144" s="66" t="s">
        <v>30</v>
      </c>
      <c r="C144" s="67"/>
      <c r="D144" s="77"/>
      <c r="E144" s="77" t="s">
        <v>31</v>
      </c>
      <c r="F144" s="76" t="s">
        <v>31</v>
      </c>
      <c r="G144" s="76" t="s">
        <v>31</v>
      </c>
      <c r="H144" s="76"/>
      <c r="I144" s="76"/>
      <c r="J144" s="76" t="s">
        <v>31</v>
      </c>
      <c r="K144" s="76" t="s">
        <v>31</v>
      </c>
      <c r="L144" s="76" t="s">
        <v>31</v>
      </c>
      <c r="M144" s="76" t="s">
        <v>31</v>
      </c>
      <c r="N144" s="76"/>
      <c r="U144" s="81"/>
    </row>
    <row r="145" spans="1:21" ht="20.25" customHeight="1" x14ac:dyDescent="0.35">
      <c r="A145" s="66" t="s">
        <v>30</v>
      </c>
      <c r="C145" s="67"/>
      <c r="D145" s="92" t="str">
        <f t="shared" ref="D145" si="97">E145</f>
        <v>E100026</v>
      </c>
      <c r="E145" s="91" t="str">
        <f>"E100026"</f>
        <v>E100026</v>
      </c>
      <c r="F145" s="89" t="str">
        <f>"Desk Calculator"</f>
        <v>Desk Calculator</v>
      </c>
      <c r="G145" s="89"/>
      <c r="H145" s="90" t="str">
        <f>"EA"</f>
        <v>EA</v>
      </c>
      <c r="I145" s="89"/>
      <c r="J145" s="89"/>
      <c r="K145" s="89"/>
      <c r="L145" s="89"/>
      <c r="M145" s="89"/>
      <c r="N145" s="89"/>
      <c r="O145" s="88">
        <f>(SUBTOTAL(9,O146:O147))</f>
        <v>249.99999999999997</v>
      </c>
      <c r="P145" s="88">
        <f>(SUBTOTAL(9,P146:P147))</f>
        <v>0</v>
      </c>
      <c r="Q145" s="88">
        <f>(SUBTOTAL(9,Q146:Q147))</f>
        <v>0</v>
      </c>
      <c r="R145" s="88">
        <f>(SUBTOTAL(9,R146:R147))</f>
        <v>0</v>
      </c>
      <c r="S145" s="88">
        <f>(SUBTOTAL(9,S146:S147))</f>
        <v>0</v>
      </c>
      <c r="T145" s="88">
        <f>(SUBTOTAL(9,T146:T147))</f>
        <v>0</v>
      </c>
      <c r="U145" s="87">
        <f t="shared" ref="U145" si="98">SUBTOTAL(9,O146:T147)</f>
        <v>249.99999999999997</v>
      </c>
    </row>
    <row r="146" spans="1:21" ht="17.25" customHeight="1" x14ac:dyDescent="0.3">
      <c r="A146" s="66" t="s">
        <v>30</v>
      </c>
      <c r="C146" s="67"/>
      <c r="D146" s="77" t="str">
        <f t="shared" ref="D146" si="99">D145</f>
        <v>E100026</v>
      </c>
      <c r="E146" s="77"/>
      <c r="F146" s="76"/>
      <c r="G146" s="76" t="str">
        <f>"""NAV Direct"",""CRONUS JetCorp USA"",""32"",""1"",""168346"""</f>
        <v>"NAV Direct","CRONUS JetCorp USA","32","1","168346"</v>
      </c>
      <c r="H146" s="86">
        <v>43466</v>
      </c>
      <c r="I146" s="85">
        <v>168346</v>
      </c>
      <c r="J146" s="84" t="str">
        <f>"Vendor"</f>
        <v>Vendor</v>
      </c>
      <c r="K146" s="84" t="str">
        <f>"V100047"</f>
        <v>V100047</v>
      </c>
      <c r="L146" s="84" t="str">
        <f>IF($J146="Customer",_xll.NL("first",$J146,"Name","No.","@@"&amp;$K146),"")</f>
        <v/>
      </c>
      <c r="M146" s="84" t="str">
        <f>"WoodMart Supply Co."</f>
        <v>WoodMart Supply Co.</v>
      </c>
      <c r="N146" s="84" t="str">
        <f>IF($J146="Item",_xll.NL("first",$J146,"Description","No.","@@"&amp;$K146),"")</f>
        <v/>
      </c>
      <c r="O146" s="83">
        <v>249.99999999999997</v>
      </c>
      <c r="P146" s="83">
        <v>0</v>
      </c>
      <c r="Q146" s="83">
        <v>0</v>
      </c>
      <c r="R146" s="83">
        <v>0</v>
      </c>
      <c r="S146" s="83">
        <v>0</v>
      </c>
      <c r="T146" s="83">
        <v>0</v>
      </c>
      <c r="U146" s="82"/>
    </row>
    <row r="147" spans="1:21" ht="17.25" customHeight="1" x14ac:dyDescent="0.3">
      <c r="A147" s="66" t="s">
        <v>30</v>
      </c>
      <c r="C147" s="67"/>
      <c r="D147" s="77"/>
      <c r="E147" s="77"/>
      <c r="F147" s="76"/>
      <c r="G147" s="76"/>
      <c r="H147" s="76"/>
      <c r="I147" s="76"/>
      <c r="J147" s="76"/>
      <c r="K147" s="76"/>
      <c r="L147" s="76"/>
      <c r="M147" s="76"/>
      <c r="N147" s="76"/>
      <c r="O147" s="75"/>
      <c r="P147" s="75"/>
      <c r="Q147" s="75"/>
      <c r="R147" s="75"/>
      <c r="S147" s="75"/>
      <c r="T147" s="75"/>
      <c r="U147" s="74"/>
    </row>
    <row r="148" spans="1:21" ht="17.25" customHeight="1" x14ac:dyDescent="0.3">
      <c r="A148" s="66" t="s">
        <v>30</v>
      </c>
      <c r="C148" s="67"/>
      <c r="D148" s="77"/>
      <c r="E148" s="77" t="s">
        <v>31</v>
      </c>
      <c r="F148" s="76" t="s">
        <v>31</v>
      </c>
      <c r="G148" s="76" t="s">
        <v>31</v>
      </c>
      <c r="H148" s="76"/>
      <c r="I148" s="76"/>
      <c r="J148" s="76" t="s">
        <v>31</v>
      </c>
      <c r="K148" s="76" t="s">
        <v>31</v>
      </c>
      <c r="L148" s="76" t="s">
        <v>31</v>
      </c>
      <c r="M148" s="76" t="s">
        <v>31</v>
      </c>
      <c r="N148" s="76"/>
      <c r="U148" s="81"/>
    </row>
    <row r="149" spans="1:21" ht="20.25" customHeight="1" x14ac:dyDescent="0.35">
      <c r="A149" s="66" t="s">
        <v>30</v>
      </c>
      <c r="C149" s="67"/>
      <c r="D149" s="92" t="str">
        <f t="shared" ref="D149" si="100">E149</f>
        <v>E100042</v>
      </c>
      <c r="E149" s="91" t="str">
        <f>"E100042"</f>
        <v>E100042</v>
      </c>
      <c r="F149" s="89" t="str">
        <f>"Soft Touch Travel Mug"</f>
        <v>Soft Touch Travel Mug</v>
      </c>
      <c r="G149" s="89"/>
      <c r="H149" s="90" t="str">
        <f>"EA"</f>
        <v>EA</v>
      </c>
      <c r="I149" s="89"/>
      <c r="J149" s="89"/>
      <c r="K149" s="89"/>
      <c r="L149" s="89"/>
      <c r="M149" s="89"/>
      <c r="N149" s="89"/>
      <c r="O149" s="88">
        <f>(SUBTOTAL(9,O150:O151))</f>
        <v>499.99999999999994</v>
      </c>
      <c r="P149" s="88">
        <f>(SUBTOTAL(9,P150:P151))</f>
        <v>0</v>
      </c>
      <c r="Q149" s="88">
        <f>(SUBTOTAL(9,Q150:Q151))</f>
        <v>0</v>
      </c>
      <c r="R149" s="88">
        <f>(SUBTOTAL(9,R150:R151))</f>
        <v>0</v>
      </c>
      <c r="S149" s="88">
        <f>(SUBTOTAL(9,S150:S151))</f>
        <v>0</v>
      </c>
      <c r="T149" s="88">
        <f>(SUBTOTAL(9,T150:T151))</f>
        <v>0</v>
      </c>
      <c r="U149" s="87">
        <f t="shared" ref="U149" si="101">SUBTOTAL(9,O150:T151)</f>
        <v>499.99999999999994</v>
      </c>
    </row>
    <row r="150" spans="1:21" ht="17.25" customHeight="1" x14ac:dyDescent="0.3">
      <c r="A150" s="66" t="s">
        <v>30</v>
      </c>
      <c r="C150" s="67"/>
      <c r="D150" s="77" t="str">
        <f t="shared" ref="D150" si="102">D149</f>
        <v>E100042</v>
      </c>
      <c r="E150" s="77"/>
      <c r="F150" s="76"/>
      <c r="G150" s="76" t="str">
        <f>"""NAV Direct"",""CRONUS JetCorp USA"",""32"",""1"",""168650"""</f>
        <v>"NAV Direct","CRONUS JetCorp USA","32","1","168650"</v>
      </c>
      <c r="H150" s="86">
        <v>43466</v>
      </c>
      <c r="I150" s="85">
        <v>168650</v>
      </c>
      <c r="J150" s="84" t="str">
        <f>"Vendor"</f>
        <v>Vendor</v>
      </c>
      <c r="K150" s="84" t="str">
        <f>"V100047"</f>
        <v>V100047</v>
      </c>
      <c r="L150" s="84" t="str">
        <f>IF($J150="Customer",_xll.NL("first",$J150,"Name","No.","@@"&amp;$K150),"")</f>
        <v/>
      </c>
      <c r="M150" s="84" t="str">
        <f>"WoodMart Supply Co."</f>
        <v>WoodMart Supply Co.</v>
      </c>
      <c r="N150" s="84" t="str">
        <f>IF($J150="Item",_xll.NL("first",$J150,"Description","No.","@@"&amp;$K150),"")</f>
        <v/>
      </c>
      <c r="O150" s="83">
        <v>499.99999999999994</v>
      </c>
      <c r="P150" s="83">
        <v>0</v>
      </c>
      <c r="Q150" s="83">
        <v>0</v>
      </c>
      <c r="R150" s="83">
        <v>0</v>
      </c>
      <c r="S150" s="83">
        <v>0</v>
      </c>
      <c r="T150" s="83">
        <v>0</v>
      </c>
      <c r="U150" s="82"/>
    </row>
    <row r="151" spans="1:21" ht="17.25" customHeight="1" x14ac:dyDescent="0.3">
      <c r="A151" s="66" t="s">
        <v>30</v>
      </c>
      <c r="C151" s="67"/>
      <c r="D151" s="77"/>
      <c r="E151" s="77"/>
      <c r="F151" s="76"/>
      <c r="G151" s="76"/>
      <c r="H151" s="76"/>
      <c r="I151" s="76"/>
      <c r="J151" s="76"/>
      <c r="K151" s="76"/>
      <c r="L151" s="76"/>
      <c r="M151" s="76"/>
      <c r="N151" s="76"/>
      <c r="O151" s="75"/>
      <c r="P151" s="75"/>
      <c r="Q151" s="75"/>
      <c r="R151" s="75"/>
      <c r="S151" s="75"/>
      <c r="T151" s="75"/>
      <c r="U151" s="74"/>
    </row>
    <row r="152" spans="1:21" ht="17.25" customHeight="1" x14ac:dyDescent="0.3">
      <c r="A152" s="66" t="s">
        <v>30</v>
      </c>
      <c r="C152" s="67"/>
      <c r="D152" s="77"/>
      <c r="E152" s="77" t="s">
        <v>31</v>
      </c>
      <c r="F152" s="76" t="s">
        <v>31</v>
      </c>
      <c r="G152" s="76" t="s">
        <v>31</v>
      </c>
      <c r="H152" s="76"/>
      <c r="I152" s="76"/>
      <c r="J152" s="76" t="s">
        <v>31</v>
      </c>
      <c r="K152" s="76" t="s">
        <v>31</v>
      </c>
      <c r="L152" s="76" t="s">
        <v>31</v>
      </c>
      <c r="M152" s="76" t="s">
        <v>31</v>
      </c>
      <c r="N152" s="76"/>
      <c r="U152" s="81"/>
    </row>
    <row r="153" spans="1:21" ht="20.25" customHeight="1" x14ac:dyDescent="0.35">
      <c r="A153" s="66" t="s">
        <v>30</v>
      </c>
      <c r="C153" s="67"/>
      <c r="D153" s="92" t="str">
        <f t="shared" ref="D153" si="103">E153</f>
        <v>E100043</v>
      </c>
      <c r="E153" s="91" t="str">
        <f>"E100043"</f>
        <v>E100043</v>
      </c>
      <c r="F153" s="89" t="str">
        <f>"Pub Glass"</f>
        <v>Pub Glass</v>
      </c>
      <c r="G153" s="89"/>
      <c r="H153" s="90" t="str">
        <f>"EA"</f>
        <v>EA</v>
      </c>
      <c r="I153" s="89"/>
      <c r="J153" s="89"/>
      <c r="K153" s="89"/>
      <c r="L153" s="89"/>
      <c r="M153" s="89"/>
      <c r="N153" s="89"/>
      <c r="O153" s="88">
        <f>(SUBTOTAL(9,O154:O155))</f>
        <v>249.99999999999997</v>
      </c>
      <c r="P153" s="88">
        <f>(SUBTOTAL(9,P154:P155))</f>
        <v>0</v>
      </c>
      <c r="Q153" s="88">
        <f>(SUBTOTAL(9,Q154:Q155))</f>
        <v>0</v>
      </c>
      <c r="R153" s="88">
        <f>(SUBTOTAL(9,R154:R155))</f>
        <v>0</v>
      </c>
      <c r="S153" s="88">
        <f>(SUBTOTAL(9,S154:S155))</f>
        <v>0</v>
      </c>
      <c r="T153" s="88">
        <f>(SUBTOTAL(9,T154:T155))</f>
        <v>0</v>
      </c>
      <c r="U153" s="87">
        <f t="shared" ref="U153" si="104">SUBTOTAL(9,O154:T155)</f>
        <v>249.99999999999997</v>
      </c>
    </row>
    <row r="154" spans="1:21" ht="17.25" customHeight="1" x14ac:dyDescent="0.3">
      <c r="A154" s="66" t="s">
        <v>30</v>
      </c>
      <c r="C154" s="67"/>
      <c r="D154" s="77" t="str">
        <f t="shared" ref="D154" si="105">D153</f>
        <v>E100043</v>
      </c>
      <c r="E154" s="77"/>
      <c r="F154" s="76"/>
      <c r="G154" s="76" t="str">
        <f>"""NAV Direct"",""CRONUS JetCorp USA"",""32"",""1"",""168649"""</f>
        <v>"NAV Direct","CRONUS JetCorp USA","32","1","168649"</v>
      </c>
      <c r="H154" s="86">
        <v>43466</v>
      </c>
      <c r="I154" s="85">
        <v>168649</v>
      </c>
      <c r="J154" s="84" t="str">
        <f>"Vendor"</f>
        <v>Vendor</v>
      </c>
      <c r="K154" s="84" t="str">
        <f>"V100047"</f>
        <v>V100047</v>
      </c>
      <c r="L154" s="84" t="str">
        <f>IF($J154="Customer",_xll.NL("first",$J154,"Name","No.","@@"&amp;$K154),"")</f>
        <v/>
      </c>
      <c r="M154" s="84" t="str">
        <f>"WoodMart Supply Co."</f>
        <v>WoodMart Supply Co.</v>
      </c>
      <c r="N154" s="84" t="str">
        <f>IF($J154="Item",_xll.NL("first",$J154,"Description","No.","@@"&amp;$K154),"")</f>
        <v/>
      </c>
      <c r="O154" s="83">
        <v>249.99999999999997</v>
      </c>
      <c r="P154" s="83">
        <v>0</v>
      </c>
      <c r="Q154" s="83">
        <v>0</v>
      </c>
      <c r="R154" s="83">
        <v>0</v>
      </c>
      <c r="S154" s="83">
        <v>0</v>
      </c>
      <c r="T154" s="83">
        <v>0</v>
      </c>
      <c r="U154" s="82"/>
    </row>
    <row r="155" spans="1:21" ht="17.25" customHeight="1" x14ac:dyDescent="0.3">
      <c r="A155" s="66" t="s">
        <v>30</v>
      </c>
      <c r="C155" s="67"/>
      <c r="D155" s="77"/>
      <c r="E155" s="77"/>
      <c r="F155" s="76"/>
      <c r="G155" s="76"/>
      <c r="H155" s="76"/>
      <c r="I155" s="76"/>
      <c r="J155" s="76"/>
      <c r="K155" s="76"/>
      <c r="L155" s="76"/>
      <c r="M155" s="76"/>
      <c r="N155" s="76"/>
      <c r="O155" s="75"/>
      <c r="P155" s="75"/>
      <c r="Q155" s="75"/>
      <c r="R155" s="75"/>
      <c r="S155" s="75"/>
      <c r="T155" s="75"/>
      <c r="U155" s="74"/>
    </row>
    <row r="156" spans="1:21" ht="17.25" customHeight="1" x14ac:dyDescent="0.3">
      <c r="A156" s="66" t="s">
        <v>30</v>
      </c>
      <c r="C156" s="67"/>
      <c r="D156" s="77"/>
      <c r="E156" s="77" t="s">
        <v>31</v>
      </c>
      <c r="F156" s="76" t="s">
        <v>31</v>
      </c>
      <c r="G156" s="76" t="s">
        <v>31</v>
      </c>
      <c r="H156" s="76"/>
      <c r="I156" s="76"/>
      <c r="J156" s="76" t="s">
        <v>31</v>
      </c>
      <c r="K156" s="76" t="s">
        <v>31</v>
      </c>
      <c r="L156" s="76" t="s">
        <v>31</v>
      </c>
      <c r="M156" s="76" t="s">
        <v>31</v>
      </c>
      <c r="N156" s="76"/>
      <c r="U156" s="81"/>
    </row>
    <row r="157" spans="1:21" ht="20.25" customHeight="1" x14ac:dyDescent="0.35">
      <c r="A157" s="66" t="s">
        <v>30</v>
      </c>
      <c r="C157" s="67"/>
      <c r="D157" s="92" t="str">
        <f t="shared" ref="D157" si="106">E157</f>
        <v>S100001</v>
      </c>
      <c r="E157" s="91" t="str">
        <f>"S100001"</f>
        <v>S100001</v>
      </c>
      <c r="F157" s="89" t="str">
        <f>"Basketball Graphic Plaque"</f>
        <v>Basketball Graphic Plaque</v>
      </c>
      <c r="G157" s="89"/>
      <c r="H157" s="90" t="str">
        <f>"EA"</f>
        <v>EA</v>
      </c>
      <c r="I157" s="89"/>
      <c r="J157" s="89"/>
      <c r="K157" s="89"/>
      <c r="L157" s="89"/>
      <c r="M157" s="89"/>
      <c r="N157" s="89"/>
      <c r="O157" s="88">
        <f>(SUBTOTAL(9,O158:O159))</f>
        <v>300</v>
      </c>
      <c r="P157" s="88">
        <f>(SUBTOTAL(9,P158:P159))</f>
        <v>0</v>
      </c>
      <c r="Q157" s="88">
        <f>(SUBTOTAL(9,Q158:Q159))</f>
        <v>0</v>
      </c>
      <c r="R157" s="88">
        <f>(SUBTOTAL(9,R158:R159))</f>
        <v>0</v>
      </c>
      <c r="S157" s="88">
        <f>(SUBTOTAL(9,S158:S159))</f>
        <v>0</v>
      </c>
      <c r="T157" s="88">
        <f>(SUBTOTAL(9,T158:T159))</f>
        <v>0</v>
      </c>
      <c r="U157" s="87">
        <f t="shared" ref="U157" si="107">SUBTOTAL(9,O158:T159)</f>
        <v>300</v>
      </c>
    </row>
    <row r="158" spans="1:21" ht="17.25" customHeight="1" x14ac:dyDescent="0.3">
      <c r="A158" s="66" t="s">
        <v>30</v>
      </c>
      <c r="C158" s="67"/>
      <c r="D158" s="77" t="str">
        <f t="shared" ref="D158" si="108">D157</f>
        <v>S100001</v>
      </c>
      <c r="E158" s="77"/>
      <c r="F158" s="76"/>
      <c r="G158" s="76" t="str">
        <f>"""NAV Direct"",""CRONUS JetCorp USA"",""32"",""1"",""166397"""</f>
        <v>"NAV Direct","CRONUS JetCorp USA","32","1","166397"</v>
      </c>
      <c r="H158" s="86">
        <v>43466</v>
      </c>
      <c r="I158" s="85">
        <v>166397</v>
      </c>
      <c r="J158" s="84" t="str">
        <f>"Vendor"</f>
        <v>Vendor</v>
      </c>
      <c r="K158" s="84" t="str">
        <f>"V100047"</f>
        <v>V100047</v>
      </c>
      <c r="L158" s="84" t="str">
        <f>IF($J158="Customer",_xll.NL("first",$J158,"Name","No.","@@"&amp;$K158),"")</f>
        <v/>
      </c>
      <c r="M158" s="84" t="str">
        <f>"WoodMart Supply Co."</f>
        <v>WoodMart Supply Co.</v>
      </c>
      <c r="N158" s="84" t="str">
        <f>IF($J158="Item",_xll.NL("first",$J158,"Description","No.","@@"&amp;$K158),"")</f>
        <v/>
      </c>
      <c r="O158" s="83">
        <v>300</v>
      </c>
      <c r="P158" s="83">
        <v>0</v>
      </c>
      <c r="Q158" s="83">
        <v>0</v>
      </c>
      <c r="R158" s="83">
        <v>0</v>
      </c>
      <c r="S158" s="83">
        <v>0</v>
      </c>
      <c r="T158" s="83">
        <v>0</v>
      </c>
      <c r="U158" s="82"/>
    </row>
    <row r="159" spans="1:21" ht="17.25" customHeight="1" x14ac:dyDescent="0.3">
      <c r="A159" s="66" t="s">
        <v>30</v>
      </c>
      <c r="C159" s="67"/>
      <c r="D159" s="77"/>
      <c r="E159" s="77"/>
      <c r="F159" s="76"/>
      <c r="G159" s="76"/>
      <c r="H159" s="76"/>
      <c r="I159" s="76"/>
      <c r="J159" s="76"/>
      <c r="K159" s="76"/>
      <c r="L159" s="76"/>
      <c r="M159" s="76"/>
      <c r="N159" s="76"/>
      <c r="O159" s="75"/>
      <c r="P159" s="75"/>
      <c r="Q159" s="75"/>
      <c r="R159" s="75"/>
      <c r="S159" s="75"/>
      <c r="T159" s="75"/>
      <c r="U159" s="74"/>
    </row>
    <row r="160" spans="1:21" ht="17.25" customHeight="1" x14ac:dyDescent="0.3">
      <c r="A160" s="66" t="s">
        <v>30</v>
      </c>
      <c r="C160" s="67"/>
      <c r="D160" s="77"/>
      <c r="E160" s="77" t="s">
        <v>31</v>
      </c>
      <c r="F160" s="76" t="s">
        <v>31</v>
      </c>
      <c r="G160" s="76" t="s">
        <v>31</v>
      </c>
      <c r="H160" s="76"/>
      <c r="I160" s="76"/>
      <c r="J160" s="76" t="s">
        <v>31</v>
      </c>
      <c r="K160" s="76" t="s">
        <v>31</v>
      </c>
      <c r="L160" s="76" t="s">
        <v>31</v>
      </c>
      <c r="M160" s="76" t="s">
        <v>31</v>
      </c>
      <c r="N160" s="76"/>
      <c r="U160" s="81"/>
    </row>
    <row r="161" spans="1:21" ht="20.25" customHeight="1" x14ac:dyDescent="0.35">
      <c r="A161" s="66" t="s">
        <v>30</v>
      </c>
      <c r="C161" s="67"/>
      <c r="D161" s="92" t="str">
        <f t="shared" ref="D161" si="109">E161</f>
        <v>S100003</v>
      </c>
      <c r="E161" s="91" t="str">
        <f>"S100003"</f>
        <v>S100003</v>
      </c>
      <c r="F161" s="89" t="str">
        <f>"Soccer #1 Pin"</f>
        <v>Soccer #1 Pin</v>
      </c>
      <c r="G161" s="89"/>
      <c r="H161" s="90" t="str">
        <f>"EA"</f>
        <v>EA</v>
      </c>
      <c r="I161" s="89"/>
      <c r="J161" s="89"/>
      <c r="K161" s="89"/>
      <c r="L161" s="89"/>
      <c r="M161" s="89"/>
      <c r="N161" s="89"/>
      <c r="O161" s="88">
        <f>(SUBTOTAL(9,O162:O163))</f>
        <v>200</v>
      </c>
      <c r="P161" s="88">
        <f>(SUBTOTAL(9,P162:P163))</f>
        <v>0</v>
      </c>
      <c r="Q161" s="88">
        <f>(SUBTOTAL(9,Q162:Q163))</f>
        <v>0</v>
      </c>
      <c r="R161" s="88">
        <f>(SUBTOTAL(9,R162:R163))</f>
        <v>0</v>
      </c>
      <c r="S161" s="88">
        <f>(SUBTOTAL(9,S162:S163))</f>
        <v>0</v>
      </c>
      <c r="T161" s="88">
        <f>(SUBTOTAL(9,T162:T163))</f>
        <v>0</v>
      </c>
      <c r="U161" s="87">
        <f t="shared" ref="U161" si="110">SUBTOTAL(9,O162:T163)</f>
        <v>200</v>
      </c>
    </row>
    <row r="162" spans="1:21" ht="17.25" customHeight="1" x14ac:dyDescent="0.3">
      <c r="A162" s="66" t="s">
        <v>30</v>
      </c>
      <c r="C162" s="67"/>
      <c r="D162" s="77" t="str">
        <f t="shared" ref="D162" si="111">D161</f>
        <v>S100003</v>
      </c>
      <c r="E162" s="77"/>
      <c r="F162" s="76"/>
      <c r="G162" s="76" t="str">
        <f>"""NAV Direct"",""CRONUS JetCorp USA"",""32"",""1"",""166396"""</f>
        <v>"NAV Direct","CRONUS JetCorp USA","32","1","166396"</v>
      </c>
      <c r="H162" s="86">
        <v>43466</v>
      </c>
      <c r="I162" s="85">
        <v>166396</v>
      </c>
      <c r="J162" s="84" t="str">
        <f>"Vendor"</f>
        <v>Vendor</v>
      </c>
      <c r="K162" s="84" t="str">
        <f>"V100047"</f>
        <v>V100047</v>
      </c>
      <c r="L162" s="84" t="str">
        <f>IF($J162="Customer",_xll.NL("first",$J162,"Name","No.","@@"&amp;$K162),"")</f>
        <v/>
      </c>
      <c r="M162" s="84" t="str">
        <f>"WoodMart Supply Co."</f>
        <v>WoodMart Supply Co.</v>
      </c>
      <c r="N162" s="84" t="str">
        <f>IF($J162="Item",_xll.NL("first",$J162,"Description","No.","@@"&amp;$K162),"")</f>
        <v/>
      </c>
      <c r="O162" s="83">
        <v>200</v>
      </c>
      <c r="P162" s="83">
        <v>0</v>
      </c>
      <c r="Q162" s="83">
        <v>0</v>
      </c>
      <c r="R162" s="83">
        <v>0</v>
      </c>
      <c r="S162" s="83">
        <v>0</v>
      </c>
      <c r="T162" s="83">
        <v>0</v>
      </c>
      <c r="U162" s="82"/>
    </row>
    <row r="163" spans="1:21" ht="17.25" customHeight="1" x14ac:dyDescent="0.3">
      <c r="A163" s="66" t="s">
        <v>30</v>
      </c>
      <c r="C163" s="67"/>
      <c r="D163" s="77"/>
      <c r="E163" s="77"/>
      <c r="F163" s="76"/>
      <c r="G163" s="76"/>
      <c r="H163" s="76"/>
      <c r="I163" s="76"/>
      <c r="J163" s="76"/>
      <c r="K163" s="76"/>
      <c r="L163" s="76"/>
      <c r="M163" s="76"/>
      <c r="N163" s="76"/>
      <c r="O163" s="75"/>
      <c r="P163" s="75"/>
      <c r="Q163" s="75"/>
      <c r="R163" s="75"/>
      <c r="S163" s="75"/>
      <c r="T163" s="75"/>
      <c r="U163" s="74"/>
    </row>
    <row r="164" spans="1:21" ht="17.25" customHeight="1" x14ac:dyDescent="0.3">
      <c r="A164" s="66" t="s">
        <v>30</v>
      </c>
      <c r="C164" s="67"/>
      <c r="D164" s="77"/>
      <c r="E164" s="77" t="s">
        <v>31</v>
      </c>
      <c r="F164" s="76" t="s">
        <v>31</v>
      </c>
      <c r="G164" s="76" t="s">
        <v>31</v>
      </c>
      <c r="H164" s="76"/>
      <c r="I164" s="76"/>
      <c r="J164" s="76" t="s">
        <v>31</v>
      </c>
      <c r="K164" s="76" t="s">
        <v>31</v>
      </c>
      <c r="L164" s="76" t="s">
        <v>31</v>
      </c>
      <c r="M164" s="76" t="s">
        <v>31</v>
      </c>
      <c r="N164" s="76"/>
      <c r="U164" s="81"/>
    </row>
    <row r="165" spans="1:21" ht="20.25" customHeight="1" x14ac:dyDescent="0.35">
      <c r="A165" s="66" t="s">
        <v>30</v>
      </c>
      <c r="C165" s="67"/>
      <c r="D165" s="92" t="str">
        <f t="shared" ref="D165" si="112">E165</f>
        <v>S100004</v>
      </c>
      <c r="E165" s="91" t="str">
        <f>"S100004"</f>
        <v>S100004</v>
      </c>
      <c r="F165" s="89" t="str">
        <f>"Award Medallian - 2''"</f>
        <v>Award Medallian - 2''</v>
      </c>
      <c r="G165" s="89"/>
      <c r="H165" s="90" t="str">
        <f>"EA"</f>
        <v>EA</v>
      </c>
      <c r="I165" s="89"/>
      <c r="J165" s="89"/>
      <c r="K165" s="89"/>
      <c r="L165" s="89"/>
      <c r="M165" s="89"/>
      <c r="N165" s="89"/>
      <c r="O165" s="88">
        <f>(SUBTOTAL(9,O166:O167))</f>
        <v>100</v>
      </c>
      <c r="P165" s="88">
        <f>(SUBTOTAL(9,P166:P167))</f>
        <v>0</v>
      </c>
      <c r="Q165" s="88">
        <f>(SUBTOTAL(9,Q166:Q167))</f>
        <v>0</v>
      </c>
      <c r="R165" s="88">
        <f>(SUBTOTAL(9,R166:R167))</f>
        <v>0</v>
      </c>
      <c r="S165" s="88">
        <f>(SUBTOTAL(9,S166:S167))</f>
        <v>0</v>
      </c>
      <c r="T165" s="88">
        <f>(SUBTOTAL(9,T166:T167))</f>
        <v>0</v>
      </c>
      <c r="U165" s="87">
        <f t="shared" ref="U165" si="113">SUBTOTAL(9,O166:T167)</f>
        <v>100</v>
      </c>
    </row>
    <row r="166" spans="1:21" ht="17.25" customHeight="1" x14ac:dyDescent="0.3">
      <c r="A166" s="66" t="s">
        <v>30</v>
      </c>
      <c r="C166" s="67"/>
      <c r="D166" s="77" t="str">
        <f t="shared" ref="D166" si="114">D165</f>
        <v>S100004</v>
      </c>
      <c r="E166" s="77"/>
      <c r="F166" s="76"/>
      <c r="G166" s="76" t="str">
        <f>"""NAV Direct"",""CRONUS JetCorp USA"",""32"",""1"",""166395"""</f>
        <v>"NAV Direct","CRONUS JetCorp USA","32","1","166395"</v>
      </c>
      <c r="H166" s="86">
        <v>43466</v>
      </c>
      <c r="I166" s="85">
        <v>166395</v>
      </c>
      <c r="J166" s="84" t="str">
        <f>"Vendor"</f>
        <v>Vendor</v>
      </c>
      <c r="K166" s="84" t="str">
        <f>"V100047"</f>
        <v>V100047</v>
      </c>
      <c r="L166" s="84" t="str">
        <f>IF($J166="Customer",_xll.NL("first",$J166,"Name","No.","@@"&amp;$K166),"")</f>
        <v/>
      </c>
      <c r="M166" s="84" t="str">
        <f>"WoodMart Supply Co."</f>
        <v>WoodMart Supply Co.</v>
      </c>
      <c r="N166" s="84" t="str">
        <f>IF($J166="Item",_xll.NL("first",$J166,"Description","No.","@@"&amp;$K166),"")</f>
        <v/>
      </c>
      <c r="O166" s="83">
        <v>100</v>
      </c>
      <c r="P166" s="83">
        <v>0</v>
      </c>
      <c r="Q166" s="83">
        <v>0</v>
      </c>
      <c r="R166" s="83">
        <v>0</v>
      </c>
      <c r="S166" s="83">
        <v>0</v>
      </c>
      <c r="T166" s="83">
        <v>0</v>
      </c>
      <c r="U166" s="82"/>
    </row>
    <row r="167" spans="1:21" ht="17.25" customHeight="1" x14ac:dyDescent="0.3">
      <c r="A167" s="66" t="s">
        <v>30</v>
      </c>
      <c r="C167" s="67"/>
      <c r="D167" s="77"/>
      <c r="E167" s="77"/>
      <c r="F167" s="76"/>
      <c r="G167" s="76"/>
      <c r="H167" s="76"/>
      <c r="I167" s="76"/>
      <c r="J167" s="76"/>
      <c r="K167" s="76"/>
      <c r="L167" s="76"/>
      <c r="M167" s="76"/>
      <c r="N167" s="76"/>
      <c r="O167" s="75"/>
      <c r="P167" s="75"/>
      <c r="Q167" s="75"/>
      <c r="R167" s="75"/>
      <c r="S167" s="75"/>
      <c r="T167" s="75"/>
      <c r="U167" s="74"/>
    </row>
    <row r="168" spans="1:21" ht="17.25" customHeight="1" x14ac:dyDescent="0.3">
      <c r="A168" s="66" t="s">
        <v>30</v>
      </c>
      <c r="C168" s="67"/>
      <c r="D168" s="77"/>
      <c r="E168" s="77" t="s">
        <v>31</v>
      </c>
      <c r="F168" s="76" t="s">
        <v>31</v>
      </c>
      <c r="G168" s="76" t="s">
        <v>31</v>
      </c>
      <c r="H168" s="76"/>
      <c r="I168" s="76"/>
      <c r="J168" s="76" t="s">
        <v>31</v>
      </c>
      <c r="K168" s="76" t="s">
        <v>31</v>
      </c>
      <c r="L168" s="76" t="s">
        <v>31</v>
      </c>
      <c r="M168" s="76" t="s">
        <v>31</v>
      </c>
      <c r="N168" s="76"/>
      <c r="U168" s="81"/>
    </row>
    <row r="169" spans="1:21" ht="20.25" customHeight="1" x14ac:dyDescent="0.35">
      <c r="A169" s="66" t="s">
        <v>30</v>
      </c>
      <c r="C169" s="67"/>
      <c r="D169" s="92" t="str">
        <f t="shared" ref="D169" si="115">E169</f>
        <v>S100005</v>
      </c>
      <c r="E169" s="91" t="str">
        <f>"S100005"</f>
        <v>S100005</v>
      </c>
      <c r="F169" s="89" t="str">
        <f>"Award Medallian - 2.5''"</f>
        <v>Award Medallian - 2.5''</v>
      </c>
      <c r="G169" s="89"/>
      <c r="H169" s="90" t="str">
        <f>"EA"</f>
        <v>EA</v>
      </c>
      <c r="I169" s="89"/>
      <c r="J169" s="89"/>
      <c r="K169" s="89"/>
      <c r="L169" s="89"/>
      <c r="M169" s="89"/>
      <c r="N169" s="89"/>
      <c r="O169" s="88">
        <f>(SUBTOTAL(9,O170:O172))</f>
        <v>400</v>
      </c>
      <c r="P169" s="88">
        <f>(SUBTOTAL(9,P170:P172))</f>
        <v>-288</v>
      </c>
      <c r="Q169" s="88">
        <f>(SUBTOTAL(9,Q170:Q172))</f>
        <v>0</v>
      </c>
      <c r="R169" s="88">
        <f>(SUBTOTAL(9,R170:R172))</f>
        <v>0</v>
      </c>
      <c r="S169" s="88">
        <f>(SUBTOTAL(9,S170:S172))</f>
        <v>0</v>
      </c>
      <c r="T169" s="88">
        <f>(SUBTOTAL(9,T170:T172))</f>
        <v>0</v>
      </c>
      <c r="U169" s="87">
        <f t="shared" ref="U169" si="116">SUBTOTAL(9,O170:T172)</f>
        <v>112</v>
      </c>
    </row>
    <row r="170" spans="1:21" ht="17.25" customHeight="1" x14ac:dyDescent="0.3">
      <c r="A170" s="66" t="s">
        <v>30</v>
      </c>
      <c r="C170" s="67"/>
      <c r="D170" s="77" t="str">
        <f t="shared" ref="D170" si="117">D169</f>
        <v>S100005</v>
      </c>
      <c r="E170" s="77"/>
      <c r="F170" s="76"/>
      <c r="G170" s="76" t="str">
        <f>"""NAV Direct"",""CRONUS JetCorp USA"",""32"",""1"",""166394"""</f>
        <v>"NAV Direct","CRONUS JetCorp USA","32","1","166394"</v>
      </c>
      <c r="H170" s="86">
        <v>43466</v>
      </c>
      <c r="I170" s="85">
        <v>166394</v>
      </c>
      <c r="J170" s="84" t="str">
        <f>"Vendor"</f>
        <v>Vendor</v>
      </c>
      <c r="K170" s="84" t="str">
        <f>"V100047"</f>
        <v>V100047</v>
      </c>
      <c r="L170" s="84" t="str">
        <f>IF($J170="Customer",_xll.NL("first",$J170,"Name","No.","@@"&amp;$K170),"")</f>
        <v/>
      </c>
      <c r="M170" s="84" t="str">
        <f>"WoodMart Supply Co."</f>
        <v>WoodMart Supply Co.</v>
      </c>
      <c r="N170" s="84" t="str">
        <f>IF($J170="Item",_xll.NL("first",$J170,"Description","No.","@@"&amp;$K170),"")</f>
        <v/>
      </c>
      <c r="O170" s="83">
        <v>400</v>
      </c>
      <c r="P170" s="83">
        <v>0</v>
      </c>
      <c r="Q170" s="83">
        <v>0</v>
      </c>
      <c r="R170" s="83">
        <v>0</v>
      </c>
      <c r="S170" s="83">
        <v>0</v>
      </c>
      <c r="T170" s="83">
        <v>0</v>
      </c>
      <c r="U170" s="82"/>
    </row>
    <row r="171" spans="1:21" ht="17.25" customHeight="1" x14ac:dyDescent="0.3">
      <c r="A171" s="66" t="s">
        <v>30</v>
      </c>
      <c r="C171" s="67"/>
      <c r="D171" s="77" t="str">
        <f t="shared" ref="D171" si="118">D170</f>
        <v>S100005</v>
      </c>
      <c r="E171" s="77"/>
      <c r="F171" s="76"/>
      <c r="G171" s="76" t="str">
        <f>"""NAV Direct"",""CRONUS JetCorp USA"",""32"",""1"",""36491"""</f>
        <v>"NAV Direct","CRONUS JetCorp USA","32","1","36491"</v>
      </c>
      <c r="H171" s="86">
        <v>43474</v>
      </c>
      <c r="I171" s="85">
        <v>36491</v>
      </c>
      <c r="J171" s="84" t="str">
        <f>"Customer"</f>
        <v>Customer</v>
      </c>
      <c r="K171" s="84" t="str">
        <f>"C100092"</f>
        <v>C100092</v>
      </c>
      <c r="L171" s="84" t="str">
        <f>IF($J171="Customer",_xll.NL("first",$J171,"Name","No.","@@"&amp;$K171),"")</f>
        <v>Zuni Home Crafts Ltd.</v>
      </c>
      <c r="M171" s="84" t="str">
        <f>""</f>
        <v/>
      </c>
      <c r="N171" s="84" t="str">
        <f>IF($J171="Item",_xll.NL("first",$J171,"Description","No.","@@"&amp;$K171),"")</f>
        <v/>
      </c>
      <c r="O171" s="83">
        <v>0</v>
      </c>
      <c r="P171" s="83">
        <v>-288</v>
      </c>
      <c r="Q171" s="83">
        <v>0</v>
      </c>
      <c r="R171" s="83">
        <v>0</v>
      </c>
      <c r="S171" s="83">
        <v>0</v>
      </c>
      <c r="T171" s="83">
        <v>0</v>
      </c>
      <c r="U171" s="82"/>
    </row>
    <row r="172" spans="1:21" ht="17.25" customHeight="1" x14ac:dyDescent="0.3">
      <c r="A172" s="66" t="s">
        <v>30</v>
      </c>
      <c r="C172" s="67"/>
      <c r="D172" s="77"/>
      <c r="E172" s="77"/>
      <c r="F172" s="76"/>
      <c r="G172" s="76"/>
      <c r="H172" s="76"/>
      <c r="I172" s="76"/>
      <c r="J172" s="76"/>
      <c r="K172" s="76"/>
      <c r="L172" s="76"/>
      <c r="M172" s="76"/>
      <c r="N172" s="76"/>
      <c r="O172" s="75"/>
      <c r="P172" s="75"/>
      <c r="Q172" s="75"/>
      <c r="R172" s="75"/>
      <c r="S172" s="75"/>
      <c r="T172" s="75"/>
      <c r="U172" s="74"/>
    </row>
    <row r="173" spans="1:21" ht="17.25" customHeight="1" x14ac:dyDescent="0.3">
      <c r="A173" s="66" t="s">
        <v>30</v>
      </c>
      <c r="C173" s="67"/>
      <c r="D173" s="77"/>
      <c r="E173" s="77" t="s">
        <v>31</v>
      </c>
      <c r="F173" s="76" t="s">
        <v>31</v>
      </c>
      <c r="G173" s="76" t="s">
        <v>31</v>
      </c>
      <c r="H173" s="76"/>
      <c r="I173" s="76"/>
      <c r="J173" s="76" t="s">
        <v>31</v>
      </c>
      <c r="K173" s="76" t="s">
        <v>31</v>
      </c>
      <c r="L173" s="76" t="s">
        <v>31</v>
      </c>
      <c r="M173" s="76" t="s">
        <v>31</v>
      </c>
      <c r="N173" s="76"/>
      <c r="U173" s="81"/>
    </row>
    <row r="174" spans="1:21" ht="20.25" customHeight="1" x14ac:dyDescent="0.35">
      <c r="A174" s="66" t="s">
        <v>30</v>
      </c>
      <c r="C174" s="67"/>
      <c r="D174" s="92" t="str">
        <f t="shared" ref="D174" si="119">E174</f>
        <v>S100006</v>
      </c>
      <c r="E174" s="91" t="str">
        <f>"S100006"</f>
        <v>S100006</v>
      </c>
      <c r="F174" s="89" t="str">
        <f>"Award Medallian - 3''"</f>
        <v>Award Medallian - 3''</v>
      </c>
      <c r="G174" s="89"/>
      <c r="H174" s="90" t="str">
        <f>"EA"</f>
        <v>EA</v>
      </c>
      <c r="I174" s="89"/>
      <c r="J174" s="89"/>
      <c r="K174" s="89"/>
      <c r="L174" s="89"/>
      <c r="M174" s="89"/>
      <c r="N174" s="89"/>
      <c r="O174" s="88">
        <f>(SUBTOTAL(9,O175:O176))</f>
        <v>100</v>
      </c>
      <c r="P174" s="88">
        <f>(SUBTOTAL(9,P175:P176))</f>
        <v>0</v>
      </c>
      <c r="Q174" s="88">
        <f>(SUBTOTAL(9,Q175:Q176))</f>
        <v>0</v>
      </c>
      <c r="R174" s="88">
        <f>(SUBTOTAL(9,R175:R176))</f>
        <v>0</v>
      </c>
      <c r="S174" s="88">
        <f>(SUBTOTAL(9,S175:S176))</f>
        <v>0</v>
      </c>
      <c r="T174" s="88">
        <f>(SUBTOTAL(9,T175:T176))</f>
        <v>0</v>
      </c>
      <c r="U174" s="87">
        <f t="shared" ref="U174" si="120">SUBTOTAL(9,O175:T176)</f>
        <v>100</v>
      </c>
    </row>
    <row r="175" spans="1:21" ht="17.25" customHeight="1" x14ac:dyDescent="0.3">
      <c r="A175" s="66" t="s">
        <v>30</v>
      </c>
      <c r="C175" s="67"/>
      <c r="D175" s="77" t="str">
        <f t="shared" ref="D175" si="121">D174</f>
        <v>S100006</v>
      </c>
      <c r="E175" s="77"/>
      <c r="F175" s="76"/>
      <c r="G175" s="76" t="str">
        <f>"""NAV Direct"",""CRONUS JetCorp USA"",""32"",""1"",""166393"""</f>
        <v>"NAV Direct","CRONUS JetCorp USA","32","1","166393"</v>
      </c>
      <c r="H175" s="86">
        <v>43466</v>
      </c>
      <c r="I175" s="85">
        <v>166393</v>
      </c>
      <c r="J175" s="84" t="str">
        <f>"Vendor"</f>
        <v>Vendor</v>
      </c>
      <c r="K175" s="84" t="str">
        <f>"V100047"</f>
        <v>V100047</v>
      </c>
      <c r="L175" s="84" t="str">
        <f>IF($J175="Customer",_xll.NL("first",$J175,"Name","No.","@@"&amp;$K175),"")</f>
        <v/>
      </c>
      <c r="M175" s="84" t="str">
        <f>"WoodMart Supply Co."</f>
        <v>WoodMart Supply Co.</v>
      </c>
      <c r="N175" s="84" t="str">
        <f>IF($J175="Item",_xll.NL("first",$J175,"Description","No.","@@"&amp;$K175),"")</f>
        <v/>
      </c>
      <c r="O175" s="83">
        <v>100</v>
      </c>
      <c r="P175" s="83">
        <v>0</v>
      </c>
      <c r="Q175" s="83">
        <v>0</v>
      </c>
      <c r="R175" s="83">
        <v>0</v>
      </c>
      <c r="S175" s="83">
        <v>0</v>
      </c>
      <c r="T175" s="83">
        <v>0</v>
      </c>
      <c r="U175" s="82"/>
    </row>
    <row r="176" spans="1:21" ht="17.25" customHeight="1" x14ac:dyDescent="0.3">
      <c r="A176" s="66" t="s">
        <v>30</v>
      </c>
      <c r="C176" s="67"/>
      <c r="D176" s="77"/>
      <c r="E176" s="77"/>
      <c r="F176" s="76"/>
      <c r="G176" s="76"/>
      <c r="H176" s="76"/>
      <c r="I176" s="76"/>
      <c r="J176" s="76"/>
      <c r="K176" s="76"/>
      <c r="L176" s="76"/>
      <c r="M176" s="76"/>
      <c r="N176" s="76"/>
      <c r="O176" s="75"/>
      <c r="P176" s="75"/>
      <c r="Q176" s="75"/>
      <c r="R176" s="75"/>
      <c r="S176" s="75"/>
      <c r="T176" s="75"/>
      <c r="U176" s="74"/>
    </row>
    <row r="177" spans="1:21" ht="17.25" customHeight="1" x14ac:dyDescent="0.3">
      <c r="A177" s="66" t="s">
        <v>30</v>
      </c>
      <c r="C177" s="67"/>
      <c r="D177" s="77"/>
      <c r="E177" s="77" t="s">
        <v>31</v>
      </c>
      <c r="F177" s="76" t="s">
        <v>31</v>
      </c>
      <c r="G177" s="76" t="s">
        <v>31</v>
      </c>
      <c r="H177" s="76"/>
      <c r="I177" s="76"/>
      <c r="J177" s="76" t="s">
        <v>31</v>
      </c>
      <c r="K177" s="76" t="s">
        <v>31</v>
      </c>
      <c r="L177" s="76" t="s">
        <v>31</v>
      </c>
      <c r="M177" s="76" t="s">
        <v>31</v>
      </c>
      <c r="N177" s="76"/>
      <c r="U177" s="81"/>
    </row>
    <row r="178" spans="1:21" ht="20.25" customHeight="1" x14ac:dyDescent="0.35">
      <c r="A178" s="66" t="s">
        <v>30</v>
      </c>
      <c r="C178" s="67"/>
      <c r="D178" s="92" t="str">
        <f t="shared" ref="D178" si="122">E178</f>
        <v>S100007</v>
      </c>
      <c r="E178" s="91" t="str">
        <f>"S100007"</f>
        <v>S100007</v>
      </c>
      <c r="F178" s="89" t="str">
        <f>"Baseball Figure Trophy"</f>
        <v>Baseball Figure Trophy</v>
      </c>
      <c r="G178" s="89"/>
      <c r="H178" s="90" t="str">
        <f>"EA"</f>
        <v>EA</v>
      </c>
      <c r="I178" s="89"/>
      <c r="J178" s="89"/>
      <c r="K178" s="89"/>
      <c r="L178" s="89"/>
      <c r="M178" s="89"/>
      <c r="N178" s="89"/>
      <c r="O178" s="88">
        <f>(SUBTOTAL(9,O179:O181))</f>
        <v>100</v>
      </c>
      <c r="P178" s="88">
        <f>(SUBTOTAL(9,P179:P181))</f>
        <v>-1</v>
      </c>
      <c r="Q178" s="88">
        <f>(SUBTOTAL(9,Q179:Q181))</f>
        <v>0</v>
      </c>
      <c r="R178" s="88">
        <f>(SUBTOTAL(9,R179:R181))</f>
        <v>0</v>
      </c>
      <c r="S178" s="88">
        <f>(SUBTOTAL(9,S179:S181))</f>
        <v>0</v>
      </c>
      <c r="T178" s="88">
        <f>(SUBTOTAL(9,T179:T181))</f>
        <v>0</v>
      </c>
      <c r="U178" s="87">
        <f t="shared" ref="U178" si="123">SUBTOTAL(9,O179:T181)</f>
        <v>99</v>
      </c>
    </row>
    <row r="179" spans="1:21" ht="17.25" customHeight="1" x14ac:dyDescent="0.3">
      <c r="A179" s="66" t="s">
        <v>30</v>
      </c>
      <c r="C179" s="67"/>
      <c r="D179" s="77" t="str">
        <f t="shared" ref="D179" si="124">D178</f>
        <v>S100007</v>
      </c>
      <c r="E179" s="77"/>
      <c r="F179" s="76"/>
      <c r="G179" s="76" t="str">
        <f>"""NAV Direct"",""CRONUS JetCorp USA"",""32"",""1"",""166392"""</f>
        <v>"NAV Direct","CRONUS JetCorp USA","32","1","166392"</v>
      </c>
      <c r="H179" s="86">
        <v>43466</v>
      </c>
      <c r="I179" s="85">
        <v>166392</v>
      </c>
      <c r="J179" s="84" t="str">
        <f>"Vendor"</f>
        <v>Vendor</v>
      </c>
      <c r="K179" s="84" t="str">
        <f>"V100047"</f>
        <v>V100047</v>
      </c>
      <c r="L179" s="84" t="str">
        <f>IF($J179="Customer",_xll.NL("first",$J179,"Name","No.","@@"&amp;$K179),"")</f>
        <v/>
      </c>
      <c r="M179" s="84" t="str">
        <f>"WoodMart Supply Co."</f>
        <v>WoodMart Supply Co.</v>
      </c>
      <c r="N179" s="84" t="str">
        <f>IF($J179="Item",_xll.NL("first",$J179,"Description","No.","@@"&amp;$K179),"")</f>
        <v/>
      </c>
      <c r="O179" s="83">
        <v>100</v>
      </c>
      <c r="P179" s="83">
        <v>0</v>
      </c>
      <c r="Q179" s="83">
        <v>0</v>
      </c>
      <c r="R179" s="83">
        <v>0</v>
      </c>
      <c r="S179" s="83">
        <v>0</v>
      </c>
      <c r="T179" s="83">
        <v>0</v>
      </c>
      <c r="U179" s="82"/>
    </row>
    <row r="180" spans="1:21" ht="17.25" customHeight="1" x14ac:dyDescent="0.3">
      <c r="A180" s="66" t="s">
        <v>30</v>
      </c>
      <c r="C180" s="67"/>
      <c r="D180" s="77" t="str">
        <f t="shared" ref="D180" si="125">D179</f>
        <v>S100007</v>
      </c>
      <c r="E180" s="77"/>
      <c r="F180" s="76"/>
      <c r="G180" s="76" t="str">
        <f>"""NAV Direct"",""CRONUS JetCorp USA"",""32"",""1"",""34339"""</f>
        <v>"NAV Direct","CRONUS JetCorp USA","32","1","34339"</v>
      </c>
      <c r="H180" s="86">
        <v>43475</v>
      </c>
      <c r="I180" s="85">
        <v>34339</v>
      </c>
      <c r="J180" s="84" t="str">
        <f>"Customer"</f>
        <v>Customer</v>
      </c>
      <c r="K180" s="84" t="str">
        <f>"C100008"</f>
        <v>C100008</v>
      </c>
      <c r="L180" s="84" t="str">
        <f>IF($J180="Customer",_xll.NL("first",$J180,"Name","No.","@@"&amp;$K180),"")</f>
        <v>Blanemark Hifi Shop</v>
      </c>
      <c r="M180" s="84" t="str">
        <f>""</f>
        <v/>
      </c>
      <c r="N180" s="84" t="str">
        <f>IF($J180="Item",_xll.NL("first",$J180,"Description","No.","@@"&amp;$K180),"")</f>
        <v/>
      </c>
      <c r="O180" s="83">
        <v>0</v>
      </c>
      <c r="P180" s="83">
        <v>-1</v>
      </c>
      <c r="Q180" s="83">
        <v>0</v>
      </c>
      <c r="R180" s="83">
        <v>0</v>
      </c>
      <c r="S180" s="83">
        <v>0</v>
      </c>
      <c r="T180" s="83">
        <v>0</v>
      </c>
      <c r="U180" s="82"/>
    </row>
    <row r="181" spans="1:21" ht="17.25" customHeight="1" x14ac:dyDescent="0.3">
      <c r="A181" s="66" t="s">
        <v>30</v>
      </c>
      <c r="C181" s="67"/>
      <c r="D181" s="77"/>
      <c r="E181" s="77"/>
      <c r="F181" s="76"/>
      <c r="G181" s="76"/>
      <c r="H181" s="76"/>
      <c r="I181" s="76"/>
      <c r="J181" s="76"/>
      <c r="K181" s="76"/>
      <c r="L181" s="76"/>
      <c r="M181" s="76"/>
      <c r="N181" s="76"/>
      <c r="O181" s="75"/>
      <c r="P181" s="75"/>
      <c r="Q181" s="75"/>
      <c r="R181" s="75"/>
      <c r="S181" s="75"/>
      <c r="T181" s="75"/>
      <c r="U181" s="74"/>
    </row>
    <row r="182" spans="1:21" ht="17.25" customHeight="1" x14ac:dyDescent="0.3">
      <c r="A182" s="66" t="s">
        <v>30</v>
      </c>
      <c r="C182" s="67"/>
      <c r="D182" s="77"/>
      <c r="E182" s="77" t="s">
        <v>31</v>
      </c>
      <c r="F182" s="76" t="s">
        <v>31</v>
      </c>
      <c r="G182" s="76" t="s">
        <v>31</v>
      </c>
      <c r="H182" s="76"/>
      <c r="I182" s="76"/>
      <c r="J182" s="76" t="s">
        <v>31</v>
      </c>
      <c r="K182" s="76" t="s">
        <v>31</v>
      </c>
      <c r="L182" s="76" t="s">
        <v>31</v>
      </c>
      <c r="M182" s="76" t="s">
        <v>31</v>
      </c>
      <c r="N182" s="76"/>
      <c r="U182" s="81"/>
    </row>
    <row r="183" spans="1:21" ht="20.25" customHeight="1" x14ac:dyDescent="0.35">
      <c r="A183" s="66" t="s">
        <v>30</v>
      </c>
      <c r="C183" s="67"/>
      <c r="D183" s="92" t="str">
        <f t="shared" ref="D183" si="126">E183</f>
        <v>S100008</v>
      </c>
      <c r="E183" s="91" t="str">
        <f>"S100008"</f>
        <v>S100008</v>
      </c>
      <c r="F183" s="89" t="str">
        <f>"Soccer Figure Trophy"</f>
        <v>Soccer Figure Trophy</v>
      </c>
      <c r="G183" s="89"/>
      <c r="H183" s="90" t="str">
        <f>"EA"</f>
        <v>EA</v>
      </c>
      <c r="I183" s="89"/>
      <c r="J183" s="89"/>
      <c r="K183" s="89"/>
      <c r="L183" s="89"/>
      <c r="M183" s="89"/>
      <c r="N183" s="89"/>
      <c r="O183" s="88">
        <f>(SUBTOTAL(9,O184:O186))</f>
        <v>200</v>
      </c>
      <c r="P183" s="88">
        <f>(SUBTOTAL(9,P184:P186))</f>
        <v>-144</v>
      </c>
      <c r="Q183" s="88">
        <f>(SUBTOTAL(9,Q184:Q186))</f>
        <v>0</v>
      </c>
      <c r="R183" s="88">
        <f>(SUBTOTAL(9,R184:R186))</f>
        <v>0</v>
      </c>
      <c r="S183" s="88">
        <f>(SUBTOTAL(9,S184:S186))</f>
        <v>0</v>
      </c>
      <c r="T183" s="88">
        <f>(SUBTOTAL(9,T184:T186))</f>
        <v>0</v>
      </c>
      <c r="U183" s="87">
        <f t="shared" ref="U183" si="127">SUBTOTAL(9,O184:T186)</f>
        <v>56</v>
      </c>
    </row>
    <row r="184" spans="1:21" ht="17.25" customHeight="1" x14ac:dyDescent="0.3">
      <c r="A184" s="66" t="s">
        <v>30</v>
      </c>
      <c r="C184" s="67"/>
      <c r="D184" s="77" t="str">
        <f t="shared" ref="D184" si="128">D183</f>
        <v>S100008</v>
      </c>
      <c r="E184" s="77"/>
      <c r="F184" s="76"/>
      <c r="G184" s="76" t="str">
        <f>"""NAV Direct"",""CRONUS JetCorp USA"",""32"",""1"",""166391"""</f>
        <v>"NAV Direct","CRONUS JetCorp USA","32","1","166391"</v>
      </c>
      <c r="H184" s="86">
        <v>43466</v>
      </c>
      <c r="I184" s="85">
        <v>166391</v>
      </c>
      <c r="J184" s="84" t="str">
        <f>"Vendor"</f>
        <v>Vendor</v>
      </c>
      <c r="K184" s="84" t="str">
        <f>"V100047"</f>
        <v>V100047</v>
      </c>
      <c r="L184" s="84" t="str">
        <f>IF($J184="Customer",_xll.NL("first",$J184,"Name","No.","@@"&amp;$K184),"")</f>
        <v/>
      </c>
      <c r="M184" s="84" t="str">
        <f>"WoodMart Supply Co."</f>
        <v>WoodMart Supply Co.</v>
      </c>
      <c r="N184" s="84" t="str">
        <f>IF($J184="Item",_xll.NL("first",$J184,"Description","No.","@@"&amp;$K184),"")</f>
        <v/>
      </c>
      <c r="O184" s="83">
        <v>200</v>
      </c>
      <c r="P184" s="83">
        <v>0</v>
      </c>
      <c r="Q184" s="83">
        <v>0</v>
      </c>
      <c r="R184" s="83">
        <v>0</v>
      </c>
      <c r="S184" s="83">
        <v>0</v>
      </c>
      <c r="T184" s="83">
        <v>0</v>
      </c>
      <c r="U184" s="82"/>
    </row>
    <row r="185" spans="1:21" ht="17.25" customHeight="1" x14ac:dyDescent="0.3">
      <c r="A185" s="66" t="s">
        <v>30</v>
      </c>
      <c r="C185" s="67"/>
      <c r="D185" s="77" t="str">
        <f t="shared" ref="D185" si="129">D184</f>
        <v>S100008</v>
      </c>
      <c r="E185" s="77"/>
      <c r="F185" s="76"/>
      <c r="G185" s="76" t="str">
        <f>"""NAV Direct"",""CRONUS JetCorp USA"",""32"",""1"",""36494"""</f>
        <v>"NAV Direct","CRONUS JetCorp USA","32","1","36494"</v>
      </c>
      <c r="H185" s="86">
        <v>43474</v>
      </c>
      <c r="I185" s="85">
        <v>36494</v>
      </c>
      <c r="J185" s="84" t="str">
        <f>"Customer"</f>
        <v>Customer</v>
      </c>
      <c r="K185" s="84" t="str">
        <f>"C100092"</f>
        <v>C100092</v>
      </c>
      <c r="L185" s="84" t="str">
        <f>IF($J185="Customer",_xll.NL("first",$J185,"Name","No.","@@"&amp;$K185),"")</f>
        <v>Zuni Home Crafts Ltd.</v>
      </c>
      <c r="M185" s="84" t="str">
        <f>""</f>
        <v/>
      </c>
      <c r="N185" s="84" t="str">
        <f>IF($J185="Item",_xll.NL("first",$J185,"Description","No.","@@"&amp;$K185),"")</f>
        <v/>
      </c>
      <c r="O185" s="83">
        <v>0</v>
      </c>
      <c r="P185" s="83">
        <v>-144</v>
      </c>
      <c r="Q185" s="83">
        <v>0</v>
      </c>
      <c r="R185" s="83">
        <v>0</v>
      </c>
      <c r="S185" s="83">
        <v>0</v>
      </c>
      <c r="T185" s="83">
        <v>0</v>
      </c>
      <c r="U185" s="82"/>
    </row>
    <row r="186" spans="1:21" ht="17.25" customHeight="1" x14ac:dyDescent="0.3">
      <c r="A186" s="66" t="s">
        <v>30</v>
      </c>
      <c r="C186" s="67"/>
      <c r="D186" s="77"/>
      <c r="E186" s="77"/>
      <c r="F186" s="76"/>
      <c r="G186" s="76"/>
      <c r="H186" s="76"/>
      <c r="I186" s="76"/>
      <c r="J186" s="76"/>
      <c r="K186" s="76"/>
      <c r="L186" s="76"/>
      <c r="M186" s="76"/>
      <c r="N186" s="76"/>
      <c r="O186" s="75"/>
      <c r="P186" s="75"/>
      <c r="Q186" s="75"/>
      <c r="R186" s="75"/>
      <c r="S186" s="75"/>
      <c r="T186" s="75"/>
      <c r="U186" s="74"/>
    </row>
    <row r="187" spans="1:21" ht="17.25" customHeight="1" x14ac:dyDescent="0.3">
      <c r="A187" s="66" t="s">
        <v>30</v>
      </c>
      <c r="C187" s="67"/>
      <c r="D187" s="77"/>
      <c r="E187" s="77" t="s">
        <v>31</v>
      </c>
      <c r="F187" s="76" t="s">
        <v>31</v>
      </c>
      <c r="G187" s="76" t="s">
        <v>31</v>
      </c>
      <c r="H187" s="76"/>
      <c r="I187" s="76"/>
      <c r="J187" s="76" t="s">
        <v>31</v>
      </c>
      <c r="K187" s="76" t="s">
        <v>31</v>
      </c>
      <c r="L187" s="76" t="s">
        <v>31</v>
      </c>
      <c r="M187" s="76" t="s">
        <v>31</v>
      </c>
      <c r="N187" s="76"/>
      <c r="U187" s="81"/>
    </row>
    <row r="188" spans="1:21" ht="20.25" customHeight="1" x14ac:dyDescent="0.35">
      <c r="A188" s="66" t="s">
        <v>30</v>
      </c>
      <c r="C188" s="67"/>
      <c r="D188" s="92" t="str">
        <f t="shared" ref="D188" si="130">E188</f>
        <v>S100009</v>
      </c>
      <c r="E188" s="91" t="str">
        <f>"S100009"</f>
        <v>S100009</v>
      </c>
      <c r="F188" s="89" t="str">
        <f>"Engraved Basketball Award"</f>
        <v>Engraved Basketball Award</v>
      </c>
      <c r="G188" s="89"/>
      <c r="H188" s="90" t="str">
        <f>"EA"</f>
        <v>EA</v>
      </c>
      <c r="I188" s="89"/>
      <c r="J188" s="89"/>
      <c r="K188" s="89"/>
      <c r="L188" s="89"/>
      <c r="M188" s="89"/>
      <c r="N188" s="89"/>
      <c r="O188" s="88">
        <f>(SUBTOTAL(9,O189:O192))</f>
        <v>200</v>
      </c>
      <c r="P188" s="88">
        <f>(SUBTOTAL(9,P189:P192))</f>
        <v>-288</v>
      </c>
      <c r="Q188" s="88">
        <f>(SUBTOTAL(9,Q189:Q192))</f>
        <v>0</v>
      </c>
      <c r="R188" s="88">
        <f>(SUBTOTAL(9,R189:R192))</f>
        <v>0</v>
      </c>
      <c r="S188" s="88">
        <f>(SUBTOTAL(9,S189:S192))</f>
        <v>0</v>
      </c>
      <c r="T188" s="88">
        <f>(SUBTOTAL(9,T189:T192))</f>
        <v>0</v>
      </c>
      <c r="U188" s="87">
        <f t="shared" ref="U188" si="131">SUBTOTAL(9,O189:T192)</f>
        <v>-88</v>
      </c>
    </row>
    <row r="189" spans="1:21" ht="17.25" customHeight="1" x14ac:dyDescent="0.3">
      <c r="A189" s="66" t="s">
        <v>30</v>
      </c>
      <c r="C189" s="67"/>
      <c r="D189" s="77" t="str">
        <f t="shared" ref="D189" si="132">D188</f>
        <v>S100009</v>
      </c>
      <c r="E189" s="77"/>
      <c r="F189" s="76"/>
      <c r="G189" s="76" t="str">
        <f>"""NAV Direct"",""CRONUS JetCorp USA"",""32"",""1"",""166390"""</f>
        <v>"NAV Direct","CRONUS JetCorp USA","32","1","166390"</v>
      </c>
      <c r="H189" s="86">
        <v>43466</v>
      </c>
      <c r="I189" s="85">
        <v>166390</v>
      </c>
      <c r="J189" s="84" t="str">
        <f>"Vendor"</f>
        <v>Vendor</v>
      </c>
      <c r="K189" s="84" t="str">
        <f>"V100047"</f>
        <v>V100047</v>
      </c>
      <c r="L189" s="84" t="str">
        <f>IF($J189="Customer",_xll.NL("first",$J189,"Name","No.","@@"&amp;$K189),"")</f>
        <v/>
      </c>
      <c r="M189" s="84" t="str">
        <f>"WoodMart Supply Co."</f>
        <v>WoodMart Supply Co.</v>
      </c>
      <c r="N189" s="84" t="str">
        <f>IF($J189="Item",_xll.NL("first",$J189,"Description","No.","@@"&amp;$K189),"")</f>
        <v/>
      </c>
      <c r="O189" s="83">
        <v>200</v>
      </c>
      <c r="P189" s="83">
        <v>0</v>
      </c>
      <c r="Q189" s="83">
        <v>0</v>
      </c>
      <c r="R189" s="83">
        <v>0</v>
      </c>
      <c r="S189" s="83">
        <v>0</v>
      </c>
      <c r="T189" s="83">
        <v>0</v>
      </c>
      <c r="U189" s="82"/>
    </row>
    <row r="190" spans="1:21" ht="17.25" customHeight="1" x14ac:dyDescent="0.3">
      <c r="A190" s="66" t="s">
        <v>30</v>
      </c>
      <c r="C190" s="67"/>
      <c r="D190" s="77" t="str">
        <f t="shared" ref="D190:D191" si="133">D189</f>
        <v>S100009</v>
      </c>
      <c r="E190" s="77"/>
      <c r="F190" s="76"/>
      <c r="G190" s="76" t="str">
        <f>"""NAV Direct"",""CRONUS JetCorp USA"",""32"",""1"",""36490"""</f>
        <v>"NAV Direct","CRONUS JetCorp USA","32","1","36490"</v>
      </c>
      <c r="H190" s="86">
        <v>43474</v>
      </c>
      <c r="I190" s="85">
        <v>36490</v>
      </c>
      <c r="J190" s="84" t="str">
        <f>"Customer"</f>
        <v>Customer</v>
      </c>
      <c r="K190" s="84" t="str">
        <f>"C100092"</f>
        <v>C100092</v>
      </c>
      <c r="L190" s="84" t="str">
        <f>IF($J190="Customer",_xll.NL("first",$J190,"Name","No.","@@"&amp;$K190),"")</f>
        <v>Zuni Home Crafts Ltd.</v>
      </c>
      <c r="M190" s="84" t="str">
        <f>""</f>
        <v/>
      </c>
      <c r="N190" s="84" t="str">
        <f>IF($J190="Item",_xll.NL("first",$J190,"Description","No.","@@"&amp;$K190),"")</f>
        <v/>
      </c>
      <c r="O190" s="83">
        <v>0</v>
      </c>
      <c r="P190" s="83">
        <v>-144</v>
      </c>
      <c r="Q190" s="83">
        <v>0</v>
      </c>
      <c r="R190" s="83">
        <v>0</v>
      </c>
      <c r="S190" s="83">
        <v>0</v>
      </c>
      <c r="T190" s="83">
        <v>0</v>
      </c>
      <c r="U190" s="82"/>
    </row>
    <row r="191" spans="1:21" ht="17.25" customHeight="1" x14ac:dyDescent="0.3">
      <c r="A191" s="66" t="s">
        <v>30</v>
      </c>
      <c r="C191" s="67"/>
      <c r="D191" s="77" t="str">
        <f t="shared" si="133"/>
        <v>S100009</v>
      </c>
      <c r="E191" s="77"/>
      <c r="F191" s="76"/>
      <c r="G191" s="76" t="str">
        <f>"""NAV Direct"",""CRONUS JetCorp USA"",""32"",""1"",""34328"""</f>
        <v>"NAV Direct","CRONUS JetCorp USA","32","1","34328"</v>
      </c>
      <c r="H191" s="86">
        <v>43475</v>
      </c>
      <c r="I191" s="85">
        <v>34328</v>
      </c>
      <c r="J191" s="84" t="str">
        <f>"Customer"</f>
        <v>Customer</v>
      </c>
      <c r="K191" s="84" t="str">
        <f>"C100008"</f>
        <v>C100008</v>
      </c>
      <c r="L191" s="84" t="str">
        <f>IF($J191="Customer",_xll.NL("first",$J191,"Name","No.","@@"&amp;$K191),"")</f>
        <v>Blanemark Hifi Shop</v>
      </c>
      <c r="M191" s="84" t="str">
        <f>""</f>
        <v/>
      </c>
      <c r="N191" s="84" t="str">
        <f>IF($J191="Item",_xll.NL("first",$J191,"Description","No.","@@"&amp;$K191),"")</f>
        <v/>
      </c>
      <c r="O191" s="83">
        <v>0</v>
      </c>
      <c r="P191" s="83">
        <v>-144</v>
      </c>
      <c r="Q191" s="83">
        <v>0</v>
      </c>
      <c r="R191" s="83">
        <v>0</v>
      </c>
      <c r="S191" s="83">
        <v>0</v>
      </c>
      <c r="T191" s="83">
        <v>0</v>
      </c>
      <c r="U191" s="82"/>
    </row>
    <row r="192" spans="1:21" ht="17.25" customHeight="1" x14ac:dyDescent="0.3">
      <c r="A192" s="66" t="s">
        <v>30</v>
      </c>
      <c r="C192" s="67"/>
      <c r="D192" s="77"/>
      <c r="E192" s="77"/>
      <c r="F192" s="76"/>
      <c r="G192" s="76"/>
      <c r="H192" s="76"/>
      <c r="I192" s="76"/>
      <c r="J192" s="76"/>
      <c r="K192" s="76"/>
      <c r="L192" s="76"/>
      <c r="M192" s="76"/>
      <c r="N192" s="76"/>
      <c r="O192" s="75"/>
      <c r="P192" s="75"/>
      <c r="Q192" s="75"/>
      <c r="R192" s="75"/>
      <c r="S192" s="75"/>
      <c r="T192" s="75"/>
      <c r="U192" s="74"/>
    </row>
    <row r="193" spans="1:21" ht="17.25" customHeight="1" x14ac:dyDescent="0.3">
      <c r="A193" s="66" t="s">
        <v>30</v>
      </c>
      <c r="C193" s="67"/>
      <c r="D193" s="77"/>
      <c r="E193" s="77" t="s">
        <v>31</v>
      </c>
      <c r="F193" s="76" t="s">
        <v>31</v>
      </c>
      <c r="G193" s="76" t="s">
        <v>31</v>
      </c>
      <c r="H193" s="76"/>
      <c r="I193" s="76"/>
      <c r="J193" s="76" t="s">
        <v>31</v>
      </c>
      <c r="K193" s="76" t="s">
        <v>31</v>
      </c>
      <c r="L193" s="76" t="s">
        <v>31</v>
      </c>
      <c r="M193" s="76" t="s">
        <v>31</v>
      </c>
      <c r="N193" s="76"/>
      <c r="U193" s="81"/>
    </row>
    <row r="194" spans="1:21" ht="20.25" customHeight="1" x14ac:dyDescent="0.35">
      <c r="A194" s="66" t="s">
        <v>30</v>
      </c>
      <c r="C194" s="67"/>
      <c r="D194" s="92" t="str">
        <f t="shared" ref="D194" si="134">E194</f>
        <v>S100010</v>
      </c>
      <c r="E194" s="91" t="str">
        <f>"S100010"</f>
        <v>S100010</v>
      </c>
      <c r="F194" s="89" t="str">
        <f>"Golf Relaxed Cap"</f>
        <v>Golf Relaxed Cap</v>
      </c>
      <c r="G194" s="89"/>
      <c r="H194" s="90" t="str">
        <f>"EA"</f>
        <v>EA</v>
      </c>
      <c r="I194" s="89"/>
      <c r="J194" s="89"/>
      <c r="K194" s="89"/>
      <c r="L194" s="89"/>
      <c r="M194" s="89"/>
      <c r="N194" s="89"/>
      <c r="O194" s="88">
        <f>(SUBTOTAL(9,O195:O197))</f>
        <v>800</v>
      </c>
      <c r="P194" s="88">
        <f>(SUBTOTAL(9,P195:P197))</f>
        <v>-144</v>
      </c>
      <c r="Q194" s="88">
        <f>(SUBTOTAL(9,Q195:Q197))</f>
        <v>0</v>
      </c>
      <c r="R194" s="88">
        <f>(SUBTOTAL(9,R195:R197))</f>
        <v>0</v>
      </c>
      <c r="S194" s="88">
        <f>(SUBTOTAL(9,S195:S197))</f>
        <v>0</v>
      </c>
      <c r="T194" s="88">
        <f>(SUBTOTAL(9,T195:T197))</f>
        <v>0</v>
      </c>
      <c r="U194" s="87">
        <f t="shared" ref="U194" si="135">SUBTOTAL(9,O195:T197)</f>
        <v>656</v>
      </c>
    </row>
    <row r="195" spans="1:21" ht="17.25" customHeight="1" x14ac:dyDescent="0.3">
      <c r="A195" s="66" t="s">
        <v>30</v>
      </c>
      <c r="C195" s="67"/>
      <c r="D195" s="77" t="str">
        <f t="shared" ref="D195" si="136">D194</f>
        <v>S100010</v>
      </c>
      <c r="E195" s="77"/>
      <c r="F195" s="76"/>
      <c r="G195" s="76" t="str">
        <f>"""NAV Direct"",""CRONUS JetCorp USA"",""32"",""1"",""167148"""</f>
        <v>"NAV Direct","CRONUS JetCorp USA","32","1","167148"</v>
      </c>
      <c r="H195" s="86">
        <v>43466</v>
      </c>
      <c r="I195" s="85">
        <v>167148</v>
      </c>
      <c r="J195" s="84" t="str">
        <f>"Vendor"</f>
        <v>Vendor</v>
      </c>
      <c r="K195" s="84" t="str">
        <f>"V100047"</f>
        <v>V100047</v>
      </c>
      <c r="L195" s="84" t="str">
        <f>IF($J195="Customer",_xll.NL("first",$J195,"Name","No.","@@"&amp;$K195),"")</f>
        <v/>
      </c>
      <c r="M195" s="84" t="str">
        <f>"WoodMart Supply Co."</f>
        <v>WoodMart Supply Co.</v>
      </c>
      <c r="N195" s="84" t="str">
        <f>IF($J195="Item",_xll.NL("first",$J195,"Description","No.","@@"&amp;$K195),"")</f>
        <v/>
      </c>
      <c r="O195" s="83">
        <v>800</v>
      </c>
      <c r="P195" s="83">
        <v>0</v>
      </c>
      <c r="Q195" s="83">
        <v>0</v>
      </c>
      <c r="R195" s="83">
        <v>0</v>
      </c>
      <c r="S195" s="83">
        <v>0</v>
      </c>
      <c r="T195" s="83">
        <v>0</v>
      </c>
      <c r="U195" s="82"/>
    </row>
    <row r="196" spans="1:21" ht="17.25" customHeight="1" x14ac:dyDescent="0.3">
      <c r="A196" s="66" t="s">
        <v>30</v>
      </c>
      <c r="C196" s="67"/>
      <c r="D196" s="77" t="str">
        <f t="shared" ref="D196" si="137">D195</f>
        <v>S100010</v>
      </c>
      <c r="E196" s="77"/>
      <c r="F196" s="76"/>
      <c r="G196" s="76" t="str">
        <f>"""NAV Direct"",""CRONUS JetCorp USA"",""32"",""1"",""34330"""</f>
        <v>"NAV Direct","CRONUS JetCorp USA","32","1","34330"</v>
      </c>
      <c r="H196" s="86">
        <v>43475</v>
      </c>
      <c r="I196" s="85">
        <v>34330</v>
      </c>
      <c r="J196" s="84" t="str">
        <f>"Customer"</f>
        <v>Customer</v>
      </c>
      <c r="K196" s="84" t="str">
        <f>"C100008"</f>
        <v>C100008</v>
      </c>
      <c r="L196" s="84" t="str">
        <f>IF($J196="Customer",_xll.NL("first",$J196,"Name","No.","@@"&amp;$K196),"")</f>
        <v>Blanemark Hifi Shop</v>
      </c>
      <c r="M196" s="84" t="str">
        <f>""</f>
        <v/>
      </c>
      <c r="N196" s="84" t="str">
        <f>IF($J196="Item",_xll.NL("first",$J196,"Description","No.","@@"&amp;$K196),"")</f>
        <v/>
      </c>
      <c r="O196" s="83">
        <v>0</v>
      </c>
      <c r="P196" s="83">
        <v>-144</v>
      </c>
      <c r="Q196" s="83">
        <v>0</v>
      </c>
      <c r="R196" s="83">
        <v>0</v>
      </c>
      <c r="S196" s="83">
        <v>0</v>
      </c>
      <c r="T196" s="83">
        <v>0</v>
      </c>
      <c r="U196" s="82"/>
    </row>
    <row r="197" spans="1:21" ht="17.25" customHeight="1" x14ac:dyDescent="0.3">
      <c r="A197" s="66" t="s">
        <v>30</v>
      </c>
      <c r="C197" s="67"/>
      <c r="D197" s="77"/>
      <c r="E197" s="77"/>
      <c r="F197" s="76"/>
      <c r="G197" s="76"/>
      <c r="H197" s="76"/>
      <c r="I197" s="76"/>
      <c r="J197" s="76"/>
      <c r="K197" s="76"/>
      <c r="L197" s="76"/>
      <c r="M197" s="76"/>
      <c r="N197" s="76"/>
      <c r="O197" s="75"/>
      <c r="P197" s="75"/>
      <c r="Q197" s="75"/>
      <c r="R197" s="75"/>
      <c r="S197" s="75"/>
      <c r="T197" s="75"/>
      <c r="U197" s="74"/>
    </row>
    <row r="198" spans="1:21" ht="17.25" customHeight="1" x14ac:dyDescent="0.3">
      <c r="A198" s="66" t="s">
        <v>30</v>
      </c>
      <c r="C198" s="67"/>
      <c r="D198" s="77"/>
      <c r="E198" s="77" t="s">
        <v>31</v>
      </c>
      <c r="F198" s="76" t="s">
        <v>31</v>
      </c>
      <c r="G198" s="76" t="s">
        <v>31</v>
      </c>
      <c r="H198" s="76"/>
      <c r="I198" s="76"/>
      <c r="J198" s="76" t="s">
        <v>31</v>
      </c>
      <c r="K198" s="76" t="s">
        <v>31</v>
      </c>
      <c r="L198" s="76" t="s">
        <v>31</v>
      </c>
      <c r="M198" s="76" t="s">
        <v>31</v>
      </c>
      <c r="N198" s="76"/>
      <c r="U198" s="81"/>
    </row>
    <row r="199" spans="1:21" ht="20.25" customHeight="1" x14ac:dyDescent="0.35">
      <c r="A199" s="66" t="s">
        <v>30</v>
      </c>
      <c r="C199" s="67"/>
      <c r="D199" s="92" t="str">
        <f t="shared" ref="D199" si="138">E199</f>
        <v>S100012</v>
      </c>
      <c r="E199" s="91" t="str">
        <f>"S100012"</f>
        <v>S100012</v>
      </c>
      <c r="F199" s="89" t="str">
        <f>"Raw-Edge Patch BALL CAP"</f>
        <v>Raw-Edge Patch BALL CAP</v>
      </c>
      <c r="G199" s="89"/>
      <c r="H199" s="90" t="str">
        <f>"EA"</f>
        <v>EA</v>
      </c>
      <c r="I199" s="89"/>
      <c r="J199" s="89"/>
      <c r="K199" s="89"/>
      <c r="L199" s="89"/>
      <c r="M199" s="89"/>
      <c r="N199" s="89"/>
      <c r="O199" s="88">
        <f>(SUBTOTAL(9,O200:O201))</f>
        <v>0</v>
      </c>
      <c r="P199" s="88">
        <f>(SUBTOTAL(9,P200:P201))</f>
        <v>-145</v>
      </c>
      <c r="Q199" s="88">
        <f>(SUBTOTAL(9,Q200:Q201))</f>
        <v>0</v>
      </c>
      <c r="R199" s="88">
        <f>(SUBTOTAL(9,R200:R201))</f>
        <v>0</v>
      </c>
      <c r="S199" s="88">
        <f>(SUBTOTAL(9,S200:S201))</f>
        <v>0</v>
      </c>
      <c r="T199" s="88">
        <f>(SUBTOTAL(9,T200:T201))</f>
        <v>0</v>
      </c>
      <c r="U199" s="87">
        <f t="shared" ref="U199" si="139">SUBTOTAL(9,O200:T201)</f>
        <v>-145</v>
      </c>
    </row>
    <row r="200" spans="1:21" ht="17.25" customHeight="1" x14ac:dyDescent="0.3">
      <c r="A200" s="66" t="s">
        <v>30</v>
      </c>
      <c r="C200" s="67"/>
      <c r="D200" s="77" t="str">
        <f t="shared" ref="D200" si="140">D199</f>
        <v>S100012</v>
      </c>
      <c r="E200" s="77"/>
      <c r="F200" s="76"/>
      <c r="G200" s="76" t="str">
        <f>"""NAV Direct"",""CRONUS JetCorp USA"",""32"",""1"",""34329"""</f>
        <v>"NAV Direct","CRONUS JetCorp USA","32","1","34329"</v>
      </c>
      <c r="H200" s="86">
        <v>43475</v>
      </c>
      <c r="I200" s="85">
        <v>34329</v>
      </c>
      <c r="J200" s="84" t="str">
        <f>"Customer"</f>
        <v>Customer</v>
      </c>
      <c r="K200" s="84" t="str">
        <f>"C100008"</f>
        <v>C100008</v>
      </c>
      <c r="L200" s="84" t="str">
        <f>IF($J200="Customer",_xll.NL("first",$J200,"Name","No.","@@"&amp;$K200),"")</f>
        <v>Blanemark Hifi Shop</v>
      </c>
      <c r="M200" s="84" t="str">
        <f>""</f>
        <v/>
      </c>
      <c r="N200" s="84" t="str">
        <f>IF($J200="Item",_xll.NL("first",$J200,"Description","No.","@@"&amp;$K200),"")</f>
        <v/>
      </c>
      <c r="O200" s="83">
        <v>0</v>
      </c>
      <c r="P200" s="83">
        <v>-145</v>
      </c>
      <c r="Q200" s="83">
        <v>0</v>
      </c>
      <c r="R200" s="83">
        <v>0</v>
      </c>
      <c r="S200" s="83">
        <v>0</v>
      </c>
      <c r="T200" s="83">
        <v>0</v>
      </c>
      <c r="U200" s="82"/>
    </row>
    <row r="201" spans="1:21" ht="17.25" customHeight="1" x14ac:dyDescent="0.3">
      <c r="A201" s="66" t="s">
        <v>30</v>
      </c>
      <c r="C201" s="67"/>
      <c r="D201" s="77"/>
      <c r="E201" s="77"/>
      <c r="F201" s="76"/>
      <c r="G201" s="76"/>
      <c r="H201" s="76"/>
      <c r="I201" s="76"/>
      <c r="J201" s="76"/>
      <c r="K201" s="76"/>
      <c r="L201" s="76"/>
      <c r="M201" s="76"/>
      <c r="N201" s="76"/>
      <c r="O201" s="75"/>
      <c r="P201" s="75"/>
      <c r="Q201" s="75"/>
      <c r="R201" s="75"/>
      <c r="S201" s="75"/>
      <c r="T201" s="75"/>
      <c r="U201" s="74"/>
    </row>
    <row r="202" spans="1:21" ht="17.25" customHeight="1" x14ac:dyDescent="0.3">
      <c r="A202" s="66" t="s">
        <v>30</v>
      </c>
      <c r="C202" s="67"/>
      <c r="D202" s="77"/>
      <c r="E202" s="77" t="s">
        <v>31</v>
      </c>
      <c r="F202" s="76" t="s">
        <v>31</v>
      </c>
      <c r="G202" s="76" t="s">
        <v>31</v>
      </c>
      <c r="H202" s="76"/>
      <c r="I202" s="76"/>
      <c r="J202" s="76" t="s">
        <v>31</v>
      </c>
      <c r="K202" s="76" t="s">
        <v>31</v>
      </c>
      <c r="L202" s="76" t="s">
        <v>31</v>
      </c>
      <c r="M202" s="76" t="s">
        <v>31</v>
      </c>
      <c r="N202" s="76"/>
      <c r="U202" s="81"/>
    </row>
    <row r="203" spans="1:21" ht="20.25" customHeight="1" x14ac:dyDescent="0.35">
      <c r="A203" s="66" t="s">
        <v>30</v>
      </c>
      <c r="C203" s="67"/>
      <c r="D203" s="92" t="str">
        <f t="shared" ref="D203" si="141">E203</f>
        <v>S100013</v>
      </c>
      <c r="E203" s="91" t="str">
        <f>"S100013"</f>
        <v>S100013</v>
      </c>
      <c r="F203" s="89" t="str">
        <f>"Mesh BALL CAP"</f>
        <v>Mesh BALL CAP</v>
      </c>
      <c r="G203" s="89"/>
      <c r="H203" s="90" t="str">
        <f>"EA"</f>
        <v>EA</v>
      </c>
      <c r="I203" s="89"/>
      <c r="J203" s="89"/>
      <c r="K203" s="89"/>
      <c r="L203" s="89"/>
      <c r="M203" s="89"/>
      <c r="N203" s="89"/>
      <c r="O203" s="88">
        <f>(SUBTOTAL(9,O204:O206))</f>
        <v>400</v>
      </c>
      <c r="P203" s="88">
        <f>(SUBTOTAL(9,P204:P206))</f>
        <v>-144</v>
      </c>
      <c r="Q203" s="88">
        <f>(SUBTOTAL(9,Q204:Q206))</f>
        <v>0</v>
      </c>
      <c r="R203" s="88">
        <f>(SUBTOTAL(9,R204:R206))</f>
        <v>0</v>
      </c>
      <c r="S203" s="88">
        <f>(SUBTOTAL(9,S204:S206))</f>
        <v>0</v>
      </c>
      <c r="T203" s="88">
        <f>(SUBTOTAL(9,T204:T206))</f>
        <v>0</v>
      </c>
      <c r="U203" s="87">
        <f t="shared" ref="U203" si="142">SUBTOTAL(9,O204:T206)</f>
        <v>256</v>
      </c>
    </row>
    <row r="204" spans="1:21" ht="17.25" customHeight="1" x14ac:dyDescent="0.3">
      <c r="A204" s="66" t="s">
        <v>30</v>
      </c>
      <c r="C204" s="67"/>
      <c r="D204" s="77" t="str">
        <f t="shared" ref="D204" si="143">D203</f>
        <v>S100013</v>
      </c>
      <c r="E204" s="77"/>
      <c r="F204" s="76"/>
      <c r="G204" s="76" t="str">
        <f>"""NAV Direct"",""CRONUS JetCorp USA"",""32"",""1"",""167147"""</f>
        <v>"NAV Direct","CRONUS JetCorp USA","32","1","167147"</v>
      </c>
      <c r="H204" s="86">
        <v>43466</v>
      </c>
      <c r="I204" s="85">
        <v>167147</v>
      </c>
      <c r="J204" s="84" t="str">
        <f>"Vendor"</f>
        <v>Vendor</v>
      </c>
      <c r="K204" s="84" t="str">
        <f>"V100047"</f>
        <v>V100047</v>
      </c>
      <c r="L204" s="84" t="str">
        <f>IF($J204="Customer",_xll.NL("first",$J204,"Name","No.","@@"&amp;$K204),"")</f>
        <v/>
      </c>
      <c r="M204" s="84" t="str">
        <f>"WoodMart Supply Co."</f>
        <v>WoodMart Supply Co.</v>
      </c>
      <c r="N204" s="84" t="str">
        <f>IF($J204="Item",_xll.NL("first",$J204,"Description","No.","@@"&amp;$K204),"")</f>
        <v/>
      </c>
      <c r="O204" s="83">
        <v>400</v>
      </c>
      <c r="P204" s="83">
        <v>0</v>
      </c>
      <c r="Q204" s="83">
        <v>0</v>
      </c>
      <c r="R204" s="83">
        <v>0</v>
      </c>
      <c r="S204" s="83">
        <v>0</v>
      </c>
      <c r="T204" s="83">
        <v>0</v>
      </c>
      <c r="U204" s="82"/>
    </row>
    <row r="205" spans="1:21" ht="17.25" customHeight="1" x14ac:dyDescent="0.3">
      <c r="A205" s="66" t="s">
        <v>30</v>
      </c>
      <c r="C205" s="67"/>
      <c r="D205" s="77" t="str">
        <f t="shared" ref="D205" si="144">D204</f>
        <v>S100013</v>
      </c>
      <c r="E205" s="77"/>
      <c r="F205" s="76"/>
      <c r="G205" s="76" t="str">
        <f>"""NAV Direct"",""CRONUS JetCorp USA"",""32"",""1"",""34333"""</f>
        <v>"NAV Direct","CRONUS JetCorp USA","32","1","34333"</v>
      </c>
      <c r="H205" s="86">
        <v>43475</v>
      </c>
      <c r="I205" s="85">
        <v>34333</v>
      </c>
      <c r="J205" s="84" t="str">
        <f>"Customer"</f>
        <v>Customer</v>
      </c>
      <c r="K205" s="84" t="str">
        <f>"C100008"</f>
        <v>C100008</v>
      </c>
      <c r="L205" s="84" t="str">
        <f>IF($J205="Customer",_xll.NL("first",$J205,"Name","No.","@@"&amp;$K205),"")</f>
        <v>Blanemark Hifi Shop</v>
      </c>
      <c r="M205" s="84" t="str">
        <f>""</f>
        <v/>
      </c>
      <c r="N205" s="84" t="str">
        <f>IF($J205="Item",_xll.NL("first",$J205,"Description","No.","@@"&amp;$K205),"")</f>
        <v/>
      </c>
      <c r="O205" s="83">
        <v>0</v>
      </c>
      <c r="P205" s="83">
        <v>-144</v>
      </c>
      <c r="Q205" s="83">
        <v>0</v>
      </c>
      <c r="R205" s="83">
        <v>0</v>
      </c>
      <c r="S205" s="83">
        <v>0</v>
      </c>
      <c r="T205" s="83">
        <v>0</v>
      </c>
      <c r="U205" s="82"/>
    </row>
    <row r="206" spans="1:21" ht="17.25" customHeight="1" x14ac:dyDescent="0.3">
      <c r="A206" s="66" t="s">
        <v>30</v>
      </c>
      <c r="C206" s="67"/>
      <c r="D206" s="77"/>
      <c r="E206" s="77"/>
      <c r="F206" s="76"/>
      <c r="G206" s="76"/>
      <c r="H206" s="76"/>
      <c r="I206" s="76"/>
      <c r="J206" s="76"/>
      <c r="K206" s="76"/>
      <c r="L206" s="76"/>
      <c r="M206" s="76"/>
      <c r="N206" s="76"/>
      <c r="O206" s="75"/>
      <c r="P206" s="75"/>
      <c r="Q206" s="75"/>
      <c r="R206" s="75"/>
      <c r="S206" s="75"/>
      <c r="T206" s="75"/>
      <c r="U206" s="74"/>
    </row>
    <row r="207" spans="1:21" ht="17.25" customHeight="1" x14ac:dyDescent="0.3">
      <c r="A207" s="66" t="s">
        <v>30</v>
      </c>
      <c r="C207" s="67"/>
      <c r="D207" s="77"/>
      <c r="E207" s="77" t="s">
        <v>31</v>
      </c>
      <c r="F207" s="76" t="s">
        <v>31</v>
      </c>
      <c r="G207" s="76" t="s">
        <v>31</v>
      </c>
      <c r="H207" s="76"/>
      <c r="I207" s="76"/>
      <c r="J207" s="76" t="s">
        <v>31</v>
      </c>
      <c r="K207" s="76" t="s">
        <v>31</v>
      </c>
      <c r="L207" s="76" t="s">
        <v>31</v>
      </c>
      <c r="M207" s="76" t="s">
        <v>31</v>
      </c>
      <c r="N207" s="76"/>
      <c r="U207" s="81"/>
    </row>
    <row r="208" spans="1:21" ht="20.25" customHeight="1" x14ac:dyDescent="0.35">
      <c r="A208" s="66" t="s">
        <v>30</v>
      </c>
      <c r="C208" s="67"/>
      <c r="D208" s="92" t="str">
        <f t="shared" ref="D208" si="145">E208</f>
        <v>S100014</v>
      </c>
      <c r="E208" s="91" t="str">
        <f>"S100014"</f>
        <v>S100014</v>
      </c>
      <c r="F208" s="89" t="str">
        <f>"Chunky Knit Hat"</f>
        <v>Chunky Knit Hat</v>
      </c>
      <c r="G208" s="89"/>
      <c r="H208" s="90" t="str">
        <f>"EA"</f>
        <v>EA</v>
      </c>
      <c r="I208" s="89"/>
      <c r="J208" s="89"/>
      <c r="K208" s="89"/>
      <c r="L208" s="89"/>
      <c r="M208" s="89"/>
      <c r="N208" s="89"/>
      <c r="O208" s="88">
        <f>(SUBTOTAL(9,O209:O210))</f>
        <v>0</v>
      </c>
      <c r="P208" s="88">
        <f>(SUBTOTAL(9,P209:P210))</f>
        <v>-150</v>
      </c>
      <c r="Q208" s="88">
        <f>(SUBTOTAL(9,Q209:Q210))</f>
        <v>0</v>
      </c>
      <c r="R208" s="88">
        <f>(SUBTOTAL(9,R209:R210))</f>
        <v>0</v>
      </c>
      <c r="S208" s="88">
        <f>(SUBTOTAL(9,S209:S210))</f>
        <v>0</v>
      </c>
      <c r="T208" s="88">
        <f>(SUBTOTAL(9,T209:T210))</f>
        <v>0</v>
      </c>
      <c r="U208" s="87">
        <f t="shared" ref="U208" si="146">SUBTOTAL(9,O209:T210)</f>
        <v>-150</v>
      </c>
    </row>
    <row r="209" spans="1:21" ht="17.25" customHeight="1" x14ac:dyDescent="0.3">
      <c r="A209" s="66" t="s">
        <v>30</v>
      </c>
      <c r="C209" s="67"/>
      <c r="D209" s="77" t="str">
        <f t="shared" ref="D209" si="147">D208</f>
        <v>S100014</v>
      </c>
      <c r="E209" s="77"/>
      <c r="F209" s="76"/>
      <c r="G209" s="76" t="str">
        <f>"""NAV Direct"",""CRONUS JetCorp USA"",""32"",""1"",""36492"""</f>
        <v>"NAV Direct","CRONUS JetCorp USA","32","1","36492"</v>
      </c>
      <c r="H209" s="86">
        <v>43474</v>
      </c>
      <c r="I209" s="85">
        <v>36492</v>
      </c>
      <c r="J209" s="84" t="str">
        <f>"Customer"</f>
        <v>Customer</v>
      </c>
      <c r="K209" s="84" t="str">
        <f>"C100092"</f>
        <v>C100092</v>
      </c>
      <c r="L209" s="84" t="str">
        <f>IF($J209="Customer",_xll.NL("first",$J209,"Name","No.","@@"&amp;$K209),"")</f>
        <v>Zuni Home Crafts Ltd.</v>
      </c>
      <c r="M209" s="84" t="str">
        <f>""</f>
        <v/>
      </c>
      <c r="N209" s="84" t="str">
        <f>IF($J209="Item",_xll.NL("first",$J209,"Description","No.","@@"&amp;$K209),"")</f>
        <v/>
      </c>
      <c r="O209" s="83">
        <v>0</v>
      </c>
      <c r="P209" s="83">
        <v>-150</v>
      </c>
      <c r="Q209" s="83">
        <v>0</v>
      </c>
      <c r="R209" s="83">
        <v>0</v>
      </c>
      <c r="S209" s="83">
        <v>0</v>
      </c>
      <c r="T209" s="83">
        <v>0</v>
      </c>
      <c r="U209" s="82"/>
    </row>
    <row r="210" spans="1:21" ht="17.25" customHeight="1" x14ac:dyDescent="0.3">
      <c r="A210" s="66" t="s">
        <v>30</v>
      </c>
      <c r="C210" s="67"/>
      <c r="D210" s="77"/>
      <c r="E210" s="77"/>
      <c r="F210" s="76"/>
      <c r="G210" s="76"/>
      <c r="H210" s="76"/>
      <c r="I210" s="76"/>
      <c r="J210" s="76"/>
      <c r="K210" s="76"/>
      <c r="L210" s="76"/>
      <c r="M210" s="76"/>
      <c r="N210" s="76"/>
      <c r="O210" s="75"/>
      <c r="P210" s="75"/>
      <c r="Q210" s="75"/>
      <c r="R210" s="75"/>
      <c r="S210" s="75"/>
      <c r="T210" s="75"/>
      <c r="U210" s="74"/>
    </row>
    <row r="211" spans="1:21" ht="17.25" customHeight="1" x14ac:dyDescent="0.3">
      <c r="A211" s="66" t="s">
        <v>30</v>
      </c>
      <c r="C211" s="67"/>
      <c r="D211" s="77"/>
      <c r="E211" s="77" t="s">
        <v>31</v>
      </c>
      <c r="F211" s="76" t="s">
        <v>31</v>
      </c>
      <c r="G211" s="76" t="s">
        <v>31</v>
      </c>
      <c r="H211" s="76"/>
      <c r="I211" s="76"/>
      <c r="J211" s="76" t="s">
        <v>31</v>
      </c>
      <c r="K211" s="76" t="s">
        <v>31</v>
      </c>
      <c r="L211" s="76" t="s">
        <v>31</v>
      </c>
      <c r="M211" s="76" t="s">
        <v>31</v>
      </c>
      <c r="N211" s="76"/>
      <c r="U211" s="81"/>
    </row>
    <row r="212" spans="1:21" ht="20.25" customHeight="1" x14ac:dyDescent="0.35">
      <c r="A212" s="66" t="s">
        <v>30</v>
      </c>
      <c r="C212" s="67"/>
      <c r="D212" s="92" t="str">
        <f t="shared" ref="D212" si="148">E212</f>
        <v>S100016</v>
      </c>
      <c r="E212" s="91" t="str">
        <f>"S100016"</f>
        <v>S100016</v>
      </c>
      <c r="F212" s="89" t="str">
        <f>"Mesh Bucket Hat"</f>
        <v>Mesh Bucket Hat</v>
      </c>
      <c r="G212" s="89"/>
      <c r="H212" s="90" t="str">
        <f>"EA"</f>
        <v>EA</v>
      </c>
      <c r="I212" s="89"/>
      <c r="J212" s="89"/>
      <c r="K212" s="89"/>
      <c r="L212" s="89"/>
      <c r="M212" s="89"/>
      <c r="N212" s="89"/>
      <c r="O212" s="88">
        <f>(SUBTOTAL(9,O213:O215))</f>
        <v>800</v>
      </c>
      <c r="P212" s="88">
        <f>(SUBTOTAL(9,P213:P215))</f>
        <v>-146</v>
      </c>
      <c r="Q212" s="88">
        <f>(SUBTOTAL(9,Q213:Q215))</f>
        <v>0</v>
      </c>
      <c r="R212" s="88">
        <f>(SUBTOTAL(9,R213:R215))</f>
        <v>0</v>
      </c>
      <c r="S212" s="88">
        <f>(SUBTOTAL(9,S213:S215))</f>
        <v>0</v>
      </c>
      <c r="T212" s="88">
        <f>(SUBTOTAL(9,T213:T215))</f>
        <v>0</v>
      </c>
      <c r="U212" s="87">
        <f t="shared" ref="U212" si="149">SUBTOTAL(9,O213:T215)</f>
        <v>654</v>
      </c>
    </row>
    <row r="213" spans="1:21" ht="17.25" customHeight="1" x14ac:dyDescent="0.3">
      <c r="A213" s="66" t="s">
        <v>30</v>
      </c>
      <c r="C213" s="67"/>
      <c r="D213" s="77" t="str">
        <f t="shared" ref="D213" si="150">D212</f>
        <v>S100016</v>
      </c>
      <c r="E213" s="77"/>
      <c r="F213" s="76"/>
      <c r="G213" s="76" t="str">
        <f>"""NAV Direct"",""CRONUS JetCorp USA"",""32"",""1"",""167146"""</f>
        <v>"NAV Direct","CRONUS JetCorp USA","32","1","167146"</v>
      </c>
      <c r="H213" s="86">
        <v>43466</v>
      </c>
      <c r="I213" s="85">
        <v>167146</v>
      </c>
      <c r="J213" s="84" t="str">
        <f>"Vendor"</f>
        <v>Vendor</v>
      </c>
      <c r="K213" s="84" t="str">
        <f>"V100047"</f>
        <v>V100047</v>
      </c>
      <c r="L213" s="84" t="str">
        <f>IF($J213="Customer",_xll.NL("first",$J213,"Name","No.","@@"&amp;$K213),"")</f>
        <v/>
      </c>
      <c r="M213" s="84" t="str">
        <f>"WoodMart Supply Co."</f>
        <v>WoodMart Supply Co.</v>
      </c>
      <c r="N213" s="84" t="str">
        <f>IF($J213="Item",_xll.NL("first",$J213,"Description","No.","@@"&amp;$K213),"")</f>
        <v/>
      </c>
      <c r="O213" s="83">
        <v>800</v>
      </c>
      <c r="P213" s="83">
        <v>0</v>
      </c>
      <c r="Q213" s="83">
        <v>0</v>
      </c>
      <c r="R213" s="83">
        <v>0</v>
      </c>
      <c r="S213" s="83">
        <v>0</v>
      </c>
      <c r="T213" s="83">
        <v>0</v>
      </c>
      <c r="U213" s="82"/>
    </row>
    <row r="214" spans="1:21" ht="17.25" customHeight="1" x14ac:dyDescent="0.3">
      <c r="A214" s="66" t="s">
        <v>30</v>
      </c>
      <c r="C214" s="67"/>
      <c r="D214" s="77" t="str">
        <f t="shared" ref="D214" si="151">D213</f>
        <v>S100016</v>
      </c>
      <c r="E214" s="77"/>
      <c r="F214" s="76"/>
      <c r="G214" s="76" t="str">
        <f>"""NAV Direct"",""CRONUS JetCorp USA"",""32"",""1"",""36495"""</f>
        <v>"NAV Direct","CRONUS JetCorp USA","32","1","36495"</v>
      </c>
      <c r="H214" s="86">
        <v>43474</v>
      </c>
      <c r="I214" s="85">
        <v>36495</v>
      </c>
      <c r="J214" s="84" t="str">
        <f>"Customer"</f>
        <v>Customer</v>
      </c>
      <c r="K214" s="84" t="str">
        <f>"C100092"</f>
        <v>C100092</v>
      </c>
      <c r="L214" s="84" t="str">
        <f>IF($J214="Customer",_xll.NL("first",$J214,"Name","No.","@@"&amp;$K214),"")</f>
        <v>Zuni Home Crafts Ltd.</v>
      </c>
      <c r="M214" s="84" t="str">
        <f>""</f>
        <v/>
      </c>
      <c r="N214" s="84" t="str">
        <f>IF($J214="Item",_xll.NL("first",$J214,"Description","No.","@@"&amp;$K214),"")</f>
        <v/>
      </c>
      <c r="O214" s="83">
        <v>0</v>
      </c>
      <c r="P214" s="83">
        <v>-146</v>
      </c>
      <c r="Q214" s="83">
        <v>0</v>
      </c>
      <c r="R214" s="83">
        <v>0</v>
      </c>
      <c r="S214" s="83">
        <v>0</v>
      </c>
      <c r="T214" s="83">
        <v>0</v>
      </c>
      <c r="U214" s="82"/>
    </row>
    <row r="215" spans="1:21" ht="17.25" customHeight="1" x14ac:dyDescent="0.3">
      <c r="A215" s="66" t="s">
        <v>30</v>
      </c>
      <c r="C215" s="67"/>
      <c r="D215" s="77"/>
      <c r="E215" s="77"/>
      <c r="F215" s="76"/>
      <c r="G215" s="76"/>
      <c r="H215" s="76"/>
      <c r="I215" s="76"/>
      <c r="J215" s="76"/>
      <c r="K215" s="76"/>
      <c r="L215" s="76"/>
      <c r="M215" s="76"/>
      <c r="N215" s="76"/>
      <c r="O215" s="75"/>
      <c r="P215" s="75"/>
      <c r="Q215" s="75"/>
      <c r="R215" s="75"/>
      <c r="S215" s="75"/>
      <c r="T215" s="75"/>
      <c r="U215" s="74"/>
    </row>
    <row r="216" spans="1:21" ht="17.25" customHeight="1" x14ac:dyDescent="0.3">
      <c r="A216" s="66" t="s">
        <v>30</v>
      </c>
      <c r="C216" s="67"/>
      <c r="D216" s="77"/>
      <c r="E216" s="77" t="s">
        <v>31</v>
      </c>
      <c r="F216" s="76" t="s">
        <v>31</v>
      </c>
      <c r="G216" s="76" t="s">
        <v>31</v>
      </c>
      <c r="H216" s="76"/>
      <c r="I216" s="76"/>
      <c r="J216" s="76" t="s">
        <v>31</v>
      </c>
      <c r="K216" s="76" t="s">
        <v>31</v>
      </c>
      <c r="L216" s="76" t="s">
        <v>31</v>
      </c>
      <c r="M216" s="76" t="s">
        <v>31</v>
      </c>
      <c r="N216" s="76"/>
      <c r="U216" s="81"/>
    </row>
    <row r="217" spans="1:21" ht="20.25" customHeight="1" x14ac:dyDescent="0.35">
      <c r="A217" s="66" t="s">
        <v>30</v>
      </c>
      <c r="C217" s="67"/>
      <c r="D217" s="92" t="str">
        <f t="shared" ref="D217" si="152">E217</f>
        <v>S100017</v>
      </c>
      <c r="E217" s="91" t="str">
        <f>"S100017"</f>
        <v>S100017</v>
      </c>
      <c r="F217" s="89" t="str">
        <f>"Microfiber Bucket Hat"</f>
        <v>Microfiber Bucket Hat</v>
      </c>
      <c r="G217" s="89"/>
      <c r="H217" s="90" t="str">
        <f>"EA"</f>
        <v>EA</v>
      </c>
      <c r="I217" s="89"/>
      <c r="J217" s="89"/>
      <c r="K217" s="89"/>
      <c r="L217" s="89"/>
      <c r="M217" s="89"/>
      <c r="N217" s="89"/>
      <c r="O217" s="88">
        <f>(SUBTOTAL(9,O218:O220))</f>
        <v>0</v>
      </c>
      <c r="P217" s="88">
        <f>(SUBTOTAL(9,P218:P220))</f>
        <v>-145</v>
      </c>
      <c r="Q217" s="88">
        <f>(SUBTOTAL(9,Q218:Q220))</f>
        <v>0</v>
      </c>
      <c r="R217" s="88">
        <f>(SUBTOTAL(9,R218:R220))</f>
        <v>0</v>
      </c>
      <c r="S217" s="88">
        <f>(SUBTOTAL(9,S218:S220))</f>
        <v>0</v>
      </c>
      <c r="T217" s="88">
        <f>(SUBTOTAL(9,T218:T220))</f>
        <v>0</v>
      </c>
      <c r="U217" s="87">
        <f t="shared" ref="U217" si="153">SUBTOTAL(9,O218:T220)</f>
        <v>-145</v>
      </c>
    </row>
    <row r="218" spans="1:21" ht="17.25" customHeight="1" x14ac:dyDescent="0.3">
      <c r="A218" s="66" t="s">
        <v>30</v>
      </c>
      <c r="C218" s="67"/>
      <c r="D218" s="77" t="str">
        <f t="shared" ref="D218" si="154">D217</f>
        <v>S100017</v>
      </c>
      <c r="E218" s="77"/>
      <c r="F218" s="76"/>
      <c r="G218" s="76" t="str">
        <f>"""NAV Direct"",""CRONUS JetCorp USA"",""32"",""1"",""36493"""</f>
        <v>"NAV Direct","CRONUS JetCorp USA","32","1","36493"</v>
      </c>
      <c r="H218" s="86">
        <v>43474</v>
      </c>
      <c r="I218" s="85">
        <v>36493</v>
      </c>
      <c r="J218" s="84" t="str">
        <f>"Customer"</f>
        <v>Customer</v>
      </c>
      <c r="K218" s="84" t="str">
        <f>"C100092"</f>
        <v>C100092</v>
      </c>
      <c r="L218" s="84" t="str">
        <f>IF($J218="Customer",_xll.NL("first",$J218,"Name","No.","@@"&amp;$K218),"")</f>
        <v>Zuni Home Crafts Ltd.</v>
      </c>
      <c r="M218" s="84" t="str">
        <f>""</f>
        <v/>
      </c>
      <c r="N218" s="84" t="str">
        <f>IF($J218="Item",_xll.NL("first",$J218,"Description","No.","@@"&amp;$K218),"")</f>
        <v/>
      </c>
      <c r="O218" s="83">
        <v>0</v>
      </c>
      <c r="P218" s="83">
        <v>-144</v>
      </c>
      <c r="Q218" s="83">
        <v>0</v>
      </c>
      <c r="R218" s="83">
        <v>0</v>
      </c>
      <c r="S218" s="83">
        <v>0</v>
      </c>
      <c r="T218" s="83">
        <v>0</v>
      </c>
      <c r="U218" s="82"/>
    </row>
    <row r="219" spans="1:21" ht="17.25" customHeight="1" x14ac:dyDescent="0.3">
      <c r="A219" s="66" t="s">
        <v>30</v>
      </c>
      <c r="C219" s="67"/>
      <c r="D219" s="77" t="str">
        <f t="shared" ref="D219" si="155">D218</f>
        <v>S100017</v>
      </c>
      <c r="E219" s="77"/>
      <c r="F219" s="76"/>
      <c r="G219" s="76" t="str">
        <f>"""NAV Direct"",""CRONUS JetCorp USA"",""32"",""1"",""34340"""</f>
        <v>"NAV Direct","CRONUS JetCorp USA","32","1","34340"</v>
      </c>
      <c r="H219" s="86">
        <v>43475</v>
      </c>
      <c r="I219" s="85">
        <v>34340</v>
      </c>
      <c r="J219" s="84" t="str">
        <f>"Customer"</f>
        <v>Customer</v>
      </c>
      <c r="K219" s="84" t="str">
        <f>"C100008"</f>
        <v>C100008</v>
      </c>
      <c r="L219" s="84" t="str">
        <f>IF($J219="Customer",_xll.NL("first",$J219,"Name","No.","@@"&amp;$K219),"")</f>
        <v>Blanemark Hifi Shop</v>
      </c>
      <c r="M219" s="84" t="str">
        <f>""</f>
        <v/>
      </c>
      <c r="N219" s="84" t="str">
        <f>IF($J219="Item",_xll.NL("first",$J219,"Description","No.","@@"&amp;$K219),"")</f>
        <v/>
      </c>
      <c r="O219" s="83">
        <v>0</v>
      </c>
      <c r="P219" s="83">
        <v>-1</v>
      </c>
      <c r="Q219" s="83">
        <v>0</v>
      </c>
      <c r="R219" s="83">
        <v>0</v>
      </c>
      <c r="S219" s="83">
        <v>0</v>
      </c>
      <c r="T219" s="83">
        <v>0</v>
      </c>
      <c r="U219" s="82"/>
    </row>
    <row r="220" spans="1:21" ht="17.25" customHeight="1" x14ac:dyDescent="0.3">
      <c r="A220" s="66" t="s">
        <v>30</v>
      </c>
      <c r="C220" s="67"/>
      <c r="D220" s="77"/>
      <c r="E220" s="77"/>
      <c r="F220" s="76"/>
      <c r="G220" s="76"/>
      <c r="H220" s="76"/>
      <c r="I220" s="76"/>
      <c r="J220" s="76"/>
      <c r="K220" s="76"/>
      <c r="L220" s="76"/>
      <c r="M220" s="76"/>
      <c r="N220" s="76"/>
      <c r="O220" s="75"/>
      <c r="P220" s="75"/>
      <c r="Q220" s="75"/>
      <c r="R220" s="75"/>
      <c r="S220" s="75"/>
      <c r="T220" s="75"/>
      <c r="U220" s="74"/>
    </row>
    <row r="221" spans="1:21" ht="17.25" customHeight="1" x14ac:dyDescent="0.3">
      <c r="A221" s="66" t="s">
        <v>30</v>
      </c>
      <c r="C221" s="67"/>
      <c r="D221" s="77"/>
      <c r="E221" s="77" t="s">
        <v>31</v>
      </c>
      <c r="F221" s="76" t="s">
        <v>31</v>
      </c>
      <c r="G221" s="76" t="s">
        <v>31</v>
      </c>
      <c r="H221" s="76"/>
      <c r="I221" s="76"/>
      <c r="J221" s="76" t="s">
        <v>31</v>
      </c>
      <c r="K221" s="76" t="s">
        <v>31</v>
      </c>
      <c r="L221" s="76" t="s">
        <v>31</v>
      </c>
      <c r="M221" s="76" t="s">
        <v>31</v>
      </c>
      <c r="N221" s="76"/>
      <c r="U221" s="81"/>
    </row>
    <row r="222" spans="1:21" ht="20.25" customHeight="1" x14ac:dyDescent="0.35">
      <c r="A222" s="66" t="s">
        <v>30</v>
      </c>
      <c r="C222" s="67"/>
      <c r="D222" s="92" t="str">
        <f t="shared" ref="D222" si="156">E222</f>
        <v>S100020</v>
      </c>
      <c r="E222" s="91" t="str">
        <f>"S100020"</f>
        <v>S100020</v>
      </c>
      <c r="F222" s="89" t="str">
        <f>"Super Sport Stopwatch"</f>
        <v>Super Sport Stopwatch</v>
      </c>
      <c r="G222" s="89"/>
      <c r="H222" s="90" t="str">
        <f>"EA"</f>
        <v>EA</v>
      </c>
      <c r="I222" s="89"/>
      <c r="J222" s="89"/>
      <c r="K222" s="89"/>
      <c r="L222" s="89"/>
      <c r="M222" s="89"/>
      <c r="N222" s="89"/>
      <c r="O222" s="88">
        <f>(SUBTOTAL(9,O223:O224))</f>
        <v>200</v>
      </c>
      <c r="P222" s="88">
        <f>(SUBTOTAL(9,P223:P224))</f>
        <v>0</v>
      </c>
      <c r="Q222" s="88">
        <f>(SUBTOTAL(9,Q223:Q224))</f>
        <v>0</v>
      </c>
      <c r="R222" s="88">
        <f>(SUBTOTAL(9,R223:R224))</f>
        <v>0</v>
      </c>
      <c r="S222" s="88">
        <f>(SUBTOTAL(9,S223:S224))</f>
        <v>0</v>
      </c>
      <c r="T222" s="88">
        <f>(SUBTOTAL(9,T223:T224))</f>
        <v>0</v>
      </c>
      <c r="U222" s="87">
        <f t="shared" ref="U222" si="157">SUBTOTAL(9,O223:T224)</f>
        <v>200</v>
      </c>
    </row>
    <row r="223" spans="1:21" ht="17.25" customHeight="1" x14ac:dyDescent="0.3">
      <c r="A223" s="66" t="s">
        <v>30</v>
      </c>
      <c r="C223" s="67"/>
      <c r="D223" s="77" t="str">
        <f t="shared" ref="D223" si="158">D222</f>
        <v>S100020</v>
      </c>
      <c r="E223" s="77"/>
      <c r="F223" s="76"/>
      <c r="G223" s="76" t="str">
        <f>"""NAV Direct"",""CRONUS JetCorp USA"",""32"",""1"",""167588"""</f>
        <v>"NAV Direct","CRONUS JetCorp USA","32","1","167588"</v>
      </c>
      <c r="H223" s="86">
        <v>43466</v>
      </c>
      <c r="I223" s="85">
        <v>167588</v>
      </c>
      <c r="J223" s="84" t="str">
        <f>"Vendor"</f>
        <v>Vendor</v>
      </c>
      <c r="K223" s="84" t="str">
        <f>"V100047"</f>
        <v>V100047</v>
      </c>
      <c r="L223" s="84" t="str">
        <f>IF($J223="Customer",_xll.NL("first",$J223,"Name","No.","@@"&amp;$K223),"")</f>
        <v/>
      </c>
      <c r="M223" s="84" t="str">
        <f>"WoodMart Supply Co."</f>
        <v>WoodMart Supply Co.</v>
      </c>
      <c r="N223" s="84" t="str">
        <f>IF($J223="Item",_xll.NL("first",$J223,"Description","No.","@@"&amp;$K223),"")</f>
        <v/>
      </c>
      <c r="O223" s="83">
        <v>200</v>
      </c>
      <c r="P223" s="83">
        <v>0</v>
      </c>
      <c r="Q223" s="83">
        <v>0</v>
      </c>
      <c r="R223" s="83">
        <v>0</v>
      </c>
      <c r="S223" s="83">
        <v>0</v>
      </c>
      <c r="T223" s="83">
        <v>0</v>
      </c>
      <c r="U223" s="82"/>
    </row>
    <row r="224" spans="1:21" ht="17.25" customHeight="1" x14ac:dyDescent="0.3">
      <c r="A224" s="66" t="s">
        <v>30</v>
      </c>
      <c r="C224" s="67"/>
      <c r="D224" s="77"/>
      <c r="E224" s="77"/>
      <c r="F224" s="76"/>
      <c r="G224" s="76"/>
      <c r="H224" s="76"/>
      <c r="I224" s="76"/>
      <c r="J224" s="76"/>
      <c r="K224" s="76"/>
      <c r="L224" s="76"/>
      <c r="M224" s="76"/>
      <c r="N224" s="76"/>
      <c r="O224" s="75"/>
      <c r="P224" s="75"/>
      <c r="Q224" s="75"/>
      <c r="R224" s="75"/>
      <c r="S224" s="75"/>
      <c r="T224" s="75"/>
      <c r="U224" s="74"/>
    </row>
    <row r="225" spans="1:21" ht="17.25" customHeight="1" x14ac:dyDescent="0.3">
      <c r="A225" s="66" t="s">
        <v>30</v>
      </c>
      <c r="C225" s="67"/>
      <c r="D225" s="77"/>
      <c r="E225" s="77" t="s">
        <v>31</v>
      </c>
      <c r="F225" s="76" t="s">
        <v>31</v>
      </c>
      <c r="G225" s="76" t="s">
        <v>31</v>
      </c>
      <c r="H225" s="76"/>
      <c r="I225" s="76"/>
      <c r="J225" s="76" t="s">
        <v>31</v>
      </c>
      <c r="K225" s="76" t="s">
        <v>31</v>
      </c>
      <c r="L225" s="76" t="s">
        <v>31</v>
      </c>
      <c r="M225" s="76" t="s">
        <v>31</v>
      </c>
      <c r="N225" s="76"/>
      <c r="U225" s="81"/>
    </row>
    <row r="226" spans="1:21" ht="20.25" customHeight="1" x14ac:dyDescent="0.35">
      <c r="A226" s="66" t="s">
        <v>30</v>
      </c>
      <c r="C226" s="67"/>
      <c r="D226" s="92" t="str">
        <f t="shared" ref="D226" si="159">E226</f>
        <v>S100021</v>
      </c>
      <c r="E226" s="91" t="str">
        <f>"S100021"</f>
        <v>S100021</v>
      </c>
      <c r="F226" s="89" t="str">
        <f>"Translucent Stopwatch"</f>
        <v>Translucent Stopwatch</v>
      </c>
      <c r="G226" s="89"/>
      <c r="H226" s="90" t="str">
        <f>"EA"</f>
        <v>EA</v>
      </c>
      <c r="I226" s="89"/>
      <c r="J226" s="89"/>
      <c r="K226" s="89"/>
      <c r="L226" s="89"/>
      <c r="M226" s="89"/>
      <c r="N226" s="89"/>
      <c r="O226" s="88">
        <f>(SUBTOTAL(9,O227:O229))</f>
        <v>400</v>
      </c>
      <c r="P226" s="88">
        <f>(SUBTOTAL(9,P227:P229))</f>
        <v>-6</v>
      </c>
      <c r="Q226" s="88">
        <f>(SUBTOTAL(9,Q227:Q229))</f>
        <v>0</v>
      </c>
      <c r="R226" s="88">
        <f>(SUBTOTAL(9,R227:R229))</f>
        <v>0</v>
      </c>
      <c r="S226" s="88">
        <f>(SUBTOTAL(9,S227:S229))</f>
        <v>0</v>
      </c>
      <c r="T226" s="88">
        <f>(SUBTOTAL(9,T227:T229))</f>
        <v>0</v>
      </c>
      <c r="U226" s="87">
        <f t="shared" ref="U226" si="160">SUBTOTAL(9,O227:T229)</f>
        <v>394</v>
      </c>
    </row>
    <row r="227" spans="1:21" ht="17.25" customHeight="1" x14ac:dyDescent="0.3">
      <c r="A227" s="66" t="s">
        <v>30</v>
      </c>
      <c r="C227" s="67"/>
      <c r="D227" s="77" t="str">
        <f t="shared" ref="D227" si="161">D226</f>
        <v>S100021</v>
      </c>
      <c r="E227" s="77"/>
      <c r="F227" s="76"/>
      <c r="G227" s="76" t="str">
        <f>"""NAV Direct"",""CRONUS JetCorp USA"",""32"",""1"",""167587"""</f>
        <v>"NAV Direct","CRONUS JetCorp USA","32","1","167587"</v>
      </c>
      <c r="H227" s="86">
        <v>43466</v>
      </c>
      <c r="I227" s="85">
        <v>167587</v>
      </c>
      <c r="J227" s="84" t="str">
        <f>"Vendor"</f>
        <v>Vendor</v>
      </c>
      <c r="K227" s="84" t="str">
        <f>"V100047"</f>
        <v>V100047</v>
      </c>
      <c r="L227" s="84" t="str">
        <f>IF($J227="Customer",_xll.NL("first",$J227,"Name","No.","@@"&amp;$K227),"")</f>
        <v/>
      </c>
      <c r="M227" s="84" t="str">
        <f>"WoodMart Supply Co."</f>
        <v>WoodMart Supply Co.</v>
      </c>
      <c r="N227" s="84" t="str">
        <f>IF($J227="Item",_xll.NL("first",$J227,"Description","No.","@@"&amp;$K227),"")</f>
        <v/>
      </c>
      <c r="O227" s="83">
        <v>400</v>
      </c>
      <c r="P227" s="83">
        <v>0</v>
      </c>
      <c r="Q227" s="83">
        <v>0</v>
      </c>
      <c r="R227" s="83">
        <v>0</v>
      </c>
      <c r="S227" s="83">
        <v>0</v>
      </c>
      <c r="T227" s="83">
        <v>0</v>
      </c>
      <c r="U227" s="82"/>
    </row>
    <row r="228" spans="1:21" ht="17.25" customHeight="1" x14ac:dyDescent="0.3">
      <c r="A228" s="66" t="s">
        <v>30</v>
      </c>
      <c r="C228" s="67"/>
      <c r="D228" s="77" t="str">
        <f t="shared" ref="D228" si="162">D227</f>
        <v>S100021</v>
      </c>
      <c r="E228" s="77"/>
      <c r="F228" s="76"/>
      <c r="G228" s="76" t="str">
        <f>"""NAV Direct"",""CRONUS JetCorp USA"",""32"",""1"",""36497"""</f>
        <v>"NAV Direct","CRONUS JetCorp USA","32","1","36497"</v>
      </c>
      <c r="H228" s="86">
        <v>43474</v>
      </c>
      <c r="I228" s="85">
        <v>36497</v>
      </c>
      <c r="J228" s="84" t="str">
        <f>"Customer"</f>
        <v>Customer</v>
      </c>
      <c r="K228" s="84" t="str">
        <f>"C100092"</f>
        <v>C100092</v>
      </c>
      <c r="L228" s="84" t="str">
        <f>IF($J228="Customer",_xll.NL("first",$J228,"Name","No.","@@"&amp;$K228),"")</f>
        <v>Zuni Home Crafts Ltd.</v>
      </c>
      <c r="M228" s="84" t="str">
        <f>""</f>
        <v/>
      </c>
      <c r="N228" s="84" t="str">
        <f>IF($J228="Item",_xll.NL("first",$J228,"Description","No.","@@"&amp;$K228),"")</f>
        <v/>
      </c>
      <c r="O228" s="83">
        <v>0</v>
      </c>
      <c r="P228" s="83">
        <v>-6</v>
      </c>
      <c r="Q228" s="83">
        <v>0</v>
      </c>
      <c r="R228" s="83">
        <v>0</v>
      </c>
      <c r="S228" s="83">
        <v>0</v>
      </c>
      <c r="T228" s="83">
        <v>0</v>
      </c>
      <c r="U228" s="82"/>
    </row>
    <row r="229" spans="1:21" ht="17.25" customHeight="1" x14ac:dyDescent="0.3">
      <c r="A229" s="66" t="s">
        <v>30</v>
      </c>
      <c r="C229" s="67"/>
      <c r="D229" s="77"/>
      <c r="E229" s="77"/>
      <c r="F229" s="76"/>
      <c r="G229" s="76"/>
      <c r="H229" s="76"/>
      <c r="I229" s="76"/>
      <c r="J229" s="76"/>
      <c r="K229" s="76"/>
      <c r="L229" s="76"/>
      <c r="M229" s="76"/>
      <c r="N229" s="76"/>
      <c r="O229" s="75"/>
      <c r="P229" s="75"/>
      <c r="Q229" s="75"/>
      <c r="R229" s="75"/>
      <c r="S229" s="75"/>
      <c r="T229" s="75"/>
      <c r="U229" s="74"/>
    </row>
    <row r="230" spans="1:21" ht="17.25" customHeight="1" x14ac:dyDescent="0.3">
      <c r="A230" s="66" t="s">
        <v>30</v>
      </c>
      <c r="C230" s="67"/>
      <c r="D230" s="77"/>
      <c r="E230" s="77" t="s">
        <v>31</v>
      </c>
      <c r="F230" s="76" t="s">
        <v>31</v>
      </c>
      <c r="G230" s="76" t="s">
        <v>31</v>
      </c>
      <c r="H230" s="76"/>
      <c r="I230" s="76"/>
      <c r="J230" s="76" t="s">
        <v>31</v>
      </c>
      <c r="K230" s="76" t="s">
        <v>31</v>
      </c>
      <c r="L230" s="76" t="s">
        <v>31</v>
      </c>
      <c r="M230" s="76" t="s">
        <v>31</v>
      </c>
      <c r="N230" s="76"/>
      <c r="U230" s="81"/>
    </row>
    <row r="231" spans="1:21" ht="20.25" customHeight="1" x14ac:dyDescent="0.35">
      <c r="A231" s="66" t="s">
        <v>30</v>
      </c>
      <c r="C231" s="67"/>
      <c r="D231" s="92" t="str">
        <f t="shared" ref="D231" si="163">E231</f>
        <v>S100023</v>
      </c>
      <c r="E231" s="91" t="str">
        <f>"S100023"</f>
        <v>S100023</v>
      </c>
      <c r="F231" s="89" t="str">
        <f>"Gripper SPORT BOT"</f>
        <v>Gripper SPORT BOT</v>
      </c>
      <c r="G231" s="89"/>
      <c r="H231" s="90" t="str">
        <f>"EA"</f>
        <v>EA</v>
      </c>
      <c r="I231" s="89"/>
      <c r="J231" s="89"/>
      <c r="K231" s="89"/>
      <c r="L231" s="89"/>
      <c r="M231" s="89"/>
      <c r="N231" s="89"/>
      <c r="O231" s="88">
        <f>(SUBTOTAL(9,O232:O233))</f>
        <v>499.99999999999994</v>
      </c>
      <c r="P231" s="88">
        <f>(SUBTOTAL(9,P232:P233))</f>
        <v>0</v>
      </c>
      <c r="Q231" s="88">
        <f>(SUBTOTAL(9,Q232:Q233))</f>
        <v>0</v>
      </c>
      <c r="R231" s="88">
        <f>(SUBTOTAL(9,R232:R233))</f>
        <v>0</v>
      </c>
      <c r="S231" s="88">
        <f>(SUBTOTAL(9,S232:S233))</f>
        <v>0</v>
      </c>
      <c r="T231" s="88">
        <f>(SUBTOTAL(9,T232:T233))</f>
        <v>0</v>
      </c>
      <c r="U231" s="87">
        <f t="shared" ref="U231" si="164">SUBTOTAL(9,O232:T233)</f>
        <v>499.99999999999994</v>
      </c>
    </row>
    <row r="232" spans="1:21" ht="17.25" customHeight="1" x14ac:dyDescent="0.3">
      <c r="A232" s="66" t="s">
        <v>30</v>
      </c>
      <c r="C232" s="67"/>
      <c r="D232" s="77" t="str">
        <f t="shared" ref="D232:D238" si="165">D231</f>
        <v>S100023</v>
      </c>
      <c r="E232" s="77"/>
      <c r="F232" s="76"/>
      <c r="G232" s="76" t="str">
        <f>"""NAV Direct"",""CRONUS JetCorp USA"",""32"",""1"",""168648"""</f>
        <v>"NAV Direct","CRONUS JetCorp USA","32","1","168648"</v>
      </c>
      <c r="H232" s="86">
        <v>43466</v>
      </c>
      <c r="I232" s="85">
        <v>168648</v>
      </c>
      <c r="J232" s="84" t="str">
        <f>"Vendor"</f>
        <v>Vendor</v>
      </c>
      <c r="K232" s="84" t="str">
        <f>"V100047"</f>
        <v>V100047</v>
      </c>
      <c r="L232" s="84" t="str">
        <f>IF($J232="Customer",_xll.NL("first",$J232,"Name","No.","@@"&amp;$K232),"")</f>
        <v/>
      </c>
      <c r="M232" s="84" t="str">
        <f>"WoodMart Supply Co."</f>
        <v>WoodMart Supply Co.</v>
      </c>
      <c r="N232" s="84" t="str">
        <f>IF($J232="Item",_xll.NL("first",$J232,"Description","No.","@@"&amp;$K232),"")</f>
        <v/>
      </c>
      <c r="O232" s="83">
        <v>499.99999999999994</v>
      </c>
      <c r="P232" s="83">
        <v>0</v>
      </c>
      <c r="Q232" s="83">
        <v>0</v>
      </c>
      <c r="R232" s="83">
        <v>0</v>
      </c>
      <c r="S232" s="83">
        <v>0</v>
      </c>
      <c r="T232" s="83">
        <v>0</v>
      </c>
      <c r="U232" s="82"/>
    </row>
    <row r="233" spans="1:21" ht="17.25" customHeight="1" x14ac:dyDescent="0.3">
      <c r="A233" s="66" t="s">
        <v>30</v>
      </c>
      <c r="C233" s="67"/>
      <c r="D233" s="77"/>
      <c r="E233" s="77"/>
      <c r="F233" s="76"/>
      <c r="G233" s="76"/>
      <c r="H233" s="76"/>
      <c r="I233" s="76"/>
      <c r="J233" s="76"/>
      <c r="K233" s="76"/>
      <c r="L233" s="76"/>
      <c r="M233" s="76"/>
      <c r="N233" s="76"/>
      <c r="O233" s="75"/>
      <c r="P233" s="75"/>
      <c r="Q233" s="75"/>
      <c r="R233" s="75"/>
      <c r="S233" s="75"/>
      <c r="T233" s="75"/>
      <c r="U233" s="74"/>
    </row>
    <row r="234" spans="1:21" ht="17.25" customHeight="1" x14ac:dyDescent="0.3">
      <c r="A234" s="66" t="s">
        <v>30</v>
      </c>
      <c r="C234" s="67"/>
      <c r="D234" s="77"/>
      <c r="E234" s="77" t="s">
        <v>31</v>
      </c>
      <c r="F234" s="76" t="s">
        <v>31</v>
      </c>
      <c r="G234" s="76" t="s">
        <v>31</v>
      </c>
      <c r="H234" s="76"/>
      <c r="I234" s="76"/>
      <c r="J234" s="76" t="s">
        <v>31</v>
      </c>
      <c r="K234" s="76" t="s">
        <v>31</v>
      </c>
      <c r="L234" s="76" t="s">
        <v>31</v>
      </c>
      <c r="M234" s="76" t="s">
        <v>31</v>
      </c>
      <c r="N234" s="76"/>
      <c r="U234" s="81"/>
    </row>
    <row r="235" spans="1:21" ht="20.25" customHeight="1" x14ac:dyDescent="0.35">
      <c r="A235" s="66" t="s">
        <v>30</v>
      </c>
      <c r="C235" s="67"/>
      <c r="D235" s="92" t="str">
        <f t="shared" ref="D235" si="166">E235</f>
        <v>S100026</v>
      </c>
      <c r="E235" s="91" t="str">
        <f>"S100026"</f>
        <v>S100026</v>
      </c>
      <c r="F235" s="89" t="str">
        <f>"Wide SPORT BOT"</f>
        <v>Wide SPORT BOT</v>
      </c>
      <c r="G235" s="89"/>
      <c r="H235" s="90" t="str">
        <f>"EA"</f>
        <v>EA</v>
      </c>
      <c r="I235" s="89"/>
      <c r="J235" s="89"/>
      <c r="K235" s="89"/>
      <c r="L235" s="89"/>
      <c r="M235" s="89"/>
      <c r="N235" s="89"/>
      <c r="O235" s="88">
        <f>(SUBTOTAL(9,O236:O237))</f>
        <v>750</v>
      </c>
      <c r="P235" s="88">
        <f>(SUBTOTAL(9,P236:P237))</f>
        <v>0</v>
      </c>
      <c r="Q235" s="88">
        <f>(SUBTOTAL(9,Q236:Q237))</f>
        <v>0</v>
      </c>
      <c r="R235" s="88">
        <f>(SUBTOTAL(9,R236:R237))</f>
        <v>0</v>
      </c>
      <c r="S235" s="88">
        <f>(SUBTOTAL(9,S236:S237))</f>
        <v>0</v>
      </c>
      <c r="T235" s="88">
        <f>(SUBTOTAL(9,T236:T237))</f>
        <v>0</v>
      </c>
      <c r="U235" s="87">
        <f t="shared" ref="U235" si="167">SUBTOTAL(9,O236:T237)</f>
        <v>750</v>
      </c>
    </row>
    <row r="236" spans="1:21" ht="17.25" customHeight="1" x14ac:dyDescent="0.3">
      <c r="A236" s="66" t="s">
        <v>30</v>
      </c>
      <c r="C236" s="67"/>
      <c r="D236" s="77" t="str">
        <f t="shared" ref="D236:D238" si="168">D235</f>
        <v>S100026</v>
      </c>
      <c r="E236" s="77"/>
      <c r="F236" s="76"/>
      <c r="G236" s="76" t="str">
        <f>"""NAV Direct"",""CRONUS JetCorp USA"",""32"",""1"",""168647"""</f>
        <v>"NAV Direct","CRONUS JetCorp USA","32","1","168647"</v>
      </c>
      <c r="H236" s="86">
        <v>43466</v>
      </c>
      <c r="I236" s="85">
        <v>168647</v>
      </c>
      <c r="J236" s="84" t="str">
        <f>"Vendor"</f>
        <v>Vendor</v>
      </c>
      <c r="K236" s="84" t="str">
        <f>"V100047"</f>
        <v>V100047</v>
      </c>
      <c r="L236" s="84" t="str">
        <f>IF($J236="Customer",_xll.NL("first",$J236,"Name","No.","@@"&amp;$K236),"")</f>
        <v/>
      </c>
      <c r="M236" s="84" t="str">
        <f>"WoodMart Supply Co."</f>
        <v>WoodMart Supply Co.</v>
      </c>
      <c r="N236" s="84" t="str">
        <f>IF($J236="Item",_xll.NL("first",$J236,"Description","No.","@@"&amp;$K236),"")</f>
        <v/>
      </c>
      <c r="O236" s="83">
        <v>750</v>
      </c>
      <c r="P236" s="83">
        <v>0</v>
      </c>
      <c r="Q236" s="83">
        <v>0</v>
      </c>
      <c r="R236" s="83">
        <v>0</v>
      </c>
      <c r="S236" s="83">
        <v>0</v>
      </c>
      <c r="T236" s="83">
        <v>0</v>
      </c>
      <c r="U236" s="82"/>
    </row>
    <row r="237" spans="1:21" ht="17.25" customHeight="1" x14ac:dyDescent="0.3">
      <c r="A237" s="66" t="s">
        <v>30</v>
      </c>
      <c r="C237" s="67"/>
      <c r="D237" s="77"/>
      <c r="E237" s="77"/>
      <c r="F237" s="76"/>
      <c r="G237" s="76"/>
      <c r="H237" s="76"/>
      <c r="I237" s="76"/>
      <c r="J237" s="76"/>
      <c r="K237" s="76"/>
      <c r="L237" s="76"/>
      <c r="M237" s="76"/>
      <c r="N237" s="76"/>
      <c r="O237" s="75"/>
      <c r="P237" s="75"/>
      <c r="Q237" s="75"/>
      <c r="R237" s="75"/>
      <c r="S237" s="75"/>
      <c r="T237" s="75"/>
      <c r="U237" s="74"/>
    </row>
    <row r="238" spans="1:21" ht="17.25" customHeight="1" x14ac:dyDescent="0.3">
      <c r="A238" s="66" t="s">
        <v>30</v>
      </c>
      <c r="C238" s="67"/>
      <c r="D238" s="77"/>
      <c r="E238" s="77" t="s">
        <v>31</v>
      </c>
      <c r="F238" s="76" t="s">
        <v>31</v>
      </c>
      <c r="G238" s="76" t="s">
        <v>31</v>
      </c>
      <c r="H238" s="76"/>
      <c r="I238" s="76"/>
      <c r="J238" s="76" t="s">
        <v>31</v>
      </c>
      <c r="K238" s="76" t="s">
        <v>31</v>
      </c>
      <c r="L238" s="76" t="s">
        <v>31</v>
      </c>
      <c r="M238" s="76" t="s">
        <v>31</v>
      </c>
      <c r="N238" s="76"/>
      <c r="U238" s="81"/>
    </row>
    <row r="239" spans="1:21" ht="17.25" customHeight="1" x14ac:dyDescent="0.3">
      <c r="A239" s="66"/>
      <c r="C239" s="67"/>
      <c r="D239" s="77"/>
      <c r="E239" s="77"/>
      <c r="F239" s="76"/>
      <c r="G239" s="76"/>
      <c r="H239" s="76"/>
      <c r="I239" s="76"/>
      <c r="J239" s="76"/>
      <c r="K239" s="76"/>
      <c r="L239" s="76"/>
      <c r="M239" s="76"/>
      <c r="N239" s="76"/>
      <c r="O239" s="75"/>
      <c r="P239" s="75"/>
      <c r="Q239" s="75"/>
      <c r="R239" s="75"/>
      <c r="S239" s="75"/>
      <c r="T239" s="75"/>
      <c r="U239" s="74"/>
    </row>
    <row r="240" spans="1:21" ht="20.25" customHeight="1" thickBot="1" x14ac:dyDescent="0.4">
      <c r="A240" s="66"/>
      <c r="C240" s="67"/>
      <c r="D240" s="77"/>
      <c r="E240" s="77"/>
      <c r="F240" s="76"/>
      <c r="G240" s="76"/>
      <c r="H240" s="76"/>
      <c r="I240" s="76"/>
      <c r="J240" s="76"/>
      <c r="K240" s="76"/>
      <c r="L240" s="76"/>
      <c r="M240" s="76"/>
      <c r="N240" s="80" t="s">
        <v>32</v>
      </c>
      <c r="O240" s="79">
        <f>SUBTOTAL(9,O13:O239)</f>
        <v>13900</v>
      </c>
      <c r="P240" s="79">
        <f>SUBTOTAL(9,P13:P239)</f>
        <v>-2806</v>
      </c>
      <c r="Q240" s="79">
        <f>SUBTOTAL(9,Q13:Q239)</f>
        <v>0</v>
      </c>
      <c r="R240" s="79">
        <f>SUBTOTAL(9,R13:R239)</f>
        <v>0</v>
      </c>
      <c r="S240" s="79">
        <f>SUBTOTAL(9,S13:S239)</f>
        <v>0</v>
      </c>
      <c r="T240" s="79">
        <f>SUBTOTAL(9,T13:T239)</f>
        <v>0</v>
      </c>
      <c r="U240" s="78">
        <f>SUM(U12:U239)</f>
        <v>11094</v>
      </c>
    </row>
    <row r="241" spans="1:21" ht="17.25" customHeight="1" x14ac:dyDescent="0.3">
      <c r="A241" s="66"/>
      <c r="C241" s="67"/>
      <c r="D241" s="77"/>
      <c r="E241" s="77"/>
      <c r="F241" s="76"/>
      <c r="G241" s="76"/>
      <c r="H241" s="76"/>
      <c r="I241" s="76"/>
      <c r="J241" s="76"/>
      <c r="K241" s="76"/>
      <c r="L241" s="76"/>
      <c r="M241" s="76"/>
      <c r="N241" s="76"/>
      <c r="O241" s="75"/>
      <c r="P241" s="75"/>
      <c r="Q241" s="75"/>
      <c r="R241" s="75"/>
      <c r="S241" s="75"/>
      <c r="T241" s="75"/>
      <c r="U241" s="74"/>
    </row>
    <row r="242" spans="1:21" ht="17.25" customHeight="1" x14ac:dyDescent="0.3">
      <c r="A242" s="66"/>
      <c r="C242" s="67"/>
      <c r="D242" s="73"/>
      <c r="E242" s="73"/>
      <c r="F242" s="72"/>
      <c r="G242" s="72"/>
      <c r="H242" s="72"/>
      <c r="I242" s="72"/>
      <c r="J242" s="72"/>
      <c r="K242" s="72"/>
      <c r="L242" s="72"/>
      <c r="M242" s="72"/>
      <c r="N242" s="71"/>
      <c r="O242" s="70"/>
      <c r="P242" s="70"/>
      <c r="Q242" s="70"/>
      <c r="R242" s="70"/>
      <c r="S242" s="70"/>
      <c r="T242" s="70"/>
      <c r="U242" s="69"/>
    </row>
    <row r="243" spans="1:21" ht="17.25" customHeight="1" x14ac:dyDescent="0.3">
      <c r="A243" s="66"/>
      <c r="C243" s="67"/>
      <c r="D243" s="68"/>
      <c r="E243" s="68"/>
      <c r="F243" s="68"/>
      <c r="G243" s="68"/>
      <c r="H243" s="68"/>
      <c r="I243" s="68"/>
      <c r="J243" s="68"/>
      <c r="K243" s="68"/>
      <c r="L243" s="68"/>
      <c r="M243" s="68"/>
      <c r="N243" s="68"/>
      <c r="O243" s="68"/>
      <c r="P243" s="68"/>
      <c r="Q243" s="68"/>
      <c r="R243" s="68"/>
      <c r="S243" s="68"/>
      <c r="T243" s="68"/>
      <c r="U243" s="68"/>
    </row>
    <row r="244" spans="1:21" ht="17.25" customHeight="1" x14ac:dyDescent="0.3">
      <c r="A244" s="66"/>
      <c r="C244" s="67"/>
      <c r="D244" s="68"/>
      <c r="E244" s="68"/>
      <c r="F244" s="68"/>
      <c r="G244" s="68"/>
      <c r="H244" s="68"/>
      <c r="I244" s="68"/>
      <c r="J244" s="68"/>
      <c r="K244" s="68"/>
      <c r="L244" s="68"/>
      <c r="M244" s="68"/>
      <c r="N244" s="68"/>
      <c r="O244" s="68"/>
      <c r="P244" s="68"/>
      <c r="Q244" s="68"/>
      <c r="R244" s="68"/>
      <c r="S244" s="68"/>
      <c r="T244" s="68"/>
      <c r="U244" s="68"/>
    </row>
    <row r="245" spans="1:21" ht="17.25" customHeight="1" x14ac:dyDescent="0.3">
      <c r="A245" s="66"/>
      <c r="C245" s="67"/>
      <c r="D245" s="68"/>
      <c r="E245" s="68"/>
      <c r="F245" s="68"/>
      <c r="G245" s="68"/>
      <c r="H245" s="68"/>
      <c r="I245" s="68"/>
      <c r="J245" s="68"/>
      <c r="K245" s="68"/>
      <c r="L245" s="68"/>
      <c r="M245" s="68"/>
      <c r="N245" s="68"/>
      <c r="O245" s="68"/>
      <c r="P245" s="68"/>
      <c r="Q245" s="68"/>
      <c r="R245" s="68"/>
      <c r="S245" s="68"/>
      <c r="T245" s="68"/>
      <c r="U245" s="68"/>
    </row>
    <row r="246" spans="1:21" ht="17.25" customHeight="1" x14ac:dyDescent="0.3">
      <c r="A246" s="66"/>
      <c r="C246" s="67"/>
      <c r="D246" s="68"/>
      <c r="E246" s="68"/>
      <c r="F246" s="68"/>
      <c r="G246" s="68"/>
      <c r="H246" s="68"/>
      <c r="I246" s="68"/>
      <c r="J246" s="68"/>
      <c r="K246" s="68"/>
      <c r="L246" s="68"/>
      <c r="M246" s="68"/>
      <c r="N246" s="68"/>
      <c r="O246" s="68"/>
      <c r="P246" s="68"/>
      <c r="Q246" s="68"/>
      <c r="R246" s="68"/>
      <c r="S246" s="68"/>
      <c r="T246" s="68"/>
      <c r="U246" s="68"/>
    </row>
    <row r="247" spans="1:21" ht="17.25" customHeight="1" x14ac:dyDescent="0.3">
      <c r="A247" s="66"/>
      <c r="C247" s="67"/>
      <c r="D247" s="68"/>
      <c r="E247" s="68"/>
      <c r="F247" s="68"/>
      <c r="G247" s="68"/>
      <c r="H247" s="68"/>
      <c r="I247" s="68"/>
      <c r="J247" s="68"/>
      <c r="K247" s="68"/>
      <c r="L247" s="68"/>
      <c r="M247" s="68"/>
      <c r="N247" s="68"/>
      <c r="O247" s="68"/>
      <c r="P247" s="68"/>
      <c r="Q247" s="68"/>
      <c r="R247" s="68"/>
      <c r="S247" s="68"/>
      <c r="T247" s="68"/>
      <c r="U247" s="68"/>
    </row>
    <row r="248" spans="1:21" ht="17.25" customHeight="1" x14ac:dyDescent="0.3">
      <c r="A248" s="66"/>
      <c r="C248" s="67"/>
      <c r="D248" s="68"/>
      <c r="E248" s="68"/>
      <c r="F248" s="68"/>
      <c r="G248" s="68"/>
      <c r="H248" s="68"/>
      <c r="I248" s="68"/>
      <c r="J248" s="68"/>
      <c r="K248" s="68"/>
      <c r="L248" s="68"/>
      <c r="M248" s="68"/>
      <c r="N248" s="68"/>
      <c r="O248" s="68"/>
      <c r="P248" s="68"/>
      <c r="Q248" s="68"/>
      <c r="R248" s="68"/>
      <c r="S248" s="68"/>
      <c r="T248" s="68"/>
      <c r="U248" s="68"/>
    </row>
    <row r="249" spans="1:21" ht="17.25" customHeight="1" x14ac:dyDescent="0.3">
      <c r="A249" s="66"/>
      <c r="C249" s="67"/>
      <c r="D249" s="68"/>
      <c r="E249" s="68"/>
      <c r="F249" s="68"/>
      <c r="G249" s="68"/>
      <c r="H249" s="68"/>
      <c r="I249" s="68"/>
      <c r="J249" s="68"/>
      <c r="K249" s="68"/>
      <c r="L249" s="68"/>
      <c r="M249" s="68"/>
      <c r="N249" s="68"/>
      <c r="O249" s="68"/>
      <c r="P249" s="68"/>
      <c r="Q249" s="68"/>
      <c r="R249" s="68"/>
      <c r="S249" s="68"/>
      <c r="T249" s="68"/>
      <c r="U249" s="68"/>
    </row>
    <row r="250" spans="1:21" ht="17.25" customHeight="1" x14ac:dyDescent="0.3">
      <c r="A250" s="66"/>
      <c r="C250" s="67"/>
      <c r="D250" s="68"/>
      <c r="E250" s="68"/>
      <c r="F250" s="68"/>
      <c r="G250" s="68"/>
      <c r="H250" s="68"/>
      <c r="I250" s="68"/>
      <c r="J250" s="68"/>
      <c r="K250" s="68"/>
      <c r="L250" s="68"/>
      <c r="M250" s="68"/>
      <c r="N250" s="68"/>
      <c r="O250" s="68"/>
      <c r="P250" s="68"/>
      <c r="Q250" s="68"/>
      <c r="R250" s="68"/>
      <c r="S250" s="68"/>
      <c r="T250" s="68"/>
      <c r="U250" s="68"/>
    </row>
    <row r="251" spans="1:21" ht="17.25" customHeight="1" x14ac:dyDescent="0.3">
      <c r="A251" s="66"/>
      <c r="C251" s="67"/>
      <c r="D251" s="67"/>
      <c r="E251" s="67"/>
      <c r="F251" s="67"/>
      <c r="G251" s="67"/>
      <c r="H251" s="67"/>
      <c r="I251" s="67"/>
      <c r="J251" s="67"/>
      <c r="K251" s="67"/>
      <c r="L251" s="67"/>
      <c r="M251" s="67"/>
      <c r="N251" s="67"/>
      <c r="O251" s="67"/>
      <c r="P251" s="67"/>
      <c r="Q251" s="67"/>
      <c r="R251" s="67"/>
      <c r="S251" s="67"/>
      <c r="T251" s="67"/>
      <c r="U251" s="67"/>
    </row>
    <row r="252" spans="1:21" ht="17.25" customHeight="1" x14ac:dyDescent="0.3">
      <c r="A252" s="66"/>
      <c r="C252" s="67"/>
      <c r="D252" s="67"/>
      <c r="E252" s="67"/>
      <c r="F252" s="67"/>
      <c r="G252" s="67"/>
      <c r="H252" s="67"/>
      <c r="I252" s="67"/>
      <c r="J252" s="67"/>
      <c r="K252" s="67"/>
      <c r="L252" s="67"/>
      <c r="M252" s="67"/>
      <c r="N252" s="67"/>
      <c r="O252" s="67"/>
      <c r="P252" s="67"/>
      <c r="Q252" s="67"/>
      <c r="R252" s="67"/>
      <c r="S252" s="67"/>
      <c r="T252" s="67"/>
      <c r="U252" s="67"/>
    </row>
    <row r="253" spans="1:21" ht="14.25" customHeight="1" x14ac:dyDescent="0.25">
      <c r="A253" s="66"/>
    </row>
    <row r="254" spans="1:21" ht="14.25" customHeight="1" x14ac:dyDescent="0.25">
      <c r="A254" s="66"/>
    </row>
    <row r="255" spans="1:21" ht="14.25" customHeight="1" x14ac:dyDescent="0.25">
      <c r="A255" s="66"/>
    </row>
    <row r="256" spans="1:21" ht="14.25" customHeight="1" x14ac:dyDescent="0.25">
      <c r="A256" s="66"/>
    </row>
    <row r="257" spans="1:1" ht="14.25" customHeight="1" x14ac:dyDescent="0.25">
      <c r="A257" s="66"/>
    </row>
    <row r="258" spans="1:1" ht="14.25" customHeight="1" x14ac:dyDescent="0.25">
      <c r="A258" s="66"/>
    </row>
    <row r="259" spans="1:1" ht="14.25" customHeight="1" x14ac:dyDescent="0.25">
      <c r="A259" s="66"/>
    </row>
    <row r="260" spans="1:1" ht="14.25" customHeight="1" x14ac:dyDescent="0.25">
      <c r="A260" s="66"/>
    </row>
    <row r="261" spans="1:1" ht="14.25" customHeight="1" x14ac:dyDescent="0.25">
      <c r="A261" s="66"/>
    </row>
  </sheetData>
  <mergeCells count="1">
    <mergeCell ref="E3:F3"/>
  </mergeCells>
  <pageMargins left="0.25" right="0.25" top="0.75" bottom="0.75" header="0.3" footer="0.3"/>
  <pageSetup scale="35"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Read Me</vt:lpstr>
      <vt:lpstr>Options</vt:lpstr>
      <vt:lpstr>All Locations</vt:lpstr>
      <vt:lpstr>AD-WHSE1</vt:lpstr>
      <vt:lpstr>AD-WHSE2</vt:lpstr>
      <vt:lpstr>ATL-WHSE1</vt:lpstr>
      <vt:lpstr>ATL-WHSE2</vt:lpstr>
      <vt:lpstr>LA-WHSE1</vt:lpstr>
      <vt:lpstr>LON-WHSE1</vt:lpstr>
      <vt:lpstr>NY-WHSE1</vt:lpstr>
      <vt:lpstr>NY-WHSE2</vt:lpstr>
      <vt:lpstr>AccountType</vt:lpstr>
      <vt:lpstr>Company</vt:lpstr>
      <vt:lpstr>Datasource</vt:lpstr>
      <vt:lpstr>DateFilter</vt:lpstr>
      <vt:lpstr>EndDate</vt:lpstr>
      <vt:lpstr>'AD-WHSE2'!GLTotalingFilter</vt:lpstr>
      <vt:lpstr>'All Locations'!GLTotalingFilter</vt:lpstr>
      <vt:lpstr>'ATL-WHSE1'!GLTotalingFilter</vt:lpstr>
      <vt:lpstr>'ATL-WHSE2'!GLTotalingFilter</vt:lpstr>
      <vt:lpstr>'LA-WHSE1'!GLTotalingFilter</vt:lpstr>
      <vt:lpstr>'LON-WHSE1'!GLTotalingFilter</vt:lpstr>
      <vt:lpstr>'NY-WHSE1'!GLTotalingFilter</vt:lpstr>
      <vt:lpstr>'NY-WHSE2'!GLTotalingFilter</vt:lpstr>
      <vt:lpstr>GLTotalingFilter</vt:lpstr>
      <vt:lpstr>'AD-WHSE2'!Heading</vt:lpstr>
      <vt:lpstr>'All Locations'!Heading</vt:lpstr>
      <vt:lpstr>'ATL-WHSE1'!Heading</vt:lpstr>
      <vt:lpstr>'ATL-WHSE2'!Heading</vt:lpstr>
      <vt:lpstr>'LA-WHSE1'!Heading</vt:lpstr>
      <vt:lpstr>'LON-WHSE1'!Heading</vt:lpstr>
      <vt:lpstr>'NY-WHSE1'!Heading</vt:lpstr>
      <vt:lpstr>'NY-WHSE2'!Heading</vt:lpstr>
      <vt:lpstr>Heading</vt:lpstr>
      <vt:lpstr>PeriodType</vt:lpstr>
      <vt:lpstr>StartDate</vt:lpstr>
    </vt:vector>
  </TitlesOfParts>
  <Company>Software Professionals,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Inventory Movement by Location</dc:title>
  <dc:subject>Jet Reports</dc:subject>
  <dc:creator>Jeff Lee</dc:creator>
  <dc:description>Provides info about Item Movement with a separate sheet for each location.</dc:description>
  <cp:lastModifiedBy>Kim R. Duey</cp:lastModifiedBy>
  <cp:lastPrinted>2012-11-02T21:37:58Z</cp:lastPrinted>
  <dcterms:created xsi:type="dcterms:W3CDTF">2008-10-22T00:07:14Z</dcterms:created>
  <dcterms:modified xsi:type="dcterms:W3CDTF">2018-10-22T22:09:56Z</dcterms:modified>
  <cp:category>Inventory</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eedsREVERT">
    <vt:lpwstr>FALSE</vt:lpwstr>
  </property>
  <property fmtid="{D5CDD505-2E9C-101B-9397-08002B2CF9AE}" pid="3" name="Jet Reports Drill Button Active">
    <vt:bool>true</vt:bool>
  </property>
  <property fmtid="{D5CDD505-2E9C-101B-9397-08002B2CF9AE}" pid="4" name="OriginalName">
    <vt:lpwstr>Book4</vt:lpwstr>
  </property>
  <property fmtid="{D5CDD505-2E9C-101B-9397-08002B2CF9AE}" pid="5" name="Jet Reports Last Version Refresh">
    <vt:lpwstr>Version 7.1.0  Released 1/23/2008 3:23:30 PM</vt:lpwstr>
  </property>
  <property fmtid="{D5CDD505-2E9C-101B-9397-08002B2CF9AE}" pid="6" name="Jet Reports Design Mode Active">
    <vt:bool>false</vt:bool>
  </property>
  <property fmtid="{D5CDD505-2E9C-101B-9397-08002B2CF9AE}" pid="7" name="Jet Reports Function Literals">
    <vt:lpwstr>,	;	,	{	}	[@[{0}]]	1033</vt:lpwstr>
  </property>
</Properties>
</file>